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olution_1" sheetId="1" r:id="rId4"/>
    <sheet state="visible" name="solution_2" sheetId="2" r:id="rId5"/>
    <sheet state="visible" name="solution_3" sheetId="3" r:id="rId6"/>
    <sheet state="visible" name="solution_4" sheetId="4" r:id="rId7"/>
  </sheets>
  <definedNames/>
  <calcPr/>
  <pivotCaches>
    <pivotCache cacheId="0" r:id="rId8"/>
    <pivotCache cacheId="1" r:id="rId9"/>
  </pivotCaches>
</workbook>
</file>

<file path=xl/sharedStrings.xml><?xml version="1.0" encoding="utf-8"?>
<sst xmlns="http://schemas.openxmlformats.org/spreadsheetml/2006/main" count="12786" uniqueCount="10011">
  <si>
    <t>URLs</t>
  </si>
  <si>
    <t>count_of_search_results</t>
  </si>
  <si>
    <t>Keywords</t>
  </si>
  <si>
    <t>https://play.google.com/store/search?q=messenger%20app&amp;c=apps</t>
  </si>
  <si>
    <t>https://play.google.com/store/search?q=torch&amp;c=apps</t>
  </si>
  <si>
    <t>https://play.google.com/store/search?q=personal%20loan%20app&amp;c=apps</t>
  </si>
  <si>
    <t>https://play.google.com/store/search?q=pnr%20status%20in%20india&amp;c=apps</t>
  </si>
  <si>
    <r>
      <rPr>
        <rFont val="Arial"/>
        <color theme="1"/>
      </rPr>
      <t xml:space="preserve">QUERY TO EXTRACT KEYWORDS:  </t>
    </r>
    <r>
      <rPr>
        <rFont val="Arial"/>
        <b/>
        <color rgb="FF351C75"/>
        <sz val="11.0"/>
      </rPr>
      <t>=QUERY(REGEXREPLACE(INDEX(SPLIT(INDEX(SPLIT(B4,"="),2),"&amp;"),1),"%20",","))</t>
    </r>
  </si>
  <si>
    <t>Note: *"B4" in the query is the cell reference to URL containing cell.*</t>
  </si>
  <si>
    <t>date_time</t>
  </si>
  <si>
    <t>instance_id</t>
  </si>
  <si>
    <t>Date_in_IST</t>
  </si>
  <si>
    <t>Day</t>
  </si>
  <si>
    <t>Hour</t>
  </si>
  <si>
    <t xml:space="preserve">1. how many incidents have incident_id on a given day. </t>
  </si>
  <si>
    <t>2022-04-12 07:09:10 UTC</t>
  </si>
  <si>
    <t>9e27bf765fdc2986c2f92c6919872380</t>
  </si>
  <si>
    <t>2022-04-12 07:07:59 UTC</t>
  </si>
  <si>
    <t>d96f725b82f1c12f177e9d1b9c1bb643</t>
  </si>
  <si>
    <t>COUNT of incident_id</t>
  </si>
  <si>
    <t>2022-04-12 07:07:50 UTC</t>
  </si>
  <si>
    <t>f9b959ce7f71a1f92bcbf0a35502a036</t>
  </si>
  <si>
    <t>2022-04-12 07:04:32 UTC</t>
  </si>
  <si>
    <t>7d2d079987017cf300ad30d97ddaad84</t>
  </si>
  <si>
    <t>2022-04-12 07:01:56 UTC</t>
  </si>
  <si>
    <t>2022-04-12 07:01:53 UTC</t>
  </si>
  <si>
    <t>53f113f131c5b49c98714600b95fddb3</t>
  </si>
  <si>
    <t>2022-04-12 07:01:50 UTC</t>
  </si>
  <si>
    <t>2022-04-12 07:01:22 UTC</t>
  </si>
  <si>
    <t>2022-04-12 07:01:17 UTC</t>
  </si>
  <si>
    <t>2022-04-12 07:01:00 UTC</t>
  </si>
  <si>
    <t>2a0442055d31f3b75b860cd86aecf4ea</t>
  </si>
  <si>
    <t>2022-04-12 07:00:27 UTC</t>
  </si>
  <si>
    <t>2022-04-12 06:59:15 UTC</t>
  </si>
  <si>
    <t>188a4318617bae847690254706106891</t>
  </si>
  <si>
    <t>2022-04-12 06:58:53 UTC</t>
  </si>
  <si>
    <t>2022-04-12 06:58:47 UTC</t>
  </si>
  <si>
    <t>2022-04-12 06:58:36 UTC</t>
  </si>
  <si>
    <t>7068d8135b7d792554d60c3046848af7</t>
  </si>
  <si>
    <t>2022-04-12 06:58:25 UTC</t>
  </si>
  <si>
    <t>c7696a1b1a3dd8d5ee13cfc7c84378c4</t>
  </si>
  <si>
    <t>2022-04-12 06:57:32 UTC</t>
  </si>
  <si>
    <t>2e7e7a6814fe39f6917b1897a89703d7</t>
  </si>
  <si>
    <t>2022-04-12 06:57:30 UTC</t>
  </si>
  <si>
    <t>2022-04-12 06:56:49 UTC</t>
  </si>
  <si>
    <t>91fba088a6ab6219155727b47cee7be9</t>
  </si>
  <si>
    <t>2022-04-12 06:56:43 UTC</t>
  </si>
  <si>
    <t>2022-04-12 06:56:39 UTC</t>
  </si>
  <si>
    <t>2022-04-12 06:56:37 UTC</t>
  </si>
  <si>
    <t>2022-04-12 06:56:33 UTC</t>
  </si>
  <si>
    <t>2022-04-12 06:54:49 UTC</t>
  </si>
  <si>
    <t>debfe92260dd64f918c0da86160bdcdc</t>
  </si>
  <si>
    <t>2022-04-12 06:52:53 UTC</t>
  </si>
  <si>
    <t>2022-04-12 06:52:38 UTC</t>
  </si>
  <si>
    <t>861ad8e9c4142041c0417dd5d5d35363</t>
  </si>
  <si>
    <t>2022-04-12 06:51:33 UTC</t>
  </si>
  <si>
    <t>2022-04-12 06:51:26 UTC</t>
  </si>
  <si>
    <t>adc11055703b944df7122938251cc957</t>
  </si>
  <si>
    <t>2022-04-12 06:50:27 UTC</t>
  </si>
  <si>
    <t>2022-04-12 06:47:18 UTC</t>
  </si>
  <si>
    <t>2022-04-12 06:46:58 UTC</t>
  </si>
  <si>
    <t>2022-04-12 06:45:38 UTC</t>
  </si>
  <si>
    <t>2022-04-12 06:44:30 UTC</t>
  </si>
  <si>
    <t>2022-04-12 06:37:59 UTC</t>
  </si>
  <si>
    <t>2022-04-12 06:36:53 UTC</t>
  </si>
  <si>
    <t>2. How many percentage of incidents have a non-null id?</t>
  </si>
  <si>
    <t>2022-04-12 06:35:19 UTC</t>
  </si>
  <si>
    <t>aee4548cea84308b168672fc8a469e23</t>
  </si>
  <si>
    <t>2022-04-12 06:32:19 UTC</t>
  </si>
  <si>
    <t>% incident Ids are non-null.</t>
  </si>
  <si>
    <t>2022-04-12 06:31:56 UTC</t>
  </si>
  <si>
    <t>2022-04-12 06:31:34 UTC</t>
  </si>
  <si>
    <t>3. What time of day the incident Id percentage is lower?</t>
  </si>
  <si>
    <t>2022-04-12 06:26:41 UTC</t>
  </si>
  <si>
    <t>2022-04-12 06:25:34 UTC</t>
  </si>
  <si>
    <t>Between 1AM to 2AM incident Id % is lower.</t>
  </si>
  <si>
    <t>2022-04-12 06:25:15 UTC</t>
  </si>
  <si>
    <t>2022-04-12 06:25:01 UTC</t>
  </si>
  <si>
    <t>Percent of instance_id</t>
  </si>
  <si>
    <t>2022-04-12 06:22:34 UTC</t>
  </si>
  <si>
    <t>2022-04-12 06:22:30 UTC</t>
  </si>
  <si>
    <t>45194919de55628331278d92289f03fa</t>
  </si>
  <si>
    <t>2022-04-12 06:22:27 UTC</t>
  </si>
  <si>
    <t>2022-04-12 06:20:53 UTC</t>
  </si>
  <si>
    <t>f34af2b1f4385d03dacaae2978766874</t>
  </si>
  <si>
    <t>2022-04-12 06:20:42 UTC</t>
  </si>
  <si>
    <t>2022-04-12 06:20:36 UTC</t>
  </si>
  <si>
    <t>2022-04-12 06:20:22 UTC</t>
  </si>
  <si>
    <t>2022-04-12 06:20:17 UTC</t>
  </si>
  <si>
    <t>2022-04-12 06:18:51 UTC</t>
  </si>
  <si>
    <t>2022-04-12 06:18:23 UTC</t>
  </si>
  <si>
    <t>5c6346228d8010a0929e73ea93585d27</t>
  </si>
  <si>
    <t>2022-04-12 06:18:13 UTC</t>
  </si>
  <si>
    <t>2022-04-12 06:17:56 UTC</t>
  </si>
  <si>
    <t>8f001089daa8acfe41422878d7cfbab8</t>
  </si>
  <si>
    <t>2022-04-12 06:17:46 UTC</t>
  </si>
  <si>
    <t>2022-04-12 06:17:07 UTC</t>
  </si>
  <si>
    <t>2022-04-12 06:17:02 UTC</t>
  </si>
  <si>
    <t>2022-04-12 06:16:56 UTC</t>
  </si>
  <si>
    <t>2022-04-12 06:16:37 UTC</t>
  </si>
  <si>
    <t>2022-04-12 06:16:33 UTC</t>
  </si>
  <si>
    <t>2022-04-12 06:16:27 UTC</t>
  </si>
  <si>
    <t>2022-04-12 06:16:23 UTC</t>
  </si>
  <si>
    <t>2022-04-12 06:16:19 UTC</t>
  </si>
  <si>
    <t>2022-04-12 06:16:10 UTC</t>
  </si>
  <si>
    <t>2022-04-12 06:16:06 UTC</t>
  </si>
  <si>
    <t>46ef89cf0faca910c84c33305885545d</t>
  </si>
  <si>
    <t>2022-04-12 06:16:03 UTC</t>
  </si>
  <si>
    <t>2022-04-12 06:15:55 UTC</t>
  </si>
  <si>
    <t>2022-04-12 06:15:21 UTC</t>
  </si>
  <si>
    <t>2022-04-12 06:14:42 UTC</t>
  </si>
  <si>
    <t>2022-04-12 06:13:37 UTC</t>
  </si>
  <si>
    <t>c8ef09f01b0bb4c6c1b75cf28a48d04a</t>
  </si>
  <si>
    <t>2022-04-12 06:12:56 UTC</t>
  </si>
  <si>
    <t>2022-04-12 06:12:13 UTC</t>
  </si>
  <si>
    <t>2022-04-12 06:11:54 UTC</t>
  </si>
  <si>
    <t>59574b50bc7377d012318c0cc760d3a4</t>
  </si>
  <si>
    <t>2022-04-12 06:11:44 UTC</t>
  </si>
  <si>
    <t>2022-04-12 06:10:56 UTC</t>
  </si>
  <si>
    <t>1c4795cbe0782fab8d84bd9d524debe1</t>
  </si>
  <si>
    <t>2022-04-12 06:10:06 UTC</t>
  </si>
  <si>
    <t>2022-04-12 06:09:53 UTC</t>
  </si>
  <si>
    <t>2022-04-12 06:09:47 UTC</t>
  </si>
  <si>
    <t>2022-04-12 06:09:40 UTC</t>
  </si>
  <si>
    <t>2022-04-12 06:08:23 UTC</t>
  </si>
  <si>
    <t>2022-04-12 06:06:51 UTC</t>
  </si>
  <si>
    <t>e628bedad49481d7101104b65e367600</t>
  </si>
  <si>
    <t>2022-04-12 06:04:35 UTC</t>
  </si>
  <si>
    <t>2022-04-12 06:04:27 UTC</t>
  </si>
  <si>
    <t>2022-04-12 06:04:22 UTC</t>
  </si>
  <si>
    <t>2022-04-12 06:04:15 UTC</t>
  </si>
  <si>
    <t>2022-04-12 06:02:11 UTC</t>
  </si>
  <si>
    <t>ac3f0f5c7b8f672c0ac8c609b08c0a23</t>
  </si>
  <si>
    <t>2022-04-12 06:01:26 UTC</t>
  </si>
  <si>
    <t>2022-04-12 06:01:23 UTC</t>
  </si>
  <si>
    <t>d894024409fcfdce06361793603671b8</t>
  </si>
  <si>
    <t>2022-04-12 06:00:25 UTC</t>
  </si>
  <si>
    <t>2022-04-12 06:00:21 UTC</t>
  </si>
  <si>
    <t>2022-04-12 06:00:19 UTC</t>
  </si>
  <si>
    <t>2022-04-12 05:58:49 UTC</t>
  </si>
  <si>
    <t>bf02acce9b9cd8cb81d3f337b033c0ec</t>
  </si>
  <si>
    <t>2022-04-12 05:58:37 UTC</t>
  </si>
  <si>
    <t>2022-04-12 05:57:45 UTC</t>
  </si>
  <si>
    <t>075cb73e19ebde73477f5c10650fe72b</t>
  </si>
  <si>
    <t>2022-04-12 05:57:18 UTC</t>
  </si>
  <si>
    <t>b93d125369c20ceb0ab22949a1735038</t>
  </si>
  <si>
    <t>2022-04-12 05:57:12 UTC</t>
  </si>
  <si>
    <t>2022-04-12 05:57:08 UTC</t>
  </si>
  <si>
    <t>2022-04-12 05:57:05 UTC</t>
  </si>
  <si>
    <t>2022-04-12 05:57:01 UTC</t>
  </si>
  <si>
    <t>2022-04-12 05:56:58 UTC</t>
  </si>
  <si>
    <t>2022-04-12 05:56:55 UTC</t>
  </si>
  <si>
    <t>efc0aac90297fc6b04110b85cfc23c58</t>
  </si>
  <si>
    <t>2022-04-12 05:56:50 UTC</t>
  </si>
  <si>
    <t>2022-04-12 05:56:04 UTC</t>
  </si>
  <si>
    <t>f665ec6a5680ce71a1b1621958d819dc</t>
  </si>
  <si>
    <t>2022-04-12 05:56:03 UTC</t>
  </si>
  <si>
    <t>2022-04-12 05:55:57 UTC</t>
  </si>
  <si>
    <t>2022-04-12 05:54:55 UTC</t>
  </si>
  <si>
    <t>2022-04-12 05:54:38 UTC</t>
  </si>
  <si>
    <t>9672e6958e16659d013d0706b6e4f763</t>
  </si>
  <si>
    <t>2022-04-12 05:53:36 UTC</t>
  </si>
  <si>
    <t>1e972bf82016ca11f1d7719672304a78</t>
  </si>
  <si>
    <t>2022-04-12 05:52:58 UTC</t>
  </si>
  <si>
    <t>2022-04-12 05:52:01 UTC</t>
  </si>
  <si>
    <t>76ea79ec77d657f2a86be6c86c475919</t>
  </si>
  <si>
    <t>2022-04-12 05:48:12 UTC</t>
  </si>
  <si>
    <t>c430ff9ec0b3dedd6c2722d550b9506b</t>
  </si>
  <si>
    <t>2022-04-12 05:47:48 UTC</t>
  </si>
  <si>
    <t>2022-04-12 05:46:53 UTC</t>
  </si>
  <si>
    <t>2022-04-12 05:46:39 UTC</t>
  </si>
  <si>
    <t>2022-04-12 05:46:27 UTC</t>
  </si>
  <si>
    <t>77a3b42cb272cc37c57583c17c5bff7a</t>
  </si>
  <si>
    <t>2022-04-12 05:45:49 UTC</t>
  </si>
  <si>
    <t>ea07517209bf99f68e252d3c74409b5a</t>
  </si>
  <si>
    <t>2022-04-12 05:43:32 UTC</t>
  </si>
  <si>
    <t>ff7cc069b4d19c26b6b8137abdfbbec3</t>
  </si>
  <si>
    <t>2022-04-12 05:43:14 UTC</t>
  </si>
  <si>
    <t>2022-04-12 05:40:40 UTC</t>
  </si>
  <si>
    <t>2022-04-12 05:39:58 UTC</t>
  </si>
  <si>
    <t>5efe58e2941d64a18391188f91de66a8</t>
  </si>
  <si>
    <t>2022-04-12 05:39:34 UTC</t>
  </si>
  <si>
    <t>94c84423208a64f4dc9b1c41e7f77685</t>
  </si>
  <si>
    <t>2022-04-12 05:39:12 UTC</t>
  </si>
  <si>
    <t>219824bbc5a31e5650515041254af176</t>
  </si>
  <si>
    <t>2022-04-12 05:37:01 UTC</t>
  </si>
  <si>
    <t>2022-04-12 05:35:41 UTC</t>
  </si>
  <si>
    <t>b1e5bbc2859353c6fb2f8e71790169e5</t>
  </si>
  <si>
    <t>2022-04-12 05:33:34 UTC</t>
  </si>
  <si>
    <t>2022-04-12 05:33:31 UTC</t>
  </si>
  <si>
    <t>e8e6ca2a24efa9b8510ac6cc63ef0994</t>
  </si>
  <si>
    <t>2022-04-12 05:33:27 UTC</t>
  </si>
  <si>
    <t>4cb9fbc9a709540db36f7db53ab27243</t>
  </si>
  <si>
    <t>2022-04-12 05:33:16 UTC</t>
  </si>
  <si>
    <t>2022-04-12 05:33:13 UTC</t>
  </si>
  <si>
    <t>2022-04-12 05:33:01 UTC</t>
  </si>
  <si>
    <t>2022-04-12 05:32:58 UTC</t>
  </si>
  <si>
    <t>2022-04-12 05:32:56 UTC</t>
  </si>
  <si>
    <t>2022-04-12 05:32:36 UTC</t>
  </si>
  <si>
    <t>2022-04-12 05:32:30 UTC</t>
  </si>
  <si>
    <t>2022-04-12 05:32:11 UTC</t>
  </si>
  <si>
    <t>2022-04-12 05:30:38 UTC</t>
  </si>
  <si>
    <t>2022-04-12 05:30:37 UTC</t>
  </si>
  <si>
    <t>2022-04-12 05:30:33 UTC</t>
  </si>
  <si>
    <t>2022-04-12 05:30:04 UTC</t>
  </si>
  <si>
    <t>2022-04-12 05:30:01 UTC</t>
  </si>
  <si>
    <t>2022-04-12 05:29:56 UTC</t>
  </si>
  <si>
    <t>2022-04-12 05:29:54 UTC</t>
  </si>
  <si>
    <t>2022-04-12 05:28:30 UTC</t>
  </si>
  <si>
    <t>2022-04-12 05:28:27 UTC</t>
  </si>
  <si>
    <t>57c87f1300fc325618f8a11d5632cff8</t>
  </si>
  <si>
    <t>2022-04-12 05:28:24 UTC</t>
  </si>
  <si>
    <t>2022-04-12 05:28:19 UTC</t>
  </si>
  <si>
    <t>2022-04-12 05:28:17 UTC</t>
  </si>
  <si>
    <t>2022-04-12 05:28:03 UTC</t>
  </si>
  <si>
    <t>2022-04-12 05:27:43 UTC</t>
  </si>
  <si>
    <t>2022-04-12 05:27:22 UTC</t>
  </si>
  <si>
    <t>2022-04-12 05:27:19 UTC</t>
  </si>
  <si>
    <t>2022-04-12 05:27:13 UTC</t>
  </si>
  <si>
    <t>2022-04-12 05:27:10 UTC</t>
  </si>
  <si>
    <t>2022-04-12 05:27:04 UTC</t>
  </si>
  <si>
    <t>2022-04-12 05:27:01 UTC</t>
  </si>
  <si>
    <t>2022-04-12 05:26:57 UTC</t>
  </si>
  <si>
    <t>2022-04-12 05:26:43 UTC</t>
  </si>
  <si>
    <t>2022-04-12 05:26:40 UTC</t>
  </si>
  <si>
    <t>16122a494cb26354b608785a1db785c6</t>
  </si>
  <si>
    <t>2022-04-12 05:26:33 UTC</t>
  </si>
  <si>
    <t>ffc08c32eaa3145a82f7dd22d93fcdf6</t>
  </si>
  <si>
    <t>2022-04-12 05:23:58 UTC</t>
  </si>
  <si>
    <t>2022-04-12 05:22:25 UTC</t>
  </si>
  <si>
    <t>ae078b8cbe7739f30344d8cc90cab61e</t>
  </si>
  <si>
    <t>2022-04-12 05:20:12 UTC</t>
  </si>
  <si>
    <t>2022-04-12 05:19:33 UTC</t>
  </si>
  <si>
    <t>2022-04-12 05:19:27 UTC</t>
  </si>
  <si>
    <t>2022-04-12 05:19:24 UTC</t>
  </si>
  <si>
    <t>2022-04-12 05:18:58 UTC</t>
  </si>
  <si>
    <t>cc6d33fdd4e00f21f99ab32228c8066e</t>
  </si>
  <si>
    <t>2022-04-12 05:17:33 UTC</t>
  </si>
  <si>
    <t>e79b71a177655f15a2677f8af305a5b0</t>
  </si>
  <si>
    <t>2022-04-12 05:17:20 UTC</t>
  </si>
  <si>
    <t>7fcdf06a462118f9ad40ed8dabb89608</t>
  </si>
  <si>
    <t>2022-04-12 05:17:16 UTC</t>
  </si>
  <si>
    <t>2022-04-12 05:12:08 UTC</t>
  </si>
  <si>
    <t>c25969056a5e31f7e9d86a792f861b11</t>
  </si>
  <si>
    <t>2022-04-12 05:09:25 UTC</t>
  </si>
  <si>
    <t>2022-04-12 05:08:41 UTC</t>
  </si>
  <si>
    <t>ea0949be0264de3b43d43814f754e762</t>
  </si>
  <si>
    <t>2022-04-12 05:06:16 UTC</t>
  </si>
  <si>
    <t>7985e7456aac883ef0a33b786b5771fa</t>
  </si>
  <si>
    <t>2022-04-12 05:02:31 UTC</t>
  </si>
  <si>
    <t>2022-04-12 05:02:23 UTC</t>
  </si>
  <si>
    <t>2d10e359633907b90821deda63c7e122</t>
  </si>
  <si>
    <t>2022-04-12 05:02:17 UTC</t>
  </si>
  <si>
    <t>2022-04-12 05:00:19 UTC</t>
  </si>
  <si>
    <t>f8164938fee04a149d5a0e636061ef83</t>
  </si>
  <si>
    <t>2022-04-12 05:00:12 UTC</t>
  </si>
  <si>
    <t>2022-04-12 04:59:55 UTC</t>
  </si>
  <si>
    <t>3ec9b677dd89229fdd6c0d778f49be91</t>
  </si>
  <si>
    <t>2022-04-12 04:59:02 UTC</t>
  </si>
  <si>
    <t>2022-04-12 04:55:37 UTC</t>
  </si>
  <si>
    <t>5c4f5e7f2a2f56ef5938ddcfb123ce0d</t>
  </si>
  <si>
    <t>2022-04-12 04:48:57 UTC</t>
  </si>
  <si>
    <t>6fded2275fd1165266cec3a335aba52b</t>
  </si>
  <si>
    <t>2022-04-12 04:48:22 UTC</t>
  </si>
  <si>
    <t>35b739047f59bcc186bd3fc6833b9503</t>
  </si>
  <si>
    <t>2022-04-12 04:47:36 UTC</t>
  </si>
  <si>
    <t>2022-04-12 04:47:35 UTC</t>
  </si>
  <si>
    <t>2022-04-12 04:47:31 UTC</t>
  </si>
  <si>
    <t>2384308b31e9b9a7d7d2ecfc3d27d77f</t>
  </si>
  <si>
    <t>2022-04-12 04:47:28 UTC</t>
  </si>
  <si>
    <t>9eaa4bc674d6ca7394cff3bcaf5e76ba</t>
  </si>
  <si>
    <t>2022-04-12 04:47:25 UTC</t>
  </si>
  <si>
    <t>2022-04-12 04:47:22 UTC</t>
  </si>
  <si>
    <t>2022-04-12 04:46:56 UTC</t>
  </si>
  <si>
    <t>2022-04-12 04:46:18 UTC</t>
  </si>
  <si>
    <t>2022-04-12 04:43:21 UTC</t>
  </si>
  <si>
    <t>2022-04-12 04:43:14 UTC</t>
  </si>
  <si>
    <t>1a6a8c0206c8a98336d8f0ffc0e17ab8</t>
  </si>
  <si>
    <t>2022-04-12 04:43:05 UTC</t>
  </si>
  <si>
    <t>2022-04-12 04:40:28 UTC</t>
  </si>
  <si>
    <t>2022-04-12 04:38:52 UTC</t>
  </si>
  <si>
    <t>2022-04-12 04:38:03 UTC</t>
  </si>
  <si>
    <t>2022-04-12 04:34:47 UTC</t>
  </si>
  <si>
    <t>2022-04-12 04:33:21 UTC</t>
  </si>
  <si>
    <t>2022-04-12 04:33:09 UTC</t>
  </si>
  <si>
    <t>2022-04-12 04:32:37 UTC</t>
  </si>
  <si>
    <t>2022-04-12 04:32:32 UTC</t>
  </si>
  <si>
    <t>2022-04-12 04:30:34 UTC</t>
  </si>
  <si>
    <t>dbea4da031f1640f9ba9a7e64cbf4a74</t>
  </si>
  <si>
    <t>2022-04-12 04:30:08 UTC</t>
  </si>
  <si>
    <t>e16ce150747384b5e6b2097e341f5c32</t>
  </si>
  <si>
    <t>2022-04-12 04:29:12 UTC</t>
  </si>
  <si>
    <t>2022-04-12 04:25:44 UTC</t>
  </si>
  <si>
    <t>6da1681004912416bb0016ab18a2fb2f</t>
  </si>
  <si>
    <t>2022-04-12 04:24:40 UTC</t>
  </si>
  <si>
    <t>2022-04-12 04:20:52 UTC</t>
  </si>
  <si>
    <t>f1469b1d641a32f06bec7fe703318b7d</t>
  </si>
  <si>
    <t>2022-04-12 04:17:35 UTC</t>
  </si>
  <si>
    <t>2022-04-12 04:13:58 UTC</t>
  </si>
  <si>
    <t>5716cfc29c81b189ab93fa059c70a01c</t>
  </si>
  <si>
    <t>2022-04-12 04:13:50 UTC</t>
  </si>
  <si>
    <t>2022-04-12 04:13:45 UTC</t>
  </si>
  <si>
    <t>2022-04-12 04:12:46 UTC</t>
  </si>
  <si>
    <t>2022-04-12 04:12:28 UTC</t>
  </si>
  <si>
    <t>2022-04-12 04:12:26 UTC</t>
  </si>
  <si>
    <t>2022-04-12 04:12:23 UTC</t>
  </si>
  <si>
    <t>2022-04-12 04:12:19 UTC</t>
  </si>
  <si>
    <t>2022-04-12 04:10:58 UTC</t>
  </si>
  <si>
    <t>2022-04-12 04:09:27 UTC</t>
  </si>
  <si>
    <t>2022-04-12 04:09:17 UTC</t>
  </si>
  <si>
    <t>2022-04-12 04:08:26 UTC</t>
  </si>
  <si>
    <t>2022-04-12 04:08:24 UTC</t>
  </si>
  <si>
    <t>2022-04-12 04:08:22 UTC</t>
  </si>
  <si>
    <t>2022-04-12 04:07:32 UTC</t>
  </si>
  <si>
    <t>2022-04-12 04:06:28 UTC</t>
  </si>
  <si>
    <t>2022-04-12 04:06:12 UTC</t>
  </si>
  <si>
    <t>2022-04-12 04:06:06 UTC</t>
  </si>
  <si>
    <t>2022-04-12 04:03:10 UTC</t>
  </si>
  <si>
    <t>2022-04-12 03:59:45 UTC</t>
  </si>
  <si>
    <t>2022-04-12 03:59:42 UTC</t>
  </si>
  <si>
    <t>2022-04-12 03:58:39 UTC</t>
  </si>
  <si>
    <t>06bd6ebc6c39eae3d078b9be68ea47fb</t>
  </si>
  <si>
    <t>2022-04-12 03:57:42 UTC</t>
  </si>
  <si>
    <t>60b28cc9a90045b62a5a09e3bd2eb6ba</t>
  </si>
  <si>
    <t>2022-04-12 03:55:45 UTC</t>
  </si>
  <si>
    <t>2022-04-12 03:55:42 UTC</t>
  </si>
  <si>
    <t>56d5764ebc04525ae4dc6a4350d5213f</t>
  </si>
  <si>
    <t>2022-04-12 03:55:11 UTC</t>
  </si>
  <si>
    <t>d1de92c3b7fb309ec92b4e7d83eebe13</t>
  </si>
  <si>
    <t>2022-04-12 03:54:30 UTC</t>
  </si>
  <si>
    <t>4a4dbd78dba85479929a84ffa0c37efb</t>
  </si>
  <si>
    <t>2022-04-12 03:54:27 UTC</t>
  </si>
  <si>
    <t>2022-04-12 03:54:06 UTC</t>
  </si>
  <si>
    <t>2022-04-12 03:53:58 UTC</t>
  </si>
  <si>
    <t>2022-04-12 03:53:55 UTC</t>
  </si>
  <si>
    <t>2022-04-12 03:52:29 UTC</t>
  </si>
  <si>
    <t>2022-04-12 03:52:19 UTC</t>
  </si>
  <si>
    <t>2022-04-12 03:51:30 UTC</t>
  </si>
  <si>
    <t>2022-04-12 03:50:34 UTC</t>
  </si>
  <si>
    <t>2022-04-12 03:50:05 UTC</t>
  </si>
  <si>
    <t>2022-04-12 03:49:54 UTC</t>
  </si>
  <si>
    <t>2022-04-12 03:49:25 UTC</t>
  </si>
  <si>
    <t>2022-04-12 03:49:17 UTC</t>
  </si>
  <si>
    <t>f25ac214a9fe1cfaf30ce4811279522c</t>
  </si>
  <si>
    <t>2022-04-12 03:48:55 UTC</t>
  </si>
  <si>
    <t>ac43069f64fc2b2136dd059097fe5e2e</t>
  </si>
  <si>
    <t>2022-04-12 03:48:28 UTC</t>
  </si>
  <si>
    <t>2022-04-12 03:48:19 UTC</t>
  </si>
  <si>
    <t>b36eb97aa4435a92dfb2555e73793012</t>
  </si>
  <si>
    <t>2022-04-12 03:48:17 UTC</t>
  </si>
  <si>
    <t>2022-04-12 03:48:15 UTC</t>
  </si>
  <si>
    <t>2022-04-12 03:48:11 UTC</t>
  </si>
  <si>
    <t>2022-04-12 03:48:10 UTC</t>
  </si>
  <si>
    <t>2022-04-12 03:48:09 UTC</t>
  </si>
  <si>
    <t>2022-04-12 03:48:05 UTC</t>
  </si>
  <si>
    <t>2022-04-12 03:47:47 UTC</t>
  </si>
  <si>
    <t>2022-04-12 03:47:45 UTC</t>
  </si>
  <si>
    <t>2022-04-12 03:47:28 UTC</t>
  </si>
  <si>
    <t>2022-04-12 03:47:26 UTC</t>
  </si>
  <si>
    <t>2022-04-12 03:47:24 UTC</t>
  </si>
  <si>
    <t>2022-04-12 03:47:23 UTC</t>
  </si>
  <si>
    <t>2022-04-12 03:47:21 UTC</t>
  </si>
  <si>
    <t>2022-04-12 03:47:14 UTC</t>
  </si>
  <si>
    <t>2022-04-12 03:47:12 UTC</t>
  </si>
  <si>
    <t>2022-04-12 03:47:10 UTC</t>
  </si>
  <si>
    <t>2022-04-12 03:47:09 UTC</t>
  </si>
  <si>
    <t>2022-04-12 03:47:06 UTC</t>
  </si>
  <si>
    <t>2022-04-12 03:47:04 UTC</t>
  </si>
  <si>
    <t>2022-04-12 03:47:03 UTC</t>
  </si>
  <si>
    <t>2022-04-12 03:47:00 UTC</t>
  </si>
  <si>
    <t>2022-04-12 03:46:55 UTC</t>
  </si>
  <si>
    <t>2022-04-12 03:42:35 UTC</t>
  </si>
  <si>
    <t>fd2a56b78bfb48211929e8cedf39ed75</t>
  </si>
  <si>
    <t>2022-04-12 03:42:29 UTC</t>
  </si>
  <si>
    <t>2022-04-12 03:42:28 UTC</t>
  </si>
  <si>
    <t>2022-04-12 03:42:16 UTC</t>
  </si>
  <si>
    <t>2022-04-12 03:42:01 UTC</t>
  </si>
  <si>
    <t>2022-04-12 03:41:57 UTC</t>
  </si>
  <si>
    <t>2022-04-12 03:41:54 UTC</t>
  </si>
  <si>
    <t>2022-04-12 03:41:50 UTC</t>
  </si>
  <si>
    <t>2022-04-12 03:41:33 UTC</t>
  </si>
  <si>
    <t>64ef81e5937dc8b2e42f0e950edc5d88</t>
  </si>
  <si>
    <t>2022-04-12 03:40:45 UTC</t>
  </si>
  <si>
    <t>2022-04-12 03:39:39 UTC</t>
  </si>
  <si>
    <t>3ae556a0dda720509323c9c15c2302fa</t>
  </si>
  <si>
    <t>2022-04-12 03:39:03 UTC</t>
  </si>
  <si>
    <t>2022-04-12 03:39:00 UTC</t>
  </si>
  <si>
    <t>2022-04-12 03:38:54 UTC</t>
  </si>
  <si>
    <t>2022-04-12 03:38:53 UTC</t>
  </si>
  <si>
    <t>2022-04-12 03:38:48 UTC</t>
  </si>
  <si>
    <t>2022-04-12 03:38:17 UTC</t>
  </si>
  <si>
    <t>2022-04-12 03:37:54 UTC</t>
  </si>
  <si>
    <t>3b1a3da1f71aef0a96145b38c7f6318a</t>
  </si>
  <si>
    <t>2022-04-12 03:37:17 UTC</t>
  </si>
  <si>
    <t>5576a3638b7b941b32debfff8c034e3c</t>
  </si>
  <si>
    <t>2022-04-12 03:37:01 UTC</t>
  </si>
  <si>
    <t>2022-04-12 03:35:45 UTC</t>
  </si>
  <si>
    <t>2022-04-12 03:35:42 UTC</t>
  </si>
  <si>
    <t>2022-04-12 03:35:30 UTC</t>
  </si>
  <si>
    <t>2022-04-12 03:35:19 UTC</t>
  </si>
  <si>
    <t>2022-04-12 03:35:18 UTC</t>
  </si>
  <si>
    <t>2022-04-12 03:35:17 UTC</t>
  </si>
  <si>
    <t>2022-04-12 03:35:16 UTC</t>
  </si>
  <si>
    <t>2022-04-12 03:35:15 UTC</t>
  </si>
  <si>
    <t>2022-04-12 03:35:14 UTC</t>
  </si>
  <si>
    <t>2022-04-12 03:35:13 UTC</t>
  </si>
  <si>
    <t>2022-04-12 03:35:12 UTC</t>
  </si>
  <si>
    <t>2022-04-12 03:35:11 UTC</t>
  </si>
  <si>
    <t>2022-04-12 03:35:10 UTC</t>
  </si>
  <si>
    <t>2022-04-12 03:35:09 UTC</t>
  </si>
  <si>
    <t>2022-04-12 03:35:08 UTC</t>
  </si>
  <si>
    <t>2022-04-12 03:35:07 UTC</t>
  </si>
  <si>
    <t>2022-04-12 03:35:06 UTC</t>
  </si>
  <si>
    <t>2022-04-12 03:35:05 UTC</t>
  </si>
  <si>
    <t>2022-04-12 03:35:04 UTC</t>
  </si>
  <si>
    <t>2022-04-12 03:35:03 UTC</t>
  </si>
  <si>
    <t>2022-04-12 03:35:02 UTC</t>
  </si>
  <si>
    <t>2022-04-12 03:35:01 UTC</t>
  </si>
  <si>
    <t>2022-04-12 03:35:00 UTC</t>
  </si>
  <si>
    <t>2022-04-12 03:34:59 UTC</t>
  </si>
  <si>
    <t>2022-04-12 03:34:58 UTC</t>
  </si>
  <si>
    <t>2022-04-12 03:34:57 UTC</t>
  </si>
  <si>
    <t>2022-04-12 03:34:56 UTC</t>
  </si>
  <si>
    <t>2022-04-12 03:34:55 UTC</t>
  </si>
  <si>
    <t>2022-04-12 03:34:54 UTC</t>
  </si>
  <si>
    <t>2022-04-12 03:34:53 UTC</t>
  </si>
  <si>
    <t>2022-04-12 03:34:52 UTC</t>
  </si>
  <si>
    <t>2022-04-12 03:34:51 UTC</t>
  </si>
  <si>
    <t>2022-04-12 03:34:50 UTC</t>
  </si>
  <si>
    <t>2022-04-12 03:34:49 UTC</t>
  </si>
  <si>
    <t>2022-04-12 03:34:48 UTC</t>
  </si>
  <si>
    <t>2022-04-12 03:34:47 UTC</t>
  </si>
  <si>
    <t>2022-04-12 03:34:46 UTC</t>
  </si>
  <si>
    <t>2022-04-12 03:34:45 UTC</t>
  </si>
  <si>
    <t>2022-04-12 03:34:44 UTC</t>
  </si>
  <si>
    <t>2022-04-12 03:34:43 UTC</t>
  </si>
  <si>
    <t>2022-04-12 03:34:42 UTC</t>
  </si>
  <si>
    <t>2022-04-12 03:34:41 UTC</t>
  </si>
  <si>
    <t>2022-04-12 03:34:40 UTC</t>
  </si>
  <si>
    <t>2022-04-12 03:34:39 UTC</t>
  </si>
  <si>
    <t>2022-04-12 03:34:38 UTC</t>
  </si>
  <si>
    <t>2022-04-12 03:34:37 UTC</t>
  </si>
  <si>
    <t>2022-04-12 03:34:36 UTC</t>
  </si>
  <si>
    <t>2022-04-12 03:34:35 UTC</t>
  </si>
  <si>
    <t>2022-04-12 03:34:34 UTC</t>
  </si>
  <si>
    <t>2022-04-12 03:34:33 UTC</t>
  </si>
  <si>
    <t>2022-04-12 03:34:32 UTC</t>
  </si>
  <si>
    <t>2022-04-12 03:34:31 UTC</t>
  </si>
  <si>
    <t>2022-04-12 03:34:30 UTC</t>
  </si>
  <si>
    <t>2022-04-12 03:34:29 UTC</t>
  </si>
  <si>
    <t>2022-04-12 03:34:28 UTC</t>
  </si>
  <si>
    <t>2022-04-12 03:34:27 UTC</t>
  </si>
  <si>
    <t>2022-04-12 03:34:26 UTC</t>
  </si>
  <si>
    <t>2022-04-12 03:34:25 UTC</t>
  </si>
  <si>
    <t>2022-04-12 03:34:24 UTC</t>
  </si>
  <si>
    <t>2022-04-12 03:34:23 UTC</t>
  </si>
  <si>
    <t>2022-04-12 03:34:22 UTC</t>
  </si>
  <si>
    <t>2022-04-12 03:34:21 UTC</t>
  </si>
  <si>
    <t>2022-04-12 03:34:20 UTC</t>
  </si>
  <si>
    <t>2022-04-12 03:34:19 UTC</t>
  </si>
  <si>
    <t>2022-04-12 03:34:18 UTC</t>
  </si>
  <si>
    <t>2022-04-12 03:34:17 UTC</t>
  </si>
  <si>
    <t>2022-04-12 03:34:16 UTC</t>
  </si>
  <si>
    <t>2022-04-12 03:34:15 UTC</t>
  </si>
  <si>
    <t>2022-04-12 03:34:14 UTC</t>
  </si>
  <si>
    <t>2022-04-12 03:34:13 UTC</t>
  </si>
  <si>
    <t>2022-04-12 03:34:12 UTC</t>
  </si>
  <si>
    <t>f41c65e8925a8c3396b72b6086754130</t>
  </si>
  <si>
    <t>2022-04-12 03:34:11 UTC</t>
  </si>
  <si>
    <t>2022-04-12 03:34:10 UTC</t>
  </si>
  <si>
    <t>2022-04-12 03:34:09 UTC</t>
  </si>
  <si>
    <t>2022-04-12 03:34:08 UTC</t>
  </si>
  <si>
    <t>2022-04-12 03:34:07 UTC</t>
  </si>
  <si>
    <t>2022-04-12 03:34:06 UTC</t>
  </si>
  <si>
    <t>2022-04-12 03:34:05 UTC</t>
  </si>
  <si>
    <t>2022-04-12 03:34:04 UTC</t>
  </si>
  <si>
    <t>2022-04-12 03:34:03 UTC</t>
  </si>
  <si>
    <t>2022-04-12 03:34:02 UTC</t>
  </si>
  <si>
    <t>2022-04-12 03:34:01 UTC</t>
  </si>
  <si>
    <t>2022-04-12 03:34:00 UTC</t>
  </si>
  <si>
    <t>2022-04-12 03:33:59 UTC</t>
  </si>
  <si>
    <t>2022-04-12 03:33:58 UTC</t>
  </si>
  <si>
    <t>2022-04-12 03:33:57 UTC</t>
  </si>
  <si>
    <t>2022-04-12 03:33:56 UTC</t>
  </si>
  <si>
    <t>2022-04-12 03:33:55 UTC</t>
  </si>
  <si>
    <t>2022-04-12 03:33:54 UTC</t>
  </si>
  <si>
    <t>2022-04-12 03:33:53 UTC</t>
  </si>
  <si>
    <t>2022-04-12 03:33:52 UTC</t>
  </si>
  <si>
    <t>2022-04-12 03:33:51 UTC</t>
  </si>
  <si>
    <t>2022-04-12 03:33:50 UTC</t>
  </si>
  <si>
    <t>2022-04-12 03:33:49 UTC</t>
  </si>
  <si>
    <t>2022-04-12 03:33:48 UTC</t>
  </si>
  <si>
    <t>2022-04-12 03:33:47 UTC</t>
  </si>
  <si>
    <t>2022-04-12 03:33:46 UTC</t>
  </si>
  <si>
    <t>2022-04-12 03:33:45 UTC</t>
  </si>
  <si>
    <t>2022-04-12 03:33:44 UTC</t>
  </si>
  <si>
    <t>2022-04-12 03:33:43 UTC</t>
  </si>
  <si>
    <t>2022-04-12 03:33:42 UTC</t>
  </si>
  <si>
    <t>2022-04-12 03:33:41 UTC</t>
  </si>
  <si>
    <t>2022-04-12 03:33:40 UTC</t>
  </si>
  <si>
    <t>2022-04-12 03:33:39 UTC</t>
  </si>
  <si>
    <t>2022-04-12 03:33:38 UTC</t>
  </si>
  <si>
    <t>2022-04-12 03:33:37 UTC</t>
  </si>
  <si>
    <t>2022-04-12 03:33:36 UTC</t>
  </si>
  <si>
    <t>2022-04-12 03:33:35 UTC</t>
  </si>
  <si>
    <t>2022-04-12 03:33:34 UTC</t>
  </si>
  <si>
    <t>2022-04-12 03:33:33 UTC</t>
  </si>
  <si>
    <t>2022-04-12 03:33:32 UTC</t>
  </si>
  <si>
    <t>2022-04-12 03:33:31 UTC</t>
  </si>
  <si>
    <t>2022-04-12 03:33:30 UTC</t>
  </si>
  <si>
    <t>2022-04-12 03:33:29 UTC</t>
  </si>
  <si>
    <t>2022-04-12 03:33:28 UTC</t>
  </si>
  <si>
    <t>2022-04-12 03:33:27 UTC</t>
  </si>
  <si>
    <t>2022-04-12 03:33:26 UTC</t>
  </si>
  <si>
    <t>2022-04-12 03:33:25 UTC</t>
  </si>
  <si>
    <t>2022-04-12 03:33:24 UTC</t>
  </si>
  <si>
    <t>2022-04-12 03:33:23 UTC</t>
  </si>
  <si>
    <t>2022-04-12 03:33:22 UTC</t>
  </si>
  <si>
    <t>2022-04-12 03:33:21 UTC</t>
  </si>
  <si>
    <t>2022-04-12 03:33:20 UTC</t>
  </si>
  <si>
    <t>2022-04-12 03:33:15 UTC</t>
  </si>
  <si>
    <t>2022-04-12 03:33:14 UTC</t>
  </si>
  <si>
    <t>2022-04-12 03:33:13 UTC</t>
  </si>
  <si>
    <t>2022-04-12 03:33:12 UTC</t>
  </si>
  <si>
    <t>2022-04-12 03:33:11 UTC</t>
  </si>
  <si>
    <t>2022-04-12 03:33:10 UTC</t>
  </si>
  <si>
    <t>2022-04-12 03:33:09 UTC</t>
  </si>
  <si>
    <t>2022-04-12 03:33:08 UTC</t>
  </si>
  <si>
    <t>2022-04-12 03:33:07 UTC</t>
  </si>
  <si>
    <t>2022-04-12 03:33:06 UTC</t>
  </si>
  <si>
    <t>2022-04-12 03:33:05 UTC</t>
  </si>
  <si>
    <t>2022-04-12 03:33:04 UTC</t>
  </si>
  <si>
    <t>2022-04-12 03:33:03 UTC</t>
  </si>
  <si>
    <t>2022-04-12 03:33:02 UTC</t>
  </si>
  <si>
    <t>2022-04-12 03:33:01 UTC</t>
  </si>
  <si>
    <t>2022-04-12 03:33:00 UTC</t>
  </si>
  <si>
    <t>2022-04-12 03:32:59 UTC</t>
  </si>
  <si>
    <t>2022-04-12 03:32:58 UTC</t>
  </si>
  <si>
    <t>2022-04-12 03:32:57 UTC</t>
  </si>
  <si>
    <t>2022-04-12 03:32:56 UTC</t>
  </si>
  <si>
    <t>2022-04-12 03:32:55 UTC</t>
  </si>
  <si>
    <t>2022-04-12 03:32:54 UTC</t>
  </si>
  <si>
    <t>78df32fa3ec68129f96b7917a5f6bd93</t>
  </si>
  <si>
    <t>2022-04-12 03:32:53 UTC</t>
  </si>
  <si>
    <t>2022-04-12 03:32:52 UTC</t>
  </si>
  <si>
    <t>2022-04-12 03:32:51 UTC</t>
  </si>
  <si>
    <t>2022-04-12 03:32:50 UTC</t>
  </si>
  <si>
    <t>2022-04-12 03:32:49 UTC</t>
  </si>
  <si>
    <t>2022-04-12 03:32:48 UTC</t>
  </si>
  <si>
    <t>2022-04-12 03:32:47 UTC</t>
  </si>
  <si>
    <t>2022-04-12 03:32:46 UTC</t>
  </si>
  <si>
    <t>2022-04-12 03:32:45 UTC</t>
  </si>
  <si>
    <t>2022-04-12 03:32:44 UTC</t>
  </si>
  <si>
    <t>2022-04-12 03:32:43 UTC</t>
  </si>
  <si>
    <t>2022-04-12 03:32:42 UTC</t>
  </si>
  <si>
    <t>2022-04-12 03:32:41 UTC</t>
  </si>
  <si>
    <t>2022-04-12 03:32:40 UTC</t>
  </si>
  <si>
    <t>2022-04-12 03:32:39 UTC</t>
  </si>
  <si>
    <t>2022-04-12 03:32:38 UTC</t>
  </si>
  <si>
    <t>2022-04-12 03:32:37 UTC</t>
  </si>
  <si>
    <t>2022-04-12 03:32:36 UTC</t>
  </si>
  <si>
    <t>2022-04-12 03:32:35 UTC</t>
  </si>
  <si>
    <t>2022-04-12 03:32:34 UTC</t>
  </si>
  <si>
    <t>2022-04-12 03:32:33 UTC</t>
  </si>
  <si>
    <t>2022-04-12 03:32:32 UTC</t>
  </si>
  <si>
    <t>2022-04-12 03:32:31 UTC</t>
  </si>
  <si>
    <t>2022-04-12 03:32:30 UTC</t>
  </si>
  <si>
    <t>2022-04-12 03:32:29 UTC</t>
  </si>
  <si>
    <t>2022-04-12 03:32:28 UTC</t>
  </si>
  <si>
    <t>2022-04-12 03:32:27 UTC</t>
  </si>
  <si>
    <t>2022-04-12 03:32:26 UTC</t>
  </si>
  <si>
    <t>2022-04-12 03:32:25 UTC</t>
  </si>
  <si>
    <t>2022-04-12 03:32:24 UTC</t>
  </si>
  <si>
    <t>2022-04-12 03:32:23 UTC</t>
  </si>
  <si>
    <t>2022-04-12 03:32:22 UTC</t>
  </si>
  <si>
    <t>2022-04-12 03:32:21 UTC</t>
  </si>
  <si>
    <t>2022-04-12 03:32:20 UTC</t>
  </si>
  <si>
    <t>2022-04-12 03:32:19 UTC</t>
  </si>
  <si>
    <t>2022-04-12 03:32:18 UTC</t>
  </si>
  <si>
    <t>2022-04-12 03:32:17 UTC</t>
  </si>
  <si>
    <t>2022-04-12 03:32:16 UTC</t>
  </si>
  <si>
    <t>2022-04-12 03:32:11 UTC</t>
  </si>
  <si>
    <t>2022-04-12 03:32:10 UTC</t>
  </si>
  <si>
    <t>2022-04-12 03:32:09 UTC</t>
  </si>
  <si>
    <t>2022-04-12 03:32:08 UTC</t>
  </si>
  <si>
    <t>2022-04-12 03:32:07 UTC</t>
  </si>
  <si>
    <t>2022-04-12 03:32:06 UTC</t>
  </si>
  <si>
    <t>2022-04-12 03:32:05 UTC</t>
  </si>
  <si>
    <t>2022-04-12 03:32:04 UTC</t>
  </si>
  <si>
    <t>2022-04-12 03:32:03 UTC</t>
  </si>
  <si>
    <t>2022-04-12 03:32:02 UTC</t>
  </si>
  <si>
    <t>2022-04-12 03:32:01 UTC</t>
  </si>
  <si>
    <t>2022-04-12 03:32:00 UTC</t>
  </si>
  <si>
    <t>2022-04-12 03:31:59 UTC</t>
  </si>
  <si>
    <t>2022-04-12 03:31:58 UTC</t>
  </si>
  <si>
    <t>2022-04-12 03:31:57 UTC</t>
  </si>
  <si>
    <t>2022-04-12 03:31:56 UTC</t>
  </si>
  <si>
    <t>2022-04-12 03:31:55 UTC</t>
  </si>
  <si>
    <t>2022-04-12 03:31:54 UTC</t>
  </si>
  <si>
    <t>2022-04-12 03:31:53 UTC</t>
  </si>
  <si>
    <t>2022-04-12 03:31:52 UTC</t>
  </si>
  <si>
    <t>2022-04-12 03:31:51 UTC</t>
  </si>
  <si>
    <t>2022-04-12 03:31:50 UTC</t>
  </si>
  <si>
    <t>2022-04-12 03:31:49 UTC</t>
  </si>
  <si>
    <t>2022-04-12 03:31:48 UTC</t>
  </si>
  <si>
    <t>2022-04-12 03:31:47 UTC</t>
  </si>
  <si>
    <t>2022-04-12 03:31:46 UTC</t>
  </si>
  <si>
    <t>2022-04-12 03:31:45 UTC</t>
  </si>
  <si>
    <t>2022-04-12 03:31:44 UTC</t>
  </si>
  <si>
    <t>2022-04-12 03:31:43 UTC</t>
  </si>
  <si>
    <t>2022-04-12 03:31:42 UTC</t>
  </si>
  <si>
    <t>2022-04-12 03:31:41 UTC</t>
  </si>
  <si>
    <t>2022-04-12 03:31:36 UTC</t>
  </si>
  <si>
    <t>2022-04-12 03:31:35 UTC</t>
  </si>
  <si>
    <t>2022-04-12 03:31:34 UTC</t>
  </si>
  <si>
    <t>2022-04-12 03:31:33 UTC</t>
  </si>
  <si>
    <t>2022-04-12 03:31:32 UTC</t>
  </si>
  <si>
    <t>2022-04-12 03:31:31 UTC</t>
  </si>
  <si>
    <t>2022-04-12 03:31:30 UTC</t>
  </si>
  <si>
    <t>2022-04-12 03:31:29 UTC</t>
  </si>
  <si>
    <t>2022-04-12 03:31:28 UTC</t>
  </si>
  <si>
    <t>2022-04-12 03:31:27 UTC</t>
  </si>
  <si>
    <t>2022-04-12 03:31:26 UTC</t>
  </si>
  <si>
    <t>2022-04-12 03:31:25 UTC</t>
  </si>
  <si>
    <t>2022-04-12 03:31:24 UTC</t>
  </si>
  <si>
    <t>2022-04-12 03:31:23 UTC</t>
  </si>
  <si>
    <t>2022-04-12 03:31:22 UTC</t>
  </si>
  <si>
    <t>2022-04-12 03:31:21 UTC</t>
  </si>
  <si>
    <t>2022-04-12 03:31:20 UTC</t>
  </si>
  <si>
    <t>2022-04-12 03:31:19 UTC</t>
  </si>
  <si>
    <t>2022-04-12 03:31:18 UTC</t>
  </si>
  <si>
    <t>2022-04-12 03:31:17 UTC</t>
  </si>
  <si>
    <t>2022-04-12 03:31:16 UTC</t>
  </si>
  <si>
    <t>2022-04-12 03:31:15 UTC</t>
  </si>
  <si>
    <t>2022-04-12 03:31:02 UTC</t>
  </si>
  <si>
    <t>2022-04-12 03:29:42 UTC</t>
  </si>
  <si>
    <t>2022-04-12 03:28:41 UTC</t>
  </si>
  <si>
    <t>2022-04-12 03:26:39 UTC</t>
  </si>
  <si>
    <t>2022-04-12 03:26:38 UTC</t>
  </si>
  <si>
    <t>2022-04-12 03:25:48 UTC</t>
  </si>
  <si>
    <t>2022-04-12 03:25:42 UTC</t>
  </si>
  <si>
    <t>2022-04-12 03:25:37 UTC</t>
  </si>
  <si>
    <t>2022-04-12 03:25:05 UTC</t>
  </si>
  <si>
    <t>2022-04-12 03:25:03 UTC</t>
  </si>
  <si>
    <t>2022-04-12 03:23:12 UTC</t>
  </si>
  <si>
    <t>2022-04-12 03:23:11 UTC</t>
  </si>
  <si>
    <t>2022-04-12 03:23:10 UTC</t>
  </si>
  <si>
    <t>2022-04-12 03:23:08 UTC</t>
  </si>
  <si>
    <t>2022-04-12 03:23:07 UTC</t>
  </si>
  <si>
    <t>2022-04-12 03:23:06 UTC</t>
  </si>
  <si>
    <t>2022-04-12 03:23:05 UTC</t>
  </si>
  <si>
    <t>2022-04-12 03:23:03 UTC</t>
  </si>
  <si>
    <t>2022-04-12 03:23:01 UTC</t>
  </si>
  <si>
    <t>2022-04-12 03:23:00 UTC</t>
  </si>
  <si>
    <t>2022-04-12 03:22:13 UTC</t>
  </si>
  <si>
    <t>2022-04-12 03:21:18 UTC</t>
  </si>
  <si>
    <t>215625d18101935e74708845377ef394</t>
  </si>
  <si>
    <t>2022-04-12 03:21:03 UTC</t>
  </si>
  <si>
    <t>2022-04-12 03:18:42 UTC</t>
  </si>
  <si>
    <t>2aaf15aaf43199388554c0b016be459c</t>
  </si>
  <si>
    <t>2022-04-12 03:17:47 UTC</t>
  </si>
  <si>
    <t>2022-04-12 03:16:37 UTC</t>
  </si>
  <si>
    <t>786e40388417f0e3df59e75fb625cc8c</t>
  </si>
  <si>
    <t>2022-04-12 03:16:27 UTC</t>
  </si>
  <si>
    <t>64ff9bd314ae8cb1fed1ba1bc1552883</t>
  </si>
  <si>
    <t>2022-04-12 03:15:20 UTC</t>
  </si>
  <si>
    <t>2022-04-12 03:15:15 UTC</t>
  </si>
  <si>
    <t>2022-04-12 03:15:07 UTC</t>
  </si>
  <si>
    <t>2022-04-12 03:14:54 UTC</t>
  </si>
  <si>
    <t>a4f31e79c449132bbc197930a21cc1aa</t>
  </si>
  <si>
    <t>2022-04-12 03:14:26 UTC</t>
  </si>
  <si>
    <t>2022-04-12 03:14:16 UTC</t>
  </si>
  <si>
    <t>86b5f249f5dcdcd96c7db7b5539ed252</t>
  </si>
  <si>
    <t>2022-04-12 03:13:39 UTC</t>
  </si>
  <si>
    <t>2022-04-12 03:13:37 UTC</t>
  </si>
  <si>
    <t>2022-04-12 03:12:20 UTC</t>
  </si>
  <si>
    <t>17084141e05608128d32fdaf489e419e</t>
  </si>
  <si>
    <t>2022-04-12 03:11:38 UTC</t>
  </si>
  <si>
    <t>2022-04-12 03:11:25 UTC</t>
  </si>
  <si>
    <t>1695e8b60964da31864b8d53c1aef1dd</t>
  </si>
  <si>
    <t>2022-04-12 03:10:33 UTC</t>
  </si>
  <si>
    <t>2022-04-12 03:09:59 UTC</t>
  </si>
  <si>
    <t>2022-04-12 03:09:56 UTC</t>
  </si>
  <si>
    <t>2022-04-12 03:08:55 UTC</t>
  </si>
  <si>
    <t>52835383fd751514bec168f306a2d132</t>
  </si>
  <si>
    <t>2022-04-12 03:08:11 UTC</t>
  </si>
  <si>
    <t>2022-04-12 03:06:34 UTC</t>
  </si>
  <si>
    <t>2022-04-12 03:06:26 UTC</t>
  </si>
  <si>
    <t>2022-04-12 03:06:16 UTC</t>
  </si>
  <si>
    <t>2022-04-12 03:06:07 UTC</t>
  </si>
  <si>
    <t>2022-04-12 03:06:03 UTC</t>
  </si>
  <si>
    <t>2022-04-12 03:05:59 UTC</t>
  </si>
  <si>
    <t>2022-04-12 03:05:56 UTC</t>
  </si>
  <si>
    <t>2cfc5c1f37f647b2f37d8b2a7a6c7709</t>
  </si>
  <si>
    <t>2022-04-12 03:05:50 UTC</t>
  </si>
  <si>
    <t>2022-04-12 03:05:45 UTC</t>
  </si>
  <si>
    <t>2022-04-12 03:05:41 UTC</t>
  </si>
  <si>
    <t>2022-04-12 03:04:35 UTC</t>
  </si>
  <si>
    <t>2022-04-12 03:04:34 UTC</t>
  </si>
  <si>
    <t>2022-04-12 03:04:32 UTC</t>
  </si>
  <si>
    <t>2022-04-12 03:04:30 UTC</t>
  </si>
  <si>
    <t>2022-04-12 03:04:29 UTC</t>
  </si>
  <si>
    <t>2022-04-12 03:04:27 UTC</t>
  </si>
  <si>
    <t>2022-04-12 03:04:25 UTC</t>
  </si>
  <si>
    <t>2022-04-12 03:04:21 UTC</t>
  </si>
  <si>
    <t>2022-04-12 03:04:06 UTC</t>
  </si>
  <si>
    <t>2022-04-12 03:04:04 UTC</t>
  </si>
  <si>
    <t>2022-04-12 03:03:59 UTC</t>
  </si>
  <si>
    <t>2022-04-12 03:02:46 UTC</t>
  </si>
  <si>
    <t>2022-04-12 03:02:25 UTC</t>
  </si>
  <si>
    <t>872c71404db824a8e7cacd56c4178cab</t>
  </si>
  <si>
    <t>2022-04-12 03:02:08 UTC</t>
  </si>
  <si>
    <t>2022-04-12 03:02:05 UTC</t>
  </si>
  <si>
    <t>2022-04-12 03:01:54 UTC</t>
  </si>
  <si>
    <t>2022-04-12 03:01:45 UTC</t>
  </si>
  <si>
    <t>2022-04-12 03:01:33 UTC</t>
  </si>
  <si>
    <t>2022-04-12 03:01:16 UTC</t>
  </si>
  <si>
    <t>2022-04-12 03:00:51 UTC</t>
  </si>
  <si>
    <t>2022-04-12 03:00:34 UTC</t>
  </si>
  <si>
    <t>2022-04-12 03:00:32 UTC</t>
  </si>
  <si>
    <t>2022-04-12 03:00:30 UTC</t>
  </si>
  <si>
    <t>2022-04-12 03:00:22 UTC</t>
  </si>
  <si>
    <t>cafb4d3c93dd8a3e3eed7b5d3c6345cc</t>
  </si>
  <si>
    <t>d84fad99295e654e7546cb686b4bccd7</t>
  </si>
  <si>
    <t>2022-04-12 03:00:11 UTC</t>
  </si>
  <si>
    <t>2022-04-12 02:59:57 UTC</t>
  </si>
  <si>
    <t>2022-04-12 02:59:19 UTC</t>
  </si>
  <si>
    <t>2022-04-12 02:59:12 UTC</t>
  </si>
  <si>
    <t>2022-04-12 02:58:57 UTC</t>
  </si>
  <si>
    <t>ec4fd437ffba9c96ba26c911f6e70f6a</t>
  </si>
  <si>
    <t>2022-04-12 02:58:19 UTC</t>
  </si>
  <si>
    <t>2022-04-12 02:58:11 UTC</t>
  </si>
  <si>
    <t>e193f740b1d8a310d685f27643dba1b3</t>
  </si>
  <si>
    <t>2022-04-12 02:53:15 UTC</t>
  </si>
  <si>
    <t>637d4e24a873b5298942f8bc80373e35</t>
  </si>
  <si>
    <t>2022-04-12 02:52:23 UTC</t>
  </si>
  <si>
    <t>2022-04-12 02:48:35 UTC</t>
  </si>
  <si>
    <t>2022-04-12 02:45:19 UTC</t>
  </si>
  <si>
    <t>f7273bd71c83863b43ce78b5c0048aff</t>
  </si>
  <si>
    <t>2022-04-12 02:39:16 UTC</t>
  </si>
  <si>
    <t>70167a92951db0dbaf21f1cc76a88efd</t>
  </si>
  <si>
    <t>2022-04-12 02:32:28 UTC</t>
  </si>
  <si>
    <t>2022-04-12 02:31:49 UTC</t>
  </si>
  <si>
    <t>fd5a7873b856148f0f5810f01a2ee2b6</t>
  </si>
  <si>
    <t>2022-04-12 02:30:54 UTC</t>
  </si>
  <si>
    <t>2022-04-12 02:30:30 UTC</t>
  </si>
  <si>
    <t>2022-04-12 02:30:25 UTC</t>
  </si>
  <si>
    <t>2022-04-12 02:30:04 UTC</t>
  </si>
  <si>
    <t>2022-04-12 02:28:49 UTC</t>
  </si>
  <si>
    <t>2022-04-12 02:27:19 UTC</t>
  </si>
  <si>
    <t>2022-04-12 02:24:26 UTC</t>
  </si>
  <si>
    <t>2022-04-12 02:23:45 UTC</t>
  </si>
  <si>
    <t>2022-04-12 02:22:28 UTC</t>
  </si>
  <si>
    <t>f82bf86507759940821fc4d7c6220a77</t>
  </si>
  <si>
    <t>2022-04-12 02:19:49 UTC</t>
  </si>
  <si>
    <t>2022-04-12 02:19:47 UTC</t>
  </si>
  <si>
    <t>04820419715d155fc510ca43a6d11c6e</t>
  </si>
  <si>
    <t>2022-04-12 02:18:26 UTC</t>
  </si>
  <si>
    <t>2022-04-12 02:17:54 UTC</t>
  </si>
  <si>
    <t>59715ce9f5729e4ca8e5abf8a7ec82f8</t>
  </si>
  <si>
    <t>2022-04-12 02:17:47 UTC</t>
  </si>
  <si>
    <t>2022-04-12 02:16:49 UTC</t>
  </si>
  <si>
    <t>2cb8daa4a94659a5e9a81725fe88399d</t>
  </si>
  <si>
    <t>2022-04-12 02:15:19 UTC</t>
  </si>
  <si>
    <t>f2e79034eba8324c2dbd70f6c4700ed1</t>
  </si>
  <si>
    <t>2022-04-12 02:13:12 UTC</t>
  </si>
  <si>
    <t>2022-04-12 02:11:57 UTC</t>
  </si>
  <si>
    <t>2022-04-12 02:08:58 UTC</t>
  </si>
  <si>
    <t>2022-04-12 02:08:26 UTC</t>
  </si>
  <si>
    <t>2022-04-12 02:08:24 UTC</t>
  </si>
  <si>
    <t>2022-04-12 02:05:13 UTC</t>
  </si>
  <si>
    <t>2022-04-12 02:05:11 UTC</t>
  </si>
  <si>
    <t>2022-04-12 02:05:04 UTC</t>
  </si>
  <si>
    <t>2022-04-12 02:05:01 UTC</t>
  </si>
  <si>
    <t>2022-04-12 02:02:03 UTC</t>
  </si>
  <si>
    <t>2022-04-12 01:59:17 UTC</t>
  </si>
  <si>
    <t>2022-04-12 01:56:02 UTC</t>
  </si>
  <si>
    <t>2022-04-12 01:56:00 UTC</t>
  </si>
  <si>
    <t>de8401bcb5a8db3cf5fcd291d48a671d</t>
  </si>
  <si>
    <t>2022-04-12 01:55:26 UTC</t>
  </si>
  <si>
    <t>d7acc735e404009075afc5523ad4ec38</t>
  </si>
  <si>
    <t>2022-04-12 01:54:34 UTC</t>
  </si>
  <si>
    <t>06f11aed2c0d1dcdd779f09942818ef4</t>
  </si>
  <si>
    <t>2022-04-12 01:54:32 UTC</t>
  </si>
  <si>
    <t>2022-04-12 01:53:43 UTC</t>
  </si>
  <si>
    <t>320664ddca74234dba5fb6e8f0c531b8</t>
  </si>
  <si>
    <t>2022-04-12 01:52:47 UTC</t>
  </si>
  <si>
    <t>c2cc57c7eeda68b1777825da50cb3b36</t>
  </si>
  <si>
    <t>2022-04-12 01:52:22 UTC</t>
  </si>
  <si>
    <t>cb79c0a05d3622c4a4a3e271b90b142b</t>
  </si>
  <si>
    <t>2022-04-12 01:52:16 UTC</t>
  </si>
  <si>
    <t>5fc0cf9f5dedc9eeaf153941f5012a46</t>
  </si>
  <si>
    <t>2022-04-12 01:45:01 UTC</t>
  </si>
  <si>
    <t>2022-04-12 01:44:58 UTC</t>
  </si>
  <si>
    <t>2022-04-12 01:44:51 UTC</t>
  </si>
  <si>
    <t>2022-04-12 01:44:47 UTC</t>
  </si>
  <si>
    <t>f6edd7b0525ab754bb9c512e4f9e1366</t>
  </si>
  <si>
    <t>2022-04-12 01:44:35 UTC</t>
  </si>
  <si>
    <t>2022-04-12 01:44:33 UTC</t>
  </si>
  <si>
    <t>2022-04-12 01:44:31 UTC</t>
  </si>
  <si>
    <t>2022-04-12 01:44:29 UTC</t>
  </si>
  <si>
    <t>2022-04-12 01:44:25 UTC</t>
  </si>
  <si>
    <t>2022-04-12 01:44:13 UTC</t>
  </si>
  <si>
    <t>2022-04-12 01:42:52 UTC</t>
  </si>
  <si>
    <t>65caf76348fb4d9701860956eebe8162</t>
  </si>
  <si>
    <t>2022-04-12 01:42:17 UTC</t>
  </si>
  <si>
    <t>599e8f8d09d8b53f3d344750c8c4df75</t>
  </si>
  <si>
    <t>2022-04-12 01:42:15 UTC</t>
  </si>
  <si>
    <t>f5be57efda9ca3a6edcc74b89a529539</t>
  </si>
  <si>
    <t>2022-04-12 01:39:33 UTC</t>
  </si>
  <si>
    <t>b1c6d0a7803f17a6b7afe16a74fc5d05</t>
  </si>
  <si>
    <t>2022-04-12 01:39:14 UTC</t>
  </si>
  <si>
    <t>2022-04-12 01:39:00 UTC</t>
  </si>
  <si>
    <t>d7e19b8a0650f562cb29c6e18b144bf3</t>
  </si>
  <si>
    <t>2022-04-12 01:38:54 UTC</t>
  </si>
  <si>
    <t>2022-04-12 01:38:52 UTC</t>
  </si>
  <si>
    <t>2022-04-12 01:33:53 UTC</t>
  </si>
  <si>
    <t>2022-04-12 01:32:51 UTC</t>
  </si>
  <si>
    <t>2022-04-12 01:32:07 UTC</t>
  </si>
  <si>
    <t>e44a37ac26c41feb4ba67ff4452fdb90</t>
  </si>
  <si>
    <t>2022-04-12 01:32:03 UTC</t>
  </si>
  <si>
    <t>2022-04-12 01:31:28 UTC</t>
  </si>
  <si>
    <t>2022-04-12 01:31:27 UTC</t>
  </si>
  <si>
    <t>2022-04-12 01:31:24 UTC</t>
  </si>
  <si>
    <t>2022-04-12 01:31:21 UTC</t>
  </si>
  <si>
    <t>2022-04-12 01:31:20 UTC</t>
  </si>
  <si>
    <t>2022-04-12 01:28:39 UTC</t>
  </si>
  <si>
    <t>2022-04-12 01:28:37 UTC</t>
  </si>
  <si>
    <t>2022-04-12 01:28:34 UTC</t>
  </si>
  <si>
    <t>8a1908b96a2ec5c627c8901573fe83ee</t>
  </si>
  <si>
    <t>2022-04-12 01:28:31 UTC</t>
  </si>
  <si>
    <t>2022-04-12 01:28:29 UTC</t>
  </si>
  <si>
    <t>2022-04-12 01:26:35 UTC</t>
  </si>
  <si>
    <t>56a938ed66824f62f5b1f73b6de954c5</t>
  </si>
  <si>
    <t>2022-04-12 01:25:35 UTC</t>
  </si>
  <si>
    <t>8f50921470e23e2ed431802fc967d2c1</t>
  </si>
  <si>
    <t>2022-04-12 01:24:46 UTC</t>
  </si>
  <si>
    <t>d21bcb1450da3203d407c8d2e2c37eb4</t>
  </si>
  <si>
    <t>2022-04-12 01:23:55 UTC</t>
  </si>
  <si>
    <t>f4fa82a0ff44a8837c48d634d38ce9f2</t>
  </si>
  <si>
    <t>2022-04-12 01:23:53 UTC</t>
  </si>
  <si>
    <t>35f3afe9986b765356cfcf79c6e3ce82</t>
  </si>
  <si>
    <t>2022-04-12 01:21:51 UTC</t>
  </si>
  <si>
    <t>5ac91eed3cd38e58add0abb08c8f2d21</t>
  </si>
  <si>
    <t>2022-04-12 01:21:05 UTC</t>
  </si>
  <si>
    <t>2022-04-12 01:20:08 UTC</t>
  </si>
  <si>
    <t>2022-04-12 01:19:44 UTC</t>
  </si>
  <si>
    <t>2022-04-12 01:19:23 UTC</t>
  </si>
  <si>
    <t>2022-04-12 01:17:24 UTC</t>
  </si>
  <si>
    <t>2022-04-12 01:17:00 UTC</t>
  </si>
  <si>
    <t>2022-04-12 01:10:18 UTC</t>
  </si>
  <si>
    <t>2022-04-12 01:10:16 UTC</t>
  </si>
  <si>
    <t>055f8ef0770b68004b75bdc635353ab6</t>
  </si>
  <si>
    <t>2022-04-12 01:09:24 UTC</t>
  </si>
  <si>
    <t>948b94ed7c8114418a3f834c5142e519</t>
  </si>
  <si>
    <t>2022-04-12 01:08:21 UTC</t>
  </si>
  <si>
    <t>2022-04-12 01:07:13 UTC</t>
  </si>
  <si>
    <t>2022-04-12 01:07:10 UTC</t>
  </si>
  <si>
    <t>2022-04-12 01:07:08 UTC</t>
  </si>
  <si>
    <t>2022-04-12 01:07:05 UTC</t>
  </si>
  <si>
    <t>2022-04-12 01:05:45 UTC</t>
  </si>
  <si>
    <t>2022-04-12 01:05:27 UTC</t>
  </si>
  <si>
    <t>2022-04-12 01:04:12 UTC</t>
  </si>
  <si>
    <t>2022-04-12 01:04:05 UTC</t>
  </si>
  <si>
    <t>9293569896e11a77de62b766331bd51f</t>
  </si>
  <si>
    <t>2022-04-12 01:03:56 UTC</t>
  </si>
  <si>
    <t>2022-04-12 01:03:02 UTC</t>
  </si>
  <si>
    <t>2022-04-12 01:01:23 UTC</t>
  </si>
  <si>
    <t>2022-04-12 00:58:56 UTC</t>
  </si>
  <si>
    <t>2022-04-12 00:58:03 UTC</t>
  </si>
  <si>
    <t>2022-04-12 00:53:37 UTC</t>
  </si>
  <si>
    <t>59abf2e1616319f6acc5388d02fa6337</t>
  </si>
  <si>
    <t>2022-04-12 00:52:23 UTC</t>
  </si>
  <si>
    <t>70ece40afe4f6e66116b10d222bc7220</t>
  </si>
  <si>
    <t>2022-04-12 00:40:12 UTC</t>
  </si>
  <si>
    <t>f6f620d270e22b5a6cd787207e211dbd</t>
  </si>
  <si>
    <t>2022-04-12 00:38:55 UTC</t>
  </si>
  <si>
    <t>2c0410ce1b94fdf7237355095c0cc621</t>
  </si>
  <si>
    <t>2022-04-12 00:38:11 UTC</t>
  </si>
  <si>
    <t>2022-04-12 00:38:08 UTC</t>
  </si>
  <si>
    <t>d292ff833e0ccec687473cb3fe474ab9</t>
  </si>
  <si>
    <t>2022-04-12 00:35:53 UTC</t>
  </si>
  <si>
    <t>2022-04-12 00:33:03 UTC</t>
  </si>
  <si>
    <t>ca844af6b01699674d08add814937cbc</t>
  </si>
  <si>
    <t>2022-04-12 00:32:59 UTC</t>
  </si>
  <si>
    <t>2022-04-12 00:32:56 UTC</t>
  </si>
  <si>
    <t>2022-04-12 00:28:09 UTC</t>
  </si>
  <si>
    <t>2022-04-12 00:27:56 UTC</t>
  </si>
  <si>
    <t>2022-04-12 00:27:52 UTC</t>
  </si>
  <si>
    <t>2022-04-12 00:27:49 UTC</t>
  </si>
  <si>
    <t>2022-04-12 00:27:44 UTC</t>
  </si>
  <si>
    <t>2022-04-12 00:27:16 UTC</t>
  </si>
  <si>
    <t>2022-04-12 00:27:12 UTC</t>
  </si>
  <si>
    <t>2022-04-12 00:26:46 UTC</t>
  </si>
  <si>
    <t>2022-04-12 00:26:43 UTC</t>
  </si>
  <si>
    <t>2022-04-12 00:26:30 UTC</t>
  </si>
  <si>
    <t>2022-04-12 00:26:27 UTC</t>
  </si>
  <si>
    <t>af123a46f3c24b7da9134d0c493777a5</t>
  </si>
  <si>
    <t>2022-04-12 00:26:12 UTC</t>
  </si>
  <si>
    <t>2022-04-12 00:26:08 UTC</t>
  </si>
  <si>
    <t>2022-04-12 00:26:03 UTC</t>
  </si>
  <si>
    <t>eb0641f4df1b81cb6d08ae5c161c620f</t>
  </si>
  <si>
    <t>2022-04-12 00:26:00 UTC</t>
  </si>
  <si>
    <t>2022-04-12 00:25:55 UTC</t>
  </si>
  <si>
    <t>2022-04-12 00:25:48 UTC</t>
  </si>
  <si>
    <t>2022-04-12 00:25:14 UTC</t>
  </si>
  <si>
    <t>2022-04-12 00:23:12 UTC</t>
  </si>
  <si>
    <t>db0d481e2417b2fbde67af114d56df66</t>
  </si>
  <si>
    <t>2022-04-12 00:23:06 UTC</t>
  </si>
  <si>
    <t>2022-04-12 00:19:09 UTC</t>
  </si>
  <si>
    <t>2022-04-12 00:19:08 UTC</t>
  </si>
  <si>
    <t>c4f7a60ba10de7e0037e73067f320944</t>
  </si>
  <si>
    <t>2022-04-12 00:19:06 UTC</t>
  </si>
  <si>
    <t>2022-04-12 00:17:00 UTC</t>
  </si>
  <si>
    <t>2022-04-12 00:16:55 UTC</t>
  </si>
  <si>
    <t>2022-04-12 00:16:44 UTC</t>
  </si>
  <si>
    <t>2022-04-12 00:16:36 UTC</t>
  </si>
  <si>
    <t>2022-04-12 00:16:32 UTC</t>
  </si>
  <si>
    <t>2022-04-12 00:16:30 UTC</t>
  </si>
  <si>
    <t>2022-04-12 00:16:27 UTC</t>
  </si>
  <si>
    <t>2022-04-12 00:16:06 UTC</t>
  </si>
  <si>
    <t>2022-04-12 00:15:59 UTC</t>
  </si>
  <si>
    <t>2022-04-12 00:15:53 UTC</t>
  </si>
  <si>
    <t>2022-04-12 00:15:50 UTC</t>
  </si>
  <si>
    <t>2022-04-12 00:15:47 UTC</t>
  </si>
  <si>
    <t>2022-04-12 00:15:44 UTC</t>
  </si>
  <si>
    <t>de444256221168098379c2825dcadd8e</t>
  </si>
  <si>
    <t>2022-04-12 00:10:30 UTC</t>
  </si>
  <si>
    <t>d59c281508d95a8981d071c9870fd84f</t>
  </si>
  <si>
    <t>2022-04-12 00:09:22 UTC</t>
  </si>
  <si>
    <t>2022-04-12 00:01:49 UTC</t>
  </si>
  <si>
    <t>2022-04-12 00:01:48 UTC</t>
  </si>
  <si>
    <t>c4986bb33a5a21d5e4080840bd4a2a0f</t>
  </si>
  <si>
    <t>2022-04-12 00:01:46 UTC</t>
  </si>
  <si>
    <t>2022-04-12 00:01:44 UTC</t>
  </si>
  <si>
    <t>2022-04-12 00:01:40 UTC</t>
  </si>
  <si>
    <t>2022-04-12 00:01:37 UTC</t>
  </si>
  <si>
    <t>2022-04-12 00:01:16 UTC</t>
  </si>
  <si>
    <t>13572eb3a2530f2fcd4fb5a7a65a9890</t>
  </si>
  <si>
    <t>2022-04-12 00:00:55 UTC</t>
  </si>
  <si>
    <t>2022-04-12 00:00:54 UTC</t>
  </si>
  <si>
    <t>2022-04-12 00:00:52 UTC</t>
  </si>
  <si>
    <t>2022-04-11 23:53:26 UTC</t>
  </si>
  <si>
    <t>2022-04-11 23:50:10 UTC</t>
  </si>
  <si>
    <t>2022-04-11 23:50:08 UTC</t>
  </si>
  <si>
    <t>2022-04-11 23:47:55 UTC</t>
  </si>
  <si>
    <t>2022-04-11 23:47:52 UTC</t>
  </si>
  <si>
    <t>2022-04-11 23:43:52 UTC</t>
  </si>
  <si>
    <t>29b82e8d2441bef315ee888badedc5ca</t>
  </si>
  <si>
    <t>2022-04-11 23:35:52 UTC</t>
  </si>
  <si>
    <t>43e0fe3ae18fb5ebb737b9012af49211</t>
  </si>
  <si>
    <t>2022-04-11 23:35:49 UTC</t>
  </si>
  <si>
    <t>2022-04-11 23:35:23 UTC</t>
  </si>
  <si>
    <t>2022-04-11 23:35:22 UTC</t>
  </si>
  <si>
    <t>2022-04-11 23:35:18 UTC</t>
  </si>
  <si>
    <t>2022-04-11 23:35:14 UTC</t>
  </si>
  <si>
    <t>2022-04-11 23:34:34 UTC</t>
  </si>
  <si>
    <t>2022-04-11 23:31:06 UTC</t>
  </si>
  <si>
    <t>2022-04-11 23:31:03 UTC</t>
  </si>
  <si>
    <t>2022-04-11 23:26:59 UTC</t>
  </si>
  <si>
    <t>ab5692084b8f0af4bdd2dece32c8364c</t>
  </si>
  <si>
    <t>2022-04-11 23:26:39 UTC</t>
  </si>
  <si>
    <t>2022-04-11 23:24:23 UTC</t>
  </si>
  <si>
    <t>2022-04-11 23:24:10 UTC</t>
  </si>
  <si>
    <t>2022-04-11 23:18:31 UTC</t>
  </si>
  <si>
    <t>2022-04-11 23:18:27 UTC</t>
  </si>
  <si>
    <t>2022-04-11 23:17:40 UTC</t>
  </si>
  <si>
    <t>2022-04-11 23:15:47 UTC</t>
  </si>
  <si>
    <t>2022-04-11 23:15:30 UTC</t>
  </si>
  <si>
    <t>2022-04-11 23:07:37 UTC</t>
  </si>
  <si>
    <t>2022-04-11 23:03:39 UTC</t>
  </si>
  <si>
    <t>2aa8c9df1b3d0122fe5f408f9dd47bfe</t>
  </si>
  <si>
    <t>2022-04-11 22:45:45 UTC</t>
  </si>
  <si>
    <t>2022-04-11 22:26:37 UTC</t>
  </si>
  <si>
    <t>2022-04-11 22:00:06 UTC</t>
  </si>
  <si>
    <t>2022-04-11 21:58:11 UTC</t>
  </si>
  <si>
    <t>05f1816c012ae9b3d0c115e72aed1fdc</t>
  </si>
  <si>
    <t>2022-04-11 21:51:33 UTC</t>
  </si>
  <si>
    <t>7cdfd0bb095ec9704cf6c7960b74c45a</t>
  </si>
  <si>
    <t>2022-04-11 21:51:15 UTC</t>
  </si>
  <si>
    <t>2022-04-11 21:51:08 UTC</t>
  </si>
  <si>
    <t>2022-04-11 21:49:16 UTC</t>
  </si>
  <si>
    <t>9911237712bde29c346af68637460957</t>
  </si>
  <si>
    <t>2022-04-11 21:44:23 UTC</t>
  </si>
  <si>
    <t>2022-04-11 20:49:09 UTC</t>
  </si>
  <si>
    <t>b5b0192f0d7a70de204ad4d524ef593f</t>
  </si>
  <si>
    <t>2022-04-11 20:09:01 UTC</t>
  </si>
  <si>
    <t>2022-04-11 20:06:32 UTC</t>
  </si>
  <si>
    <t>495655bd94544af66ff9fa6500b1bd3f</t>
  </si>
  <si>
    <t>2022-04-11 20:03:46 UTC</t>
  </si>
  <si>
    <t>27a8437cdceeee9033348ee6e20dae2c</t>
  </si>
  <si>
    <t>2022-04-11 20:01:04 UTC</t>
  </si>
  <si>
    <t>2022-04-11 19:50:24 UTC</t>
  </si>
  <si>
    <t>2022-04-11 19:47:58 UTC</t>
  </si>
  <si>
    <t>2022-04-11 19:47:53 UTC</t>
  </si>
  <si>
    <t>2022-04-11 19:29:31 UTC</t>
  </si>
  <si>
    <t>2022-04-11 19:24:05 UTC</t>
  </si>
  <si>
    <t>2022-04-11 19:21:53 UTC</t>
  </si>
  <si>
    <t>3a524416d729f9e0d7ce7516b5da4877</t>
  </si>
  <si>
    <t>2022-04-11 19:21:51 UTC</t>
  </si>
  <si>
    <t>2022-04-11 19:21:48 UTC</t>
  </si>
  <si>
    <t>2022-04-11 19:21:37 UTC</t>
  </si>
  <si>
    <t>2022-04-11 19:19:27 UTC</t>
  </si>
  <si>
    <t>2022-04-11 19:19:20 UTC</t>
  </si>
  <si>
    <t>2022-04-11 19:07:12 UTC</t>
  </si>
  <si>
    <t>2022-04-11 19:07:09 UTC</t>
  </si>
  <si>
    <t>2022-04-11 19:03:42 UTC</t>
  </si>
  <si>
    <t>2022-04-11 19:02:41 UTC</t>
  </si>
  <si>
    <t>029a52ab51f1aa935e58cedf98217264</t>
  </si>
  <si>
    <t>2022-04-11 19:02:08 UTC</t>
  </si>
  <si>
    <t>2022-04-11 19:00:26 UTC</t>
  </si>
  <si>
    <t>2022-04-11 18:59:50 UTC</t>
  </si>
  <si>
    <t>19383f0251bb430c3d79b806f89e082f</t>
  </si>
  <si>
    <t>2022-04-11 18:59:48 UTC</t>
  </si>
  <si>
    <t>2022-04-11 18:59:45 UTC</t>
  </si>
  <si>
    <t>2022-04-11 18:59:42 UTC</t>
  </si>
  <si>
    <t>5c79921eec5fd6b07d8798037c595993</t>
  </si>
  <si>
    <t>2022-04-11 18:59:09 UTC</t>
  </si>
  <si>
    <t>11653b5518262358d36a090693ce1e13</t>
  </si>
  <si>
    <t>2022-04-11 18:58:29 UTC</t>
  </si>
  <si>
    <t>4da39fbb39011106ec27e5e6ac4b82ff</t>
  </si>
  <si>
    <t>2022-04-11 18:58:27 UTC</t>
  </si>
  <si>
    <t>2022-04-11 18:58:25 UTC</t>
  </si>
  <si>
    <t>2022-04-11 18:58:21 UTC</t>
  </si>
  <si>
    <t>2022-04-11 18:58:12 UTC</t>
  </si>
  <si>
    <t>2022-04-11 18:57:59 UTC</t>
  </si>
  <si>
    <t>2022-04-11 18:57:51 UTC</t>
  </si>
  <si>
    <t>2022-04-11 18:57:39 UTC</t>
  </si>
  <si>
    <t>2022-04-11 18:51:13 UTC</t>
  </si>
  <si>
    <t>2022-04-11 18:49:11 UTC</t>
  </si>
  <si>
    <t>8f4010646fb6d7814d401c5025a83030</t>
  </si>
  <si>
    <t>2022-04-11 18:49:09 UTC</t>
  </si>
  <si>
    <t>2022-04-11 18:49:07 UTC</t>
  </si>
  <si>
    <t>2022-04-11 18:48:59 UTC</t>
  </si>
  <si>
    <t>eb1f9ca62d9317d8ba25f934c71a0c4e</t>
  </si>
  <si>
    <t>2022-04-11 18:48:46 UTC</t>
  </si>
  <si>
    <t>2022-04-11 18:48:40 UTC</t>
  </si>
  <si>
    <t>2022-04-11 18:48:37 UTC</t>
  </si>
  <si>
    <t>2022-04-11 18:45:05 UTC</t>
  </si>
  <si>
    <t>2022-04-11 18:44:18 UTC</t>
  </si>
  <si>
    <t>2022-04-11 18:39:39 UTC</t>
  </si>
  <si>
    <t>2022-04-11 18:39:15 UTC</t>
  </si>
  <si>
    <t>2022-04-11 18:38:10 UTC</t>
  </si>
  <si>
    <t>a132a377b04c913c414ca6aa83ef5b66</t>
  </si>
  <si>
    <t>2022-04-11 18:37:01 UTC</t>
  </si>
  <si>
    <t>2022-04-11 18:36:42 UTC</t>
  </si>
  <si>
    <t>2022-04-11 18:36:40 UTC</t>
  </si>
  <si>
    <t>d2967279e277b6ea0e37a20446debbf4</t>
  </si>
  <si>
    <t>2022-04-11 18:36:38 UTC</t>
  </si>
  <si>
    <t>2022-04-11 18:32:18 UTC</t>
  </si>
  <si>
    <t>cb67deab82f8340b7ce831d5250934dc</t>
  </si>
  <si>
    <t>2022-04-11 18:29:27 UTC</t>
  </si>
  <si>
    <t>138ccbdc4e702927a16c5678582d1a01</t>
  </si>
  <si>
    <t>2022-04-11 18:29:23 UTC</t>
  </si>
  <si>
    <t>2022-04-11 18:29:17 UTC</t>
  </si>
  <si>
    <t>2022-04-11 18:29:12 UTC</t>
  </si>
  <si>
    <t>2022-04-11 18:29:08 UTC</t>
  </si>
  <si>
    <t>2022-04-11 18:29:04 UTC</t>
  </si>
  <si>
    <t>2022-04-11 18:25:34 UTC</t>
  </si>
  <si>
    <t>2022-04-11 18:22:30 UTC</t>
  </si>
  <si>
    <t>2022-04-11 18:18:40 UTC</t>
  </si>
  <si>
    <t>2022-04-11 18:01:45 UTC</t>
  </si>
  <si>
    <t>0fc9f7cf4488fcd2b148a0d67ada1905</t>
  </si>
  <si>
    <t>2022-04-11 18:00:34 UTC</t>
  </si>
  <si>
    <t>2022-04-11 17:57:20 UTC</t>
  </si>
  <si>
    <t>2022-04-11 17:55:00 UTC</t>
  </si>
  <si>
    <t>e6ab5edaa69044aa029c14dc5d19795d</t>
  </si>
  <si>
    <t>2022-04-11 17:48:50 UTC</t>
  </si>
  <si>
    <t>9a549df106354bf930a46cfc292fc316</t>
  </si>
  <si>
    <t>2022-04-11 17:46:29 UTC</t>
  </si>
  <si>
    <t>2022-04-11 17:44:20 UTC</t>
  </si>
  <si>
    <t>b7b663269b58fd424835f068d464fe94</t>
  </si>
  <si>
    <t>2022-04-11 17:44:09 UTC</t>
  </si>
  <si>
    <t>2022-04-11 17:42:27 UTC</t>
  </si>
  <si>
    <t>3a2f42a5b7f023f7e4de81357db2f3cc</t>
  </si>
  <si>
    <t>2022-04-11 17:40:40 UTC</t>
  </si>
  <si>
    <t>9d5a9e6686dc5f50ffce300a5ed5c563</t>
  </si>
  <si>
    <t>2022-04-11 17:40:17 UTC</t>
  </si>
  <si>
    <t>e604a0491ae239d007253098fda24873</t>
  </si>
  <si>
    <t>2022-04-11 17:38:58 UTC</t>
  </si>
  <si>
    <t>2022-04-11 17:38:50 UTC</t>
  </si>
  <si>
    <t>2022-04-11 17:38:20 UTC</t>
  </si>
  <si>
    <t>622702c2ff489b06631aeeedffadcf80</t>
  </si>
  <si>
    <t>2022-04-11 17:36:39 UTC</t>
  </si>
  <si>
    <t>7e0fc33f66231d352366b959665b99ef</t>
  </si>
  <si>
    <t>2022-04-11 17:34:40 UTC</t>
  </si>
  <si>
    <t>f0717dca35df182f55219635a2a98d35</t>
  </si>
  <si>
    <t>2022-04-11 17:34:37 UTC</t>
  </si>
  <si>
    <t>b067c1c455f7ac8a99c15453c70b4134</t>
  </si>
  <si>
    <t>2022-04-11 17:34:33 UTC</t>
  </si>
  <si>
    <t>2022-04-11 17:33:46 UTC</t>
  </si>
  <si>
    <t>17e493d77a97a5c0209a101b6a2ece99</t>
  </si>
  <si>
    <t>2022-04-11 17:33:23 UTC</t>
  </si>
  <si>
    <t>9d8167ca810d49bd988a85dbe8ce4459</t>
  </si>
  <si>
    <t>2022-04-11 17:33:19 UTC</t>
  </si>
  <si>
    <t>2022-04-11 17:32:29 UTC</t>
  </si>
  <si>
    <t>a67d0083254cd4179856e0a6a37a0e0b</t>
  </si>
  <si>
    <t>2022-04-11 17:32:13 UTC</t>
  </si>
  <si>
    <t>f80bef23c4d5a0abccc515aa6ea35ebe</t>
  </si>
  <si>
    <t>2022-04-11 17:32:09 UTC</t>
  </si>
  <si>
    <t>a9fc7839b48713dd34b6decae498cadc</t>
  </si>
  <si>
    <t>2022-04-11 17:31:57 UTC</t>
  </si>
  <si>
    <t>2022-04-11 17:30:27 UTC</t>
  </si>
  <si>
    <t>54e7d6a149c67a69676c0805371ed986</t>
  </si>
  <si>
    <t>2022-04-11 17:29:54 UTC</t>
  </si>
  <si>
    <t>75671f15fb6171e2591032b98a227663</t>
  </si>
  <si>
    <t>2022-04-11 17:29:41 UTC</t>
  </si>
  <si>
    <t>ebc03627f22af92b5f6aba1a124c07b9</t>
  </si>
  <si>
    <t>2022-04-11 17:29:34 UTC</t>
  </si>
  <si>
    <t>2022-04-11 17:29:29 UTC</t>
  </si>
  <si>
    <t>2022-04-11 17:29:25 UTC</t>
  </si>
  <si>
    <t>2022-04-11 17:29:24 UTC</t>
  </si>
  <si>
    <t>fe0299731b9fc698e09e93e31d5be608</t>
  </si>
  <si>
    <t>2022-04-11 17:29:04 UTC</t>
  </si>
  <si>
    <t>2022-04-11 17:29:00 UTC</t>
  </si>
  <si>
    <t>2022-04-11 17:28:34 UTC</t>
  </si>
  <si>
    <t>6c4a23820c9d10d052dea05cacd198c2</t>
  </si>
  <si>
    <t>2022-04-11 17:28:18 UTC</t>
  </si>
  <si>
    <t>2022-04-11 17:28:17 UTC</t>
  </si>
  <si>
    <t>2022-04-11 17:28:16 UTC</t>
  </si>
  <si>
    <t>2022-04-11 17:28:13 UTC</t>
  </si>
  <si>
    <t>2022-04-11 17:28:10 UTC</t>
  </si>
  <si>
    <t>2022-04-11 17:28:07 UTC</t>
  </si>
  <si>
    <t>2022-04-11 17:28:06 UTC</t>
  </si>
  <si>
    <t>2022-04-11 17:28:04 UTC</t>
  </si>
  <si>
    <t>2022-04-11 17:28:02 UTC</t>
  </si>
  <si>
    <t>2022-04-11 17:28:00 UTC</t>
  </si>
  <si>
    <t>2022-04-11 17:27:55 UTC</t>
  </si>
  <si>
    <t>2022-04-11 17:27:53 UTC</t>
  </si>
  <si>
    <t>2022-04-11 17:27:51 UTC</t>
  </si>
  <si>
    <t>2022-04-11 17:27:49 UTC</t>
  </si>
  <si>
    <t>2022-04-11 17:27:45 UTC</t>
  </si>
  <si>
    <t>2022-04-11 17:27:44 UTC</t>
  </si>
  <si>
    <t>2022-04-11 17:27:42 UTC</t>
  </si>
  <si>
    <t>2022-04-11 17:27:39 UTC</t>
  </si>
  <si>
    <t>2022-04-11 17:27:33 UTC</t>
  </si>
  <si>
    <t>2022-04-11 17:27:32 UTC</t>
  </si>
  <si>
    <t>2022-04-11 17:27:24 UTC</t>
  </si>
  <si>
    <t>2022-04-11 17:27:21 UTC</t>
  </si>
  <si>
    <t>2022-04-11 17:27:20 UTC</t>
  </si>
  <si>
    <t>2022-04-11 17:27:17 UTC</t>
  </si>
  <si>
    <t>2022-04-11 17:27:16 UTC</t>
  </si>
  <si>
    <t>2022-04-11 17:27:15 UTC</t>
  </si>
  <si>
    <t>2022-04-11 17:27:13 UTC</t>
  </si>
  <si>
    <t>2022-04-11 17:27:11 UTC</t>
  </si>
  <si>
    <t>2022-04-11 17:27:08 UTC</t>
  </si>
  <si>
    <t>2022-04-11 17:27:01 UTC</t>
  </si>
  <si>
    <t>2022-04-11 17:26:59 UTC</t>
  </si>
  <si>
    <t>2022-04-11 17:26:57 UTC</t>
  </si>
  <si>
    <t>2022-04-11 17:26:54 UTC</t>
  </si>
  <si>
    <t>2022-04-11 17:26:53 UTC</t>
  </si>
  <si>
    <t>2022-04-11 17:26:51 UTC</t>
  </si>
  <si>
    <t>2022-04-11 17:26:50 UTC</t>
  </si>
  <si>
    <t>2022-04-11 17:26:49 UTC</t>
  </si>
  <si>
    <t>2022-04-11 17:26:47 UTC</t>
  </si>
  <si>
    <t>2022-04-11 17:26:46 UTC</t>
  </si>
  <si>
    <t>2022-04-11 17:26:45 UTC</t>
  </si>
  <si>
    <t>2022-04-11 17:26:39 UTC</t>
  </si>
  <si>
    <t>2022-04-11 17:26:37 UTC</t>
  </si>
  <si>
    <t>2022-04-11 17:25:39 UTC</t>
  </si>
  <si>
    <t>2022-04-11 17:25:35 UTC</t>
  </si>
  <si>
    <t>2022-04-11 17:25:31 UTC</t>
  </si>
  <si>
    <t>2022-04-11 17:25:18 UTC</t>
  </si>
  <si>
    <t>2022-04-11 17:25:07 UTC</t>
  </si>
  <si>
    <t>2022-04-11 17:24:45 UTC</t>
  </si>
  <si>
    <t>121b3b7bc60feb8f2dff4d6a82852d99</t>
  </si>
  <si>
    <t>2022-04-11 17:23:18 UTC</t>
  </si>
  <si>
    <t>2022-04-11 17:23:14 UTC</t>
  </si>
  <si>
    <t>2022-04-11 17:23:12 UTC</t>
  </si>
  <si>
    <t>2022-04-11 17:23:10 UTC</t>
  </si>
  <si>
    <t>2022-04-11 17:23:01 UTC</t>
  </si>
  <si>
    <t>9f2181a1a7cd3b26742e9e9210f82b4d</t>
  </si>
  <si>
    <t>2022-04-11 17:22:47 UTC</t>
  </si>
  <si>
    <t>2022-04-11 17:22:43 UTC</t>
  </si>
  <si>
    <t>2022-04-11 17:22:41 UTC</t>
  </si>
  <si>
    <t>2022-04-11 17:22:38 UTC</t>
  </si>
  <si>
    <t>2022-04-11 17:22:29 UTC</t>
  </si>
  <si>
    <t>2022-04-11 17:22:26 UTC</t>
  </si>
  <si>
    <t>2022-04-11 17:22:20 UTC</t>
  </si>
  <si>
    <t>a0dbd53fc6e40674989076e45838b3b4</t>
  </si>
  <si>
    <t>2022-04-11 17:22:18 UTC</t>
  </si>
  <si>
    <t>955544bffb2bba3eda8ab825c099281f</t>
  </si>
  <si>
    <t>2022-04-11 17:22:04 UTC</t>
  </si>
  <si>
    <t>adad0cf1f8245f50468eafc8d318b3c1</t>
  </si>
  <si>
    <t>2022-04-11 17:21:35 UTC</t>
  </si>
  <si>
    <t>2022-04-11 17:21:28 UTC</t>
  </si>
  <si>
    <t>c40342ff3a7cd2d249e95a0a5c939c78</t>
  </si>
  <si>
    <t>2022-04-11 17:21:27 UTC</t>
  </si>
  <si>
    <t>fe777632d5236d61ac1e36e40888454f</t>
  </si>
  <si>
    <t>2022-04-11 17:21:00 UTC</t>
  </si>
  <si>
    <t>adf61c2fbf60eb9b1804c20c7b7451d2</t>
  </si>
  <si>
    <t>2022-04-11 17:20:05 UTC</t>
  </si>
  <si>
    <t>071e01d69b97376bf2fa4bd794198e45</t>
  </si>
  <si>
    <t>2022-04-11 17:19:56 UTC</t>
  </si>
  <si>
    <t>2022-04-11 17:16:47 UTC</t>
  </si>
  <si>
    <t>23acdc0c15bc76ebaddf92f4d61a6c42</t>
  </si>
  <si>
    <t>2022-04-11 17:16:42 UTC</t>
  </si>
  <si>
    <t>2022-04-11 17:16:38 UTC</t>
  </si>
  <si>
    <t>2022-04-11 17:16:34 UTC</t>
  </si>
  <si>
    <t>2022-04-11 17:16:28 UTC</t>
  </si>
  <si>
    <t>2022-04-11 17:16:26 UTC</t>
  </si>
  <si>
    <t>2022-04-11 17:16:25 UTC</t>
  </si>
  <si>
    <t>2022-04-11 17:16:21 UTC</t>
  </si>
  <si>
    <t>817e36ab9f74b588d5280c5a9ecc4d6a</t>
  </si>
  <si>
    <t>2022-04-11 17:16:16 UTC</t>
  </si>
  <si>
    <t>2022-04-11 17:16:08 UTC</t>
  </si>
  <si>
    <t>2022-04-11 17:16:05 UTC</t>
  </si>
  <si>
    <t>2022-04-11 17:15:51 UTC</t>
  </si>
  <si>
    <t>2022-04-11 17:12:55 UTC</t>
  </si>
  <si>
    <t>2022-04-11 17:12:02 UTC</t>
  </si>
  <si>
    <t>2022-04-11 17:11:59 UTC</t>
  </si>
  <si>
    <t>2022-04-11 17:11:54 UTC</t>
  </si>
  <si>
    <t>2022-04-11 17:11:52 UTC</t>
  </si>
  <si>
    <t>2022-04-11 17:11:48 UTC</t>
  </si>
  <si>
    <t>2022-04-11 17:11:41 UTC</t>
  </si>
  <si>
    <t>2022-04-11 17:11:27 UTC</t>
  </si>
  <si>
    <t>b109e55923f4ef85ed6b034a197c3b42</t>
  </si>
  <si>
    <t>2022-04-11 17:10:57 UTC</t>
  </si>
  <si>
    <t>2022-04-11 17:10:39 UTC</t>
  </si>
  <si>
    <t>ec665ba2d627155996a54ae5d099ce4f</t>
  </si>
  <si>
    <t>2022-04-11 17:10:36 UTC</t>
  </si>
  <si>
    <t>2022-04-11 17:09:49 UTC</t>
  </si>
  <si>
    <t>2022-04-11 17:09:48 UTC</t>
  </si>
  <si>
    <t>2022-04-11 17:08:53 UTC</t>
  </si>
  <si>
    <t>977654717fb9d68a27a96509526ca9ed</t>
  </si>
  <si>
    <t>2022-04-11 17:08:31 UTC</t>
  </si>
  <si>
    <t>2b00dca67cd16478086bb8570b0b65b5</t>
  </si>
  <si>
    <t>2022-04-11 17:07:48 UTC</t>
  </si>
  <si>
    <t>a1c80536f64c52315f3499b8ad6a0449</t>
  </si>
  <si>
    <t>2022-04-11 17:07:43 UTC</t>
  </si>
  <si>
    <t>2022-04-11 17:07:24 UTC</t>
  </si>
  <si>
    <t>2022-04-11 17:05:31 UTC</t>
  </si>
  <si>
    <t>2022-04-11 17:05:24 UTC</t>
  </si>
  <si>
    <t>2022-04-11 17:05:12 UTC</t>
  </si>
  <si>
    <t>2022-04-11 17:04:35 UTC</t>
  </si>
  <si>
    <t>1e7776148bc7e5d724f157a64e28e355</t>
  </si>
  <si>
    <t>2022-04-11 17:03:59 UTC</t>
  </si>
  <si>
    <t>2022-04-11 17:03:56 UTC</t>
  </si>
  <si>
    <t>2022-04-11 17:03:54 UTC</t>
  </si>
  <si>
    <t>2022-04-11 17:01:20 UTC</t>
  </si>
  <si>
    <t>a87bb4cde25c7826e9d0f37846da0425</t>
  </si>
  <si>
    <t>2022-04-11 17:01:17 UTC</t>
  </si>
  <si>
    <t>2022-04-11 16:59:10 UTC</t>
  </si>
  <si>
    <t>02692c221752d14e0333cae93bb7abba</t>
  </si>
  <si>
    <t>2022-04-11 16:58:16 UTC</t>
  </si>
  <si>
    <t>2022-04-11 16:57:45 UTC</t>
  </si>
  <si>
    <t>2022-04-11 16:57:04 UTC</t>
  </si>
  <si>
    <t>e4f01a6eab294cb16d39982ca2519962</t>
  </si>
  <si>
    <t>2022-04-11 16:56:21 UTC</t>
  </si>
  <si>
    <t>2022-04-11 16:56:18 UTC</t>
  </si>
  <si>
    <t>2022-04-11 16:54:55 UTC</t>
  </si>
  <si>
    <t>fafcfd4d3b63a092858b3fa7a05fb0d3</t>
  </si>
  <si>
    <t>2022-04-11 16:54:49 UTC</t>
  </si>
  <si>
    <t>2022-04-11 16:54:46 UTC</t>
  </si>
  <si>
    <t>2022-04-11 16:54:39 UTC</t>
  </si>
  <si>
    <t>2022-04-11 16:52:28 UTC</t>
  </si>
  <si>
    <t>2022-04-11 16:51:52 UTC</t>
  </si>
  <si>
    <t>d812f903ec6491b3991154b4ceff8d77</t>
  </si>
  <si>
    <t>2022-04-11 16:51:48 UTC</t>
  </si>
  <si>
    <t>ab38189b60807949e65a0500217780b2</t>
  </si>
  <si>
    <t>2022-04-11 16:50:08 UTC</t>
  </si>
  <si>
    <t>f1e83b4d3e7fc7535fecaf2976b694ae</t>
  </si>
  <si>
    <t>2022-04-11 16:49:41 UTC</t>
  </si>
  <si>
    <t>2022-04-11 16:48:46 UTC</t>
  </si>
  <si>
    <t>a7f8457aa9de5a639c10347ff374f28a</t>
  </si>
  <si>
    <t>2022-04-11 16:46:57 UTC</t>
  </si>
  <si>
    <t>2022-04-11 16:46:52 UTC</t>
  </si>
  <si>
    <t>2022-04-11 16:46:14 UTC</t>
  </si>
  <si>
    <t>2022-04-11 16:44:15 UTC</t>
  </si>
  <si>
    <t>859655292faa1c41d80073134d69e50c</t>
  </si>
  <si>
    <t>2022-04-11 16:42:01 UTC</t>
  </si>
  <si>
    <t>2022-04-11 16:41:59 UTC</t>
  </si>
  <si>
    <t>2022-04-11 16:41:54 UTC</t>
  </si>
  <si>
    <t>2022-04-11 16:41:27 UTC</t>
  </si>
  <si>
    <t>2022-04-11 16:41:21 UTC</t>
  </si>
  <si>
    <t>085c6da92cade56f5a56a9bb2ddc701f</t>
  </si>
  <si>
    <t>2022-04-11 16:40:03 UTC</t>
  </si>
  <si>
    <t>2022-04-11 16:39:41 UTC</t>
  </si>
  <si>
    <t>a5a2c26ba961d95946780f9773a9cb7e</t>
  </si>
  <si>
    <t>2022-04-11 16:39:39 UTC</t>
  </si>
  <si>
    <t>2022-04-11 16:39:35 UTC</t>
  </si>
  <si>
    <t>2022-04-11 16:39:33 UTC</t>
  </si>
  <si>
    <t>2022-04-11 16:39:11 UTC</t>
  </si>
  <si>
    <t>2022-04-11 16:39:08 UTC</t>
  </si>
  <si>
    <t>2022-04-11 16:37:52 UTC</t>
  </si>
  <si>
    <t>2022-04-11 16:37:43 UTC</t>
  </si>
  <si>
    <t>2022-04-11 16:37:41 UTC</t>
  </si>
  <si>
    <t>2022-04-11 16:35:53 UTC</t>
  </si>
  <si>
    <t>2022-04-11 16:35:50 UTC</t>
  </si>
  <si>
    <t>2022-04-11 16:35:25 UTC</t>
  </si>
  <si>
    <t>2022-04-11 16:35:22 UTC</t>
  </si>
  <si>
    <t>2022-04-11 16:33:55 UTC</t>
  </si>
  <si>
    <t>2022-04-11 16:33:42 UTC</t>
  </si>
  <si>
    <t>2022-04-11 16:33:36 UTC</t>
  </si>
  <si>
    <t>2022-04-11 16:33:32 UTC</t>
  </si>
  <si>
    <t>2022-04-11 16:33:29 UTC</t>
  </si>
  <si>
    <t>2022-04-11 16:33:27 UTC</t>
  </si>
  <si>
    <t>2022-04-11 16:33:08 UTC</t>
  </si>
  <si>
    <t>2022-04-11 16:32:57 UTC</t>
  </si>
  <si>
    <t>2022-04-11 16:32:55 UTC</t>
  </si>
  <si>
    <t>2022-04-11 16:32:53 UTC</t>
  </si>
  <si>
    <t>2022-04-11 16:32:51 UTC</t>
  </si>
  <si>
    <t>2022-04-11 16:32:50 UTC</t>
  </si>
  <si>
    <t>2022-04-11 16:32:35 UTC</t>
  </si>
  <si>
    <t>2022-04-11 16:32:24 UTC</t>
  </si>
  <si>
    <t>2022-04-11 16:31:32 UTC</t>
  </si>
  <si>
    <t>df414a6313a269f5616d7cbec4852ca4</t>
  </si>
  <si>
    <t>2022-04-11 16:31:26 UTC</t>
  </si>
  <si>
    <t>2022-04-11 16:31:15 UTC</t>
  </si>
  <si>
    <t>2022-04-11 16:31:11 UTC</t>
  </si>
  <si>
    <t>edcf6d87ec4d070aa7a1ac4344fecdf2</t>
  </si>
  <si>
    <t>2022-04-11 16:31:10 UTC</t>
  </si>
  <si>
    <t>2022-04-11 16:30:58 UTC</t>
  </si>
  <si>
    <t>2022-04-11 16:30:56 UTC</t>
  </si>
  <si>
    <t>2022-04-11 16:30:47 UTC</t>
  </si>
  <si>
    <t>2022-04-11 16:29:54 UTC</t>
  </si>
  <si>
    <t>9f5db8ea1a0ea1b9d13424064888bba2</t>
  </si>
  <si>
    <t>2022-04-11 16:29:31 UTC</t>
  </si>
  <si>
    <t>2022-04-11 16:29:29 UTC</t>
  </si>
  <si>
    <t>074d7e5be3165a8c74a954e160eec8e8</t>
  </si>
  <si>
    <t>2022-04-11 16:26:21 UTC</t>
  </si>
  <si>
    <t>4b492dbbd07dcd39643ceb76f7a65b95</t>
  </si>
  <si>
    <t>2022-04-11 16:24:53 UTC</t>
  </si>
  <si>
    <t>fee37a593370e0cc35228f8e08a4d445</t>
  </si>
  <si>
    <t>2022-04-11 16:23:33 UTC</t>
  </si>
  <si>
    <t>ab5cdd29661a785cd6ed42e3ea0af2ca</t>
  </si>
  <si>
    <t>2022-04-11 16:22:51 UTC</t>
  </si>
  <si>
    <t>0113ac756a546c986922307a4b323b99</t>
  </si>
  <si>
    <t>2022-04-11 16:22:23 UTC</t>
  </si>
  <si>
    <t>2022-04-11 16:22:20 UTC</t>
  </si>
  <si>
    <t>2022-04-11 16:22:17 UTC</t>
  </si>
  <si>
    <t>2022-04-11 16:22:12 UTC</t>
  </si>
  <si>
    <t>2022-04-11 16:22:09 UTC</t>
  </si>
  <si>
    <t>d517a8439844270e1aade8518c61d334</t>
  </si>
  <si>
    <t>2022-04-11 16:22:04 UTC</t>
  </si>
  <si>
    <t>2022-04-11 16:22:00 UTC</t>
  </si>
  <si>
    <t>2022-04-11 16:21:50 UTC</t>
  </si>
  <si>
    <t>2022-04-11 16:21:46 UTC</t>
  </si>
  <si>
    <t>2022-04-11 16:21:22 UTC</t>
  </si>
  <si>
    <t>2022-04-11 16:18:50 UTC</t>
  </si>
  <si>
    <t>2022-04-11 16:18:47 UTC</t>
  </si>
  <si>
    <t>2022-04-11 16:18:04 UTC</t>
  </si>
  <si>
    <t>2022-04-11 16:17:58 UTC</t>
  </si>
  <si>
    <t>2022-04-11 16:17:54 UTC</t>
  </si>
  <si>
    <t>2022-04-11 16:17:53 UTC</t>
  </si>
  <si>
    <t>2022-04-11 16:17:52 UTC</t>
  </si>
  <si>
    <t>2022-04-11 16:17:49 UTC</t>
  </si>
  <si>
    <t>2022-04-11 16:17:37 UTC</t>
  </si>
  <si>
    <t>2022-04-11 16:17:34 UTC</t>
  </si>
  <si>
    <t>2022-04-11 16:17:30 UTC</t>
  </si>
  <si>
    <t>2022-04-11 16:17:10 UTC</t>
  </si>
  <si>
    <t>2022-04-11 16:17:08 UTC</t>
  </si>
  <si>
    <t>2022-04-11 16:17:04 UTC</t>
  </si>
  <si>
    <t>2022-04-11 16:16:35 UTC</t>
  </si>
  <si>
    <t>6195ab344898e75fa818d7ae7f11d154</t>
  </si>
  <si>
    <t>2022-04-11 16:14:48 UTC</t>
  </si>
  <si>
    <t>2022-04-11 16:14:39 UTC</t>
  </si>
  <si>
    <t>2022-04-11 16:14:37 UTC</t>
  </si>
  <si>
    <t>0d29131626dfc50e37bd6f5ba821fe7c</t>
  </si>
  <si>
    <t>2022-04-11 16:14:03 UTC</t>
  </si>
  <si>
    <t>2022-04-11 16:13:56 UTC</t>
  </si>
  <si>
    <t>2022-04-11 16:13:21 UTC</t>
  </si>
  <si>
    <t>2022-04-11 16:13:19 UTC</t>
  </si>
  <si>
    <t>2022-04-11 16:13:18 UTC</t>
  </si>
  <si>
    <t>2022-04-11 16:13:13 UTC</t>
  </si>
  <si>
    <t>2022-04-11 16:11:29 UTC</t>
  </si>
  <si>
    <t>2022-04-11 16:11:16 UTC</t>
  </si>
  <si>
    <t>2022-04-11 16:10:07 UTC</t>
  </si>
  <si>
    <t>2022-04-11 16:09:36 UTC</t>
  </si>
  <si>
    <t>2022-04-11 16:09:31 UTC</t>
  </si>
  <si>
    <t>2022-04-11 16:09:26 UTC</t>
  </si>
  <si>
    <t>2022-04-11 16:09:11 UTC</t>
  </si>
  <si>
    <t>2022-04-11 16:09:10 UTC</t>
  </si>
  <si>
    <t>2022-04-11 16:09:08 UTC</t>
  </si>
  <si>
    <t>2022-04-11 16:09:07 UTC</t>
  </si>
  <si>
    <t>2022-04-11 16:09:05 UTC</t>
  </si>
  <si>
    <t>2022-04-11 16:09:04 UTC</t>
  </si>
  <si>
    <t>2022-04-11 16:09:01 UTC</t>
  </si>
  <si>
    <t>2022-04-11 16:08:55 UTC</t>
  </si>
  <si>
    <t>2022-04-11 16:08:54 UTC</t>
  </si>
  <si>
    <t>2022-04-11 16:08:52 UTC</t>
  </si>
  <si>
    <t>2022-04-11 16:08:47 UTC</t>
  </si>
  <si>
    <t>2022-04-11 16:08:44 UTC</t>
  </si>
  <si>
    <t>2022-04-11 16:08:27 UTC</t>
  </si>
  <si>
    <t>2022-04-11 16:07:47 UTC</t>
  </si>
  <si>
    <t>3a5c788558ee9dad7409e91d6b5d93a1</t>
  </si>
  <si>
    <t>2022-04-11 16:07:29 UTC</t>
  </si>
  <si>
    <t>2022-04-11 16:07:27 UTC</t>
  </si>
  <si>
    <t>cca85fa0cb8a1b95b92a1b4be73e5957</t>
  </si>
  <si>
    <t>2022-04-11 16:07:26 UTC</t>
  </si>
  <si>
    <t>2022-04-11 16:07:24 UTC</t>
  </si>
  <si>
    <t>2022-04-11 16:07:22 UTC</t>
  </si>
  <si>
    <t>2022-04-11 16:07:21 UTC</t>
  </si>
  <si>
    <t>2022-04-11 16:07:19 UTC</t>
  </si>
  <si>
    <t>2022-04-11 16:07:10 UTC</t>
  </si>
  <si>
    <t>2022-04-11 16:07:03 UTC</t>
  </si>
  <si>
    <t>2022-04-11 16:05:21 UTC</t>
  </si>
  <si>
    <t>bc096a5a262c371bb7d650d64a58d8aa</t>
  </si>
  <si>
    <t>2022-04-11 16:05:19 UTC</t>
  </si>
  <si>
    <t>2022-04-11 16:05:17 UTC</t>
  </si>
  <si>
    <t>2022-04-11 16:05:15 UTC</t>
  </si>
  <si>
    <t>2022-04-11 16:05:12 UTC</t>
  </si>
  <si>
    <t>2022-04-11 16:05:10 UTC</t>
  </si>
  <si>
    <t>2022-04-11 16:05:08 UTC</t>
  </si>
  <si>
    <t>2022-04-11 16:05:01 UTC</t>
  </si>
  <si>
    <t>2022-04-11 16:04:57 UTC</t>
  </si>
  <si>
    <t>634a9f82ab76623b57c615778cfcc34d</t>
  </si>
  <si>
    <t>2022-04-11 16:04:55 UTC</t>
  </si>
  <si>
    <t>2022-04-11 16:04:53 UTC</t>
  </si>
  <si>
    <t>2022-04-11 16:04:49 UTC</t>
  </si>
  <si>
    <t>2022-04-11 16:04:48 UTC</t>
  </si>
  <si>
    <t>2022-04-11 16:04:45 UTC</t>
  </si>
  <si>
    <t>2022-04-11 16:04:38 UTC</t>
  </si>
  <si>
    <t>2022-04-11 16:04:27 UTC</t>
  </si>
  <si>
    <t>2022-04-11 16:04:26 UTC</t>
  </si>
  <si>
    <t>2022-04-11 16:04:25 UTC</t>
  </si>
  <si>
    <t>2022-04-11 16:04:23 UTC</t>
  </si>
  <si>
    <t>2022-04-11 16:04:22 UTC</t>
  </si>
  <si>
    <t>2022-04-11 16:04:21 UTC</t>
  </si>
  <si>
    <t>2022-04-11 16:04:19 UTC</t>
  </si>
  <si>
    <t>2022-04-11 16:04:18 UTC</t>
  </si>
  <si>
    <t>2022-04-11 16:04:17 UTC</t>
  </si>
  <si>
    <t>2022-04-11 16:04:15 UTC</t>
  </si>
  <si>
    <t>2022-04-11 16:04:14 UTC</t>
  </si>
  <si>
    <t>2022-04-11 16:04:12 UTC</t>
  </si>
  <si>
    <t>2022-04-11 16:04:08 UTC</t>
  </si>
  <si>
    <t>2022-04-11 16:04:06 UTC</t>
  </si>
  <si>
    <t>2022-04-11 16:03:15 UTC</t>
  </si>
  <si>
    <t>704ebe5cf59d6fa1cbf60e5b319f5e08</t>
  </si>
  <si>
    <t>2022-04-11 16:02:40 UTC</t>
  </si>
  <si>
    <t>2022-04-11 16:02:34 UTC</t>
  </si>
  <si>
    <t>2022-04-11 16:01:58 UTC</t>
  </si>
  <si>
    <t>2022-04-11 16:01:35 UTC</t>
  </si>
  <si>
    <t>2022-04-11 16:01:33 UTC</t>
  </si>
  <si>
    <t>2022-04-11 16:01:32 UTC</t>
  </si>
  <si>
    <t>2022-04-11 16:01:30 UTC</t>
  </si>
  <si>
    <t>2022-04-11 16:01:27 UTC</t>
  </si>
  <si>
    <t>2022-04-11 16:01:25 UTC</t>
  </si>
  <si>
    <t>2022-04-11 16:01:21 UTC</t>
  </si>
  <si>
    <t>f3a7586d1215d7ce5923e72e65001216</t>
  </si>
  <si>
    <t>2022-04-11 16:00:35 UTC</t>
  </si>
  <si>
    <t>2022-04-11 16:00:10 UTC</t>
  </si>
  <si>
    <t>0362be763b4b3e1313f40c91b5659d2d</t>
  </si>
  <si>
    <t>2022-04-11 15:58:05 UTC</t>
  </si>
  <si>
    <t>2022-04-11 15:57:57 UTC</t>
  </si>
  <si>
    <t>8156a225d13ade6225257f8e105fa247</t>
  </si>
  <si>
    <t>2022-04-11 15:56:28 UTC</t>
  </si>
  <si>
    <t>d12b1b5e9abda7a02b83be15bc63ff08</t>
  </si>
  <si>
    <t>2022-04-11 15:56:25 UTC</t>
  </si>
  <si>
    <t>2022-04-11 15:55:18 UTC</t>
  </si>
  <si>
    <t>10d4cdbf6fa558d618776ad10e94cb3e</t>
  </si>
  <si>
    <t>2022-04-11 15:52:53 UTC</t>
  </si>
  <si>
    <t>2022-04-11 15:51:26 UTC</t>
  </si>
  <si>
    <t>c121b635b63d9a68ee2a39e2cf1aa387</t>
  </si>
  <si>
    <t>2022-04-11 15:49:23 UTC</t>
  </si>
  <si>
    <t>a9166899d527dcd6ba4f3b198955b0c8</t>
  </si>
  <si>
    <t>2022-04-11 15:49:20 UTC</t>
  </si>
  <si>
    <t>2022-04-11 15:48:59 UTC</t>
  </si>
  <si>
    <t>aeb59b70eecd893aeee031a894de8553</t>
  </si>
  <si>
    <t>2022-04-11 15:48:36 UTC</t>
  </si>
  <si>
    <t>2022-04-11 15:45:22 UTC</t>
  </si>
  <si>
    <t>a151f9721bed5a27284f165fedf7bc90</t>
  </si>
  <si>
    <t>2022-04-11 15:45:04 UTC</t>
  </si>
  <si>
    <t>2022-04-11 15:44:07 UTC</t>
  </si>
  <si>
    <t>2022-04-11 15:44:04 UTC</t>
  </si>
  <si>
    <t>2022-04-11 15:44:02 UTC</t>
  </si>
  <si>
    <t>8870f1d4affca12bd6b9f5e809c9b2c3</t>
  </si>
  <si>
    <t>2022-04-11 15:44:01 UTC</t>
  </si>
  <si>
    <t>2022-04-11 15:43:59 UTC</t>
  </si>
  <si>
    <t>2022-04-11 15:43:57 UTC</t>
  </si>
  <si>
    <t>2022-04-11 15:43:54 UTC</t>
  </si>
  <si>
    <t>2022-04-11 15:40:27 UTC</t>
  </si>
  <si>
    <t>2022-04-11 15:40:23 UTC</t>
  </si>
  <si>
    <t>2022-04-11 15:40:22 UTC</t>
  </si>
  <si>
    <t>2022-04-11 15:40:20 UTC</t>
  </si>
  <si>
    <t>2022-04-11 15:40:18 UTC</t>
  </si>
  <si>
    <t>2022-04-11 15:40:12 UTC</t>
  </si>
  <si>
    <t>2022-04-11 15:40:08 UTC</t>
  </si>
  <si>
    <t>2022-04-11 15:40:06 UTC</t>
  </si>
  <si>
    <t>2022-04-11 15:40:04 UTC</t>
  </si>
  <si>
    <t>2022-04-11 15:40:02 UTC</t>
  </si>
  <si>
    <t>2022-04-11 15:40:00 UTC</t>
  </si>
  <si>
    <t>2022-04-11 15:39:58 UTC</t>
  </si>
  <si>
    <t>2022-04-11 15:39:56 UTC</t>
  </si>
  <si>
    <t>2022-04-11 15:39:50 UTC</t>
  </si>
  <si>
    <t>2022-04-11 15:39:46 UTC</t>
  </si>
  <si>
    <t>2022-04-11 15:39:45 UTC</t>
  </si>
  <si>
    <t>2022-04-11 15:39:41 UTC</t>
  </si>
  <si>
    <t>2022-04-11 15:39:35 UTC</t>
  </si>
  <si>
    <t>2022-04-11 15:39:31 UTC</t>
  </si>
  <si>
    <t>2022-04-11 15:36:26 UTC</t>
  </si>
  <si>
    <t>2022-04-11 15:36:04 UTC</t>
  </si>
  <si>
    <t>2022-04-11 15:35:42 UTC</t>
  </si>
  <si>
    <t>663f3183901582606756364b871d1004</t>
  </si>
  <si>
    <t>2022-04-11 15:35:33 UTC</t>
  </si>
  <si>
    <t>2022-04-11 15:35:31 UTC</t>
  </si>
  <si>
    <t>2022-04-11 15:35:16 UTC</t>
  </si>
  <si>
    <t>2022-04-11 15:35:12 UTC</t>
  </si>
  <si>
    <t>2022-04-11 15:35:05 UTC</t>
  </si>
  <si>
    <t>2022-04-11 15:35:02 UTC</t>
  </si>
  <si>
    <t>2022-04-11 15:34:49 UTC</t>
  </si>
  <si>
    <t>555a56bdd555b356d19655625462b0d6</t>
  </si>
  <si>
    <t>2022-04-11 15:33:30 UTC</t>
  </si>
  <si>
    <t>2022-04-11 15:32:53 UTC</t>
  </si>
  <si>
    <t>6d33f5d012b6e5db1b48861d4b92cf54</t>
  </si>
  <si>
    <t>2022-04-11 15:31:46 UTC</t>
  </si>
  <si>
    <t>cfe125b4fb6061c05c6877db075d51af</t>
  </si>
  <si>
    <t>2022-04-11 15:31:40 UTC</t>
  </si>
  <si>
    <t>2022-04-11 15:31:37 UTC</t>
  </si>
  <si>
    <t>2022-04-11 15:31:36 UTC</t>
  </si>
  <si>
    <t>2022-04-11 15:31:33 UTC</t>
  </si>
  <si>
    <t>2022-04-11 15:31:27 UTC</t>
  </si>
  <si>
    <t>2022-04-11 15:31:22 UTC</t>
  </si>
  <si>
    <t>2022-04-11 15:31:12 UTC</t>
  </si>
  <si>
    <t>2022-04-11 15:30:58 UTC</t>
  </si>
  <si>
    <t>2022-04-11 15:30:57 UTC</t>
  </si>
  <si>
    <t>2022-04-11 15:30:56 UTC</t>
  </si>
  <si>
    <t>2022-04-11 15:30:55 UTC</t>
  </si>
  <si>
    <t>2022-04-11 15:30:54 UTC</t>
  </si>
  <si>
    <t>2022-04-11 15:30:53 UTC</t>
  </si>
  <si>
    <t>2022-04-11 15:30:45 UTC</t>
  </si>
  <si>
    <t>2022-04-11 15:30:41 UTC</t>
  </si>
  <si>
    <t>2022-04-11 15:30:09 UTC</t>
  </si>
  <si>
    <t>2022-04-11 15:29:59 UTC</t>
  </si>
  <si>
    <t>2022-04-11 15:29:57 UTC</t>
  </si>
  <si>
    <t>2022-04-11 15:29:56 UTC</t>
  </si>
  <si>
    <t>2022-04-11 15:29:51 UTC</t>
  </si>
  <si>
    <t>2022-04-11 15:29:37 UTC</t>
  </si>
  <si>
    <t>2022-04-11 15:29:34 UTC</t>
  </si>
  <si>
    <t>2022-04-11 15:29:32 UTC</t>
  </si>
  <si>
    <t>2022-04-11 15:29:30 UTC</t>
  </si>
  <si>
    <t>2022-04-11 15:29:29 UTC</t>
  </si>
  <si>
    <t>2022-04-11 15:29:26 UTC</t>
  </si>
  <si>
    <t>2022-04-11 15:29:21 UTC</t>
  </si>
  <si>
    <t>2022-04-11 15:29:19 UTC</t>
  </si>
  <si>
    <t>2022-04-11 15:29:15 UTC</t>
  </si>
  <si>
    <t>2022-04-11 15:29:12 UTC</t>
  </si>
  <si>
    <t>2022-04-11 15:29:08 UTC</t>
  </si>
  <si>
    <t>2022-04-11 15:29:04 UTC</t>
  </si>
  <si>
    <t>da383a764c76ca7267d7ae6dccb0db0a</t>
  </si>
  <si>
    <t>2022-04-11 15:27:24 UTC</t>
  </si>
  <si>
    <t>2022-04-11 15:27:21 UTC</t>
  </si>
  <si>
    <t>2022-04-11 15:23:17 UTC</t>
  </si>
  <si>
    <t>cdb79ea53d7154e8436ff6d2e9574443</t>
  </si>
  <si>
    <t>2022-04-11 15:21:13 UTC</t>
  </si>
  <si>
    <t>00a54f680484144e18b668cc6abe4a84</t>
  </si>
  <si>
    <t>2022-04-11 15:20:08 UTC</t>
  </si>
  <si>
    <t>2022-04-11 15:19:06 UTC</t>
  </si>
  <si>
    <t>b11af9dd8413be4eb5b1120fdcda00d8</t>
  </si>
  <si>
    <t>2022-04-11 15:19:00 UTC</t>
  </si>
  <si>
    <t>77e1f18061dab9c8bbf28d87e048eb4e</t>
  </si>
  <si>
    <t>2022-04-11 15:18:42 UTC</t>
  </si>
  <si>
    <t>2022-04-11 15:18:06 UTC</t>
  </si>
  <si>
    <t>2022-04-11 15:17:46 UTC</t>
  </si>
  <si>
    <t>2022-04-11 15:17:04 UTC</t>
  </si>
  <si>
    <t>2022-04-11 15:16:49 UTC</t>
  </si>
  <si>
    <t>2022-04-11 15:16:47 UTC</t>
  </si>
  <si>
    <t>2022-04-11 15:14:23 UTC</t>
  </si>
  <si>
    <t>1f85cab986b7edf878f386478a8d769e</t>
  </si>
  <si>
    <t>2022-04-11 15:14:19 UTC</t>
  </si>
  <si>
    <t>4ab14cb96bdb39bbe4a64211f1025edd</t>
  </si>
  <si>
    <t>2022-04-11 15:12:27 UTC</t>
  </si>
  <si>
    <t>587de58e3958031329c6608238e366c1</t>
  </si>
  <si>
    <t>2022-04-11 15:10:41 UTC</t>
  </si>
  <si>
    <t>2022-04-11 15:09:04 UTC</t>
  </si>
  <si>
    <t>a759771e26cfae486275dfbe0e3c471b</t>
  </si>
  <si>
    <t>2022-04-11 15:09:02 UTC</t>
  </si>
  <si>
    <t>2022-04-11 15:09:01 UTC</t>
  </si>
  <si>
    <t>2022-04-11 15:08:59 UTC</t>
  </si>
  <si>
    <t>2022-04-11 15:08:54 UTC</t>
  </si>
  <si>
    <t>2022-04-11 15:08:34 UTC</t>
  </si>
  <si>
    <t>8c0212c8cc635d073a3e6bb8f6739400</t>
  </si>
  <si>
    <t>2022-04-11 15:08:17 UTC</t>
  </si>
  <si>
    <t>cf1e343db665ff26cf4e6b81c848641a</t>
  </si>
  <si>
    <t>2022-04-11 15:06:35 UTC</t>
  </si>
  <si>
    <t>252a2979e08cb590e36da8872c751e79</t>
  </si>
  <si>
    <t>2022-04-11 15:06:33 UTC</t>
  </si>
  <si>
    <t>2022-04-11 15:06:07 UTC</t>
  </si>
  <si>
    <t>2022-04-11 15:05:50 UTC</t>
  </si>
  <si>
    <t>2022-04-11 15:04:02 UTC</t>
  </si>
  <si>
    <t>2022-04-11 15:03:27 UTC</t>
  </si>
  <si>
    <t>575454d1bc0e37d3b6db8a851605cdfd</t>
  </si>
  <si>
    <t>2022-04-11 15:02:59 UTC</t>
  </si>
  <si>
    <t>2022-04-11 15:02:45 UTC</t>
  </si>
  <si>
    <t>2022-04-11 15:02:43 UTC</t>
  </si>
  <si>
    <t>2022-04-11 15:02:39 UTC</t>
  </si>
  <si>
    <t>2022-04-11 15:02:28 UTC</t>
  </si>
  <si>
    <t>2022-04-11 15:02:26 UTC</t>
  </si>
  <si>
    <t>8eccf4857ef3d46d5ceb971250c2fe7b</t>
  </si>
  <si>
    <t>2022-04-11 15:02:25 UTC</t>
  </si>
  <si>
    <t>247a33e0a76fd5f79814f56e7800a306</t>
  </si>
  <si>
    <t>2022-04-11 15:02:08 UTC</t>
  </si>
  <si>
    <t>2022-04-11 15:01:58 UTC</t>
  </si>
  <si>
    <t>2022-04-11 15:01:26 UTC</t>
  </si>
  <si>
    <t>2022-04-11 15:01:19 UTC</t>
  </si>
  <si>
    <t>2022-04-11 15:01:08 UTC</t>
  </si>
  <si>
    <t>2022-04-11 15:01:03 UTC</t>
  </si>
  <si>
    <t>2022-04-11 15:00:47 UTC</t>
  </si>
  <si>
    <t>2022-04-11 15:00:40 UTC</t>
  </si>
  <si>
    <t>2022-04-11 15:00:22 UTC</t>
  </si>
  <si>
    <t>2022-04-11 15:00:18 UTC</t>
  </si>
  <si>
    <t>2022-04-11 15:00:15 UTC</t>
  </si>
  <si>
    <t>2022-04-11 15:00:14 UTC</t>
  </si>
  <si>
    <t>2022-04-11 15:00:04 UTC</t>
  </si>
  <si>
    <t>2022-04-11 15:00:02 UTC</t>
  </si>
  <si>
    <t>2022-04-11 14:59:59 UTC</t>
  </si>
  <si>
    <t>2022-04-11 14:59:58 UTC</t>
  </si>
  <si>
    <t>2022-04-11 14:59:56 UTC</t>
  </si>
  <si>
    <t>2022-04-11 14:59:53 UTC</t>
  </si>
  <si>
    <t>2022-04-11 14:59:49 UTC</t>
  </si>
  <si>
    <t>2022-04-11 14:59:29 UTC</t>
  </si>
  <si>
    <t>2022-04-11 14:59:26 UTC</t>
  </si>
  <si>
    <t>2022-04-11 14:59:03 UTC</t>
  </si>
  <si>
    <t>a56d63c70cb16dfea768da9b2fdf86e8</t>
  </si>
  <si>
    <t>2022-04-11 14:57:34 UTC</t>
  </si>
  <si>
    <t>13d9cdef245cbe3a0743a2d1a1d47ae7</t>
  </si>
  <si>
    <t>2022-04-11 14:57:16 UTC</t>
  </si>
  <si>
    <t>2022-04-11 14:56:44 UTC</t>
  </si>
  <si>
    <t>9790bbc4abaa2e7c4715f3aa06a7f5b2</t>
  </si>
  <si>
    <t>2022-04-11 14:56:30 UTC</t>
  </si>
  <si>
    <t>a5c004615e29f0097cdfcd828ae539fd</t>
  </si>
  <si>
    <t>2022-04-11 14:56:20 UTC</t>
  </si>
  <si>
    <t>812df09c764e167979a0553fb133ca5f</t>
  </si>
  <si>
    <t>2022-04-11 14:55:02 UTC</t>
  </si>
  <si>
    <t>2022-04-11 14:54:54 UTC</t>
  </si>
  <si>
    <t>2022-04-11 14:54:19 UTC</t>
  </si>
  <si>
    <t>2022-04-11 14:54:18 UTC</t>
  </si>
  <si>
    <t>2022-04-11 14:54:16 UTC</t>
  </si>
  <si>
    <t>2022-04-11 14:52:20 UTC</t>
  </si>
  <si>
    <t>2022-04-11 14:52:18 UTC</t>
  </si>
  <si>
    <t>2022-04-11 14:52:16 UTC</t>
  </si>
  <si>
    <t>2022-04-11 14:52:13 UTC</t>
  </si>
  <si>
    <t>2022-04-11 14:52:11 UTC</t>
  </si>
  <si>
    <t>2022-04-11 14:52:04 UTC</t>
  </si>
  <si>
    <t>2022-04-11 14:51:59 UTC</t>
  </si>
  <si>
    <t>2022-04-11 14:51:51 UTC</t>
  </si>
  <si>
    <t>2022-04-11 14:51:47 UTC</t>
  </si>
  <si>
    <t>c212045c832aa4b27e61b4e4545eb195</t>
  </si>
  <si>
    <t>2022-04-11 14:51:20 UTC</t>
  </si>
  <si>
    <t>2022-04-11 14:51:10 UTC</t>
  </si>
  <si>
    <t>2022-04-11 14:51:06 UTC</t>
  </si>
  <si>
    <t>2022-04-11 14:49:43 UTC</t>
  </si>
  <si>
    <t>7c020616c029c2cc4b8a65d665d0989d</t>
  </si>
  <si>
    <t>2022-04-11 14:49:39 UTC</t>
  </si>
  <si>
    <t>2022-04-11 14:48:48 UTC</t>
  </si>
  <si>
    <t>2022-04-11 14:48:45 UTC</t>
  </si>
  <si>
    <t>2022-04-11 14:48:40 UTC</t>
  </si>
  <si>
    <t>2022-04-11 14:48:38 UTC</t>
  </si>
  <si>
    <t>2022-04-11 14:48:17 UTC</t>
  </si>
  <si>
    <t>8ec09395d7ad00b7ce70255c602ce5f3</t>
  </si>
  <si>
    <t>2022-04-11 14:47:10 UTC</t>
  </si>
  <si>
    <t>aebdd7a3d29e38915262cd337f920df2</t>
  </si>
  <si>
    <t>2022-04-11 14:46:53 UTC</t>
  </si>
  <si>
    <t>2022-04-11 14:45:46 UTC</t>
  </si>
  <si>
    <t>eec1d4cb70d2c6c8c8a44e997f3da6c4</t>
  </si>
  <si>
    <t>2022-04-11 14:45:41 UTC</t>
  </si>
  <si>
    <t>d9901e1754764c3e09af5c08fc586b1e</t>
  </si>
  <si>
    <t>2022-04-11 14:45:37 UTC</t>
  </si>
  <si>
    <t>2022-04-11 14:45:31 UTC</t>
  </si>
  <si>
    <t>2022-04-11 14:45:12 UTC</t>
  </si>
  <si>
    <t>3cdd820ef03ec8c383286436502cbf18</t>
  </si>
  <si>
    <t>2022-04-11 14:43:53 UTC</t>
  </si>
  <si>
    <t>f8cd9f880e09bb30fd555794df3f62c0</t>
  </si>
  <si>
    <t>2022-04-11 14:43:17 UTC</t>
  </si>
  <si>
    <t>2022-04-11 14:43:11 UTC</t>
  </si>
  <si>
    <t>4a8c76ccf2c17dc8b3900ba9a77c4f82</t>
  </si>
  <si>
    <t>2022-04-11 14:42:56 UTC</t>
  </si>
  <si>
    <t>fdd982d1ab12305d0f6c1a4bab23e5bd</t>
  </si>
  <si>
    <t>2022-04-11 14:41:13 UTC</t>
  </si>
  <si>
    <t>fd08cdfc5fa6d99dbeae8cb53265691d</t>
  </si>
  <si>
    <t>2022-04-11 14:39:54 UTC</t>
  </si>
  <si>
    <t>a5a048e7c7e3173cb1aa98e973b2ebb2</t>
  </si>
  <si>
    <t>2022-04-11 14:39:18 UTC</t>
  </si>
  <si>
    <t>2022-04-11 14:39:14 UTC</t>
  </si>
  <si>
    <t>2022-04-11 14:36:32 UTC</t>
  </si>
  <si>
    <t>1419e44c184a655d2aeefc58a3a96077</t>
  </si>
  <si>
    <t>2022-04-11 14:35:48 UTC</t>
  </si>
  <si>
    <t>2022-04-11 14:34:30 UTC</t>
  </si>
  <si>
    <t>2498b787e7f74d7df3a3cbc60bd4c087</t>
  </si>
  <si>
    <t>2022-04-11 14:33:32 UTC</t>
  </si>
  <si>
    <t>96b0abc53e73be64277ba049190eb19e</t>
  </si>
  <si>
    <t>2022-04-11 14:32:24 UTC</t>
  </si>
  <si>
    <t>2022-04-11 14:32:22 UTC</t>
  </si>
  <si>
    <t>a81534e2aef5efb30d7361f99c4775b8</t>
  </si>
  <si>
    <t>2022-04-11 14:32:21 UTC</t>
  </si>
  <si>
    <t>2022-04-11 14:32:20 UTC</t>
  </si>
  <si>
    <t>2022-04-11 14:32:12 UTC</t>
  </si>
  <si>
    <t>2022-04-11 14:32:09 UTC</t>
  </si>
  <si>
    <t>351bb9b7f21aebcfd70a7420bad4ebfb</t>
  </si>
  <si>
    <t>2022-04-11 14:31:38 UTC</t>
  </si>
  <si>
    <t>38fa0021fb93627f48a16f82b47225bd</t>
  </si>
  <si>
    <t>2022-04-11 14:30:38 UTC</t>
  </si>
  <si>
    <t>7dfa52af873e8d46ebf995ba2dede498</t>
  </si>
  <si>
    <t>2022-04-11 14:29:59 UTC</t>
  </si>
  <si>
    <t>2022-04-11 14:29:54 UTC</t>
  </si>
  <si>
    <t>2022-04-11 14:29:45 UTC</t>
  </si>
  <si>
    <t>2022-04-11 14:28:39 UTC</t>
  </si>
  <si>
    <t>c782ea397a1fd72aa451024304d751ac</t>
  </si>
  <si>
    <t>2022-04-11 14:26:04 UTC</t>
  </si>
  <si>
    <t>443923b1a2d7d310cd574ea6badf4a27</t>
  </si>
  <si>
    <t>2022-04-11 14:26:00 UTC</t>
  </si>
  <si>
    <t>2022-04-11 14:25:50 UTC</t>
  </si>
  <si>
    <t>2022-04-11 14:25:25 UTC</t>
  </si>
  <si>
    <t>2022-04-11 14:24:38 UTC</t>
  </si>
  <si>
    <t>9e8ed1c2fefd62af58d7a4e08c4ab3b4</t>
  </si>
  <si>
    <t>2022-04-11 14:24:35 UTC</t>
  </si>
  <si>
    <t>2022-04-11 14:24:32 UTC</t>
  </si>
  <si>
    <t>2022-04-11 14:24:30 UTC</t>
  </si>
  <si>
    <t>2022-04-11 14:24:25 UTC</t>
  </si>
  <si>
    <t>2022-04-11 14:24:06 UTC</t>
  </si>
  <si>
    <t>9e4febddec5a22da1c5ae9103cb45e11</t>
  </si>
  <si>
    <t>2022-04-11 14:24:01 UTC</t>
  </si>
  <si>
    <t>2022-04-11 14:23:40 UTC</t>
  </si>
  <si>
    <t>2022-04-11 14:23:24 UTC</t>
  </si>
  <si>
    <t>2022-04-11 14:23:15 UTC</t>
  </si>
  <si>
    <t>2022-04-11 14:22:34 UTC</t>
  </si>
  <si>
    <t>2a881119a909bb7900f4f920e3fb4de3</t>
  </si>
  <si>
    <t>2022-04-11 14:20:34 UTC</t>
  </si>
  <si>
    <t>39627782d11ffd7b14d5144414eb5b33</t>
  </si>
  <si>
    <t>2022-04-11 14:18:08 UTC</t>
  </si>
  <si>
    <t>2022-04-11 14:17:52 UTC</t>
  </si>
  <si>
    <t>2022-04-11 14:17:40 UTC</t>
  </si>
  <si>
    <t>f7b0a0afd24937813de64a91dfda4e66</t>
  </si>
  <si>
    <t>2022-04-11 14:17:26 UTC</t>
  </si>
  <si>
    <t>2022-04-11 14:17:25 UTC</t>
  </si>
  <si>
    <t>a1c59601ffa4f914a158bd9ebba87334</t>
  </si>
  <si>
    <t>2022-04-11 14:17:24 UTC</t>
  </si>
  <si>
    <t>2022-04-11 14:17:21 UTC</t>
  </si>
  <si>
    <t>2022-04-11 14:16:51 UTC</t>
  </si>
  <si>
    <t>931466f30307ffb0d434b381bbf23511</t>
  </si>
  <si>
    <t>2022-04-11 14:16:25 UTC</t>
  </si>
  <si>
    <t>37f7dbab0cdc2df4251fe526387208dd</t>
  </si>
  <si>
    <t>2022-04-11 14:16:12 UTC</t>
  </si>
  <si>
    <t>4003aaaaae89978177857ad0940b572d</t>
  </si>
  <si>
    <t>2022-04-11 14:16:03 UTC</t>
  </si>
  <si>
    <t>2022-04-11 14:14:54 UTC</t>
  </si>
  <si>
    <t>08168e20598bbd48aabd91449e769553</t>
  </si>
  <si>
    <t>2022-04-11 14:14:51 UTC</t>
  </si>
  <si>
    <t>2022-04-11 14:14:49 UTC</t>
  </si>
  <si>
    <t>2022-04-11 14:14:48 UTC</t>
  </si>
  <si>
    <t>2022-04-11 14:12:38 UTC</t>
  </si>
  <si>
    <t>2022-04-11 14:10:51 UTC</t>
  </si>
  <si>
    <t>740715fbc7af1317e61bcc3256abd40d</t>
  </si>
  <si>
    <t>2022-04-11 14:10:50 UTC</t>
  </si>
  <si>
    <t>2022-04-11 14:10:49 UTC</t>
  </si>
  <si>
    <t>2022-04-11 14:10:19 UTC</t>
  </si>
  <si>
    <t>2b6ba75d662cf6dee05f77746feef4b1</t>
  </si>
  <si>
    <t>2022-04-11 14:08:29 UTC</t>
  </si>
  <si>
    <t>2022-04-11 14:07:41 UTC</t>
  </si>
  <si>
    <t>41cef3b347327afa887a85ddd30105a3</t>
  </si>
  <si>
    <t>2022-04-11 14:07:28 UTC</t>
  </si>
  <si>
    <t>7b30eb654c7707eb8500bd7847bbcc12</t>
  </si>
  <si>
    <t>2022-04-11 14:07:01 UTC</t>
  </si>
  <si>
    <t>042040bbfb1503438e0aec01dbe086c7</t>
  </si>
  <si>
    <t>2022-04-11 14:06:48 UTC</t>
  </si>
  <si>
    <t>2022-04-11 14:06:46 UTC</t>
  </si>
  <si>
    <t>2022-04-11 14:06:30 UTC</t>
  </si>
  <si>
    <t>fab2b41b39a38e60d2b952444d408012</t>
  </si>
  <si>
    <t>2022-04-11 14:05:26 UTC</t>
  </si>
  <si>
    <t>e89f974fe6f64682b4c3b9416f5fe561</t>
  </si>
  <si>
    <t>2022-04-11 14:05:23 UTC</t>
  </si>
  <si>
    <t>2022-04-11 14:04:51 UTC</t>
  </si>
  <si>
    <t>2022-04-11 14:04:47 UTC</t>
  </si>
  <si>
    <t>96220c80fa86f054be7e8c6c8db36d22</t>
  </si>
  <si>
    <t>2022-04-11 14:04:38 UTC</t>
  </si>
  <si>
    <t>2022-04-11 14:04:22 UTC</t>
  </si>
  <si>
    <t>2022-04-11 14:04:06 UTC</t>
  </si>
  <si>
    <t>4a14c35dfa6b33f43aa03fbfcb96d7ea</t>
  </si>
  <si>
    <t>2022-04-11 14:02:42 UTC</t>
  </si>
  <si>
    <t>2022-04-11 14:02:39 UTC</t>
  </si>
  <si>
    <t>2022-04-11 13:59:11 UTC</t>
  </si>
  <si>
    <t>2e544b212964b210f391da0c28305cab</t>
  </si>
  <si>
    <t>2022-04-11 13:58:35 UTC</t>
  </si>
  <si>
    <t>2022-04-11 13:58:21 UTC</t>
  </si>
  <si>
    <t>a31288be0147807fa132df6884216c39</t>
  </si>
  <si>
    <t>2022-04-11 13:58:18 UTC</t>
  </si>
  <si>
    <t>2022-04-11 13:58:16 UTC</t>
  </si>
  <si>
    <t>2022-04-11 13:58:13 UTC</t>
  </si>
  <si>
    <t>2022-04-11 13:58:12 UTC</t>
  </si>
  <si>
    <t>2022-04-11 13:58:11 UTC</t>
  </si>
  <si>
    <t>2022-04-11 13:58:10 UTC</t>
  </si>
  <si>
    <t>2022-04-11 13:58:08 UTC</t>
  </si>
  <si>
    <t>2022-04-11 13:58:01 UTC</t>
  </si>
  <si>
    <t>2022-04-11 13:58:00 UTC</t>
  </si>
  <si>
    <t>2022-04-11 13:57:59 UTC</t>
  </si>
  <si>
    <t>2022-04-11 13:57:57 UTC</t>
  </si>
  <si>
    <t>ba81cd21203dd284a8d63bfc4d1a1ff5</t>
  </si>
  <si>
    <t>2022-04-11 13:57:56 UTC</t>
  </si>
  <si>
    <t>2022-04-11 13:57:45 UTC</t>
  </si>
  <si>
    <t>2022-04-11 13:57:40 UTC</t>
  </si>
  <si>
    <t>2022-04-11 13:57:19 UTC</t>
  </si>
  <si>
    <t>2022-04-11 13:57:13 UTC</t>
  </si>
  <si>
    <t>2022-04-11 13:57:12 UTC</t>
  </si>
  <si>
    <t>2022-04-11 13:57:11 UTC</t>
  </si>
  <si>
    <t>2022-04-11 13:57:10 UTC</t>
  </si>
  <si>
    <t>2022-04-11 13:57:09 UTC</t>
  </si>
  <si>
    <t>2022-04-11 13:57:07 UTC</t>
  </si>
  <si>
    <t>2022-04-11 13:57:06 UTC</t>
  </si>
  <si>
    <t>2022-04-11 13:57:05 UTC</t>
  </si>
  <si>
    <t>2022-04-11 13:57:04 UTC</t>
  </si>
  <si>
    <t>2022-04-11 13:57:03 UTC</t>
  </si>
  <si>
    <t>2022-04-11 13:57:02 UTC</t>
  </si>
  <si>
    <t>2022-04-11 13:57:01 UTC</t>
  </si>
  <si>
    <t>2022-04-11 13:57:00 UTC</t>
  </si>
  <si>
    <t>2022-04-11 13:56:59 UTC</t>
  </si>
  <si>
    <t>2022-04-11 13:56:57 UTC</t>
  </si>
  <si>
    <t>2022-04-11 13:56:56 UTC</t>
  </si>
  <si>
    <t>2022-04-11 13:56:55 UTC</t>
  </si>
  <si>
    <t>2022-04-11 13:56:53 UTC</t>
  </si>
  <si>
    <t>ac680ca93b2d62658ba94648ef46a0f1</t>
  </si>
  <si>
    <t>2022-04-11 13:56:51 UTC</t>
  </si>
  <si>
    <t>2022-04-11 13:56:33 UTC</t>
  </si>
  <si>
    <t>2022-04-11 13:55:16 UTC</t>
  </si>
  <si>
    <t>2022-04-11 13:55:13 UTC</t>
  </si>
  <si>
    <t>2022-04-11 13:54:26 UTC</t>
  </si>
  <si>
    <t>2022-04-11 13:53:58 UTC</t>
  </si>
  <si>
    <t>2022-04-11 13:53:50 UTC</t>
  </si>
  <si>
    <t>9d7147baa7e622eacc56f9d251d3b62e</t>
  </si>
  <si>
    <t>2022-04-11 13:53:42 UTC</t>
  </si>
  <si>
    <t>2022-04-11 13:53:21 UTC</t>
  </si>
  <si>
    <t>2022-04-11 13:53:11 UTC</t>
  </si>
  <si>
    <t>2022-04-11 13:52:22 UTC</t>
  </si>
  <si>
    <t>2022-04-11 13:52:21 UTC</t>
  </si>
  <si>
    <t>2022-04-11 13:52:19 UTC</t>
  </si>
  <si>
    <t>2022-04-11 13:52:18 UTC</t>
  </si>
  <si>
    <t>2022-04-11 13:52:16 UTC</t>
  </si>
  <si>
    <t>2022-04-11 13:52:15 UTC</t>
  </si>
  <si>
    <t>2022-04-11 13:52:13 UTC</t>
  </si>
  <si>
    <t>2022-04-11 13:52:02 UTC</t>
  </si>
  <si>
    <t>2022-04-11 13:52:00 UTC</t>
  </si>
  <si>
    <t>2022-04-11 13:51:59 UTC</t>
  </si>
  <si>
    <t>2022-04-11 13:51:56 UTC</t>
  </si>
  <si>
    <t>2022-04-11 13:51:54 UTC</t>
  </si>
  <si>
    <t>2022-04-11 13:51:52 UTC</t>
  </si>
  <si>
    <t>2022-04-11 13:51:39 UTC</t>
  </si>
  <si>
    <t>2022-04-11 13:51:08 UTC</t>
  </si>
  <si>
    <t>2022-04-11 13:50:00 UTC</t>
  </si>
  <si>
    <t>2022-04-11 13:49:58 UTC</t>
  </si>
  <si>
    <t>2022-04-11 13:49:44 UTC</t>
  </si>
  <si>
    <t>7fed71d4d3bf4f2a63e3a25e815aae8a</t>
  </si>
  <si>
    <t>2022-04-11 13:49:40 UTC</t>
  </si>
  <si>
    <t>2022-04-11 13:49:35 UTC</t>
  </si>
  <si>
    <t>1a9aa32e48fceb17e7e2081c1fb2b59e</t>
  </si>
  <si>
    <t>2022-04-11 13:49:33 UTC</t>
  </si>
  <si>
    <t>2022-04-11 13:49:31 UTC</t>
  </si>
  <si>
    <t>2022-04-11 13:49:27 UTC</t>
  </si>
  <si>
    <t>2022-04-11 13:49:25 UTC</t>
  </si>
  <si>
    <t>2022-04-11 13:48:32 UTC</t>
  </si>
  <si>
    <t>2022-04-11 13:47:59 UTC</t>
  </si>
  <si>
    <t>72bab8600912525ffff7dcf7bcf4e745</t>
  </si>
  <si>
    <t>2022-04-11 13:47:58 UTC</t>
  </si>
  <si>
    <t>2022-04-11 13:47:39 UTC</t>
  </si>
  <si>
    <t>2022-04-11 13:47:34 UTC</t>
  </si>
  <si>
    <t>2022-04-11 13:47:31 UTC</t>
  </si>
  <si>
    <t>2022-04-11 13:47:29 UTC</t>
  </si>
  <si>
    <t>2022-04-11 13:47:17 UTC</t>
  </si>
  <si>
    <t>2022-04-11 13:47:14 UTC</t>
  </si>
  <si>
    <t>2022-04-11 13:46:51 UTC</t>
  </si>
  <si>
    <t>b68fcd09ae681013153ff1a5856495f0</t>
  </si>
  <si>
    <t>2022-04-11 13:46:46 UTC</t>
  </si>
  <si>
    <t>2022-04-11 13:46:25 UTC</t>
  </si>
  <si>
    <t>2022-04-11 13:46:23 UTC</t>
  </si>
  <si>
    <t>2022-04-11 13:45:33 UTC</t>
  </si>
  <si>
    <t>2022-04-11 13:45:21 UTC</t>
  </si>
  <si>
    <t>2022-04-11 13:45:04 UTC</t>
  </si>
  <si>
    <t>2022-04-11 13:44:29 UTC</t>
  </si>
  <si>
    <t>2022-04-11 13:44:20 UTC</t>
  </si>
  <si>
    <t>2022-04-11 13:42:52 UTC</t>
  </si>
  <si>
    <t>1fa63a387d0a3d19e388aa3b711ce1e6</t>
  </si>
  <si>
    <t>2022-04-11 13:41:58 UTC</t>
  </si>
  <si>
    <t>43eb80caf0561a1b961d50d628ae4999</t>
  </si>
  <si>
    <t>2022-04-11 13:40:27 UTC</t>
  </si>
  <si>
    <t>f56c1b1d5345147bb6e3afec0469591c</t>
  </si>
  <si>
    <t>2022-04-11 13:38:09 UTC</t>
  </si>
  <si>
    <t>2022-04-11 13:38:06 UTC</t>
  </si>
  <si>
    <t>2022-04-11 13:38:04 UTC</t>
  </si>
  <si>
    <t>2022-04-11 13:37:52 UTC</t>
  </si>
  <si>
    <t>3c3146ae3e68a9b926409768c305f3b3</t>
  </si>
  <si>
    <t>2022-04-11 13:36:50 UTC</t>
  </si>
  <si>
    <t>2022-04-11 13:35:07 UTC</t>
  </si>
  <si>
    <t>2022-04-11 13:33:57 UTC</t>
  </si>
  <si>
    <t>2022-04-11 13:33:45 UTC</t>
  </si>
  <si>
    <t>2022-04-11 13:33:43 UTC</t>
  </si>
  <si>
    <t>2022-04-11 13:33:42 UTC</t>
  </si>
  <si>
    <t>2022-04-11 13:33:40 UTC</t>
  </si>
  <si>
    <t>2022-04-11 13:33:37 UTC</t>
  </si>
  <si>
    <t>e7f635eef59e2e99a970aaac0edfd388</t>
  </si>
  <si>
    <t>2022-04-11 13:33:34 UTC</t>
  </si>
  <si>
    <t>2022-04-11 13:32:25 UTC</t>
  </si>
  <si>
    <t>f2b63ab260e14ba50050625004967751</t>
  </si>
  <si>
    <t>2022-04-11 13:32:03 UTC</t>
  </si>
  <si>
    <t>2022-04-11 13:31:29 UTC</t>
  </si>
  <si>
    <t>b597a92697d1a03fac205db4f2e1aec5</t>
  </si>
  <si>
    <t>2022-04-11 13:31:23 UTC</t>
  </si>
  <si>
    <t>570c50af0622f188e1750ac2fd06bd53</t>
  </si>
  <si>
    <t>2022-04-11 13:31:09 UTC</t>
  </si>
  <si>
    <t>2022-04-11 13:30:39 UTC</t>
  </si>
  <si>
    <t>2022-04-11 13:30:33 UTC</t>
  </si>
  <si>
    <t>2022-04-11 13:30:18 UTC</t>
  </si>
  <si>
    <t>15ae589fc28271ad9c083b0d8eb70490</t>
  </si>
  <si>
    <t>2022-04-11 13:29:54 UTC</t>
  </si>
  <si>
    <t>2022-04-11 13:28:57 UTC</t>
  </si>
  <si>
    <t>2022-04-11 13:28:54 UTC</t>
  </si>
  <si>
    <t>1c6ff46b9f627423f10ef7cb2e1db59b</t>
  </si>
  <si>
    <t>2022-04-11 13:28:47 UTC</t>
  </si>
  <si>
    <t>2022-04-11 13:28:01 UTC</t>
  </si>
  <si>
    <t>2022-04-11 13:27:54 UTC</t>
  </si>
  <si>
    <t>2022-04-11 13:27:52 UTC</t>
  </si>
  <si>
    <t>d55bc195c978c4ffc87ecdf3febfe46c</t>
  </si>
  <si>
    <t>2022-04-11 13:26:49 UTC</t>
  </si>
  <si>
    <t>a1fc79e04ff594b45f65dfd58d72ae21</t>
  </si>
  <si>
    <t>2022-04-11 13:26:39 UTC</t>
  </si>
  <si>
    <t>0ab3afcad7149f025d7e40abedd4eefd</t>
  </si>
  <si>
    <t>2022-04-11 13:26:34 UTC</t>
  </si>
  <si>
    <t>f9c5136f614e03293252c55f6dbef195</t>
  </si>
  <si>
    <t>2022-04-11 13:25:25 UTC</t>
  </si>
  <si>
    <t>2022-04-11 13:25:17 UTC</t>
  </si>
  <si>
    <t>7046c954e8f48028bebb04bd2fea9e49</t>
  </si>
  <si>
    <t>2022-04-11 13:24:57 UTC</t>
  </si>
  <si>
    <t>2022-04-11 13:24:50 UTC</t>
  </si>
  <si>
    <t>2022-04-11 13:24:17 UTC</t>
  </si>
  <si>
    <t>2661afba5914ec3a70c3721ff6e0efd4</t>
  </si>
  <si>
    <t>2022-04-11 13:24:13 UTC</t>
  </si>
  <si>
    <t>2022-04-11 13:24:07 UTC</t>
  </si>
  <si>
    <t>2022-04-11 13:23:21 UTC</t>
  </si>
  <si>
    <t>cc919e69e991210f5efbb52bd9ac6b02</t>
  </si>
  <si>
    <t>2022-04-11 13:23:05 UTC</t>
  </si>
  <si>
    <t>50c21ae4df452a58e2be051d163df558</t>
  </si>
  <si>
    <t>2022-04-11 13:22:55 UTC</t>
  </si>
  <si>
    <t>2022-04-11 13:22:53 UTC</t>
  </si>
  <si>
    <t>2022-04-11 13:22:51 UTC</t>
  </si>
  <si>
    <t>2022-04-11 13:21:57 UTC</t>
  </si>
  <si>
    <t>2022-04-11 13:20:56 UTC</t>
  </si>
  <si>
    <t>e027e08e72f10c1199f49d98bea45791</t>
  </si>
  <si>
    <t>2022-04-11 13:20:46 UTC</t>
  </si>
  <si>
    <t>2022-04-11 13:20:43 UTC</t>
  </si>
  <si>
    <t>2022-04-11 13:18:39 UTC</t>
  </si>
  <si>
    <t>c989ed7d125ce049e968735fe7fb89d1</t>
  </si>
  <si>
    <t>2022-04-11 13:18:17 UTC</t>
  </si>
  <si>
    <t>2022-04-11 13:18:07 UTC</t>
  </si>
  <si>
    <t>2022-04-11 13:18:04 UTC</t>
  </si>
  <si>
    <t>0447ddd9b24376ab4ac7a7f1ab133c42</t>
  </si>
  <si>
    <t>2022-04-11 13:17:57 UTC</t>
  </si>
  <si>
    <t>2022-04-11 13:17:47 UTC</t>
  </si>
  <si>
    <t>2022-04-11 13:17:42 UTC</t>
  </si>
  <si>
    <t>2022-04-11 13:17:40 UTC</t>
  </si>
  <si>
    <t>2022-04-11 13:17:34 UTC</t>
  </si>
  <si>
    <t>2022-04-11 13:17:12 UTC</t>
  </si>
  <si>
    <t>2022-04-11 13:17:08 UTC</t>
  </si>
  <si>
    <t>2022-04-11 13:17:06 UTC</t>
  </si>
  <si>
    <t>f1f60228d960830e2cce5f3d5a472df2</t>
  </si>
  <si>
    <t>2022-04-11 13:15:45 UTC</t>
  </si>
  <si>
    <t>2022-04-11 13:15:43 UTC</t>
  </si>
  <si>
    <t>2022-04-11 13:15:42 UTC</t>
  </si>
  <si>
    <t>2022-04-11 13:15:39 UTC</t>
  </si>
  <si>
    <t>482a7010c5dd6bca5b00254e5c04301d</t>
  </si>
  <si>
    <t>2022-04-11 13:15:36 UTC</t>
  </si>
  <si>
    <t>2022-04-11 13:15:34 UTC</t>
  </si>
  <si>
    <t>2022-04-11 13:15:27 UTC</t>
  </si>
  <si>
    <t>d5305bd69f38beebe90ecfe4ea461e4f</t>
  </si>
  <si>
    <t>2022-04-11 13:15:23 UTC</t>
  </si>
  <si>
    <t>f023a7ad49a2d4a9a9be817d5f9029c5</t>
  </si>
  <si>
    <t>2022-04-11 13:15:20 UTC</t>
  </si>
  <si>
    <t>2022-04-11 13:15:15 UTC</t>
  </si>
  <si>
    <t>2022-04-11 13:15:13 UTC</t>
  </si>
  <si>
    <t>2022-04-11 13:15:11 UTC</t>
  </si>
  <si>
    <t>2022-04-11 13:15:09 UTC</t>
  </si>
  <si>
    <t>2022-04-11 13:15:07 UTC</t>
  </si>
  <si>
    <t>2022-04-11 13:15:05 UTC</t>
  </si>
  <si>
    <t>2022-04-11 13:15:01 UTC</t>
  </si>
  <si>
    <t>2022-04-11 13:14:52 UTC</t>
  </si>
  <si>
    <t>2022-04-11 13:14:32 UTC</t>
  </si>
  <si>
    <t>2022-04-11 13:14:29 UTC</t>
  </si>
  <si>
    <t>2022-04-11 13:14:28 UTC</t>
  </si>
  <si>
    <t>2022-04-11 13:14:26 UTC</t>
  </si>
  <si>
    <t>2022-04-11 13:13:42 UTC</t>
  </si>
  <si>
    <t>2022-04-11 13:13:19 UTC</t>
  </si>
  <si>
    <t>2022-04-11 13:12:45 UTC</t>
  </si>
  <si>
    <t>41224e4aafed7205d280a4fae214aeeb</t>
  </si>
  <si>
    <t>2022-04-11 13:12:20 UTC</t>
  </si>
  <si>
    <t>2022-04-11 13:12:16 UTC</t>
  </si>
  <si>
    <t>2022-04-11 13:11:30 UTC</t>
  </si>
  <si>
    <t>de1f9b72074eb301f855104cc4295bf4</t>
  </si>
  <si>
    <t>2022-04-11 13:10:59 UTC</t>
  </si>
  <si>
    <t>754565f3bf4d35b362a466ab6f90df03</t>
  </si>
  <si>
    <t>2022-04-11 13:10:43 UTC</t>
  </si>
  <si>
    <t>2022-04-11 13:10:41 UTC</t>
  </si>
  <si>
    <t>2022-04-11 13:10:30 UTC</t>
  </si>
  <si>
    <t>2022-04-11 13:10:26 UTC</t>
  </si>
  <si>
    <t>2022-04-11 13:10:24 UTC</t>
  </si>
  <si>
    <t>2022-04-11 13:10:23 UTC</t>
  </si>
  <si>
    <t>2022-04-11 13:09:58 UTC</t>
  </si>
  <si>
    <t>87454ce9af063128a6708b23e0e73131</t>
  </si>
  <si>
    <t>2022-04-11 13:09:00 UTC</t>
  </si>
  <si>
    <t>6cf63124e28fc0663930588509eb4d6d</t>
  </si>
  <si>
    <t>2022-04-11 13:08:53 UTC</t>
  </si>
  <si>
    <t>2022-04-11 13:08:41 UTC</t>
  </si>
  <si>
    <t>2022-04-11 13:08:22 UTC</t>
  </si>
  <si>
    <t>2022-04-11 13:08:11 UTC</t>
  </si>
  <si>
    <t>e4c23b42a18cf72729e974d03d20394f</t>
  </si>
  <si>
    <t>2022-04-11 13:08:03 UTC</t>
  </si>
  <si>
    <t>2022-04-11 13:07:48 UTC</t>
  </si>
  <si>
    <t>2022-04-11 13:07:46 UTC</t>
  </si>
  <si>
    <t>2022-04-11 13:07:43 UTC</t>
  </si>
  <si>
    <t>2022-04-11 13:07:41 UTC</t>
  </si>
  <si>
    <t>2022-04-11 13:07:37 UTC</t>
  </si>
  <si>
    <t>2022-04-11 13:07:34 UTC</t>
  </si>
  <si>
    <t>2022-04-11 13:07:31 UTC</t>
  </si>
  <si>
    <t>2022-04-11 13:06:54 UTC</t>
  </si>
  <si>
    <t>2022-04-11 13:06:52 UTC</t>
  </si>
  <si>
    <t>2022-04-11 13:05:38 UTC</t>
  </si>
  <si>
    <t>2022-04-11 13:05:04 UTC</t>
  </si>
  <si>
    <t>2022-04-11 13:04:42 UTC</t>
  </si>
  <si>
    <t>6109d6e45acda52508d0f2c2712b5285</t>
  </si>
  <si>
    <t>2022-04-11 13:04:40 UTC</t>
  </si>
  <si>
    <t>2022-04-11 13:02:51 UTC</t>
  </si>
  <si>
    <t>2022-04-11 13:02:23 UTC</t>
  </si>
  <si>
    <t>2022-04-11 13:01:02 UTC</t>
  </si>
  <si>
    <t>2022-04-11 13:00:52 UTC</t>
  </si>
  <si>
    <t>2022-04-11 13:00:49 UTC</t>
  </si>
  <si>
    <t>2022-04-11 13:00:47 UTC</t>
  </si>
  <si>
    <t>6294840eb08f71a99cf92570a0c346d8</t>
  </si>
  <si>
    <t>2022-04-11 13:00:45 UTC</t>
  </si>
  <si>
    <t>2022-04-11 12:59:08 UTC</t>
  </si>
  <si>
    <t>bc7838c6f0e5c4d6323b5d4ed8d2581e</t>
  </si>
  <si>
    <t>ed12bc975053c4aa41cc908d94e32663</t>
  </si>
  <si>
    <t>2022-04-11 12:59:02 UTC</t>
  </si>
  <si>
    <t>2022-04-11 12:58:16 UTC</t>
  </si>
  <si>
    <t>2022-04-11 12:58:04 UTC</t>
  </si>
  <si>
    <t>2022-04-11 12:58:02 UTC</t>
  </si>
  <si>
    <t>2022-04-11 12:58:01 UTC</t>
  </si>
  <si>
    <t>2022-04-11 12:57:59 UTC</t>
  </si>
  <si>
    <t>2022-04-11 12:57:57 UTC</t>
  </si>
  <si>
    <t>2022-04-11 12:57:42 UTC</t>
  </si>
  <si>
    <t>2022-04-11 12:57:38 UTC</t>
  </si>
  <si>
    <t>2022-04-11 12:57:08 UTC</t>
  </si>
  <si>
    <t>2022-04-11 12:56:47 UTC</t>
  </si>
  <si>
    <t>de4d96e6e13dea7f85a73277171f0555</t>
  </si>
  <si>
    <t>2022-04-11 12:56:45 UTC</t>
  </si>
  <si>
    <t>12d989a0b24bbc1d9729641d4adb4e98</t>
  </si>
  <si>
    <t>2022-04-11 12:56:34 UTC</t>
  </si>
  <si>
    <t>2022-04-11 12:56:26 UTC</t>
  </si>
  <si>
    <t>2022-04-11 12:54:41 UTC</t>
  </si>
  <si>
    <t>243ad3dd29e27cd43c43ab6886b7a3c2</t>
  </si>
  <si>
    <t>2022-04-11 12:52:39 UTC</t>
  </si>
  <si>
    <t>bfc940637cb47e392fd4f196f8471a40</t>
  </si>
  <si>
    <t>2022-04-11 12:51:36 UTC</t>
  </si>
  <si>
    <t>2022-04-11 12:51:29 UTC</t>
  </si>
  <si>
    <t>2022-04-11 12:51:26 UTC</t>
  </si>
  <si>
    <t>2022-04-11 12:51:22 UTC</t>
  </si>
  <si>
    <t>2022-04-11 12:50:00 UTC</t>
  </si>
  <si>
    <t>2022-04-11 12:48:21 UTC</t>
  </si>
  <si>
    <t>2022-04-11 12:48:17 UTC</t>
  </si>
  <si>
    <t>2022-04-11 12:47:55 UTC</t>
  </si>
  <si>
    <t>2022-04-11 12:47:45 UTC</t>
  </si>
  <si>
    <t>2022-04-11 12:47:24 UTC</t>
  </si>
  <si>
    <t>2022-04-11 12:47:10 UTC</t>
  </si>
  <si>
    <t>2022-04-11 12:46:57 UTC</t>
  </si>
  <si>
    <t>2022-04-11 12:46:55 UTC</t>
  </si>
  <si>
    <t>2022-04-11 12:46:52 UTC</t>
  </si>
  <si>
    <t>2022-04-11 12:46:50 UTC</t>
  </si>
  <si>
    <t>2022-04-11 12:46:46 UTC</t>
  </si>
  <si>
    <t>2022-04-11 12:46:44 UTC</t>
  </si>
  <si>
    <t>2022-04-11 12:46:40 UTC</t>
  </si>
  <si>
    <t>40de4b217daa489cd0ebcaeccb7e0593</t>
  </si>
  <si>
    <t>2022-04-11 12:46:32 UTC</t>
  </si>
  <si>
    <t>6f5fd458b383a6ec7c5bacc3fbe085a4</t>
  </si>
  <si>
    <t>2022-04-11 12:46:05 UTC</t>
  </si>
  <si>
    <t>2022-04-11 12:45:03 UTC</t>
  </si>
  <si>
    <t>2022-04-11 12:45:01 UTC</t>
  </si>
  <si>
    <t>7b82bcb160efc588dd67f9dfbfa19f29</t>
  </si>
  <si>
    <t>2022-04-11 12:43:56 UTC</t>
  </si>
  <si>
    <t>2022-04-11 12:43:33 UTC</t>
  </si>
  <si>
    <t>2022-04-11 12:43:28 UTC</t>
  </si>
  <si>
    <t>2022-04-11 12:43:23 UTC</t>
  </si>
  <si>
    <t>b56459ae5106df05704320e0e76f0418</t>
  </si>
  <si>
    <t>2022-04-11 12:42:58 UTC</t>
  </si>
  <si>
    <t>defa06c26e1a5e6f2b597f59fa23a290</t>
  </si>
  <si>
    <t>2022-04-11 12:41:17 UTC</t>
  </si>
  <si>
    <t>2022-04-11 12:40:52 UTC</t>
  </si>
  <si>
    <t>2022-04-11 12:40:39 UTC</t>
  </si>
  <si>
    <t>2022-04-11 12:40:35 UTC</t>
  </si>
  <si>
    <t>2022-04-11 12:40:34 UTC</t>
  </si>
  <si>
    <t>2022-04-11 12:40:29 UTC</t>
  </si>
  <si>
    <t>2022-04-11 12:40:10 UTC</t>
  </si>
  <si>
    <t>c1e84709b8138a907cf459987fe58b79</t>
  </si>
  <si>
    <t>2022-04-11 12:39:48 UTC</t>
  </si>
  <si>
    <t>2022-04-11 12:38:59 UTC</t>
  </si>
  <si>
    <t>2022-04-11 12:38:42 UTC</t>
  </si>
  <si>
    <t>a037bf6a1079fa6bb8f41e0c6088f3d5</t>
  </si>
  <si>
    <t>2022-04-11 12:37:26 UTC</t>
  </si>
  <si>
    <t>2022-04-11 12:36:37 UTC</t>
  </si>
  <si>
    <t>0d0e254723f233d755afd80043d7c7ad</t>
  </si>
  <si>
    <t>2022-04-11 12:36:31 UTC</t>
  </si>
  <si>
    <t>0c7a7ca6678a3adcdf93304d40054302</t>
  </si>
  <si>
    <t>2022-04-11 12:36:28 UTC</t>
  </si>
  <si>
    <t>2022-04-11 12:36:08 UTC</t>
  </si>
  <si>
    <t>2022-04-11 12:36:02 UTC</t>
  </si>
  <si>
    <t>2022-04-11 12:35:57 UTC</t>
  </si>
  <si>
    <t>2022-04-11 12:35:07 UTC</t>
  </si>
  <si>
    <t>2022-04-11 12:34:57 UTC</t>
  </si>
  <si>
    <t>2022-04-11 12:34:51 UTC</t>
  </si>
  <si>
    <t>25aa96d0e4bd8964cfa14aa42fd95d5d</t>
  </si>
  <si>
    <t>2022-04-11 12:34:46 UTC</t>
  </si>
  <si>
    <t>630f105100bf6a827277d94e01899211</t>
  </si>
  <si>
    <t>2022-04-11 12:34:44 UTC</t>
  </si>
  <si>
    <t>2022-04-11 12:34:42 UTC</t>
  </si>
  <si>
    <t>2022-04-11 12:34:41 UTC</t>
  </si>
  <si>
    <t>2022-04-11 12:34:36 UTC</t>
  </si>
  <si>
    <t>2022-04-11 12:34:34 UTC</t>
  </si>
  <si>
    <t>2022-04-11 12:34:08 UTC</t>
  </si>
  <si>
    <t>2022-04-11 12:33:41 UTC</t>
  </si>
  <si>
    <t>96ec46c91687a0c3c31cdcffc6bbaf6c</t>
  </si>
  <si>
    <t>2022-04-11 12:33:02 UTC</t>
  </si>
  <si>
    <t>2022-04-11 12:33:01 UTC</t>
  </si>
  <si>
    <t>2022-04-11 12:32:44 UTC</t>
  </si>
  <si>
    <t>2022-04-11 12:32:40 UTC</t>
  </si>
  <si>
    <t>424c5f63da664017b24cbef5b1555dae</t>
  </si>
  <si>
    <t>2022-04-11 12:32:35 UTC</t>
  </si>
  <si>
    <t>2022-04-11 12:32:27 UTC</t>
  </si>
  <si>
    <t>2022-04-11 12:32:18 UTC</t>
  </si>
  <si>
    <t>2022-04-11 12:32:14 UTC</t>
  </si>
  <si>
    <t>2022-04-11 12:32:08 UTC</t>
  </si>
  <si>
    <t>2022-04-11 12:32:02 UTC</t>
  </si>
  <si>
    <t>2022-04-11 12:31:57 UTC</t>
  </si>
  <si>
    <t>2022-04-11 12:31:55 UTC</t>
  </si>
  <si>
    <t>2022-04-11 12:31:51 UTC</t>
  </si>
  <si>
    <t>2022-04-11 12:31:35 UTC</t>
  </si>
  <si>
    <t>2022-04-11 12:31:20 UTC</t>
  </si>
  <si>
    <t>fbc05b820dffd7cb1d455760d8696554</t>
  </si>
  <si>
    <t>2022-04-11 12:31:06 UTC</t>
  </si>
  <si>
    <t>2022-04-11 12:30:56 UTC</t>
  </si>
  <si>
    <t>2022-04-11 12:30:53 UTC</t>
  </si>
  <si>
    <t>2022-04-11 12:30:47 UTC</t>
  </si>
  <si>
    <t>2022-04-11 12:30:45 UTC</t>
  </si>
  <si>
    <t>2022-04-11 12:30:44 UTC</t>
  </si>
  <si>
    <t>2022-04-11 12:30:41 UTC</t>
  </si>
  <si>
    <t>2022-04-11 12:30:10 UTC</t>
  </si>
  <si>
    <t>2022-04-11 12:30:01 UTC</t>
  </si>
  <si>
    <t>2022-04-11 12:29:12 UTC</t>
  </si>
  <si>
    <t>2022-04-11 12:29:07 UTC</t>
  </si>
  <si>
    <t>2022-04-11 12:29:03 UTC</t>
  </si>
  <si>
    <t>2022-04-11 12:29:01 UTC</t>
  </si>
  <si>
    <t>2022-04-11 12:28:58 UTC</t>
  </si>
  <si>
    <t>2022-04-11 12:28:52 UTC</t>
  </si>
  <si>
    <t>308f3b5c44b7083ce2e032c5df1ebc02</t>
  </si>
  <si>
    <t>2022-04-11 12:28:20 UTC</t>
  </si>
  <si>
    <t>2022-04-11 12:27:29 UTC</t>
  </si>
  <si>
    <t>2022-04-11 12:27:27 UTC</t>
  </si>
  <si>
    <t>2022-04-11 12:27:04 UTC</t>
  </si>
  <si>
    <t>2022-04-11 12:26:51 UTC</t>
  </si>
  <si>
    <t>2022-04-11 12:26:46 UTC</t>
  </si>
  <si>
    <t>2022-04-11 12:26:24 UTC</t>
  </si>
  <si>
    <t>2022-04-11 12:26:20 UTC</t>
  </si>
  <si>
    <t>2022-04-11 12:26:01 UTC</t>
  </si>
  <si>
    <t>2022-04-11 12:24:56 UTC</t>
  </si>
  <si>
    <t>2022-04-11 12:24:54 UTC</t>
  </si>
  <si>
    <t>2022-04-11 12:24:52 UTC</t>
  </si>
  <si>
    <t>2022-04-11 12:24:48 UTC</t>
  </si>
  <si>
    <t>2022-04-11 12:24:44 UTC</t>
  </si>
  <si>
    <t>2022-04-11 12:24:42 UTC</t>
  </si>
  <si>
    <t>2022-04-11 12:24:40 UTC</t>
  </si>
  <si>
    <t>2022-04-11 12:24:37 UTC</t>
  </si>
  <si>
    <t>2022-04-11 12:24:32 UTC</t>
  </si>
  <si>
    <t>2022-04-11 12:24:27 UTC</t>
  </si>
  <si>
    <t>2022-04-11 12:24:22 UTC</t>
  </si>
  <si>
    <t>99b6c313eceb70fe6bf0910dd07512ee</t>
  </si>
  <si>
    <t>2022-04-11 12:24:18 UTC</t>
  </si>
  <si>
    <t>2022-04-11 12:23:55 UTC</t>
  </si>
  <si>
    <t>2022-04-11 12:22:54 UTC</t>
  </si>
  <si>
    <t>2022-04-11 12:22:52 UTC</t>
  </si>
  <si>
    <t>2022-04-11 12:22:51 UTC</t>
  </si>
  <si>
    <t>2022-04-11 12:22:49 UTC</t>
  </si>
  <si>
    <t>2022-04-11 12:22:46 UTC</t>
  </si>
  <si>
    <t>2022-04-11 12:22:44 UTC</t>
  </si>
  <si>
    <t>2022-04-11 12:21:42 UTC</t>
  </si>
  <si>
    <t>2022-04-11 12:21:35 UTC</t>
  </si>
  <si>
    <t>2022-04-11 12:20:57 UTC</t>
  </si>
  <si>
    <t>6092bca40c424ed0ef0bcef816d8d02a</t>
  </si>
  <si>
    <t>2022-04-11 12:20:50 UTC</t>
  </si>
  <si>
    <t>2022-04-11 12:20:04 UTC</t>
  </si>
  <si>
    <t>2022-04-11 12:20:00 UTC</t>
  </si>
  <si>
    <t>2022-04-11 12:19:36 UTC</t>
  </si>
  <si>
    <t>2022-04-11 12:18:58 UTC</t>
  </si>
  <si>
    <t>2022-04-11 12:18:32 UTC</t>
  </si>
  <si>
    <t>2022-04-11 12:17:16 UTC</t>
  </si>
  <si>
    <t>2022-04-11 12:16:19 UTC</t>
  </si>
  <si>
    <t>2022-04-11 12:16:17 UTC</t>
  </si>
  <si>
    <t>2022-04-11 12:16:14 UTC</t>
  </si>
  <si>
    <t>2022-04-11 12:16:12 UTC</t>
  </si>
  <si>
    <t>2022-04-11 12:15:52 UTC</t>
  </si>
  <si>
    <t>2022-04-11 12:15:10 UTC</t>
  </si>
  <si>
    <t>679ab3818883ec20821629d88de9357c</t>
  </si>
  <si>
    <t>2022-04-11 12:14:44 UTC</t>
  </si>
  <si>
    <t>65cc910d14faa5a05b2ba0d8c6527702</t>
  </si>
  <si>
    <t>2022-04-11 12:14:35 UTC</t>
  </si>
  <si>
    <t>2022-04-11 12:14:27 UTC</t>
  </si>
  <si>
    <t>2845f29918c4fa3dbe6b4aa642876f4d</t>
  </si>
  <si>
    <t>2022-04-11 12:14:19 UTC</t>
  </si>
  <si>
    <t>a6ad26d7a505aff9f1bcbb44bc8d9c7a</t>
  </si>
  <si>
    <t>2022-04-11 12:13:55 UTC</t>
  </si>
  <si>
    <t>2022-04-11 12:13:51 UTC</t>
  </si>
  <si>
    <t>2022-04-11 12:12:49 UTC</t>
  </si>
  <si>
    <t>06c41c83264c2a15709c74cf3c569a6a</t>
  </si>
  <si>
    <t>2022-04-11 12:11:50 UTC</t>
  </si>
  <si>
    <t>2022-04-11 12:11:16 UTC</t>
  </si>
  <si>
    <t>7a48ec5fb55f3011ad3238f40e07f82b</t>
  </si>
  <si>
    <t>2022-04-11 12:09:39 UTC</t>
  </si>
  <si>
    <t>2022-04-11 12:07:28 UTC</t>
  </si>
  <si>
    <t>eb4bad2f77a44ee9189d304b4f458280</t>
  </si>
  <si>
    <t>2022-04-11 12:07:03 UTC</t>
  </si>
  <si>
    <t>2022-04-11 12:05:51 UTC</t>
  </si>
  <si>
    <t>2022-04-11 12:05:40 UTC</t>
  </si>
  <si>
    <t>2022-04-11 12:05:38 UTC</t>
  </si>
  <si>
    <t>2022-04-11 12:05:28 UTC</t>
  </si>
  <si>
    <t>2022-04-11 12:05:21 UTC</t>
  </si>
  <si>
    <t>4dc0067eb04e6dd6dccbb5ce385547f2</t>
  </si>
  <si>
    <t>2022-04-11 12:05:16 UTC</t>
  </si>
  <si>
    <t>2022-04-11 12:05:07 UTC</t>
  </si>
  <si>
    <t>2022-04-11 12:05:05 UTC</t>
  </si>
  <si>
    <t>6bac3835d52427e4fbf3ca32bde33b3e</t>
  </si>
  <si>
    <t>2022-04-11 12:03:49 UTC</t>
  </si>
  <si>
    <t>8e2c00f0224d2095ef623906c00775e6</t>
  </si>
  <si>
    <t>2022-04-11 12:03:24 UTC</t>
  </si>
  <si>
    <t>0e0f5e5810a77c7a046bee5aebaa2675</t>
  </si>
  <si>
    <t>2022-04-11 12:02:22 UTC</t>
  </si>
  <si>
    <t>834e7bd1f1dec51daacda92eb1d7b426</t>
  </si>
  <si>
    <t>2022-04-11 12:02:09 UTC</t>
  </si>
  <si>
    <t>2022-04-11 12:01:30 UTC</t>
  </si>
  <si>
    <t>2022-04-11 11:59:56 UTC</t>
  </si>
  <si>
    <t>2022-04-11 11:59:38 UTC</t>
  </si>
  <si>
    <t>2022-04-11 11:58:51 UTC</t>
  </si>
  <si>
    <t>4cd2b01914c1cc2dd3bac5acd56b89de</t>
  </si>
  <si>
    <t>2022-04-11 11:58:21 UTC</t>
  </si>
  <si>
    <t>2022-04-11 11:58:18 UTC</t>
  </si>
  <si>
    <t>2022-04-11 11:57:54 UTC</t>
  </si>
  <si>
    <t>2022-04-11 11:57:29 UTC</t>
  </si>
  <si>
    <t>2022-04-11 11:57:28 UTC</t>
  </si>
  <si>
    <t>2022-04-11 11:57:26 UTC</t>
  </si>
  <si>
    <t>2022-04-11 11:57:25 UTC</t>
  </si>
  <si>
    <t>2022-04-11 11:57:24 UTC</t>
  </si>
  <si>
    <t>2022-04-11 11:57:23 UTC</t>
  </si>
  <si>
    <t>2022-04-11 11:57:22 UTC</t>
  </si>
  <si>
    <t>2022-04-11 11:57:20 UTC</t>
  </si>
  <si>
    <t>2022-04-11 11:57:19 UTC</t>
  </si>
  <si>
    <t>2022-04-11 11:57:18 UTC</t>
  </si>
  <si>
    <t>2022-04-11 11:57:17 UTC</t>
  </si>
  <si>
    <t>2022-04-11 11:57:15 UTC</t>
  </si>
  <si>
    <t>2022-04-11 11:57:14 UTC</t>
  </si>
  <si>
    <t>2022-04-11 11:57:13 UTC</t>
  </si>
  <si>
    <t>2022-04-11 11:57:11 UTC</t>
  </si>
  <si>
    <t>2022-04-11 11:57:10 UTC</t>
  </si>
  <si>
    <t>2022-04-11 11:57:09 UTC</t>
  </si>
  <si>
    <t>2022-04-11 11:57:07 UTC</t>
  </si>
  <si>
    <t>2022-04-11 11:57:06 UTC</t>
  </si>
  <si>
    <t>2022-04-11 11:57:04 UTC</t>
  </si>
  <si>
    <t>2022-04-11 11:56:22 UTC</t>
  </si>
  <si>
    <t>88fcb6ce2df42be7d2db79fb0b6e8bd0</t>
  </si>
  <si>
    <t>2022-04-11 11:56:20 UTC</t>
  </si>
  <si>
    <t>2022-04-11 11:56:09 UTC</t>
  </si>
  <si>
    <t>2022-04-11 11:55:45 UTC</t>
  </si>
  <si>
    <t>2022-04-11 11:55:23 UTC</t>
  </si>
  <si>
    <t>2022-04-11 11:54:04 UTC</t>
  </si>
  <si>
    <t>2022-04-11 11:52:09 UTC</t>
  </si>
  <si>
    <t>2022-04-11 11:52:07 UTC</t>
  </si>
  <si>
    <t>2022-04-11 11:51:08 UTC</t>
  </si>
  <si>
    <t>4dfbbebbe0051d0f57669e6ffdf528fd</t>
  </si>
  <si>
    <t>2022-04-11 11:50:21 UTC</t>
  </si>
  <si>
    <t>2022-04-11 11:47:57 UTC</t>
  </si>
  <si>
    <t>2022-04-11 11:47:53 UTC</t>
  </si>
  <si>
    <t>2022-04-11 11:47:51 UTC</t>
  </si>
  <si>
    <t>2022-04-11 11:47:50 UTC</t>
  </si>
  <si>
    <t>2022-04-11 11:47:48 UTC</t>
  </si>
  <si>
    <t>2022-04-11 11:47:42 UTC</t>
  </si>
  <si>
    <t>2022-04-11 11:47:40 UTC</t>
  </si>
  <si>
    <t>2022-04-11 11:46:39 UTC</t>
  </si>
  <si>
    <t>2022-04-11 11:46:35 UTC</t>
  </si>
  <si>
    <t>2022-04-11 11:46:33 UTC</t>
  </si>
  <si>
    <t>efc7f281275af5aeb62b42382cc413d4</t>
  </si>
  <si>
    <t>2022-04-11 11:46:28 UTC</t>
  </si>
  <si>
    <t>2022-04-11 11:45:06 UTC</t>
  </si>
  <si>
    <t>2022-04-11 11:45:05 UTC</t>
  </si>
  <si>
    <t>2022-04-11 11:43:34 UTC</t>
  </si>
  <si>
    <t>2022-04-11 11:43:11 UTC</t>
  </si>
  <si>
    <t>2022-04-11 11:42:24 UTC</t>
  </si>
  <si>
    <t>2022-04-11 11:42:18 UTC</t>
  </si>
  <si>
    <t>2022-04-11 11:42:14 UTC</t>
  </si>
  <si>
    <t>2022-04-11 11:42:09 UTC</t>
  </si>
  <si>
    <t>2022-04-11 11:42:00 UTC</t>
  </si>
  <si>
    <t>fb73c0d84844b548e27d4e8d429ae7d5</t>
  </si>
  <si>
    <t>2022-04-11 11:41:54 UTC</t>
  </si>
  <si>
    <t>19c09e9f2b6e35b5dab22dadd44729d0</t>
  </si>
  <si>
    <t>2022-04-11 11:41:49 UTC</t>
  </si>
  <si>
    <t>2022-04-11 11:41:11 UTC</t>
  </si>
  <si>
    <t>dd656c56b92d5d545120737988e89a16</t>
  </si>
  <si>
    <t>2022-04-11 11:41:01 UTC</t>
  </si>
  <si>
    <t>2022-04-11 11:40:52 UTC</t>
  </si>
  <si>
    <t>2022-04-11 11:40:50 UTC</t>
  </si>
  <si>
    <t>848fd6499cc2ee95f2899e4c310a9937</t>
  </si>
  <si>
    <t>2022-04-11 11:40:48 UTC</t>
  </si>
  <si>
    <t>2022-04-11 11:40:43 UTC</t>
  </si>
  <si>
    <t>2022-04-11 11:40:35 UTC</t>
  </si>
  <si>
    <t>2022-04-11 11:40:02 UTC</t>
  </si>
  <si>
    <t>2022-04-11 11:39:35 UTC</t>
  </si>
  <si>
    <t>2022-04-11 11:38:58 UTC</t>
  </si>
  <si>
    <t>2022-04-11 11:38:49 UTC</t>
  </si>
  <si>
    <t>4cf45f5edf3fac63abe5306e85d9a3cb</t>
  </si>
  <si>
    <t>2022-04-11 11:38:45 UTC</t>
  </si>
  <si>
    <t>2022-04-11 11:38:40 UTC</t>
  </si>
  <si>
    <t>2022-04-11 11:38:28 UTC</t>
  </si>
  <si>
    <t>decac8fc1b079c0b21f7b5ac492c5fa7</t>
  </si>
  <si>
    <t>2022-04-11 11:38:26 UTC</t>
  </si>
  <si>
    <t>2022-04-11 11:38:07 UTC</t>
  </si>
  <si>
    <t>796d93a20f3e937ad2ca346da5c5a4af</t>
  </si>
  <si>
    <t>2022-04-11 11:37:08 UTC</t>
  </si>
  <si>
    <t>e4699fe7ae007a745b3c8a9a7a706fff</t>
  </si>
  <si>
    <t>2022-04-11 11:36:04 UTC</t>
  </si>
  <si>
    <t>291a5047b23cdc5bca5fcc0138044c41</t>
  </si>
  <si>
    <t>2022-04-11 11:36:02 UTC</t>
  </si>
  <si>
    <t>2022-04-11 11:34:22 UTC</t>
  </si>
  <si>
    <t>4b3a1747c5f6beac7adde20e317832ee</t>
  </si>
  <si>
    <t>2022-04-11 11:32:36 UTC</t>
  </si>
  <si>
    <t>2022-04-11 11:32:21 UTC</t>
  </si>
  <si>
    <t>2022-04-11 11:32:13 UTC</t>
  </si>
  <si>
    <t>2022-04-11 11:31:42 UTC</t>
  </si>
  <si>
    <t>2022-04-11 11:31:34 UTC</t>
  </si>
  <si>
    <t>2022-04-11 11:31:10 UTC</t>
  </si>
  <si>
    <t>2022-04-11 11:31:07 UTC</t>
  </si>
  <si>
    <t>13b5d49f0d86490e864ab049c820be49</t>
  </si>
  <si>
    <t>2022-04-11 11:31:03 UTC</t>
  </si>
  <si>
    <t>2022-04-11 11:30:54 UTC</t>
  </si>
  <si>
    <t>2022-04-11 11:30:52 UTC</t>
  </si>
  <si>
    <t>2022-04-11 11:29:19 UTC</t>
  </si>
  <si>
    <t>38ac2e624d35d475c32d755927d2988f</t>
  </si>
  <si>
    <t>2022-04-11 11:28:59 UTC</t>
  </si>
  <si>
    <t>2022-04-11 11:28:55 UTC</t>
  </si>
  <si>
    <t>2022-04-11 11:28:52 UTC</t>
  </si>
  <si>
    <t>2022-04-11 11:28:36 UTC</t>
  </si>
  <si>
    <t>25793a2f1ebdde83d4ede695b895d86d</t>
  </si>
  <si>
    <t>2022-04-11 11:27:13 UTC</t>
  </si>
  <si>
    <t>2022-04-11 11:26:22 UTC</t>
  </si>
  <si>
    <t>2022-04-11 11:26:19 UTC</t>
  </si>
  <si>
    <t>9498449afcd4705f424cea2fbfa701f4</t>
  </si>
  <si>
    <t>2022-04-11 11:26:08 UTC</t>
  </si>
  <si>
    <t>e56a7b370c90d964348d843adefbb2cc</t>
  </si>
  <si>
    <t>2022-04-11 11:25:57 UTC</t>
  </si>
  <si>
    <t>2022-04-11 11:25:50 UTC</t>
  </si>
  <si>
    <t>2022-04-11 11:25:48 UTC</t>
  </si>
  <si>
    <t>2022-04-11 11:25:44 UTC</t>
  </si>
  <si>
    <t>2022-04-11 11:25:43 UTC</t>
  </si>
  <si>
    <t>2022-04-11 11:25:31 UTC</t>
  </si>
  <si>
    <t>bbd94ab5da8f2525ec20a4ed9ea55a5c</t>
  </si>
  <si>
    <t>2022-04-11 11:25:12 UTC</t>
  </si>
  <si>
    <t>2022-04-11 11:25:10 UTC</t>
  </si>
  <si>
    <t>2022-04-11 11:24:25 UTC</t>
  </si>
  <si>
    <t>2022-04-11 11:23:55 UTC</t>
  </si>
  <si>
    <t>a1155ed0e2f3a4edd1f4046980d51e1a</t>
  </si>
  <si>
    <t>2022-04-11 11:23:49 UTC</t>
  </si>
  <si>
    <t>2022-04-11 11:23:48 UTC</t>
  </si>
  <si>
    <t>2022-04-11 11:23:46 UTC</t>
  </si>
  <si>
    <t>2022-04-11 11:23:43 UTC</t>
  </si>
  <si>
    <t>2022-04-11 11:23:41 UTC</t>
  </si>
  <si>
    <t>2022-04-11 11:23:37 UTC</t>
  </si>
  <si>
    <t>2022-04-11 11:23:35 UTC</t>
  </si>
  <si>
    <t>2022-04-11 11:23:00 UTC</t>
  </si>
  <si>
    <t>2022-04-11 11:22:56 UTC</t>
  </si>
  <si>
    <t>2022-04-11 11:22:55 UTC</t>
  </si>
  <si>
    <t>2022-04-11 11:22:53 UTC</t>
  </si>
  <si>
    <t>2022-04-11 11:22:50 UTC</t>
  </si>
  <si>
    <t>2022-04-11 11:22:49 UTC</t>
  </si>
  <si>
    <t>2022-04-11 11:22:47 UTC</t>
  </si>
  <si>
    <t>2022-04-11 11:22:45 UTC</t>
  </si>
  <si>
    <t>2022-04-11 11:22:43 UTC</t>
  </si>
  <si>
    <t>2022-04-11 11:22:39 UTC</t>
  </si>
  <si>
    <t>2022-04-11 11:22:23 UTC</t>
  </si>
  <si>
    <t>2022-04-11 11:22:22 UTC</t>
  </si>
  <si>
    <t>2022-04-11 11:22:15 UTC</t>
  </si>
  <si>
    <t>2022-04-11 11:22:14 UTC</t>
  </si>
  <si>
    <t>2022-04-11 11:22:07 UTC</t>
  </si>
  <si>
    <t>2022-04-11 11:22:05 UTC</t>
  </si>
  <si>
    <t>2022-04-11 11:22:03 UTC</t>
  </si>
  <si>
    <t>2022-04-11 11:21:41 UTC</t>
  </si>
  <si>
    <t>2022-04-11 11:21:17 UTC</t>
  </si>
  <si>
    <t>2022-04-11 11:21:15 UTC</t>
  </si>
  <si>
    <t>2022-04-11 11:20:52 UTC</t>
  </si>
  <si>
    <t>ee8d5c7ae9a9531e7e077136b47758c4</t>
  </si>
  <si>
    <t>2022-04-11 11:20:22 UTC</t>
  </si>
  <si>
    <t>2022-04-11 11:20:21 UTC</t>
  </si>
  <si>
    <t>2022-04-11 11:20:20 UTC</t>
  </si>
  <si>
    <t>2022-04-11 11:20:19 UTC</t>
  </si>
  <si>
    <t>2022-04-11 11:20:18 UTC</t>
  </si>
  <si>
    <t>2022-04-11 11:20:17 UTC</t>
  </si>
  <si>
    <t>2022-04-11 11:20:16 UTC</t>
  </si>
  <si>
    <t>2022-04-11 11:20:15 UTC</t>
  </si>
  <si>
    <t>2022-04-11 11:20:14 UTC</t>
  </si>
  <si>
    <t>2022-04-11 11:20:12 UTC</t>
  </si>
  <si>
    <t>2022-04-11 11:20:11 UTC</t>
  </si>
  <si>
    <t>2022-04-11 11:20:10 UTC</t>
  </si>
  <si>
    <t>2022-04-11 11:20:09 UTC</t>
  </si>
  <si>
    <t>2022-04-11 11:20:08 UTC</t>
  </si>
  <si>
    <t>2022-04-11 11:20:07 UTC</t>
  </si>
  <si>
    <t>2022-04-11 11:20:06 UTC</t>
  </si>
  <si>
    <t>2022-04-11 11:20:05 UTC</t>
  </si>
  <si>
    <t>2022-04-11 11:20:04 UTC</t>
  </si>
  <si>
    <t>2022-04-11 11:20:03 UTC</t>
  </si>
  <si>
    <t>2022-04-11 11:20:02 UTC</t>
  </si>
  <si>
    <t>2022-04-11 11:20:01 UTC</t>
  </si>
  <si>
    <t>2022-04-11 11:20:00 UTC</t>
  </si>
  <si>
    <t>2022-04-11 11:19:59 UTC</t>
  </si>
  <si>
    <t>2022-04-11 11:19:58 UTC</t>
  </si>
  <si>
    <t>2022-04-11 11:19:57 UTC</t>
  </si>
  <si>
    <t>2022-04-11 11:19:56 UTC</t>
  </si>
  <si>
    <t>2022-04-11 11:19:55 UTC</t>
  </si>
  <si>
    <t>2022-04-11 11:19:54 UTC</t>
  </si>
  <si>
    <t>2022-04-11 11:19:53 UTC</t>
  </si>
  <si>
    <t>1f82756933b6ae4560ad8d1726a73093</t>
  </si>
  <si>
    <t>2022-04-11 11:19:51 UTC</t>
  </si>
  <si>
    <t>2022-04-11 11:19:50 UTC</t>
  </si>
  <si>
    <t>2022-04-11 11:19:49 UTC</t>
  </si>
  <si>
    <t>2022-04-11 11:19:48 UTC</t>
  </si>
  <si>
    <t>2022-04-11 11:19:47 UTC</t>
  </si>
  <si>
    <t>2022-04-11 11:19:46 UTC</t>
  </si>
  <si>
    <t>2022-04-11 11:19:45 UTC</t>
  </si>
  <si>
    <t>2022-04-11 11:19:44 UTC</t>
  </si>
  <si>
    <t>2022-04-11 11:19:43 UTC</t>
  </si>
  <si>
    <t>2022-04-11 11:19:42 UTC</t>
  </si>
  <si>
    <t>2022-04-11 11:19:41 UTC</t>
  </si>
  <si>
    <t>2022-04-11 11:19:40 UTC</t>
  </si>
  <si>
    <t>2022-04-11 11:19:39 UTC</t>
  </si>
  <si>
    <t>2022-04-11 11:19:22 UTC</t>
  </si>
  <si>
    <t>2022-04-11 11:19:19 UTC</t>
  </si>
  <si>
    <t>2022-04-11 11:19:15 UTC</t>
  </si>
  <si>
    <t>2022-04-11 11:17:58 UTC</t>
  </si>
  <si>
    <t>f06accb322f262dc319a7859cf46992d</t>
  </si>
  <si>
    <t>2022-04-11 11:17:39 UTC</t>
  </si>
  <si>
    <t>2022-04-11 11:16:44 UTC</t>
  </si>
  <si>
    <t>2022-04-11 11:16:37 UTC</t>
  </si>
  <si>
    <t>d368c7f4e78f87a621ec011d8ab30101</t>
  </si>
  <si>
    <t>2022-04-11 11:16:35 UTC</t>
  </si>
  <si>
    <t>2022-04-11 11:16:04 UTC</t>
  </si>
  <si>
    <t>2022-04-11 11:15:59 UTC</t>
  </si>
  <si>
    <t>df495ebe85542503fa64472dfd378c77</t>
  </si>
  <si>
    <t>2022-04-11 11:15:13 UTC</t>
  </si>
  <si>
    <t>2022-04-11 11:15:10 UTC</t>
  </si>
  <si>
    <t>2022-04-11 11:15:06 UTC</t>
  </si>
  <si>
    <t>2022-04-11 11:14:19 UTC</t>
  </si>
  <si>
    <t>2022-04-11 11:14:17 UTC</t>
  </si>
  <si>
    <t>21671509a5c445e1593a5808470bbe3c</t>
  </si>
  <si>
    <t>2022-04-11 11:14:08 UTC</t>
  </si>
  <si>
    <t>2022-04-11 11:13:46 UTC</t>
  </si>
  <si>
    <t>2022-04-11 11:13:26 UTC</t>
  </si>
  <si>
    <t>2022-04-11 11:13:00 UTC</t>
  </si>
  <si>
    <t>2022-04-11 11:12:57 UTC</t>
  </si>
  <si>
    <t>2022-04-11 11:12:55 UTC</t>
  </si>
  <si>
    <t>2022-04-11 11:12:53 UTC</t>
  </si>
  <si>
    <t>2022-04-11 11:12:51 UTC</t>
  </si>
  <si>
    <t>2022-04-11 11:12:42 UTC</t>
  </si>
  <si>
    <t>2022-04-11 11:12:39 UTC</t>
  </si>
  <si>
    <t>2022-04-11 11:12:37 UTC</t>
  </si>
  <si>
    <t>2022-04-11 11:12:34 UTC</t>
  </si>
  <si>
    <t>2022-04-11 11:11:58 UTC</t>
  </si>
  <si>
    <t>2022-04-11 11:11:53 UTC</t>
  </si>
  <si>
    <t>2022-04-11 11:11:49 UTC</t>
  </si>
  <si>
    <t>2022-04-11 11:11:45 UTC</t>
  </si>
  <si>
    <t>2022-04-11 11:11:41 UTC</t>
  </si>
  <si>
    <t>2022-04-11 11:11:38 UTC</t>
  </si>
  <si>
    <t>2022-04-11 11:11:36 UTC</t>
  </si>
  <si>
    <t>2022-04-11 11:11:35 UTC</t>
  </si>
  <si>
    <t>2022-04-11 11:11:33 UTC</t>
  </si>
  <si>
    <t>2022-04-11 11:11:31 UTC</t>
  </si>
  <si>
    <t>2022-04-11 11:11:29 UTC</t>
  </si>
  <si>
    <t>2022-04-11 11:11:28 UTC</t>
  </si>
  <si>
    <t>2022-04-11 11:11:26 UTC</t>
  </si>
  <si>
    <t>2022-04-11 11:11:24 UTC</t>
  </si>
  <si>
    <t>2022-04-11 11:11:23 UTC</t>
  </si>
  <si>
    <t>2022-04-11 11:11:21 UTC</t>
  </si>
  <si>
    <t>2022-04-11 11:11:20 UTC</t>
  </si>
  <si>
    <t>2022-04-11 11:11:15 UTC</t>
  </si>
  <si>
    <t>2022-04-11 11:11:13 UTC</t>
  </si>
  <si>
    <t>2022-04-11 11:11:10 UTC</t>
  </si>
  <si>
    <t>2022-04-11 11:11:09 UTC</t>
  </si>
  <si>
    <t>2022-04-11 11:11:07 UTC</t>
  </si>
  <si>
    <t>2022-04-11 11:11:05 UTC</t>
  </si>
  <si>
    <t>2022-04-11 11:11:04 UTC</t>
  </si>
  <si>
    <t>2022-04-11 11:11:02 UTC</t>
  </si>
  <si>
    <t>2022-04-11 11:11:01 UTC</t>
  </si>
  <si>
    <t>2022-04-11 11:11:00 UTC</t>
  </si>
  <si>
    <t>2022-04-11 11:10:58 UTC</t>
  </si>
  <si>
    <t>2022-04-11 11:10:54 UTC</t>
  </si>
  <si>
    <t>2022-04-11 11:10:49 UTC</t>
  </si>
  <si>
    <t>fd7499ef7bb973474ea1d4128f6a1281</t>
  </si>
  <si>
    <t>2022-04-11 11:08:28 UTC</t>
  </si>
  <si>
    <t>60e38c4f99b0ad661d4e847ff5ba698f</t>
  </si>
  <si>
    <t>2022-04-11 11:08:22 UTC</t>
  </si>
  <si>
    <t>2022-04-11 11:08:14 UTC</t>
  </si>
  <si>
    <t>2022-04-11 11:08:12 UTC</t>
  </si>
  <si>
    <t>2022-04-11 11:08:07 UTC</t>
  </si>
  <si>
    <t>2022-04-11 11:08:01 UTC</t>
  </si>
  <si>
    <t>2022-04-11 11:07:50 UTC</t>
  </si>
  <si>
    <t>2022-04-11 11:07:45 UTC</t>
  </si>
  <si>
    <t>2022-04-11 11:07:42 UTC</t>
  </si>
  <si>
    <t>2022-04-11 11:07:13 UTC</t>
  </si>
  <si>
    <t>2022-04-11 11:06:51 UTC</t>
  </si>
  <si>
    <t>2022-04-11 11:06:47 UTC</t>
  </si>
  <si>
    <t>2022-04-11 11:06:35 UTC</t>
  </si>
  <si>
    <t>2022-04-11 11:06:30 UTC</t>
  </si>
  <si>
    <t>2022-04-11 11:06:26 UTC</t>
  </si>
  <si>
    <t>2022-04-11 11:06:13 UTC</t>
  </si>
  <si>
    <t>2022-04-11 11:04:51 UTC</t>
  </si>
  <si>
    <t>2022-04-11 11:04:41 UTC</t>
  </si>
  <si>
    <t>2022-04-11 11:04:37 UTC</t>
  </si>
  <si>
    <t>84f37da968eed0d309ca14b37914d285</t>
  </si>
  <si>
    <t>2022-04-11 11:04:32 UTC</t>
  </si>
  <si>
    <t>2022-04-11 11:04:28 UTC</t>
  </si>
  <si>
    <t>4ec646eb4f04f100bfa82f566e4b005f</t>
  </si>
  <si>
    <t>2022-04-11 11:04:20 UTC</t>
  </si>
  <si>
    <t>2022-04-11 11:04:19 UTC</t>
  </si>
  <si>
    <t>f2361ab1c0e6d23215a8bad50ebd9cca</t>
  </si>
  <si>
    <t>2022-04-11 11:04:17 UTC</t>
  </si>
  <si>
    <t>2022-04-11 11:04:16 UTC</t>
  </si>
  <si>
    <t>2022-04-11 11:04:14 UTC</t>
  </si>
  <si>
    <t>2022-04-11 11:04:13 UTC</t>
  </si>
  <si>
    <t>2022-04-11 11:04:11 UTC</t>
  </si>
  <si>
    <t>2022-04-11 11:04:03 UTC</t>
  </si>
  <si>
    <t>2022-04-11 11:03:48 UTC</t>
  </si>
  <si>
    <t>2022-04-11 11:03:45 UTC</t>
  </si>
  <si>
    <t>2022-04-11 11:03:42 UTC</t>
  </si>
  <si>
    <t>2022-04-11 11:03:35 UTC</t>
  </si>
  <si>
    <t>2022-04-11 11:03:29 UTC</t>
  </si>
  <si>
    <t>2022-04-11 11:03:26 UTC</t>
  </si>
  <si>
    <t>2022-04-11 11:03:23 UTC</t>
  </si>
  <si>
    <t>2022-04-11 11:03:20 UTC</t>
  </si>
  <si>
    <t>2022-04-11 11:03:18 UTC</t>
  </si>
  <si>
    <t>2022-04-11 11:03:17 UTC</t>
  </si>
  <si>
    <t>741ad222745fa618315457313cb82435</t>
  </si>
  <si>
    <t>2022-04-11 11:03:13 UTC</t>
  </si>
  <si>
    <t>2022-04-11 11:02:33 UTC</t>
  </si>
  <si>
    <t>2022-04-11 11:02:31 UTC</t>
  </si>
  <si>
    <t>24f0e41b13ddd9a1a8b26abf698c8ad4</t>
  </si>
  <si>
    <t>2022-04-11 11:02:11 UTC</t>
  </si>
  <si>
    <t>3431ca4a3f86e9f8b9a37f0e845019de</t>
  </si>
  <si>
    <t>2022-04-11 11:02:08 UTC</t>
  </si>
  <si>
    <t>085cd98d0376e233e5f75f69cc777e37</t>
  </si>
  <si>
    <t>2022-04-11 11:02:05 UTC</t>
  </si>
  <si>
    <t>fe6c301b75f1bbe9244f872c9841bae0</t>
  </si>
  <si>
    <t>2022-04-11 11:01:57 UTC</t>
  </si>
  <si>
    <t>2022-04-11 11:00:44 UTC</t>
  </si>
  <si>
    <t>2022-04-11 10:59:46 UTC</t>
  </si>
  <si>
    <t>2022-04-11 10:58:41 UTC</t>
  </si>
  <si>
    <t>2022-04-11 10:54:10 UTC</t>
  </si>
  <si>
    <t>6236bb0455a02c42d10d31c2bd6fed36</t>
  </si>
  <si>
    <t>2022-04-11 10:53:57 UTC</t>
  </si>
  <si>
    <t>2022-04-11 10:53:50 UTC</t>
  </si>
  <si>
    <t>2022-04-11 10:53:43 UTC</t>
  </si>
  <si>
    <t>2022-04-11 10:53:41 UTC</t>
  </si>
  <si>
    <t>9ca26bc54582903cf7ab5a3508b33054</t>
  </si>
  <si>
    <t>2022-04-11 10:53:40 UTC</t>
  </si>
  <si>
    <t>2022-04-11 10:53:31 UTC</t>
  </si>
  <si>
    <t>2022-04-11 10:53:14 UTC</t>
  </si>
  <si>
    <t>f69c117c8a5e2cc7c583a5f6d0d12aa8</t>
  </si>
  <si>
    <t>2022-04-11 10:52:25 UTC</t>
  </si>
  <si>
    <t>2022-04-11 10:52:16 UTC</t>
  </si>
  <si>
    <t>372c4432100fe985d6e7f1bb48a8093f</t>
  </si>
  <si>
    <t>2022-04-11 10:52:11 UTC</t>
  </si>
  <si>
    <t>2022-04-11 10:51:45 UTC</t>
  </si>
  <si>
    <t>2022-04-11 10:51:29 UTC</t>
  </si>
  <si>
    <t>2022-04-11 10:51:04 UTC</t>
  </si>
  <si>
    <t>2022-04-11 10:50:37 UTC</t>
  </si>
  <si>
    <t>2022-04-11 10:50:34 UTC</t>
  </si>
  <si>
    <t>2022-04-11 10:50:31 UTC</t>
  </si>
  <si>
    <t>2022-04-11 10:49:26 UTC</t>
  </si>
  <si>
    <t>2022-04-11 10:49:20 UTC</t>
  </si>
  <si>
    <t>2022-04-11 10:48:39 UTC</t>
  </si>
  <si>
    <t>2022-04-11 10:48:12 UTC</t>
  </si>
  <si>
    <t>2022-04-11 10:47:29 UTC</t>
  </si>
  <si>
    <t>0a1714fa1148ad621b4ae50c9fc31bfa</t>
  </si>
  <si>
    <t>2022-04-11 10:47:04 UTC</t>
  </si>
  <si>
    <t>9d450ac39e424180bd1501d46a4da2da</t>
  </si>
  <si>
    <t>2022-04-11 10:46:49 UTC</t>
  </si>
  <si>
    <t>f4b9e1226ed1383f4bee941182addaca</t>
  </si>
  <si>
    <t>2022-04-11 10:45:50 UTC</t>
  </si>
  <si>
    <t>2022-04-11 10:45:49 UTC</t>
  </si>
  <si>
    <t>2022-04-11 10:45:47 UTC</t>
  </si>
  <si>
    <t>2022-04-11 10:45:44 UTC</t>
  </si>
  <si>
    <t>2022-04-11 10:45:38 UTC</t>
  </si>
  <si>
    <t>2022-04-11 10:45:32 UTC</t>
  </si>
  <si>
    <t>2022-04-11 10:45:27 UTC</t>
  </si>
  <si>
    <t>2022-04-11 10:45:26 UTC</t>
  </si>
  <si>
    <t>2022-04-11 10:45:16 UTC</t>
  </si>
  <si>
    <t>2022-04-11 10:45:10 UTC</t>
  </si>
  <si>
    <t>2022-04-11 10:45:08 UTC</t>
  </si>
  <si>
    <t>2022-04-11 10:45:06 UTC</t>
  </si>
  <si>
    <t>2022-04-11 10:45:04 UTC</t>
  </si>
  <si>
    <t>2022-04-11 10:44:20 UTC</t>
  </si>
  <si>
    <t>78c5eaec19c940d9cb6d8bab591845bf</t>
  </si>
  <si>
    <t>2022-04-11 10:44:19 UTC</t>
  </si>
  <si>
    <t>416cd5e3a7c87183bfa28e6c42cb0fef</t>
  </si>
  <si>
    <t>2022-04-11 10:44:09 UTC</t>
  </si>
  <si>
    <t>b459ca494cd19580e6416907a395e6ed</t>
  </si>
  <si>
    <t>2022-04-11 10:43:50 UTC</t>
  </si>
  <si>
    <t>fd26132a4d47874d6bb6bd741e2215d1</t>
  </si>
  <si>
    <t>2022-04-11 10:43:23 UTC</t>
  </si>
  <si>
    <t>2022-04-11 10:43:07 UTC</t>
  </si>
  <si>
    <t>2022-04-11 10:43:05 UTC</t>
  </si>
  <si>
    <t>2022-04-11 10:42:43 UTC</t>
  </si>
  <si>
    <t>68806c29bcede1c931e0282e19e2e857</t>
  </si>
  <si>
    <t>2022-04-11 10:42:39 UTC</t>
  </si>
  <si>
    <t>2022-04-11 10:42:22 UTC</t>
  </si>
  <si>
    <t>65797a7251f7284dd14443ba2f2fed45</t>
  </si>
  <si>
    <t>2022-04-11 10:41:45 UTC</t>
  </si>
  <si>
    <t>2022-04-11 10:41:42 UTC</t>
  </si>
  <si>
    <t>14530b970fc4412769796617147ead46</t>
  </si>
  <si>
    <t>2022-04-11 10:41:41 UTC</t>
  </si>
  <si>
    <t>2022-04-11 10:41:31 UTC</t>
  </si>
  <si>
    <t>2022-04-11 10:41:30 UTC</t>
  </si>
  <si>
    <t>439d8a7ce9b7647705d81600a4e33219</t>
  </si>
  <si>
    <t>2022-04-11 10:41:29 UTC</t>
  </si>
  <si>
    <t>2022-04-11 10:41:28 UTC</t>
  </si>
  <si>
    <t>2022-04-11 10:41:26 UTC</t>
  </si>
  <si>
    <t>2022-04-11 10:41:25 UTC</t>
  </si>
  <si>
    <t>2022-04-11 10:41:09 UTC</t>
  </si>
  <si>
    <t>2022-04-11 10:41:06 UTC</t>
  </si>
  <si>
    <t>f9adc3ea888252f223504a77317f43c9</t>
  </si>
  <si>
    <t>2022-04-11 10:40:58 UTC</t>
  </si>
  <si>
    <t>2022-04-11 10:40:52 UTC</t>
  </si>
  <si>
    <t>2022-04-11 10:40:51 UTC</t>
  </si>
  <si>
    <t>2022-04-11 10:40:49 UTC</t>
  </si>
  <si>
    <t>63c691db645157cdedf0fc60a48e6a0d</t>
  </si>
  <si>
    <t>8de053e8dc6867e5709ca75c72665f29</t>
  </si>
  <si>
    <t>2022-04-11 10:40:48 UTC</t>
  </si>
  <si>
    <t>2022-04-11 10:40:42 UTC</t>
  </si>
  <si>
    <t>2022-04-11 10:40:40 UTC</t>
  </si>
  <si>
    <t>2022-04-11 10:40:39 UTC</t>
  </si>
  <si>
    <t>2022-04-11 10:40:37 UTC</t>
  </si>
  <si>
    <t>2022-04-11 10:40:34 UTC</t>
  </si>
  <si>
    <t>2022-04-11 10:40:26 UTC</t>
  </si>
  <si>
    <t>2022-04-11 10:39:55 UTC</t>
  </si>
  <si>
    <t>2022-04-11 10:39:25 UTC</t>
  </si>
  <si>
    <t>2022-04-11 10:39:17 UTC</t>
  </si>
  <si>
    <t>2022-04-11 10:38:56 UTC</t>
  </si>
  <si>
    <t>2022-04-11 10:38:27 UTC</t>
  </si>
  <si>
    <t>2022-04-11 10:38:25 UTC</t>
  </si>
  <si>
    <t>2022-04-11 10:37:46 UTC</t>
  </si>
  <si>
    <t>2022-04-11 10:37:44 UTC</t>
  </si>
  <si>
    <t>2022-04-11 10:37:43 UTC</t>
  </si>
  <si>
    <t>2022-04-11 10:37:41 UTC</t>
  </si>
  <si>
    <t>2022-04-11 10:37:37 UTC</t>
  </si>
  <si>
    <t>2022-04-11 10:37:36 UTC</t>
  </si>
  <si>
    <t>2022-04-11 10:37:34 UTC</t>
  </si>
  <si>
    <t>2022-04-11 10:37:33 UTC</t>
  </si>
  <si>
    <t>2022-04-11 10:37:29 UTC</t>
  </si>
  <si>
    <t>247bc44fb7f460dedf60cd5dce73cd48</t>
  </si>
  <si>
    <t>2022-04-11 10:37:27 UTC</t>
  </si>
  <si>
    <t>2022-04-11 10:37:25 UTC</t>
  </si>
  <si>
    <t>2022-04-11 10:37:16 UTC</t>
  </si>
  <si>
    <t>b724c2c6abf9da89c5ca7cbadee7d859</t>
  </si>
  <si>
    <t>2022-04-11 10:37:10 UTC</t>
  </si>
  <si>
    <t>794a89b9e70bdebacd20fae4ebeb9b2a</t>
  </si>
  <si>
    <t>2022-04-11 10:36:14 UTC</t>
  </si>
  <si>
    <t>2022-04-11 10:36:09 UTC</t>
  </si>
  <si>
    <t>2022-04-11 10:35:43 UTC</t>
  </si>
  <si>
    <t>7487691c4c2f616a2743139b0cf05aaa</t>
  </si>
  <si>
    <t>2022-04-11 10:35:36 UTC</t>
  </si>
  <si>
    <t>2022-04-11 10:34:25 UTC</t>
  </si>
  <si>
    <t>2022-04-11 10:34:23 UTC</t>
  </si>
  <si>
    <t>2022-04-11 10:34:20 UTC</t>
  </si>
  <si>
    <t>2022-04-11 10:34:18 UTC</t>
  </si>
  <si>
    <t>2022-04-11 10:34:15 UTC</t>
  </si>
  <si>
    <t>2022-04-11 10:33:49 UTC</t>
  </si>
  <si>
    <t>0472251747b3736193a5164006e89335</t>
  </si>
  <si>
    <t>2022-04-11 10:33:40 UTC</t>
  </si>
  <si>
    <t>2022-04-11 10:33:37 UTC</t>
  </si>
  <si>
    <t>2022-04-11 10:33:07 UTC</t>
  </si>
  <si>
    <t>2022-04-11 10:33:01 UTC</t>
  </si>
  <si>
    <t>2022-04-11 10:33:00 UTC</t>
  </si>
  <si>
    <t>2022-04-11 10:32:57 UTC</t>
  </si>
  <si>
    <t>2022-04-11 10:32:54 UTC</t>
  </si>
  <si>
    <t>2022-04-11 10:32:52 UTC</t>
  </si>
  <si>
    <t>2022-04-11 10:32:47 UTC</t>
  </si>
  <si>
    <t>45c91319c6d5100942d105f4feaf0e81</t>
  </si>
  <si>
    <t>2022-04-11 10:32:45 UTC</t>
  </si>
  <si>
    <t>2022-04-11 10:32:38 UTC</t>
  </si>
  <si>
    <t>2022-04-11 10:32:34 UTC</t>
  </si>
  <si>
    <t>2022-04-11 10:32:31 UTC</t>
  </si>
  <si>
    <t>2022-04-11 10:32:28 UTC</t>
  </si>
  <si>
    <t>2022-04-11 10:32:25 UTC</t>
  </si>
  <si>
    <t>2022-04-11 10:32:13 UTC</t>
  </si>
  <si>
    <t>2022-04-11 10:31:25 UTC</t>
  </si>
  <si>
    <t>2022-04-11 10:31:24 UTC</t>
  </si>
  <si>
    <t>2022-04-11 10:31:03 UTC</t>
  </si>
  <si>
    <t>2022-04-11 10:30:14 UTC</t>
  </si>
  <si>
    <t>2022-04-11 10:30:11 UTC</t>
  </si>
  <si>
    <t>2022-04-11 10:30:07 UTC</t>
  </si>
  <si>
    <t>2022-04-11 10:30:04 UTC</t>
  </si>
  <si>
    <t>9c305e5338d05108a3247cfa69bad5ef</t>
  </si>
  <si>
    <t>2022-04-11 10:30:02 UTC</t>
  </si>
  <si>
    <t>2022-04-11 10:29:56 UTC</t>
  </si>
  <si>
    <t>2022-04-11 10:29:51 UTC</t>
  </si>
  <si>
    <t>2022-04-11 10:29:45 UTC</t>
  </si>
  <si>
    <t>2022-04-11 10:29:41 UTC</t>
  </si>
  <si>
    <t>2022-04-11 10:29:37 UTC</t>
  </si>
  <si>
    <t>2022-04-11 10:29:31 UTC</t>
  </si>
  <si>
    <t>2022-04-11 10:29:30 UTC</t>
  </si>
  <si>
    <t>764e46b5c236fadbdf0fe20e110e1a81</t>
  </si>
  <si>
    <t>2022-04-11 10:28:45 UTC</t>
  </si>
  <si>
    <t>fe5738445157dca9c28fabae82e52a55</t>
  </si>
  <si>
    <t>2022-04-11 10:28:27 UTC</t>
  </si>
  <si>
    <t>2022-04-11 10:28:22 UTC</t>
  </si>
  <si>
    <t>2022-04-11 10:28:19 UTC</t>
  </si>
  <si>
    <t>2022-04-11 10:28:01 UTC</t>
  </si>
  <si>
    <t>ba6c855d857b632d1c0f6b9a8abfe554</t>
  </si>
  <si>
    <t>2022-04-11 10:27:32 UTC</t>
  </si>
  <si>
    <t>9ac3452c4970e2f53962733f67e388fd</t>
  </si>
  <si>
    <t>2022-04-11 10:27:20 UTC</t>
  </si>
  <si>
    <t>2022-04-11 10:27:02 UTC</t>
  </si>
  <si>
    <t>2022-04-11 10:27:00 UTC</t>
  </si>
  <si>
    <t>2022-04-11 10:26:53 UTC</t>
  </si>
  <si>
    <t>2022-04-11 10:26:50 UTC</t>
  </si>
  <si>
    <t>2022-04-11 10:26:42 UTC</t>
  </si>
  <si>
    <t>2022-04-11 10:26:12 UTC</t>
  </si>
  <si>
    <t>2022-04-11 10:26:10 UTC</t>
  </si>
  <si>
    <t>2022-04-11 10:25:58 UTC</t>
  </si>
  <si>
    <t>37a63948dd31866085f0d22d3854b476</t>
  </si>
  <si>
    <t>2022-04-11 10:25:31 UTC</t>
  </si>
  <si>
    <t>2022-04-11 10:25:18 UTC</t>
  </si>
  <si>
    <t>aa3827e0894de61462b778b94fad4a7c</t>
  </si>
  <si>
    <t>2022-04-11 10:25:14 UTC</t>
  </si>
  <si>
    <t>2022-04-11 10:24:48 UTC</t>
  </si>
  <si>
    <t>2022-04-11 10:24:41 UTC</t>
  </si>
  <si>
    <t>562d151e7821b05f993d5ff9e17fa8d8</t>
  </si>
  <si>
    <t>2022-04-11 10:24:37 UTC</t>
  </si>
  <si>
    <t>2022-04-11 10:24:29 UTC</t>
  </si>
  <si>
    <t>2022-04-11 10:24:27 UTC</t>
  </si>
  <si>
    <t>2022-04-11 10:24:26 UTC</t>
  </si>
  <si>
    <t>2022-04-11 10:24:22 UTC</t>
  </si>
  <si>
    <t>2022-04-11 10:24:17 UTC</t>
  </si>
  <si>
    <t>2022-04-11 10:24:11 UTC</t>
  </si>
  <si>
    <t>2022-04-11 10:23:58 UTC</t>
  </si>
  <si>
    <t>ef06ce8a8f298570e6a63a0f3fce08e4</t>
  </si>
  <si>
    <t>2022-04-11 10:23:55 UTC</t>
  </si>
  <si>
    <t>a9d7915298958b96c6d513cf84992c91</t>
  </si>
  <si>
    <t>2022-04-11 10:23:52 UTC</t>
  </si>
  <si>
    <t>2022-04-11 10:22:39 UTC</t>
  </si>
  <si>
    <t>24e2b8b3e84515c735274312dcb3dc3b</t>
  </si>
  <si>
    <t>2022-04-11 10:22:13 UTC</t>
  </si>
  <si>
    <t>2022-04-11 10:22:12 UTC</t>
  </si>
  <si>
    <t>2022-04-11 10:22:08 UTC</t>
  </si>
  <si>
    <t>2022-04-11 10:22:07 UTC</t>
  </si>
  <si>
    <t>39ad9ae26a1e98d142bf12789c59406b</t>
  </si>
  <si>
    <t>2022-04-11 10:22:06 UTC</t>
  </si>
  <si>
    <t>65a9b38cfe392a2ca5a61c8af72cf394</t>
  </si>
  <si>
    <t>2022-04-11 10:22:05 UTC</t>
  </si>
  <si>
    <t>2022-04-11 10:22:02 UTC</t>
  </si>
  <si>
    <t>2022-04-11 10:22:01 UTC</t>
  </si>
  <si>
    <t>a704e2cd0ba85a181f76a439017537b7</t>
  </si>
  <si>
    <t>2022-04-11 10:21:56 UTC</t>
  </si>
  <si>
    <t>2022-04-11 10:21:34 UTC</t>
  </si>
  <si>
    <t>96da69a436c876052c2dff0b2f467700</t>
  </si>
  <si>
    <t>2022-04-11 10:21:30 UTC</t>
  </si>
  <si>
    <t>2022-04-11 10:21:28 UTC</t>
  </si>
  <si>
    <t>2022-04-11 10:21:19 UTC</t>
  </si>
  <si>
    <t>2022-04-11 10:21:16 UTC</t>
  </si>
  <si>
    <t>2022-04-11 10:21:14 UTC</t>
  </si>
  <si>
    <t>2022-04-11 10:21:05 UTC</t>
  </si>
  <si>
    <t>2022-04-11 10:21:03 UTC</t>
  </si>
  <si>
    <t>2022-04-11 10:20:50 UTC</t>
  </si>
  <si>
    <t>2022-04-11 10:20:47 UTC</t>
  </si>
  <si>
    <t>2022-04-11 10:20:32 UTC</t>
  </si>
  <si>
    <t>2022-04-11 10:20:29 UTC</t>
  </si>
  <si>
    <t>2022-04-11 10:20:25 UTC</t>
  </si>
  <si>
    <t>2022-04-11 10:20:23 UTC</t>
  </si>
  <si>
    <t>2022-04-11 10:20:21 UTC</t>
  </si>
  <si>
    <t>2022-04-11 10:20:19 UTC</t>
  </si>
  <si>
    <t>2022-04-11 10:20:15 UTC</t>
  </si>
  <si>
    <t>2022-04-11 10:20:02 UTC</t>
  </si>
  <si>
    <t>2022-04-11 10:19:57 UTC</t>
  </si>
  <si>
    <t>2022-04-11 10:19:56 UTC</t>
  </si>
  <si>
    <t>892ef732118c4d310382a9304e9d7c21</t>
  </si>
  <si>
    <t>2022-04-11 10:19:55 UTC</t>
  </si>
  <si>
    <t>2022-04-11 10:19:53 UTC</t>
  </si>
  <si>
    <t>2022-04-11 10:19:52 UTC</t>
  </si>
  <si>
    <t>2022-04-11 10:19:51 UTC</t>
  </si>
  <si>
    <t>2022-04-11 10:19:43 UTC</t>
  </si>
  <si>
    <t>2022-04-11 10:19:42 UTC</t>
  </si>
  <si>
    <t>2022-04-11 10:19:40 UTC</t>
  </si>
  <si>
    <t>2022-04-11 10:19:38 UTC</t>
  </si>
  <si>
    <t>2022-04-11 10:19:34 UTC</t>
  </si>
  <si>
    <t>2022-04-11 10:19:32 UTC</t>
  </si>
  <si>
    <t>2022-04-11 10:19:30 UTC</t>
  </si>
  <si>
    <t>2022-04-11 10:19:28 UTC</t>
  </si>
  <si>
    <t>2022-04-11 10:18:57 UTC</t>
  </si>
  <si>
    <t>66c3bb80aad17f60bc36b36c713677f2</t>
  </si>
  <si>
    <t>2022-04-11 10:18:49 UTC</t>
  </si>
  <si>
    <t>2022-04-11 10:18:44 UTC</t>
  </si>
  <si>
    <t>2022-04-11 10:18:38 UTC</t>
  </si>
  <si>
    <t>2022-04-11 10:18:36 UTC</t>
  </si>
  <si>
    <t>2022-04-11 10:18:32 UTC</t>
  </si>
  <si>
    <t>2022-04-11 10:18:30 UTC</t>
  </si>
  <si>
    <t>2022-04-11 10:18:28 UTC</t>
  </si>
  <si>
    <t>7f6fc00df616e7238aab0da79c68622e</t>
  </si>
  <si>
    <t>2022-04-11 10:18:27 UTC</t>
  </si>
  <si>
    <t>8f4b9d645dd1245c91c9262eb35d17a5</t>
  </si>
  <si>
    <t>2022-04-11 10:18:24 UTC</t>
  </si>
  <si>
    <t>2022-04-11 10:18:23 UTC</t>
  </si>
  <si>
    <t>2022-04-11 10:18:22 UTC</t>
  </si>
  <si>
    <t>2022-04-11 10:18:18 UTC</t>
  </si>
  <si>
    <t>2022-04-11 10:18:09 UTC</t>
  </si>
  <si>
    <t>2022-04-11 10:17:31 UTC</t>
  </si>
  <si>
    <t>96a8424e483946f68c57cfb49378a85c</t>
  </si>
  <si>
    <t>2022-04-11 10:17:26 UTC</t>
  </si>
  <si>
    <t>2022-04-11 10:17:25 UTC</t>
  </si>
  <si>
    <t>2022-04-11 10:16:49 UTC</t>
  </si>
  <si>
    <t>523bd2abf18d0a727ec3e65fcb061420</t>
  </si>
  <si>
    <t>2022-04-11 10:16:40 UTC</t>
  </si>
  <si>
    <t>2022-04-11 10:16:38 UTC</t>
  </si>
  <si>
    <t>2022-04-11 10:16:37 UTC</t>
  </si>
  <si>
    <t>2022-04-11 10:16:33 UTC</t>
  </si>
  <si>
    <t>2022-04-11 10:16:32 UTC</t>
  </si>
  <si>
    <t>2022-04-11 10:16:19 UTC</t>
  </si>
  <si>
    <t>b466976140a5cd6f0d69aed409ab6aa2</t>
  </si>
  <si>
    <t>2022-04-11 10:16:18 UTC</t>
  </si>
  <si>
    <t>2022-04-11 10:16:16 UTC</t>
  </si>
  <si>
    <t>2022-04-11 10:16:13 UTC</t>
  </si>
  <si>
    <t>2022-04-11 10:16:11 UTC</t>
  </si>
  <si>
    <t>2022-04-11 10:16:09 UTC</t>
  </si>
  <si>
    <t>2022-04-11 10:16:06 UTC</t>
  </si>
  <si>
    <t>2022-04-11 10:16:05 UTC</t>
  </si>
  <si>
    <t>2022-04-11 10:16:04 UTC</t>
  </si>
  <si>
    <t>2022-04-11 10:16:00 UTC</t>
  </si>
  <si>
    <t>2022-04-11 10:15:52 UTC</t>
  </si>
  <si>
    <t>2022-04-11 10:15:44 UTC</t>
  </si>
  <si>
    <t>2022-04-11 10:15:25 UTC</t>
  </si>
  <si>
    <t>2022-04-11 10:14:36 UTC</t>
  </si>
  <si>
    <t>2022-04-11 10:14:30 UTC</t>
  </si>
  <si>
    <t>2022-04-11 10:14:26 UTC</t>
  </si>
  <si>
    <t>2022-04-11 10:14:25 UTC</t>
  </si>
  <si>
    <t>2022-04-11 10:14:24 UTC</t>
  </si>
  <si>
    <t>2022-04-11 10:14:08 UTC</t>
  </si>
  <si>
    <t>2022-04-11 10:13:33 UTC</t>
  </si>
  <si>
    <t>83d4437bfa2f13cf23ad803ec6521fa5</t>
  </si>
  <si>
    <t>2022-04-11 10:11:42 UTC</t>
  </si>
  <si>
    <t>483608e73e63b75d83ee220f0b12422e</t>
  </si>
  <si>
    <t>2022-04-11 10:11:05 UTC</t>
  </si>
  <si>
    <t>2022-04-11 10:11:00 UTC</t>
  </si>
  <si>
    <t>811ce2d4d154e7809b72781330468d3e</t>
  </si>
  <si>
    <t>2022-04-11 10:10:53 UTC</t>
  </si>
  <si>
    <t>2022-04-11 10:10:45 UTC</t>
  </si>
  <si>
    <t>2022-04-11 10:10:39 UTC</t>
  </si>
  <si>
    <t>2022-04-11 10:10:28 UTC</t>
  </si>
  <si>
    <t>2022-04-11 10:10:26 UTC</t>
  </si>
  <si>
    <t>2022-04-11 10:10:20 UTC</t>
  </si>
  <si>
    <t>2022-04-11 10:10:18 UTC</t>
  </si>
  <si>
    <t>2022-04-11 10:10:17 UTC</t>
  </si>
  <si>
    <t>2880b933c0aa1dda68e6354d0ea163c7</t>
  </si>
  <si>
    <t>2022-04-11 10:10:14 UTC</t>
  </si>
  <si>
    <t>2022-04-11 10:10:08 UTC</t>
  </si>
  <si>
    <t>2022-04-11 10:10:04 UTC</t>
  </si>
  <si>
    <t>2022-04-11 10:10:02 UTC</t>
  </si>
  <si>
    <t>2022-04-11 10:09:59 UTC</t>
  </si>
  <si>
    <t>2022-04-11 10:09:55 UTC</t>
  </si>
  <si>
    <t>2fa923284af7337b1bea691a11716730</t>
  </si>
  <si>
    <t>2022-04-11 10:09:31 UTC</t>
  </si>
  <si>
    <t>0ec6959be29c8dcf2d53142de79d2c3c</t>
  </si>
  <si>
    <t>2022-04-11 10:08:43 UTC</t>
  </si>
  <si>
    <t>8255e1fd94e343a148511904948c06f9</t>
  </si>
  <si>
    <t>2022-04-11 10:08:37 UTC</t>
  </si>
  <si>
    <t>2022-04-11 10:08:28 UTC</t>
  </si>
  <si>
    <t>2022-04-11 10:08:24 UTC</t>
  </si>
  <si>
    <t>2022-04-11 10:08:11 UTC</t>
  </si>
  <si>
    <t>2022-04-11 10:06:38 UTC</t>
  </si>
  <si>
    <t>2022-04-11 10:06:36 UTC</t>
  </si>
  <si>
    <t>2022-04-11 10:06:31 UTC</t>
  </si>
  <si>
    <t>2022-04-11 10:06:29 UTC</t>
  </si>
  <si>
    <t>2022-04-11 10:06:06 UTC</t>
  </si>
  <si>
    <t>2022-04-11 10:05:33 UTC</t>
  </si>
  <si>
    <t>2022-04-11 10:05:03 UTC</t>
  </si>
  <si>
    <t>2022-04-11 10:05:00 UTC</t>
  </si>
  <si>
    <t>2022-04-11 10:04:58 UTC</t>
  </si>
  <si>
    <t>aea69d27819a09d601d3167217d714ee</t>
  </si>
  <si>
    <t>2022-04-11 10:04:30 UTC</t>
  </si>
  <si>
    <t>2022-04-11 10:04:27 UTC</t>
  </si>
  <si>
    <t>2022-04-11 10:04:25 UTC</t>
  </si>
  <si>
    <t>2022-04-11 10:04:22 UTC</t>
  </si>
  <si>
    <t>2022-04-11 10:04:10 UTC</t>
  </si>
  <si>
    <t>2022-04-11 10:04:06 UTC</t>
  </si>
  <si>
    <t>f0ac9b61e5241eaca72d563bc5317746</t>
  </si>
  <si>
    <t>2022-04-11 10:03:34 UTC</t>
  </si>
  <si>
    <t>2022-04-11 10:03:02 UTC</t>
  </si>
  <si>
    <t>91efc5796a7c006887418a5fe825f84e</t>
  </si>
  <si>
    <t>2022-04-11 10:02:59 UTC</t>
  </si>
  <si>
    <t>2022-04-11 10:02:56 UTC</t>
  </si>
  <si>
    <t>2022-04-11 10:02:53 UTC</t>
  </si>
  <si>
    <t>2022-04-11 10:02:51 UTC</t>
  </si>
  <si>
    <t>2022-04-11 10:02:49 UTC</t>
  </si>
  <si>
    <t>2022-04-11 10:02:43 UTC</t>
  </si>
  <si>
    <t>2022-04-11 10:02:22 UTC</t>
  </si>
  <si>
    <t>2022-04-11 10:02:21 UTC</t>
  </si>
  <si>
    <t>2022-04-11 10:02:20 UTC</t>
  </si>
  <si>
    <t>2022-04-11 10:02:19 UTC</t>
  </si>
  <si>
    <t>2022-04-11 10:02:17 UTC</t>
  </si>
  <si>
    <t>2022-04-11 10:02:16 UTC</t>
  </si>
  <si>
    <t>2022-04-11 10:02:15 UTC</t>
  </si>
  <si>
    <t>2022-04-11 10:02:13 UTC</t>
  </si>
  <si>
    <t>2022-04-11 10:02:08 UTC</t>
  </si>
  <si>
    <t>2022-04-11 10:02:06 UTC</t>
  </si>
  <si>
    <t>2c74775a0ebd833284aed99c1f90b40d</t>
  </si>
  <si>
    <t>2022-04-11 10:01:29 UTC</t>
  </si>
  <si>
    <t>3f5d8376b40b0deabc7ab97b171441ce</t>
  </si>
  <si>
    <t>2022-04-11 10:01:11 UTC</t>
  </si>
  <si>
    <t>2022-04-11 10:01:08 UTC</t>
  </si>
  <si>
    <t>a11fee13890437a19a35e13c7cd91586</t>
  </si>
  <si>
    <t>2022-04-11 10:01:02 UTC</t>
  </si>
  <si>
    <t>659cd1dc7da1d156435f1d88b3eeedeb</t>
  </si>
  <si>
    <t>2022-04-11 10:00:58 UTC</t>
  </si>
  <si>
    <t>2022-04-11 10:00:54 UTC</t>
  </si>
  <si>
    <t>049972e636b84a1621d9ca326a818a13</t>
  </si>
  <si>
    <t>2022-04-11 10:00:49 UTC</t>
  </si>
  <si>
    <t>2022-04-11 10:00:46 UTC</t>
  </si>
  <si>
    <t>2022-04-11 09:58:06 UTC</t>
  </si>
  <si>
    <t>2022-04-11 09:57:15 UTC</t>
  </si>
  <si>
    <t>5ea3a07888561c8dfd8e1afe15af0729</t>
  </si>
  <si>
    <t>2022-04-11 09:56:51 UTC</t>
  </si>
  <si>
    <t>2022-04-11 09:56:45 UTC</t>
  </si>
  <si>
    <t>2022-04-11 09:56:18 UTC</t>
  </si>
  <si>
    <t>3a4985138a4a30a43f23641cd4e877d0</t>
  </si>
  <si>
    <t>2022-04-11 09:56:05 UTC</t>
  </si>
  <si>
    <t>2022-04-11 09:53:00 UTC</t>
  </si>
  <si>
    <t>2022-04-11 09:52:08 UTC</t>
  </si>
  <si>
    <t>fc209441fb86196f3f1ba187dbf5ed91</t>
  </si>
  <si>
    <t>2022-04-11 09:52:06 UTC</t>
  </si>
  <si>
    <t>2022-04-11 09:52:02 UTC</t>
  </si>
  <si>
    <t>2022-04-11 09:51:28 UTC</t>
  </si>
  <si>
    <t>2022-04-11 09:51:07 UTC</t>
  </si>
  <si>
    <t>2022-04-11 09:51:02 UTC</t>
  </si>
  <si>
    <t>46cb19b26ad78b2c945868e2a79035c6</t>
  </si>
  <si>
    <t>2022-04-11 09:50:48 UTC</t>
  </si>
  <si>
    <t>12b0afdb4ce6fbfb36422c84216e27bd</t>
  </si>
  <si>
    <t>2022-04-11 09:50:40 UTC</t>
  </si>
  <si>
    <t>2022-04-11 09:50:04 UTC</t>
  </si>
  <si>
    <t>2022-04-11 09:49:54 UTC</t>
  </si>
  <si>
    <t>2022-04-11 09:49:46 UTC</t>
  </si>
  <si>
    <t>2022-04-11 09:49:38 UTC</t>
  </si>
  <si>
    <t>2022-04-11 09:49:29 UTC</t>
  </si>
  <si>
    <t>dc15d37c60d494c593a364cbc9d3ac98</t>
  </si>
  <si>
    <t>2022-04-11 09:49:08 UTC</t>
  </si>
  <si>
    <t>62e2c50c424982c79c1f1ecace3259b2</t>
  </si>
  <si>
    <t>2022-04-11 09:48:47 UTC</t>
  </si>
  <si>
    <t>2022-04-11 09:48:45 UTC</t>
  </si>
  <si>
    <t>2022-04-11 09:48:44 UTC</t>
  </si>
  <si>
    <t>2022-04-11 09:48:41 UTC</t>
  </si>
  <si>
    <t>2022-04-11 09:48:39 UTC</t>
  </si>
  <si>
    <t>65f22b7274a20e158b4e21f54664ffea</t>
  </si>
  <si>
    <t>2022-04-11 09:48:32 UTC</t>
  </si>
  <si>
    <t>2022-04-11 09:48:10 UTC</t>
  </si>
  <si>
    <t>2022-04-11 09:48:06 UTC</t>
  </si>
  <si>
    <t>2022-04-11 09:48:05 UTC</t>
  </si>
  <si>
    <t>2022-04-11 09:48:00 UTC</t>
  </si>
  <si>
    <t>33df9a6ab60084972412d9fc44bb40b4</t>
  </si>
  <si>
    <t>2022-04-11 09:47:46 UTC</t>
  </si>
  <si>
    <t>2022-04-11 09:47:44 UTC</t>
  </si>
  <si>
    <t>2022-04-11 09:47:43 UTC</t>
  </si>
  <si>
    <t>2022-04-11 09:47:41 UTC</t>
  </si>
  <si>
    <t>2022-04-11 09:47:30 UTC</t>
  </si>
  <si>
    <t>ba2391ec28a17ab6e49ee25a57b9a9f8</t>
  </si>
  <si>
    <t>2022-04-11 09:47:28 UTC</t>
  </si>
  <si>
    <t>77973531b1dd29d8ae7860daad50a656</t>
  </si>
  <si>
    <t>2022-04-11 09:47:27 UTC</t>
  </si>
  <si>
    <t>2022-04-11 09:47:26 UTC</t>
  </si>
  <si>
    <t>b0d2bd543b8593c713d8003fa53e22ca</t>
  </si>
  <si>
    <t>2022-04-11 09:47:24 UTC</t>
  </si>
  <si>
    <t>2022-04-11 09:47:22 UTC</t>
  </si>
  <si>
    <t>2022-04-11 09:47:20 UTC</t>
  </si>
  <si>
    <t>2022-04-11 09:47:19 UTC</t>
  </si>
  <si>
    <t>3e4d7ed8ff06336ed0046bcf863faae8</t>
  </si>
  <si>
    <t>2022-04-11 09:47:18 UTC</t>
  </si>
  <si>
    <t>2022-04-11 09:47:17 UTC</t>
  </si>
  <si>
    <t>2022-04-11 09:47:13 UTC</t>
  </si>
  <si>
    <t>2022-04-11 09:47:11 UTC</t>
  </si>
  <si>
    <t>2022-04-11 09:47:09 UTC</t>
  </si>
  <si>
    <t>2022-04-11 09:47:07 UTC</t>
  </si>
  <si>
    <t>2022-04-11 09:46:49 UTC</t>
  </si>
  <si>
    <t>2022-04-11 09:46:47 UTC</t>
  </si>
  <si>
    <t>2022-04-11 09:46:46 UTC</t>
  </si>
  <si>
    <t>2022-04-11 09:46:45 UTC</t>
  </si>
  <si>
    <t>2022-04-11 09:46:43 UTC</t>
  </si>
  <si>
    <t>2022-04-11 09:46:42 UTC</t>
  </si>
  <si>
    <t>2022-04-11 09:46:40 UTC</t>
  </si>
  <si>
    <t>f24f5ec50e258ee0282f9d77e3679b62</t>
  </si>
  <si>
    <t>2022-04-11 09:46:36 UTC</t>
  </si>
  <si>
    <t>031edb3ce43219e204b0e968821cecbc</t>
  </si>
  <si>
    <t>2022-04-11 09:46:08 UTC</t>
  </si>
  <si>
    <t>2022-04-11 09:46:06 UTC</t>
  </si>
  <si>
    <t>2022-04-11 09:46:02 UTC</t>
  </si>
  <si>
    <t>2022-04-11 09:45:39 UTC</t>
  </si>
  <si>
    <t>5f29969bbffab212f20b8ac66c8d3029</t>
  </si>
  <si>
    <t>2022-04-11 09:45:34 UTC</t>
  </si>
  <si>
    <t>2022-04-11 09:43:23 UTC</t>
  </si>
  <si>
    <t>2022-04-11 09:42:33 UTC</t>
  </si>
  <si>
    <t>d733bfe1373d8462fceb23c2f6f75ead</t>
  </si>
  <si>
    <t>2022-04-11 09:41:45 UTC</t>
  </si>
  <si>
    <t>2022-04-11 09:41:37 UTC</t>
  </si>
  <si>
    <t>2022-04-11 09:41:35 UTC</t>
  </si>
  <si>
    <t>7309a13e85b3856b06e0093eadc764ca</t>
  </si>
  <si>
    <t>2022-04-11 09:41:32 UTC</t>
  </si>
  <si>
    <t>74f605f7da11ab0f4a627d2cd6b5ffb0</t>
  </si>
  <si>
    <t>2022-04-11 09:41:28 UTC</t>
  </si>
  <si>
    <t>2022-04-11 09:41:27 UTC</t>
  </si>
  <si>
    <t>2022-04-11 09:41:22 UTC</t>
  </si>
  <si>
    <t>2022-04-11 09:41:20 UTC</t>
  </si>
  <si>
    <t>2022-04-11 09:41:17 UTC</t>
  </si>
  <si>
    <t>bcbf4469113aa7699af83467d7ad828a</t>
  </si>
  <si>
    <t>2022-04-11 09:41:16 UTC</t>
  </si>
  <si>
    <t>2022-04-11 09:41:11 UTC</t>
  </si>
  <si>
    <t>2022-04-11 09:41:08 UTC</t>
  </si>
  <si>
    <t>2022-04-11 09:41:06 UTC</t>
  </si>
  <si>
    <t>2022-04-11 09:41:05 UTC</t>
  </si>
  <si>
    <t>2022-04-11 09:41:01 UTC</t>
  </si>
  <si>
    <t>2022-04-11 09:40:55 UTC</t>
  </si>
  <si>
    <t>2022-04-11 09:40:53 UTC</t>
  </si>
  <si>
    <t>2022-04-11 09:40:51 UTC</t>
  </si>
  <si>
    <t>2022-04-11 09:40:50 UTC</t>
  </si>
  <si>
    <t>488aeb3d9bbfc67ee20f99779c8784a3</t>
  </si>
  <si>
    <t>2022-04-11 09:40:46 UTC</t>
  </si>
  <si>
    <t>2022-04-11 09:40:38 UTC</t>
  </si>
  <si>
    <t>2022-04-11 09:40:33 UTC</t>
  </si>
  <si>
    <t>061c1c5a59eeaa56a56067076bb76bad</t>
  </si>
  <si>
    <t>2022-04-11 09:40:30 UTC</t>
  </si>
  <si>
    <t>2022-04-11 09:40:06 UTC</t>
  </si>
  <si>
    <t>2022-04-11 09:40:05 UTC</t>
  </si>
  <si>
    <t>2022-04-11 09:39:59 UTC</t>
  </si>
  <si>
    <t>2022-04-11 09:39:32 UTC</t>
  </si>
  <si>
    <t>2022-04-11 09:39:28 UTC</t>
  </si>
  <si>
    <t>8d38a4f0c7ec34a2f7eb74be97a09c25</t>
  </si>
  <si>
    <t>2022-04-11 09:38:59 UTC</t>
  </si>
  <si>
    <t>2022-04-11 09:38:29 UTC</t>
  </si>
  <si>
    <t>c823131950ef859483ce9faf5472336f</t>
  </si>
  <si>
    <t>2022-04-11 09:38:24 UTC</t>
  </si>
  <si>
    <t>2022-04-11 09:36:09 UTC</t>
  </si>
  <si>
    <t>2022-04-11 09:35:58 UTC</t>
  </si>
  <si>
    <t>2022-04-11 09:35:49 UTC</t>
  </si>
  <si>
    <t>2022-04-11 09:35:41 UTC</t>
  </si>
  <si>
    <t>4790ffb023ce10926464b10cd876d261</t>
  </si>
  <si>
    <t>2022-04-11 09:35:21 UTC</t>
  </si>
  <si>
    <t>2022-04-11 09:35:07 UTC</t>
  </si>
  <si>
    <t>2022-04-11 09:35:05 UTC</t>
  </si>
  <si>
    <t>35d7c95397ff8ff938e3e44641bb55ce</t>
  </si>
  <si>
    <t>2022-04-11 09:34:35 UTC</t>
  </si>
  <si>
    <t>3074aeff0070f4cbe0cd62c4bd4fbe96</t>
  </si>
  <si>
    <t>2022-04-11 09:34:29 UTC</t>
  </si>
  <si>
    <t>2022-04-11 09:34:26 UTC</t>
  </si>
  <si>
    <t>2022-04-11 09:34:07 UTC</t>
  </si>
  <si>
    <t>1b90626f6f21f298cca3f6ed95449177</t>
  </si>
  <si>
    <t>2022-04-11 09:34:05 UTC</t>
  </si>
  <si>
    <t>2022-04-11 09:34:04 UTC</t>
  </si>
  <si>
    <t>1ff29eddc3256d9871dba96515017973</t>
  </si>
  <si>
    <t>2022-04-11 09:34:02 UTC</t>
  </si>
  <si>
    <t>2022-04-11 09:34:00 UTC</t>
  </si>
  <si>
    <t>2022-04-11 09:33:58 UTC</t>
  </si>
  <si>
    <t>2022-04-11 09:33:56 UTC</t>
  </si>
  <si>
    <t>2022-04-11 09:33:52 UTC</t>
  </si>
  <si>
    <t>2022-04-11 09:33:50 UTC</t>
  </si>
  <si>
    <t>2022-04-11 09:33:47 UTC</t>
  </si>
  <si>
    <t>2022-04-11 09:33:37 UTC</t>
  </si>
  <si>
    <t>2022-04-11 09:33:30 UTC</t>
  </si>
  <si>
    <t>2022-04-11 09:33:27 UTC</t>
  </si>
  <si>
    <t>2022-04-11 09:33:26 UTC</t>
  </si>
  <si>
    <t>2022-04-11 09:33:15 UTC</t>
  </si>
  <si>
    <t>2022-04-11 09:31:44 UTC</t>
  </si>
  <si>
    <t>2022-04-11 09:31:25 UTC</t>
  </si>
  <si>
    <t>91977a8ccae8be73e637e4a8fbf938a6</t>
  </si>
  <si>
    <t>2022-04-11 09:31:20 UTC</t>
  </si>
  <si>
    <t>2022-04-11 09:30:50 UTC</t>
  </si>
  <si>
    <t>2022-04-11 09:30:46 UTC</t>
  </si>
  <si>
    <t>2022-04-11 09:30:41 UTC</t>
  </si>
  <si>
    <t>2022-04-11 09:30:39 UTC</t>
  </si>
  <si>
    <t>2022-04-11 09:30:31 UTC</t>
  </si>
  <si>
    <t>2022-04-11 09:30:28 UTC</t>
  </si>
  <si>
    <t>2022-04-11 09:30:25 UTC</t>
  </si>
  <si>
    <t>2022-04-11 09:29:32 UTC</t>
  </si>
  <si>
    <t>2022-04-11 09:29:26 UTC</t>
  </si>
  <si>
    <t>2022-04-11 09:29:07 UTC</t>
  </si>
  <si>
    <t>2022-04-11 09:29:02 UTC</t>
  </si>
  <si>
    <t>9a6c33d27e817df9b34d69347f10c173</t>
  </si>
  <si>
    <t>8355f805deb9ad2b6da476745610ebce</t>
  </si>
  <si>
    <t>2022-04-11 09:29:01 UTC</t>
  </si>
  <si>
    <t>2022-04-11 09:29:00 UTC</t>
  </si>
  <si>
    <t>2022-04-11 09:28:59 UTC</t>
  </si>
  <si>
    <t>2022-04-11 09:28:58 UTC</t>
  </si>
  <si>
    <t>2022-04-11 09:28:57 UTC</t>
  </si>
  <si>
    <t>2022-04-11 09:28:56 UTC</t>
  </si>
  <si>
    <t>2022-04-11 09:28:55 UTC</t>
  </si>
  <si>
    <t>2022-04-11 09:28:53 UTC</t>
  </si>
  <si>
    <t>2022-04-11 09:28:49 UTC</t>
  </si>
  <si>
    <t>8d8718536f3a9cfa1a4fbb65ed5a03e5</t>
  </si>
  <si>
    <t>2022-04-11 09:28:43 UTC</t>
  </si>
  <si>
    <t>2022-04-11 09:28:42 UTC</t>
  </si>
  <si>
    <t>2022-04-11 09:28:38 UTC</t>
  </si>
  <si>
    <t>2022-04-11 09:28:24 UTC</t>
  </si>
  <si>
    <t>2022-04-11 09:28:22 UTC</t>
  </si>
  <si>
    <t>2022-04-11 09:28:20 UTC</t>
  </si>
  <si>
    <t>2022-04-11 09:28:19 UTC</t>
  </si>
  <si>
    <t>2022-04-11 09:28:12 UTC</t>
  </si>
  <si>
    <t>2022-04-11 09:28:10 UTC</t>
  </si>
  <si>
    <t>2022-04-11 09:28:07 UTC</t>
  </si>
  <si>
    <t>2022-04-11 09:28:06 UTC</t>
  </si>
  <si>
    <t>2022-04-11 09:28:04 UTC</t>
  </si>
  <si>
    <t>2022-04-11 09:28:01 UTC</t>
  </si>
  <si>
    <t>2022-04-11 09:27:58 UTC</t>
  </si>
  <si>
    <t>2022-04-11 09:27:54 UTC</t>
  </si>
  <si>
    <t>2022-04-11 09:27:48 UTC</t>
  </si>
  <si>
    <t>f81f74368bf33fe3ae1c102355fb609f</t>
  </si>
  <si>
    <t>2022-04-11 09:27:46 UTC</t>
  </si>
  <si>
    <t>2022-04-11 09:27:42 UTC</t>
  </si>
  <si>
    <t>2022-04-11 09:27:38 UTC</t>
  </si>
  <si>
    <t>2022-04-11 09:27:34 UTC</t>
  </si>
  <si>
    <t>2022-04-11 09:27:28 UTC</t>
  </si>
  <si>
    <t>2022-04-11 09:26:55 UTC</t>
  </si>
  <si>
    <t>2022-04-11 09:26:53 UTC</t>
  </si>
  <si>
    <t>2022-04-11 09:26:50 UTC</t>
  </si>
  <si>
    <t>2022-04-11 09:26:48 UTC</t>
  </si>
  <si>
    <t>2022-04-11 09:26:41 UTC</t>
  </si>
  <si>
    <t>2022-04-11 09:26:38 UTC</t>
  </si>
  <si>
    <t>2022-04-11 09:26:35 UTC</t>
  </si>
  <si>
    <t>2022-04-11 09:26:19 UTC</t>
  </si>
  <si>
    <t>2022-04-11 09:26:02 UTC</t>
  </si>
  <si>
    <t>2022-04-11 09:25:09 UTC</t>
  </si>
  <si>
    <t>2ad5be2973f18bd2f76bd9ef3b6554ab</t>
  </si>
  <si>
    <t>2022-04-11 09:24:27 UTC</t>
  </si>
  <si>
    <t>2022-04-11 09:23:55 UTC</t>
  </si>
  <si>
    <t>2022-04-11 09:23:43 UTC</t>
  </si>
  <si>
    <t>164565ceaf9201e490df7070dda0b3e2</t>
  </si>
  <si>
    <t>2022-04-11 09:23:42 UTC</t>
  </si>
  <si>
    <t>2022-04-11 09:23:40 UTC</t>
  </si>
  <si>
    <t>2022-04-11 09:23:39 UTC</t>
  </si>
  <si>
    <t>2022-04-11 09:23:38 UTC</t>
  </si>
  <si>
    <t>2022-04-11 09:23:34 UTC</t>
  </si>
  <si>
    <t>2022-04-11 09:23:26 UTC</t>
  </si>
  <si>
    <t>2022-04-11 09:22:43 UTC</t>
  </si>
  <si>
    <t>7597544adbe09b527ca16e665c95d6f3</t>
  </si>
  <si>
    <t>2022-04-11 09:22:41 UTC</t>
  </si>
  <si>
    <t>2022-04-11 09:22:40 UTC</t>
  </si>
  <si>
    <t>2022-04-11 09:22:38 UTC</t>
  </si>
  <si>
    <t>2022-04-11 09:22:37 UTC</t>
  </si>
  <si>
    <t>2022-04-11 09:22:36 UTC</t>
  </si>
  <si>
    <t>2022-04-11 09:22:34 UTC</t>
  </si>
  <si>
    <t>2022-04-11 09:22:33 UTC</t>
  </si>
  <si>
    <t>2022-04-11 09:22:32 UTC</t>
  </si>
  <si>
    <t>2022-04-11 09:22:30 UTC</t>
  </si>
  <si>
    <t>2022-04-11 09:22:29 UTC</t>
  </si>
  <si>
    <t>2022-04-11 09:22:28 UTC</t>
  </si>
  <si>
    <t>2022-04-11 09:22:26 UTC</t>
  </si>
  <si>
    <t>2022-04-11 09:22:25 UTC</t>
  </si>
  <si>
    <t>2022-04-11 09:22:24 UTC</t>
  </si>
  <si>
    <t>2022-04-11 09:22:22 UTC</t>
  </si>
  <si>
    <t>2022-04-11 09:22:20 UTC</t>
  </si>
  <si>
    <t>2022-04-11 09:22:18 UTC</t>
  </si>
  <si>
    <t>dced11daf5eb5662b45c804c9af0727e</t>
  </si>
  <si>
    <t>2022-04-11 09:22:17 UTC</t>
  </si>
  <si>
    <t>2022-04-11 09:22:13 UTC</t>
  </si>
  <si>
    <t>f6aae3bad756381296b35b0ca35fdf30</t>
  </si>
  <si>
    <t>2022-04-11 09:22:12 UTC</t>
  </si>
  <si>
    <t>2022-04-11 09:22:11 UTC</t>
  </si>
  <si>
    <t>2022-04-11 09:22:10 UTC</t>
  </si>
  <si>
    <t>2022-04-11 09:21:52 UTC</t>
  </si>
  <si>
    <t>2022-04-11 09:21:20 UTC</t>
  </si>
  <si>
    <t>2022-04-11 09:20:10 UTC</t>
  </si>
  <si>
    <t>bb60616ab934529f04a7f442ddbcc1e4</t>
  </si>
  <si>
    <t>2022-04-11 09:20:08 UTC</t>
  </si>
  <si>
    <t>f5835c3000849b99a86927b1691c1f9d</t>
  </si>
  <si>
    <t>2022-04-11 09:19:45 UTC</t>
  </si>
  <si>
    <t>2022-04-11 09:18:38 UTC</t>
  </si>
  <si>
    <t>2022-04-11 09:18:27 UTC</t>
  </si>
  <si>
    <t>2022-04-11 09:18:24 UTC</t>
  </si>
  <si>
    <t>2022-04-11 09:18:16 UTC</t>
  </si>
  <si>
    <t>2022-04-11 09:18:10 UTC</t>
  </si>
  <si>
    <t>2022-04-11 09:17:50 UTC</t>
  </si>
  <si>
    <t>2022-04-11 09:16:54 UTC</t>
  </si>
  <si>
    <t>1971a265c0b55ae411c06c1f29f7ac92</t>
  </si>
  <si>
    <t>2022-04-11 09:15:07 UTC</t>
  </si>
  <si>
    <t>2022-04-11 09:15:05 UTC</t>
  </si>
  <si>
    <t>2022-04-11 09:15:03 UTC</t>
  </si>
  <si>
    <t>2022-04-11 09:15:01 UTC</t>
  </si>
  <si>
    <t>2022-04-11 09:14:59 UTC</t>
  </si>
  <si>
    <t>625d31150747d4ae8d20c8a489a5d48d</t>
  </si>
  <si>
    <t>2022-04-11 09:14:57 UTC</t>
  </si>
  <si>
    <t>2022-04-11 09:14:53 UTC</t>
  </si>
  <si>
    <t>2022-04-11 09:14:50 UTC</t>
  </si>
  <si>
    <t>2022-04-11 09:14:46 UTC</t>
  </si>
  <si>
    <t>2022-04-11 09:14:41 UTC</t>
  </si>
  <si>
    <t>2022-04-11 09:14:37 UTC</t>
  </si>
  <si>
    <t>2022-04-11 09:14:28 UTC</t>
  </si>
  <si>
    <t>2022-04-11 09:13:43 UTC</t>
  </si>
  <si>
    <t>2022-04-11 09:13:21 UTC</t>
  </si>
  <si>
    <t>2022-04-11 09:13:17 UTC</t>
  </si>
  <si>
    <t>2022-04-11 09:11:29 UTC</t>
  </si>
  <si>
    <t>2022-04-11 09:11:09 UTC</t>
  </si>
  <si>
    <t>2022-04-11 09:10:54 UTC</t>
  </si>
  <si>
    <t>f92f75b09b9779e0480ac6bccd67d65d</t>
  </si>
  <si>
    <t>2022-04-11 09:10:40 UTC</t>
  </si>
  <si>
    <t>791c79f1612132873b745fa6f611562b</t>
  </si>
  <si>
    <t>2022-04-11 09:10:37 UTC</t>
  </si>
  <si>
    <t>2022-04-11 09:10:19 UTC</t>
  </si>
  <si>
    <t>2022-04-11 09:10:13 UTC</t>
  </si>
  <si>
    <t>2022-04-11 09:10:11 UTC</t>
  </si>
  <si>
    <t>a0bd0d61b0f7d9549c3660a588bbbfd4</t>
  </si>
  <si>
    <t>2022-04-11 09:10:07 UTC</t>
  </si>
  <si>
    <t>2022-04-11 09:09:32 UTC</t>
  </si>
  <si>
    <t>4256c684db92b205fffd85e795bf8deb</t>
  </si>
  <si>
    <t>2022-04-11 09:09:23 UTC</t>
  </si>
  <si>
    <t>2022-04-11 09:08:33 UTC</t>
  </si>
  <si>
    <t>2022-04-11 09:07:54 UTC</t>
  </si>
  <si>
    <t>2022-04-11 09:07:46 UTC</t>
  </si>
  <si>
    <t>2022-04-11 09:07:24 UTC</t>
  </si>
  <si>
    <t>2022-04-11 09:07:21 UTC</t>
  </si>
  <si>
    <t>2022-04-11 09:07:18 UTC</t>
  </si>
  <si>
    <t>2022-04-11 09:07:16 UTC</t>
  </si>
  <si>
    <t>2022-04-11 09:07:12 UTC</t>
  </si>
  <si>
    <t>2022-04-11 09:07:06 UTC</t>
  </si>
  <si>
    <t>2022-04-11 09:07:01 UTC</t>
  </si>
  <si>
    <t>2022-04-11 09:06:56 UTC</t>
  </si>
  <si>
    <t>2022-04-11 09:06:51 UTC</t>
  </si>
  <si>
    <t>2022-04-11 09:06:48 UTC</t>
  </si>
  <si>
    <t>2022-04-11 09:06:46 UTC</t>
  </si>
  <si>
    <t>2022-04-11 09:06:45 UTC</t>
  </si>
  <si>
    <t>2022-04-11 09:06:44 UTC</t>
  </si>
  <si>
    <t>2022-04-11 09:06:43 UTC</t>
  </si>
  <si>
    <t>2022-04-11 09:06:42 UTC</t>
  </si>
  <si>
    <t>2022-04-11 09:06:41 UTC</t>
  </si>
  <si>
    <t>2022-04-11 09:06:40 UTC</t>
  </si>
  <si>
    <t>2022-04-11 09:06:34 UTC</t>
  </si>
  <si>
    <t>2022-04-11 09:06:11 UTC</t>
  </si>
  <si>
    <t>1d7be0f4c2e59857be929bc77a2c974d</t>
  </si>
  <si>
    <t>2022-04-11 09:05:00 UTC</t>
  </si>
  <si>
    <t>f40575b74c26b53daa51d0d3c4756a6a</t>
  </si>
  <si>
    <t>2022-04-11 09:04:57 UTC</t>
  </si>
  <si>
    <t>2022-04-11 09:04:56 UTC</t>
  </si>
  <si>
    <t>2b8290349518e38774378ffe38b59154</t>
  </si>
  <si>
    <t>2022-04-11 09:04:54 UTC</t>
  </si>
  <si>
    <t>2022-04-11 09:04:06 UTC</t>
  </si>
  <si>
    <t>ebdb2f54620828e99eead73f1fd7129e</t>
  </si>
  <si>
    <t>2022-04-11 09:03:40 UTC</t>
  </si>
  <si>
    <t>eefea0a978d783eee6cafffb62c186d2</t>
  </si>
  <si>
    <t>2022-04-11 09:03:20 UTC</t>
  </si>
  <si>
    <t>2022-04-11 09:03:17 UTC</t>
  </si>
  <si>
    <t>2022-04-11 09:02:36 UTC</t>
  </si>
  <si>
    <t>aa375f80e71f6f3b3d5754836258ae09</t>
  </si>
  <si>
    <t>2022-04-11 09:02:26 UTC</t>
  </si>
  <si>
    <t>b9debac4f989506655237a469afe7cd8</t>
  </si>
  <si>
    <t>2022-04-11 09:02:18 UTC</t>
  </si>
  <si>
    <t>2022-04-11 09:02:11 UTC</t>
  </si>
  <si>
    <t>2022-04-11 09:02:05 UTC</t>
  </si>
  <si>
    <t>2022-04-11 09:02:02 UTC</t>
  </si>
  <si>
    <t>2022-04-11 09:01:54 UTC</t>
  </si>
  <si>
    <t>2022-04-11 09:01:41 UTC</t>
  </si>
  <si>
    <t>07b5434393095f28786720534713c2f1</t>
  </si>
  <si>
    <t>2022-04-11 09:00:52 UTC</t>
  </si>
  <si>
    <t>cf7859a7805dc837b8a3249e75e32dbf</t>
  </si>
  <si>
    <t>2022-04-11 09:00:40 UTC</t>
  </si>
  <si>
    <t>9aac0a9651aa1157821c308216b89b18</t>
  </si>
  <si>
    <t>2022-04-11 09:00:37 UTC</t>
  </si>
  <si>
    <t>8357eaf6825cab6c00463d7e6c83045b</t>
  </si>
  <si>
    <t>2022-04-11 09:00:15 UTC</t>
  </si>
  <si>
    <t>2022-04-11 09:00:09 UTC</t>
  </si>
  <si>
    <t>dfa812272fceebcf836b6670376108be</t>
  </si>
  <si>
    <t>2022-04-11 08:59:59 UTC</t>
  </si>
  <si>
    <t>2022-04-11 08:59:43 UTC</t>
  </si>
  <si>
    <t>2022-04-11 08:59:41 UTC</t>
  </si>
  <si>
    <t>2022-04-11 08:59:38 UTC</t>
  </si>
  <si>
    <t>2022-04-11 08:59:35 UTC</t>
  </si>
  <si>
    <t>2022-04-11 08:59:33 UTC</t>
  </si>
  <si>
    <t>2022-04-11 08:59:31 UTC</t>
  </si>
  <si>
    <t>2022-04-11 08:59:29 UTC</t>
  </si>
  <si>
    <t>2022-04-11 08:59:23 UTC</t>
  </si>
  <si>
    <t>2022-04-11 08:59:20 UTC</t>
  </si>
  <si>
    <t>2022-04-11 08:59:17 UTC</t>
  </si>
  <si>
    <t>2022-04-11 08:59:15 UTC</t>
  </si>
  <si>
    <t>2022-04-11 08:59:11 UTC</t>
  </si>
  <si>
    <t>2022-04-11 08:59:09 UTC</t>
  </si>
  <si>
    <t>2022-04-11 08:59:05 UTC</t>
  </si>
  <si>
    <t>2022-04-11 08:59:02 UTC</t>
  </si>
  <si>
    <t>2022-04-11 08:59:00 UTC</t>
  </si>
  <si>
    <t>2022-04-11 08:58:59 UTC</t>
  </si>
  <si>
    <t>2022-04-11 08:58:56 UTC</t>
  </si>
  <si>
    <t>2022-04-11 08:58:53 UTC</t>
  </si>
  <si>
    <t>5166b6d6dc85ee34d4f11c787dcf608f</t>
  </si>
  <si>
    <t>2022-04-11 08:58:50 UTC</t>
  </si>
  <si>
    <t>2022-04-11 08:58:17 UTC</t>
  </si>
  <si>
    <t>2022-04-11 08:57:57 UTC</t>
  </si>
  <si>
    <t>2022-04-11 08:57:35 UTC</t>
  </si>
  <si>
    <t>2022-04-11 08:57:33 UTC</t>
  </si>
  <si>
    <t>2022-04-11 08:57:29 UTC</t>
  </si>
  <si>
    <t>2022-04-11 08:57:26 UTC</t>
  </si>
  <si>
    <t>2022-04-11 08:57:21 UTC</t>
  </si>
  <si>
    <t>2022-04-11 08:57:08 UTC</t>
  </si>
  <si>
    <t>2022-04-11 08:56:03 UTC</t>
  </si>
  <si>
    <t>2022-04-11 08:55:59 UTC</t>
  </si>
  <si>
    <t>30998bd444b498a27ba625065394b9cb</t>
  </si>
  <si>
    <t>2022-04-11 08:55:28 UTC</t>
  </si>
  <si>
    <t>2022-04-11 08:55:26 UTC</t>
  </si>
  <si>
    <t>48f50f0f8b2250288daa7ecd7d96a8f8</t>
  </si>
  <si>
    <t>2022-04-11 08:55:24 UTC</t>
  </si>
  <si>
    <t>2022-04-11 08:55:23 UTC</t>
  </si>
  <si>
    <t>2022-04-11 08:54:46 UTC</t>
  </si>
  <si>
    <t>2022-04-11 08:53:49 UTC</t>
  </si>
  <si>
    <t>2022-04-11 08:53:43 UTC</t>
  </si>
  <si>
    <t>c8ed551e9572052fddc7c35c0cfbca3e</t>
  </si>
  <si>
    <t>2022-04-11 08:53:23 UTC</t>
  </si>
  <si>
    <t>2022-04-11 08:53:14 UTC</t>
  </si>
  <si>
    <t>2022-04-11 08:52:51 UTC</t>
  </si>
  <si>
    <t>2022-04-11 08:52:45 UTC</t>
  </si>
  <si>
    <t>2022-04-11 08:52:24 UTC</t>
  </si>
  <si>
    <t>2022-04-11 08:52:03 UTC</t>
  </si>
  <si>
    <t>2022-04-11 08:52:02 UTC</t>
  </si>
  <si>
    <t>4a88db073101f6272efb800f4f1f6ec3</t>
  </si>
  <si>
    <t>2022-04-11 08:51:59 UTC</t>
  </si>
  <si>
    <t>2022-04-11 08:51:14 UTC</t>
  </si>
  <si>
    <t>2022-04-11 08:51:12 UTC</t>
  </si>
  <si>
    <t>2022-04-11 08:51:03 UTC</t>
  </si>
  <si>
    <t>2022-04-11 08:51:00 UTC</t>
  </si>
  <si>
    <t>2022-04-11 08:50:58 UTC</t>
  </si>
  <si>
    <t>2022-04-11 08:50:52 UTC</t>
  </si>
  <si>
    <t>2022-04-11 08:49:40 UTC</t>
  </si>
  <si>
    <t>2022-04-11 08:49:36 UTC</t>
  </si>
  <si>
    <t>2022-04-11 08:49:34 UTC</t>
  </si>
  <si>
    <t>2022-04-11 08:49:30 UTC</t>
  </si>
  <si>
    <t>2022-04-11 08:49:27 UTC</t>
  </si>
  <si>
    <t>2022-04-11 08:49:24 UTC</t>
  </si>
  <si>
    <t>2022-04-11 08:49:23 UTC</t>
  </si>
  <si>
    <t>2022-04-11 08:49:20 UTC</t>
  </si>
  <si>
    <t>2022-04-11 08:49:13 UTC</t>
  </si>
  <si>
    <t>2022-04-11 08:49:11 UTC</t>
  </si>
  <si>
    <t>6e4d9f1096bcf94e73790328d4ab8ff4</t>
  </si>
  <si>
    <t>2022-04-11 08:49:03 UTC</t>
  </si>
  <si>
    <t>2022-04-11 08:49:00 UTC</t>
  </si>
  <si>
    <t>2022-04-11 08:48:58 UTC</t>
  </si>
  <si>
    <t>2022-04-11 08:48:56 UTC</t>
  </si>
  <si>
    <t>e5ddb0323b2b5f73ddd430489830ed16</t>
  </si>
  <si>
    <t>2022-04-11 08:48:51 UTC</t>
  </si>
  <si>
    <t>2022-04-11 08:48:40 UTC</t>
  </si>
  <si>
    <t>2022-04-11 08:48:35 UTC</t>
  </si>
  <si>
    <t>2022-04-11 08:48:09 UTC</t>
  </si>
  <si>
    <t>6ee3ed3101f1b01390a0977bbc752695</t>
  </si>
  <si>
    <t>2022-04-11 08:47:59 UTC</t>
  </si>
  <si>
    <t>2022-04-11 08:47:48 UTC</t>
  </si>
  <si>
    <t>d552737980eccce5f27a09dc8c4f51fc</t>
  </si>
  <si>
    <t>2022-04-11 08:47:44 UTC</t>
  </si>
  <si>
    <t>2022-04-11 08:47:40 UTC</t>
  </si>
  <si>
    <t>2022-04-11 08:47:39 UTC</t>
  </si>
  <si>
    <t>ab3e9bd6d0fa8c63275f659b2d7f39b8</t>
  </si>
  <si>
    <t>2022-04-11 08:47:22 UTC</t>
  </si>
  <si>
    <t>2022-04-11 08:47:17 UTC</t>
  </si>
  <si>
    <t>733ca49c1a8795799e74eb5b76173ec6</t>
  </si>
  <si>
    <t>2022-04-11 08:47:12 UTC</t>
  </si>
  <si>
    <t>2022-04-11 08:47:07 UTC</t>
  </si>
  <si>
    <t>2022-04-11 08:46:56 UTC</t>
  </si>
  <si>
    <t>2022-04-11 08:46:46 UTC</t>
  </si>
  <si>
    <t>2022-04-11 08:46:41 UTC</t>
  </si>
  <si>
    <t>2022-04-11 08:46:09 UTC</t>
  </si>
  <si>
    <t>2022-04-11 08:45:48 UTC</t>
  </si>
  <si>
    <t>2022-04-11 08:45:46 UTC</t>
  </si>
  <si>
    <t>dce7f8c0f12d71a69dd68fcfa9c21728</t>
  </si>
  <si>
    <t>2022-04-11 08:45:41 UTC</t>
  </si>
  <si>
    <t>2022-04-11 08:45:37 UTC</t>
  </si>
  <si>
    <t>2022-04-11 08:45:33 UTC</t>
  </si>
  <si>
    <t>2022-04-11 08:45:32 UTC</t>
  </si>
  <si>
    <t>2022-04-11 08:45:30 UTC</t>
  </si>
  <si>
    <t>4d4c3d7e4cf26f5e8d007b95d2cadb74</t>
  </si>
  <si>
    <t>2022-04-11 08:45:06 UTC</t>
  </si>
  <si>
    <t>2022-04-11 08:45:04 UTC</t>
  </si>
  <si>
    <t>2022-04-11 08:45:03 UTC</t>
  </si>
  <si>
    <t>bc977be13bcb4a1a6d2eb73e7f2f03dd</t>
  </si>
  <si>
    <t>2022-04-11 08:44:49 UTC</t>
  </si>
  <si>
    <t>36c30c7e8f5cb48dd56fe80307c410a3</t>
  </si>
  <si>
    <t>2022-04-11 08:44:07 UTC</t>
  </si>
  <si>
    <t>2022-04-11 08:43:57 UTC</t>
  </si>
  <si>
    <t>2022-04-11 08:43:37 UTC</t>
  </si>
  <si>
    <t>2022-04-11 08:43:02 UTC</t>
  </si>
  <si>
    <t>8c8baac562119adf443d9de29a7d5714</t>
  </si>
  <si>
    <t>2022-04-11 08:42:58 UTC</t>
  </si>
  <si>
    <t>2022-04-11 08:42:57 UTC</t>
  </si>
  <si>
    <t>2022-04-11 08:42:49 UTC</t>
  </si>
  <si>
    <t>2022-04-11 08:42:43 UTC</t>
  </si>
  <si>
    <t>2022-04-11 08:41:05 UTC</t>
  </si>
  <si>
    <t>2022-04-11 08:41:02 UTC</t>
  </si>
  <si>
    <t>2022-04-11 08:40:57 UTC</t>
  </si>
  <si>
    <t>2022-04-11 08:40:54 UTC</t>
  </si>
  <si>
    <t>2022-04-11 08:40:41 UTC</t>
  </si>
  <si>
    <t>2022-04-11 08:40:40 UTC</t>
  </si>
  <si>
    <t>2022-04-11 08:40:29 UTC</t>
  </si>
  <si>
    <t>2022-04-11 08:40:08 UTC</t>
  </si>
  <si>
    <t>2022-04-11 08:40:06 UTC</t>
  </si>
  <si>
    <t>2022-04-11 08:39:56 UTC</t>
  </si>
  <si>
    <t>2022-04-11 08:39:53 UTC</t>
  </si>
  <si>
    <t>2022-04-11 08:39:51 UTC</t>
  </si>
  <si>
    <t>2022-04-11 08:39:48 UTC</t>
  </si>
  <si>
    <t>2022-04-11 08:39:43 UTC</t>
  </si>
  <si>
    <t>2022-04-11 08:39:40 UTC</t>
  </si>
  <si>
    <t>2022-04-11 08:39:37 UTC</t>
  </si>
  <si>
    <t>2022-04-11 08:39:31 UTC</t>
  </si>
  <si>
    <t>2022-04-11 08:39:21 UTC</t>
  </si>
  <si>
    <t>2022-04-11 08:39:18 UTC</t>
  </si>
  <si>
    <t>0dc7b9fb1da55938c72d7ba38926be1f</t>
  </si>
  <si>
    <t>2022-04-11 08:39:13 UTC</t>
  </si>
  <si>
    <t>2022-04-11 08:39:09 UTC</t>
  </si>
  <si>
    <t>2022-04-11 08:38:58 UTC</t>
  </si>
  <si>
    <t>25a84fcfbb85711575c22f2b4a287a38</t>
  </si>
  <si>
    <t>2022-04-11 08:38:48 UTC</t>
  </si>
  <si>
    <t>2022-04-11 08:38:42 UTC</t>
  </si>
  <si>
    <t>2022-04-11 08:38:36 UTC</t>
  </si>
  <si>
    <t>2022-04-11 08:37:56 UTC</t>
  </si>
  <si>
    <t>2022-04-11 08:37:55 UTC</t>
  </si>
  <si>
    <t>c24848a14aa1dcda3d83a52bbb809c81</t>
  </si>
  <si>
    <t>2022-04-11 08:37:52 UTC</t>
  </si>
  <si>
    <t>2022-04-11 08:37:48 UTC</t>
  </si>
  <si>
    <t>738fe94da2786480faf833390f542499</t>
  </si>
  <si>
    <t>2022-04-11 08:37:47 UTC</t>
  </si>
  <si>
    <t>f7cb5711f7e696be088551b9fbcc412c</t>
  </si>
  <si>
    <t>2022-04-11 08:37:44 UTC</t>
  </si>
  <si>
    <t>7682af9197497dc92940f940e80ea56e</t>
  </si>
  <si>
    <t>2022-04-11 08:37:35 UTC</t>
  </si>
  <si>
    <t>2022-04-11 08:37:32 UTC</t>
  </si>
  <si>
    <t>2022-04-11 08:37:28 UTC</t>
  </si>
  <si>
    <t>2022-04-11 08:37:24 UTC</t>
  </si>
  <si>
    <t>2022-04-11 08:37:18 UTC</t>
  </si>
  <si>
    <t>2022-04-11 08:37:16 UTC</t>
  </si>
  <si>
    <t>2022-04-11 08:37:13 UTC</t>
  </si>
  <si>
    <t>2022-04-11 08:36:58 UTC</t>
  </si>
  <si>
    <t>2022-04-11 08:36:57 UTC</t>
  </si>
  <si>
    <t>2022-04-11 08:36:54 UTC</t>
  </si>
  <si>
    <t>2022-04-11 08:36:50 UTC</t>
  </si>
  <si>
    <t>2022-04-11 08:36:48 UTC</t>
  </si>
  <si>
    <t>2d475bc5422b7ea30e7b3e5e5f786b43</t>
  </si>
  <si>
    <t>2022-04-11 08:36:46 UTC</t>
  </si>
  <si>
    <t>2022-04-11 08:36:45 UTC</t>
  </si>
  <si>
    <t>2022-04-11 08:36:41 UTC</t>
  </si>
  <si>
    <t>2022-04-11 08:36:37 UTC</t>
  </si>
  <si>
    <t>2022-04-11 08:36:31 UTC</t>
  </si>
  <si>
    <t>2022-04-11 08:36:28 UTC</t>
  </si>
  <si>
    <t>2022-04-11 08:36:27 UTC</t>
  </si>
  <si>
    <t>2022-04-11 08:36:25 UTC</t>
  </si>
  <si>
    <t>2022-04-11 08:36:24 UTC</t>
  </si>
  <si>
    <t>2022-04-11 08:36:22 UTC</t>
  </si>
  <si>
    <t>1a2c0a1f553e50e171a509a01ae234d6</t>
  </si>
  <si>
    <t>2022-04-11 08:36:21 UTC</t>
  </si>
  <si>
    <t>2022-04-11 08:36:17 UTC</t>
  </si>
  <si>
    <t>2022-04-11 08:36:16 UTC</t>
  </si>
  <si>
    <t>2022-04-11 08:36:14 UTC</t>
  </si>
  <si>
    <t>2022-04-11 08:36:13 UTC</t>
  </si>
  <si>
    <t>2022-04-11 08:36:11 UTC</t>
  </si>
  <si>
    <t>2022-04-11 08:36:10 UTC</t>
  </si>
  <si>
    <t>2022-04-11 08:36:08 UTC</t>
  </si>
  <si>
    <t>2022-04-11 08:36:07 UTC</t>
  </si>
  <si>
    <t>2022-04-11 08:36:05 UTC</t>
  </si>
  <si>
    <t>2022-04-11 08:35:55 UTC</t>
  </si>
  <si>
    <t>2022-04-11 08:35:51 UTC</t>
  </si>
  <si>
    <t>2022-04-11 08:35:49 UTC</t>
  </si>
  <si>
    <t>2022-04-11 08:35:40 UTC</t>
  </si>
  <si>
    <t>2022-04-11 08:35:21 UTC</t>
  </si>
  <si>
    <t>2022-04-11 08:35:19 UTC</t>
  </si>
  <si>
    <t>2022-04-11 08:35:18 UTC</t>
  </si>
  <si>
    <t>2022-04-11 08:35:17 UTC</t>
  </si>
  <si>
    <t>2022-04-11 08:35:15 UTC</t>
  </si>
  <si>
    <t>2022-04-11 08:35:13 UTC</t>
  </si>
  <si>
    <t>2022-04-11 08:35:11 UTC</t>
  </si>
  <si>
    <t>2022-04-11 08:35:06 UTC</t>
  </si>
  <si>
    <t>2022-04-11 08:34:34 UTC</t>
  </si>
  <si>
    <t>2022-04-11 08:34:32 UTC</t>
  </si>
  <si>
    <t>2022-04-11 08:34:27 UTC</t>
  </si>
  <si>
    <t>2022-04-11 08:34:24 UTC</t>
  </si>
  <si>
    <t>2022-04-11 08:34:13 UTC</t>
  </si>
  <si>
    <t>2022-04-11 08:33:55 UTC</t>
  </si>
  <si>
    <t>2022-04-11 08:33:35 UTC</t>
  </si>
  <si>
    <t>2022-04-11 08:32:14 UTC</t>
  </si>
  <si>
    <t>2022-04-11 08:32:13 UTC</t>
  </si>
  <si>
    <t>2022-04-11 08:32:11 UTC</t>
  </si>
  <si>
    <t>2022-04-11 08:32:10 UTC</t>
  </si>
  <si>
    <t>2022-04-11 08:32:08 UTC</t>
  </si>
  <si>
    <t>2022-04-11 08:32:07 UTC</t>
  </si>
  <si>
    <t>2022-04-11 08:32:06 UTC</t>
  </si>
  <si>
    <t>c38cf7d672585e7a9f0ee0a2800a0c04</t>
  </si>
  <si>
    <t>2022-04-11 08:32:05 UTC</t>
  </si>
  <si>
    <t>2022-04-11 08:32:04 UTC</t>
  </si>
  <si>
    <t>2022-04-11 08:32:03 UTC</t>
  </si>
  <si>
    <t>2022-04-11 08:32:02 UTC</t>
  </si>
  <si>
    <t>2022-04-11 08:32:00 UTC</t>
  </si>
  <si>
    <t>2022-04-11 08:31:56 UTC</t>
  </si>
  <si>
    <t>2022-04-11 08:31:54 UTC</t>
  </si>
  <si>
    <t>2022-04-11 08:31:52 UTC</t>
  </si>
  <si>
    <t>2022-04-11 08:31:45 UTC</t>
  </si>
  <si>
    <t>52de8fe3bf3d733688e6b2195a288839</t>
  </si>
  <si>
    <t>2022-04-11 08:31:43 UTC</t>
  </si>
  <si>
    <t>7a5fa078140d1eacc3dea3dad59147ae</t>
  </si>
  <si>
    <t>2022-04-11 08:31:35 UTC</t>
  </si>
  <si>
    <t>2022-04-11 08:31:19 UTC</t>
  </si>
  <si>
    <t>2022-04-11 08:31:09 UTC</t>
  </si>
  <si>
    <t>2022-04-11 08:31:08 UTC</t>
  </si>
  <si>
    <t>2022-04-11 08:31:06 UTC</t>
  </si>
  <si>
    <t>2022-04-11 08:31:05 UTC</t>
  </si>
  <si>
    <t>2022-04-11 08:31:04 UTC</t>
  </si>
  <si>
    <t>2022-04-11 08:31:03 UTC</t>
  </si>
  <si>
    <t>2022-04-11 08:31:02 UTC</t>
  </si>
  <si>
    <t>2022-04-11 08:31:00 UTC</t>
  </si>
  <si>
    <t>2022-04-11 08:30:59 UTC</t>
  </si>
  <si>
    <t>2022-04-11 08:30:58 UTC</t>
  </si>
  <si>
    <t>2022-04-11 08:30:57 UTC</t>
  </si>
  <si>
    <t>2022-04-11 08:30:55 UTC</t>
  </si>
  <si>
    <t>2022-04-11 08:30:54 UTC</t>
  </si>
  <si>
    <t>2022-04-11 08:30:52 UTC</t>
  </si>
  <si>
    <t>2022-04-11 08:30:49 UTC</t>
  </si>
  <si>
    <t>2022-04-11 08:30:47 UTC</t>
  </si>
  <si>
    <t>2022-04-11 08:30:27 UTC</t>
  </si>
  <si>
    <t>1675e55b6bebc6938e6f0bfa2a796ba1</t>
  </si>
  <si>
    <t>2022-04-11 08:30:14 UTC</t>
  </si>
  <si>
    <t>2022-04-11 08:30:10 UTC</t>
  </si>
  <si>
    <t>2022-04-11 08:30:00 UTC</t>
  </si>
  <si>
    <t>c217fb84d297de2a494df38922661dfe</t>
  </si>
  <si>
    <t>2022-04-11 08:29:53 UTC</t>
  </si>
  <si>
    <t>b0619104fae5516dd438df9db24b1ec0</t>
  </si>
  <si>
    <t>2022-04-11 08:29:47 UTC</t>
  </si>
  <si>
    <t>2022-04-11 08:29:46 UTC</t>
  </si>
  <si>
    <t>2022-04-11 08:29:42 UTC</t>
  </si>
  <si>
    <t>2022-04-11 08:29:40 UTC</t>
  </si>
  <si>
    <t>2022-04-11 08:29:35 UTC</t>
  </si>
  <si>
    <t>2022-04-11 08:29:29 UTC</t>
  </si>
  <si>
    <t>2022-04-11 08:29:21 UTC</t>
  </si>
  <si>
    <t>f5668c6e4d48bd6ba43f30cd376a0a8c</t>
  </si>
  <si>
    <t>2022-04-11 08:28:02 UTC</t>
  </si>
  <si>
    <t>2022-04-11 08:27:58 UTC</t>
  </si>
  <si>
    <t>2022-04-11 08:27:49 UTC</t>
  </si>
  <si>
    <t>287b3891c76f490605dec6211844d934</t>
  </si>
  <si>
    <t>2022-04-11 08:27:45 UTC</t>
  </si>
  <si>
    <t>2022-04-11 08:27:43 UTC</t>
  </si>
  <si>
    <t>2022-04-11 08:27:41 UTC</t>
  </si>
  <si>
    <t>2022-04-11 08:27:40 UTC</t>
  </si>
  <si>
    <t>2022-04-11 08:27:38 UTC</t>
  </si>
  <si>
    <t>2022-04-11 08:27:37 UTC</t>
  </si>
  <si>
    <t>2022-04-11 08:27:33 UTC</t>
  </si>
  <si>
    <t>2022-04-11 08:27:31 UTC</t>
  </si>
  <si>
    <t>2022-04-11 08:27:27 UTC</t>
  </si>
  <si>
    <t>2022-04-11 08:27:25 UTC</t>
  </si>
  <si>
    <t>2022-04-11 08:27:23 UTC</t>
  </si>
  <si>
    <t>44a802b9b2519de2be2c50315af9345a</t>
  </si>
  <si>
    <t>2022-04-11 08:27:15 UTC</t>
  </si>
  <si>
    <t>2022-04-11 08:26:49 UTC</t>
  </si>
  <si>
    <t>7a6e5b62d6ef6635f5e67140d76e8d9b</t>
  </si>
  <si>
    <t>2022-04-11 08:26:47 UTC</t>
  </si>
  <si>
    <t>2022-04-11 08:26:46 UTC</t>
  </si>
  <si>
    <t>2022-04-11 08:26:44 UTC</t>
  </si>
  <si>
    <t>2022-04-11 08:26:43 UTC</t>
  </si>
  <si>
    <t>2022-04-11 08:26:40 UTC</t>
  </si>
  <si>
    <t>2022-04-11 08:26:14 UTC</t>
  </si>
  <si>
    <t>2022-04-11 08:26:06 UTC</t>
  </si>
  <si>
    <t>bdaaf968584652e6a8393cb15403c43c</t>
  </si>
  <si>
    <t>2022-04-11 08:26:04 UTC</t>
  </si>
  <si>
    <t>2022-04-11 08:26:03 UTC</t>
  </si>
  <si>
    <t>2022-04-11 08:26:01 UTC</t>
  </si>
  <si>
    <t>2189cd9ae224ceffb931985ddaef3125</t>
  </si>
  <si>
    <t>2022-04-11 08:25:46 UTC</t>
  </si>
  <si>
    <t>2022-04-11 08:25:42 UTC</t>
  </si>
  <si>
    <t>d52f3aec51f362cfbfe525847e266239</t>
  </si>
  <si>
    <t>2022-04-11 08:25:36 UTC</t>
  </si>
  <si>
    <t>2022-04-11 08:25:32 UTC</t>
  </si>
  <si>
    <t>2022-04-11 08:25:27 UTC</t>
  </si>
  <si>
    <t>8311227abf517ff5e8882b9d5b8a3a53</t>
  </si>
  <si>
    <t>2022-04-11 08:25:19 UTC</t>
  </si>
  <si>
    <t>2022-04-11 08:25:15 UTC</t>
  </si>
  <si>
    <t>2022-04-11 08:25:11 UTC</t>
  </si>
  <si>
    <t>2022-04-11 08:25:09 UTC</t>
  </si>
  <si>
    <t>2022-04-11 08:25:08 UTC</t>
  </si>
  <si>
    <t>2022-04-11 08:25:06 UTC</t>
  </si>
  <si>
    <t>2022-04-11 08:25:05 UTC</t>
  </si>
  <si>
    <t>2022-04-11 08:25:01 UTC</t>
  </si>
  <si>
    <t>2022-04-11 08:25:00 UTC</t>
  </si>
  <si>
    <t>2022-04-11 08:24:59 UTC</t>
  </si>
  <si>
    <t>2022-04-11 08:24:57 UTC</t>
  </si>
  <si>
    <t>2022-04-11 08:24:55 UTC</t>
  </si>
  <si>
    <t>456913b012efbbbc8eda380c7392acec</t>
  </si>
  <si>
    <t>2022-04-11 08:24:53 UTC</t>
  </si>
  <si>
    <t>2022-04-11 08:24:50 UTC</t>
  </si>
  <si>
    <t>2022-04-11 08:24:48 UTC</t>
  </si>
  <si>
    <t>2022-04-11 08:24:46 UTC</t>
  </si>
  <si>
    <t>2022-04-11 08:24:43 UTC</t>
  </si>
  <si>
    <t>2022-04-11 08:24:40 UTC</t>
  </si>
  <si>
    <t>dcd99e010dd832895745d1612b5288f2</t>
  </si>
  <si>
    <t>2022-04-11 08:24:37 UTC</t>
  </si>
  <si>
    <t>2022-04-11 08:24:28 UTC</t>
  </si>
  <si>
    <t>2022-04-11 08:24:25 UTC</t>
  </si>
  <si>
    <t>2022-04-11 08:24:22 UTC</t>
  </si>
  <si>
    <t>2022-04-11 08:24:18 UTC</t>
  </si>
  <si>
    <t>2022-04-11 08:24:16 UTC</t>
  </si>
  <si>
    <t>fb6500dea6221826e348c04d933f3794</t>
  </si>
  <si>
    <t>2022-04-11 08:24:11 UTC</t>
  </si>
  <si>
    <t>2022-04-11 08:24:09 UTC</t>
  </si>
  <si>
    <t>2022-04-11 08:24:04 UTC</t>
  </si>
  <si>
    <t>d4691f15d56d3e5f615cbdbdaf8358ec</t>
  </si>
  <si>
    <t>2022-04-11 08:23:43 UTC</t>
  </si>
  <si>
    <t>9eb4b399d7470c46dfe5be6f4cce2f58</t>
  </si>
  <si>
    <t>2022-04-11 08:23:25 UTC</t>
  </si>
  <si>
    <t>2022-04-11 08:23:03 UTC</t>
  </si>
  <si>
    <t>2022-04-11 08:23:02 UTC</t>
  </si>
  <si>
    <t>f55cb9c70fd83fa946f021b8614c31ec</t>
  </si>
  <si>
    <t>2022-04-11 08:22:57 UTC</t>
  </si>
  <si>
    <t>2022-04-11 08:22:47 UTC</t>
  </si>
  <si>
    <t>2022-04-11 08:22:46 UTC</t>
  </si>
  <si>
    <t>b2e5612c8fae2cae025acdec9bfbd780</t>
  </si>
  <si>
    <t>2022-04-11 08:22:45 UTC</t>
  </si>
  <si>
    <t>bb7c8a0dc55f10b3f9e0f559e3793c86</t>
  </si>
  <si>
    <t>2022-04-11 08:22:41 UTC</t>
  </si>
  <si>
    <t>2022-04-11 08:22:38 UTC</t>
  </si>
  <si>
    <t>2022-04-11 08:22:37 UTC</t>
  </si>
  <si>
    <t>2022-04-11 08:22:32 UTC</t>
  </si>
  <si>
    <t>2022-04-11 08:22:30 UTC</t>
  </si>
  <si>
    <t>2022-04-11 08:22:29 UTC</t>
  </si>
  <si>
    <t>2022-04-11 08:22:26 UTC</t>
  </si>
  <si>
    <t>2022-04-11 08:22:24 UTC</t>
  </si>
  <si>
    <t>2022-04-11 08:22:22 UTC</t>
  </si>
  <si>
    <t>2022-04-11 08:22:14 UTC</t>
  </si>
  <si>
    <t>2022-04-11 08:22:09 UTC</t>
  </si>
  <si>
    <t>2022-04-11 08:22:07 UTC</t>
  </si>
  <si>
    <t>2022-04-11 08:22:02 UTC</t>
  </si>
  <si>
    <t>2022-04-11 08:22:00 UTC</t>
  </si>
  <si>
    <t>2022-04-11 08:21:58 UTC</t>
  </si>
  <si>
    <t>2022-04-11 08:21:45 UTC</t>
  </si>
  <si>
    <t>2022-04-11 08:21:21 UTC</t>
  </si>
  <si>
    <t>2022-04-11 08:20:43 UTC</t>
  </si>
  <si>
    <t>2022-04-11 08:20:38 UTC</t>
  </si>
  <si>
    <t>2022-04-11 08:20:37 UTC</t>
  </si>
  <si>
    <t>2022-04-11 08:20:34 UTC</t>
  </si>
  <si>
    <t>2022-04-11 08:20:33 UTC</t>
  </si>
  <si>
    <t>2022-04-11 08:20:30 UTC</t>
  </si>
  <si>
    <t>2022-04-11 08:20:29 UTC</t>
  </si>
  <si>
    <t>2022-04-11 08:20:27 UTC</t>
  </si>
  <si>
    <t>2022-04-11 08:20:24 UTC</t>
  </si>
  <si>
    <t>2022-04-11 08:20:22 UTC</t>
  </si>
  <si>
    <t>2022-04-11 08:20:20 UTC</t>
  </si>
  <si>
    <t>2022-04-11 08:20:13 UTC</t>
  </si>
  <si>
    <t>2022-04-11 08:20:11 UTC</t>
  </si>
  <si>
    <t>2022-04-11 08:20:10 UTC</t>
  </si>
  <si>
    <t>2022-04-11 08:19:29 UTC</t>
  </si>
  <si>
    <t>2022-04-11 08:19:14 UTC</t>
  </si>
  <si>
    <t>493d1d81be0820670270687181f436b4</t>
  </si>
  <si>
    <t>2022-04-11 08:19:12 UTC</t>
  </si>
  <si>
    <t>2022-04-11 08:19:08 UTC</t>
  </si>
  <si>
    <t>2022-04-11 08:19:00 UTC</t>
  </si>
  <si>
    <t>2022-04-11 08:18:51 UTC</t>
  </si>
  <si>
    <t>2022-04-11 08:18:48 UTC</t>
  </si>
  <si>
    <t>2022-04-11 08:18:45 UTC</t>
  </si>
  <si>
    <t>9265f97fd2c02664d71e6c39d8cdab7f</t>
  </si>
  <si>
    <t>2022-04-11 08:18:44 UTC</t>
  </si>
  <si>
    <t>2022-04-11 08:18:22 UTC</t>
  </si>
  <si>
    <t>2022-04-11 08:18:21 UTC</t>
  </si>
  <si>
    <t>fd922be4ff448680a1b2545e911f661d</t>
  </si>
  <si>
    <t>2022-04-11 08:18:19 UTC</t>
  </si>
  <si>
    <t>2022-04-11 08:18:14 UTC</t>
  </si>
  <si>
    <t>2022-04-11 08:17:43 UTC</t>
  </si>
  <si>
    <t>1ce92f87ff2e3134079cda0941e239f5</t>
  </si>
  <si>
    <t>e25c90222a8fb87fd415568316644d68</t>
  </si>
  <si>
    <t>2022-04-11 08:17:32 UTC</t>
  </si>
  <si>
    <t>2022-04-11 08:17:29 UTC</t>
  </si>
  <si>
    <t>2022-04-11 08:17:22 UTC</t>
  </si>
  <si>
    <t>6238c3c89df9f61be5e96afe8d4becde</t>
  </si>
  <si>
    <t>2022-04-11 08:17:21 UTC</t>
  </si>
  <si>
    <t>2022-04-11 08:17:17 UTC</t>
  </si>
  <si>
    <t>2022-04-11 08:17:15 UTC</t>
  </si>
  <si>
    <t>2022-04-11 08:17:09 UTC</t>
  </si>
  <si>
    <t>2022-04-11 08:17:07 UTC</t>
  </si>
  <si>
    <t>d0cc43b03cf4d442e510580142177e00</t>
  </si>
  <si>
    <t>2022-04-11 08:17:02 UTC</t>
  </si>
  <si>
    <t>2022-04-11 08:17:01 UTC</t>
  </si>
  <si>
    <t>2022-04-11 08:16:59 UTC</t>
  </si>
  <si>
    <t>2022-04-11 08:16:58 UTC</t>
  </si>
  <si>
    <t>2022-04-11 08:16:53 UTC</t>
  </si>
  <si>
    <t>2022-04-11 08:16:52 UTC</t>
  </si>
  <si>
    <t>2022-04-11 08:16:45 UTC</t>
  </si>
  <si>
    <t>2022-04-11 08:16:41 UTC</t>
  </si>
  <si>
    <t>2022-04-11 08:16:36 UTC</t>
  </si>
  <si>
    <t>2022-04-11 08:15:43 UTC</t>
  </si>
  <si>
    <t>2022-04-11 08:15:36 UTC</t>
  </si>
  <si>
    <t>e85dc5c9550f9ea180432cf28e07ff68</t>
  </si>
  <si>
    <t>2022-04-11 08:15:33 UTC</t>
  </si>
  <si>
    <t>2022-04-11 08:15:30 UTC</t>
  </si>
  <si>
    <t>2022-04-11 08:15:26 UTC</t>
  </si>
  <si>
    <t>a7ab8fb9af08b088ab0054cdc27a7c94</t>
  </si>
  <si>
    <t>2022-04-11 08:15:25 UTC</t>
  </si>
  <si>
    <t>2022-04-11 08:15:23 UTC</t>
  </si>
  <si>
    <t>4cb4d5fe0a56ff62d4a1c267825f5099</t>
  </si>
  <si>
    <t>2022-04-11 08:15:20 UTC</t>
  </si>
  <si>
    <t>2022-04-11 08:15:16 UTC</t>
  </si>
  <si>
    <t>2022-04-11 08:15:15 UTC</t>
  </si>
  <si>
    <t>2022-04-11 08:15:14 UTC</t>
  </si>
  <si>
    <t>2022-04-11 08:15:10 UTC</t>
  </si>
  <si>
    <t>2022-04-11 08:15:08 UTC</t>
  </si>
  <si>
    <t>2022-04-11 08:15:04 UTC</t>
  </si>
  <si>
    <t>2022-04-11 08:15:01 UTC</t>
  </si>
  <si>
    <t>2022-04-11 08:14:59 UTC</t>
  </si>
  <si>
    <t>2022-04-11 08:14:57 UTC</t>
  </si>
  <si>
    <t>2022-04-11 08:14:55 UTC</t>
  </si>
  <si>
    <t>2022-04-11 08:14:51 UTC</t>
  </si>
  <si>
    <t>2022-04-11 08:14:50 UTC</t>
  </si>
  <si>
    <t>2022-04-11 08:14:48 UTC</t>
  </si>
  <si>
    <t>2022-04-11 08:14:44 UTC</t>
  </si>
  <si>
    <t>2022-04-11 08:14:41 UTC</t>
  </si>
  <si>
    <t>2022-04-11 08:14:39 UTC</t>
  </si>
  <si>
    <t>2022-04-11 08:14:37 UTC</t>
  </si>
  <si>
    <t>2022-04-11 08:14:30 UTC</t>
  </si>
  <si>
    <t>2022-04-11 08:14:23 UTC</t>
  </si>
  <si>
    <t>2022-04-11 08:14:20 UTC</t>
  </si>
  <si>
    <t>2022-04-11 08:14:15 UTC</t>
  </si>
  <si>
    <t>2022-04-11 08:14:13 UTC</t>
  </si>
  <si>
    <t>2022-04-11 08:14:08 UTC</t>
  </si>
  <si>
    <t>2022-04-11 08:14:03 UTC</t>
  </si>
  <si>
    <t>2022-04-11 08:14:02 UTC</t>
  </si>
  <si>
    <t>12c4ec237fd61fd9b12c156db9823e9c</t>
  </si>
  <si>
    <t>2022-04-11 08:13:59 UTC</t>
  </si>
  <si>
    <t>2022-04-11 08:13:53 UTC</t>
  </si>
  <si>
    <t>2022-04-11 08:13:43 UTC</t>
  </si>
  <si>
    <t>2022-04-11 08:13:39 UTC</t>
  </si>
  <si>
    <t>2022-04-11 08:13:32 UTC</t>
  </si>
  <si>
    <t>2022-04-11 08:13:30 UTC</t>
  </si>
  <si>
    <t>cd57780a8cd3880302cd3eb51fcdcb6f</t>
  </si>
  <si>
    <t>2022-04-11 08:13:28 UTC</t>
  </si>
  <si>
    <t>2022-04-11 08:13:27 UTC</t>
  </si>
  <si>
    <t>2022-04-11 08:13:24 UTC</t>
  </si>
  <si>
    <t>c9031c7bc48bfd521d2178d5857a8aa1</t>
  </si>
  <si>
    <t>2022-04-11 08:13:18 UTC</t>
  </si>
  <si>
    <t>2022-04-11 08:13:10 UTC</t>
  </si>
  <si>
    <t>2022-04-11 08:13:07 UTC</t>
  </si>
  <si>
    <t>2022-04-11 08:13:05 UTC</t>
  </si>
  <si>
    <t>2022-04-11 08:13:04 UTC</t>
  </si>
  <si>
    <t>eb5de40f94f20fa6a9c0502eed8b347d</t>
  </si>
  <si>
    <t>2022-04-11 08:13:02 UTC</t>
  </si>
  <si>
    <t>2022-04-11 08:13:01 UTC</t>
  </si>
  <si>
    <t>2022-04-11 08:12:58 UTC</t>
  </si>
  <si>
    <t>2022-04-11 08:12:57 UTC</t>
  </si>
  <si>
    <t>2022-04-11 08:12:51 UTC</t>
  </si>
  <si>
    <t>2022-04-11 08:12:42 UTC</t>
  </si>
  <si>
    <t>2022-04-11 08:12:41 UTC</t>
  </si>
  <si>
    <t>2022-04-11 08:12:40 UTC</t>
  </si>
  <si>
    <t>9dc766ae8b50cd6740148dd80ec0085e</t>
  </si>
  <si>
    <t>2022-04-11 08:12:37 UTC</t>
  </si>
  <si>
    <t>2022-04-11 08:12:36 UTC</t>
  </si>
  <si>
    <t>2022-04-11 08:12:25 UTC</t>
  </si>
  <si>
    <t>42f7688a263123903f0ce8b447e74ed9</t>
  </si>
  <si>
    <t>2022-04-11 08:12:09 UTC</t>
  </si>
  <si>
    <t>2022-04-11 08:11:50 UTC</t>
  </si>
  <si>
    <t>2022-04-11 08:11:48 UTC</t>
  </si>
  <si>
    <t>2022-04-11 08:11:43 UTC</t>
  </si>
  <si>
    <t>63d4e1f58830b4bd2bdf3abf72f7b9e5</t>
  </si>
  <si>
    <t>2022-04-11 08:11:39 UTC</t>
  </si>
  <si>
    <t>2022-04-11 08:11:36 UTC</t>
  </si>
  <si>
    <t>2022-04-11 08:11:34 UTC</t>
  </si>
  <si>
    <t>2022-04-11 08:11:32 UTC</t>
  </si>
  <si>
    <t>2022-04-11 08:11:29 UTC</t>
  </si>
  <si>
    <t>2022-04-11 08:11:25 UTC</t>
  </si>
  <si>
    <t>2022-04-11 08:10:55 UTC</t>
  </si>
  <si>
    <t>2022-04-11 08:10:46 UTC</t>
  </si>
  <si>
    <t>fe24886e02edccea1b62c1f99b97f702</t>
  </si>
  <si>
    <t>2022-04-11 08:10:38 UTC</t>
  </si>
  <si>
    <t>2022-04-11 08:10:34 UTC</t>
  </si>
  <si>
    <t>2022-04-11 08:10:31 UTC</t>
  </si>
  <si>
    <t>c0e4da2cc5c486f255e57b062062a269</t>
  </si>
  <si>
    <t>2022-04-11 08:10:30 UTC</t>
  </si>
  <si>
    <t>2022-04-11 08:10:26 UTC</t>
  </si>
  <si>
    <t>2022-04-11 08:10:25 UTC</t>
  </si>
  <si>
    <t>96f90de8a10a54cb608503bb07438184</t>
  </si>
  <si>
    <t>2022-04-11 08:10:19 UTC</t>
  </si>
  <si>
    <t>2022-04-11 08:10:17 UTC</t>
  </si>
  <si>
    <t>2022-04-11 08:10:15 UTC</t>
  </si>
  <si>
    <t>2022-04-11 08:10:13 UTC</t>
  </si>
  <si>
    <t>2022-04-11 08:10:08 UTC</t>
  </si>
  <si>
    <t>2022-04-11 08:10:05 UTC</t>
  </si>
  <si>
    <t>2022-04-11 08:09:53 UTC</t>
  </si>
  <si>
    <t>2022-04-11 08:09:51 UTC</t>
  </si>
  <si>
    <t>2022-04-11 08:09:39 UTC</t>
  </si>
  <si>
    <t>2022-04-11 08:09:38 UTC</t>
  </si>
  <si>
    <t>2022-04-11 08:09:37 UTC</t>
  </si>
  <si>
    <t>2022-04-11 08:09:34 UTC</t>
  </si>
  <si>
    <t>2022-04-11 08:09:33 UTC</t>
  </si>
  <si>
    <t>7a48f0da901804419509107991c3b941</t>
  </si>
  <si>
    <t>2022-04-11 08:09:32 UTC</t>
  </si>
  <si>
    <t>2022-04-11 08:09:20 UTC</t>
  </si>
  <si>
    <t>2022-04-11 08:09:13 UTC</t>
  </si>
  <si>
    <t>2022-04-11 08:09:08 UTC</t>
  </si>
  <si>
    <t>2022-04-11 08:09:06 UTC</t>
  </si>
  <si>
    <t>2022-04-11 08:09:04 UTC</t>
  </si>
  <si>
    <t>2022-04-11 08:09:02 UTC</t>
  </si>
  <si>
    <t>2022-04-11 08:09:01 UTC</t>
  </si>
  <si>
    <t>2022-04-11 08:08:57 UTC</t>
  </si>
  <si>
    <t>0a0cbc6e891b46fb3b4eb1f448dac310</t>
  </si>
  <si>
    <t>2022-04-11 08:08:55 UTC</t>
  </si>
  <si>
    <t>2022-04-11 08:08:52 UTC</t>
  </si>
  <si>
    <t>2022-04-11 08:08:51 UTC</t>
  </si>
  <si>
    <t>2022-04-11 08:08:49 UTC</t>
  </si>
  <si>
    <t>2022-04-11 08:08:47 UTC</t>
  </si>
  <si>
    <t>2022-04-11 08:08:46 UTC</t>
  </si>
  <si>
    <t>2022-04-11 08:08:45 UTC</t>
  </si>
  <si>
    <t>2022-04-11 08:08:43 UTC</t>
  </si>
  <si>
    <t>2022-04-11 08:08:39 UTC</t>
  </si>
  <si>
    <t>2022-04-11 08:08:30 UTC</t>
  </si>
  <si>
    <t>2022-04-11 08:08:17 UTC</t>
  </si>
  <si>
    <t>85ea6a42deab25c868e696710db92204</t>
  </si>
  <si>
    <t>2022-04-11 08:08:10 UTC</t>
  </si>
  <si>
    <t>2022-04-11 08:08:07 UTC</t>
  </si>
  <si>
    <t>2022-04-11 08:08:05 UTC</t>
  </si>
  <si>
    <t>2022-04-11 08:08:03 UTC</t>
  </si>
  <si>
    <t>2022-04-11 08:08:01 UTC</t>
  </si>
  <si>
    <t>2022-04-11 08:07:58 UTC</t>
  </si>
  <si>
    <t>2022-04-11 08:07:57 UTC</t>
  </si>
  <si>
    <t>2022-04-11 08:07:41 UTC</t>
  </si>
  <si>
    <t>2022-04-11 08:07:24 UTC</t>
  </si>
  <si>
    <t>2022-04-11 08:07:22 UTC</t>
  </si>
  <si>
    <t>2022-04-11 08:07:20 UTC</t>
  </si>
  <si>
    <t>2022-04-11 08:07:17 UTC</t>
  </si>
  <si>
    <t>2022-04-11 08:07:06 UTC</t>
  </si>
  <si>
    <t>2022-04-11 08:07:05 UTC</t>
  </si>
  <si>
    <t>2022-04-11 08:07:04 UTC</t>
  </si>
  <si>
    <t>2022-04-11 08:07:02 UTC</t>
  </si>
  <si>
    <t>2022-04-11 08:07:01 UTC</t>
  </si>
  <si>
    <t>2022-04-11 08:07:00 UTC</t>
  </si>
  <si>
    <t>2022-04-11 08:06:59 UTC</t>
  </si>
  <si>
    <t>2022-04-11 08:06:48 UTC</t>
  </si>
  <si>
    <t>4a6c626729bf11a830190d6defe3ef86</t>
  </si>
  <si>
    <t>2022-04-11 08:06:45 UTC</t>
  </si>
  <si>
    <t>2022-04-11 08:06:23 UTC</t>
  </si>
  <si>
    <t>2022-04-11 08:06:21 UTC</t>
  </si>
  <si>
    <t>2022-04-11 08:06:19 UTC</t>
  </si>
  <si>
    <t>2022-04-11 08:06:15 UTC</t>
  </si>
  <si>
    <t>2022-04-11 08:06:11 UTC</t>
  </si>
  <si>
    <t>2022-04-11 08:06:04 UTC</t>
  </si>
  <si>
    <t>2022-04-11 08:06:00 UTC</t>
  </si>
  <si>
    <t>e018138f12ffe0a068b3bc0734f5a9ed</t>
  </si>
  <si>
    <t>2022-04-11 08:05:56 UTC</t>
  </si>
  <si>
    <t>2022-04-11 08:05:55 UTC</t>
  </si>
  <si>
    <t>2022-04-11 08:05:51 UTC</t>
  </si>
  <si>
    <t>2022-04-11 08:05:44 UTC</t>
  </si>
  <si>
    <t>2022-04-11 08:05:30 UTC</t>
  </si>
  <si>
    <t>6c684a6607dfb657c3a91f8be8517522</t>
  </si>
  <si>
    <t>2022-04-11 08:05:02 UTC</t>
  </si>
  <si>
    <t>2022-04-11 08:04:55 UTC</t>
  </si>
  <si>
    <t>2022-04-11 08:04:54 UTC</t>
  </si>
  <si>
    <t>8ef8576d8c88a92a1c9dec5d87129baa</t>
  </si>
  <si>
    <t>2022-04-11 08:04:50 UTC</t>
  </si>
  <si>
    <t>2022-04-11 08:04:49 UTC</t>
  </si>
  <si>
    <t>2022-04-11 08:04:47 UTC</t>
  </si>
  <si>
    <t>2022-04-11 08:04:46 UTC</t>
  </si>
  <si>
    <t>2022-04-11 08:04:44 UTC</t>
  </si>
  <si>
    <t>2022-04-11 08:04:40 UTC</t>
  </si>
  <si>
    <t>2022-04-11 08:04:25 UTC</t>
  </si>
  <si>
    <t>a9f4cb50a5ba2d047c29c8dc799aef61</t>
  </si>
  <si>
    <t>2022-04-11 08:04:04 UTC</t>
  </si>
  <si>
    <t>2022-04-11 08:03:56 UTC</t>
  </si>
  <si>
    <t>2022-04-11 08:03:54 UTC</t>
  </si>
  <si>
    <t>2022-04-11 08:03:36 UTC</t>
  </si>
  <si>
    <t>2022-04-11 08:03:34 UTC</t>
  </si>
  <si>
    <t>2022-04-11 08:03:32 UTC</t>
  </si>
  <si>
    <t>2022-04-11 08:03:27 UTC</t>
  </si>
  <si>
    <t>2022-04-11 08:03:26 UTC</t>
  </si>
  <si>
    <t>2022-04-11 08:03:25 UTC</t>
  </si>
  <si>
    <t>2ffe988f63c59b249d44da4d21d5877c</t>
  </si>
  <si>
    <t>2022-04-11 08:03:24 UTC</t>
  </si>
  <si>
    <t>2022-04-11 08:03:20 UTC</t>
  </si>
  <si>
    <t>2022-04-11 08:03:18 UTC</t>
  </si>
  <si>
    <t>2022-04-11 08:03:13 UTC</t>
  </si>
  <si>
    <t>2022-04-11 08:03:01 UTC</t>
  </si>
  <si>
    <t>2022-04-11 08:02:59 UTC</t>
  </si>
  <si>
    <t>2022-04-11 08:02:55 UTC</t>
  </si>
  <si>
    <t>a6421acec1e6e9ef4129d99bd232e8c1</t>
  </si>
  <si>
    <t>2022-04-11 08:02:49 UTC</t>
  </si>
  <si>
    <t>2022-04-11 08:02:31 UTC</t>
  </si>
  <si>
    <t>2022-04-11 08:02:19 UTC</t>
  </si>
  <si>
    <t>2022-04-11 08:02:18 UTC</t>
  </si>
  <si>
    <t>2022-04-11 08:02:16 UTC</t>
  </si>
  <si>
    <t>2022-04-11 08:02:13 UTC</t>
  </si>
  <si>
    <t>2022-04-11 08:01:56 UTC</t>
  </si>
  <si>
    <t>2022-04-11 08:01:54 UTC</t>
  </si>
  <si>
    <t>30139f6bcbbfc44781adb21e0f5b1fee</t>
  </si>
  <si>
    <t>2022-04-11 08:01:52 UTC</t>
  </si>
  <si>
    <t>4bc13487c1c6b181dc04f4d32a5263c6</t>
  </si>
  <si>
    <t>2022-04-11 08:01:50 UTC</t>
  </si>
  <si>
    <t>2022-04-11 08:01:35 UTC</t>
  </si>
  <si>
    <t>db1fe014c4f78c816406bcf6ff5acda7</t>
  </si>
  <si>
    <t>2022-04-11 08:01:33 UTC</t>
  </si>
  <si>
    <t>2022-04-11 08:01:27 UTC</t>
  </si>
  <si>
    <t>2022-04-11 08:00:51 UTC</t>
  </si>
  <si>
    <t>2022-04-11 08:00:49 UTC</t>
  </si>
  <si>
    <t>2022-04-11 08:00:46 UTC</t>
  </si>
  <si>
    <t>2022-04-11 08:00:43 UTC</t>
  </si>
  <si>
    <t>2022-04-11 08:00:36 UTC</t>
  </si>
  <si>
    <t>2022-04-11 08:00:05 UTC</t>
  </si>
  <si>
    <t>9825ab38e7863eea08a4edeaa8b1d721</t>
  </si>
  <si>
    <t>2022-04-11 08:00:00 UTC</t>
  </si>
  <si>
    <t>2022-04-11 07:59:55 UTC</t>
  </si>
  <si>
    <t>2022-04-11 07:59:50 UTC</t>
  </si>
  <si>
    <t>2022-04-11 07:59:49 UTC</t>
  </si>
  <si>
    <t>2022-04-11 07:59:44 UTC</t>
  </si>
  <si>
    <t>2022-04-11 07:59:40 UTC</t>
  </si>
  <si>
    <t>2022-04-11 07:59:09 UTC</t>
  </si>
  <si>
    <t>2022-04-11 07:58:13 UTC</t>
  </si>
  <si>
    <t>2022-04-11 07:58:04 UTC</t>
  </si>
  <si>
    <t>2022-04-11 07:58:02 UTC</t>
  </si>
  <si>
    <t>2022-04-11 07:58:00 UTC</t>
  </si>
  <si>
    <t>2022-04-11 07:57:57 UTC</t>
  </si>
  <si>
    <t>2022-04-11 07:57:50 UTC</t>
  </si>
  <si>
    <t>2022-04-11 07:57:03 UTC</t>
  </si>
  <si>
    <t>2022-04-11 07:56:57 UTC</t>
  </si>
  <si>
    <t>7b897196a7181bba2475037927178385</t>
  </si>
  <si>
    <t>2022-04-11 07:56:50 UTC</t>
  </si>
  <si>
    <t>2022-04-11 07:56:49 UTC</t>
  </si>
  <si>
    <t>2022-04-11 07:56:47 UTC</t>
  </si>
  <si>
    <t>2022-04-11 07:56:46 UTC</t>
  </si>
  <si>
    <t>2022-04-11 07:56:42 UTC</t>
  </si>
  <si>
    <t>2022-04-11 07:56:38 UTC</t>
  </si>
  <si>
    <t>2022-04-11 07:56:37 UTC</t>
  </si>
  <si>
    <t>2022-04-11 07:56:34 UTC</t>
  </si>
  <si>
    <t>2022-04-11 07:56:26 UTC</t>
  </si>
  <si>
    <t>d6188f2fff864ed4f6c0a74ca9e3c898</t>
  </si>
  <si>
    <t>2022-04-11 07:56:24 UTC</t>
  </si>
  <si>
    <t>b274d9a72c570f90a93dab74d228e089</t>
  </si>
  <si>
    <t>2022-04-11 07:55:55 UTC</t>
  </si>
  <si>
    <t>2022-04-11 07:55:44 UTC</t>
  </si>
  <si>
    <t>2022-04-11 07:55:24 UTC</t>
  </si>
  <si>
    <t>2022-04-11 07:55:16 UTC</t>
  </si>
  <si>
    <t>2022-04-11 07:55:14 UTC</t>
  </si>
  <si>
    <t>2022-04-11 07:55:03 UTC</t>
  </si>
  <si>
    <t>2022-04-11 07:54:59 UTC</t>
  </si>
  <si>
    <t>2022-04-11 07:54:54 UTC</t>
  </si>
  <si>
    <t>2022-04-11 07:54:38 UTC</t>
  </si>
  <si>
    <t>2022-04-11 07:54:32 UTC</t>
  </si>
  <si>
    <t>2022-04-11 07:54:13 UTC</t>
  </si>
  <si>
    <t>2022-04-11 07:54:12 UTC</t>
  </si>
  <si>
    <t>2022-04-11 07:54:09 UTC</t>
  </si>
  <si>
    <t>2022-04-11 07:54:04 UTC</t>
  </si>
  <si>
    <t>2022-04-11 07:53:59 UTC</t>
  </si>
  <si>
    <t>2022-04-11 07:53:55 UTC</t>
  </si>
  <si>
    <t>2022-04-11 07:53:53 UTC</t>
  </si>
  <si>
    <t>2022-04-11 07:53:50 UTC</t>
  </si>
  <si>
    <t>2022-04-11 07:53:48 UTC</t>
  </si>
  <si>
    <t>3efb7be69ad9fc70a702e9caae23eec0</t>
  </si>
  <si>
    <t>2022-04-11 07:53:42 UTC</t>
  </si>
  <si>
    <t>2022-04-11 07:53:41 UTC</t>
  </si>
  <si>
    <t>2022-04-11 07:53:15 UTC</t>
  </si>
  <si>
    <t>757ee10068698a1b45af10053ad4ce85</t>
  </si>
  <si>
    <t>2022-04-11 07:53:10 UTC</t>
  </si>
  <si>
    <t>f9f97e6ff07e9bddff8498136d2fd394</t>
  </si>
  <si>
    <t>2022-04-11 07:52:46 UTC</t>
  </si>
  <si>
    <t>2022-04-11 07:52:44 UTC</t>
  </si>
  <si>
    <t>2022-04-11 07:52:30 UTC</t>
  </si>
  <si>
    <t>2022-04-11 07:52:28 UTC</t>
  </si>
  <si>
    <t>2022-04-11 07:52:25 UTC</t>
  </si>
  <si>
    <t>2022-04-11 07:52:23 UTC</t>
  </si>
  <si>
    <t>471f1eb05fc1343e2bc47a3f30f76dbf</t>
  </si>
  <si>
    <t>2022-04-11 07:51:41 UTC</t>
  </si>
  <si>
    <t>2022-04-11 07:51:39 UTC</t>
  </si>
  <si>
    <t>2022-04-11 07:51:36 UTC</t>
  </si>
  <si>
    <t>2022-04-11 07:51:20 UTC</t>
  </si>
  <si>
    <t>2022-04-11 07:51:01 UTC</t>
  </si>
  <si>
    <t>4094007a7850797977cc89b6f5a94061</t>
  </si>
  <si>
    <t>2022-04-11 07:50:20 UTC</t>
  </si>
  <si>
    <t>06d55157cfc1a1c12dad397707308a0d</t>
  </si>
  <si>
    <t>2022-04-11 07:50:16 UTC</t>
  </si>
  <si>
    <t>2022-04-11 07:50:14 UTC</t>
  </si>
  <si>
    <t>2022-04-11 07:50:12 UTC</t>
  </si>
  <si>
    <t>2022-04-11 07:50:11 UTC</t>
  </si>
  <si>
    <t>caaddcbcc542fabd47ee69b1734e0f52</t>
  </si>
  <si>
    <t>2022-04-11 07:50:10 UTC</t>
  </si>
  <si>
    <t>2022-04-11 07:50:09 UTC</t>
  </si>
  <si>
    <t>2022-04-11 07:50:08 UTC</t>
  </si>
  <si>
    <t>2022-04-11 07:50:07 UTC</t>
  </si>
  <si>
    <t>2022-04-11 07:50:06 UTC</t>
  </si>
  <si>
    <t>2022-04-11 07:50:05 UTC</t>
  </si>
  <si>
    <t>2022-04-11 07:50:04 UTC</t>
  </si>
  <si>
    <t>2022-04-11 07:50:03 UTC</t>
  </si>
  <si>
    <t>2022-04-11 07:50:02 UTC</t>
  </si>
  <si>
    <t>2022-04-11 07:50:01 UTC</t>
  </si>
  <si>
    <t>88c838f98d3f97512ebf5c2310aa9bc2</t>
  </si>
  <si>
    <t>2022-04-11 07:50:00 UTC</t>
  </si>
  <si>
    <t>2022-04-11 07:49:59 UTC</t>
  </si>
  <si>
    <t>2022-04-11 07:49:58 UTC</t>
  </si>
  <si>
    <t>2022-04-11 07:49:57 UTC</t>
  </si>
  <si>
    <t>2022-04-11 07:49:56 UTC</t>
  </si>
  <si>
    <t>2022-04-11 07:49:55 UTC</t>
  </si>
  <si>
    <t>2022-04-11 07:49:54 UTC</t>
  </si>
  <si>
    <t>2022-04-11 07:49:53 UTC</t>
  </si>
  <si>
    <t>2022-04-11 07:49:49 UTC</t>
  </si>
  <si>
    <t>2022-04-11 07:49:47 UTC</t>
  </si>
  <si>
    <t>2022-04-11 07:49:44 UTC</t>
  </si>
  <si>
    <t>2022-04-11 07:49:42 UTC</t>
  </si>
  <si>
    <t>2022-04-11 07:49:40 UTC</t>
  </si>
  <si>
    <t>2022-04-11 07:49:37 UTC</t>
  </si>
  <si>
    <t>2022-04-11 07:49:35 UTC</t>
  </si>
  <si>
    <t>2022-04-11 07:49:34 UTC</t>
  </si>
  <si>
    <t>73f45a47577a6c13a4d0a6862507dac4</t>
  </si>
  <si>
    <t>2022-04-11 07:49:33 UTC</t>
  </si>
  <si>
    <t>2022-04-11 07:49:29 UTC</t>
  </si>
  <si>
    <t>2022-04-11 07:49:23 UTC</t>
  </si>
  <si>
    <t>15be7ce21c528667137c59461e9b1f89</t>
  </si>
  <si>
    <t>2022-04-11 07:49:17 UTC</t>
  </si>
  <si>
    <t>3b5ef8271d6ccd065d60d13421a4bc5b</t>
  </si>
  <si>
    <t>2022-04-11 07:48:56 UTC</t>
  </si>
  <si>
    <t>2022-04-11 07:48:46 UTC</t>
  </si>
  <si>
    <t>2022-04-11 07:48:45 UTC</t>
  </si>
  <si>
    <t>2022-04-11 07:48:44 UTC</t>
  </si>
  <si>
    <t>1eba489e4410825cbcb55f9d9c2fef86</t>
  </si>
  <si>
    <t>2022-04-11 07:48:43 UTC</t>
  </si>
  <si>
    <t>2022-04-11 07:48:42 UTC</t>
  </si>
  <si>
    <t>2022-04-11 07:48:40 UTC</t>
  </si>
  <si>
    <t>2022-04-11 07:48:39 UTC</t>
  </si>
  <si>
    <t>2022-04-11 07:48:38 UTC</t>
  </si>
  <si>
    <t>2022-04-11 07:48:36 UTC</t>
  </si>
  <si>
    <t>2022-04-11 07:48:35 UTC</t>
  </si>
  <si>
    <t>2022-04-11 07:48:33 UTC</t>
  </si>
  <si>
    <t>2022-04-11 07:48:32 UTC</t>
  </si>
  <si>
    <t>df56e9b6cd21770f36f0b597730e7156</t>
  </si>
  <si>
    <t>2022-04-11 07:48:31 UTC</t>
  </si>
  <si>
    <t>2022-04-11 07:48:30 UTC</t>
  </si>
  <si>
    <t>2022-04-11 07:48:22 UTC</t>
  </si>
  <si>
    <t>2022-04-11 07:48:21 UTC</t>
  </si>
  <si>
    <t>2022-04-11 07:48:14 UTC</t>
  </si>
  <si>
    <t>2022-04-11 07:47:56 UTC</t>
  </si>
  <si>
    <t>2022-04-11 07:47:44 UTC</t>
  </si>
  <si>
    <t>2022-04-11 07:47:37 UTC</t>
  </si>
  <si>
    <t>2022-04-11 07:47:02 UTC</t>
  </si>
  <si>
    <t>fdfc234386b59a2d80cba783691677d7</t>
  </si>
  <si>
    <t>2022-04-11 07:47:00 UTC</t>
  </si>
  <si>
    <t>2022-04-11 07:46:58 UTC</t>
  </si>
  <si>
    <t>2022-04-11 07:46:46 UTC</t>
  </si>
  <si>
    <t>2022-04-11 07:46:45 UTC</t>
  </si>
  <si>
    <t>2022-04-11 07:45:59 UTC</t>
  </si>
  <si>
    <t>2022-04-11 07:45:51 UTC</t>
  </si>
  <si>
    <t>2022-04-11 07:45:44 UTC</t>
  </si>
  <si>
    <t>2022-04-11 07:45:38 UTC</t>
  </si>
  <si>
    <t>2022-04-11 07:45:16 UTC</t>
  </si>
  <si>
    <t>2022-04-11 07:45:14 UTC</t>
  </si>
  <si>
    <t>2022-04-11 07:45:13 UTC</t>
  </si>
  <si>
    <t>2022-04-11 07:45:12 UTC</t>
  </si>
  <si>
    <t>2022-04-11 07:45:11 UTC</t>
  </si>
  <si>
    <t>2022-04-11 07:45:10 UTC</t>
  </si>
  <si>
    <t>2022-04-11 07:45:08 UTC</t>
  </si>
  <si>
    <t>2022-04-11 07:45:07 UTC</t>
  </si>
  <si>
    <t>2022-04-11 07:45:05 UTC</t>
  </si>
  <si>
    <t>2022-04-11 07:45:04 UTC</t>
  </si>
  <si>
    <t>2022-04-11 07:45:03 UTC</t>
  </si>
  <si>
    <t>2022-04-11 07:45:02 UTC</t>
  </si>
  <si>
    <t>2022-04-11 07:45:01 UTC</t>
  </si>
  <si>
    <t>dd4284a6ef69f6beb5b40c9e0182b5c1</t>
  </si>
  <si>
    <t>2022-04-11 07:45:00 UTC</t>
  </si>
  <si>
    <t>2022-04-11 07:44:59 UTC</t>
  </si>
  <si>
    <t>2022-04-11 07:44:57 UTC</t>
  </si>
  <si>
    <t>2022-04-11 07:44:55 UTC</t>
  </si>
  <si>
    <t>2022-04-11 07:44:53 UTC</t>
  </si>
  <si>
    <t>2022-04-11 07:44:50 UTC</t>
  </si>
  <si>
    <t>2022-04-11 07:44:49 UTC</t>
  </si>
  <si>
    <t>2022-04-11 07:44:47 UTC</t>
  </si>
  <si>
    <t>2142693913896266ebd72e4189dd4b3f</t>
  </si>
  <si>
    <t>2022-04-11 07:44:46 UTC</t>
  </si>
  <si>
    <t>2022-04-11 07:44:43 UTC</t>
  </si>
  <si>
    <t>2022-04-11 07:44:40 UTC</t>
  </si>
  <si>
    <t>2022-04-11 07:44:30 UTC</t>
  </si>
  <si>
    <t>a408376bfd08325e70846f2c75ef67c8</t>
  </si>
  <si>
    <t>2022-04-11 07:43:28 UTC</t>
  </si>
  <si>
    <t>2022-04-11 07:43:20 UTC</t>
  </si>
  <si>
    <t>2022-04-11 07:43:13 UTC</t>
  </si>
  <si>
    <t>2022-04-11 07:42:53 UTC</t>
  </si>
  <si>
    <t>2022-04-11 07:42:51 UTC</t>
  </si>
  <si>
    <t>de58075a69fd1a909056db8983e59e49</t>
  </si>
  <si>
    <t>2022-04-11 07:42:50 UTC</t>
  </si>
  <si>
    <t>fcf827825d7e73929b48870591b4ea2d</t>
  </si>
  <si>
    <t>2022-04-11 07:42:13 UTC</t>
  </si>
  <si>
    <t>1be09f16fcbbbfd7e88718e57563d7c1</t>
  </si>
  <si>
    <t>f16ddaf2393d4989a3747866a6e00b04</t>
  </si>
  <si>
    <t>2022-04-11 07:42:06 UTC</t>
  </si>
  <si>
    <t>2022-04-11 07:41:59 UTC</t>
  </si>
  <si>
    <t>2022-04-11 07:41:56 UTC</t>
  </si>
  <si>
    <t>2022-04-11 07:41:54 UTC</t>
  </si>
  <si>
    <t>2022-04-11 07:41:51 UTC</t>
  </si>
  <si>
    <t>2022-04-11 07:41:50 UTC</t>
  </si>
  <si>
    <t>2022-04-11 07:41:46 UTC</t>
  </si>
  <si>
    <t>2022-04-11 07:41:43 UTC</t>
  </si>
  <si>
    <t>2022-04-11 07:41:29 UTC</t>
  </si>
  <si>
    <t>2022-04-11 07:41:27 UTC</t>
  </si>
  <si>
    <t>2022-04-11 07:41:26 UTC</t>
  </si>
  <si>
    <t>2022-04-11 07:41:23 UTC</t>
  </si>
  <si>
    <t>2022-04-11 07:41:21 UTC</t>
  </si>
  <si>
    <t>2022-04-11 07:41:10 UTC</t>
  </si>
  <si>
    <t>2022-04-11 07:41:07 UTC</t>
  </si>
  <si>
    <t>2022-04-11 07:41:05 UTC</t>
  </si>
  <si>
    <t>2022-04-11 07:41:04 UTC</t>
  </si>
  <si>
    <t>2022-04-11 07:41:02 UTC</t>
  </si>
  <si>
    <t>2022-04-11 07:40:59 UTC</t>
  </si>
  <si>
    <t>2022-04-11 07:40:56 UTC</t>
  </si>
  <si>
    <t>2022-04-11 07:40:45 UTC</t>
  </si>
  <si>
    <t>167beaeb7453758b48cdbc98e2268317</t>
  </si>
  <si>
    <t>2022-04-11 07:40:31 UTC</t>
  </si>
  <si>
    <t>2022-04-11 07:40:28 UTC</t>
  </si>
  <si>
    <t>2022-04-11 07:40:23 UTC</t>
  </si>
  <si>
    <t>2022-04-11 07:40:19 UTC</t>
  </si>
  <si>
    <t>2022-04-11 07:40:14 UTC</t>
  </si>
  <si>
    <t>2022-04-11 07:40:12 UTC</t>
  </si>
  <si>
    <t>2022-04-11 07:40:10 UTC</t>
  </si>
  <si>
    <t>2022-04-11 07:40:08 UTC</t>
  </si>
  <si>
    <t>2022-04-11 07:40:05 UTC</t>
  </si>
  <si>
    <t>da4f497a72146e638ae8fc9497472782</t>
  </si>
  <si>
    <t>2022-04-11 07:40:02 UTC</t>
  </si>
  <si>
    <t>2022-04-11 07:40:01 UTC</t>
  </si>
  <si>
    <t>2022-04-11 07:40:00 UTC</t>
  </si>
  <si>
    <t>2022-04-11 07:39:59 UTC</t>
  </si>
  <si>
    <t>3e35997ae54b9c3d5cadc5169a419fba</t>
  </si>
  <si>
    <t>2022-04-11 07:39:58 UTC</t>
  </si>
  <si>
    <t>2022-04-11 07:39:55 UTC</t>
  </si>
  <si>
    <t>2022-04-11 07:39:50 UTC</t>
  </si>
  <si>
    <t>2022-04-11 07:39:48 UTC</t>
  </si>
  <si>
    <t>2022-04-11 07:39:45 UTC</t>
  </si>
  <si>
    <t>2022-04-11 07:39:44 UTC</t>
  </si>
  <si>
    <t>af795e6a9c500a70d31794e791aeebb3</t>
  </si>
  <si>
    <t>2022-04-11 07:39:41 UTC</t>
  </si>
  <si>
    <t>2022-04-11 07:39:39 UTC</t>
  </si>
  <si>
    <t>2022-04-11 07:39:38 UTC</t>
  </si>
  <si>
    <t>2022-04-11 07:39:31 UTC</t>
  </si>
  <si>
    <t>ee600b7d862488a9563a65b796770885</t>
  </si>
  <si>
    <t>2022-04-11 07:39:16 UTC</t>
  </si>
  <si>
    <t>2022-04-11 07:38:58 UTC</t>
  </si>
  <si>
    <t>2022-04-11 07:38:35 UTC</t>
  </si>
  <si>
    <t>2022-04-11 07:38:33 UTC</t>
  </si>
  <si>
    <t>2022-04-11 07:38:25 UTC</t>
  </si>
  <si>
    <t>2022-04-11 07:38:22 UTC</t>
  </si>
  <si>
    <t>6f4696ba1546803def8d9201a4ba0eac</t>
  </si>
  <si>
    <t>2022-04-11 07:38:20 UTC</t>
  </si>
  <si>
    <t>2022-04-11 07:38:14 UTC</t>
  </si>
  <si>
    <t>2022-04-11 07:38:11 UTC</t>
  </si>
  <si>
    <t>2022-04-11 07:38:10 UTC</t>
  </si>
  <si>
    <t>2022-04-11 07:38:09 UTC</t>
  </si>
  <si>
    <t>2022-04-11 07:38:08 UTC</t>
  </si>
  <si>
    <t>2022-04-11 07:38:06 UTC</t>
  </si>
  <si>
    <t>2022-04-11 07:38:05 UTC</t>
  </si>
  <si>
    <t>2022-04-11 07:38:04 UTC</t>
  </si>
  <si>
    <t>2022-04-11 07:38:03 UTC</t>
  </si>
  <si>
    <t>2022-04-11 07:37:59 UTC</t>
  </si>
  <si>
    <t>2022-04-11 07:37:56 UTC</t>
  </si>
  <si>
    <t>cee0caaa4b7e31dece9ca38d8084001a</t>
  </si>
  <si>
    <t>2022-04-11 07:37:55 UTC</t>
  </si>
  <si>
    <t>26db91f64c81627c3888eee3b5dd86a6</t>
  </si>
  <si>
    <t>2022-04-11 07:37:54 UTC</t>
  </si>
  <si>
    <t>2022-04-11 07:37:52 UTC</t>
  </si>
  <si>
    <t>2022-04-11 07:37:47 UTC</t>
  </si>
  <si>
    <t>ef2cf18ad1c37119958f34cbafd2de0a</t>
  </si>
  <si>
    <t>2022-04-11 07:37:45 UTC</t>
  </si>
  <si>
    <t>2022-04-11 07:37:42 UTC</t>
  </si>
  <si>
    <t>2022-04-11 07:37:41 UTC</t>
  </si>
  <si>
    <t>2022-04-11 07:37:40 UTC</t>
  </si>
  <si>
    <t>2022-04-11 07:37:37 UTC</t>
  </si>
  <si>
    <t>2022-04-11 07:37:36 UTC</t>
  </si>
  <si>
    <t>2022-04-11 07:37:35 UTC</t>
  </si>
  <si>
    <t>2022-04-11 07:37:34 UTC</t>
  </si>
  <si>
    <t>1cc5ffc15fcaf3ce6c4a1c81328f12ea</t>
  </si>
  <si>
    <t>2022-04-11 07:37:33 UTC</t>
  </si>
  <si>
    <t>e5cba599a78f7724b3b5afe473450f2e</t>
  </si>
  <si>
    <t>2022-04-11 07:37:30 UTC</t>
  </si>
  <si>
    <t>2022-04-11 07:37:29 UTC</t>
  </si>
  <si>
    <t>2022-04-11 07:37:26 UTC</t>
  </si>
  <si>
    <t>2022-04-11 07:37:24 UTC</t>
  </si>
  <si>
    <t>2022-04-11 07:37:22 UTC</t>
  </si>
  <si>
    <t>2022-04-11 07:37:19 UTC</t>
  </si>
  <si>
    <t>2022-04-11 07:37:18 UTC</t>
  </si>
  <si>
    <t>2022-04-11 07:37:17 UTC</t>
  </si>
  <si>
    <t>2022-04-11 07:37:16 UTC</t>
  </si>
  <si>
    <t>2022-04-11 07:37:15 UTC</t>
  </si>
  <si>
    <t>2022-04-11 07:37:14 UTC</t>
  </si>
  <si>
    <t>2022-04-11 07:37:13 UTC</t>
  </si>
  <si>
    <t>2022-04-11 07:37:12 UTC</t>
  </si>
  <si>
    <t>2022-04-11 07:37:11 UTC</t>
  </si>
  <si>
    <t>2022-04-11 07:37:10 UTC</t>
  </si>
  <si>
    <t>2022-04-11 07:37:09 UTC</t>
  </si>
  <si>
    <t>2022-04-11 07:37:07 UTC</t>
  </si>
  <si>
    <t>2022-04-11 07:37:06 UTC</t>
  </si>
  <si>
    <t>2022-04-11 07:37:05 UTC</t>
  </si>
  <si>
    <t>2022-04-11 07:37:04 UTC</t>
  </si>
  <si>
    <t>2022-04-11 07:37:03 UTC</t>
  </si>
  <si>
    <t>2022-04-11 07:36:59 UTC</t>
  </si>
  <si>
    <t>2022-04-11 07:36:33 UTC</t>
  </si>
  <si>
    <t>facbd4e803aff7e38ba14196da580d5c</t>
  </si>
  <si>
    <t>2022-04-11 07:36:20 UTC</t>
  </si>
  <si>
    <t>2022-04-11 07:36:19 UTC</t>
  </si>
  <si>
    <t>e7c73faf288c0f879e75257027bf9aa2</t>
  </si>
  <si>
    <t>2022-04-11 07:36:18 UTC</t>
  </si>
  <si>
    <t>2022-04-11 07:36:15 UTC</t>
  </si>
  <si>
    <t>2022-04-11 07:36:09 UTC</t>
  </si>
  <si>
    <t>2022-04-11 07:36:03 UTC</t>
  </si>
  <si>
    <t>2022-04-11 07:36:00 UTC</t>
  </si>
  <si>
    <t>2022-04-11 07:35:56 UTC</t>
  </si>
  <si>
    <t>2022-04-11 07:35:39 UTC</t>
  </si>
  <si>
    <t>2022-04-11 07:35:19 UTC</t>
  </si>
  <si>
    <t>73da083aa52003c3b100ecf21b794e24</t>
  </si>
  <si>
    <t>2022-04-11 07:34:18 UTC</t>
  </si>
  <si>
    <t>2022-04-11 07:34:10 UTC</t>
  </si>
  <si>
    <t>2022-04-11 07:34:07 UTC</t>
  </si>
  <si>
    <t>2022-04-11 07:33:59 UTC</t>
  </si>
  <si>
    <t>2022-04-11 07:33:49 UTC</t>
  </si>
  <si>
    <t>2022-04-11 07:33:48 UTC</t>
  </si>
  <si>
    <t>2022-04-11 07:33:44 UTC</t>
  </si>
  <si>
    <t>2022-04-11 07:33:41 UTC</t>
  </si>
  <si>
    <t>2022-04-11 07:33:21 UTC</t>
  </si>
  <si>
    <t>2022-04-11 07:32:35 UTC</t>
  </si>
  <si>
    <t>61d4bfe489646dd8eedd8ff4c32ded1d</t>
  </si>
  <si>
    <t>2022-04-11 07:32:34 UTC</t>
  </si>
  <si>
    <t>3436429e83ea3e89e0c5ad924253061e</t>
  </si>
  <si>
    <t>2022-04-11 07:32:29 UTC</t>
  </si>
  <si>
    <t>2022-04-11 07:32:23 UTC</t>
  </si>
  <si>
    <t>2022-04-11 07:32:22 UTC</t>
  </si>
  <si>
    <t>2022-04-11 07:32:18 UTC</t>
  </si>
  <si>
    <t>2022-04-11 07:31:53 UTC</t>
  </si>
  <si>
    <t>2022-04-11 07:31:37 UTC</t>
  </si>
  <si>
    <t>2022-04-11 07:31:35 UTC</t>
  </si>
  <si>
    <t>2022-04-11 07:31:32 UTC</t>
  </si>
  <si>
    <t>2022-04-11 07:31:30 UTC</t>
  </si>
  <si>
    <t>1e2b3fdba2a1bedd28e0ccd1815a1b92</t>
  </si>
  <si>
    <t>2022-04-11 07:31:25 UTC</t>
  </si>
  <si>
    <t>2022-04-11 07:31:17 UTC</t>
  </si>
  <si>
    <t>2022-04-11 07:31:14 UTC</t>
  </si>
  <si>
    <t>2022-04-11 07:30:55 UTC</t>
  </si>
  <si>
    <t>623962241c10cab9dc8c81d768d17b62</t>
  </si>
  <si>
    <t>2022-04-11 07:30:50 UTC</t>
  </si>
  <si>
    <t>2022-04-11 07:30:48 UTC</t>
  </si>
  <si>
    <t>2022-04-11 07:30:37 UTC</t>
  </si>
  <si>
    <t>2022-04-11 07:30:35 UTC</t>
  </si>
  <si>
    <t>2022-04-11 07:30:32 UTC</t>
  </si>
  <si>
    <t>2022-04-11 07:30:31 UTC</t>
  </si>
  <si>
    <t>2022-04-11 07:30:04 UTC</t>
  </si>
  <si>
    <t>9f76b542d23a64a53a1133268e6ea6ac</t>
  </si>
  <si>
    <t>2022-04-11 07:29:59 UTC</t>
  </si>
  <si>
    <t>b86a33187d802b2c5990ff973725077c</t>
  </si>
  <si>
    <t>2022-04-11 07:29:47 UTC</t>
  </si>
  <si>
    <t>2022-04-11 07:28:14 UTC</t>
  </si>
  <si>
    <t>0d9214d033e655ca2cb49227460f1cd7</t>
  </si>
  <si>
    <t>2022-04-11 07:28:12 UTC</t>
  </si>
  <si>
    <t>2022-04-11 07:27:57 UTC</t>
  </si>
  <si>
    <t>76ba82037e9ad4faecb338275cb4f124</t>
  </si>
  <si>
    <t>2022-04-11 07:26:42 UTC</t>
  </si>
  <si>
    <t>2022-04-11 07:26:39 UTC</t>
  </si>
  <si>
    <t>96e80abf57b486a4af024d6b71de0f0e</t>
  </si>
  <si>
    <t>2022-04-11 07:26:38 UTC</t>
  </si>
  <si>
    <t>ec63917ca641bdfab3771486ee510524</t>
  </si>
  <si>
    <t>2022-04-11 07:26:36 UTC</t>
  </si>
  <si>
    <t>2022-04-11 07:26:35 UTC</t>
  </si>
  <si>
    <t>2022-04-11 07:26:34 UTC</t>
  </si>
  <si>
    <t>2022-04-11 07:26:33 UTC</t>
  </si>
  <si>
    <t>2022-04-11 07:26:32 UTC</t>
  </si>
  <si>
    <t>2022-04-11 07:26:30 UTC</t>
  </si>
  <si>
    <t>2022-04-11 07:26:29 UTC</t>
  </si>
  <si>
    <t>2022-04-11 07:26:27 UTC</t>
  </si>
  <si>
    <t>2022-04-11 07:26:26 UTC</t>
  </si>
  <si>
    <t>2022-04-11 07:26:25 UTC</t>
  </si>
  <si>
    <t>2022-04-11 07:26:24 UTC</t>
  </si>
  <si>
    <t>2022-04-11 07:26:23 UTC</t>
  </si>
  <si>
    <t>2022-04-11 07:26:22 UTC</t>
  </si>
  <si>
    <t>2022-04-11 07:26:21 UTC</t>
  </si>
  <si>
    <t>2022-04-11 07:26:15 UTC</t>
  </si>
  <si>
    <t>2022-04-11 07:26:07 UTC</t>
  </si>
  <si>
    <t>01696cbebdcf2dfadf53aff55208341f</t>
  </si>
  <si>
    <t>2022-04-11 07:26:05 UTC</t>
  </si>
  <si>
    <t>2022-04-11 07:25:59 UTC</t>
  </si>
  <si>
    <t>2022-04-11 07:25:49 UTC</t>
  </si>
  <si>
    <t>2022-04-11 07:25:30 UTC</t>
  </si>
  <si>
    <t>2022-04-11 07:25:26 UTC</t>
  </si>
  <si>
    <t>2022-04-11 07:25:19 UTC</t>
  </si>
  <si>
    <t>2022-04-11 07:24:43 UTC</t>
  </si>
  <si>
    <t>2022-04-11 07:24:33 UTC</t>
  </si>
  <si>
    <t>2022-04-11 07:24:32 UTC</t>
  </si>
  <si>
    <t>2022-04-11 07:24:31 UTC</t>
  </si>
  <si>
    <t>2022-04-11 07:24:29 UTC</t>
  </si>
  <si>
    <t>2022-04-11 07:24:27 UTC</t>
  </si>
  <si>
    <t>2022-04-11 07:24:26 UTC</t>
  </si>
  <si>
    <t>d66b7bb31c2fe3ff27a9d15c6cd76035</t>
  </si>
  <si>
    <t>2022-04-11 07:24:25 UTC</t>
  </si>
  <si>
    <t>2022-04-11 07:24:23 UTC</t>
  </si>
  <si>
    <t>2022-04-11 07:24:22 UTC</t>
  </si>
  <si>
    <t>2022-04-11 07:24:20 UTC</t>
  </si>
  <si>
    <t>2022-04-11 07:24:19 UTC</t>
  </si>
  <si>
    <t>2022-04-11 07:24:16 UTC</t>
  </si>
  <si>
    <t>2022-04-11 07:24:15 UTC</t>
  </si>
  <si>
    <t>2022-04-11 07:24:12 UTC</t>
  </si>
  <si>
    <t>2022-04-11 07:24:10 UTC</t>
  </si>
  <si>
    <t>2022-04-11 07:24:08 UTC</t>
  </si>
  <si>
    <t>2022-04-11 07:24:06 UTC</t>
  </si>
  <si>
    <t>2022-04-11 07:24:05 UTC</t>
  </si>
  <si>
    <t>2022-04-11 07:24:04 UTC</t>
  </si>
  <si>
    <t>2022-04-11 07:24:03 UTC</t>
  </si>
  <si>
    <t>2022-04-11 07:24:00 UTC</t>
  </si>
  <si>
    <t>2022-04-11 07:23:59 UTC</t>
  </si>
  <si>
    <t>eccc4dfeb7b99de3b547b3a4230c45a3</t>
  </si>
  <si>
    <t>2022-04-11 07:23:57 UTC</t>
  </si>
  <si>
    <t>5c4451e469959206f1b8f02a6c2282d7</t>
  </si>
  <si>
    <t>2022-04-11 07:23:54 UTC</t>
  </si>
  <si>
    <t>2022-04-11 07:23:51 UTC</t>
  </si>
  <si>
    <t>2022-04-11 07:23:49 UTC</t>
  </si>
  <si>
    <t>2022-04-11 07:23:33 UTC</t>
  </si>
  <si>
    <t>2022-04-11 07:23:31 UTC</t>
  </si>
  <si>
    <t>2022-04-11 07:23:30 UTC</t>
  </si>
  <si>
    <t>2022-04-11 07:23:29 UTC</t>
  </si>
  <si>
    <t>2022-04-11 07:23:22 UTC</t>
  </si>
  <si>
    <t>7fbfda27b28f5030862abeb25fd14453</t>
  </si>
  <si>
    <t>2022-04-11 07:23:17 UTC</t>
  </si>
  <si>
    <t>2022-04-11 07:23:06 UTC</t>
  </si>
  <si>
    <t>2022-04-11 07:23:05 UTC</t>
  </si>
  <si>
    <t>2022-04-11 07:23:02 UTC</t>
  </si>
  <si>
    <t>2022-04-11 07:23:01 UTC</t>
  </si>
  <si>
    <t>2022-04-11 07:22:57 UTC</t>
  </si>
  <si>
    <t>2022-04-11 07:22:56 UTC</t>
  </si>
  <si>
    <t>9af225a01f3c3c24ff08d50cc4481717</t>
  </si>
  <si>
    <t>2022-04-11 07:22:53 UTC</t>
  </si>
  <si>
    <t>2022-04-11 07:22:52 UTC</t>
  </si>
  <si>
    <t>2022-04-11 07:22:51 UTC</t>
  </si>
  <si>
    <t>2022-04-11 07:22:50 UTC</t>
  </si>
  <si>
    <t>890bbeb68f7dff9c0535a3722b1950ff</t>
  </si>
  <si>
    <t>2022-04-11 07:22:49 UTC</t>
  </si>
  <si>
    <t>dbb55196e782d9e11a3ad8a272fa9e6c</t>
  </si>
  <si>
    <t>2022-04-11 07:22:28 UTC</t>
  </si>
  <si>
    <t>2022-04-11 07:22:24 UTC</t>
  </si>
  <si>
    <t>2022-04-11 07:22:18 UTC</t>
  </si>
  <si>
    <t>2022-04-11 07:22:11 UTC</t>
  </si>
  <si>
    <t>2022-04-11 07:22:00 UTC</t>
  </si>
  <si>
    <t>a4612b41346ae2cc3774705e5796116d</t>
  </si>
  <si>
    <t>2022-04-11 07:21:59 UTC</t>
  </si>
  <si>
    <t>2022-04-11 07:21:57 UTC</t>
  </si>
  <si>
    <t>2022-04-11 07:21:55 UTC</t>
  </si>
  <si>
    <t>2022-04-11 07:21:53 UTC</t>
  </si>
  <si>
    <t>8679ac9d8b0a09202ecfe3028e031f23</t>
  </si>
  <si>
    <t>2022-04-11 07:21:49 UTC</t>
  </si>
  <si>
    <t>2022-04-11 07:21:46 UTC</t>
  </si>
  <si>
    <t>2022-04-11 07:21:41 UTC</t>
  </si>
  <si>
    <t>2022-04-11 07:21:37 UTC</t>
  </si>
  <si>
    <t>2022-04-11 07:21:33 UTC</t>
  </si>
  <si>
    <t>2022-04-11 07:21:32 UTC</t>
  </si>
  <si>
    <t>2022-04-11 07:21:31 UTC</t>
  </si>
  <si>
    <t>2022-04-11 07:21:30 UTC</t>
  </si>
  <si>
    <t>2022-04-11 07:21:28 UTC</t>
  </si>
  <si>
    <t>2022-04-11 07:21:27 UTC</t>
  </si>
  <si>
    <t>2022-04-11 07:21:26 UTC</t>
  </si>
  <si>
    <t>2022-04-11 07:21:25 UTC</t>
  </si>
  <si>
    <t>2022-04-11 07:21:24 UTC</t>
  </si>
  <si>
    <t>2022-04-11 07:21:23 UTC</t>
  </si>
  <si>
    <t>2022-04-11 07:21:22 UTC</t>
  </si>
  <si>
    <t>2022-04-11 07:21:21 UTC</t>
  </si>
  <si>
    <t>2022-04-11 07:21:19 UTC</t>
  </si>
  <si>
    <t>2022-04-11 07:21:18 UTC</t>
  </si>
  <si>
    <t>2022-04-11 07:21:17 UTC</t>
  </si>
  <si>
    <t>2022-04-11 07:21:15 UTC</t>
  </si>
  <si>
    <t>2022-04-11 07:21:14 UTC</t>
  </si>
  <si>
    <t>2022-04-11 07:21:13 UTC</t>
  </si>
  <si>
    <t>2022-04-11 07:21:09 UTC</t>
  </si>
  <si>
    <t>2022-04-11 07:21:07 UTC</t>
  </si>
  <si>
    <t>2022-04-11 07:20:58 UTC</t>
  </si>
  <si>
    <t>2022-04-11 07:20:45 UTC</t>
  </si>
  <si>
    <t>2022-04-11 07:19:47 UTC</t>
  </si>
  <si>
    <t>80b6e20d047c4a02d7a4b3ff06010fec</t>
  </si>
  <si>
    <t>2022-04-11 07:19:22 UTC</t>
  </si>
  <si>
    <t>2022-04-11 07:19:20 UTC</t>
  </si>
  <si>
    <t>2022-04-11 07:19:03 UTC</t>
  </si>
  <si>
    <t>2022-04-11 07:19:00 UTC</t>
  </si>
  <si>
    <t>2022-04-11 07:18:59 UTC</t>
  </si>
  <si>
    <t>2022-04-11 07:18:55 UTC</t>
  </si>
  <si>
    <t>2022-04-11 07:18:53 UTC</t>
  </si>
  <si>
    <t>2022-04-11 07:18:50 UTC</t>
  </si>
  <si>
    <t>2022-04-11 07:18:48 UTC</t>
  </si>
  <si>
    <t>2022-04-11 07:18:46 UTC</t>
  </si>
  <si>
    <t>2022-04-11 07:18:43 UTC</t>
  </si>
  <si>
    <t>2022-04-11 07:18:41 UTC</t>
  </si>
  <si>
    <t>2022-04-11 07:18:39 UTC</t>
  </si>
  <si>
    <t>2022-04-11 07:18:38 UTC</t>
  </si>
  <si>
    <t>fde9cbfba4dbeb774ec0ee7deccb11b4</t>
  </si>
  <si>
    <t>2022-04-11 07:18:36 UTC</t>
  </si>
  <si>
    <t>2022-04-11 07:18:34 UTC</t>
  </si>
  <si>
    <t>2022-04-11 07:18:31 UTC</t>
  </si>
  <si>
    <t>2022-04-11 07:18:29 UTC</t>
  </si>
  <si>
    <t>2022-04-11 07:18:26 UTC</t>
  </si>
  <si>
    <t>2022-04-11 07:18:22 UTC</t>
  </si>
  <si>
    <t>2022-04-11 07:18:19 UTC</t>
  </si>
  <si>
    <t>2022-04-11 07:18:13 UTC</t>
  </si>
  <si>
    <t>758e2cd96faadb06838ed1a03700648d</t>
  </si>
  <si>
    <t>2022-04-11 07:18:10 UTC</t>
  </si>
  <si>
    <t>2022-04-11 07:17:46 UTC</t>
  </si>
  <si>
    <t>3c0f012a5201e7cbfee3827fd2dbfe28</t>
  </si>
  <si>
    <t>2022-04-11 07:17:34 UTC</t>
  </si>
  <si>
    <t>2022-04-11 07:17:16 UTC</t>
  </si>
  <si>
    <t>2022-04-11 07:17:14 UTC</t>
  </si>
  <si>
    <t>2022-04-11 07:17:13 UTC</t>
  </si>
  <si>
    <t>2022-04-11 07:16:39 UTC</t>
  </si>
  <si>
    <t>2022-04-11 07:16:35 UTC</t>
  </si>
  <si>
    <t>2022-04-11 07:16:34 UTC</t>
  </si>
  <si>
    <t>2022-04-11 07:16:23 UTC</t>
  </si>
  <si>
    <t>2022-04-11 07:15:25 UTC</t>
  </si>
  <si>
    <t>2c41c507f871040e5b952525a44295b9</t>
  </si>
  <si>
    <t>2022-04-11 07:15:18 UTC</t>
  </si>
  <si>
    <t>2022-04-11 07:15:16 UTC</t>
  </si>
  <si>
    <t>2022-04-11 07:15:03 UTC</t>
  </si>
  <si>
    <t>2022-04-11 07:15:00 UTC</t>
  </si>
  <si>
    <t>2022-04-11 07:14:59 UTC</t>
  </si>
  <si>
    <t>2022-04-11 07:14:54 UTC</t>
  </si>
  <si>
    <t>682b73912b2dee5f450ee6bbb798af48</t>
  </si>
  <si>
    <t>2022-04-11 07:14:53 UTC</t>
  </si>
  <si>
    <t>2022-04-11 07:14:51 UTC</t>
  </si>
  <si>
    <t>2022-04-11 07:14:48 UTC</t>
  </si>
  <si>
    <t>2022-04-11 07:14:45 UTC</t>
  </si>
  <si>
    <t>2022-04-11 07:14:41 UTC</t>
  </si>
  <si>
    <t>2022-04-11 07:14:39 UTC</t>
  </si>
  <si>
    <t>0249e98b228972cd311e7b11a58cbc23</t>
  </si>
  <si>
    <t>2022-04-11 07:14:37 UTC</t>
  </si>
  <si>
    <t>4d9bc274ed5aa1e2c25a3672b92de32f</t>
  </si>
  <si>
    <t>2022-04-11 07:14:31 UTC</t>
  </si>
  <si>
    <t>2022-04-11 07:14:19 UTC</t>
  </si>
  <si>
    <t>a13203a6b82eb2712ff89e7d58e482fb</t>
  </si>
  <si>
    <t>2022-04-11 07:14:16 UTC</t>
  </si>
  <si>
    <t>42d5302f888f363baadbf5ca6cad584b</t>
  </si>
  <si>
    <t>2022-04-11 07:14:14 UTC</t>
  </si>
  <si>
    <t>2022-04-11 07:14:11 UTC</t>
  </si>
  <si>
    <t>2022-04-11 07:14:08 UTC</t>
  </si>
  <si>
    <t>2022-04-11 07:13:56 UTC</t>
  </si>
  <si>
    <t>242c504cf37d636d828e71cd2e96491e</t>
  </si>
  <si>
    <t>2022-04-11 07:13:24 UTC</t>
  </si>
  <si>
    <t>2022-04-11 07:12:56 UTC</t>
  </si>
  <si>
    <t>2022-04-11 07:12:04 UTC</t>
  </si>
  <si>
    <t>2022-04-11 07:12:03 UTC</t>
  </si>
  <si>
    <t>2022-04-11 07:12:00 UTC</t>
  </si>
  <si>
    <t>2022-04-11 07:11:55 UTC</t>
  </si>
  <si>
    <t>2022-04-11 07:11:53 UTC</t>
  </si>
  <si>
    <t>2022-04-11 07:11:52 UTC</t>
  </si>
  <si>
    <t>2022-04-11 07:11:44 UTC</t>
  </si>
  <si>
    <t>0592040f51c5bac1ceed9b7b04dfc2ba</t>
  </si>
  <si>
    <t>2022-04-11 07:11:39 UTC</t>
  </si>
  <si>
    <t>2022-04-11 07:11:36 UTC</t>
  </si>
  <si>
    <t>2022-04-11 07:11:27 UTC</t>
  </si>
  <si>
    <t>2022-04-11 07:11:23 UTC</t>
  </si>
  <si>
    <t>2022-04-11 07:11:16 UTC</t>
  </si>
  <si>
    <t>2022-04-11 07:11:12 UTC</t>
  </si>
  <si>
    <t>2022-04-11 07:11:01 UTC</t>
  </si>
  <si>
    <t>2022-04-11 07:10:58 UTC</t>
  </si>
  <si>
    <t>2022-04-11 07:10:52 UTC</t>
  </si>
  <si>
    <t>2022-04-11 07:10:50 UTC</t>
  </si>
  <si>
    <t>2022-04-11 07:10:45 UTC</t>
  </si>
  <si>
    <t>2022-04-11 07:10:42 UTC</t>
  </si>
  <si>
    <t>2022-04-11 07:10:39 UTC</t>
  </si>
  <si>
    <t>2022-04-11 07:10:38 UTC</t>
  </si>
  <si>
    <t>2022-04-11 07:10:31 UTC</t>
  </si>
  <si>
    <t>2022-04-11 07:10:24 UTC</t>
  </si>
  <si>
    <t>2022-04-11 07:10:12 UTC</t>
  </si>
  <si>
    <t>2022-04-11 07:10:09 UTC</t>
  </si>
  <si>
    <t>2022-04-11 07:10:07 UTC</t>
  </si>
  <si>
    <t>2022-04-11 07:10:04 UTC</t>
  </si>
  <si>
    <t>2022-04-11 07:09:47 UTC</t>
  </si>
  <si>
    <t>2022-04-11 07:09:44 UTC</t>
  </si>
  <si>
    <t>2022-04-11 07:09:13 UTC</t>
  </si>
  <si>
    <t>2022-04-11 07:09:06 UTC</t>
  </si>
  <si>
    <t>2022-04-11 07:09:05 UTC</t>
  </si>
  <si>
    <t>2022-04-11 07:09:03 UTC</t>
  </si>
  <si>
    <t>2022-04-11 07:08:38 UTC</t>
  </si>
  <si>
    <t>2022-04-11 07:08:19 UTC</t>
  </si>
  <si>
    <t>2022-04-11 07:07:57 UTC</t>
  </si>
  <si>
    <t>2022-04-11 07:07:56 UTC</t>
  </si>
  <si>
    <t>2022-04-11 07:07:54 UTC</t>
  </si>
  <si>
    <t>2022-04-11 07:07:53 UTC</t>
  </si>
  <si>
    <t>2022-04-11 07:07:44 UTC</t>
  </si>
  <si>
    <t>2022-04-11 07:07:43 UTC</t>
  </si>
  <si>
    <t>2022-04-11 07:07:37 UTC</t>
  </si>
  <si>
    <t>1abc02b0d16ca90e08fd08de743b3ab9</t>
  </si>
  <si>
    <t>2022-04-11 07:07:34 UTC</t>
  </si>
  <si>
    <t>2022-04-11 07:07:33 UTC</t>
  </si>
  <si>
    <t>720c29f8cc68cd43f4fbab02e55c69b8</t>
  </si>
  <si>
    <t>2022-04-11 07:07:29 UTC</t>
  </si>
  <si>
    <t>2022-04-11 07:07:28 UTC</t>
  </si>
  <si>
    <t>2022-04-11 07:07:27 UTC</t>
  </si>
  <si>
    <t>2022-04-11 07:07:26 UTC</t>
  </si>
  <si>
    <t>2022-04-11 07:07:25 UTC</t>
  </si>
  <si>
    <t>2022-04-11 07:07:23 UTC</t>
  </si>
  <si>
    <t>2022-04-11 07:07:17 UTC</t>
  </si>
  <si>
    <t>2022-04-11 07:07:15 UTC</t>
  </si>
  <si>
    <t>2022-04-11 07:07:14 UTC</t>
  </si>
  <si>
    <t>2022-04-11 07:07:12 UTC</t>
  </si>
  <si>
    <t>2022-04-11 07:07:11 UTC</t>
  </si>
  <si>
    <t>2022-04-11 07:07:10 UTC</t>
  </si>
  <si>
    <t>2022-04-11 07:07:07 UTC</t>
  </si>
  <si>
    <t>2022-04-11 07:07:05 UTC</t>
  </si>
  <si>
    <t>2022-04-11 07:07:03 UTC</t>
  </si>
  <si>
    <t>2022-04-11 07:06:59 UTC</t>
  </si>
  <si>
    <t>2022-04-11 07:06:56 UTC</t>
  </si>
  <si>
    <t>2022-04-11 07:06:55 UTC</t>
  </si>
  <si>
    <t>2022-04-11 07:06:53 UTC</t>
  </si>
  <si>
    <t>2022-04-11 07:06:50 UTC</t>
  </si>
  <si>
    <t>2022-04-11 07:06:48 UTC</t>
  </si>
  <si>
    <t>2022-04-11 07:06:47 UTC</t>
  </si>
  <si>
    <t>2022-04-11 07:06:45 UTC</t>
  </si>
  <si>
    <t>2022-04-11 07:06:44 UTC</t>
  </si>
  <si>
    <t>2022-04-11 07:06:42 UTC</t>
  </si>
  <si>
    <t>2022-04-11 07:06:40 UTC</t>
  </si>
  <si>
    <t>2022-04-11 07:06:32 UTC</t>
  </si>
  <si>
    <t>2022-04-11 07:06:18 UTC</t>
  </si>
  <si>
    <t>74f17f6c2dca2932a5666063650fcbd8</t>
  </si>
  <si>
    <t>2022-04-11 07:06:01 UTC</t>
  </si>
  <si>
    <t>ff5ad71f2fbfdc9d71ea3cfc39598d41</t>
  </si>
  <si>
    <t>2022-04-11 07:05:55 UTC</t>
  </si>
  <si>
    <t>2022-04-11 07:05:53 UTC</t>
  </si>
  <si>
    <t>2022-04-11 07:05:44 UTC</t>
  </si>
  <si>
    <t>2022-04-11 07:05:41 UTC</t>
  </si>
  <si>
    <t>2022-04-11 07:05:29 UTC</t>
  </si>
  <si>
    <t>2022-04-11 07:05:25 UTC</t>
  </si>
  <si>
    <t>2022-04-11 07:05:21 UTC</t>
  </si>
  <si>
    <t>2022-04-11 07:05:14 UTC</t>
  </si>
  <si>
    <t>2022-04-11 07:04:55 UTC</t>
  </si>
  <si>
    <t>2022-04-11 07:04:54 UTC</t>
  </si>
  <si>
    <t>2022-04-11 07:04:46 UTC</t>
  </si>
  <si>
    <t>2022-04-11 07:04:44 UTC</t>
  </si>
  <si>
    <t>2022-04-11 07:04:23 UTC</t>
  </si>
  <si>
    <t>2022-04-11 07:04:19 UTC</t>
  </si>
  <si>
    <t>2022-04-11 07:04:15 UTC</t>
  </si>
  <si>
    <t>2022-04-11 07:04:12 UTC</t>
  </si>
  <si>
    <t>2022-04-11 07:04:10 UTC</t>
  </si>
  <si>
    <t>2022-04-11 07:03:52 UTC</t>
  </si>
  <si>
    <t>8ee0126a775903128297067424aa2cb0</t>
  </si>
  <si>
    <t>2022-04-11 07:03:48 UTC</t>
  </si>
  <si>
    <t>2022-04-11 07:03:37 UTC</t>
  </si>
  <si>
    <t>2022-04-11 07:03:19 UTC</t>
  </si>
  <si>
    <t>2022-04-11 07:03:15 UTC</t>
  </si>
  <si>
    <t>2022-04-11 07:03:10 UTC</t>
  </si>
  <si>
    <t>2022-04-11 07:02:53 UTC</t>
  </si>
  <si>
    <t>2022-04-11 07:02:17 UTC</t>
  </si>
  <si>
    <t>876ddab424dbf4977db7b556309e3040</t>
  </si>
  <si>
    <t>2022-04-11 07:02:15 UTC</t>
  </si>
  <si>
    <t>2022-04-11 07:02:12 UTC</t>
  </si>
  <si>
    <t>2022-04-11 07:02:09 UTC</t>
  </si>
  <si>
    <t>2022-04-11 07:01:59 UTC</t>
  </si>
  <si>
    <t>2022-04-11 07:01:53 UTC</t>
  </si>
  <si>
    <t>2022-04-11 07:01:52 UTC</t>
  </si>
  <si>
    <t>2022-04-11 07:01:51 UTC</t>
  </si>
  <si>
    <t>2022-04-11 07:01:50 UTC</t>
  </si>
  <si>
    <t>2022-04-11 07:01:48 UTC</t>
  </si>
  <si>
    <t>2022-04-11 07:01:47 UTC</t>
  </si>
  <si>
    <t>2022-04-11 07:01:45 UTC</t>
  </si>
  <si>
    <t>2022-04-11 07:01:38 UTC</t>
  </si>
  <si>
    <t>2022-04-11 07:01:32 UTC</t>
  </si>
  <si>
    <t>2022-04-11 07:01:29 UTC</t>
  </si>
  <si>
    <t>2022-04-11 07:01:27 UTC</t>
  </si>
  <si>
    <t>2022-04-11 07:01:21 UTC</t>
  </si>
  <si>
    <t>2022-04-11 07:01:15 UTC</t>
  </si>
  <si>
    <t>2022-04-11 07:01:11 UTC</t>
  </si>
  <si>
    <t>f8268de034a0ebda5766f9647f634fc1</t>
  </si>
  <si>
    <t>2022-04-11 07:01:08 UTC</t>
  </si>
  <si>
    <t>2022-04-11 07:01:05 UTC</t>
  </si>
  <si>
    <t>2022-04-11 07:01:04 UTC</t>
  </si>
  <si>
    <t>4203aaf143232224590ce5d89d54ded5</t>
  </si>
  <si>
    <t>2022-04-11 07:00:57 UTC</t>
  </si>
  <si>
    <t>2022-04-11 07:00:54 UTC</t>
  </si>
  <si>
    <t>2022-04-11 07:00:53 UTC</t>
  </si>
  <si>
    <t>2022-04-11 07:00:49 UTC</t>
  </si>
  <si>
    <t>2022-04-11 07:00:45 UTC</t>
  </si>
  <si>
    <t>2022-04-11 07:00:43 UTC</t>
  </si>
  <si>
    <t>666c61958f24534917486c6a6d658efe</t>
  </si>
  <si>
    <t>2022-04-11 07:00:42 UTC</t>
  </si>
  <si>
    <t>6f626ed0ff44a10c16c9dca5127901cc</t>
  </si>
  <si>
    <t>2022-04-11 07:00:41 UTC</t>
  </si>
  <si>
    <t>2022-04-11 07:00:39 UTC</t>
  </si>
  <si>
    <t>2022-04-11 07:00:38 UTC</t>
  </si>
  <si>
    <t>2022-04-11 07:00:37 UTC</t>
  </si>
  <si>
    <t>2022-04-11 07:00:35 UTC</t>
  </si>
  <si>
    <t>2022-04-11 07:00:34 UTC</t>
  </si>
  <si>
    <t>2022-04-11 07:00:32 UTC</t>
  </si>
  <si>
    <t>2022-04-11 07:00:24 UTC</t>
  </si>
  <si>
    <t>2022-04-11 07:00:23 UTC</t>
  </si>
  <si>
    <t>2022-04-11 07:00:20 UTC</t>
  </si>
  <si>
    <t>2022-04-11 07:00:19 UTC</t>
  </si>
  <si>
    <t>2022-04-11 07:00:18 UTC</t>
  </si>
  <si>
    <t>2022-04-11 07:00:16 UTC</t>
  </si>
  <si>
    <t>2022-04-11 07:00:15 UTC</t>
  </si>
  <si>
    <t>2022-04-11 07:00:14 UTC</t>
  </si>
  <si>
    <t>2022-04-11 07:00:13 UTC</t>
  </si>
  <si>
    <t>2022-04-11 07:00:12 UTC</t>
  </si>
  <si>
    <t>2022-04-11 07:00:11 UTC</t>
  </si>
  <si>
    <t>2022-04-11 07:00:09 UTC</t>
  </si>
  <si>
    <t>2022-04-11 07:00:08 UTC</t>
  </si>
  <si>
    <t>2022-04-11 07:00:07 UTC</t>
  </si>
  <si>
    <t>2022-04-11 07:00:06 UTC</t>
  </si>
  <si>
    <t>2022-04-11 07:00:05 UTC</t>
  </si>
  <si>
    <t>2022-04-11 07:00:03 UTC</t>
  </si>
  <si>
    <t>2022-04-11 07:00:02 UTC</t>
  </si>
  <si>
    <t>2ee04cecad2ec4426737917831b190de</t>
  </si>
  <si>
    <t>2022-04-11 07:00:00 UTC</t>
  </si>
  <si>
    <t>2022-04-11 06:59:58 UTC</t>
  </si>
  <si>
    <t>2022-04-11 06:59:57 UTC</t>
  </si>
  <si>
    <t>2022-04-11 06:59:54 UTC</t>
  </si>
  <si>
    <t>2022-04-11 06:59:51 UTC</t>
  </si>
  <si>
    <t>2022-04-11 06:59:48 UTC</t>
  </si>
  <si>
    <t>2022-04-11 06:59:47 UTC</t>
  </si>
  <si>
    <t>2022-04-11 06:59:45 UTC</t>
  </si>
  <si>
    <t>ab2dab905bd841df6ef21dfb01175a30</t>
  </si>
  <si>
    <t>2022-04-11 06:59:44 UTC</t>
  </si>
  <si>
    <t>2022-04-11 06:59:43 UTC</t>
  </si>
  <si>
    <t>2022-04-11 06:59:42 UTC</t>
  </si>
  <si>
    <t>2022-04-11 06:59:41 UTC</t>
  </si>
  <si>
    <t>0512e18ded9bd24597d81dc8113ccac2</t>
  </si>
  <si>
    <t>2022-04-11 06:59:40 UTC</t>
  </si>
  <si>
    <t>2022-04-11 06:59:39 UTC</t>
  </si>
  <si>
    <t>2022-04-11 06:59:36 UTC</t>
  </si>
  <si>
    <t>2022-04-11 06:59:35 UTC</t>
  </si>
  <si>
    <t>2022-04-11 06:59:30 UTC</t>
  </si>
  <si>
    <t>2022-04-11 06:59:28 UTC</t>
  </si>
  <si>
    <t>e91126f719894793e7afc68967db7181</t>
  </si>
  <si>
    <t>2022-04-11 06:59:24 UTC</t>
  </si>
  <si>
    <t>2022-04-11 06:59:23 UTC</t>
  </si>
  <si>
    <t>2022-04-11 06:59:22 UTC</t>
  </si>
  <si>
    <t>2022-04-11 06:59:19 UTC</t>
  </si>
  <si>
    <t>2022-04-11 06:59:18 UTC</t>
  </si>
  <si>
    <t>2022-04-11 06:59:10 UTC</t>
  </si>
  <si>
    <t>2022-04-11 06:59:03 UTC</t>
  </si>
  <si>
    <t>2022-04-11 06:58:59 UTC</t>
  </si>
  <si>
    <t>2022-04-11 06:58:52 UTC</t>
  </si>
  <si>
    <t>2022-04-11 06:58:48 UTC</t>
  </si>
  <si>
    <t>2022-04-11 06:58:46 UTC</t>
  </si>
  <si>
    <t>2022-04-11 06:58:44 UTC</t>
  </si>
  <si>
    <t>2022-04-11 06:58:42 UTC</t>
  </si>
  <si>
    <t>2022-04-11 06:58:41 UTC</t>
  </si>
  <si>
    <t>11d2cef26e8ee6dd67fa41c0cd0b260d</t>
  </si>
  <si>
    <t>2022-04-11 06:58:40 UTC</t>
  </si>
  <si>
    <t>2022-04-11 06:58:39 UTC</t>
  </si>
  <si>
    <t>2022-04-11 06:58:37 UTC</t>
  </si>
  <si>
    <t>2022-04-11 06:58:36 UTC</t>
  </si>
  <si>
    <t>2022-04-11 06:58:34 UTC</t>
  </si>
  <si>
    <t>2022-04-11 06:58:33 UTC</t>
  </si>
  <si>
    <t>2022-04-11 06:58:32 UTC</t>
  </si>
  <si>
    <t>2022-04-11 06:58:30 UTC</t>
  </si>
  <si>
    <t>2022-04-11 06:58:28 UTC</t>
  </si>
  <si>
    <t>2022-04-11 06:58:26 UTC</t>
  </si>
  <si>
    <t>2022-04-11 06:58:25 UTC</t>
  </si>
  <si>
    <t>2022-04-11 06:58:23 UTC</t>
  </si>
  <si>
    <t>2022-04-11 06:58:22 UTC</t>
  </si>
  <si>
    <t>2022-04-11 06:58:20 UTC</t>
  </si>
  <si>
    <t>2022-04-11 06:58:19 UTC</t>
  </si>
  <si>
    <t>2022-04-11 06:58:18 UTC</t>
  </si>
  <si>
    <t>2022-04-11 06:58:16 UTC</t>
  </si>
  <si>
    <t>2022-04-11 06:58:14 UTC</t>
  </si>
  <si>
    <t>2022-04-11 06:58:13 UTC</t>
  </si>
  <si>
    <t>2022-04-11 06:58:08 UTC</t>
  </si>
  <si>
    <t>2022-04-11 06:58:06 UTC</t>
  </si>
  <si>
    <t>2022-04-11 06:58:04 UTC</t>
  </si>
  <si>
    <t>2022-04-11 06:58:02 UTC</t>
  </si>
  <si>
    <t>2022-04-11 06:58:00 UTC</t>
  </si>
  <si>
    <t>2022-04-11 06:57:58 UTC</t>
  </si>
  <si>
    <t>2022-04-11 06:57:54 UTC</t>
  </si>
  <si>
    <t>2022-04-11 06:57:53 UTC</t>
  </si>
  <si>
    <t>2022-04-11 06:57:51 UTC</t>
  </si>
  <si>
    <t>2022-04-11 06:57:49 UTC</t>
  </si>
  <si>
    <t>2022-04-11 06:57:47 UTC</t>
  </si>
  <si>
    <t>2022-04-11 06:57:44 UTC</t>
  </si>
  <si>
    <t>2022-04-11 06:57:41 UTC</t>
  </si>
  <si>
    <t>2022-04-11 06:57:40 UTC</t>
  </si>
  <si>
    <t>8ea81c6cf16644625b9f821f287dc589</t>
  </si>
  <si>
    <t>2022-04-11 06:57:38 UTC</t>
  </si>
  <si>
    <t>2022-04-11 06:57:37 UTC</t>
  </si>
  <si>
    <t>d86e584755293251a9fdc5fdb1d06237</t>
  </si>
  <si>
    <t>2022-04-11 06:57:35 UTC</t>
  </si>
  <si>
    <t>2022-04-11 06:57:30 UTC</t>
  </si>
  <si>
    <t>2022-04-11 06:57:28 UTC</t>
  </si>
  <si>
    <t>2022-04-11 06:57:26 UTC</t>
  </si>
  <si>
    <t>2022-04-11 06:57:24 UTC</t>
  </si>
  <si>
    <t>2022-04-11 06:57:12 UTC</t>
  </si>
  <si>
    <t>2022-04-11 06:57:07 UTC</t>
  </si>
  <si>
    <t>2022-04-11 06:57:01 UTC</t>
  </si>
  <si>
    <t>2022-04-11 06:56:52 UTC</t>
  </si>
  <si>
    <t>87d043c7d9d2783a45a4008dad26b1bd</t>
  </si>
  <si>
    <t>2022-04-11 06:56:46 UTC</t>
  </si>
  <si>
    <t>2022-04-11 06:56:42 UTC</t>
  </si>
  <si>
    <t>2022-04-11 06:56:38 UTC</t>
  </si>
  <si>
    <t>2022-04-11 06:56:24 UTC</t>
  </si>
  <si>
    <t>2022-04-11 06:56:18 UTC</t>
  </si>
  <si>
    <t>9db3fe84437530a813cecbbb56c91244</t>
  </si>
  <si>
    <t>2022-04-11 06:56:10 UTC</t>
  </si>
  <si>
    <t>bf36391679c914c3b42ee36fa9d18f9d</t>
  </si>
  <si>
    <t>2022-04-11 06:56:09 UTC</t>
  </si>
  <si>
    <t>2022-04-11 06:56:06 UTC</t>
  </si>
  <si>
    <t>2022-04-11 06:56:03 UTC</t>
  </si>
  <si>
    <t>2022-04-11 06:56:01 UTC</t>
  </si>
  <si>
    <t>2022-04-11 06:55:59 UTC</t>
  </si>
  <si>
    <t>2022-04-11 06:55:55 UTC</t>
  </si>
  <si>
    <t>2022-04-11 06:55:54 UTC</t>
  </si>
  <si>
    <t>2022-04-11 06:55:50 UTC</t>
  </si>
  <si>
    <t>5831c9191d660a920bcf9a0445443296</t>
  </si>
  <si>
    <t>2022-04-11 06:55:41 UTC</t>
  </si>
  <si>
    <t>2022-04-11 06:55:40 UTC</t>
  </si>
  <si>
    <t>2022-04-11 06:55:31 UTC</t>
  </si>
  <si>
    <t>4531c2ac8609eed850faf28a325545af</t>
  </si>
  <si>
    <t>2022-04-11 06:55:29 UTC</t>
  </si>
  <si>
    <t>2022-04-11 06:55:27 UTC</t>
  </si>
  <si>
    <t>2022-04-11 06:55:22 UTC</t>
  </si>
  <si>
    <t>2022-04-11 06:55:20 UTC</t>
  </si>
  <si>
    <t>2022-04-11 06:55:01 UTC</t>
  </si>
  <si>
    <t>2022-04-11 06:54:46 UTC</t>
  </si>
  <si>
    <t>2022-04-11 06:54:25 UTC</t>
  </si>
  <si>
    <t>2022-04-11 06:54:21 UTC</t>
  </si>
  <si>
    <t>2022-04-11 06:54:06 UTC</t>
  </si>
  <si>
    <t>2022-04-11 06:54:03 UTC</t>
  </si>
  <si>
    <t>2022-04-11 06:54:00 UTC</t>
  </si>
  <si>
    <t>2022-04-11 06:53:58 UTC</t>
  </si>
  <si>
    <t>2022-04-11 06:53:54 UTC</t>
  </si>
  <si>
    <t>2022-04-11 06:53:53 UTC</t>
  </si>
  <si>
    <t>2022-04-11 06:53:50 UTC</t>
  </si>
  <si>
    <t>2022-04-11 06:53:49 UTC</t>
  </si>
  <si>
    <t>2022-04-11 06:53:47 UTC</t>
  </si>
  <si>
    <t>2022-04-11 06:53:43 UTC</t>
  </si>
  <si>
    <t>2022-04-11 06:53:40 UTC</t>
  </si>
  <si>
    <t>2022-04-11 06:53:35 UTC</t>
  </si>
  <si>
    <t>2022-04-11 06:53:31 UTC</t>
  </si>
  <si>
    <t>2022-04-11 06:53:30 UTC</t>
  </si>
  <si>
    <t>2022-04-11 06:53:29 UTC</t>
  </si>
  <si>
    <t>2022-04-11 06:53:28 UTC</t>
  </si>
  <si>
    <t>2022-04-11 06:53:27 UTC</t>
  </si>
  <si>
    <t>2022-04-11 06:53:25 UTC</t>
  </si>
  <si>
    <t>2022-04-11 06:53:24 UTC</t>
  </si>
  <si>
    <t>2022-04-11 06:53:23 UTC</t>
  </si>
  <si>
    <t>2022-04-11 06:53:22 UTC</t>
  </si>
  <si>
    <t>56663c718d0f8315fd1ce968491818e5</t>
  </si>
  <si>
    <t>2022-04-11 06:53:21 UTC</t>
  </si>
  <si>
    <t>2022-04-11 06:53:20 UTC</t>
  </si>
  <si>
    <t>2022-04-11 06:53:19 UTC</t>
  </si>
  <si>
    <t>2022-04-11 06:53:18 UTC</t>
  </si>
  <si>
    <t>2022-04-11 06:53:17 UTC</t>
  </si>
  <si>
    <t>2022-04-11 06:53:16 UTC</t>
  </si>
  <si>
    <t>2022-04-11 06:53:15 UTC</t>
  </si>
  <si>
    <t>2022-04-11 06:53:13 UTC</t>
  </si>
  <si>
    <t>c487ec455258a2a69f695a6ab492c395</t>
  </si>
  <si>
    <t>2022-04-11 06:53:07 UTC</t>
  </si>
  <si>
    <t>a3d267a7848a0fed88d695c3f16d4107</t>
  </si>
  <si>
    <t>2022-04-11 06:53:05 UTC</t>
  </si>
  <si>
    <t>2022-04-11 06:53:04 UTC</t>
  </si>
  <si>
    <t>2022-04-11 06:53:02 UTC</t>
  </si>
  <si>
    <t>2022-04-11 06:52:56 UTC</t>
  </si>
  <si>
    <t>2022-04-11 06:52:54 UTC</t>
  </si>
  <si>
    <t>2022-04-11 06:52:53 UTC</t>
  </si>
  <si>
    <t>2022-04-11 06:52:51 UTC</t>
  </si>
  <si>
    <t>2022-04-11 06:52:49 UTC</t>
  </si>
  <si>
    <t>2022-04-11 06:52:47 UTC</t>
  </si>
  <si>
    <t>2022-04-11 06:52:46 UTC</t>
  </si>
  <si>
    <t>2022-04-11 06:52:44 UTC</t>
  </si>
  <si>
    <t>2022-04-11 06:52:43 UTC</t>
  </si>
  <si>
    <t>2022-04-11 06:52:42 UTC</t>
  </si>
  <si>
    <t>2022-04-11 06:52:41 UTC</t>
  </si>
  <si>
    <t>2022-04-11 06:52:40 UTC</t>
  </si>
  <si>
    <t>2022-04-11 06:52:39 UTC</t>
  </si>
  <si>
    <t>2022-04-11 06:52:38 UTC</t>
  </si>
  <si>
    <t>2022-04-11 06:52:34 UTC</t>
  </si>
  <si>
    <t>aef5d88a079776c3b91064f5929d4f40</t>
  </si>
  <si>
    <t>2022-04-11 06:52:27 UTC</t>
  </si>
  <si>
    <t>2022-04-11 06:52:17 UTC</t>
  </si>
  <si>
    <t>8b474c7c240501112c75897de5a4c01a</t>
  </si>
  <si>
    <t>2022-04-11 06:52:11 UTC</t>
  </si>
  <si>
    <t>2022-04-11 06:51:57 UTC</t>
  </si>
  <si>
    <t>65ddd2d8db482a7d90a13a922b646c02</t>
  </si>
  <si>
    <t>2022-04-11 06:51:56 UTC</t>
  </si>
  <si>
    <t>2022-04-11 06:51:55 UTC</t>
  </si>
  <si>
    <t>82a751bbb28a57e66eccfcce9137d28e</t>
  </si>
  <si>
    <t>2022-04-11 06:51:54 UTC</t>
  </si>
  <si>
    <t>2022-04-11 06:51:53 UTC</t>
  </si>
  <si>
    <t>2022-04-11 06:51:52 UTC</t>
  </si>
  <si>
    <t>2022-04-11 06:51:51 UTC</t>
  </si>
  <si>
    <t>2022-04-11 06:51:50 UTC</t>
  </si>
  <si>
    <t>2022-04-11 06:51:49 UTC</t>
  </si>
  <si>
    <t>2022-04-11 06:51:48 UTC</t>
  </si>
  <si>
    <t>2022-04-11 06:51:44 UTC</t>
  </si>
  <si>
    <t>2022-04-11 06:51:42 UTC</t>
  </si>
  <si>
    <t>2022-04-11 06:51:39 UTC</t>
  </si>
  <si>
    <t>2022-04-11 06:51:37 UTC</t>
  </si>
  <si>
    <t>2022-04-11 06:51:34 UTC</t>
  </si>
  <si>
    <t>2022-04-11 06:51:29 UTC</t>
  </si>
  <si>
    <t>2022-04-11 06:51:26 UTC</t>
  </si>
  <si>
    <t>6bbb7f5ee61da544b598eac8464b9574</t>
  </si>
  <si>
    <t>2022-04-11 06:51:19 UTC</t>
  </si>
  <si>
    <t>88e6a45ae0193b57e2702f1435048c3d</t>
  </si>
  <si>
    <t>2022-04-11 06:51:18 UTC</t>
  </si>
  <si>
    <t>2022-04-11 06:51:13 UTC</t>
  </si>
  <si>
    <t>06e1a9138fac6ad2203ed00ccc5a395b</t>
  </si>
  <si>
    <t>2022-04-11 06:51:11 UTC</t>
  </si>
  <si>
    <t>2022-04-11 06:51:09 UTC</t>
  </si>
  <si>
    <t>2022-04-11 06:51:08 UTC</t>
  </si>
  <si>
    <t>2022-04-11 06:51:07 UTC</t>
  </si>
  <si>
    <t>2022-04-11 06:51:05 UTC</t>
  </si>
  <si>
    <t>2022-04-11 06:51:03 UTC</t>
  </si>
  <si>
    <t>2022-04-11 06:51:01 UTC</t>
  </si>
  <si>
    <t>2022-04-11 06:50:59 UTC</t>
  </si>
  <si>
    <t>2022-04-11 06:50:58 UTC</t>
  </si>
  <si>
    <t>2022-04-11 06:50:55 UTC</t>
  </si>
  <si>
    <t>2022-04-11 06:50:54 UTC</t>
  </si>
  <si>
    <t>2022-04-11 06:50:53 UTC</t>
  </si>
  <si>
    <t>2022-04-11 06:50:52 UTC</t>
  </si>
  <si>
    <t>2022-04-11 06:50:50 UTC</t>
  </si>
  <si>
    <t>2022-04-11 06:50:46 UTC</t>
  </si>
  <si>
    <t>2022-04-11 06:50:45 UTC</t>
  </si>
  <si>
    <t>2022-04-11 06:50:43 UTC</t>
  </si>
  <si>
    <t>2022-04-11 06:50:41 UTC</t>
  </si>
  <si>
    <t>2022-04-11 06:50:39 UTC</t>
  </si>
  <si>
    <t>2022-04-11 06:50:38 UTC</t>
  </si>
  <si>
    <t>2022-04-11 06:50:37 UTC</t>
  </si>
  <si>
    <t>2022-04-11 06:50:36 UTC</t>
  </si>
  <si>
    <t>2022-04-11 06:50:35 UTC</t>
  </si>
  <si>
    <t>2022-04-11 06:50:34 UTC</t>
  </si>
  <si>
    <t>2022-04-11 06:50:33 UTC</t>
  </si>
  <si>
    <t>1ed0400c61b0c9544a26c372d4d98af7</t>
  </si>
  <si>
    <t>172336b380d1c2f25c1eed6f338ad170</t>
  </si>
  <si>
    <t>2022-04-11 06:50:32 UTC</t>
  </si>
  <si>
    <t>2022-04-11 06:50:31 UTC</t>
  </si>
  <si>
    <t>2022-04-11 06:50:30 UTC</t>
  </si>
  <si>
    <t>2022-04-11 06:50:29 UTC</t>
  </si>
  <si>
    <t>2022-04-11 06:50:27 UTC</t>
  </si>
  <si>
    <t>215e3ef106aa4c473e615da3aa818c97</t>
  </si>
  <si>
    <t>2022-04-11 06:50:25 UTC</t>
  </si>
  <si>
    <t>2022-04-11 06:50:22 UTC</t>
  </si>
  <si>
    <t>2022-04-11 06:50:21 UTC</t>
  </si>
  <si>
    <t>2022-04-11 06:50:19 UTC</t>
  </si>
  <si>
    <t>2022-04-11 06:50:18 UTC</t>
  </si>
  <si>
    <t>2022-04-11 06:50:17 UTC</t>
  </si>
  <si>
    <t>2022-04-11 06:50:15 UTC</t>
  </si>
  <si>
    <t>2022-04-11 06:50:14 UTC</t>
  </si>
  <si>
    <t>2022-04-11 06:50:13 UTC</t>
  </si>
  <si>
    <t>2022-04-11 06:50:11 UTC</t>
  </si>
  <si>
    <t>2022-04-11 06:50:07 UTC</t>
  </si>
  <si>
    <t>2022-04-11 06:50:06 UTC</t>
  </si>
  <si>
    <t>afc2f2b1abc909d88bac8b1389f8ebc6</t>
  </si>
  <si>
    <t>2022-04-11 06:50:05 UTC</t>
  </si>
  <si>
    <t>2022-04-11 06:50:04 UTC</t>
  </si>
  <si>
    <t>2022-04-11 06:50:03 UTC</t>
  </si>
  <si>
    <t>2022-04-11 06:50:02 UTC</t>
  </si>
  <si>
    <t>2022-04-11 06:50:01 UTC</t>
  </si>
  <si>
    <t>21030d057cf3b6b0f09fb2e0b296bdbd</t>
  </si>
  <si>
    <t>2022-04-11 06:50:00 UTC</t>
  </si>
  <si>
    <t>2022-04-11 06:49:59 UTC</t>
  </si>
  <si>
    <t>2022-04-11 06:49:58 UTC</t>
  </si>
  <si>
    <t>2022-04-11 06:49:57 UTC</t>
  </si>
  <si>
    <t>2022-04-11 06:49:56 UTC</t>
  </si>
  <si>
    <t>2022-04-11 06:49:55 UTC</t>
  </si>
  <si>
    <t>2022-04-11 06:49:54 UTC</t>
  </si>
  <si>
    <t>2022-04-11 06:49:53 UTC</t>
  </si>
  <si>
    <t>2022-04-11 06:49:52 UTC</t>
  </si>
  <si>
    <t>2022-04-11 06:49:51 UTC</t>
  </si>
  <si>
    <t>2022-04-11 06:49:50 UTC</t>
  </si>
  <si>
    <t>2022-04-11 06:49:49 UTC</t>
  </si>
  <si>
    <t>2022-04-11 06:49:48 UTC</t>
  </si>
  <si>
    <t>2022-04-11 06:49:47 UTC</t>
  </si>
  <si>
    <t>2022-04-11 06:49:46 UTC</t>
  </si>
  <si>
    <t>2022-04-11 06:49:45 UTC</t>
  </si>
  <si>
    <t>2022-04-11 06:49:44 UTC</t>
  </si>
  <si>
    <t>2022-04-11 06:49:43 UTC</t>
  </si>
  <si>
    <t>2022-04-11 06:49:42 UTC</t>
  </si>
  <si>
    <t>2022-04-11 06:49:41 UTC</t>
  </si>
  <si>
    <t>2022-04-11 06:49:40 UTC</t>
  </si>
  <si>
    <t>2022-04-11 06:49:39 UTC</t>
  </si>
  <si>
    <t>2022-04-11 06:49:38 UTC</t>
  </si>
  <si>
    <t>2022-04-11 06:49:37 UTC</t>
  </si>
  <si>
    <t>2022-04-11 06:49:36 UTC</t>
  </si>
  <si>
    <t>2022-04-11 06:49:35 UTC</t>
  </si>
  <si>
    <t>2022-04-11 06:49:33 UTC</t>
  </si>
  <si>
    <t>2022-04-11 06:49:28 UTC</t>
  </si>
  <si>
    <t>2022-04-11 06:49:27 UTC</t>
  </si>
  <si>
    <t>2022-04-11 06:49:26 UTC</t>
  </si>
  <si>
    <t>2022-04-11 06:49:24 UTC</t>
  </si>
  <si>
    <t>2022-04-11 06:49:23 UTC</t>
  </si>
  <si>
    <t>2022-04-11 06:49:22 UTC</t>
  </si>
  <si>
    <t>2022-04-11 06:49:20 UTC</t>
  </si>
  <si>
    <t>2022-04-11 06:49:18 UTC</t>
  </si>
  <si>
    <t>2022-04-11 06:49:17 UTC</t>
  </si>
  <si>
    <t>2022-04-11 06:49:15 UTC</t>
  </si>
  <si>
    <t>f51798a8fe5b5cfa259bb8978696bb87</t>
  </si>
  <si>
    <t>2022-04-11 06:49:14 UTC</t>
  </si>
  <si>
    <t>2022-04-11 06:49:13 UTC</t>
  </si>
  <si>
    <t>2022-04-11 06:49:12 UTC</t>
  </si>
  <si>
    <t>2022-04-11 06:49:11 UTC</t>
  </si>
  <si>
    <t>2022-04-11 06:49:10 UTC</t>
  </si>
  <si>
    <t>2022-04-11 06:49:09 UTC</t>
  </si>
  <si>
    <t>07737ee50fe3bfdcb348158e52495226</t>
  </si>
  <si>
    <t>2022-04-11 06:49:07 UTC</t>
  </si>
  <si>
    <t>2022-04-11 06:49:06 UTC</t>
  </si>
  <si>
    <t>2022-04-11 06:49:05 UTC</t>
  </si>
  <si>
    <t>2022-04-11 06:49:04 UTC</t>
  </si>
  <si>
    <t>a3005e48a7d36fce6ba76822b4d5c609</t>
  </si>
  <si>
    <t>2022-04-11 06:49:03 UTC</t>
  </si>
  <si>
    <t>2022-04-11 06:49:02 UTC</t>
  </si>
  <si>
    <t>2022-04-11 06:49:01 UTC</t>
  </si>
  <si>
    <t>2022-04-11 06:48:59 UTC</t>
  </si>
  <si>
    <t>2022-04-11 06:48:57 UTC</t>
  </si>
  <si>
    <t>2022-04-11 06:48:54 UTC</t>
  </si>
  <si>
    <t>2022-04-11 06:48:53 UTC</t>
  </si>
  <si>
    <t>2022-04-11 06:48:52 UTC</t>
  </si>
  <si>
    <t>2022-04-11 06:48:51 UTC</t>
  </si>
  <si>
    <t>2022-04-11 06:48:49 UTC</t>
  </si>
  <si>
    <t>fc148e48a61459b693e4503dd684c76e</t>
  </si>
  <si>
    <t>2022-04-11 06:48:47 UTC</t>
  </si>
  <si>
    <t>2022-04-11 06:48:46 UTC</t>
  </si>
  <si>
    <t>2022-04-11 06:48:45 UTC</t>
  </si>
  <si>
    <t>2022-04-11 06:48:44 UTC</t>
  </si>
  <si>
    <t>2022-04-11 06:48:43 UTC</t>
  </si>
  <si>
    <t>2022-04-11 06:48:42 UTC</t>
  </si>
  <si>
    <t>2022-04-11 06:48:41 UTC</t>
  </si>
  <si>
    <t>2022-04-11 06:48:40 UTC</t>
  </si>
  <si>
    <t>2022-04-11 06:48:38 UTC</t>
  </si>
  <si>
    <t>2022-04-11 06:48:37 UTC</t>
  </si>
  <si>
    <t>2022-04-11 06:48:33 UTC</t>
  </si>
  <si>
    <t>2022-04-11 06:48:31 UTC</t>
  </si>
  <si>
    <t>2022-04-11 06:48:27 UTC</t>
  </si>
  <si>
    <t>2022-04-11 06:48:23 UTC</t>
  </si>
  <si>
    <t>2022-04-11 06:48:22 UTC</t>
  </si>
  <si>
    <t>2022-04-11 06:48:20 UTC</t>
  </si>
  <si>
    <t>2022-04-11 06:48:18 UTC</t>
  </si>
  <si>
    <t>683c4ea78b90e02c86b2b3ea956d2fa5</t>
  </si>
  <si>
    <t>2022-04-11 06:48:09 UTC</t>
  </si>
  <si>
    <t>2022-04-11 06:48:07 UTC</t>
  </si>
  <si>
    <t>2022-04-11 06:48:06 UTC</t>
  </si>
  <si>
    <t>2022-04-11 06:48:04 UTC</t>
  </si>
  <si>
    <t>2022-04-11 06:48:03 UTC</t>
  </si>
  <si>
    <t>2022-04-11 06:48:02 UTC</t>
  </si>
  <si>
    <t>a1f4b68816260a940528200979d6a455</t>
  </si>
  <si>
    <t>2022-04-11 06:48:00 UTC</t>
  </si>
  <si>
    <t>2022-04-11 06:47:58 UTC</t>
  </si>
  <si>
    <t>2022-04-11 06:47:57 UTC</t>
  </si>
  <si>
    <t>2022-04-11 06:47:54 UTC</t>
  </si>
  <si>
    <t>2022-04-11 06:47:52 UTC</t>
  </si>
  <si>
    <t>2022-04-11 06:47:51 UTC</t>
  </si>
  <si>
    <t>2022-04-11 06:47:49 UTC</t>
  </si>
  <si>
    <t>2022-04-11 06:47:48 UTC</t>
  </si>
  <si>
    <t>2022-04-11 06:47:46 UTC</t>
  </si>
  <si>
    <t>2022-04-11 06:47:44 UTC</t>
  </si>
  <si>
    <t>2022-04-11 06:47:41 UTC</t>
  </si>
  <si>
    <t>2022-04-11 06:47:40 UTC</t>
  </si>
  <si>
    <t>2022-04-11 06:47:39 UTC</t>
  </si>
  <si>
    <t>2022-04-11 06:47:35 UTC</t>
  </si>
  <si>
    <t>2022-04-11 06:47:32 UTC</t>
  </si>
  <si>
    <t>2022-04-11 06:47:31 UTC</t>
  </si>
  <si>
    <t>2022-04-11 06:47:27 UTC</t>
  </si>
  <si>
    <t>2022-04-11 06:47:26 UTC</t>
  </si>
  <si>
    <t>2022-04-11 06:47:24 UTC</t>
  </si>
  <si>
    <t>2022-04-11 06:47:22 UTC</t>
  </si>
  <si>
    <t>2022-04-11 06:47:20 UTC</t>
  </si>
  <si>
    <t>2022-04-11 06:47:19 UTC</t>
  </si>
  <si>
    <t>2022-04-11 06:47:18 UTC</t>
  </si>
  <si>
    <t>2022-04-11 06:47:15 UTC</t>
  </si>
  <si>
    <t>9a626ba9cdd3a4ae6e34cd9b45d637df</t>
  </si>
  <si>
    <t>2022-04-11 06:47:11 UTC</t>
  </si>
  <si>
    <t>a316bb908badf89e1622bb51e604e040</t>
  </si>
  <si>
    <t>2022-04-11 06:47:09 UTC</t>
  </si>
  <si>
    <t>2022-04-11 06:47:05 UTC</t>
  </si>
  <si>
    <t>2022-04-11 06:47:03 UTC</t>
  </si>
  <si>
    <t>2022-04-11 06:47:00 UTC</t>
  </si>
  <si>
    <t>2022-04-11 06:46:59 UTC</t>
  </si>
  <si>
    <t>2022-04-11 06:46:58 UTC</t>
  </si>
  <si>
    <t>2022-04-11 06:46:56 UTC</t>
  </si>
  <si>
    <t>2022-04-11 06:46:54 UTC</t>
  </si>
  <si>
    <t>2022-04-11 06:46:52 UTC</t>
  </si>
  <si>
    <t>51ecb0a009bd1ee7acca93212861dfbe</t>
  </si>
  <si>
    <t>2022-04-11 06:46:48 UTC</t>
  </si>
  <si>
    <t>2022-04-11 06:46:47 UTC</t>
  </si>
  <si>
    <t>2022-04-11 06:46:44 UTC</t>
  </si>
  <si>
    <t>2022-04-11 06:46:42 UTC</t>
  </si>
  <si>
    <t>2022-04-11 06:46:40 UTC</t>
  </si>
  <si>
    <t>2022-04-11 06:46:39 UTC</t>
  </si>
  <si>
    <t>2022-04-11 06:46:36 UTC</t>
  </si>
  <si>
    <t>2022-04-11 06:46:33 UTC</t>
  </si>
  <si>
    <t>2022-04-11 06:46:27 UTC</t>
  </si>
  <si>
    <t>2022-04-11 06:46:25 UTC</t>
  </si>
  <si>
    <t>2022-04-11 06:46:24 UTC</t>
  </si>
  <si>
    <t>20fa88565f410699a1d2c36a91bd3fc4</t>
  </si>
  <si>
    <t>2022-04-11 06:46:18 UTC</t>
  </si>
  <si>
    <t>2022-04-11 06:46:17 UTC</t>
  </si>
  <si>
    <t>2022-04-11 06:46:13 UTC</t>
  </si>
  <si>
    <t>2022-04-11 06:46:11 UTC</t>
  </si>
  <si>
    <t>800afe5fe4e1b33d904c25e96247f499</t>
  </si>
  <si>
    <t>2022-04-11 06:46:08 UTC</t>
  </si>
  <si>
    <t>2022-04-11 06:46:07 UTC</t>
  </si>
  <si>
    <t>2022-04-11 06:46:06 UTC</t>
  </si>
  <si>
    <t>2022-04-11 06:46:04 UTC</t>
  </si>
  <si>
    <t>2022-04-11 06:46:03 UTC</t>
  </si>
  <si>
    <t>2022-04-11 06:46:01 UTC</t>
  </si>
  <si>
    <t>2022-04-11 06:45:59 UTC</t>
  </si>
  <si>
    <t>2022-04-11 06:45:57 UTC</t>
  </si>
  <si>
    <t>2022-04-11 06:45:55 UTC</t>
  </si>
  <si>
    <t>2022-04-11 06:45:33 UTC</t>
  </si>
  <si>
    <t>1c4f67f840b0aa0f772e7617c0896e79</t>
  </si>
  <si>
    <t>2022-04-11 06:45:19 UTC</t>
  </si>
  <si>
    <t>2022-04-11 06:45:17 UTC</t>
  </si>
  <si>
    <t>2022-04-11 06:45:16 UTC</t>
  </si>
  <si>
    <t>2022-04-11 06:45:15 UTC</t>
  </si>
  <si>
    <t>2022-04-11 06:45:14 UTC</t>
  </si>
  <si>
    <t>2022-04-11 06:45:13 UTC</t>
  </si>
  <si>
    <t>2022-04-11 06:45:11 UTC</t>
  </si>
  <si>
    <t>2022-04-11 06:45:08 UTC</t>
  </si>
  <si>
    <t>2022-04-11 06:45:01 UTC</t>
  </si>
  <si>
    <t>2022-04-11 06:45:00 UTC</t>
  </si>
  <si>
    <t>2022-04-11 06:44:58 UTC</t>
  </si>
  <si>
    <t>2022-04-11 06:44:47 UTC</t>
  </si>
  <si>
    <t>2022-04-11 06:44:32 UTC</t>
  </si>
  <si>
    <t>2022-04-11 06:43:45 UTC</t>
  </si>
  <si>
    <t>2022-04-11 06:43:43 UTC</t>
  </si>
  <si>
    <t>2022-04-11 06:43:37 UTC</t>
  </si>
  <si>
    <t>2022-04-11 06:43:29 UTC</t>
  </si>
  <si>
    <t>2022-04-11 06:43:27 UTC</t>
  </si>
  <si>
    <t>2022-04-11 06:43:23 UTC</t>
  </si>
  <si>
    <t>2022-04-11 06:43:18 UTC</t>
  </si>
  <si>
    <t>2022-04-11 06:43:14 UTC</t>
  </si>
  <si>
    <t>2022-04-11 06:43:03 UTC</t>
  </si>
  <si>
    <t>2022-04-11 06:42:57 UTC</t>
  </si>
  <si>
    <t>2022-04-11 06:42:54 UTC</t>
  </si>
  <si>
    <t>0d727e73d0a99b0c09bb9c597f99c360</t>
  </si>
  <si>
    <t>2022-04-11 06:42:47 UTC</t>
  </si>
  <si>
    <t>2022-04-11 06:42:07 UTC</t>
  </si>
  <si>
    <t>2022-04-11 06:41:56 UTC</t>
  </si>
  <si>
    <t>2022-04-11 06:41:40 UTC</t>
  </si>
  <si>
    <t>2022-04-11 06:41:31 UTC</t>
  </si>
  <si>
    <t>0800b0de60bdc35a736dedb22b8ba743</t>
  </si>
  <si>
    <t>2022-04-11 06:41:19 UTC</t>
  </si>
  <si>
    <t>2022-04-11 06:41:01 UTC</t>
  </si>
  <si>
    <t>2022-04-11 06:40:57 UTC</t>
  </si>
  <si>
    <t>e42fb18d0287b273160a3415bfe4016f</t>
  </si>
  <si>
    <t>2022-04-11 06:40:55 UTC</t>
  </si>
  <si>
    <t>2022-04-11 06:40:53 UTC</t>
  </si>
  <si>
    <t>2022-04-11 06:40:47 UTC</t>
  </si>
  <si>
    <t>2022-04-11 06:40:22 UTC</t>
  </si>
  <si>
    <t>e711860609c3b1cc1acde4c587417c6a</t>
  </si>
  <si>
    <t>2022-04-11 06:40:16 UTC</t>
  </si>
  <si>
    <t>2022-04-11 06:40:14 UTC</t>
  </si>
  <si>
    <t>2022-04-11 06:40:09 UTC</t>
  </si>
  <si>
    <t>2022-04-11 06:40:04 UTC</t>
  </si>
  <si>
    <t>2022-04-11 06:39:52 UTC</t>
  </si>
  <si>
    <t>2022-04-11 06:39:45 UTC</t>
  </si>
  <si>
    <t>2022-04-11 06:39:42 UTC</t>
  </si>
  <si>
    <t>2022-04-11 06:39:36 UTC</t>
  </si>
  <si>
    <t>2022-04-11 06:39:31 UTC</t>
  </si>
  <si>
    <t>2022-04-11 06:39:26 UTC</t>
  </si>
  <si>
    <t>2022-04-11 06:39:23 UTC</t>
  </si>
  <si>
    <t>2022-04-11 06:39:18 UTC</t>
  </si>
  <si>
    <t>2022-04-11 06:39:08 UTC</t>
  </si>
  <si>
    <t>2022-04-11 06:39:06 UTC</t>
  </si>
  <si>
    <t>2022-04-11 06:38:57 UTC</t>
  </si>
  <si>
    <t>2022-04-11 06:38:52 UTC</t>
  </si>
  <si>
    <t>2022-04-11 06:38:26 UTC</t>
  </si>
  <si>
    <t>734f5392be3c1ee8b05d185e8dc12da5</t>
  </si>
  <si>
    <t>2022-04-11 06:37:57 UTC</t>
  </si>
  <si>
    <t>100529865c64d4a1672244ac521dfc53</t>
  </si>
  <si>
    <t>2022-04-11 06:37:48 UTC</t>
  </si>
  <si>
    <t>2022-04-11 06:37:45 UTC</t>
  </si>
  <si>
    <t>2022-04-11 06:37:44 UTC</t>
  </si>
  <si>
    <t>2022-04-11 06:37:35 UTC</t>
  </si>
  <si>
    <t>2022-04-11 06:34:04 UTC</t>
  </si>
  <si>
    <t>dae9423160a5abe034b61efbe1e815d0</t>
  </si>
  <si>
    <t>2022-04-11 06:33:46 UTC</t>
  </si>
  <si>
    <t>2022-04-11 06:32:35 UTC</t>
  </si>
  <si>
    <t>aae82555f3a0613e55664ec026148f72</t>
  </si>
  <si>
    <t>2022-04-11 06:29:30 UTC</t>
  </si>
  <si>
    <t>01a00aa9d03f0ce8da292f50b62c5868</t>
  </si>
  <si>
    <t>2022-04-11 06:28:43 UTC</t>
  </si>
  <si>
    <t>802f64d41e5a4993ed2d9a1747c742bc</t>
  </si>
  <si>
    <t>2022-04-11 06:28:09 UTC</t>
  </si>
  <si>
    <t>2022-04-11 06:27:54 UTC</t>
  </si>
  <si>
    <t>2022-04-11 06:27:49 UTC</t>
  </si>
  <si>
    <t>2022-04-11 06:27:35 UTC</t>
  </si>
  <si>
    <t>590dec331d3c848be560dc176f192029</t>
  </si>
  <si>
    <t>2022-04-11 06:27:32 UTC</t>
  </si>
  <si>
    <t>dbae897b14374a41defcee8a47a84d4a</t>
  </si>
  <si>
    <t>2022-04-11 06:27:27 UTC</t>
  </si>
  <si>
    <t>2022-04-11 06:27:12 UTC</t>
  </si>
  <si>
    <t>79060179c1a90e55526a9cd885b02eda</t>
  </si>
  <si>
    <t>2022-04-11 06:27:10 UTC</t>
  </si>
  <si>
    <t>2022-04-11 06:26:51 UTC</t>
  </si>
  <si>
    <t>bce5f13fe2978c90c370a87a2266fc88</t>
  </si>
  <si>
    <t>2022-04-11 06:26:45 UTC</t>
  </si>
  <si>
    <t>2022-04-11 06:26:44 UTC</t>
  </si>
  <si>
    <t>a050edc9898812612c999f1a429b4179</t>
  </si>
  <si>
    <t>2022-04-11 06:25:58 UTC</t>
  </si>
  <si>
    <t>ea3b22d535fa0c2177817e3c67d6395e</t>
  </si>
  <si>
    <t>2022-04-11 06:25:51 UTC</t>
  </si>
  <si>
    <t>2022-04-11 06:25:46 UTC</t>
  </si>
  <si>
    <t>2022-04-11 06:25:42 UTC</t>
  </si>
  <si>
    <t>b02bfd771ea762144e5a2ef547730528</t>
  </si>
  <si>
    <t>2022-04-11 06:22:16 UTC</t>
  </si>
  <si>
    <t>8d18d6a2775886b682b528473e6bbacf</t>
  </si>
  <si>
    <t>2022-04-11 06:16:21 UTC</t>
  </si>
  <si>
    <t>d5c429f204cbe1571e8e47e17e164ffc</t>
  </si>
  <si>
    <t>2022-04-11 06:16:15 UTC</t>
  </si>
  <si>
    <t>f12dbaca0dc131e787f680b91bb116d9</t>
  </si>
  <si>
    <t>2022-04-11 06:15:29 UTC</t>
  </si>
  <si>
    <t>742f2f2dc8e322356f849f66aafb127f</t>
  </si>
  <si>
    <t>2022-04-11 06:15:24 UTC</t>
  </si>
  <si>
    <t>2022-04-11 06:15:01 UTC</t>
  </si>
  <si>
    <t>2022-04-11 06:14:54 UTC</t>
  </si>
  <si>
    <t>aecba6929a99eb0cacc3e8c1b9f01989</t>
  </si>
  <si>
    <t>2022-04-11 06:14:51 UTC</t>
  </si>
  <si>
    <t>2022-04-11 06:14:04 UTC</t>
  </si>
  <si>
    <t>2022-04-11 06:14:02 UTC</t>
  </si>
  <si>
    <t>2022-04-11 06:14:00 UTC</t>
  </si>
  <si>
    <t>2022-04-11 06:13:54 UTC</t>
  </si>
  <si>
    <t>2022-04-11 06:13:52 UTC</t>
  </si>
  <si>
    <t>2022-04-11 06:13:39 UTC</t>
  </si>
  <si>
    <t>2022-04-11 06:13:28 UTC</t>
  </si>
  <si>
    <t>c27280c400d8a475eab83dee0b245603</t>
  </si>
  <si>
    <t>2022-04-11 06:11:59 UTC</t>
  </si>
  <si>
    <t>2022-04-11 06:05:28 UTC</t>
  </si>
  <si>
    <t>176eef5f243e5c7f733842c2a97345ba</t>
  </si>
  <si>
    <t>2022-04-11 06:02:16 UTC</t>
  </si>
  <si>
    <t>2022-04-11 05:57:20 UTC</t>
  </si>
  <si>
    <t>718892d7cb67792c5ed65b07f15beb44</t>
  </si>
  <si>
    <t>2022-04-11 05:56:46 UTC</t>
  </si>
  <si>
    <t>2022-04-11 05:54:46 UTC</t>
  </si>
  <si>
    <t>65d9230c47a78dfe97f51ff18b18fbae</t>
  </si>
  <si>
    <t>2022-04-11 05:54:43 UTC</t>
  </si>
  <si>
    <t>094b1ae5c1716d3943d490c3437eae5a</t>
  </si>
  <si>
    <t>2022-04-11 05:53:22 UTC</t>
  </si>
  <si>
    <t>2022-04-11 05:51:35 UTC</t>
  </si>
  <si>
    <t>6a5067f25053e64367d5194a5fe80d2a</t>
  </si>
  <si>
    <t>2022-04-11 05:49:47 UTC</t>
  </si>
  <si>
    <t>2022-04-11 05:49:38 UTC</t>
  </si>
  <si>
    <t>2022-04-11 05:49:17 UTC</t>
  </si>
  <si>
    <t>2022-04-11 05:48:46 UTC</t>
  </si>
  <si>
    <t>c77a23de238c58957decf9cd01d264f3</t>
  </si>
  <si>
    <t>2022-04-11 05:48:20 UTC</t>
  </si>
  <si>
    <t>1aa47cbefbcd78f18d3ac7c6c9c8ee84</t>
  </si>
  <si>
    <t>2022-04-11 05:48:14 UTC</t>
  </si>
  <si>
    <t>2022-04-11 05:48:09 UTC</t>
  </si>
  <si>
    <t>3bb4f5e7956622a59ba3424198bde990</t>
  </si>
  <si>
    <t>2022-04-11 05:46:22 UTC</t>
  </si>
  <si>
    <t>2022-04-11 05:46:16 UTC</t>
  </si>
  <si>
    <t>507757750d6fb6e6845e77be5aa371cc</t>
  </si>
  <si>
    <t>2022-04-11 05:46:15 UTC</t>
  </si>
  <si>
    <t>2022-04-11 05:45:36 UTC</t>
  </si>
  <si>
    <t>2022-04-11 05:45:20 UTC</t>
  </si>
  <si>
    <t>2022-04-11 05:44:59 UTC</t>
  </si>
  <si>
    <t>2022-04-11 05:44:57 UTC</t>
  </si>
  <si>
    <t>2022-04-11 05:44:54 UTC</t>
  </si>
  <si>
    <t>2022-04-11 05:44:44 UTC</t>
  </si>
  <si>
    <t>2022-04-11 05:43:24 UTC</t>
  </si>
  <si>
    <t>2022-04-11 05:43:18 UTC</t>
  </si>
  <si>
    <t>2022-04-11 05:43:10 UTC</t>
  </si>
  <si>
    <t>2022-04-11 05:41:40 UTC</t>
  </si>
  <si>
    <t>2022-04-11 05:41:31 UTC</t>
  </si>
  <si>
    <t>2022-04-11 05:41:29 UTC</t>
  </si>
  <si>
    <t>2022-04-11 05:41:27 UTC</t>
  </si>
  <si>
    <t>2022-04-11 05:41:25 UTC</t>
  </si>
  <si>
    <t>2022-04-11 05:41:24 UTC</t>
  </si>
  <si>
    <t>2022-04-11 05:41:22 UTC</t>
  </si>
  <si>
    <t>2022-04-11 05:41:15 UTC</t>
  </si>
  <si>
    <t>2022-04-11 05:41:12 UTC</t>
  </si>
  <si>
    <t>2022-04-11 05:39:50 UTC</t>
  </si>
  <si>
    <t>a5bbe489a9577b42c06ef1480095631c</t>
  </si>
  <si>
    <t>2022-04-11 05:39:37 UTC</t>
  </si>
  <si>
    <t>2022-04-11 05:37:19 UTC</t>
  </si>
  <si>
    <t>2022-04-11 05:36:31 UTC</t>
  </si>
  <si>
    <t>2022-04-11 05:36:29 UTC</t>
  </si>
  <si>
    <t>2022-04-11 05:36:28 UTC</t>
  </si>
  <si>
    <t>2022-04-11 05:36:26 UTC</t>
  </si>
  <si>
    <t>2022-04-11 05:36:24 UTC</t>
  </si>
  <si>
    <t>2022-04-11 05:36:23 UTC</t>
  </si>
  <si>
    <t>2022-04-11 05:36:20 UTC</t>
  </si>
  <si>
    <t>2022-04-11 05:36:14 UTC</t>
  </si>
  <si>
    <t>2022-04-11 05:34:55 UTC</t>
  </si>
  <si>
    <t>89516a70f75d0b457ebbca2f8509fa7a</t>
  </si>
  <si>
    <t>2022-04-11 05:34:28 UTC</t>
  </si>
  <si>
    <t>ca6dccbba1067e18e9cdd3e6c01997ee</t>
  </si>
  <si>
    <t>2022-04-11 05:33:17 UTC</t>
  </si>
  <si>
    <t>2022-04-11 05:32:37 UTC</t>
  </si>
  <si>
    <t>c3d2e91f699e3b93f3efba77a5273e63</t>
  </si>
  <si>
    <t>2022-04-11 05:30:27 UTC</t>
  </si>
  <si>
    <t>2022-04-11 05:29:52 UTC</t>
  </si>
  <si>
    <t>2022-04-11 05:29:35 UTC</t>
  </si>
  <si>
    <t>2022-04-11 05:28:50 UTC</t>
  </si>
  <si>
    <t>c8c3e4ca2893e6b4c72e6c0d0ff58f89</t>
  </si>
  <si>
    <t>2022-04-11 05:28:06 UTC</t>
  </si>
  <si>
    <t>2022-04-11 05:27:04 UTC</t>
  </si>
  <si>
    <t>2022-04-11 05:23:53 UTC</t>
  </si>
  <si>
    <t>2022-04-11 05:23:50 UTC</t>
  </si>
  <si>
    <t>2022-04-11 05:23:44 UTC</t>
  </si>
  <si>
    <t>2022-04-11 05:23:06 UTC</t>
  </si>
  <si>
    <t>2022-04-11 05:23:01 UTC</t>
  </si>
  <si>
    <t>2022-04-11 05:22:55 UTC</t>
  </si>
  <si>
    <t>2022-04-11 05:22:39 UTC</t>
  </si>
  <si>
    <t>2022-04-11 05:18:31 UTC</t>
  </si>
  <si>
    <t>2022-04-11 05:08:50 UTC</t>
  </si>
  <si>
    <t>2022-04-11 05:07:25 UTC</t>
  </si>
  <si>
    <t>f9a3ce05e792927598bb7fc4cad1390b</t>
  </si>
  <si>
    <t>2022-04-11 05:06:06 UTC</t>
  </si>
  <si>
    <t>2022-04-11 05:05:11 UTC</t>
  </si>
  <si>
    <t>2022-04-11 05:04:56 UTC</t>
  </si>
  <si>
    <t>6f9881c07015d21c5ce8ebd7c6611994</t>
  </si>
  <si>
    <t>2022-04-11 05:04:05 UTC</t>
  </si>
  <si>
    <t>2022-04-11 05:03:36 UTC</t>
  </si>
  <si>
    <t>07670c7c40405dc1cfbd6c49898fd96f</t>
  </si>
  <si>
    <t>2022-04-11 05:02:08 UTC</t>
  </si>
  <si>
    <t>640e36877fcceba676f36f58a301b644</t>
  </si>
  <si>
    <t>2022-04-11 05:01:53 UTC</t>
  </si>
  <si>
    <t>2022-04-11 04:56:08 UTC</t>
  </si>
  <si>
    <t>2022-04-11 04:56:06 UTC</t>
  </si>
  <si>
    <t>3555299306a4abdb689f6fbe196fc2d6</t>
  </si>
  <si>
    <t>2022-04-11 04:55:53 UTC</t>
  </si>
  <si>
    <t>2022-04-11 04:55:12 UTC</t>
  </si>
  <si>
    <t>2022-04-11 04:54:56 UTC</t>
  </si>
  <si>
    <t>7b11ff5fdc6316e7bc6eb818cbb5c1a1</t>
  </si>
  <si>
    <t>2022-04-11 04:53:46 UTC</t>
  </si>
  <si>
    <t>2022-04-11 04:51:17 UTC</t>
  </si>
  <si>
    <t>6571f1d02592885a630830c2105046a0</t>
  </si>
  <si>
    <t>2022-04-11 04:50:51 UTC</t>
  </si>
  <si>
    <t>0eafef8576aed3d7d216cfb238f42188</t>
  </si>
  <si>
    <t>2022-04-11 04:50:36 UTC</t>
  </si>
  <si>
    <t>aa25c5a168f67bce310bc59f85ee98fd</t>
  </si>
  <si>
    <t>2022-04-11 04:50:35 UTC</t>
  </si>
  <si>
    <t>2022-04-11 04:49:22 UTC</t>
  </si>
  <si>
    <t>39bfa78b86556261aaa190e35cdc3230</t>
  </si>
  <si>
    <t>2022-04-11 04:49:18 UTC</t>
  </si>
  <si>
    <t>2022-04-11 04:49:16 UTC</t>
  </si>
  <si>
    <t>2022-04-11 04:49:07 UTC</t>
  </si>
  <si>
    <t>2022-04-11 04:47:32 UTC</t>
  </si>
  <si>
    <t>e734caca68ed2a512b2c02b0f78dafbc</t>
  </si>
  <si>
    <t>2022-04-11 04:46:36 UTC</t>
  </si>
  <si>
    <t>2022-04-11 04:46:32 UTC</t>
  </si>
  <si>
    <t>2022-04-11 04:46:21 UTC</t>
  </si>
  <si>
    <t>2022-04-11 04:45:01 UTC</t>
  </si>
  <si>
    <t>2022-04-11 04:43:35 UTC</t>
  </si>
  <si>
    <t>59ae0791a4678f31abddd93eee0a9559</t>
  </si>
  <si>
    <t>2022-04-11 04:42:48 UTC</t>
  </si>
  <si>
    <t>2022-04-11 04:42:45 UTC</t>
  </si>
  <si>
    <t>2022-04-11 04:40:22 UTC</t>
  </si>
  <si>
    <t>2022-04-11 04:39:10 UTC</t>
  </si>
  <si>
    <t>2022-04-11 04:37:40 UTC</t>
  </si>
  <si>
    <t>52d30de91d65e55b6fa6b4523a1e84cb</t>
  </si>
  <si>
    <t>2022-04-11 04:36:39 UTC</t>
  </si>
  <si>
    <t>579d575dc14ad2f699ef0ad75f137bb9</t>
  </si>
  <si>
    <t>2022-04-11 04:36:26 UTC</t>
  </si>
  <si>
    <t>2022-04-11 04:36:04 UTC</t>
  </si>
  <si>
    <t>2022-04-11 04:35:58 UTC</t>
  </si>
  <si>
    <t>2022-04-11 04:35:40 UTC</t>
  </si>
  <si>
    <t>2022-04-11 04:34:30 UTC</t>
  </si>
  <si>
    <t>b62c0afb2685970f1a45e88faac3566a</t>
  </si>
  <si>
    <t>2022-04-11 04:34:12 UTC</t>
  </si>
  <si>
    <t>2022-04-11 04:33:17 UTC</t>
  </si>
  <si>
    <t>2022-04-11 04:31:35 UTC</t>
  </si>
  <si>
    <t>2022-04-11 04:31:03 UTC</t>
  </si>
  <si>
    <t>2022-04-11 04:29:56 UTC</t>
  </si>
  <si>
    <t>d92dc267c7b4e5de2b380d7cdef21a63</t>
  </si>
  <si>
    <t>2022-04-11 04:27:53 UTC</t>
  </si>
  <si>
    <t>2022-04-11 04:27:21 UTC</t>
  </si>
  <si>
    <t>2022-04-11 04:26:08 UTC</t>
  </si>
  <si>
    <t>2022-04-11 04:26:06 UTC</t>
  </si>
  <si>
    <t>a86029c8f0e6bd8fa5faef90b66e3128</t>
  </si>
  <si>
    <t>2022-04-11 04:25:23 UTC</t>
  </si>
  <si>
    <t>2022-04-11 04:25:10 UTC</t>
  </si>
  <si>
    <t>2022-04-11 04:25:08 UTC</t>
  </si>
  <si>
    <t>2022-04-11 04:24:53 UTC</t>
  </si>
  <si>
    <t>2022-04-11 04:24:47 UTC</t>
  </si>
  <si>
    <t>1c21800dfd2e05ec286c7e09cf387f67</t>
  </si>
  <si>
    <t>2022-04-11 04:23:46 UTC</t>
  </si>
  <si>
    <t>ab1535a59a3387df11f34e99021810a8</t>
  </si>
  <si>
    <t>2022-04-11 04:23:43 UTC</t>
  </si>
  <si>
    <t>2022-04-11 04:23:40 UTC</t>
  </si>
  <si>
    <t>f4654b39a9f65e0e2a3d5e4f9d0cb54c</t>
  </si>
  <si>
    <t>2022-04-11 04:23:37 UTC</t>
  </si>
  <si>
    <t>2022-04-11 04:23:35 UTC</t>
  </si>
  <si>
    <t>2022-04-11 04:23:33 UTC</t>
  </si>
  <si>
    <t>2022-04-11 04:23:31 UTC</t>
  </si>
  <si>
    <t>2022-04-11 04:23:29 UTC</t>
  </si>
  <si>
    <t>2022-04-11 04:23:00 UTC</t>
  </si>
  <si>
    <t>bbc756e12ff9352bba6b29400597cf92</t>
  </si>
  <si>
    <t>2022-04-11 04:21:49 UTC</t>
  </si>
  <si>
    <t>a82cf6a275a9671ec24fd239a6f0ca60</t>
  </si>
  <si>
    <t>2022-04-11 04:21:29 UTC</t>
  </si>
  <si>
    <t>2022-04-11 04:19:44 UTC</t>
  </si>
  <si>
    <t>2022-04-11 04:19:38 UTC</t>
  </si>
  <si>
    <t>fa0411639a78b62a8ba1359dee61790d</t>
  </si>
  <si>
    <t>2022-04-11 04:19:36 UTC</t>
  </si>
  <si>
    <t>2022-04-11 04:19:03 UTC</t>
  </si>
  <si>
    <t>2022-04-11 04:18:59 UTC</t>
  </si>
  <si>
    <t>2022-04-11 04:18:57 UTC</t>
  </si>
  <si>
    <t>2022-04-11 04:18:55 UTC</t>
  </si>
  <si>
    <t>2022-04-11 04:18:54 UTC</t>
  </si>
  <si>
    <t>2022-04-11 04:18:53 UTC</t>
  </si>
  <si>
    <t>2022-04-11 04:18:51 UTC</t>
  </si>
  <si>
    <t>2022-04-11 04:18:50 UTC</t>
  </si>
  <si>
    <t>2022-04-11 04:18:49 UTC</t>
  </si>
  <si>
    <t>2022-04-11 04:18:47 UTC</t>
  </si>
  <si>
    <t>2022-04-11 04:18:46 UTC</t>
  </si>
  <si>
    <t>2022-04-11 04:18:44 UTC</t>
  </si>
  <si>
    <t>2022-04-11 04:18:43 UTC</t>
  </si>
  <si>
    <t>efdf0163a97c50c05d8cbd6b1d0bdecf</t>
  </si>
  <si>
    <t>2022-04-11 04:18:42 UTC</t>
  </si>
  <si>
    <t>2022-04-11 04:18:41 UTC</t>
  </si>
  <si>
    <t>2022-04-11 04:18:39 UTC</t>
  </si>
  <si>
    <t>2022-04-11 04:18:38 UTC</t>
  </si>
  <si>
    <t>2022-04-11 04:18:37 UTC</t>
  </si>
  <si>
    <t>2022-04-11 04:18:36 UTC</t>
  </si>
  <si>
    <t>2022-04-11 04:18:35 UTC</t>
  </si>
  <si>
    <t>2022-04-11 04:18:33 UTC</t>
  </si>
  <si>
    <t>2022-04-11 04:18:30 UTC</t>
  </si>
  <si>
    <t>2022-04-11 04:18:23 UTC</t>
  </si>
  <si>
    <t>2022-04-11 04:17:57 UTC</t>
  </si>
  <si>
    <t>2022-04-11 04:17:44 UTC</t>
  </si>
  <si>
    <t>2022-04-11 04:14:49 UTC</t>
  </si>
  <si>
    <t>37e4069455712d0b108c42aa76e3bd38</t>
  </si>
  <si>
    <t>2022-04-11 04:14:25 UTC</t>
  </si>
  <si>
    <t>2022-04-11 04:14:11 UTC</t>
  </si>
  <si>
    <t>2022-04-11 04:14:00 UTC</t>
  </si>
  <si>
    <t>2022-04-11 04:12:47 UTC</t>
  </si>
  <si>
    <t>2022-04-11 04:11:51 UTC</t>
  </si>
  <si>
    <t>2022-04-11 04:09:54 UTC</t>
  </si>
  <si>
    <t>a7162659568610b75088e2f522f61d00</t>
  </si>
  <si>
    <t>2022-04-11 04:09:52 UTC</t>
  </si>
  <si>
    <t>2022-04-11 04:09:42 UTC</t>
  </si>
  <si>
    <t>2022-04-11 04:09:39 UTC</t>
  </si>
  <si>
    <t>2022-04-11 04:08:55 UTC</t>
  </si>
  <si>
    <t>2022-04-11 04:08:42 UTC</t>
  </si>
  <si>
    <t>2022-04-11 04:08:39 UTC</t>
  </si>
  <si>
    <t>2022-04-11 04:08:33 UTC</t>
  </si>
  <si>
    <t>6987385bd8555719efd04c7e25bfa0b1</t>
  </si>
  <si>
    <t>2022-04-11 04:08:20 UTC</t>
  </si>
  <si>
    <t>2022-04-11 04:08:08 UTC</t>
  </si>
  <si>
    <t>2022-04-11 04:08:06 UTC</t>
  </si>
  <si>
    <t>2022-04-11 04:08:03 UTC</t>
  </si>
  <si>
    <t>2022-04-11 04:07:59 UTC</t>
  </si>
  <si>
    <t>2022-04-11 04:07:51 UTC</t>
  </si>
  <si>
    <t>2022-04-11 04:07:12 UTC</t>
  </si>
  <si>
    <t>2022-04-11 04:06:48 UTC</t>
  </si>
  <si>
    <t>2022-04-11 04:06:43 UTC</t>
  </si>
  <si>
    <t>2022-04-11 04:06:18 UTC</t>
  </si>
  <si>
    <t>2022-04-11 04:05:39 UTC</t>
  </si>
  <si>
    <t>2022-04-11 04:05:33 UTC</t>
  </si>
  <si>
    <t>2022-04-11 04:05:27 UTC</t>
  </si>
  <si>
    <t>2022-04-11 04:05:18 UTC</t>
  </si>
  <si>
    <t>2022-04-11 04:00:31 UTC</t>
  </si>
  <si>
    <t>2022-04-11 04:00:16 UTC</t>
  </si>
  <si>
    <t>2022-04-11 03:59:35 UTC</t>
  </si>
  <si>
    <t>e91e907775c027326d94c6511019841c</t>
  </si>
  <si>
    <t>2022-04-11 03:59:15 UTC</t>
  </si>
  <si>
    <t>2022-04-11 03:58:55 UTC</t>
  </si>
  <si>
    <t>2022-04-11 03:56:54 UTC</t>
  </si>
  <si>
    <t>6c1569c5c4d9ad84e149478dffe3e142</t>
  </si>
  <si>
    <t>2022-04-11 03:56:07 UTC</t>
  </si>
  <si>
    <t>2022-04-11 03:56:05 UTC</t>
  </si>
  <si>
    <t>2022-04-11 03:56:00 UTC</t>
  </si>
  <si>
    <t>2022-04-11 03:55:43 UTC</t>
  </si>
  <si>
    <t>2022-04-11 03:54:51 UTC</t>
  </si>
  <si>
    <t>2022-04-11 03:54:49 UTC</t>
  </si>
  <si>
    <t>2022-04-11 03:54:30 UTC</t>
  </si>
  <si>
    <t>2022-04-11 03:54:23 UTC</t>
  </si>
  <si>
    <t>2022-04-11 03:50:09 UTC</t>
  </si>
  <si>
    <t>2022-04-11 03:50:05 UTC</t>
  </si>
  <si>
    <t>2022-04-11 03:49:59 UTC</t>
  </si>
  <si>
    <t>2022-04-11 03:49:16 UTC</t>
  </si>
  <si>
    <t>2022-04-11 03:46:17 UTC</t>
  </si>
  <si>
    <t>8621f3a24eff74415ec5ef6a6e71fbba</t>
  </si>
  <si>
    <t>2022-04-11 03:46:04 UTC</t>
  </si>
  <si>
    <t>2022-04-11 03:46:03 UTC</t>
  </si>
  <si>
    <t>2022-04-11 03:46:00 UTC</t>
  </si>
  <si>
    <t>2022-04-11 03:45:58 UTC</t>
  </si>
  <si>
    <t>2022-04-11 03:45:46 UTC</t>
  </si>
  <si>
    <t>2022-04-11 03:44:59 UTC</t>
  </si>
  <si>
    <t>726964bde0702ff63d63f5ffabe92eb9</t>
  </si>
  <si>
    <t>2022-04-11 03:41:25 UTC</t>
  </si>
  <si>
    <t>2022-04-11 03:41:23 UTC</t>
  </si>
  <si>
    <t>2022-04-11 03:39:47 UTC</t>
  </si>
  <si>
    <t>ce66461cb2e594cf47d4d221841a7003</t>
  </si>
  <si>
    <t>2022-04-11 03:38:39 UTC</t>
  </si>
  <si>
    <t>659ae2bbb3bcc8479486cb9599e9a56e</t>
  </si>
  <si>
    <t>2022-04-11 03:38:23 UTC</t>
  </si>
  <si>
    <t>750bead2a7737bef476a02665bd0df66</t>
  </si>
  <si>
    <t>2022-04-11 03:37:31 UTC</t>
  </si>
  <si>
    <t>2022-04-11 03:37:25 UTC</t>
  </si>
  <si>
    <t>2022-04-11 03:37:23 UTC</t>
  </si>
  <si>
    <t>2022-04-11 03:37:22 UTC</t>
  </si>
  <si>
    <t>2022-04-11 03:37:21 UTC</t>
  </si>
  <si>
    <t>2022-04-11 03:37:12 UTC</t>
  </si>
  <si>
    <t>2022-04-11 03:37:04 UTC</t>
  </si>
  <si>
    <t>2022-04-11 03:36:03 UTC</t>
  </si>
  <si>
    <t>2022-04-11 03:33:38 UTC</t>
  </si>
  <si>
    <t>2022-04-11 03:33:35 UTC</t>
  </si>
  <si>
    <t>e465671df21299d0b7bf65910246c53f</t>
  </si>
  <si>
    <t>2022-04-11 03:33:11 UTC</t>
  </si>
  <si>
    <t>2022-04-11 03:33:06 UTC</t>
  </si>
  <si>
    <t>2022-04-11 03:33:04 UTC</t>
  </si>
  <si>
    <t>2022-04-11 03:33:02 UTC</t>
  </si>
  <si>
    <t>2022-04-11 03:32:57 UTC</t>
  </si>
  <si>
    <t>2022-04-11 03:32:33 UTC</t>
  </si>
  <si>
    <t>2022-04-11 03:32:32 UTC</t>
  </si>
  <si>
    <t>2022-04-11 03:32:26 UTC</t>
  </si>
  <si>
    <t>2022-04-11 03:32:24 UTC</t>
  </si>
  <si>
    <t>2022-04-11 03:32:20 UTC</t>
  </si>
  <si>
    <t>45e818cfab75190f79533130060e3f32</t>
  </si>
  <si>
    <t>2022-04-11 03:31:57 UTC</t>
  </si>
  <si>
    <t>2022-04-11 03:30:44 UTC</t>
  </si>
  <si>
    <t>2022-04-11 03:28:50 UTC</t>
  </si>
  <si>
    <t>2022-04-11 03:28:34 UTC</t>
  </si>
  <si>
    <t>2022-04-11 03:27:31 UTC</t>
  </si>
  <si>
    <t>2022-04-11 03:27:24 UTC</t>
  </si>
  <si>
    <t>2022-04-11 03:27:23 UTC</t>
  </si>
  <si>
    <t>2022-04-11 03:27:21 UTC</t>
  </si>
  <si>
    <t>2022-04-11 03:27:14 UTC</t>
  </si>
  <si>
    <t>2022-04-11 03:23:40 UTC</t>
  </si>
  <si>
    <t>c024128a3337fb8366bc8e6ad9ffe4be</t>
  </si>
  <si>
    <t>2022-04-11 03:23:38 UTC</t>
  </si>
  <si>
    <t>2022-04-11 03:22:43 UTC</t>
  </si>
  <si>
    <t>2022-04-11 03:22:41 UTC</t>
  </si>
  <si>
    <t>2022-04-11 03:22:39 UTC</t>
  </si>
  <si>
    <t>2022-04-11 03:22:37 UTC</t>
  </si>
  <si>
    <t>2022-04-11 03:22:18 UTC</t>
  </si>
  <si>
    <t>2022-04-11 03:22:16 UTC</t>
  </si>
  <si>
    <t>2022-04-11 03:21:28 UTC</t>
  </si>
  <si>
    <t>2022-04-11 03:21:26 UTC</t>
  </si>
  <si>
    <t>2022-04-11 03:21:17 UTC</t>
  </si>
  <si>
    <t>2022-04-11 03:21:15 UTC</t>
  </si>
  <si>
    <t>2022-04-11 03:20:20 UTC</t>
  </si>
  <si>
    <t>2022-04-11 03:20:06 UTC</t>
  </si>
  <si>
    <t>2022-04-11 03:18:44 UTC</t>
  </si>
  <si>
    <t>60c45d5d66116f2def35dbe0afefa08d</t>
  </si>
  <si>
    <t>2022-04-11 03:18:13 UTC</t>
  </si>
  <si>
    <t>2022-04-11 03:01:54 UTC</t>
  </si>
  <si>
    <t>e1198024911ca9b7f37b84bb34ff5b6c</t>
  </si>
  <si>
    <t>2022-04-11 03:01:38 UTC</t>
  </si>
  <si>
    <t>2022-04-11 02:55:23 UTC</t>
  </si>
  <si>
    <t>232a68e0bbf045a1d52c38e84e6be968</t>
  </si>
  <si>
    <t>2022-04-11 02:54:45 UTC</t>
  </si>
  <si>
    <t>2022-04-11 02:54:10 UTC</t>
  </si>
  <si>
    <t>2022-04-11 02:53:39 UTC</t>
  </si>
  <si>
    <t>2022-04-11 02:48:43 UTC</t>
  </si>
  <si>
    <t>2022-04-11 02:48:38 UTC</t>
  </si>
  <si>
    <t>99bea8bcdbe612e582c8c434ae1ad613</t>
  </si>
  <si>
    <t>2022-04-11 02:45:24 UTC</t>
  </si>
  <si>
    <t>2022-04-11 02:45:22 UTC</t>
  </si>
  <si>
    <t>2022-04-11 02:45:12 UTC</t>
  </si>
  <si>
    <t>2022-04-11 02:45:09 UTC</t>
  </si>
  <si>
    <t>e68ed4ed233aae53a98270a123a9393c</t>
  </si>
  <si>
    <t>2022-04-11 02:45:07 UTC</t>
  </si>
  <si>
    <t>2022-04-11 02:45:02 UTC</t>
  </si>
  <si>
    <t>2022-04-11 02:44:44 UTC</t>
  </si>
  <si>
    <t>2022-04-11 02:44:29 UTC</t>
  </si>
  <si>
    <t>490e8e204934372a1679a99ee00136b4</t>
  </si>
  <si>
    <t>2022-04-11 02:43:12 UTC</t>
  </si>
  <si>
    <t>2022-04-11 02:43:10 UTC</t>
  </si>
  <si>
    <t>61705b2438752c4b417a7eea0fc15508</t>
  </si>
  <si>
    <t>2022-04-11 02:43:08 UTC</t>
  </si>
  <si>
    <t>2022-04-11 02:42:49 UTC</t>
  </si>
  <si>
    <t>2022-04-11 02:42:44 UTC</t>
  </si>
  <si>
    <t>2022-04-11 02:42:33 UTC</t>
  </si>
  <si>
    <t>2022-04-11 02:41:31 UTC</t>
  </si>
  <si>
    <t>2022-04-11 02:41:13 UTC</t>
  </si>
  <si>
    <t>c5a77c2643f88acd794b6aee9835880d</t>
  </si>
  <si>
    <t>2022-04-11 02:40:29 UTC</t>
  </si>
  <si>
    <t>2022-04-11 02:40:27 UTC</t>
  </si>
  <si>
    <t>2022-04-11 02:40:22 UTC</t>
  </si>
  <si>
    <t>2022-04-11 02:40:15 UTC</t>
  </si>
  <si>
    <t>17c92ce377d146906ddee78ab23c1480</t>
  </si>
  <si>
    <t>2022-04-11 02:40:11 UTC</t>
  </si>
  <si>
    <t>69668a08af1a08c9223f675d4e5991c8</t>
  </si>
  <si>
    <t>2022-04-11 02:40:06 UTC</t>
  </si>
  <si>
    <t>2022-04-11 02:23:01 UTC</t>
  </si>
  <si>
    <t>2022-04-11 02:22:59 UTC</t>
  </si>
  <si>
    <t>2022-04-11 02:22:57 UTC</t>
  </si>
  <si>
    <t>2022-04-11 02:22:50 UTC</t>
  </si>
  <si>
    <t>2022-04-11 02:20:50 UTC</t>
  </si>
  <si>
    <t>2022-04-11 02:20:00 UTC</t>
  </si>
  <si>
    <t>e5ede6da606cef3e0aeb0a14aeecc7b2</t>
  </si>
  <si>
    <t>2022-04-11 02:18:27 UTC</t>
  </si>
  <si>
    <t>82bfa55972cb221f95da60070fc4eb55</t>
  </si>
  <si>
    <t>2022-04-11 02:16:47 UTC</t>
  </si>
  <si>
    <t>2022-04-11 02:11:28 UTC</t>
  </si>
  <si>
    <t>2022-04-11 02:08:15 UTC</t>
  </si>
  <si>
    <t>2022-04-11 02:08:03 UTC</t>
  </si>
  <si>
    <t>2022-04-11 02:06:44 UTC</t>
  </si>
  <si>
    <t>2022-04-11 02:06:39 UTC</t>
  </si>
  <si>
    <t>2022-04-11 02:06:35 UTC</t>
  </si>
  <si>
    <t>2022-04-11 01:52:35 UTC</t>
  </si>
  <si>
    <t>2022-04-11 01:50:46 UTC</t>
  </si>
  <si>
    <t>2022-04-11 01:22:02 UTC</t>
  </si>
  <si>
    <t>2022-04-11 01:21:06 UTC</t>
  </si>
  <si>
    <t>2022-04-11 01:13:50 UTC</t>
  </si>
  <si>
    <t>2022-04-11 01:13:43 UTC</t>
  </si>
  <si>
    <t>2022-04-11 01:11:44 UTC</t>
  </si>
  <si>
    <t>75ba54a8cf5a76f81901515b17b15b87</t>
  </si>
  <si>
    <t>2022-04-11 01:11:33 UTC</t>
  </si>
  <si>
    <t>2022-04-11 01:10:17 UTC</t>
  </si>
  <si>
    <t>2022-04-11 01:09:57 UTC</t>
  </si>
  <si>
    <t>2022-04-11 00:49:22 UTC</t>
  </si>
  <si>
    <t>2022-04-11 00:49:20 UTC</t>
  </si>
  <si>
    <t>2022-04-11 00:49:11 UTC</t>
  </si>
  <si>
    <t>2022-04-11 00:47:50 UTC</t>
  </si>
  <si>
    <t>2022-04-11 00:39:54 UTC</t>
  </si>
  <si>
    <t>47cd2fedd54192a0ed91c11186bdc1d1</t>
  </si>
  <si>
    <t>2022-04-11 00:39:52 UTC</t>
  </si>
  <si>
    <t>2022-04-11 00:39:48 UTC</t>
  </si>
  <si>
    <t>2022-04-11 00:39:34 UTC</t>
  </si>
  <si>
    <t>2022-04-11 00:35:04 UTC</t>
  </si>
  <si>
    <t>2022-04-11 00:33:32 UTC</t>
  </si>
  <si>
    <t>2022-04-11 00:32:06 UTC</t>
  </si>
  <si>
    <t>2022-04-11 00:32:04 UTC</t>
  </si>
  <si>
    <t>23136150735ca1308dc7e75b11ebaf86</t>
  </si>
  <si>
    <t>2022-04-11 00:32:01 UTC</t>
  </si>
  <si>
    <t>2022-04-11 00:28:38 UTC</t>
  </si>
  <si>
    <t>2022-04-11 00:24:06 UTC</t>
  </si>
  <si>
    <t>2022-04-11 00:14:01 UTC</t>
  </si>
  <si>
    <t>2022-04-11 00:13:59 UTC</t>
  </si>
  <si>
    <t>2022-04-11 00:12:31 UTC</t>
  </si>
  <si>
    <t>2022-04-11 00:12:26 UTC</t>
  </si>
  <si>
    <t>2022-04-11 00:12:06 UTC</t>
  </si>
  <si>
    <t>2022-04-11 00:08:35 UTC</t>
  </si>
  <si>
    <t>2022-04-10 23:26:56 UTC</t>
  </si>
  <si>
    <t>2022-04-10 23:26:54 UTC</t>
  </si>
  <si>
    <t>2022-04-10 23:26:13 UTC</t>
  </si>
  <si>
    <t>bf1dc0fa0d53cfd78ce867affc08a082</t>
  </si>
  <si>
    <t>2022-04-10 23:26:09 UTC</t>
  </si>
  <si>
    <t>2022-04-10 23:26:01 UTC</t>
  </si>
  <si>
    <t>2022-04-10 23:25:35 UTC</t>
  </si>
  <si>
    <t>2022-04-10 23:25:05 UTC</t>
  </si>
  <si>
    <t>2022-04-10 23:24:48 UTC</t>
  </si>
  <si>
    <t>2022-04-10 23:24:44 UTC</t>
  </si>
  <si>
    <t>2022-04-10 23:24:12 UTC</t>
  </si>
  <si>
    <t>2022-04-10 23:23:56 UTC</t>
  </si>
  <si>
    <t>2022-04-10 23:12:05 UTC</t>
  </si>
  <si>
    <t>2022-04-10 23:12:02 UTC</t>
  </si>
  <si>
    <t>2022-04-10 21:21:27 UTC</t>
  </si>
  <si>
    <t>2022-04-10 20:53:49 UTC</t>
  </si>
  <si>
    <t>1152c3084f6c28f1379824cd17410449</t>
  </si>
  <si>
    <t>2022-04-10 19:56:25 UTC</t>
  </si>
  <si>
    <t>2022-04-10 19:27:10 UTC</t>
  </si>
  <si>
    <t>fa4fc0f1fe50b22dc93f44de618e0682</t>
  </si>
  <si>
    <t>2022-04-10 19:15:31 UTC</t>
  </si>
  <si>
    <t>9403fb89462dcf250b6c22f9838472fb</t>
  </si>
  <si>
    <t>2022-04-10 19:15:03 UTC</t>
  </si>
  <si>
    <t>2022-04-10 19:13:19 UTC</t>
  </si>
  <si>
    <t>2022-04-10 19:13:12 UTC</t>
  </si>
  <si>
    <t>2022-04-10 18:52:36 UTC</t>
  </si>
  <si>
    <t>2022-04-10 18:52:33 UTC</t>
  </si>
  <si>
    <t>2022-04-10 18:52:31 UTC</t>
  </si>
  <si>
    <t>2022-04-10 18:22:28 UTC</t>
  </si>
  <si>
    <t>2022-04-10 18:22:17 UTC</t>
  </si>
  <si>
    <t>68e2ca296db0edf33e86825d40e5fc72</t>
  </si>
  <si>
    <t>2022-04-10 18:18:29 UTC</t>
  </si>
  <si>
    <t>2022-04-10 18:14:32 UTC</t>
  </si>
  <si>
    <t>6f9aa452580c17d8d915887241af0b66</t>
  </si>
  <si>
    <t>2022-04-10 18:09:34 UTC</t>
  </si>
  <si>
    <t>d7d25f950c10cd1e1fe6607422a30bfe</t>
  </si>
  <si>
    <t>2022-04-10 18:07:17 UTC</t>
  </si>
  <si>
    <t>2022-04-10 18:07:14 UTC</t>
  </si>
  <si>
    <t>2022-04-10 18:07:12 UTC</t>
  </si>
  <si>
    <t>2022-04-10 18:07:10 UTC</t>
  </si>
  <si>
    <t>2022-04-10 18:07:04 UTC</t>
  </si>
  <si>
    <t>2022-04-10 18:07:01 UTC</t>
  </si>
  <si>
    <t>2022-04-10 18:06:54 UTC</t>
  </si>
  <si>
    <t>2022-04-10 18:06:49 UTC</t>
  </si>
  <si>
    <t>2022-04-10 18:03:38 UTC</t>
  </si>
  <si>
    <t>2022-04-10 18:03:22 UTC</t>
  </si>
  <si>
    <t>2022-04-10 17:56:57 UTC</t>
  </si>
  <si>
    <t>2022-04-10 17:56:07 UTC</t>
  </si>
  <si>
    <t>2022-04-10 17:56:05 UTC</t>
  </si>
  <si>
    <t>2022-04-10 17:56:01 UTC</t>
  </si>
  <si>
    <t>2022-04-10 17:55:59 UTC</t>
  </si>
  <si>
    <t>2022-04-10 17:54:18 UTC</t>
  </si>
  <si>
    <t>2022-04-10 17:54:16 UTC</t>
  </si>
  <si>
    <t>2022-04-10 17:38:02 UTC</t>
  </si>
  <si>
    <t>2022-04-10 17:37:53 UTC</t>
  </si>
  <si>
    <t>855c3d0a502b8cc4b02d29e4f2bea9a2</t>
  </si>
  <si>
    <t>2022-04-10 17:21:56 UTC</t>
  </si>
  <si>
    <t>63cda5122665393a420e480d83ccac59</t>
  </si>
  <si>
    <t>2022-04-10 17:17:15 UTC</t>
  </si>
  <si>
    <t>2022-04-10 17:16:44 UTC</t>
  </si>
  <si>
    <t>2be6288b47723b7fafc9fe27a6cd92ba</t>
  </si>
  <si>
    <t>2022-04-10 17:15:35 UTC</t>
  </si>
  <si>
    <t>ef289781f2222c5e0947dc3537dff1b3</t>
  </si>
  <si>
    <t>2022-04-10 17:12:39 UTC</t>
  </si>
  <si>
    <t>2022-04-10 17:01:45 UTC</t>
  </si>
  <si>
    <t>722bf6af2110f5facfa46a9891e25183</t>
  </si>
  <si>
    <t>2022-04-10 16:55:07 UTC</t>
  </si>
  <si>
    <t>2022-04-10 16:47:46 UTC</t>
  </si>
  <si>
    <t>f1b0d0f443b0581c307fa502281713ea</t>
  </si>
  <si>
    <t>2022-04-10 16:45:47 UTC</t>
  </si>
  <si>
    <t>da9a77c7b2ae859d8028601f2df7ca1f</t>
  </si>
  <si>
    <t>2022-04-10 16:35:46 UTC</t>
  </si>
  <si>
    <t>f8bea0032addbf7355f21b64ae85fae0</t>
  </si>
  <si>
    <t>2022-04-10 16:34:29 UTC</t>
  </si>
  <si>
    <t>bb4ede9cbfbc532a4ef5404e440291ba</t>
  </si>
  <si>
    <t>2022-04-10 16:34:01 UTC</t>
  </si>
  <si>
    <t>2022-04-10 16:29:39 UTC</t>
  </si>
  <si>
    <t>2022-04-10 16:29:15 UTC</t>
  </si>
  <si>
    <t>b2bfc5ec36a42e32f49f60d94fb95164</t>
  </si>
  <si>
    <t>2022-04-10 16:24:53 UTC</t>
  </si>
  <si>
    <t>2022-04-10 16:22:44 UTC</t>
  </si>
  <si>
    <t>2022-04-10 16:22:41 UTC</t>
  </si>
  <si>
    <t>31414327b2947606641949e79813e986</t>
  </si>
  <si>
    <t>2022-04-10 16:18:58 UTC</t>
  </si>
  <si>
    <t>7bc97ca9ddc73c259025f3b233b766c5</t>
  </si>
  <si>
    <t>2022-04-10 16:11:33 UTC</t>
  </si>
  <si>
    <t>2022-04-10 16:11:31 UTC</t>
  </si>
  <si>
    <t>2022-04-10 16:06:05 UTC</t>
  </si>
  <si>
    <t>ef3dbc725a9cd85d055d5ec8f84685cd</t>
  </si>
  <si>
    <t>2022-04-10 16:03:16 UTC</t>
  </si>
  <si>
    <t>e1cefcd1da6849d5bf8157496fa6be74</t>
  </si>
  <si>
    <t>2022-04-10 16:01:58 UTC</t>
  </si>
  <si>
    <t>2022-04-10 16:00:49 UTC</t>
  </si>
  <si>
    <t>2022-04-10 16:00:47 UTC</t>
  </si>
  <si>
    <t>2022-04-10 16:00:42 UTC</t>
  </si>
  <si>
    <t>2022-04-10 16:00:40 UTC</t>
  </si>
  <si>
    <t>5381708a7737310fc3ee1146594d90b7</t>
  </si>
  <si>
    <t>2022-04-10 16:00:32 UTC</t>
  </si>
  <si>
    <t>2022-04-10 15:58:54 UTC</t>
  </si>
  <si>
    <t>2022-04-10 15:58:32 UTC</t>
  </si>
  <si>
    <t>62ff45297bf4fe3d04d764d79892f2a2</t>
  </si>
  <si>
    <t>2022-04-10 15:54:47 UTC</t>
  </si>
  <si>
    <t>2022-04-10 15:54:39 UTC</t>
  </si>
  <si>
    <t>0162c89fa4be4b785fd6c0619d7929e1</t>
  </si>
  <si>
    <t>2022-04-10 15:52:10 UTC</t>
  </si>
  <si>
    <t>a52f053a1d46de7295d09930fcaa381d</t>
  </si>
  <si>
    <t>2022-04-10 15:52:04 UTC</t>
  </si>
  <si>
    <t>d0260141abdebc3e8fafc5a247616313</t>
  </si>
  <si>
    <t>2022-04-10 15:50:56 UTC</t>
  </si>
  <si>
    <t>2022-04-10 15:50:37 UTC</t>
  </si>
  <si>
    <t>2022-04-10 15:50:02 UTC</t>
  </si>
  <si>
    <t>2022-04-10 15:44:15 UTC</t>
  </si>
  <si>
    <t>985b31dd38a251411b784eab33c30273</t>
  </si>
  <si>
    <t>2022-04-10 15:40:46 UTC</t>
  </si>
  <si>
    <t>2022-04-10 15:39:18 UTC</t>
  </si>
  <si>
    <t>2022-04-10 15:31:09 UTC</t>
  </si>
  <si>
    <t>2022-04-10 15:31:05 UTC</t>
  </si>
  <si>
    <t>2022-04-10 15:31:04 UTC</t>
  </si>
  <si>
    <t>2022-04-10 15:31:02 UTC</t>
  </si>
  <si>
    <t>2022-04-10 15:31:01 UTC</t>
  </si>
  <si>
    <t>2022-04-10 15:31:00 UTC</t>
  </si>
  <si>
    <t>2022-04-10 15:30:58 UTC</t>
  </si>
  <si>
    <t>2022-04-10 15:30:56 UTC</t>
  </si>
  <si>
    <t>2022-04-10 15:30:53 UTC</t>
  </si>
  <si>
    <t>2022-04-10 15:30:13 UTC</t>
  </si>
  <si>
    <t>2022-04-10 15:30:11 UTC</t>
  </si>
  <si>
    <t>2022-04-10 15:30:03 UTC</t>
  </si>
  <si>
    <t>295764f655eb619babc3d131ea3eba84</t>
  </si>
  <si>
    <t>2022-04-10 15:29:36 UTC</t>
  </si>
  <si>
    <t>2022-04-10 15:25:36 UTC</t>
  </si>
  <si>
    <t>16920ed15fec7d12848cd6373618b099</t>
  </si>
  <si>
    <t>2022-04-10 15:25:06 UTC</t>
  </si>
  <si>
    <t>2022-04-10 15:25:03 UTC</t>
  </si>
  <si>
    <t>2022-04-10 15:23:32 UTC</t>
  </si>
  <si>
    <t>2022-04-10 15:18:22 UTC</t>
  </si>
  <si>
    <t>56546829ab7b920119ad062f4244a5b6</t>
  </si>
  <si>
    <t>2022-04-10 15:14:52 UTC</t>
  </si>
  <si>
    <t>56025ac3f2b3b5856956aba3d42c74dc</t>
  </si>
  <si>
    <t>2022-04-10 15:14:19 UTC</t>
  </si>
  <si>
    <t>2022-04-10 15:13:36 UTC</t>
  </si>
  <si>
    <t>2022-04-10 15:13:21 UTC</t>
  </si>
  <si>
    <t>b0fa911e2bfad31058796f2488b191db</t>
  </si>
  <si>
    <t>2022-04-10 15:13:16 UTC</t>
  </si>
  <si>
    <t>2022-04-10 15:13:13 UTC</t>
  </si>
  <si>
    <t>2022-04-10 15:13:01 UTC</t>
  </si>
  <si>
    <t>d5509eeaaf7f8a06ac0e915ffeba762f</t>
  </si>
  <si>
    <t>2022-04-10 15:11:33 UTC</t>
  </si>
  <si>
    <t>41669c7642d645938868bb2f820c09dc</t>
  </si>
  <si>
    <t>2022-04-10 14:59:57 UTC</t>
  </si>
  <si>
    <t>49c0169d30ef91fcb665f840de37b14b</t>
  </si>
  <si>
    <t>2022-04-10 14:53:10 UTC</t>
  </si>
  <si>
    <t>212b1837f138626550a07fbc9264be86</t>
  </si>
  <si>
    <t>2022-04-10 14:52:48 UTC</t>
  </si>
  <si>
    <t>2022-04-10 14:50:14 UTC</t>
  </si>
  <si>
    <t>2022-04-10 14:48:53 UTC</t>
  </si>
  <si>
    <t>2022-04-10 14:48:35 UTC</t>
  </si>
  <si>
    <t>2022-04-10 14:43:52 UTC</t>
  </si>
  <si>
    <t>2022-04-10 14:42:38 UTC</t>
  </si>
  <si>
    <t>2b07b067439be9480b97f0bc79226daf</t>
  </si>
  <si>
    <t>2022-04-10 14:39:45 UTC</t>
  </si>
  <si>
    <t>2022-04-10 14:39:43 UTC</t>
  </si>
  <si>
    <t>ddceb4bac6ec54a82b1caeb999cbd854</t>
  </si>
  <si>
    <t>2022-04-10 14:39:35 UTC</t>
  </si>
  <si>
    <t>2022-04-10 14:38:40 UTC</t>
  </si>
  <si>
    <t>2022-04-10 14:38:36 UTC</t>
  </si>
  <si>
    <t>2022-04-10 14:38:25 UTC</t>
  </si>
  <si>
    <t>2022-04-10 14:38:15 UTC</t>
  </si>
  <si>
    <t>2022-04-10 14:37:13 UTC</t>
  </si>
  <si>
    <t>2022-04-10 14:34:53 UTC</t>
  </si>
  <si>
    <t>2022-04-10 14:34:44 UTC</t>
  </si>
  <si>
    <t>459a60a0f7f960174a192930626f144c</t>
  </si>
  <si>
    <t>2022-04-10 14:33:40 UTC</t>
  </si>
  <si>
    <t>078c09340fcccdf93379f1714bdc0be6</t>
  </si>
  <si>
    <t>2022-04-10 14:28:40 UTC</t>
  </si>
  <si>
    <t>2022-04-10 14:28:38 UTC</t>
  </si>
  <si>
    <t>2022-04-10 14:28:16 UTC</t>
  </si>
  <si>
    <t>2022-04-10 14:27:35 UTC</t>
  </si>
  <si>
    <t>34672700f7d8104fe2d1af1a842c04bf</t>
  </si>
  <si>
    <t>2022-04-10 14:26:50 UTC</t>
  </si>
  <si>
    <t>2022-04-10 14:26:40 UTC</t>
  </si>
  <si>
    <t>2022-04-10 14:26:37 UTC</t>
  </si>
  <si>
    <t>2022-04-10 14:26:27 UTC</t>
  </si>
  <si>
    <t>2022-04-10 14:23:30 UTC</t>
  </si>
  <si>
    <t>87dd9f8dca2fe4ddd11960c4ed87c3b3</t>
  </si>
  <si>
    <t>2022-04-10 14:23:25 UTC</t>
  </si>
  <si>
    <t>2022-04-10 14:23:07 UTC</t>
  </si>
  <si>
    <t>2022-04-10 14:22:59 UTC</t>
  </si>
  <si>
    <t>2022-04-10 14:22:47 UTC</t>
  </si>
  <si>
    <t>2022-04-10 14:22:41 UTC</t>
  </si>
  <si>
    <t>416809cb01107a24d7af259cf1ac4231</t>
  </si>
  <si>
    <t>2022-04-10 14:22:37 UTC</t>
  </si>
  <si>
    <t>2022-04-10 14:22:33 UTC</t>
  </si>
  <si>
    <t>2022-04-10 14:22:28 UTC</t>
  </si>
  <si>
    <t>5348a29e66ad7ad1751f298fe67aad2c</t>
  </si>
  <si>
    <t>2022-04-10 14:22:24 UTC</t>
  </si>
  <si>
    <t>2022-04-10 14:22:12 UTC</t>
  </si>
  <si>
    <t>2022-04-10 14:22:06 UTC</t>
  </si>
  <si>
    <t>2022-04-10 14:21:59 UTC</t>
  </si>
  <si>
    <t>2022-04-10 14:21:52 UTC</t>
  </si>
  <si>
    <t>c48a7fd09e2ba885257cd35978a0a7fe</t>
  </si>
  <si>
    <t>2022-04-10 14:21:48 UTC</t>
  </si>
  <si>
    <t>2022-04-10 14:21:43 UTC</t>
  </si>
  <si>
    <t>2022-04-10 14:21:11 UTC</t>
  </si>
  <si>
    <t>2022-04-10 14:21:06 UTC</t>
  </si>
  <si>
    <t>2022-04-10 14:21:02 UTC</t>
  </si>
  <si>
    <t>2022-04-10 14:20:58 UTC</t>
  </si>
  <si>
    <t>2022-04-10 14:20:55 UTC</t>
  </si>
  <si>
    <t>2022-04-10 14:20:53 UTC</t>
  </si>
  <si>
    <t>2022-04-10 14:20:33 UTC</t>
  </si>
  <si>
    <t>2022-04-10 14:17:14 UTC</t>
  </si>
  <si>
    <t>2022-04-10 14:17:04 UTC</t>
  </si>
  <si>
    <t>2022-04-10 14:16:34 UTC</t>
  </si>
  <si>
    <t>2022-04-10 14:16:32 UTC</t>
  </si>
  <si>
    <t>2022-04-10 14:16:30 UTC</t>
  </si>
  <si>
    <t>1ca64d7f470789d744ee53bab65764cc</t>
  </si>
  <si>
    <t>2022-04-10 14:16:29 UTC</t>
  </si>
  <si>
    <t>2022-04-10 14:16:28 UTC</t>
  </si>
  <si>
    <t>2022-04-10 14:16:27 UTC</t>
  </si>
  <si>
    <t>2022-04-10 14:16:25 UTC</t>
  </si>
  <si>
    <t>2022-04-10 14:16:24 UTC</t>
  </si>
  <si>
    <t>2022-04-10 14:16:23 UTC</t>
  </si>
  <si>
    <t>2022-04-10 14:16:22 UTC</t>
  </si>
  <si>
    <t>2022-04-10 14:16:21 UTC</t>
  </si>
  <si>
    <t>2022-04-10 14:16:18 UTC</t>
  </si>
  <si>
    <t>2022-04-10 14:16:17 UTC</t>
  </si>
  <si>
    <t>2022-04-10 14:16:15 UTC</t>
  </si>
  <si>
    <t>2022-04-10 14:16:14 UTC</t>
  </si>
  <si>
    <t>2022-04-10 14:16:12 UTC</t>
  </si>
  <si>
    <t>2022-04-10 14:16:10 UTC</t>
  </si>
  <si>
    <t>2022-04-10 14:16:09 UTC</t>
  </si>
  <si>
    <t>2022-04-10 14:16:07 UTC</t>
  </si>
  <si>
    <t>2022-04-10 14:16:04 UTC</t>
  </si>
  <si>
    <t>2022-04-10 14:16:00 UTC</t>
  </si>
  <si>
    <t>2022-04-10 14:15:58 UTC</t>
  </si>
  <si>
    <t>2022-04-10 14:15:56 UTC</t>
  </si>
  <si>
    <t>2022-04-10 14:15:54 UTC</t>
  </si>
  <si>
    <t>2022-04-10 14:15:49 UTC</t>
  </si>
  <si>
    <t>2022-04-10 14:15:46 UTC</t>
  </si>
  <si>
    <t>2022-04-10 14:15:44 UTC</t>
  </si>
  <si>
    <t>2022-04-10 14:14:38 UTC</t>
  </si>
  <si>
    <t>526a4c68a0ef06790c073266727e831e</t>
  </si>
  <si>
    <t>2022-04-10 14:14:02 UTC</t>
  </si>
  <si>
    <t>2022-04-10 14:14:00 UTC</t>
  </si>
  <si>
    <t>2022-04-10 14:13:58 UTC</t>
  </si>
  <si>
    <t>2022-04-10 14:13:56 UTC</t>
  </si>
  <si>
    <t>2022-04-10 14:13:43 UTC</t>
  </si>
  <si>
    <t>2022-04-10 14:13:36 UTC</t>
  </si>
  <si>
    <t>2022-04-10 14:13:34 UTC</t>
  </si>
  <si>
    <t>2022-04-10 14:13:32 UTC</t>
  </si>
  <si>
    <t>2022-04-10 14:13:28 UTC</t>
  </si>
  <si>
    <t>2022-04-10 14:13:26 UTC</t>
  </si>
  <si>
    <t>2022-04-10 14:13:07 UTC</t>
  </si>
  <si>
    <t>2022-04-10 14:13:05 UTC</t>
  </si>
  <si>
    <t>974f70ab7b6f54ba97fc513cdeb8a157</t>
  </si>
  <si>
    <t>2022-04-10 14:13:02 UTC</t>
  </si>
  <si>
    <t>2022-04-10 14:12:54 UTC</t>
  </si>
  <si>
    <t>2022-04-10 14:12:40 UTC</t>
  </si>
  <si>
    <t>2022-04-10 14:08:35 UTC</t>
  </si>
  <si>
    <t>2022-04-10 14:07:29 UTC</t>
  </si>
  <si>
    <t>21aa48a1286e874d7f6e7a5db95a7882</t>
  </si>
  <si>
    <t>2022-04-10 14:06:21 UTC</t>
  </si>
  <si>
    <t>2022-04-10 14:06:18 UTC</t>
  </si>
  <si>
    <t>2022-04-10 14:04:23 UTC</t>
  </si>
  <si>
    <t>4771812e98a730cee6e15fe7aa28dc78</t>
  </si>
  <si>
    <t>2022-04-10 14:02:54 UTC</t>
  </si>
  <si>
    <t>2022-04-10 14:02:48 UTC</t>
  </si>
  <si>
    <t>2022-04-10 14:02:27 UTC</t>
  </si>
  <si>
    <t>2022-04-10 14:02:22 UTC</t>
  </si>
  <si>
    <t>2022-04-10 14:01:39 UTC</t>
  </si>
  <si>
    <t>2022-04-10 14:01:30 UTC</t>
  </si>
  <si>
    <t>2022-04-10 14:01:22 UTC</t>
  </si>
  <si>
    <t>2022-04-10 14:01:20 UTC</t>
  </si>
  <si>
    <t>2022-04-10 14:00:55 UTC</t>
  </si>
  <si>
    <t>2022-04-10 13:59:28 UTC</t>
  </si>
  <si>
    <t>2022-04-10 13:58:57 UTC</t>
  </si>
  <si>
    <t>2022-04-10 13:58:38 UTC</t>
  </si>
  <si>
    <t>2022-04-10 13:57:58 UTC</t>
  </si>
  <si>
    <t>bc5813dc3cf7cf91074932db459cd2a4</t>
  </si>
  <si>
    <t>2022-04-10 13:57:53 UTC</t>
  </si>
  <si>
    <t>2022-04-10 13:57:50 UTC</t>
  </si>
  <si>
    <t>2022-04-10 13:57:49 UTC</t>
  </si>
  <si>
    <t>2022-04-10 13:57:48 UTC</t>
  </si>
  <si>
    <t>2022-04-10 13:57:47 UTC</t>
  </si>
  <si>
    <t>2022-04-10 13:57:46 UTC</t>
  </si>
  <si>
    <t>2022-04-10 13:57:45 UTC</t>
  </si>
  <si>
    <t>2022-04-10 13:57:44 UTC</t>
  </si>
  <si>
    <t>2022-04-10 13:57:42 UTC</t>
  </si>
  <si>
    <t>2022-04-10 13:57:41 UTC</t>
  </si>
  <si>
    <t>2022-04-10 13:57:39 UTC</t>
  </si>
  <si>
    <t>2022-04-10 13:57:37 UTC</t>
  </si>
  <si>
    <t>2022-04-10 13:57:36 UTC</t>
  </si>
  <si>
    <t>2022-04-10 13:57:34 UTC</t>
  </si>
  <si>
    <t>2022-04-10 13:57:29 UTC</t>
  </si>
  <si>
    <t>2022-04-10 13:57:27 UTC</t>
  </si>
  <si>
    <t>2022-04-10 13:57:26 UTC</t>
  </si>
  <si>
    <t>2022-04-10 13:57:17 UTC</t>
  </si>
  <si>
    <t>2022-04-10 13:57:02 UTC</t>
  </si>
  <si>
    <t>16c89cb3f2e5046055122316d7ffd0ad</t>
  </si>
  <si>
    <t>2022-04-10 13:56:47 UTC</t>
  </si>
  <si>
    <t>2022-04-10 13:56:43 UTC</t>
  </si>
  <si>
    <t>2022-04-10 13:56:25 UTC</t>
  </si>
  <si>
    <t>2022-04-10 13:56:17 UTC</t>
  </si>
  <si>
    <t>2022-04-10 13:56:13 UTC</t>
  </si>
  <si>
    <t>2022-04-10 13:56:08 UTC</t>
  </si>
  <si>
    <t>2022-04-10 13:55:57 UTC</t>
  </si>
  <si>
    <t>2022-04-10 13:55:10 UTC</t>
  </si>
  <si>
    <t>2022-04-10 13:55:07 UTC</t>
  </si>
  <si>
    <t>2022-04-10 13:55:03 UTC</t>
  </si>
  <si>
    <t>2022-04-10 13:54:56 UTC</t>
  </si>
  <si>
    <t>2022-04-10 13:54:48 UTC</t>
  </si>
  <si>
    <t>2022-04-10 13:53:07 UTC</t>
  </si>
  <si>
    <t>2022-04-10 13:51:25 UTC</t>
  </si>
  <si>
    <t>2022-04-10 13:50:57 UTC</t>
  </si>
  <si>
    <t>bb7d415113d64950780f25e638d17dfb</t>
  </si>
  <si>
    <t>2022-04-10 13:48:46 UTC</t>
  </si>
  <si>
    <t>2022-04-10 13:42:02 UTC</t>
  </si>
  <si>
    <t>2022-04-10 13:41:14 UTC</t>
  </si>
  <si>
    <t>2022-04-10 13:41:02 UTC</t>
  </si>
  <si>
    <t>2022-04-10 13:39:21 UTC</t>
  </si>
  <si>
    <t>2022-04-10 13:39:17 UTC</t>
  </si>
  <si>
    <t>63b0c0c0e39797db661d7ecfe1aedf92</t>
  </si>
  <si>
    <t>2022-04-10 13:39:15 UTC</t>
  </si>
  <si>
    <t>2022-04-10 13:39:09 UTC</t>
  </si>
  <si>
    <t>ad032b2fe550fd3ee7085549c9d1c327</t>
  </si>
  <si>
    <t>2022-04-10 13:33:21 UTC</t>
  </si>
  <si>
    <t>8dbd887ff6551b15e850d0c37d9d4195</t>
  </si>
  <si>
    <t>2022-04-10 13:31:17 UTC</t>
  </si>
  <si>
    <t>2022-04-10 13:25:53 UTC</t>
  </si>
  <si>
    <t>b5cd7535f1f1c217c3615bd7233f7864</t>
  </si>
  <si>
    <t>2022-04-10 13:25:08 UTC</t>
  </si>
  <si>
    <t>4f02fc5da9c98d16d90972b4559c2d3a</t>
  </si>
  <si>
    <t>2022-04-10 13:24:46 UTC</t>
  </si>
  <si>
    <t>2022-04-10 13:24:35 UTC</t>
  </si>
  <si>
    <t>e6000c8bf31e8b596c78b948e04aa11f</t>
  </si>
  <si>
    <t>2022-04-10 13:23:58 UTC</t>
  </si>
  <si>
    <t>2022-04-10 13:23:56 UTC</t>
  </si>
  <si>
    <t>2022-04-10 13:23:50 UTC</t>
  </si>
  <si>
    <t>2022-04-10 13:22:07 UTC</t>
  </si>
  <si>
    <t>4337ebc5d2541b504fb269e232139e65</t>
  </si>
  <si>
    <t>2022-04-10 13:21:59 UTC</t>
  </si>
  <si>
    <t>2022-04-10 13:21:57 UTC</t>
  </si>
  <si>
    <t>2022-04-10 13:21:47 UTC</t>
  </si>
  <si>
    <t>2022-04-10 13:07:29 UTC</t>
  </si>
  <si>
    <t>2022-04-10 13:07:09 UTC</t>
  </si>
  <si>
    <t>2022-04-10 13:07:07 UTC</t>
  </si>
  <si>
    <t>2022-04-10 13:06:24 UTC</t>
  </si>
  <si>
    <t>2022-04-10 13:05:13 UTC</t>
  </si>
  <si>
    <t>2022-04-10 13:05:08 UTC</t>
  </si>
  <si>
    <t>2022-04-10 13:04:57 UTC</t>
  </si>
  <si>
    <t>6482af3e7027053ff0831e9ecd8a353f</t>
  </si>
  <si>
    <t>2022-04-10 12:58:23 UTC</t>
  </si>
  <si>
    <t>2022-04-10 12:55:58 UTC</t>
  </si>
  <si>
    <t>85aa0dd5ef78467c55298eda9452135a</t>
  </si>
  <si>
    <t>2022-04-10 12:50:02 UTC</t>
  </si>
  <si>
    <t>2022-04-10 12:43:17 UTC</t>
  </si>
  <si>
    <t>3b417525ea267e12021d3616c0065c8e</t>
  </si>
  <si>
    <t>2022-04-10 12:41:10 UTC</t>
  </si>
  <si>
    <t>2022-04-10 12:30:09 UTC</t>
  </si>
  <si>
    <t>2022-04-10 12:28:56 UTC</t>
  </si>
  <si>
    <t>1b03d2b965e4166c647d842d644af06b</t>
  </si>
  <si>
    <t>2022-04-10 12:28:39 UTC</t>
  </si>
  <si>
    <t>2022-04-10 12:18:53 UTC</t>
  </si>
  <si>
    <t>56bd302822eb05618b0af69017374433</t>
  </si>
  <si>
    <t>2022-04-10 12:07:33 UTC</t>
  </si>
  <si>
    <t>2022-04-10 12:06:28 UTC</t>
  </si>
  <si>
    <t>2022-04-10 12:05:27 UTC</t>
  </si>
  <si>
    <t>2022-04-10 12:05:03 UTC</t>
  </si>
  <si>
    <t>2022-04-10 12:04:47 UTC</t>
  </si>
  <si>
    <t>2022-04-10 12:04:43 UTC</t>
  </si>
  <si>
    <t>2022-04-10 12:04:13 UTC</t>
  </si>
  <si>
    <t>2022-04-10 11:52:58 UTC</t>
  </si>
  <si>
    <t>2022-04-10 11:52:27 UTC</t>
  </si>
  <si>
    <t>2022-04-10 11:41:32 UTC</t>
  </si>
  <si>
    <t>2022-04-10 11:41:29 UTC</t>
  </si>
  <si>
    <t>2022-04-10 11:41:27 UTC</t>
  </si>
  <si>
    <t>9e98bd84b8e200632d8b074a830fd2e0</t>
  </si>
  <si>
    <t>2022-04-10 11:40:17 UTC</t>
  </si>
  <si>
    <t>2022-04-10 11:38:44 UTC</t>
  </si>
  <si>
    <t>2022-04-10 11:38:19 UTC</t>
  </si>
  <si>
    <t>2022-04-10 11:37:54 UTC</t>
  </si>
  <si>
    <t>2022-04-10 11:37:51 UTC</t>
  </si>
  <si>
    <t>223711cb1d153eff1d0f5a4e4f51edd7</t>
  </si>
  <si>
    <t>2022-04-10 11:35:24 UTC</t>
  </si>
  <si>
    <t>2022-04-10 11:35:23 UTC</t>
  </si>
  <si>
    <t>2022-04-10 11:35:21 UTC</t>
  </si>
  <si>
    <t>2022-04-10 11:35:12 UTC</t>
  </si>
  <si>
    <t>2022-04-10 11:34:12 UTC</t>
  </si>
  <si>
    <t>7f03d019032eb75124f0e969517e9f78</t>
  </si>
  <si>
    <t>2022-04-10 11:32:44 UTC</t>
  </si>
  <si>
    <t>2022-04-10 11:32:42 UTC</t>
  </si>
  <si>
    <t>2022-04-10 11:28:56 UTC</t>
  </si>
  <si>
    <t>65bb465f4a540de6b6e4eb2ff5fb0f59</t>
  </si>
  <si>
    <t>2022-04-10 11:28:51 UTC</t>
  </si>
  <si>
    <t>2022-04-10 11:27:59 UTC</t>
  </si>
  <si>
    <t>68a41d7bb2941b177c298fe910c35ec4</t>
  </si>
  <si>
    <t>2022-04-10 11:27:55 UTC</t>
  </si>
  <si>
    <t>2022-04-10 11:27:53 UTC</t>
  </si>
  <si>
    <t>2022-04-10 11:26:28 UTC</t>
  </si>
  <si>
    <t>2022-04-10 11:17:14 UTC</t>
  </si>
  <si>
    <t>f4499f8e50c1b091f24c7f99c9a3dcd4</t>
  </si>
  <si>
    <t>2022-04-10 11:15:08 UTC</t>
  </si>
  <si>
    <t>dc505209d3b533a59e2254b1a00307c8</t>
  </si>
  <si>
    <t>2022-04-10 11:14:39 UTC</t>
  </si>
  <si>
    <t>2022-04-10 11:14:31 UTC</t>
  </si>
  <si>
    <t>2022-04-10 11:12:03 UTC</t>
  </si>
  <si>
    <t>2022-04-10 11:12:00 UTC</t>
  </si>
  <si>
    <t>90d05b25d4e5a768b20a8984c224c606</t>
  </si>
  <si>
    <t>2022-04-10 11:08:12 UTC</t>
  </si>
  <si>
    <t>2022-04-10 11:06:31 UTC</t>
  </si>
  <si>
    <t>2022-04-10 11:06:15 UTC</t>
  </si>
  <si>
    <t>2022-04-10 11:04:20 UTC</t>
  </si>
  <si>
    <t>dfa00c6326eddfa28cad57f87c5465fe</t>
  </si>
  <si>
    <t>2022-04-10 10:47:30 UTC</t>
  </si>
  <si>
    <t>2022-04-10 10:45:54 UTC</t>
  </si>
  <si>
    <t>2022-04-10 10:36:28 UTC</t>
  </si>
  <si>
    <t>2022-04-10 10:19:23 UTC</t>
  </si>
  <si>
    <t>2022-04-10 10:18:41 UTC</t>
  </si>
  <si>
    <t>2022-04-10 10:18:38 UTC</t>
  </si>
  <si>
    <t>2022-04-10 10:18:34 UTC</t>
  </si>
  <si>
    <t>2022-04-10 10:18:27 UTC</t>
  </si>
  <si>
    <t>2022-04-10 10:18:25 UTC</t>
  </si>
  <si>
    <t>2022-04-10 10:18:22 UTC</t>
  </si>
  <si>
    <t>2022-04-10 10:18:18 UTC</t>
  </si>
  <si>
    <t>2022-04-10 10:18:13 UTC</t>
  </si>
  <si>
    <t>2022-04-10 10:18:11 UTC</t>
  </si>
  <si>
    <t>2022-04-10 10:18:08 UTC</t>
  </si>
  <si>
    <t>2022-04-10 10:18:05 UTC</t>
  </si>
  <si>
    <t>2022-04-10 10:17:58 UTC</t>
  </si>
  <si>
    <t>2022-04-10 10:17:38 UTC</t>
  </si>
  <si>
    <t>2022-04-10 10:17:33 UTC</t>
  </si>
  <si>
    <t>2022-04-10 10:16:53 UTC</t>
  </si>
  <si>
    <t>810a05492677ff7d6e295274ad0ecd3b</t>
  </si>
  <si>
    <t>2022-04-10 10:12:56 UTC</t>
  </si>
  <si>
    <t>efb78f952c8874344970c73b2e5899eb</t>
  </si>
  <si>
    <t>2022-04-10 10:12:24 UTC</t>
  </si>
  <si>
    <t>2022-04-10 10:12:16 UTC</t>
  </si>
  <si>
    <t>2022-04-10 10:07:28 UTC</t>
  </si>
  <si>
    <t>f7123dd49683e6da64166f3d45b917b6</t>
  </si>
  <si>
    <t>2022-04-10 10:06:35 UTC</t>
  </si>
  <si>
    <t>2022-04-10 10:06:33 UTC</t>
  </si>
  <si>
    <t>2022-04-10 10:06:31 UTC</t>
  </si>
  <si>
    <t>2022-04-10 10:06:22 UTC</t>
  </si>
  <si>
    <t>2022-04-10 10:06:21 UTC</t>
  </si>
  <si>
    <t>073faca9ffbbc5e94a8b0e421e338fdd</t>
  </si>
  <si>
    <t>2022-04-10 10:02:09 UTC</t>
  </si>
  <si>
    <t>669513999bafa402439b6fb55b0d0283</t>
  </si>
  <si>
    <t>2022-04-10 10:01:39 UTC</t>
  </si>
  <si>
    <t>2022-04-10 09:53:39 UTC</t>
  </si>
  <si>
    <t>2022-04-10 09:53:37 UTC</t>
  </si>
  <si>
    <t>2022-04-10 09:53:32 UTC</t>
  </si>
  <si>
    <t>2022-04-10 09:53:27 UTC</t>
  </si>
  <si>
    <t>2022-04-10 09:53:25 UTC</t>
  </si>
  <si>
    <t>2022-04-10 09:53:21 UTC</t>
  </si>
  <si>
    <t>2022-04-10 09:51:02 UTC</t>
  </si>
  <si>
    <t>2022-04-10 09:50:12 UTC</t>
  </si>
  <si>
    <t>5cb210617c5ff6ce43c64d163e29aa22</t>
  </si>
  <si>
    <t>2022-04-10 09:47:33 UTC</t>
  </si>
  <si>
    <t>2022-04-10 09:47:28 UTC</t>
  </si>
  <si>
    <t>2022-04-10 09:47:24 UTC</t>
  </si>
  <si>
    <t>2022-04-10 09:44:49 UTC</t>
  </si>
  <si>
    <t>2022-04-10 09:44:48 UTC</t>
  </si>
  <si>
    <t>2022-04-10 09:38:48 UTC</t>
  </si>
  <si>
    <t>2022-04-10 09:38:44 UTC</t>
  </si>
  <si>
    <t>2022-04-10 09:36:06 UTC</t>
  </si>
  <si>
    <t>2022-04-10 09:34:10 UTC</t>
  </si>
  <si>
    <t>2022-04-10 09:32:16 UTC</t>
  </si>
  <si>
    <t>2022-04-10 09:31:04 UTC</t>
  </si>
  <si>
    <t>2022-04-10 09:30:00 UTC</t>
  </si>
  <si>
    <t>2628fb64088c961f33ee94409603463c</t>
  </si>
  <si>
    <t>2022-04-10 09:29:49 UTC</t>
  </si>
  <si>
    <t>2022-04-10 09:29:11 UTC</t>
  </si>
  <si>
    <t>74826a91a451eafb38e3b408b4bf1667</t>
  </si>
  <si>
    <t>2022-04-10 09:28:41 UTC</t>
  </si>
  <si>
    <t>2022-04-10 09:26:49 UTC</t>
  </si>
  <si>
    <t>2022-04-10 09:25:18 UTC</t>
  </si>
  <si>
    <t>0359bffb39c610224876bac5fca627fe</t>
  </si>
  <si>
    <t>2022-04-10 09:24:15 UTC</t>
  </si>
  <si>
    <t>2022-04-10 09:24:09 UTC</t>
  </si>
  <si>
    <t>2022-04-10 09:20:12 UTC</t>
  </si>
  <si>
    <t>2022-04-10 09:20:09 UTC</t>
  </si>
  <si>
    <t>7738a5ae691ee59d5980ee3c094c54e7</t>
  </si>
  <si>
    <t>2022-04-10 09:19:56 UTC</t>
  </si>
  <si>
    <t>2022-04-10 09:19:40 UTC</t>
  </si>
  <si>
    <t>2022-04-10 09:13:06 UTC</t>
  </si>
  <si>
    <t>eb16c0acffbd74996f12a8e44f87fbf6</t>
  </si>
  <si>
    <t>2022-04-10 09:12:46 UTC</t>
  </si>
  <si>
    <t>2022-04-10 09:11:46 UTC</t>
  </si>
  <si>
    <t>2022-04-10 09:11:16 UTC</t>
  </si>
  <si>
    <t>2022-04-10 09:00:43 UTC</t>
  </si>
  <si>
    <t>07792d028e89863d28859eefc6d6cf3d</t>
  </si>
  <si>
    <t>2022-04-10 08:59:31 UTC</t>
  </si>
  <si>
    <t>72b64664ca0ed576666e4697282f2ba5</t>
  </si>
  <si>
    <t>2022-04-10 08:59:05 UTC</t>
  </si>
  <si>
    <t>2022-04-10 08:50:55 UTC</t>
  </si>
  <si>
    <t>4124ca80e38c02d7e32e80c8a783cc57</t>
  </si>
  <si>
    <t>2022-04-10 08:50:45 UTC</t>
  </si>
  <si>
    <t>2022-04-10 08:50:34 UTC</t>
  </si>
  <si>
    <t>2022-04-10 08:50:27 UTC</t>
  </si>
  <si>
    <t>2022-04-10 08:50:24 UTC</t>
  </si>
  <si>
    <t>2022-04-10 08:49:47 UTC</t>
  </si>
  <si>
    <t>2022-04-10 08:49:34 UTC</t>
  </si>
  <si>
    <t>41194650d61192e0a3303a52cd393b00</t>
  </si>
  <si>
    <t>2022-04-10 08:49:32 UTC</t>
  </si>
  <si>
    <t>2022-04-10 08:49:31 UTC</t>
  </si>
  <si>
    <t>2022-04-10 08:49:30 UTC</t>
  </si>
  <si>
    <t>2022-04-10 08:49:29 UTC</t>
  </si>
  <si>
    <t>2022-04-10 08:49:27 UTC</t>
  </si>
  <si>
    <t>2022-04-10 08:49:25 UTC</t>
  </si>
  <si>
    <t>2022-04-10 08:49:24 UTC</t>
  </si>
  <si>
    <t>2022-04-10 08:49:18 UTC</t>
  </si>
  <si>
    <t>2022-04-10 08:49:14 UTC</t>
  </si>
  <si>
    <t>2022-04-10 08:49:10 UTC</t>
  </si>
  <si>
    <t>2022-04-10 08:49:07 UTC</t>
  </si>
  <si>
    <t>2022-04-10 08:48:58 UTC</t>
  </si>
  <si>
    <t>e93ffb07a2d2a47ffad1974cee19cecf</t>
  </si>
  <si>
    <t>2022-04-10 08:48:46 UTC</t>
  </si>
  <si>
    <t>2022-04-10 08:48:38 UTC</t>
  </si>
  <si>
    <t>2022-04-10 08:41:25 UTC</t>
  </si>
  <si>
    <t>e2688bf10b31312d29d47c614ec7f4b3</t>
  </si>
  <si>
    <t>2022-04-10 08:36:40 UTC</t>
  </si>
  <si>
    <t>4da1de5ca6296e90412520bb554a495d</t>
  </si>
  <si>
    <t>2022-04-10 08:27:16 UTC</t>
  </si>
  <si>
    <t>2022-04-10 08:25:36 UTC</t>
  </si>
  <si>
    <t>2022-04-10 08:20:25 UTC</t>
  </si>
  <si>
    <t>2022-04-10 08:18:53 UTC</t>
  </si>
  <si>
    <t>ea38d1aecb49327ca65e50255b6f935b</t>
  </si>
  <si>
    <t>2022-04-10 08:17:52 UTC</t>
  </si>
  <si>
    <t>2022-04-10 08:16:51 UTC</t>
  </si>
  <si>
    <t>2022-04-10 08:16:47 UTC</t>
  </si>
  <si>
    <t>2022-04-10 08:09:44 UTC</t>
  </si>
  <si>
    <t>2022-04-10 08:09:29 UTC</t>
  </si>
  <si>
    <t>2022-04-10 08:09:27 UTC</t>
  </si>
  <si>
    <t>2022-04-10 08:09:26 UTC</t>
  </si>
  <si>
    <t>c7591dbccac8b3b2557ceae172fa2b66</t>
  </si>
  <si>
    <t>2022-04-10 08:05:46 UTC</t>
  </si>
  <si>
    <t>285b356cea7d74da47be8818a9c5bc3e</t>
  </si>
  <si>
    <t>2022-04-10 08:05:35 UTC</t>
  </si>
  <si>
    <t>ba756c4d4f50f78e82550f8d2f4f6296</t>
  </si>
  <si>
    <t>2022-04-10 08:05:33 UTC</t>
  </si>
  <si>
    <t>2022-04-10 08:02:59 UTC</t>
  </si>
  <si>
    <t>2022-04-10 08:02:55 UTC</t>
  </si>
  <si>
    <t>2022-04-10 08:02:46 UTC</t>
  </si>
  <si>
    <t>2022-04-10 08:02:35 UTC</t>
  </si>
  <si>
    <t>2022-04-10 08:01:48 UTC</t>
  </si>
  <si>
    <t>2022-04-10 08:01:43 UTC</t>
  </si>
  <si>
    <t>2022-04-10 08:01:21 UTC</t>
  </si>
  <si>
    <t>e865ea83b18dcd5962218fdaa636458f</t>
  </si>
  <si>
    <t>2022-04-10 07:59:27 UTC</t>
  </si>
  <si>
    <t>2022-04-10 07:59:20 UTC</t>
  </si>
  <si>
    <t>2022-04-10 07:58:46 UTC</t>
  </si>
  <si>
    <t>1121ff5f9707f479b4c750149aee983a</t>
  </si>
  <si>
    <t>2022-04-10 07:58:36 UTC</t>
  </si>
  <si>
    <t>2022-04-10 07:52:25 UTC</t>
  </si>
  <si>
    <t>771f76fdb2e8e6985960b72b09e082e9</t>
  </si>
  <si>
    <t>2022-04-10 07:36:57 UTC</t>
  </si>
  <si>
    <t>1ce24fa6762736d6ab4ec8cf24f5f479</t>
  </si>
  <si>
    <t>2022-04-10 07:30:00 UTC</t>
  </si>
  <si>
    <t>b4a9c69b14b9c2c2edd568c4d8aeaa6e</t>
  </si>
  <si>
    <t>2022-04-10 07:29:36 UTC</t>
  </si>
  <si>
    <t>2022-04-10 07:24:39 UTC</t>
  </si>
  <si>
    <t>2022-04-10 07:22:54 UTC</t>
  </si>
  <si>
    <t>2022-04-10 07:17:47 UTC</t>
  </si>
  <si>
    <t>2022-04-10 07:17:42 UTC</t>
  </si>
  <si>
    <t>2022-04-10 07:17:33 UTC</t>
  </si>
  <si>
    <t>2022-04-10 07:17:26 UTC</t>
  </si>
  <si>
    <t>2022-04-10 07:14:08 UTC</t>
  </si>
  <si>
    <t>b479994527ce756c041a1578f06ed377</t>
  </si>
  <si>
    <t>2022-04-10 07:12:20 UTC</t>
  </si>
  <si>
    <t>039ea32f87a78d9c093e18e0acf384bb</t>
  </si>
  <si>
    <t>2022-04-10 07:08:16 UTC</t>
  </si>
  <si>
    <t>2022-04-10 06:48:52 UTC</t>
  </si>
  <si>
    <t>2022-04-10 06:48:46 UTC</t>
  </si>
  <si>
    <t>2022-04-10 06:48:11 UTC</t>
  </si>
  <si>
    <t>6503e6184c243f6189538e9203917cbe</t>
  </si>
  <si>
    <t>2022-04-10 06:38:50 UTC</t>
  </si>
  <si>
    <t>2022-04-10 06:38:38 UTC</t>
  </si>
  <si>
    <t>5c2b95f792951d402e24d930b9312535</t>
  </si>
  <si>
    <t>2022-04-10 06:38:18 UTC</t>
  </si>
  <si>
    <t>2022-04-10 06:38:10 UTC</t>
  </si>
  <si>
    <t>2022-04-10 06:37:56 UTC</t>
  </si>
  <si>
    <t>2022-04-10 06:36:32 UTC</t>
  </si>
  <si>
    <t>2022-04-10 06:36:13 UTC</t>
  </si>
  <si>
    <t>2022-04-10 06:35:20 UTC</t>
  </si>
  <si>
    <t>2022-04-10 06:31:05 UTC</t>
  </si>
  <si>
    <t>2022-04-10 06:26:55 UTC</t>
  </si>
  <si>
    <t>2022-04-10 06:24:59 UTC</t>
  </si>
  <si>
    <t>2022-04-10 06:15:59 UTC</t>
  </si>
  <si>
    <t>44ef5c64c1887f4174ed7f95ad6bcec4</t>
  </si>
  <si>
    <t>2022-04-10 06:04:48 UTC</t>
  </si>
  <si>
    <t>2022-04-10 06:04:44 UTC</t>
  </si>
  <si>
    <t>2022-04-10 06:04:18 UTC</t>
  </si>
  <si>
    <t>2022-04-10 06:02:34 UTC</t>
  </si>
  <si>
    <t>87ceee9030102cd611aeab006ae0710d</t>
  </si>
  <si>
    <t>2022-04-10 06:01:31 UTC</t>
  </si>
  <si>
    <t>2022-04-10 06:00:42 UTC</t>
  </si>
  <si>
    <t>2022-04-10 06:00:37 UTC</t>
  </si>
  <si>
    <t>2022-04-10 06:00:33 UTC</t>
  </si>
  <si>
    <t>2022-04-10 05:56:26 UTC</t>
  </si>
  <si>
    <t>2022-04-10 05:54:11 UTC</t>
  </si>
  <si>
    <t>2022-04-10 05:37:03 UTC</t>
  </si>
  <si>
    <t>2022-04-10 05:33:08 UTC</t>
  </si>
  <si>
    <t>2022-04-10 05:32:45 UTC</t>
  </si>
  <si>
    <t>2022-04-10 05:29:27 UTC</t>
  </si>
  <si>
    <t>2022-04-10 05:25:22 UTC</t>
  </si>
  <si>
    <t>2022-04-10 05:22:39 UTC</t>
  </si>
  <si>
    <t>2022-04-10 05:22:06 UTC</t>
  </si>
  <si>
    <t>2022-04-10 05:22:00 UTC</t>
  </si>
  <si>
    <t>2022-04-10 05:21:33 UTC</t>
  </si>
  <si>
    <t>2022-04-10 05:15:46 UTC</t>
  </si>
  <si>
    <t>2022-04-10 05:15:08 UTC</t>
  </si>
  <si>
    <t>2022-04-10 05:12:08 UTC</t>
  </si>
  <si>
    <t>2022-04-10 05:12:05 UTC</t>
  </si>
  <si>
    <t>2022-04-10 05:11:49 UTC</t>
  </si>
  <si>
    <t>2022-04-10 05:11:37 UTC</t>
  </si>
  <si>
    <t>21f018c5774e886ed9a3637ae89c15c2</t>
  </si>
  <si>
    <t>2022-04-10 05:11:13 UTC</t>
  </si>
  <si>
    <t>2022-04-10 05:11:11 UTC</t>
  </si>
  <si>
    <t>2022-04-10 05:11:08 UTC</t>
  </si>
  <si>
    <t>2022-04-10 05:11:06 UTC</t>
  </si>
  <si>
    <t>2022-04-10 05:11:02 UTC</t>
  </si>
  <si>
    <t>2022-04-10 05:10:59 UTC</t>
  </si>
  <si>
    <t>2022-04-10 05:10:56 UTC</t>
  </si>
  <si>
    <t>2022-04-10 05:10:54 UTC</t>
  </si>
  <si>
    <t>2022-04-10 05:10:52 UTC</t>
  </si>
  <si>
    <t>2022-04-10 05:10:49 UTC</t>
  </si>
  <si>
    <t>2022-04-10 05:10:46 UTC</t>
  </si>
  <si>
    <t>2022-04-10 05:10:44 UTC</t>
  </si>
  <si>
    <t>2022-04-10 05:10:41 UTC</t>
  </si>
  <si>
    <t>2022-04-10 05:10:39 UTC</t>
  </si>
  <si>
    <t>2022-04-10 05:10:36 UTC</t>
  </si>
  <si>
    <t>2022-04-10 05:10:33 UTC</t>
  </si>
  <si>
    <t>2022-04-10 05:10:24 UTC</t>
  </si>
  <si>
    <t>2022-04-10 05:10:15 UTC</t>
  </si>
  <si>
    <t>2022-04-10 05:10:13 UTC</t>
  </si>
  <si>
    <t>2022-04-10 05:10:07 UTC</t>
  </si>
  <si>
    <t>2022-04-10 05:10:03 UTC</t>
  </si>
  <si>
    <t>2022-04-10 05:09:54 UTC</t>
  </si>
  <si>
    <t>2022-04-10 05:09:53 UTC</t>
  </si>
  <si>
    <t>2022-04-10 05:09:50 UTC</t>
  </si>
  <si>
    <t>2022-04-10 05:09:45 UTC</t>
  </si>
  <si>
    <t>2022-04-10 05:09:34 UTC</t>
  </si>
  <si>
    <t>2022-04-10 05:09:32 UTC</t>
  </si>
  <si>
    <t>2022-04-10 05:09:06 UTC</t>
  </si>
  <si>
    <t>2022-04-10 05:08:49 UTC</t>
  </si>
  <si>
    <t>5167fca27e2ccc9293ddb34dd981c726</t>
  </si>
  <si>
    <t>2022-04-10 05:08:47 UTC</t>
  </si>
  <si>
    <t>2022-04-10 05:08:38 UTC</t>
  </si>
  <si>
    <t>2022-04-10 05:08:36 UTC</t>
  </si>
  <si>
    <t>2022-04-10 05:08:25 UTC</t>
  </si>
  <si>
    <t>2022-04-10 05:08:17 UTC</t>
  </si>
  <si>
    <t>2022-04-10 05:08:16 UTC</t>
  </si>
  <si>
    <t>2022-04-10 05:07:59 UTC</t>
  </si>
  <si>
    <t>2022-04-10 05:07:29 UTC</t>
  </si>
  <si>
    <t>2022-04-10 05:07:27 UTC</t>
  </si>
  <si>
    <t>2022-04-10 05:07:24 UTC</t>
  </si>
  <si>
    <t>917a011410f93383ccd1ca534e1b4e36</t>
  </si>
  <si>
    <t>2022-04-10 05:07:20 UTC</t>
  </si>
  <si>
    <t>d391daff95b80daad9e68b8dae71339a</t>
  </si>
  <si>
    <t>2022-04-10 05:07:17 UTC</t>
  </si>
  <si>
    <t>2022-04-10 05:06:46 UTC</t>
  </si>
  <si>
    <t>2022-04-10 05:06:39 UTC</t>
  </si>
  <si>
    <t>2022-04-10 05:06:25 UTC</t>
  </si>
  <si>
    <t>2022-04-10 05:06:21 UTC</t>
  </si>
  <si>
    <t>cc682c207bfe580bf8aef04c2cb11e84</t>
  </si>
  <si>
    <t>2022-04-10 05:06:19 UTC</t>
  </si>
  <si>
    <t>2022-04-10 05:04:53 UTC</t>
  </si>
  <si>
    <t>60e48d31f29e43e15d8a884b73bd4e4b</t>
  </si>
  <si>
    <t>2022-04-10 04:55:44 UTC</t>
  </si>
  <si>
    <t>577634c5cb317c511a9ad1903bd8e01f</t>
  </si>
  <si>
    <t>2022-04-10 04:46:49 UTC</t>
  </si>
  <si>
    <t>2022-04-10 04:46:29 UTC</t>
  </si>
  <si>
    <t>2022-04-10 04:46:00 UTC</t>
  </si>
  <si>
    <t>2022-04-10 04:45:10 UTC</t>
  </si>
  <si>
    <t>2022-04-10 04:45:03 UTC</t>
  </si>
  <si>
    <t>2022-04-10 04:44:04 UTC</t>
  </si>
  <si>
    <t>2022-04-10 04:44:02 UTC</t>
  </si>
  <si>
    <t>2022-04-10 04:40:41 UTC</t>
  </si>
  <si>
    <t>2022-04-10 04:35:18 UTC</t>
  </si>
  <si>
    <t>2022-04-10 04:34:27 UTC</t>
  </si>
  <si>
    <t>7e8d12d5ff5d2e147496e453dd7e7354</t>
  </si>
  <si>
    <t>2022-04-10 04:32:37 UTC</t>
  </si>
  <si>
    <t>ec4d9869752843f611521d09a7ea59ef</t>
  </si>
  <si>
    <t>2022-04-10 04:32:10 UTC</t>
  </si>
  <si>
    <t>c9c9a0054f29b06a6f331b81ce4798cd</t>
  </si>
  <si>
    <t>2022-04-10 04:23:20 UTC</t>
  </si>
  <si>
    <t>5f67c56d0eeb9e205f37ed062d53d786</t>
  </si>
  <si>
    <t>2022-04-10 04:22:46 UTC</t>
  </si>
  <si>
    <t>2022-04-10 04:22:28 UTC</t>
  </si>
  <si>
    <t>2022-04-10 04:21:37 UTC</t>
  </si>
  <si>
    <t>2022-04-10 04:20:35 UTC</t>
  </si>
  <si>
    <t>2022-04-10 04:20:32 UTC</t>
  </si>
  <si>
    <t>2022-04-10 04:15:21 UTC</t>
  </si>
  <si>
    <t>2022-04-10 04:13:56 UTC</t>
  </si>
  <si>
    <t>2022-04-10 04:13:12 UTC</t>
  </si>
  <si>
    <t>b87678e5125c50849d73f10de0dd4948</t>
  </si>
  <si>
    <t>2022-04-10 04:13:08 UTC</t>
  </si>
  <si>
    <t>2022-04-10 04:13:06 UTC</t>
  </si>
  <si>
    <t>2022-04-10 04:12:43 UTC</t>
  </si>
  <si>
    <t>2022-04-10 04:12:41 UTC</t>
  </si>
  <si>
    <t>2022-04-10 04:12:39 UTC</t>
  </si>
  <si>
    <t>2022-04-10 04:12:36 UTC</t>
  </si>
  <si>
    <t>2022-04-10 04:12:34 UTC</t>
  </si>
  <si>
    <t>2022-04-10 04:12:32 UTC</t>
  </si>
  <si>
    <t>2022-04-10 04:09:03 UTC</t>
  </si>
  <si>
    <t>2022-04-10 04:09:01 UTC</t>
  </si>
  <si>
    <t>2022-04-10 04:08:55 UTC</t>
  </si>
  <si>
    <t>58f0f9f7001553a384bdffd9d017bc55</t>
  </si>
  <si>
    <t>2022-04-10 04:08:51 UTC</t>
  </si>
  <si>
    <t>2022-04-10 04:08:49 UTC</t>
  </si>
  <si>
    <t>2022-04-10 04:08:48 UTC</t>
  </si>
  <si>
    <t>2022-04-10 04:08:46 UTC</t>
  </si>
  <si>
    <t>2022-04-10 04:08:44 UTC</t>
  </si>
  <si>
    <t>2022-04-10 04:08:35 UTC</t>
  </si>
  <si>
    <t>2022-04-10 04:08:19 UTC</t>
  </si>
  <si>
    <t>2022-04-10 04:07:15 UTC</t>
  </si>
  <si>
    <t>2022-04-10 04:03:06 UTC</t>
  </si>
  <si>
    <t>d3e06b31a682dcefbb10a4217d63177c</t>
  </si>
  <si>
    <t>2022-04-10 04:00:15 UTC</t>
  </si>
  <si>
    <t>2022-04-10 03:58:28 UTC</t>
  </si>
  <si>
    <t>3eb4abcdde9b6323999c96b54698d3a4</t>
  </si>
  <si>
    <t>2022-04-10 03:57:02 UTC</t>
  </si>
  <si>
    <t>f8961af1dcd929d908750e23e7da1d68</t>
  </si>
  <si>
    <t>2022-04-10 03:56:30 UTC</t>
  </si>
  <si>
    <t>2022-04-10 03:55:31 UTC</t>
  </si>
  <si>
    <t>2022-04-10 03:51:55 UTC</t>
  </si>
  <si>
    <t>089a3505aa581ffbc8f6af411d54fb93</t>
  </si>
  <si>
    <t>2022-04-10 03:50:24 UTC</t>
  </si>
  <si>
    <t>2022-04-10 03:47:43 UTC</t>
  </si>
  <si>
    <t>2022-04-10 03:47:42 UTC</t>
  </si>
  <si>
    <t>2022-04-10 03:47:41 UTC</t>
  </si>
  <si>
    <t>2022-04-10 03:47:33 UTC</t>
  </si>
  <si>
    <t>844b5021e7f2fb58393c765e0ac6190f</t>
  </si>
  <si>
    <t>2022-04-10 03:47:28 UTC</t>
  </si>
  <si>
    <t>2022-04-10 03:45:18 UTC</t>
  </si>
  <si>
    <t>2022-04-10 03:45:01 UTC</t>
  </si>
  <si>
    <t>2022-04-10 03:44:58 UTC</t>
  </si>
  <si>
    <t>fadc5eacc406df8ca51bb471dbebb9c5</t>
  </si>
  <si>
    <t>2022-04-10 03:44:25 UTC</t>
  </si>
  <si>
    <t>2022-04-10 03:41:45 UTC</t>
  </si>
  <si>
    <t>2022-04-10 03:41:04 UTC</t>
  </si>
  <si>
    <t>2022-04-10 03:40:57 UTC</t>
  </si>
  <si>
    <t>3ca43b2f2f82e5076cfc5109e1107716</t>
  </si>
  <si>
    <t>2022-04-10 03:40:54 UTC</t>
  </si>
  <si>
    <t>2022-04-10 03:32:23 UTC</t>
  </si>
  <si>
    <t>5219e84e8f19cb90b574546f97a28bfa</t>
  </si>
  <si>
    <t>2022-04-10 03:31:17 UTC</t>
  </si>
  <si>
    <t>88e05e2d30b5709a51e907c2a03ec570</t>
  </si>
  <si>
    <t>2022-04-10 03:30:23 UTC</t>
  </si>
  <si>
    <t>2022-04-10 03:30:18 UTC</t>
  </si>
  <si>
    <t>2022-04-10 03:30:14 UTC</t>
  </si>
  <si>
    <t>2022-04-10 03:30:10 UTC</t>
  </si>
  <si>
    <t>2022-04-10 03:28:37 UTC</t>
  </si>
  <si>
    <t>2022-04-10 03:28:34 UTC</t>
  </si>
  <si>
    <t>2022-04-10 03:28:29 UTC</t>
  </si>
  <si>
    <t>2022-04-10 03:11:01 UTC</t>
  </si>
  <si>
    <t>2022-04-10 03:08:38 UTC</t>
  </si>
  <si>
    <t>2022-04-10 02:50:50 UTC</t>
  </si>
  <si>
    <t>40ac62aae0b52682d1fef3ff7d1e3f88</t>
  </si>
  <si>
    <t>2022-04-10 02:09:10 UTC</t>
  </si>
  <si>
    <t>2022-04-10 00:07:42 UTC</t>
  </si>
  <si>
    <t>882599f4b1d0f9b8245a76030ccccab2</t>
  </si>
  <si>
    <t>2022-04-09 23:44:57 UTC</t>
  </si>
  <si>
    <t>2022-04-09 22:26:12 UTC</t>
  </si>
  <si>
    <t>2022-04-09 22:25:37 UTC</t>
  </si>
  <si>
    <t>2022-04-09 19:42:07 UTC</t>
  </si>
  <si>
    <t>2022-04-09 19:26:41 UTC</t>
  </si>
  <si>
    <t>2022-04-09 19:20:20 UTC</t>
  </si>
  <si>
    <t>2022-04-09 19:00:48 UTC</t>
  </si>
  <si>
    <t>2022-04-09 18:46:54 UTC</t>
  </si>
  <si>
    <t>2022-04-09 18:33:48 UTC</t>
  </si>
  <si>
    <t>2022-04-09 18:17:43 UTC</t>
  </si>
  <si>
    <t>2022-04-09 18:09:57 UTC</t>
  </si>
  <si>
    <t>4c221e8d1e0f2487d6ef1cb09de4f5de</t>
  </si>
  <si>
    <t>2022-04-09 17:52:42 UTC</t>
  </si>
  <si>
    <t>2022-04-09 17:11:01 UTC</t>
  </si>
  <si>
    <t>2022-04-09 16:01:02 UTC</t>
  </si>
  <si>
    <t>2022-04-09 15:49:31 UTC</t>
  </si>
  <si>
    <t>2022-04-09 15:48:53 UTC</t>
  </si>
  <si>
    <t>2022-04-09 15:33:35 UTC</t>
  </si>
  <si>
    <t>2022-04-09 15:14:47 UTC</t>
  </si>
  <si>
    <t>d422a675966c5bb478b2dd5c92c13a20</t>
  </si>
  <si>
    <t>2022-04-09 15:03:31 UTC</t>
  </si>
  <si>
    <t>2022-04-09 14:13:52 UTC</t>
  </si>
  <si>
    <t>2022-04-09 13:40:31 UTC</t>
  </si>
  <si>
    <t>2022-04-09 13:30:19 UTC</t>
  </si>
  <si>
    <t>2022-04-09 13:00:55 UTC</t>
  </si>
  <si>
    <t>64f1e287d56fcb76f6a7f79cea15d12b</t>
  </si>
  <si>
    <t>2022-04-09 12:59:55 UTC</t>
  </si>
  <si>
    <t>2022-04-09 12:53:37 UTC</t>
  </si>
  <si>
    <t>2022-04-09 12:40:41 UTC</t>
  </si>
  <si>
    <t>2022-04-09 12:40:39 UTC</t>
  </si>
  <si>
    <t>2022-04-09 12:22:08 UTC</t>
  </si>
  <si>
    <t>2022-04-09 12:07:02 UTC</t>
  </si>
  <si>
    <t>2022-04-09 11:34:47 UTC</t>
  </si>
  <si>
    <t>2022-04-09 11:30:58 UTC</t>
  </si>
  <si>
    <t>2022-04-09 11:25:10 UTC</t>
  </si>
  <si>
    <t>2022-04-09 11:21:04 UTC</t>
  </si>
  <si>
    <t>2022-04-09 10:45:29 UTC</t>
  </si>
  <si>
    <t>ebd8583fc99f5ce7341f9a581916c7f2</t>
  </si>
  <si>
    <t>2022-04-09 10:25:02 UTC</t>
  </si>
  <si>
    <t>2022-04-09 10:22:24 UTC</t>
  </si>
  <si>
    <t>2022-04-09 10:20:59 UTC</t>
  </si>
  <si>
    <t>2022-04-09 09:59:43 UTC</t>
  </si>
  <si>
    <t>2022-04-09 09:59:13 UTC</t>
  </si>
  <si>
    <t>a26c1f5bc5224410a9c2d92ce7a0dbf8</t>
  </si>
  <si>
    <t>2022-04-09 09:31:08 UTC</t>
  </si>
  <si>
    <t>2022-04-09 09:19:20 UTC</t>
  </si>
  <si>
    <t>89bb4b190de44e354ab1484377644bbc</t>
  </si>
  <si>
    <t>2022-04-09 09:19:15 UTC</t>
  </si>
  <si>
    <t>2022-04-09 09:19:08 UTC</t>
  </si>
  <si>
    <t>2022-04-09 08:38:34 UTC</t>
  </si>
  <si>
    <t>49c9de05cde68e4fbd51afeb7d08bdc0</t>
  </si>
  <si>
    <t>2022-04-09 08:35:46 UTC</t>
  </si>
  <si>
    <t>92d33dca5acfa518cf11fba4929023bc</t>
  </si>
  <si>
    <t>2022-04-09 08:35:10 UTC</t>
  </si>
  <si>
    <t>2022-04-09 08:08:10 UTC</t>
  </si>
  <si>
    <t>2022-04-09 08:07:58 UTC</t>
  </si>
  <si>
    <t>2f4550eae69e30aa08b3880e813955bd</t>
  </si>
  <si>
    <t>2022-04-09 08:07:54 UTC</t>
  </si>
  <si>
    <t>2022-04-09 08:07:40 UTC</t>
  </si>
  <si>
    <t>2022-04-09 08:07:04 UTC</t>
  </si>
  <si>
    <t>2022-04-09 07:35:53 UTC</t>
  </si>
  <si>
    <t>802f3b7d2ca98c29ad66d50d8dc62795</t>
  </si>
  <si>
    <t>2022-04-09 07:13:52 UTC</t>
  </si>
  <si>
    <t>2022-04-09 07:07:00 UTC</t>
  </si>
  <si>
    <t>8178c2fee161ae2cbe961407ac3c1875</t>
  </si>
  <si>
    <t>2022-04-09 06:54:38 UTC</t>
  </si>
  <si>
    <t>1e3694371b87c95a9fe3025c3bb8df02</t>
  </si>
  <si>
    <t>2022-04-09 06:54:05 UTC</t>
  </si>
  <si>
    <t>2022-04-09 06:54:03 UTC</t>
  </si>
  <si>
    <t>2022-04-09 06:53:59 UTC</t>
  </si>
  <si>
    <t>2022-04-09 06:53:56 UTC</t>
  </si>
  <si>
    <t>2022-04-09 06:53:55 UTC</t>
  </si>
  <si>
    <t>2022-04-09 06:21:33 UTC</t>
  </si>
  <si>
    <t>2022-04-09 06:04:11 UTC</t>
  </si>
  <si>
    <t>2022-04-09 05:54:17 UTC</t>
  </si>
  <si>
    <t>2022-04-09 05:46:28 UTC</t>
  </si>
  <si>
    <t>2022-04-09 05:45:34 UTC</t>
  </si>
  <si>
    <t>2022-04-09 05:44:49 UTC</t>
  </si>
  <si>
    <t>2022-04-09 05:44:14 UTC</t>
  </si>
  <si>
    <t>2022-04-09 05:42:05 UTC</t>
  </si>
  <si>
    <t>2022-04-09 05:39:42 UTC</t>
  </si>
  <si>
    <t>2022-04-09 05:38:51 UTC</t>
  </si>
  <si>
    <t>2022-04-09 05:35:22 UTC</t>
  </si>
  <si>
    <t>2022-04-09 05:28:52 UTC</t>
  </si>
  <si>
    <t>2022-04-09 05:15:01 UTC</t>
  </si>
  <si>
    <t>2022-04-09 04:47:38 UTC</t>
  </si>
  <si>
    <t>2022-04-09 04:43:22 UTC</t>
  </si>
  <si>
    <t>2022-04-09 04:32:41 UTC</t>
  </si>
  <si>
    <t>2022-04-09 04:24:12 UTC</t>
  </si>
  <si>
    <t>2022-04-09 04:20:39 UTC</t>
  </si>
  <si>
    <t>2022-04-09 04:10:01 UTC</t>
  </si>
  <si>
    <t>2022-04-09 03:55:38 UTC</t>
  </si>
  <si>
    <t>2022-04-09 02:56:08 UTC</t>
  </si>
  <si>
    <t>2022-04-09 02:04:48 UTC</t>
  </si>
  <si>
    <t>2022-04-09 02:00:10 UTC</t>
  </si>
  <si>
    <t>18cf16f961d25ec2c2060775963e4e17</t>
  </si>
  <si>
    <t>2022-04-09 00:56:58 UTC</t>
  </si>
  <si>
    <t>2022-04-09 00:53:42 UTC</t>
  </si>
  <si>
    <t>2022-04-09 00:52:02 UTC</t>
  </si>
  <si>
    <t>2022-04-09 00:50:29 UTC</t>
  </si>
  <si>
    <t>2022-04-09 00:47:41 UTC</t>
  </si>
  <si>
    <t>2022-04-09 00:43:44 UTC</t>
  </si>
  <si>
    <t>2022-04-09 00:41:32 UTC</t>
  </si>
  <si>
    <t>2022-04-09 00:41:27 UTC</t>
  </si>
  <si>
    <t>2022-04-09 00:33:49 UTC</t>
  </si>
  <si>
    <t>2022-04-09 00:28:22 UTC</t>
  </si>
  <si>
    <t>2022-04-09 00:23:21 UTC</t>
  </si>
  <si>
    <t>2022-04-09 00:18:09 UTC</t>
  </si>
  <si>
    <t>2022-04-09 00:13:26 UTC</t>
  </si>
  <si>
    <t>2022-04-09 00:09:17 UTC</t>
  </si>
  <si>
    <t>2022-04-09 00:09:13 UTC</t>
  </si>
  <si>
    <t>2022-04-09 00:06:40 UTC</t>
  </si>
  <si>
    <t>2022-04-09 00:06:35 UTC</t>
  </si>
  <si>
    <t>2022-04-09 00:02:48 UTC</t>
  </si>
  <si>
    <t>2022-04-09 00:02:42 UTC</t>
  </si>
  <si>
    <t>2022-04-08 23:58:08 UTC</t>
  </si>
  <si>
    <t>2022-04-08 23:58:04 UTC</t>
  </si>
  <si>
    <t>2022-04-08 23:37:49 UTC</t>
  </si>
  <si>
    <t>2022-04-08 21:36:41 UTC</t>
  </si>
  <si>
    <t>2022-04-08 20:58:56 UTC</t>
  </si>
  <si>
    <t>2022-04-08 18:28:57 UTC</t>
  </si>
  <si>
    <t>2022-04-08 18:27:11 UTC</t>
  </si>
  <si>
    <t>2022-04-08 17:21:41 UTC</t>
  </si>
  <si>
    <t>d2154fd4df7a4b5c6f781979959af961</t>
  </si>
  <si>
    <t>2022-04-08 17:21:38 UTC</t>
  </si>
  <si>
    <t>2022-04-08 16:45:43 UTC</t>
  </si>
  <si>
    <t>2022-04-08 16:17:29 UTC</t>
  </si>
  <si>
    <t>2022-04-08 14:41:35 UTC</t>
  </si>
  <si>
    <t>2022-04-08 14:05:10 UTC</t>
  </si>
  <si>
    <t>2022-04-08 13:51:24 UTC</t>
  </si>
  <si>
    <t>2022-04-08 13:51:19 UTC</t>
  </si>
  <si>
    <t>2022-04-08 11:48:32 UTC</t>
  </si>
  <si>
    <t>4288ff16c80c6fcff954b0b6666b0871</t>
  </si>
  <si>
    <t>2022-04-08 11:21:27 UTC</t>
  </si>
  <si>
    <t>2022-04-08 11:08:41 UTC</t>
  </si>
  <si>
    <t>2022-04-08 10:45:46 UTC</t>
  </si>
  <si>
    <t>2022-04-08 10:31:42 UTC</t>
  </si>
  <si>
    <t>9ae6cfcc2e0763b6811f79431b681138</t>
  </si>
  <si>
    <t>2022-04-08 10:31:14 UTC</t>
  </si>
  <si>
    <t>2022-04-08 10:15:28 UTC</t>
  </si>
  <si>
    <t>2022-04-08 10:14:18 UTC</t>
  </si>
  <si>
    <t>388446de0e7375b834ae5dd181ffebfa</t>
  </si>
  <si>
    <t>2022-04-08 10:13:39 UTC</t>
  </si>
  <si>
    <t>2022-04-08 10:06:23 UTC</t>
  </si>
  <si>
    <t>2022-04-08 10:06:13 UTC</t>
  </si>
  <si>
    <t>2022-04-08 09:59:42 UTC</t>
  </si>
  <si>
    <t>2022-04-08 09:59:14 UTC</t>
  </si>
  <si>
    <t>2022-04-08 09:58:19 UTC</t>
  </si>
  <si>
    <t>2022-04-08 09:53:31 UTC</t>
  </si>
  <si>
    <t>2022-04-08 09:52:06 UTC</t>
  </si>
  <si>
    <t>2022-04-08 09:52:03 UTC</t>
  </si>
  <si>
    <t>2022-04-08 09:51:50 UTC</t>
  </si>
  <si>
    <t>2022-04-08 09:51:49 UTC</t>
  </si>
  <si>
    <t>2022-04-08 09:47:23 UTC</t>
  </si>
  <si>
    <t>2022-04-08 09:41:40 UTC</t>
  </si>
  <si>
    <t>2022-04-08 09:31:40 UTC</t>
  </si>
  <si>
    <t>2022-04-08 09:24:09 UTC</t>
  </si>
  <si>
    <t>2022-04-08 09:24:03 UTC</t>
  </si>
  <si>
    <t>2022-04-08 09:13:20 UTC</t>
  </si>
  <si>
    <t>4ad0642f938138e5b9d84b92e4dc2f46</t>
  </si>
  <si>
    <t>2022-04-08 09:05:28 UTC</t>
  </si>
  <si>
    <t>2022-04-08 08:59:23 UTC</t>
  </si>
  <si>
    <t>2022-04-08 08:59:16 UTC</t>
  </si>
  <si>
    <t>2022-04-08 08:52:51 UTC</t>
  </si>
  <si>
    <t>2022-04-08 08:49:25 UTC</t>
  </si>
  <si>
    <t>2022-04-08 08:43:07 UTC</t>
  </si>
  <si>
    <t>2022-04-08 08:37:07 UTC</t>
  </si>
  <si>
    <t>2022-04-08 08:23:58 UTC</t>
  </si>
  <si>
    <t>2022-04-08 08:23:49 UTC</t>
  </si>
  <si>
    <t>2022-04-08 08:23:37 UTC</t>
  </si>
  <si>
    <t>2022-04-08 08:06:00 UTC</t>
  </si>
  <si>
    <t>2022-04-08 07:46:13 UTC</t>
  </si>
  <si>
    <t>2022-04-08 07:45:59 UTC</t>
  </si>
  <si>
    <t>2022-04-08 07:44:40 UTC</t>
  </si>
  <si>
    <t>2022-04-08 07:44:23 UTC</t>
  </si>
  <si>
    <t>2022-04-08 07:40:30 UTC</t>
  </si>
  <si>
    <t>2022-04-08 07:40:23 UTC</t>
  </si>
  <si>
    <t>2022-04-08 07:36:30 UTC</t>
  </si>
  <si>
    <t>13ec08cf701b3de51cdf970256821fab</t>
  </si>
  <si>
    <t>2022-04-08 07:36:10 UTC</t>
  </si>
  <si>
    <t>2022-04-08 07:36:03 UTC</t>
  </si>
  <si>
    <t>2022-04-08 07:35:53 UTC</t>
  </si>
  <si>
    <t>2022-04-08 07:15:13 UTC</t>
  </si>
  <si>
    <t>2022-04-08 07:15:11 UTC</t>
  </si>
  <si>
    <t>2022-04-08 07:15:04 UTC</t>
  </si>
  <si>
    <t>2022-04-08 07:15:02 UTC</t>
  </si>
  <si>
    <t>2022-04-08 07:15:00 UTC</t>
  </si>
  <si>
    <t>2022-04-08 07:14:52 UTC</t>
  </si>
  <si>
    <t>2022-04-08 07:14:50 UTC</t>
  </si>
  <si>
    <t>2022-04-08 07:11:06 UTC</t>
  </si>
  <si>
    <t>2022-04-08 07:10:57 UTC</t>
  </si>
  <si>
    <t>2022-04-08 07:10:40 UTC</t>
  </si>
  <si>
    <t>2022-04-08 07:01:59 UTC</t>
  </si>
  <si>
    <t>2022-04-08 06:29:58 UTC</t>
  </si>
  <si>
    <t>2022-04-08 06:19:31 UTC</t>
  </si>
  <si>
    <t>2022-04-08 06:19:20 UTC</t>
  </si>
  <si>
    <t>745823d685ad4f749c73d32055eb8c4f</t>
  </si>
  <si>
    <t>2022-04-08 06:13:57 UTC</t>
  </si>
  <si>
    <t>2022-04-08 06:05:48 UTC</t>
  </si>
  <si>
    <t>2022-04-08 06:01:45 UTC</t>
  </si>
  <si>
    <t>2022-04-08 05:59:42 UTC</t>
  </si>
  <si>
    <t>2022-04-08 05:58:31 UTC</t>
  </si>
  <si>
    <t>2022-04-08 05:57:59 UTC</t>
  </si>
  <si>
    <t>2022-04-08 05:57:49 UTC</t>
  </si>
  <si>
    <t>2022-04-08 05:40:04 UTC</t>
  </si>
  <si>
    <t>2022-04-08 05:40:02 UTC</t>
  </si>
  <si>
    <t>2022-04-08 05:26:23 UTC</t>
  </si>
  <si>
    <t>2022-04-08 05:13:42 UTC</t>
  </si>
  <si>
    <t>2022-04-08 04:55:08 UTC</t>
  </si>
  <si>
    <t>2022-04-08 04:51:02 UTC</t>
  </si>
  <si>
    <t>c5ad7e78a95eb04e4255d9f76ff5f924</t>
  </si>
  <si>
    <t>2022-04-08 04:50:31 UTC</t>
  </si>
  <si>
    <t>2022-04-08 04:50:21 UTC</t>
  </si>
  <si>
    <t>2022-04-08 04:35:38 UTC</t>
  </si>
  <si>
    <t>2022-04-08 03:58:40 UTC</t>
  </si>
  <si>
    <t>2022-04-08 03:58:35 UTC</t>
  </si>
  <si>
    <t>2022-04-08 03:58:21 UTC</t>
  </si>
  <si>
    <t>f20080b8a2841873baabc067583631a6</t>
  </si>
  <si>
    <t>2022-04-08 03:58:10 UTC</t>
  </si>
  <si>
    <t>2022-04-08 03:47:37 UTC</t>
  </si>
  <si>
    <t>2022-04-08 03:43:32 UTC</t>
  </si>
  <si>
    <t>2022-04-08 03:41:09 UTC</t>
  </si>
  <si>
    <t>2022-04-08 01:42:42 UTC</t>
  </si>
  <si>
    <t>2022-04-08 01:29:01 UTC</t>
  </si>
  <si>
    <t>2022-04-08 01:26:15 UTC</t>
  </si>
  <si>
    <t>2022-04-08 01:21:21 UTC</t>
  </si>
  <si>
    <t>2022-04-08 01:13:58 UTC</t>
  </si>
  <si>
    <t>2022-04-08 01:13:53 UTC</t>
  </si>
  <si>
    <t>2022-04-08 01:11:33 UTC</t>
  </si>
  <si>
    <t>2022-04-08 01:05:41 UTC</t>
  </si>
  <si>
    <t>2022-04-08 01:05:36 UTC</t>
  </si>
  <si>
    <t>2022-04-08 00:55:15 UTC</t>
  </si>
  <si>
    <t>2022-04-08 00:46:10 UTC</t>
  </si>
  <si>
    <t>2022-04-08 00:45:28 UTC</t>
  </si>
  <si>
    <t>2022-04-08 00:45:20 UTC</t>
  </si>
  <si>
    <t>2022-04-08 00:34:40 UTC</t>
  </si>
  <si>
    <t>2022-04-08 00:30:42 UTC</t>
  </si>
  <si>
    <t>2022-04-07 23:24:44 UTC</t>
  </si>
  <si>
    <t>ca6ce62ad7dc90d1b63e5065027151ab</t>
  </si>
  <si>
    <t>2022-04-07 21:36:21 UTC</t>
  </si>
  <si>
    <t>2022-04-07 16:38:16 UTC</t>
  </si>
  <si>
    <t>2022-04-07 16:25:04 UTC</t>
  </si>
  <si>
    <t>2022-04-07 14:56:49 UTC</t>
  </si>
  <si>
    <t>2022-04-07 14:43:12 UTC</t>
  </si>
  <si>
    <t>2022-04-07 14:43:09 UTC</t>
  </si>
  <si>
    <t>2022-04-07 14:07:56 UTC</t>
  </si>
  <si>
    <t>2022-04-07 14:00:09 UTC</t>
  </si>
  <si>
    <t>2022-04-07 14:00:06 UTC</t>
  </si>
  <si>
    <t>2022-04-07 13:47:31 UTC</t>
  </si>
  <si>
    <t>2022-04-07 13:38:27 UTC</t>
  </si>
  <si>
    <t>2022-04-07 13:38:25 UTC</t>
  </si>
  <si>
    <t>2022-04-07 13:35:14 UTC</t>
  </si>
  <si>
    <t>2022-04-07 13:35:11 UTC</t>
  </si>
  <si>
    <t>2022-04-07 13:24:46 UTC</t>
  </si>
  <si>
    <t>2022-04-07 12:19:16 UTC</t>
  </si>
  <si>
    <t>2022-04-07 12:08:07 UTC</t>
  </si>
  <si>
    <t>2022-04-07 12:02:34 UTC</t>
  </si>
  <si>
    <t>2022-04-07 11:54:14 UTC</t>
  </si>
  <si>
    <t>2022-04-07 11:21:15 UTC</t>
  </si>
  <si>
    <t>2022-04-07 11:21:13 UTC</t>
  </si>
  <si>
    <t>2022-04-07 11:19:15 UTC</t>
  </si>
  <si>
    <t>2022-04-07 11:06:26 UTC</t>
  </si>
  <si>
    <t>2022-04-07 11:06:24 UTC</t>
  </si>
  <si>
    <t>2022-04-07 10:54:31 UTC</t>
  </si>
  <si>
    <t>2022-04-07 10:53:50 UTC</t>
  </si>
  <si>
    <t>2022-04-07 10:22:54 UTC</t>
  </si>
  <si>
    <t>2022-04-07 10:20:32 UTC</t>
  </si>
  <si>
    <t>2022-04-07 10:20:29 UTC</t>
  </si>
  <si>
    <t>2022-04-07 10:14:54 UTC</t>
  </si>
  <si>
    <t>2022-04-07 10:12:20 UTC</t>
  </si>
  <si>
    <t>2022-04-07 10:12:17 UTC</t>
  </si>
  <si>
    <t>2022-04-07 10:10:58 UTC</t>
  </si>
  <si>
    <t>2022-04-07 10:10:56 UTC</t>
  </si>
  <si>
    <t>2022-04-07 09:32:31 UTC</t>
  </si>
  <si>
    <t>2022-04-07 09:28:46 UTC</t>
  </si>
  <si>
    <t>2022-04-07 09:22:25 UTC</t>
  </si>
  <si>
    <t>2022-04-07 09:22:14 UTC</t>
  </si>
  <si>
    <t>2022-04-07 09:12:40 UTC</t>
  </si>
  <si>
    <t>2022-04-07 09:09:35 UTC</t>
  </si>
  <si>
    <t>2022-04-07 09:09:17 UTC</t>
  </si>
  <si>
    <t>2022-04-07 09:04:15 UTC</t>
  </si>
  <si>
    <t>2022-04-07 09:04:07 UTC</t>
  </si>
  <si>
    <t>2022-04-07 09:01:51 UTC</t>
  </si>
  <si>
    <t>2022-04-07 08:43:15 UTC</t>
  </si>
  <si>
    <t>2022-04-07 08:42:25 UTC</t>
  </si>
  <si>
    <t>2022-04-07 08:42:22 UTC</t>
  </si>
  <si>
    <t>2022-04-07 07:38:16 UTC</t>
  </si>
  <si>
    <t>2022-04-07 07:09:19 UTC</t>
  </si>
  <si>
    <t>2022-04-07 06:31:40 UTC</t>
  </si>
  <si>
    <t>2022-04-07 05:28:11 UTC</t>
  </si>
  <si>
    <t>2022-04-07 05:20:04 UTC</t>
  </si>
  <si>
    <t>2022-04-07 05:10:58 UTC</t>
  </si>
  <si>
    <t>edcb1e50ee0aa170a3e66f367a621856</t>
  </si>
  <si>
    <t>2022-04-07 05:06:44 UTC</t>
  </si>
  <si>
    <t>ad96fbe2bc5272902d423d1ec9d81e62</t>
  </si>
  <si>
    <t>2022-04-07 05:06:15 UTC</t>
  </si>
  <si>
    <t>2022-04-07 05:06:13 UTC</t>
  </si>
  <si>
    <t>2022-04-07 05:05:54 UTC</t>
  </si>
  <si>
    <t>2022-04-07 05:05:52 UTC</t>
  </si>
  <si>
    <t>2022-04-07 05:05:49 UTC</t>
  </si>
  <si>
    <t>2022-04-07 05:05:47 UTC</t>
  </si>
  <si>
    <t>2022-04-07 05:05:41 UTC</t>
  </si>
  <si>
    <t>2022-04-07 05:05:39 UTC</t>
  </si>
  <si>
    <t>2022-04-07 05:04:58 UTC</t>
  </si>
  <si>
    <t>2022-04-07 04:36:40 UTC</t>
  </si>
  <si>
    <t>2022-04-07 04:30:35 UTC</t>
  </si>
  <si>
    <t>2022-04-07 04:15:57 UTC</t>
  </si>
  <si>
    <t>2022-04-07 04:13:57 UTC</t>
  </si>
  <si>
    <t>2022-04-07 04:11:48 UTC</t>
  </si>
  <si>
    <t>1f09db7aae2fc28d49c06dcb7fd41582</t>
  </si>
  <si>
    <t>2022-04-07 03:41:38 UTC</t>
  </si>
  <si>
    <t>2022-04-07 03:25:28 UTC</t>
  </si>
  <si>
    <t>2022-04-07 03:16:43 UTC</t>
  </si>
  <si>
    <t>2022-04-07 03:12:41 UTC</t>
  </si>
  <si>
    <t>2022-04-07 03:10:40 UTC</t>
  </si>
  <si>
    <t>2022-04-07 03:09:39 UTC</t>
  </si>
  <si>
    <t>2022-04-07 03:08:46 UTC</t>
  </si>
  <si>
    <t>2022-04-07 03:08:41 UTC</t>
  </si>
  <si>
    <t>2022-04-07 03:00:42 UTC</t>
  </si>
  <si>
    <t>2022-04-07 03:00:09 UTC</t>
  </si>
  <si>
    <t>2022-04-07 03:00:03 UTC</t>
  </si>
  <si>
    <t>2022-04-07 02:57:52 UTC</t>
  </si>
  <si>
    <t>7acb2bef645c8b46a1ad766fee630624</t>
  </si>
  <si>
    <t>2022-04-07 02:57:44 UTC</t>
  </si>
  <si>
    <t>2022-04-07 02:57:02 UTC</t>
  </si>
  <si>
    <t>2022-04-07 02:56:57 UTC</t>
  </si>
  <si>
    <t>2022-04-07 02:56:51 UTC</t>
  </si>
  <si>
    <t>2022-04-07 02:55:27 UTC</t>
  </si>
  <si>
    <t>2022-04-07 02:54:37 UTC</t>
  </si>
  <si>
    <t>2022-04-07 02:54:34 UTC</t>
  </si>
  <si>
    <t>2022-04-07 02:24:48 UTC</t>
  </si>
  <si>
    <t>5c96d8f4870aaf9df0f058b648856c6d</t>
  </si>
  <si>
    <t>2022-04-07 01:14:49 UTC</t>
  </si>
  <si>
    <t>2022-04-07 01:14:29 UTC</t>
  </si>
  <si>
    <t>2022-04-07 01:14:09 UTC</t>
  </si>
  <si>
    <t>2022-04-07 01:13:49 UTC</t>
  </si>
  <si>
    <t>2022-04-07 01:13:29 UTC</t>
  </si>
  <si>
    <t>2022-04-07 01:13:09 UTC</t>
  </si>
  <si>
    <t>2022-04-07 01:12:49 UTC</t>
  </si>
  <si>
    <t>2022-04-07 01:12:30 UTC</t>
  </si>
  <si>
    <t>2022-04-07 01:12:09 UTC</t>
  </si>
  <si>
    <t>2022-04-07 01:11:49 UTC</t>
  </si>
  <si>
    <t>2022-04-07 01:11:29 UTC</t>
  </si>
  <si>
    <t>2022-04-07 01:11:09 UTC</t>
  </si>
  <si>
    <t>2022-04-07 01:10:39 UTC</t>
  </si>
  <si>
    <t>2022-04-07 01:10:19 UTC</t>
  </si>
  <si>
    <t>2022-04-07 01:09:59 UTC</t>
  </si>
  <si>
    <t>2022-04-07 01:09:40 UTC</t>
  </si>
  <si>
    <t>2022-04-07 01:09:19 UTC</t>
  </si>
  <si>
    <t>2022-04-07 01:08:59 UTC</t>
  </si>
  <si>
    <t>2022-04-07 01:08:39 UTC</t>
  </si>
  <si>
    <t>2022-04-07 01:08:19 UTC</t>
  </si>
  <si>
    <t>2022-04-07 01:07:49 UTC</t>
  </si>
  <si>
    <t>2022-04-07 01:07:29 UTC</t>
  </si>
  <si>
    <t>2022-04-07 01:07:09 UTC</t>
  </si>
  <si>
    <t>2022-04-07 01:06:49 UTC</t>
  </si>
  <si>
    <t>2022-04-07 01:06:29 UTC</t>
  </si>
  <si>
    <t>2022-04-07 01:06:09 UTC</t>
  </si>
  <si>
    <t>2022-04-07 01:05:49 UTC</t>
  </si>
  <si>
    <t>2022-04-07 01:05:29 UTC</t>
  </si>
  <si>
    <t>2022-04-07 01:05:09 UTC</t>
  </si>
  <si>
    <t>2022-04-07 01:04:09 UTC</t>
  </si>
  <si>
    <t>2022-04-07 01:03:49 UTC</t>
  </si>
  <si>
    <t>2022-04-07 01:03:29 UTC</t>
  </si>
  <si>
    <t>2022-04-07 01:03:09 UTC</t>
  </si>
  <si>
    <t>2022-04-07 01:02:49 UTC</t>
  </si>
  <si>
    <t>2022-04-07 01:02:29 UTC</t>
  </si>
  <si>
    <t>2022-04-07 01:02:09 UTC</t>
  </si>
  <si>
    <t>2022-04-07 01:01:49 UTC</t>
  </si>
  <si>
    <t>2022-04-07 01:01:29 UTC</t>
  </si>
  <si>
    <t>2022-04-07 01:01:09 UTC</t>
  </si>
  <si>
    <t>2022-04-07 01:00:50 UTC</t>
  </si>
  <si>
    <t>2022-04-07 01:00:30 UTC</t>
  </si>
  <si>
    <t>2022-04-07 01:00:12 UTC</t>
  </si>
  <si>
    <t>2022-04-07 00:59:50 UTC</t>
  </si>
  <si>
    <t>2022-04-07 00:59:36 UTC</t>
  </si>
  <si>
    <t>2022-04-07 00:59:23 UTC</t>
  </si>
  <si>
    <t>2022-04-07 00:59:02 UTC</t>
  </si>
  <si>
    <t>2022-04-07 00:58:38 UTC</t>
  </si>
  <si>
    <t>2022-04-07 00:58:36 UTC</t>
  </si>
  <si>
    <t>2022-04-07 00:58:33 UTC</t>
  </si>
  <si>
    <t>2022-04-07 00:58:31 UTC</t>
  </si>
  <si>
    <t>2022-04-07 00:58:29 UTC</t>
  </si>
  <si>
    <t>2022-04-07 00:58:25 UTC</t>
  </si>
  <si>
    <t>2022-04-07 00:58:22 UTC</t>
  </si>
  <si>
    <t>2022-04-07 00:58:19 UTC</t>
  </si>
  <si>
    <t>2022-04-07 00:58:13 UTC</t>
  </si>
  <si>
    <t>2022-04-07 00:58:10 UTC</t>
  </si>
  <si>
    <t>2022-04-07 00:58:08 UTC</t>
  </si>
  <si>
    <t>2022-04-07 00:58:05 UTC</t>
  </si>
  <si>
    <t>2022-04-07 00:58:03 UTC</t>
  </si>
  <si>
    <t>2022-04-07 00:58:00 UTC</t>
  </si>
  <si>
    <t>2022-04-07 00:57:58 UTC</t>
  </si>
  <si>
    <t>2022-04-07 00:57:56 UTC</t>
  </si>
  <si>
    <t>2022-04-07 00:57:53 UTC</t>
  </si>
  <si>
    <t>2022-04-07 00:57:50 UTC</t>
  </si>
  <si>
    <t>2022-04-07 00:57:46 UTC</t>
  </si>
  <si>
    <t>2022-04-07 00:57:40 UTC</t>
  </si>
  <si>
    <t>2022-04-07 00:45:47 UTC</t>
  </si>
  <si>
    <t>7b129ec3cb7ef0d3c414d411065d2203</t>
  </si>
  <si>
    <t>2022-04-07 00:43:19 UTC</t>
  </si>
  <si>
    <t>2022-04-07 00:02:12 UTC</t>
  </si>
  <si>
    <t>ae2919d116e4644d3aa8f1f572813528</t>
  </si>
  <si>
    <t>2022-04-06 21:22:53 UTC</t>
  </si>
  <si>
    <t>2022-04-06 21:04:10 UTC</t>
  </si>
  <si>
    <t>2022-04-06 21:00:13 UTC</t>
  </si>
  <si>
    <t>2022-04-06 21:00:09 UTC</t>
  </si>
  <si>
    <t>2022-04-06 21:00:06 UTC</t>
  </si>
  <si>
    <t>42d560af1c394204b807b533c4ad33a0</t>
  </si>
  <si>
    <t>2022-04-06 20:59:59 UTC</t>
  </si>
  <si>
    <t>2022-04-06 19:27:30 UTC</t>
  </si>
  <si>
    <t>2022-04-06 18:11:36 UTC</t>
  </si>
  <si>
    <t>e1723e1dc1692120991df143a6eb28ac</t>
  </si>
  <si>
    <t>2022-04-06 17:15:35 UTC</t>
  </si>
  <si>
    <t>2022-04-06 17:15:06 UTC</t>
  </si>
  <si>
    <t>2022-04-06 17:15:01 UTC</t>
  </si>
  <si>
    <t>2022-04-06 17:14:28 UTC</t>
  </si>
  <si>
    <t>2022-04-06 17:09:07 UTC</t>
  </si>
  <si>
    <t>2022-04-06 17:09:05 UTC</t>
  </si>
  <si>
    <t>1e4fa6eacf569461b576e95a7f89a3f5</t>
  </si>
  <si>
    <t>2022-04-06 16:23:04 UTC</t>
  </si>
  <si>
    <t>0923a862747d3857d21e7a81fd1576cd</t>
  </si>
  <si>
    <t>2022-04-06 16:18:14 UTC</t>
  </si>
  <si>
    <t>2022-04-06 16:18:11 UTC</t>
  </si>
  <si>
    <t>2ff86d0267d59482bc5605da91efe4be</t>
  </si>
  <si>
    <t>2022-04-06 16:06:10 UTC</t>
  </si>
  <si>
    <t>61ea290aa9e31814ee4d2ced8dfcf3c4</t>
  </si>
  <si>
    <t>2022-04-06 16:05:23 UTC</t>
  </si>
  <si>
    <t>2022-04-06 16:05:19 UTC</t>
  </si>
  <si>
    <t>2022-04-06 15:58:33 UTC</t>
  </si>
  <si>
    <t>2022-04-06 15:50:59 UTC</t>
  </si>
  <si>
    <t>af9a1c3bce558e179663e8d0f3dccc2a</t>
  </si>
  <si>
    <t>2022-04-06 15:50:44 UTC</t>
  </si>
  <si>
    <t>2022-04-06 14:41:54 UTC</t>
  </si>
  <si>
    <t>2022-04-06 12:56:01 UTC</t>
  </si>
  <si>
    <t>2022-04-06 12:07:58 UTC</t>
  </si>
  <si>
    <t>2022-04-06 11:46:49 UTC</t>
  </si>
  <si>
    <t>2022-04-06 11:37:26 UTC</t>
  </si>
  <si>
    <t>2022-04-06 11:20:41 UTC</t>
  </si>
  <si>
    <t>2022-04-06 11:00:59 UTC</t>
  </si>
  <si>
    <t>2022-04-06 09:30:57 UTC</t>
  </si>
  <si>
    <t>2022-04-06 09:28:56 UTC</t>
  </si>
  <si>
    <t>2022-04-06 09:28:55 UTC</t>
  </si>
  <si>
    <t>2022-04-06 09:28:50 UTC</t>
  </si>
  <si>
    <t>2022-04-06 09:28:46 UTC</t>
  </si>
  <si>
    <t>2022-04-06 09:16:28 UTC</t>
  </si>
  <si>
    <t>2022-04-06 09:16:23 UTC</t>
  </si>
  <si>
    <t>2022-04-06 09:16:15 UTC</t>
  </si>
  <si>
    <t>2022-04-06 09:14:29 UTC</t>
  </si>
  <si>
    <t>2022-04-06 09:13:12 UTC</t>
  </si>
  <si>
    <t>2022-04-06 08:04:34 UTC</t>
  </si>
  <si>
    <t>2022-04-06 07:27:18 UTC</t>
  </si>
  <si>
    <t>2022-04-06 06:57:35 UTC</t>
  </si>
  <si>
    <t>2022-04-06 06:38:47 UTC</t>
  </si>
  <si>
    <t>2022-04-06 06:21:31 UTC</t>
  </si>
  <si>
    <t>2022-04-06 06:05:06 UTC</t>
  </si>
  <si>
    <t>2022-04-06 05:56:49 UTC</t>
  </si>
  <si>
    <t>2022-04-06 05:33:34 UTC</t>
  </si>
  <si>
    <t>2022-04-06 04:09:27 UTC</t>
  </si>
  <si>
    <t>2022-04-06 04:09:23 UTC</t>
  </si>
  <si>
    <t>2022-04-06 04:09:18 UTC</t>
  </si>
  <si>
    <t>2022-04-06 04:09:15 UTC</t>
  </si>
  <si>
    <t>2022-04-06 03:40:48 UTC</t>
  </si>
  <si>
    <t>2022-04-06 03:40:29 UTC</t>
  </si>
  <si>
    <t>f24f15fb345f70562f40c0d65502d226</t>
  </si>
  <si>
    <t>2022-04-06 02:20:44 UTC</t>
  </si>
  <si>
    <t>2022-04-06 02:04:18 UTC</t>
  </si>
  <si>
    <t>aa2bd835813b98976388611dc37aac1a</t>
  </si>
  <si>
    <t>2022-04-05 16:53:30 UTC</t>
  </si>
  <si>
    <t>2022-04-05 16:53:08 UTC</t>
  </si>
  <si>
    <t>2022-04-05 16:53:04 UTC</t>
  </si>
  <si>
    <t>2022-04-05 16:52:56 UTC</t>
  </si>
  <si>
    <t>2022-04-05 16:52:40 UTC</t>
  </si>
  <si>
    <t>2022-04-05 16:51:38 UTC</t>
  </si>
  <si>
    <t>2022-04-05 16:51:06 UTC</t>
  </si>
  <si>
    <t>2022-04-05 16:51:04 UTC</t>
  </si>
  <si>
    <t>2022-04-05 16:50:57 UTC</t>
  </si>
  <si>
    <t>2022-04-05 16:41:10 UTC</t>
  </si>
  <si>
    <t>2022-04-05 15:32:57 UTC</t>
  </si>
  <si>
    <t>2022-04-05 15:02:01 UTC</t>
  </si>
  <si>
    <t>2022-04-05 15:01:26 UTC</t>
  </si>
  <si>
    <t>2022-04-05 15:01:23 UTC</t>
  </si>
  <si>
    <t>2022-04-05 15:00:52 UTC</t>
  </si>
  <si>
    <t>2022-04-05 14:59:25 UTC</t>
  </si>
  <si>
    <t>2022-04-05 14:58:56 UTC</t>
  </si>
  <si>
    <t>2022-04-05 14:58:24 UTC</t>
  </si>
  <si>
    <t>2022-04-05 12:07:51 UTC</t>
  </si>
  <si>
    <t>2022-04-05 11:11:32 UTC</t>
  </si>
  <si>
    <t>bf95b4dc9a30cc54a08a42375e48ea5b</t>
  </si>
  <si>
    <t>2022-04-05 10:06:29 UTC</t>
  </si>
  <si>
    <t>2022-04-05 10:06:13 UTC</t>
  </si>
  <si>
    <t>2022-04-05 10:06:07 UTC</t>
  </si>
  <si>
    <t>2022-04-05 10:03:31 UTC</t>
  </si>
  <si>
    <t>a9097b37ac202145f18a29df51074dac</t>
  </si>
  <si>
    <t>2022-04-05 08:48:04 UTC</t>
  </si>
  <si>
    <t>2022-04-05 07:51:18 UTC</t>
  </si>
  <si>
    <t>b648154e3f8cdb6c99c8bf96cab5125a</t>
  </si>
  <si>
    <t>2022-04-05 07:44:05 UTC</t>
  </si>
  <si>
    <t>2022-04-05 07:33:44 UTC</t>
  </si>
  <si>
    <t>2022-04-05 07:33:17 UTC</t>
  </si>
  <si>
    <t>2022-04-05 07:28:55 UTC</t>
  </si>
  <si>
    <t>2022-04-05 07:28:43 UTC</t>
  </si>
  <si>
    <t>2022-04-05 07:21:40 UTC</t>
  </si>
  <si>
    <t>2022-04-05 07:00:29 UTC</t>
  </si>
  <si>
    <t>2022-04-05 05:40:40 UTC</t>
  </si>
  <si>
    <t>2022-04-05 05:39:51 UTC</t>
  </si>
  <si>
    <t>2022-04-05 05:38:54 UTC</t>
  </si>
  <si>
    <t>2022-04-05 05:36:19 UTC</t>
  </si>
  <si>
    <t>2022-04-05 05:22:20 UTC</t>
  </si>
  <si>
    <t>2022-04-05 05:21:39 UTC</t>
  </si>
  <si>
    <t>2022-04-05 05:15:55 UTC</t>
  </si>
  <si>
    <t>2022-04-05 05:12:02 UTC</t>
  </si>
  <si>
    <t>05ae3b0b19155016871dedd4eca1b3e9</t>
  </si>
  <si>
    <t>2022-04-05 04:26:42 UTC</t>
  </si>
  <si>
    <t>2022-04-05 04:26:20 UTC</t>
  </si>
  <si>
    <t>2022-04-05 04:26:11 UTC</t>
  </si>
  <si>
    <t>2022-04-05 04:24:47 UTC</t>
  </si>
  <si>
    <t>2022-04-05 03:41:53 UTC</t>
  </si>
  <si>
    <t>2022-04-05 03:41:50 UTC</t>
  </si>
  <si>
    <t>2022-04-05 03:41:47 UTC</t>
  </si>
  <si>
    <t>2022-04-05 03:41:45 UTC</t>
  </si>
  <si>
    <t>2022-04-05 03:41:27 UTC</t>
  </si>
  <si>
    <t>2022-04-05 03:41:26 UTC</t>
  </si>
  <si>
    <t>2022-04-05 03:41:24 UTC</t>
  </si>
  <si>
    <t>2022-04-05 03:41:22 UTC</t>
  </si>
  <si>
    <t>2022-04-05 03:41:20 UTC</t>
  </si>
  <si>
    <t>2022-04-05 03:41:18 UTC</t>
  </si>
  <si>
    <t>2022-04-05 03:41:17 UTC</t>
  </si>
  <si>
    <t>2022-04-05 03:41:10 UTC</t>
  </si>
  <si>
    <t>2022-04-05 03:41:08 UTC</t>
  </si>
  <si>
    <t>2022-04-05 03:41:03 UTC</t>
  </si>
  <si>
    <t>2022-04-05 03:41:00 UTC</t>
  </si>
  <si>
    <t>2022-04-05 03:40:53 UTC</t>
  </si>
  <si>
    <t>2022-04-05 03:40:52 UTC</t>
  </si>
  <si>
    <t>2022-04-05 03:40:50 UTC</t>
  </si>
  <si>
    <t>2022-04-05 03:40:48 UTC</t>
  </si>
  <si>
    <t>2022-04-05 03:40:46 UTC</t>
  </si>
  <si>
    <t>2022-04-05 03:40:44 UTC</t>
  </si>
  <si>
    <t>2022-04-05 03:40:43 UTC</t>
  </si>
  <si>
    <t>2022-04-05 03:40:41 UTC</t>
  </si>
  <si>
    <t>2022-04-05 03:40:38 UTC</t>
  </si>
  <si>
    <t>2022-04-05 03:40:16 UTC</t>
  </si>
  <si>
    <t>2022-04-05 03:40:14 UTC</t>
  </si>
  <si>
    <t>2022-04-05 03:40:12 UTC</t>
  </si>
  <si>
    <t>2022-04-05 03:40:10 UTC</t>
  </si>
  <si>
    <t>2022-04-05 03:40:08 UTC</t>
  </si>
  <si>
    <t>2022-04-04 19:13:04 UTC</t>
  </si>
  <si>
    <t>2022-04-04 16:55:10 UTC</t>
  </si>
  <si>
    <t>2022-04-04 16:47:06 UTC</t>
  </si>
  <si>
    <t>2022-04-04 16:40:40 UTC</t>
  </si>
  <si>
    <t>2022-04-04 16:10:25 UTC</t>
  </si>
  <si>
    <t>2022-04-04 16:01:12 UTC</t>
  </si>
  <si>
    <t>9bb09ae8f79061a29c3ae59e4ceecb3d</t>
  </si>
  <si>
    <t>2022-04-04 15:45:02 UTC</t>
  </si>
  <si>
    <t>2022-04-04 15:03:22 UTC</t>
  </si>
  <si>
    <t>2022-04-04 15:02:53 UTC</t>
  </si>
  <si>
    <t>2022-04-04 15:02:50 UTC</t>
  </si>
  <si>
    <t>2022-04-04 15:02:49 UTC</t>
  </si>
  <si>
    <t>2022-04-04 14:28:06 UTC</t>
  </si>
  <si>
    <t>2022-04-04 13:53:30 UTC</t>
  </si>
  <si>
    <t>2022-04-04 12:52:52 UTC</t>
  </si>
  <si>
    <t>2022-04-04 12:52:44 UTC</t>
  </si>
  <si>
    <t>2022-04-04 12:52:33 UTC</t>
  </si>
  <si>
    <t>2022-04-04 12:52:03 UTC</t>
  </si>
  <si>
    <t>2022-04-04 12:45:50 UTC</t>
  </si>
  <si>
    <t>2022-04-04 12:45:28 UTC</t>
  </si>
  <si>
    <t>2022-04-04 12:45:10 UTC</t>
  </si>
  <si>
    <t>2022-04-04 12:41:14 UTC</t>
  </si>
  <si>
    <t>2022-04-04 12:40:42 UTC</t>
  </si>
  <si>
    <t>2022-04-04 12:31:09 UTC</t>
  </si>
  <si>
    <t>2022-04-04 11:43:21 UTC</t>
  </si>
  <si>
    <t>2022-04-04 11:43:18 UTC</t>
  </si>
  <si>
    <t>2022-04-04 11:43:15 UTC</t>
  </si>
  <si>
    <t>2022-04-04 11:43:12 UTC</t>
  </si>
  <si>
    <t>2022-04-04 11:43:10 UTC</t>
  </si>
  <si>
    <t>2022-04-04 11:43:07 UTC</t>
  </si>
  <si>
    <t>2022-04-04 11:43:00 UTC</t>
  </si>
  <si>
    <t>2022-04-04 11:42:57 UTC</t>
  </si>
  <si>
    <t>2022-04-04 11:42:54 UTC</t>
  </si>
  <si>
    <t>2022-04-04 11:42:50 UTC</t>
  </si>
  <si>
    <t>2022-04-04 11:42:47 UTC</t>
  </si>
  <si>
    <t>2022-04-04 11:42:18 UTC</t>
  </si>
  <si>
    <t>2022-04-04 11:42:16 UTC</t>
  </si>
  <si>
    <t>2022-04-04 11:39:20 UTC</t>
  </si>
  <si>
    <t>2022-04-04 10:29:41 UTC</t>
  </si>
  <si>
    <t>2022-04-04 10:19:40 UTC</t>
  </si>
  <si>
    <t>2022-04-04 10:19:38 UTC</t>
  </si>
  <si>
    <t>2022-04-04 10:19:37 UTC</t>
  </si>
  <si>
    <t>2022-04-04 10:19:34 UTC</t>
  </si>
  <si>
    <t>2022-04-04 10:19:32 UTC</t>
  </si>
  <si>
    <t>2022-04-04 10:19:08 UTC</t>
  </si>
  <si>
    <t>2022-04-04 08:49:16 UTC</t>
  </si>
  <si>
    <t>2022-04-04 08:49:13 UTC</t>
  </si>
  <si>
    <t>2022-04-04 08:48:35 UTC</t>
  </si>
  <si>
    <t>2022-04-04 08:48:33 UTC</t>
  </si>
  <si>
    <t>2022-04-04 08:45:55 UTC</t>
  </si>
  <si>
    <t>2022-04-04 08:10:00 UTC</t>
  </si>
  <si>
    <t>fda7587de624ecaf9a1a2fd5cbbaa31c</t>
  </si>
  <si>
    <t>2022-04-04 07:46:09 UTC</t>
  </si>
  <si>
    <t>2022-04-04 07:46:03 UTC</t>
  </si>
  <si>
    <t>2022-04-04 07:45:59 UTC</t>
  </si>
  <si>
    <t>2022-04-04 07:03:51 UTC</t>
  </si>
  <si>
    <t>2022-04-04 06:54:46 UTC</t>
  </si>
  <si>
    <t>2022-04-04 06:33:47 UTC</t>
  </si>
  <si>
    <t>2022-04-04 06:33:30 UTC</t>
  </si>
  <si>
    <t>2022-04-04 06:32:41 UTC</t>
  </si>
  <si>
    <t>2022-04-04 06:32:38 UTC</t>
  </si>
  <si>
    <t>2022-04-04 06:32:31 UTC</t>
  </si>
  <si>
    <t>2022-04-04 06:32:28 UTC</t>
  </si>
  <si>
    <t>2022-04-04 06:32:26 UTC</t>
  </si>
  <si>
    <t>2022-04-04 06:32:21 UTC</t>
  </si>
  <si>
    <t>2022-04-04 06:32:19 UTC</t>
  </si>
  <si>
    <t>2022-04-04 06:05:24 UTC</t>
  </si>
  <si>
    <t>2022-04-04 06:03:23 UTC</t>
  </si>
  <si>
    <t>2022-04-04 06:02:19 UTC</t>
  </si>
  <si>
    <t>2022-04-04 06:01:42 UTC</t>
  </si>
  <si>
    <t>2022-04-04 06:01:37 UTC</t>
  </si>
  <si>
    <t>2022-04-04 05:43:59 UTC</t>
  </si>
  <si>
    <t>2022-04-04 05:43:46 UTC</t>
  </si>
  <si>
    <t>2022-04-04 05:26:42 UTC</t>
  </si>
  <si>
    <t>2022-04-04 05:15:45 UTC</t>
  </si>
  <si>
    <t>2022-04-04 04:58:59 UTC</t>
  </si>
  <si>
    <t>2022-04-04 04:57:55 UTC</t>
  </si>
  <si>
    <t>2022-04-04 04:57:48 UTC</t>
  </si>
  <si>
    <t>2022-04-04 04:57:27 UTC</t>
  </si>
  <si>
    <t>2022-04-04 03:26:18 UTC</t>
  </si>
  <si>
    <t>2022-04-04 02:07:38 UTC</t>
  </si>
  <si>
    <t>2022-04-04 01:55:41 UTC</t>
  </si>
  <si>
    <t>2022-04-03 21:47:26 UTC</t>
  </si>
  <si>
    <t>2022-04-03 18:02:48 UTC</t>
  </si>
  <si>
    <t>2022-04-03 18:01:48 UTC</t>
  </si>
  <si>
    <t>2022-04-03 18:01:13 UTC</t>
  </si>
  <si>
    <t>2022-04-03 18:00:28 UTC</t>
  </si>
  <si>
    <t>2022-04-03 17:59:19 UTC</t>
  </si>
  <si>
    <t>b648a4f54a7837c4ad43949c1f8ad0ac</t>
  </si>
  <si>
    <t>2022-04-03 17:57:58 UTC</t>
  </si>
  <si>
    <t>2022-04-03 17:57:49 UTC</t>
  </si>
  <si>
    <t>2022-04-03 17:53:20 UTC</t>
  </si>
  <si>
    <t>2022-04-03 16:52:22 UTC</t>
  </si>
  <si>
    <t>2022-04-03 16:46:18 UTC</t>
  </si>
  <si>
    <t>2022-04-03 16:26:26 UTC</t>
  </si>
  <si>
    <t>2022-04-03 16:20:37 UTC</t>
  </si>
  <si>
    <t>2022-04-03 16:11:37 UTC</t>
  </si>
  <si>
    <t>2022-04-03 16:03:02 UTC</t>
  </si>
  <si>
    <t>2022-04-03 15:23:59 UTC</t>
  </si>
  <si>
    <t>2022-04-03 14:59:53 UTC</t>
  </si>
  <si>
    <t>2022-04-03 14:53:27 UTC</t>
  </si>
  <si>
    <t>33ca36c7a5a607c962de726dd7d81e8b</t>
  </si>
  <si>
    <t>2022-04-03 14:53:24 UTC</t>
  </si>
  <si>
    <t>2022-04-03 14:53:22 UTC</t>
  </si>
  <si>
    <t>2022-04-03 14:53:16 UTC</t>
  </si>
  <si>
    <t>2022-04-03 14:53:08 UTC</t>
  </si>
  <si>
    <t>2022-04-03 14:35:25 UTC</t>
  </si>
  <si>
    <t>2022-04-03 14:35:23 UTC</t>
  </si>
  <si>
    <t>2022-04-03 14:35:21 UTC</t>
  </si>
  <si>
    <t>2022-04-03 14:35:18 UTC</t>
  </si>
  <si>
    <t>2022-04-03 14:35:17 UTC</t>
  </si>
  <si>
    <t>2022-04-03 14:35:14 UTC</t>
  </si>
  <si>
    <t>2022-04-03 14:35:13 UTC</t>
  </si>
  <si>
    <t>2022-04-03 14:35:11 UTC</t>
  </si>
  <si>
    <t>2022-04-03 14:35:09 UTC</t>
  </si>
  <si>
    <t>2022-04-03 14:35:06 UTC</t>
  </si>
  <si>
    <t>2022-04-03 14:35:04 UTC</t>
  </si>
  <si>
    <t>2022-04-03 14:35:01 UTC</t>
  </si>
  <si>
    <t>2022-04-03 14:34:58 UTC</t>
  </si>
  <si>
    <t>2022-04-03 14:34:55 UTC</t>
  </si>
  <si>
    <t>2022-04-03 14:34:50 UTC</t>
  </si>
  <si>
    <t>2022-04-03 14:34:47 UTC</t>
  </si>
  <si>
    <t>2022-04-03 14:34:45 UTC</t>
  </si>
  <si>
    <t>2022-04-03 14:34:42 UTC</t>
  </si>
  <si>
    <t>2022-04-03 14:34:39 UTC</t>
  </si>
  <si>
    <t>2022-04-03 14:34:36 UTC</t>
  </si>
  <si>
    <t>2022-04-03 14:34:33 UTC</t>
  </si>
  <si>
    <t>2022-04-03 14:34:30 UTC</t>
  </si>
  <si>
    <t>2022-04-03 14:34:27 UTC</t>
  </si>
  <si>
    <t>2022-04-03 14:34:24 UTC</t>
  </si>
  <si>
    <t>2022-04-03 14:34:21 UTC</t>
  </si>
  <si>
    <t>2022-04-03 14:34:19 UTC</t>
  </si>
  <si>
    <t>2022-04-03 14:34:15 UTC</t>
  </si>
  <si>
    <t>2022-04-03 14:34:12 UTC</t>
  </si>
  <si>
    <t>2022-04-03 14:34:10 UTC</t>
  </si>
  <si>
    <t>2022-04-03 14:34:08 UTC</t>
  </si>
  <si>
    <t>2022-04-03 14:34:06 UTC</t>
  </si>
  <si>
    <t>2022-04-03 14:34:04 UTC</t>
  </si>
  <si>
    <t>2022-04-03 14:34:02 UTC</t>
  </si>
  <si>
    <t>2022-04-03 14:33:59 UTC</t>
  </si>
  <si>
    <t>2022-04-03 14:33:57 UTC</t>
  </si>
  <si>
    <t>2022-04-03 14:33:55 UTC</t>
  </si>
  <si>
    <t>2022-04-03 14:33:53 UTC</t>
  </si>
  <si>
    <t>2022-04-03 14:33:51 UTC</t>
  </si>
  <si>
    <t>2022-04-03 14:33:49 UTC</t>
  </si>
  <si>
    <t>2022-04-03 14:33:47 UTC</t>
  </si>
  <si>
    <t>2022-04-03 14:33:45 UTC</t>
  </si>
  <si>
    <t>2022-04-03 14:33:42 UTC</t>
  </si>
  <si>
    <t>2022-04-03 14:33:40 UTC</t>
  </si>
  <si>
    <t>2022-04-03 14:33:38 UTC</t>
  </si>
  <si>
    <t>2022-04-03 14:33:36 UTC</t>
  </si>
  <si>
    <t>2022-04-03 14:33:34 UTC</t>
  </si>
  <si>
    <t>2022-04-03 14:33:32 UTC</t>
  </si>
  <si>
    <t>2022-04-03 14:33:29 UTC</t>
  </si>
  <si>
    <t>2022-04-03 14:33:26 UTC</t>
  </si>
  <si>
    <t>2022-04-03 14:33:23 UTC</t>
  </si>
  <si>
    <t>2022-04-03 14:33:20 UTC</t>
  </si>
  <si>
    <t>2022-04-03 14:33:18 UTC</t>
  </si>
  <si>
    <t>2022-04-03 14:33:15 UTC</t>
  </si>
  <si>
    <t>2022-04-03 14:33:12 UTC</t>
  </si>
  <si>
    <t>2022-04-03 14:33:10 UTC</t>
  </si>
  <si>
    <t>2022-04-03 14:33:08 UTC</t>
  </si>
  <si>
    <t>2022-04-03 14:33:06 UTC</t>
  </si>
  <si>
    <t>2022-04-03 14:33:03 UTC</t>
  </si>
  <si>
    <t>2022-04-03 14:33:01 UTC</t>
  </si>
  <si>
    <t>2022-04-03 14:32:59 UTC</t>
  </si>
  <si>
    <t>2022-04-03 14:32:56 UTC</t>
  </si>
  <si>
    <t>2022-04-03 14:32:54 UTC</t>
  </si>
  <si>
    <t>2022-04-03 14:32:51 UTC</t>
  </si>
  <si>
    <t>2022-04-03 14:32:49 UTC</t>
  </si>
  <si>
    <t>2022-04-03 14:32:46 UTC</t>
  </si>
  <si>
    <t>2022-04-03 14:32:42 UTC</t>
  </si>
  <si>
    <t>2022-04-03 14:32:39 UTC</t>
  </si>
  <si>
    <t>2022-04-03 14:32:36 UTC</t>
  </si>
  <si>
    <t>2022-04-03 14:28:18 UTC</t>
  </si>
  <si>
    <t>2022-04-03 14:03:25 UTC</t>
  </si>
  <si>
    <t>2022-04-03 14:00:52 UTC</t>
  </si>
  <si>
    <t>2022-04-03 14:00:18 UTC</t>
  </si>
  <si>
    <t>2022-04-03 13:28:03 UTC</t>
  </si>
  <si>
    <t>2022-04-03 13:17:53 UTC</t>
  </si>
  <si>
    <t>2022-04-03 13:17:42 UTC</t>
  </si>
  <si>
    <t>2022-04-03 13:17:28 UTC</t>
  </si>
  <si>
    <t>2022-04-03 12:49:40 UTC</t>
  </si>
  <si>
    <t>2022-04-03 12:42:53 UTC</t>
  </si>
  <si>
    <t>2022-04-03 12:28:49 UTC</t>
  </si>
  <si>
    <t>2022-04-03 12:27:31 UTC</t>
  </si>
  <si>
    <t>2022-04-03 12:27:23 UTC</t>
  </si>
  <si>
    <t>2022-04-03 12:27:20 UTC</t>
  </si>
  <si>
    <t>2022-04-03 12:27:05 UTC</t>
  </si>
  <si>
    <t>2022-04-03 12:26:59 UTC</t>
  </si>
  <si>
    <t>2022-04-03 12:26:52 UTC</t>
  </si>
  <si>
    <t>2022-04-03 12:26:44 UTC</t>
  </si>
  <si>
    <t>2022-04-03 12:26:38 UTC</t>
  </si>
  <si>
    <t>2022-04-03 12:26:34 UTC</t>
  </si>
  <si>
    <t>2022-04-03 12:26:29 UTC</t>
  </si>
  <si>
    <t>2022-04-03 12:01:23 UTC</t>
  </si>
  <si>
    <t>2022-04-03 11:59:47 UTC</t>
  </si>
  <si>
    <t>2022-04-03 11:58:35 UTC</t>
  </si>
  <si>
    <t>2022-04-03 11:58:21 UTC</t>
  </si>
  <si>
    <t>2022-04-03 11:47:58 UTC</t>
  </si>
  <si>
    <t>2022-04-03 11:33:37 UTC</t>
  </si>
  <si>
    <t>2022-04-03 11:18:48 UTC</t>
  </si>
  <si>
    <t>2022-04-03 11:16:42 UTC</t>
  </si>
  <si>
    <t>2022-04-03 11:16:40 UTC</t>
  </si>
  <si>
    <t>2022-04-03 11:16:35 UTC</t>
  </si>
  <si>
    <t>2022-04-03 11:16:34 UTC</t>
  </si>
  <si>
    <t>2022-04-03 11:16:32 UTC</t>
  </si>
  <si>
    <t>2022-04-03 11:16:26 UTC</t>
  </si>
  <si>
    <t>2022-04-03 11:15:41 UTC</t>
  </si>
  <si>
    <t>2022-04-03 11:15:34 UTC</t>
  </si>
  <si>
    <t>2022-04-03 11:15:27 UTC</t>
  </si>
  <si>
    <t>2022-04-03 11:15:13 UTC</t>
  </si>
  <si>
    <t>2022-04-03 11:09:09 UTC</t>
  </si>
  <si>
    <t>2022-04-03 10:25:29 UTC</t>
  </si>
  <si>
    <t>2bd946513c059f4de21c961027d4e04d</t>
  </si>
  <si>
    <t>2022-04-03 09:50:02 UTC</t>
  </si>
  <si>
    <t>2022-04-03 07:17:35 UTC</t>
  </si>
  <si>
    <t>2022-04-03 07:02:55 UTC</t>
  </si>
  <si>
    <t>2022-04-03 07:01:07 UTC</t>
  </si>
  <si>
    <t>2022-04-03 06:55:37 UTC</t>
  </si>
  <si>
    <t>2022-04-03 06:55:29 UTC</t>
  </si>
  <si>
    <t>2022-04-03 06:47:37 UTC</t>
  </si>
  <si>
    <t>2022-04-03 06:33:28 UTC</t>
  </si>
  <si>
    <t>2022-04-03 06:33:24 UTC</t>
  </si>
  <si>
    <t>2022-04-03 05:59:29 UTC</t>
  </si>
  <si>
    <t>2022-04-03 05:59:21 UTC</t>
  </si>
  <si>
    <t>2022-04-03 05:49:24 UTC</t>
  </si>
  <si>
    <t>f6813c2a1de03a3bb3063c484d040061</t>
  </si>
  <si>
    <t>2022-04-03 05:20:01 UTC</t>
  </si>
  <si>
    <t>2022-04-03 05:00:21 UTC</t>
  </si>
  <si>
    <t>2022-04-03 04:59:38 UTC</t>
  </si>
  <si>
    <t>2022-04-03 04:59:30 UTC</t>
  </si>
  <si>
    <t>2022-04-03 04:59:14 UTC</t>
  </si>
  <si>
    <t>2022-04-03 04:58:03 UTC</t>
  </si>
  <si>
    <t>2022-04-03 04:56:49 UTC</t>
  </si>
  <si>
    <t>2022-04-03 04:56:11 UTC</t>
  </si>
  <si>
    <t>2022-04-03 04:56:05 UTC</t>
  </si>
  <si>
    <t>2022-04-03 04:54:59 UTC</t>
  </si>
  <si>
    <t>2022-04-03 04:18:22 UTC</t>
  </si>
  <si>
    <t>2022-04-03 04:18:08 UTC</t>
  </si>
  <si>
    <t>2022-04-03 04:17:44 UTC</t>
  </si>
  <si>
    <t>2022-04-03 04:17:40 UTC</t>
  </si>
  <si>
    <t>2022-04-03 04:17:33 UTC</t>
  </si>
  <si>
    <t>2022-04-03 04:17:17 UTC</t>
  </si>
  <si>
    <t>2022-04-03 04:17:15 UTC</t>
  </si>
  <si>
    <t>2022-04-03 04:07:58 UTC</t>
  </si>
  <si>
    <t>2022-04-03 04:07:52 UTC</t>
  </si>
  <si>
    <t>2022-04-03 04:03:07 UTC</t>
  </si>
  <si>
    <t>e100e02e2879ddd59a92f06b575e1608</t>
  </si>
  <si>
    <t>2022-04-03 02:16:13 UTC</t>
  </si>
  <si>
    <t>2022-04-03 02:13:57 UTC</t>
  </si>
  <si>
    <t>2022-04-03 02:13:52 UTC</t>
  </si>
  <si>
    <t>2022-04-03 02:07:23 UTC</t>
  </si>
  <si>
    <t>2022-04-03 02:07:21 UTC</t>
  </si>
  <si>
    <t>2022-04-03 02:07:19 UTC</t>
  </si>
  <si>
    <t>2022-04-03 02:07:18 UTC</t>
  </si>
  <si>
    <t>2022-04-03 02:07:16 UTC</t>
  </si>
  <si>
    <t>2022-04-03 02:07:15 UTC</t>
  </si>
  <si>
    <t>2022-04-03 02:07:13 UTC</t>
  </si>
  <si>
    <t>2022-04-03 02:07:09 UTC</t>
  </si>
  <si>
    <t>2022-04-03 02:07:08 UTC</t>
  </si>
  <si>
    <t>2022-04-03 02:07:02 UTC</t>
  </si>
  <si>
    <t>2022-04-03 02:05:46 UTC</t>
  </si>
  <si>
    <t>2022-04-03 02:04:51 UTC</t>
  </si>
  <si>
    <t>2022-04-03 01:59:36 UTC</t>
  </si>
  <si>
    <t>2022-04-03 01:59:34 UTC</t>
  </si>
  <si>
    <t>2022-04-03 01:59:32 UTC</t>
  </si>
  <si>
    <t>2022-04-03 01:59:26 UTC</t>
  </si>
  <si>
    <t>2022-04-02 17:28:23 UTC</t>
  </si>
  <si>
    <t>2022-04-02 16:09:07 UTC</t>
  </si>
  <si>
    <t>2022-04-02 15:45:26 UTC</t>
  </si>
  <si>
    <t>2022-04-02 13:24:48 UTC</t>
  </si>
  <si>
    <t>2022-04-02 13:24:46 UTC</t>
  </si>
  <si>
    <t>2022-04-02 13:24:44 UTC</t>
  </si>
  <si>
    <t>2022-04-02 13:24:42 UTC</t>
  </si>
  <si>
    <t>2022-04-02 13:24:32 UTC</t>
  </si>
  <si>
    <t>2022-04-02 13:15:35 UTC</t>
  </si>
  <si>
    <t>2022-04-02 13:09:52 UTC</t>
  </si>
  <si>
    <t>2022-04-02 12:25:37 UTC</t>
  </si>
  <si>
    <t>2022-04-02 11:28:42 UTC</t>
  </si>
  <si>
    <t>2022-04-02 11:28:40 UTC</t>
  </si>
  <si>
    <t>2022-04-02 11:00:54 UTC</t>
  </si>
  <si>
    <t>2022-04-02 10:21:15 UTC</t>
  </si>
  <si>
    <t>2022-04-02 10:15:43 UTC</t>
  </si>
  <si>
    <t>2022-04-02 10:15:38 UTC</t>
  </si>
  <si>
    <t>2022-04-02 06:37:59 UTC</t>
  </si>
  <si>
    <t>2f0068762e7ad78ca3b5839e70a5d1a7</t>
  </si>
  <si>
    <t>2022-04-02 06:35:28 UTC</t>
  </si>
  <si>
    <t>2022-04-02 06:35:25 UTC</t>
  </si>
  <si>
    <t>2022-04-02 06:35:23 UTC</t>
  </si>
  <si>
    <t>2022-04-02 06:35:21 UTC</t>
  </si>
  <si>
    <t>2022-04-02 06:35:10 UTC</t>
  </si>
  <si>
    <t>2022-04-02 06:35:08 UTC</t>
  </si>
  <si>
    <t>2022-04-02 04:20:49 UTC</t>
  </si>
  <si>
    <t>2022-04-02 04:18:13 UTC</t>
  </si>
  <si>
    <t>2022-04-02 04:14:02 UTC</t>
  </si>
  <si>
    <t>2022-04-02 04:13:49 UTC</t>
  </si>
  <si>
    <t>2022-04-02 03:55:37 UTC</t>
  </si>
  <si>
    <t>2022-04-02 03:33:47 UTC</t>
  </si>
  <si>
    <t>2022-04-02 02:13:00 UTC</t>
  </si>
  <si>
    <t>2022-04-02 01:35:33 UTC</t>
  </si>
  <si>
    <t>2022-04-01 19:50:34 UTC</t>
  </si>
  <si>
    <t>2022-04-01 19:15:52 UTC</t>
  </si>
  <si>
    <t>2022-04-01 17:24:51 UTC</t>
  </si>
  <si>
    <t>2022-04-01 13:19:08 UTC</t>
  </si>
  <si>
    <t>2022-04-01 13:19:05 UTC</t>
  </si>
  <si>
    <t>2022-04-01 13:18:59 UTC</t>
  </si>
  <si>
    <t>2022-04-01 13:15:03 UTC</t>
  </si>
  <si>
    <t>2022-04-01 13:02:34 UTC</t>
  </si>
  <si>
    <t>cfbb9c2a3362d1f9c2b7549191ca39e4</t>
  </si>
  <si>
    <t>2022-04-01 10:37:51 UTC</t>
  </si>
  <si>
    <t>2022-04-01 10:22:20 UTC</t>
  </si>
  <si>
    <t>2022-04-01 06:19:02 UTC</t>
  </si>
  <si>
    <t>2022-04-01 06:18:39 UTC</t>
  </si>
  <si>
    <t>2022-04-01 05:57:52 UTC</t>
  </si>
  <si>
    <t>2022-04-01 05:56:31 UTC</t>
  </si>
  <si>
    <t>2022-04-01 05:55:35 UTC</t>
  </si>
  <si>
    <t>2022-04-01 05:54:59 UTC</t>
  </si>
  <si>
    <t>2022-04-01 05:54:24 UTC</t>
  </si>
  <si>
    <t>2022-04-01 05:53:42 UTC</t>
  </si>
  <si>
    <t>2022-04-01 05:53:30 UTC</t>
  </si>
  <si>
    <t>2022-04-01 05:52:55 UTC</t>
  </si>
  <si>
    <t>2022-04-01 05:52:48 UTC</t>
  </si>
  <si>
    <t>2022-04-01 05:52:05 UTC</t>
  </si>
  <si>
    <t>2022-04-01 05:51:29 UTC</t>
  </si>
  <si>
    <t>2022-04-01 05:50:56 UTC</t>
  </si>
  <si>
    <t>2022-04-01 05:50:54 UTC</t>
  </si>
  <si>
    <t>2022-04-01 05:25:06 UTC</t>
  </si>
  <si>
    <t>2022-04-01 05:24:18 UTC</t>
  </si>
  <si>
    <t>2022-04-01 05:23:19 UTC</t>
  </si>
  <si>
    <t>2022-04-01 05:22:46 UTC</t>
  </si>
  <si>
    <t>2022-04-01 05:22:11 UTC</t>
  </si>
  <si>
    <t>2022-04-01 05:21:35 UTC</t>
  </si>
  <si>
    <t>2022-04-01 05:21:24 UTC</t>
  </si>
  <si>
    <t>2022-04-01 05:11:46 UTC</t>
  </si>
  <si>
    <t>2022-04-01 04:44:33 UTC</t>
  </si>
  <si>
    <t>2022-04-01 04:31:22 UTC</t>
  </si>
  <si>
    <t>2022-04-01 04:29:41 UTC</t>
  </si>
  <si>
    <t>2022-04-01 04:29:06 UTC</t>
  </si>
  <si>
    <t>2022-04-01 04:28:34 UTC</t>
  </si>
  <si>
    <t>2022-04-01 04:27:43 UTC</t>
  </si>
  <si>
    <t>2022-04-01 04:27:10 UTC</t>
  </si>
  <si>
    <t>2022-04-01 04:26:33 UTC</t>
  </si>
  <si>
    <t>2022-04-01 04:26:24 UTC</t>
  </si>
  <si>
    <t>2022-04-01 04:26:23 UTC</t>
  </si>
  <si>
    <t>2022-04-01 04:26:22 UTC</t>
  </si>
  <si>
    <t>2022-04-01 04:26:01 UTC</t>
  </si>
  <si>
    <t>2022-04-01 04:25:20 UTC</t>
  </si>
  <si>
    <t>2022-04-01 04:25:18 UTC</t>
  </si>
  <si>
    <t>2022-04-01 04:25:08 UTC</t>
  </si>
  <si>
    <t>2022-04-01 04:25:07 UTC</t>
  </si>
  <si>
    <t>2022-04-01 04:16:59 UTC</t>
  </si>
  <si>
    <t>2022-04-01 04:16:57 UTC</t>
  </si>
  <si>
    <t>2022-04-01 01:39:41 UTC</t>
  </si>
  <si>
    <t>2022-04-01 01:39:02 UTC</t>
  </si>
  <si>
    <t>2022-04-01 01:38:00 UTC</t>
  </si>
  <si>
    <t>2022-04-01 01:37:16 UTC</t>
  </si>
  <si>
    <t>2022-04-01 01:36:16 UTC</t>
  </si>
  <si>
    <t>2022-04-01 01:35:01 UTC</t>
  </si>
  <si>
    <t>2022-04-01 01:34:01 UTC</t>
  </si>
  <si>
    <t>2022-04-01 01:33:00 UTC</t>
  </si>
  <si>
    <t>2022-04-01 01:32:26 UTC</t>
  </si>
  <si>
    <t>2022-04-01 01:31:55 UTC</t>
  </si>
  <si>
    <t>2022-04-01 01:31:26 UTC</t>
  </si>
  <si>
    <t>2022-04-01 01:30:49 UTC</t>
  </si>
  <si>
    <t>2022-04-01 01:29:53 UTC</t>
  </si>
  <si>
    <t>2022-04-01 01:29:10 UTC</t>
  </si>
  <si>
    <t>2022-04-01 01:04:23 UTC</t>
  </si>
  <si>
    <t>2022-03-31 22:49:22 UTC</t>
  </si>
  <si>
    <t>2022-03-31 20:09:54 UTC</t>
  </si>
  <si>
    <t>2022-03-31 19:21:23 UTC</t>
  </si>
  <si>
    <t>2022-03-31 19:07:46 UTC</t>
  </si>
  <si>
    <t>2022-03-31 18:17:46 UTC</t>
  </si>
  <si>
    <t>2022-03-31 17:01:42 UTC</t>
  </si>
  <si>
    <t>2022-03-31 16:45:56 UTC</t>
  </si>
  <si>
    <t>2022-03-31 16:45:31 UTC</t>
  </si>
  <si>
    <t>2022-03-31 16:13:02 UTC</t>
  </si>
  <si>
    <t>2022-03-31 16:11:20 UTC</t>
  </si>
  <si>
    <t>2022-03-31 16:10:48 UTC</t>
  </si>
  <si>
    <t>2022-03-31 16:10:17 UTC</t>
  </si>
  <si>
    <t>2022-03-31 16:09:44 UTC</t>
  </si>
  <si>
    <t>2022-03-31 16:09:11 UTC</t>
  </si>
  <si>
    <t>2022-03-31 16:08:11 UTC</t>
  </si>
  <si>
    <t>2022-03-31 16:07:11 UTC</t>
  </si>
  <si>
    <t>2022-03-31 16:06:38 UTC</t>
  </si>
  <si>
    <t>2022-03-31 16:06:05 UTC</t>
  </si>
  <si>
    <t>2022-03-31 16:05:33 UTC</t>
  </si>
  <si>
    <t>2022-03-31 16:05:00 UTC</t>
  </si>
  <si>
    <t>2022-03-31 16:04:27 UTC</t>
  </si>
  <si>
    <t>2022-03-31 16:04:02 UTC</t>
  </si>
  <si>
    <t>2022-03-31 16:04:00 UTC</t>
  </si>
  <si>
    <t>2022-03-31 16:03:56 UTC</t>
  </si>
  <si>
    <t>2022-03-31 16:03:44 UTC</t>
  </si>
  <si>
    <t>2022-03-31 16:03:42 UTC</t>
  </si>
  <si>
    <t>2022-03-31 16:02:53 UTC</t>
  </si>
  <si>
    <t>2022-03-31 16:02:19 UTC</t>
  </si>
  <si>
    <t>2022-03-31 16:01:44 UTC</t>
  </si>
  <si>
    <t>2022-03-31 16:01:37 UTC</t>
  </si>
  <si>
    <t>2022-03-31 16:01:10 UTC</t>
  </si>
  <si>
    <t>2022-03-31 16:00:39 UTC</t>
  </si>
  <si>
    <t>2022-03-31 16:00:34 UTC</t>
  </si>
  <si>
    <t>2022-03-31 16:00:25 UTC</t>
  </si>
  <si>
    <t>2022-03-31 16:00:24 UTC</t>
  </si>
  <si>
    <t>2022-03-31 16:00:12 UTC</t>
  </si>
  <si>
    <t>2022-03-31 16:00:10 UTC</t>
  </si>
  <si>
    <t>2022-03-31 16:00:07 UTC</t>
  </si>
  <si>
    <t>2022-03-31 15:59:45 UTC</t>
  </si>
  <si>
    <t>2022-03-31 15:59:34 UTC</t>
  </si>
  <si>
    <t>2022-03-31 15:59:33 UTC</t>
  </si>
  <si>
    <t>2022-03-31 15:59:31 UTC</t>
  </si>
  <si>
    <t>2022-03-31 15:59:23 UTC</t>
  </si>
  <si>
    <t>2022-03-31 15:59:17 UTC</t>
  </si>
  <si>
    <t>2022-03-31 15:58:43 UTC</t>
  </si>
  <si>
    <t>2022-03-31 15:58:10 UTC</t>
  </si>
  <si>
    <t>2022-03-31 15:58:00 UTC</t>
  </si>
  <si>
    <t>2022-03-31 15:57:27 UTC</t>
  </si>
  <si>
    <t>2022-03-31 15:57:26 UTC</t>
  </si>
  <si>
    <t>2022-03-31 15:57:11 UTC</t>
  </si>
  <si>
    <t>2022-03-31 15:56:29 UTC</t>
  </si>
  <si>
    <t>2022-03-31 15:55:54 UTC</t>
  </si>
  <si>
    <t>2022-03-31 15:55:21 UTC</t>
  </si>
  <si>
    <t>2022-03-31 15:55:01 UTC</t>
  </si>
  <si>
    <t>2022-03-31 15:54:56 UTC</t>
  </si>
  <si>
    <t>2022-03-31 15:54:51 UTC</t>
  </si>
  <si>
    <t>2022-03-31 15:54:43 UTC</t>
  </si>
  <si>
    <t>2022-03-31 15:54:42 UTC</t>
  </si>
  <si>
    <t>2022-03-31 15:53:32 UTC</t>
  </si>
  <si>
    <t>2022-03-31 15:52:57 UTC</t>
  </si>
  <si>
    <t>2022-03-31 15:52:06 UTC</t>
  </si>
  <si>
    <t>2022-03-31 15:51:32 UTC</t>
  </si>
  <si>
    <t>2022-03-31 15:50:32 UTC</t>
  </si>
  <si>
    <t>2022-03-31 15:50:17 UTC</t>
  </si>
  <si>
    <t>2022-03-31 15:50:11 UTC</t>
  </si>
  <si>
    <t>2022-03-31 15:49:59 UTC</t>
  </si>
  <si>
    <t>2022-03-31 15:49:11 UTC</t>
  </si>
  <si>
    <t>2022-03-31 15:49:09 UTC</t>
  </si>
  <si>
    <t>2022-03-31 15:40:40 UTC</t>
  </si>
  <si>
    <t>2022-03-31 14:04:33 UTC</t>
  </si>
  <si>
    <t>2022-03-31 14:04:30 UTC</t>
  </si>
  <si>
    <t>2022-03-31 13:40:01 UTC</t>
  </si>
  <si>
    <t>2022-03-31 13:36:27 UTC</t>
  </si>
  <si>
    <t>2022-03-31 13:28:25 UTC</t>
  </si>
  <si>
    <t>2022-03-31 13:25:32 UTC</t>
  </si>
  <si>
    <t>2022-03-31 13:05:51 UTC</t>
  </si>
  <si>
    <t>2022-03-31 12:44:03 UTC</t>
  </si>
  <si>
    <t>2022-03-31 12:19:45 UTC</t>
  </si>
  <si>
    <t>2022-03-31 12:09:03 UTC</t>
  </si>
  <si>
    <t>2022-03-31 12:08:28 UTC</t>
  </si>
  <si>
    <t>2022-03-31 12:07:59 UTC</t>
  </si>
  <si>
    <t>2022-03-31 12:07:34 UTC</t>
  </si>
  <si>
    <t>2022-03-31 12:07:26 UTC</t>
  </si>
  <si>
    <t>2022-03-31 12:06:56 UTC</t>
  </si>
  <si>
    <t>2022-03-31 12:06:26 UTC</t>
  </si>
  <si>
    <t>2022-03-31 12:06:21 UTC</t>
  </si>
  <si>
    <t>2022-03-31 12:05:54 UTC</t>
  </si>
  <si>
    <t>2022-03-31 12:05:53 UTC</t>
  </si>
  <si>
    <t>2022-03-31 12:05:43 UTC</t>
  </si>
  <si>
    <t>2022-03-31 12:05:33 UTC</t>
  </si>
  <si>
    <t>2022-03-31 12:05:27 UTC</t>
  </si>
  <si>
    <t>2022-03-31 12:05:08 UTC</t>
  </si>
  <si>
    <t>2022-03-31 12:04:32 UTC</t>
  </si>
  <si>
    <t>2022-03-31 12:03:57 UTC</t>
  </si>
  <si>
    <t>2022-03-31 12:03:15 UTC</t>
  </si>
  <si>
    <t>2022-03-31 12:03:11 UTC</t>
  </si>
  <si>
    <t>2022-03-31 12:02:55 UTC</t>
  </si>
  <si>
    <t>2022-03-31 12:02:50 UTC</t>
  </si>
  <si>
    <t>2022-03-31 12:02:36 UTC</t>
  </si>
  <si>
    <t>2022-03-31 12:01:15 UTC</t>
  </si>
  <si>
    <t>2022-03-31 12:00:15 UTC</t>
  </si>
  <si>
    <t>2022-03-31 11:54:06 UTC</t>
  </si>
  <si>
    <t>2022-03-31 11:50:39 UTC</t>
  </si>
  <si>
    <t>2022-03-31 11:49:27 UTC</t>
  </si>
  <si>
    <t>2022-03-31 11:48:53 UTC</t>
  </si>
  <si>
    <t>2022-03-31 11:48:21 UTC</t>
  </si>
  <si>
    <t>2022-03-31 11:47:48 UTC</t>
  </si>
  <si>
    <t>2022-03-31 11:47:11 UTC</t>
  </si>
  <si>
    <t>2022-03-31 11:46:22 UTC</t>
  </si>
  <si>
    <t>2022-03-31 11:45:51 UTC</t>
  </si>
  <si>
    <t>2022-03-31 11:45:18 UTC</t>
  </si>
  <si>
    <t>2022-03-31 11:44:46 UTC</t>
  </si>
  <si>
    <t>2022-03-31 11:44:05 UTC</t>
  </si>
  <si>
    <t>2022-03-31 11:43:33 UTC</t>
  </si>
  <si>
    <t>2022-03-31 11:43:01 UTC</t>
  </si>
  <si>
    <t>2022-03-31 11:42:13 UTC</t>
  </si>
  <si>
    <t>2022-03-31 11:41:41 UTC</t>
  </si>
  <si>
    <t>2022-03-31 11:41:00 UTC</t>
  </si>
  <si>
    <t>2022-03-31 11:40:27 UTC</t>
  </si>
  <si>
    <t>2022-03-31 11:39:54 UTC</t>
  </si>
  <si>
    <t>2022-03-31 11:39:21 UTC</t>
  </si>
  <si>
    <t>2022-03-31 11:38:48 UTC</t>
  </si>
  <si>
    <t>2022-03-31 10:23:09 UTC</t>
  </si>
  <si>
    <t>2022-03-31 10:23:08 UTC</t>
  </si>
  <si>
    <t>2022-03-31 10:22:39 UTC</t>
  </si>
  <si>
    <t>2022-03-31 10:21:57 UTC</t>
  </si>
  <si>
    <t>2022-03-31 10:21:24 UTC</t>
  </si>
  <si>
    <t>2022-03-31 10:20:53 UTC</t>
  </si>
  <si>
    <t>2022-03-31 10:20:18 UTC</t>
  </si>
  <si>
    <t>2022-03-31 10:19:45 UTC</t>
  </si>
  <si>
    <t>2022-03-31 10:19:05 UTC</t>
  </si>
  <si>
    <t>2022-03-31 10:18:33 UTC</t>
  </si>
  <si>
    <t>2022-03-31 10:17:33 UTC</t>
  </si>
  <si>
    <t>2022-03-31 10:16:46 UTC</t>
  </si>
  <si>
    <t>2022-03-31 10:16:35 UTC</t>
  </si>
  <si>
    <t>2022-03-31 10:16:31 UTC</t>
  </si>
  <si>
    <t>2022-03-31 09:46:01 UTC</t>
  </si>
  <si>
    <t>2022-03-31 09:45:01 UTC</t>
  </si>
  <si>
    <t>2022-03-31 09:44:04 UTC</t>
  </si>
  <si>
    <t>2022-03-31 08:47:59 UTC</t>
  </si>
  <si>
    <t>2022-03-31 08:44:44 UTC</t>
  </si>
  <si>
    <t>2022-03-31 08:43:36 UTC</t>
  </si>
  <si>
    <t>2022-03-31 08:42:58 UTC</t>
  </si>
  <si>
    <t>2022-03-31 08:42:10 UTC</t>
  </si>
  <si>
    <t>2022-03-31 08:41:08 UTC</t>
  </si>
  <si>
    <t>2022-03-31 08:40:19 UTC</t>
  </si>
  <si>
    <t>2022-03-31 08:39:42 UTC</t>
  </si>
  <si>
    <t>2022-03-31 08:27:14 UTC</t>
  </si>
  <si>
    <t>2022-03-31 08:13:39 UTC</t>
  </si>
  <si>
    <t>2022-03-31 08:02:25 UTC</t>
  </si>
  <si>
    <t>2022-03-31 08:01:55 UTC</t>
  </si>
  <si>
    <t>2022-03-31 08:00:51 UTC</t>
  </si>
  <si>
    <t>2022-03-31 08:00:05 UTC</t>
  </si>
  <si>
    <t>2022-03-31 07:59:26 UTC</t>
  </si>
  <si>
    <t>2022-03-31 07:58:44 UTC</t>
  </si>
  <si>
    <t>2022-03-31 07:58:09 UTC</t>
  </si>
  <si>
    <t>2022-03-31 07:53:11 UTC</t>
  </si>
  <si>
    <t>2022-03-31 07:47:30 UTC</t>
  </si>
  <si>
    <t>2022-03-31 07:46:57 UTC</t>
  </si>
  <si>
    <t>2022-03-31 07:45:47 UTC</t>
  </si>
  <si>
    <t>2022-03-31 07:45:22 UTC</t>
  </si>
  <si>
    <t>2022-03-31 07:45:20 UTC</t>
  </si>
  <si>
    <t>2022-03-31 07:45:14 UTC</t>
  </si>
  <si>
    <t>2022-03-31 07:45:11 UTC</t>
  </si>
  <si>
    <t>2022-03-31 07:42:39 UTC</t>
  </si>
  <si>
    <t>2022-03-31 07:34:47 UTC</t>
  </si>
  <si>
    <t>2022-03-31 07:33:26 UTC</t>
  </si>
  <si>
    <t>2022-03-31 07:32:43 UTC</t>
  </si>
  <si>
    <t>2022-03-31 07:32:08 UTC</t>
  </si>
  <si>
    <t>2022-03-31 07:31:21 UTC</t>
  </si>
  <si>
    <t>2022-03-31 07:30:49 UTC</t>
  </si>
  <si>
    <t>2022-03-31 07:30:16 UTC</t>
  </si>
  <si>
    <t>2022-03-31 07:29:43 UTC</t>
  </si>
  <si>
    <t>2022-03-31 07:29:03 UTC</t>
  </si>
  <si>
    <t>2022-03-31 07:28:31 UTC</t>
  </si>
  <si>
    <t>2022-03-31 07:27:58 UTC</t>
  </si>
  <si>
    <t>2022-03-31 07:26:44 UTC</t>
  </si>
  <si>
    <t>2022-03-31 07:25:52 UTC</t>
  </si>
  <si>
    <t>2022-03-31 07:13:11 UTC</t>
  </si>
  <si>
    <t>2022-03-31 07:06:46 UTC</t>
  </si>
  <si>
    <t>2022-03-31 06:47:03 UTC</t>
  </si>
  <si>
    <t>2022-03-31 06:46:22 UTC</t>
  </si>
  <si>
    <t>2022-03-31 06:45:16 UTC</t>
  </si>
  <si>
    <t>2022-03-31 06:44:37 UTC</t>
  </si>
  <si>
    <t>2022-03-31 06:43:35 UTC</t>
  </si>
  <si>
    <t>2022-03-31 06:42:06 UTC</t>
  </si>
  <si>
    <t>2022-03-31 06:41:21 UTC</t>
  </si>
  <si>
    <t>2022-03-31 06:40:35 UTC</t>
  </si>
  <si>
    <t>2022-03-31 06:40:02 UTC</t>
  </si>
  <si>
    <t>2022-03-31 06:39:28 UTC</t>
  </si>
  <si>
    <t>2022-03-31 06:38:55 UTC</t>
  </si>
  <si>
    <t>2022-03-31 06:38:22 UTC</t>
  </si>
  <si>
    <t>2022-03-31 06:37:43 UTC</t>
  </si>
  <si>
    <t>2022-03-31 06:37:36 UTC</t>
  </si>
  <si>
    <t>2022-03-31 06:37:10 UTC</t>
  </si>
  <si>
    <t>2022-03-31 06:36:19 UTC</t>
  </si>
  <si>
    <t>2022-03-31 06:35:45 UTC</t>
  </si>
  <si>
    <t>2022-03-31 06:34:51 UTC</t>
  </si>
  <si>
    <t>2022-03-31 06:34:04 UTC</t>
  </si>
  <si>
    <t>2022-03-31 06:33:17 UTC</t>
  </si>
  <si>
    <t>2022-03-31 06:32:44 UTC</t>
  </si>
  <si>
    <t>2022-03-31 06:32:11 UTC</t>
  </si>
  <si>
    <t>2022-03-31 06:31:34 UTC</t>
  </si>
  <si>
    <t>2022-03-31 06:30:57 UTC</t>
  </si>
  <si>
    <t>2022-03-31 06:30:54 UTC</t>
  </si>
  <si>
    <t>2022-03-31 06:30:42 UTC</t>
  </si>
  <si>
    <t>2022-03-31 06:30:01 UTC</t>
  </si>
  <si>
    <t>2022-03-31 06:28:45 UTC</t>
  </si>
  <si>
    <t>2022-03-31 06:28:36 UTC</t>
  </si>
  <si>
    <t>2022-03-31 06:27:51 UTC</t>
  </si>
  <si>
    <t>2022-03-31 06:27:19 UTC</t>
  </si>
  <si>
    <t>2022-03-31 06:26:47 UTC</t>
  </si>
  <si>
    <t>2022-03-31 06:26:14 UTC</t>
  </si>
  <si>
    <t>2022-03-31 06:25:39 UTC</t>
  </si>
  <si>
    <t>2022-03-31 06:25:06 UTC</t>
  </si>
  <si>
    <t>2022-03-31 06:24:28 UTC</t>
  </si>
  <si>
    <t>2022-03-31 06:23:55 UTC</t>
  </si>
  <si>
    <t>2022-03-31 06:23:21 UTC</t>
  </si>
  <si>
    <t>2022-03-31 06:22:41 UTC</t>
  </si>
  <si>
    <t>2022-03-31 06:22:00 UTC</t>
  </si>
  <si>
    <t>2022-03-31 06:21:18 UTC</t>
  </si>
  <si>
    <t>2022-03-31 06:20:44 UTC</t>
  </si>
  <si>
    <t>2022-03-31 06:20:11 UTC</t>
  </si>
  <si>
    <t>2022-03-31 06:19:34 UTC</t>
  </si>
  <si>
    <t>2022-03-31 06:19:00 UTC</t>
  </si>
  <si>
    <t>2022-03-31 06:18:28 UTC</t>
  </si>
  <si>
    <t>2022-03-31 06:17:54 UTC</t>
  </si>
  <si>
    <t>2022-03-31 06:17:13 UTC</t>
  </si>
  <si>
    <t>2022-03-31 06:16:38 UTC</t>
  </si>
  <si>
    <t>2022-03-31 06:15:51 UTC</t>
  </si>
  <si>
    <t>2022-03-31 06:15:17 UTC</t>
  </si>
  <si>
    <t>2022-03-31 06:14:45 UTC</t>
  </si>
  <si>
    <t>2022-03-31 06:14:05 UTC</t>
  </si>
  <si>
    <t>2022-03-31 06:13:10 UTC</t>
  </si>
  <si>
    <t>2022-03-31 06:12:23 UTC</t>
  </si>
  <si>
    <t>2022-03-31 06:08:44 UTC</t>
  </si>
  <si>
    <t>3d2786381dfc84640ff907d51dbfcd33</t>
  </si>
  <si>
    <t>2022-03-31 06:08:07 UTC</t>
  </si>
  <si>
    <t>2022-03-31 06:06:16 UTC</t>
  </si>
  <si>
    <t>2022-03-31 06:03:57 UTC</t>
  </si>
  <si>
    <t>2022-03-31 05:57:54 UTC</t>
  </si>
  <si>
    <t>2022-03-31 05:56:52 UTC</t>
  </si>
  <si>
    <t>2022-03-31 05:56:51 UTC</t>
  </si>
  <si>
    <t>2022-03-31 05:48:11 UTC</t>
  </si>
  <si>
    <t>2022-03-31 05:25:57 UTC</t>
  </si>
  <si>
    <t>2022-03-31 05:21:37 UTC</t>
  </si>
  <si>
    <t>2022-03-31 05:14:12 UTC</t>
  </si>
  <si>
    <t>2022-03-31 05:14:11 UTC</t>
  </si>
  <si>
    <t>2022-03-31 05:13:26 UTC</t>
  </si>
  <si>
    <t>2022-03-31 05:13:25 UTC</t>
  </si>
  <si>
    <t>2022-03-31 05:12:08 UTC</t>
  </si>
  <si>
    <t>2022-03-31 05:11:41 UTC</t>
  </si>
  <si>
    <t>2022-03-31 05:11:40 UTC</t>
  </si>
  <si>
    <t>2022-03-31 05:09:08 UTC</t>
  </si>
  <si>
    <t>2022-03-31 05:04:11 UTC</t>
  </si>
  <si>
    <t>2022-03-31 04:48:40 UTC</t>
  </si>
  <si>
    <t>2022-03-31 04:47:17 UTC</t>
  </si>
  <si>
    <t>2022-03-31 04:47:15 UTC</t>
  </si>
  <si>
    <t>2022-03-31 04:44:12 UTC</t>
  </si>
  <si>
    <t>2022-03-31 04:43:36 UTC</t>
  </si>
  <si>
    <t>2022-03-31 04:43:06 UTC</t>
  </si>
  <si>
    <t>2022-03-31 04:42:58 UTC</t>
  </si>
  <si>
    <t>2022-03-31 04:42:33 UTC</t>
  </si>
  <si>
    <t>2022-03-31 04:42:03 UTC</t>
  </si>
  <si>
    <t>2022-03-31 04:41:59 UTC</t>
  </si>
  <si>
    <t>2022-03-31 04:41:31 UTC</t>
  </si>
  <si>
    <t>2022-03-31 04:41:15 UTC</t>
  </si>
  <si>
    <t>2022-03-31 04:40:58 UTC</t>
  </si>
  <si>
    <t>2022-03-31 04:40:28 UTC</t>
  </si>
  <si>
    <t>2022-03-31 04:39:56 UTC</t>
  </si>
  <si>
    <t>2022-03-31 04:39:18 UTC</t>
  </si>
  <si>
    <t>2022-03-31 04:38:59 UTC</t>
  </si>
  <si>
    <t>2022-03-31 04:38:45 UTC</t>
  </si>
  <si>
    <t>2022-03-31 04:38:15 UTC</t>
  </si>
  <si>
    <t>2022-03-31 04:38:11 UTC</t>
  </si>
  <si>
    <t>2022-03-31 04:37:44 UTC</t>
  </si>
  <si>
    <t>2022-03-31 04:37:39 UTC</t>
  </si>
  <si>
    <t>2022-03-31 04:37:11 UTC</t>
  </si>
  <si>
    <t>2022-03-31 04:36:40 UTC</t>
  </si>
  <si>
    <t>2022-03-31 04:36:07 UTC</t>
  </si>
  <si>
    <t>2022-03-31 04:35:32 UTC</t>
  </si>
  <si>
    <t>2022-03-31 04:34:59 UTC</t>
  </si>
  <si>
    <t>2022-03-31 04:34:15 UTC</t>
  </si>
  <si>
    <t>2022-03-31 04:34:10 UTC</t>
  </si>
  <si>
    <t>2022-03-31 04:33:43 UTC</t>
  </si>
  <si>
    <t>2022-03-31 04:33:19 UTC</t>
  </si>
  <si>
    <t>2022-03-31 04:33:01 UTC</t>
  </si>
  <si>
    <t>2022-03-31 04:32:29 UTC</t>
  </si>
  <si>
    <t>2022-03-31 04:31:45 UTC</t>
  </si>
  <si>
    <t>2022-03-31 04:31:03 UTC</t>
  </si>
  <si>
    <t>2022-03-31 04:30:30 UTC</t>
  </si>
  <si>
    <t>2022-03-31 04:29:53 UTC</t>
  </si>
  <si>
    <t>2022-03-31 04:29:14 UTC</t>
  </si>
  <si>
    <t>2022-03-31 04:28:44 UTC</t>
  </si>
  <si>
    <t>2022-03-31 04:28:14 UTC</t>
  </si>
  <si>
    <t>2022-03-31 04:27:44 UTC</t>
  </si>
  <si>
    <t>2022-03-31 04:27:14 UTC</t>
  </si>
  <si>
    <t>2022-03-31 04:26:44 UTC</t>
  </si>
  <si>
    <t>2022-03-31 04:26:14 UTC</t>
  </si>
  <si>
    <t>2022-03-31 04:25:44 UTC</t>
  </si>
  <si>
    <t>2022-03-31 04:25:14 UTC</t>
  </si>
  <si>
    <t>2022-03-31 04:24:44 UTC</t>
  </si>
  <si>
    <t>2022-03-31 04:24:14 UTC</t>
  </si>
  <si>
    <t>2022-03-31 04:23:43 UTC</t>
  </si>
  <si>
    <t>2022-03-31 04:22:59 UTC</t>
  </si>
  <si>
    <t>2022-03-31 04:22:28 UTC</t>
  </si>
  <si>
    <t>2022-03-31 04:21:44 UTC</t>
  </si>
  <si>
    <t>2022-03-31 04:21:02 UTC</t>
  </si>
  <si>
    <t>2022-03-31 04:20:32 UTC</t>
  </si>
  <si>
    <t>2022-03-31 04:19:59 UTC</t>
  </si>
  <si>
    <t>2022-03-31 04:19:25 UTC</t>
  </si>
  <si>
    <t>2022-03-31 04:18:53 UTC</t>
  </si>
  <si>
    <t>2022-03-31 04:18:15 UTC</t>
  </si>
  <si>
    <t>2022-03-31 04:17:43 UTC</t>
  </si>
  <si>
    <t>2022-03-31 04:16:54 UTC</t>
  </si>
  <si>
    <t>2022-03-31 04:16:51 UTC</t>
  </si>
  <si>
    <t>2022-03-31 04:16:19 UTC</t>
  </si>
  <si>
    <t>2022-03-31 04:15:49 UTC</t>
  </si>
  <si>
    <t>2022-03-31 04:15:19 UTC</t>
  </si>
  <si>
    <t>2022-03-31 04:14:49 UTC</t>
  </si>
  <si>
    <t>2022-03-31 04:14:19 UTC</t>
  </si>
  <si>
    <t>2022-03-31 04:13:49 UTC</t>
  </si>
  <si>
    <t>2022-03-31 04:13:19 UTC</t>
  </si>
  <si>
    <t>2022-03-31 04:12:49 UTC</t>
  </si>
  <si>
    <t>2022-03-31 04:12:35 UTC</t>
  </si>
  <si>
    <t>2022-03-31 04:12:17 UTC</t>
  </si>
  <si>
    <t>2022-03-31 04:11:47 UTC</t>
  </si>
  <si>
    <t>2022-03-31 04:11:34 UTC</t>
  </si>
  <si>
    <t>2022-03-31 04:11:16 UTC</t>
  </si>
  <si>
    <t>2022-03-31 04:10:58 UTC</t>
  </si>
  <si>
    <t>2022-03-31 04:10:43 UTC</t>
  </si>
  <si>
    <t>2022-03-31 04:10:19 UTC</t>
  </si>
  <si>
    <t>2022-03-31 04:10:04 UTC</t>
  </si>
  <si>
    <t>2022-03-31 04:09:34 UTC</t>
  </si>
  <si>
    <t>2022-03-31 04:09:02 UTC</t>
  </si>
  <si>
    <t>2022-03-31 04:08:50 UTC</t>
  </si>
  <si>
    <t>2022-03-31 04:08:46 UTC</t>
  </si>
  <si>
    <t>2022-03-31 04:08:40 UTC</t>
  </si>
  <si>
    <t>2022-03-31 04:08:28 UTC</t>
  </si>
  <si>
    <t>2022-03-31 04:07:40 UTC</t>
  </si>
  <si>
    <t>2022-03-31 04:00:47 UTC</t>
  </si>
  <si>
    <t>2022-03-31 03:58:31 UTC</t>
  </si>
  <si>
    <t>2022-03-31 03:50:43 UTC</t>
  </si>
  <si>
    <t>2022-03-31 03:50:42 UTC</t>
  </si>
  <si>
    <t>2022-03-31 03:48:52 UTC</t>
  </si>
  <si>
    <t>2022-03-31 03:48:09 UTC</t>
  </si>
  <si>
    <t>2022-03-31 03:47:36 UTC</t>
  </si>
  <si>
    <t>2022-03-31 03:40:52 UTC</t>
  </si>
  <si>
    <t>2022-03-31 03:36:13 UTC</t>
  </si>
  <si>
    <t>2022-03-31 03:08:12 UTC</t>
  </si>
  <si>
    <t>2022-03-31 03:06:10 UTC</t>
  </si>
  <si>
    <t>2022-03-31 03:01:37 UTC</t>
  </si>
  <si>
    <t>2022-03-31 03:00:53 UTC</t>
  </si>
  <si>
    <t>2022-03-31 03:00:19 UTC</t>
  </si>
  <si>
    <t>2022-03-31 02:59:32 UTC</t>
  </si>
  <si>
    <t>2022-03-31 02:59:14 UTC</t>
  </si>
  <si>
    <t>2022-03-31 02:58:59 UTC</t>
  </si>
  <si>
    <t>2022-03-31 02:58:29 UTC</t>
  </si>
  <si>
    <t>2022-03-31 02:58:14 UTC</t>
  </si>
  <si>
    <t>2022-03-31 02:57:55 UTC</t>
  </si>
  <si>
    <t>2022-03-31 02:57:29 UTC</t>
  </si>
  <si>
    <t>2022-03-31 02:57:09 UTC</t>
  </si>
  <si>
    <t>2022-03-31 02:56:52 UTC</t>
  </si>
  <si>
    <t>2022-03-31 02:56:35 UTC</t>
  </si>
  <si>
    <t>2022-03-31 02:56:19 UTC</t>
  </si>
  <si>
    <t>2022-03-31 02:55:49 UTC</t>
  </si>
  <si>
    <t>2022-03-31 02:55:45 UTC</t>
  </si>
  <si>
    <t>2022-03-31 02:54:59 UTC</t>
  </si>
  <si>
    <t>2022-03-31 02:54:22 UTC</t>
  </si>
  <si>
    <t>2022-03-31 02:54:12 UTC</t>
  </si>
  <si>
    <t>2022-03-31 02:53:45 UTC</t>
  </si>
  <si>
    <t>2022-03-31 02:53:39 UTC</t>
  </si>
  <si>
    <t>2022-03-31 02:53:07 UTC</t>
  </si>
  <si>
    <t>2022-03-31 02:52:29 UTC</t>
  </si>
  <si>
    <t>2022-03-31 02:51:58 UTC</t>
  </si>
  <si>
    <t>2022-03-31 02:47:19 UTC</t>
  </si>
  <si>
    <t>2022-03-31 02:46:31 UTC</t>
  </si>
  <si>
    <t>2022-03-31 02:45:31 UTC</t>
  </si>
  <si>
    <t>2022-03-31 02:43:50 UTC</t>
  </si>
  <si>
    <t>2022-03-31 02:42:42 UTC</t>
  </si>
  <si>
    <t>2022-03-31 02:42:11 UTC</t>
  </si>
  <si>
    <t>2022-03-31 02:41:33 UTC</t>
  </si>
  <si>
    <t>2022-03-31 02:38:33 UTC</t>
  </si>
  <si>
    <t>2022-03-31 02:37:55 UTC</t>
  </si>
  <si>
    <t>2022-03-31 02:35:53 UTC</t>
  </si>
  <si>
    <t>2022-03-31 02:34:33 UTC</t>
  </si>
  <si>
    <t>2022-03-31 02:33:59 UTC</t>
  </si>
  <si>
    <t>2022-03-31 02:33:10 UTC</t>
  </si>
  <si>
    <t>2022-03-31 02:31:29 UTC</t>
  </si>
  <si>
    <t>2022-03-31 02:29:58 UTC</t>
  </si>
  <si>
    <t>2022-03-31 02:29:55 UTC</t>
  </si>
  <si>
    <t>2022-03-31 02:29:01 UTC</t>
  </si>
  <si>
    <t>2022-03-31 02:27:59 UTC</t>
  </si>
  <si>
    <t>2022-03-31 02:27:25 UTC</t>
  </si>
  <si>
    <t>2022-03-31 02:26:49 UTC</t>
  </si>
  <si>
    <t>2022-03-31 02:26:48 UTC</t>
  </si>
  <si>
    <t>2022-03-31 01:35:46 UTC</t>
  </si>
  <si>
    <t>2022-03-31 00:45:26 UTC</t>
  </si>
  <si>
    <t>2022-03-31 00:31:36 UTC</t>
  </si>
  <si>
    <t>2022-03-30 23:44:59 UTC</t>
  </si>
  <si>
    <t>2022-03-30 23:02:32 UTC</t>
  </si>
  <si>
    <t>2022-03-30 19:22:20 UTC</t>
  </si>
  <si>
    <t>2022-03-30 19:21:47 UTC</t>
  </si>
  <si>
    <t>2022-03-30 19:21:00 UTC</t>
  </si>
  <si>
    <t>2022-03-30 19:20:49 UTC</t>
  </si>
  <si>
    <t>2022-03-30 18:39:01 UTC</t>
  </si>
  <si>
    <t>2022-03-30 17:33:42 UTC</t>
  </si>
  <si>
    <t>2022-03-30 16:49:58 UTC</t>
  </si>
  <si>
    <t>2022-03-30 16:49:42 UTC</t>
  </si>
  <si>
    <t>2022-03-30 16:47:23 UTC</t>
  </si>
  <si>
    <t>2022-03-30 16:47:20 UTC</t>
  </si>
  <si>
    <t>2022-03-30 16:47:19 UTC</t>
  </si>
  <si>
    <t>2022-03-30 16:47:18 UTC</t>
  </si>
  <si>
    <t>2022-03-30 16:47:17 UTC</t>
  </si>
  <si>
    <t>2022-03-30 16:47:15 UTC</t>
  </si>
  <si>
    <t>2022-03-30 16:47:10 UTC</t>
  </si>
  <si>
    <t>2022-03-30 16:47:09 UTC</t>
  </si>
  <si>
    <t>2022-03-30 16:47:08 UTC</t>
  </si>
  <si>
    <t>2022-03-30 16:47:06 UTC</t>
  </si>
  <si>
    <t>2022-03-30 16:47:00 UTC</t>
  </si>
  <si>
    <t>2022-03-30 16:20:48 UTC</t>
  </si>
  <si>
    <t>2022-03-30 16:06:53 UTC</t>
  </si>
  <si>
    <t>2022-03-30 15:36:27 UTC</t>
  </si>
  <si>
    <t>2022-03-30 15:22:58 UTC</t>
  </si>
  <si>
    <t>2022-03-30 15:02:45 UTC</t>
  </si>
  <si>
    <t>2022-03-30 14:34:53 UTC</t>
  </si>
  <si>
    <t>2022-03-30 14:31:39 UTC</t>
  </si>
  <si>
    <t>2022-03-30 14:30:56 UTC</t>
  </si>
  <si>
    <t>2022-03-30 14:20:53 UTC</t>
  </si>
  <si>
    <t>2022-03-30 10:44:21 UTC</t>
  </si>
  <si>
    <t>2022-03-30 10:21:19 UTC</t>
  </si>
  <si>
    <t>2022-03-30 10:19:30 UTC</t>
  </si>
  <si>
    <t>2022-03-30 07:22:08 UTC</t>
  </si>
  <si>
    <t>2022-03-30 07:20:22 UTC</t>
  </si>
  <si>
    <t>2022-03-30 03:54:28 UTC</t>
  </si>
  <si>
    <t>2022-03-30 03:50:02 UTC</t>
  </si>
  <si>
    <t>2022-03-30 03:17:28 UTC</t>
  </si>
  <si>
    <t>2022-03-30 01:29:41 UTC</t>
  </si>
  <si>
    <t>2022-03-29 18:13:45 UTC</t>
  </si>
  <si>
    <t>2022-03-29 16:56:56 UTC</t>
  </si>
  <si>
    <t>2022-03-29 16:33:50 UTC</t>
  </si>
  <si>
    <t>2022-03-29 16:33:27 UTC</t>
  </si>
  <si>
    <t>2022-03-29 16:30:49 UTC</t>
  </si>
  <si>
    <t>2022-03-29 16:28:39 UTC</t>
  </si>
  <si>
    <t>2022-03-29 16:24:31 UTC</t>
  </si>
  <si>
    <t>2022-03-29 12:00:36 UTC</t>
  </si>
  <si>
    <t>2022-03-29 11:52:28 UTC</t>
  </si>
  <si>
    <t>2022-03-29 07:45:40 UTC</t>
  </si>
  <si>
    <t>2022-03-29 04:58:26 UTC</t>
  </si>
  <si>
    <t>2022-03-29 04:35:29 UTC</t>
  </si>
  <si>
    <t>2022-03-29 03:46:49 UTC</t>
  </si>
  <si>
    <t>2022-03-29 00:57:29 UTC</t>
  </si>
  <si>
    <t>2022-03-28 13:40:05 UTC</t>
  </si>
  <si>
    <t>2022-03-28 12:47:44 UTC</t>
  </si>
  <si>
    <t>2022-03-28 12:20:15 UTC</t>
  </si>
  <si>
    <t>2022-03-28 09:48:46 UTC</t>
  </si>
  <si>
    <t>2022-03-28 09:44:46 UTC</t>
  </si>
  <si>
    <t>2022-03-28 08:41:43 UTC</t>
  </si>
  <si>
    <t>2022-03-28 08:13:22 UTC</t>
  </si>
  <si>
    <t>2022-03-28 07:59:15 UTC</t>
  </si>
  <si>
    <t>2022-03-28 07:56:26 UTC</t>
  </si>
  <si>
    <t>2022-03-28 07:25:46 UTC</t>
  </si>
  <si>
    <t>2022-03-28 07:22:18 UTC</t>
  </si>
  <si>
    <t>2022-03-28 07:18:24 UTC</t>
  </si>
  <si>
    <t>2022-03-28 06:05:57 UTC</t>
  </si>
  <si>
    <t>2022-03-28 06:00:31 UTC</t>
  </si>
  <si>
    <t>2022-03-28 06:00:21 UTC</t>
  </si>
  <si>
    <t>2022-03-28 04:09:30 UTC</t>
  </si>
  <si>
    <t>2022-03-28 04:09:29 UTC</t>
  </si>
  <si>
    <t>2022-03-28 04:04:09 UTC</t>
  </si>
  <si>
    <t>2022-03-28 02:14:20 UTC</t>
  </si>
  <si>
    <t>2022-03-27 20:32:04 UTC</t>
  </si>
  <si>
    <t>2022-03-27 20:31:20 UTC</t>
  </si>
  <si>
    <t>2022-03-27 17:24:57 UTC</t>
  </si>
  <si>
    <t>2022-03-27 17:07:25 UTC</t>
  </si>
  <si>
    <t>2022-03-27 16:05:23 UTC</t>
  </si>
  <si>
    <t>2022-03-27 15:29:48 UTC</t>
  </si>
  <si>
    <t>2022-03-27 12:55:10 UTC</t>
  </si>
  <si>
    <t>2022-03-27 12:19:58 UTC</t>
  </si>
  <si>
    <t>2022-03-27 12:19:19 UTC</t>
  </si>
  <si>
    <t>2022-03-27 12:18:14 UTC</t>
  </si>
  <si>
    <t>2022-03-27 08:48:48 UTC</t>
  </si>
  <si>
    <t>2022-03-27 08:44:31 UTC</t>
  </si>
  <si>
    <t>2022-03-27 07:10:35 UTC</t>
  </si>
  <si>
    <t>2022-03-27 06:18:43 UTC</t>
  </si>
  <si>
    <t>2022-03-27 05:50:52 UTC</t>
  </si>
  <si>
    <t>2022-03-27 05:44:06 UTC</t>
  </si>
  <si>
    <t>2022-03-27 05:32:38 UTC</t>
  </si>
  <si>
    <t>2022-03-27 05:29:18 UTC</t>
  </si>
  <si>
    <t>2022-03-27 04:29:30 UTC</t>
  </si>
  <si>
    <t>2022-03-27 04:23:09 UTC</t>
  </si>
  <si>
    <t>2022-03-27 03:55:00 UTC</t>
  </si>
  <si>
    <t>2022-03-27 03:30:45 UTC</t>
  </si>
  <si>
    <t>2022-03-27 02:41:03 UTC</t>
  </si>
  <si>
    <t>2022-03-27 02:32:54 UTC</t>
  </si>
  <si>
    <t>2022-03-27 02:14:52 UTC</t>
  </si>
  <si>
    <t>2022-03-26 21:20:43 UTC</t>
  </si>
  <si>
    <t>2022-03-26 12:06:38 UTC</t>
  </si>
  <si>
    <t>2022-03-26 12:04:36 UTC</t>
  </si>
  <si>
    <t>2022-03-26 11:52:46 UTC</t>
  </si>
  <si>
    <t>2022-03-26 11:38:05 UTC</t>
  </si>
  <si>
    <t>2022-03-26 11:36:26 UTC</t>
  </si>
  <si>
    <t>2022-03-26 10:29:51 UTC</t>
  </si>
  <si>
    <t>2022-03-26 09:07:11 UTC</t>
  </si>
  <si>
    <t>2022-03-26 08:44:58 UTC</t>
  </si>
  <si>
    <t>2022-03-26 07:43:59 UTC</t>
  </si>
  <si>
    <t>2022-03-26 07:41:40 UTC</t>
  </si>
  <si>
    <t>2022-03-26 07:38:49 UTC</t>
  </si>
  <si>
    <t>2022-03-26 06:39:08 UTC</t>
  </si>
  <si>
    <t>2022-03-26 05:44:30 UTC</t>
  </si>
  <si>
    <t>2022-03-26 05:34:33 UTC</t>
  </si>
  <si>
    <t>2022-03-26 05:00:54 UTC</t>
  </si>
  <si>
    <t>2022-03-26 04:55:49 UTC</t>
  </si>
  <si>
    <t>2022-03-26 04:39:22 UTC</t>
  </si>
  <si>
    <t>2022-03-26 04:27:35 UTC</t>
  </si>
  <si>
    <t>2022-03-26 03:42:22 UTC</t>
  </si>
  <si>
    <t>2022-03-26 03:42:20 UTC</t>
  </si>
  <si>
    <t>2022-03-26 03:42:18 UTC</t>
  </si>
  <si>
    <t>2022-03-26 03:28:21 UTC</t>
  </si>
  <si>
    <t>2022-03-26 03:26:18 UTC</t>
  </si>
  <si>
    <t>2022-03-26 01:58:20 UTC</t>
  </si>
  <si>
    <t>2022-03-26 01:57:36 UTC</t>
  </si>
  <si>
    <t>2022-03-26 01:34:36 UTC</t>
  </si>
  <si>
    <t>2022-03-26 01:15:59 UTC</t>
  </si>
  <si>
    <t>2022-03-26 00:24:50 UTC</t>
  </si>
  <si>
    <t>2022-03-25 22:24:28 UTC</t>
  </si>
  <si>
    <t>2022-03-25 20:17:37 UTC</t>
  </si>
  <si>
    <t>2022-03-25 19:15:24 UTC</t>
  </si>
  <si>
    <t>2022-03-25 19:14:56 UTC</t>
  </si>
  <si>
    <t>2022-03-25 19:12:11 UTC</t>
  </si>
  <si>
    <t>2022-03-25 18:59:51 UTC</t>
  </si>
  <si>
    <t>2022-03-25 18:34:22 UTC</t>
  </si>
  <si>
    <t>2022-03-25 18:31:48 UTC</t>
  </si>
  <si>
    <t>2022-03-25 17:52:48 UTC</t>
  </si>
  <si>
    <t>2022-03-25 17:20:23 UTC</t>
  </si>
  <si>
    <t>2022-03-25 17:17:36 UTC</t>
  </si>
  <si>
    <t>2022-03-25 16:09:48 UTC</t>
  </si>
  <si>
    <t>2022-03-25 15:02:49 UTC</t>
  </si>
  <si>
    <t>2022-03-25 14:55:30 UTC</t>
  </si>
  <si>
    <t>2022-03-25 14:47:34 UTC</t>
  </si>
  <si>
    <t>2022-03-25 14:42:08 UTC</t>
  </si>
  <si>
    <t>2022-03-25 14:34:29 UTC</t>
  </si>
  <si>
    <t>2022-03-25 14:28:58 UTC</t>
  </si>
  <si>
    <t>2022-03-25 14:28:56 UTC</t>
  </si>
  <si>
    <t>2022-03-25 14:27:06 UTC</t>
  </si>
  <si>
    <t>2022-03-25 14:21:01 UTC</t>
  </si>
  <si>
    <t>2022-03-25 13:40:56 UTC</t>
  </si>
  <si>
    <t>2022-03-25 13:21:24 UTC</t>
  </si>
  <si>
    <t>2022-03-25 13:09:41 UTC</t>
  </si>
  <si>
    <t>2022-03-25 12:55:10 UTC</t>
  </si>
  <si>
    <t>2022-03-25 12:47:54 UTC</t>
  </si>
  <si>
    <t>2022-03-25 12:45:31 UTC</t>
  </si>
  <si>
    <t>2022-03-25 12:39:39 UTC</t>
  </si>
  <si>
    <t>2022-03-25 12:39:00 UTC</t>
  </si>
  <si>
    <t>2022-03-25 11:52:46 UTC</t>
  </si>
  <si>
    <t>2022-03-25 11:45:16 UTC</t>
  </si>
  <si>
    <t>2022-03-25 11:39:35 UTC</t>
  </si>
  <si>
    <t>2022-03-25 11:38:05 UTC</t>
  </si>
  <si>
    <t>2022-03-25 11:25:51 UTC</t>
  </si>
  <si>
    <t>2022-03-25 11:10:10 UTC</t>
  </si>
  <si>
    <t>2022-03-25 10:56:28 UTC</t>
  </si>
  <si>
    <t>2022-03-25 10:51:48 UTC</t>
  </si>
  <si>
    <t>2022-03-25 10:50:42 UTC</t>
  </si>
  <si>
    <t>2022-03-25 10:49:33 UTC</t>
  </si>
  <si>
    <t>2022-03-25 10:48:07 UTC</t>
  </si>
  <si>
    <t>2022-03-25 10:04:02 UTC</t>
  </si>
  <si>
    <t>2022-03-25 09:54:48 UTC</t>
  </si>
  <si>
    <t>2022-03-25 09:29:27 UTC</t>
  </si>
  <si>
    <t>2022-03-25 09:18:57 UTC</t>
  </si>
  <si>
    <t>2022-03-25 09:05:42 UTC</t>
  </si>
  <si>
    <t>2022-03-25 08:57:41 UTC</t>
  </si>
  <si>
    <t>2022-03-25 08:36:52 UTC</t>
  </si>
  <si>
    <t>2022-03-25 08:35:19 UTC</t>
  </si>
  <si>
    <t>2022-03-25 08:34:37 UTC</t>
  </si>
  <si>
    <t>2022-03-25 08:26:37 UTC</t>
  </si>
  <si>
    <t>2022-03-25 08:22:03 UTC</t>
  </si>
  <si>
    <t>2022-03-25 08:05:21 UTC</t>
  </si>
  <si>
    <t>2022-03-25 08:04:57 UTC</t>
  </si>
  <si>
    <t>2022-03-25 08:04:49 UTC</t>
  </si>
  <si>
    <t>2022-03-25 08:03:57 UTC</t>
  </si>
  <si>
    <t>2022-03-25 08:03:49 UTC</t>
  </si>
  <si>
    <t>2022-03-25 08:03:38 UTC</t>
  </si>
  <si>
    <t>2022-03-25 08:03:19 UTC</t>
  </si>
  <si>
    <t>2022-03-25 07:10:32 UTC</t>
  </si>
  <si>
    <t>2022-03-25 07:10:13 UTC</t>
  </si>
  <si>
    <t>2022-03-25 07:01:34 UTC</t>
  </si>
  <si>
    <t>2022-03-25 06:45:05 UTC</t>
  </si>
  <si>
    <t>2022-03-25 06:38:39 UTC</t>
  </si>
  <si>
    <t>2022-03-25 06:36:45 UTC</t>
  </si>
  <si>
    <t>2022-03-25 06:30:18 UTC</t>
  </si>
  <si>
    <t>2022-03-25 06:19:07 UTC</t>
  </si>
  <si>
    <t>2022-03-25 06:12:08 UTC</t>
  </si>
  <si>
    <t>2022-03-25 06:10:09 UTC</t>
  </si>
  <si>
    <t>2022-03-25 06:05:11 UTC</t>
  </si>
  <si>
    <t>2022-03-25 05:55:08 UTC</t>
  </si>
  <si>
    <t>2022-03-25 05:45:02 UTC</t>
  </si>
  <si>
    <t>2022-03-25 05:41:22 UTC</t>
  </si>
  <si>
    <t>2022-03-25 05:22:05 UTC</t>
  </si>
  <si>
    <t>2022-03-25 05:09:13 UTC</t>
  </si>
  <si>
    <t>2022-03-25 05:03:10 UTC</t>
  </si>
  <si>
    <t>2022-03-25 04:37:55 UTC</t>
  </si>
  <si>
    <t>2022-03-25 04:37:05 UTC</t>
  </si>
  <si>
    <t>2022-03-25 04:29:24 UTC</t>
  </si>
  <si>
    <t>2022-03-25 04:26:31 UTC</t>
  </si>
  <si>
    <t>2022-03-25 04:20:18 UTC</t>
  </si>
  <si>
    <t>2022-03-25 04:11:20 UTC</t>
  </si>
  <si>
    <t>2022-03-25 03:56:52 UTC</t>
  </si>
  <si>
    <t>2022-03-25 03:38:14 UTC</t>
  </si>
  <si>
    <t>2022-03-25 03:03:56 UTC</t>
  </si>
  <si>
    <t>2022-03-25 02:51:15 UTC</t>
  </si>
  <si>
    <t>2022-03-25 02:50:35 UTC</t>
  </si>
  <si>
    <t>2022-03-25 02:31:15 UTC</t>
  </si>
  <si>
    <t>2022-03-25 02:29:31 UTC</t>
  </si>
  <si>
    <t>2022-03-25 02:17:25 UTC</t>
  </si>
  <si>
    <t>2022-03-25 01:27:14 UTC</t>
  </si>
  <si>
    <t>2022-03-24 22:44:19 UTC</t>
  </si>
  <si>
    <t>2022-03-24 22:43:54 UTC</t>
  </si>
  <si>
    <t>2022-03-24 21:37:28 UTC</t>
  </si>
  <si>
    <t>2022-03-24 21:33:57 UTC</t>
  </si>
  <si>
    <t>2022-03-24 20:28:47 UTC</t>
  </si>
  <si>
    <t>2022-03-24 19:23:21 UTC</t>
  </si>
  <si>
    <t>2022-03-24 19:13:21 UTC</t>
  </si>
  <si>
    <t>2022-03-24 19:07:47 UTC</t>
  </si>
  <si>
    <t>2022-03-24 18:51:21 UTC</t>
  </si>
  <si>
    <t>2022-03-24 18:41:34 UTC</t>
  </si>
  <si>
    <t>2022-03-24 17:54:14 UTC</t>
  </si>
  <si>
    <t>2022-03-24 17:41:09 UTC</t>
  </si>
  <si>
    <t>2022-03-24 17:30:33 UTC</t>
  </si>
  <si>
    <t>2022-03-24 17:19:15 UTC</t>
  </si>
  <si>
    <t>2022-03-24 17:18:48 UTC</t>
  </si>
  <si>
    <t>2022-03-24 17:18:47 UTC</t>
  </si>
  <si>
    <t>2022-03-24 16:58:40 UTC</t>
  </si>
  <si>
    <t>2022-03-24 16:54:43 UTC</t>
  </si>
  <si>
    <t>2022-03-24 16:53:35 UTC</t>
  </si>
  <si>
    <t>2022-03-24 16:39:57 UTC</t>
  </si>
  <si>
    <t>2022-03-24 16:26:16 UTC</t>
  </si>
  <si>
    <t>2022-03-24 16:23:46 UTC</t>
  </si>
  <si>
    <t>2022-03-24 16:17:30 UTC</t>
  </si>
  <si>
    <t>2022-03-24 16:14:46 UTC</t>
  </si>
  <si>
    <t>2022-03-24 16:12:40 UTC</t>
  </si>
  <si>
    <t>2022-03-24 16:04:19 UTC</t>
  </si>
  <si>
    <t>2022-03-24 16:01:23 UTC</t>
  </si>
  <si>
    <t>2022-03-24 16:00:55 UTC</t>
  </si>
  <si>
    <t>2022-03-24 15:31:27 UTC</t>
  </si>
  <si>
    <t>2022-03-24 15:31:19 UTC</t>
  </si>
  <si>
    <t>2022-03-24 15:13:54 UTC</t>
  </si>
  <si>
    <t>2022-03-24 14:39:01 UTC</t>
  </si>
  <si>
    <t>2022-03-24 14:38:48 UTC</t>
  </si>
  <si>
    <t>2022-03-24 14:28:20 UTC</t>
  </si>
  <si>
    <t>2022-03-24 14:27:58 UTC</t>
  </si>
  <si>
    <t>2022-03-24 14:27:22 UTC</t>
  </si>
  <si>
    <t>2022-03-24 14:23:52 UTC</t>
  </si>
  <si>
    <t>2022-03-24 14:20:26 UTC</t>
  </si>
  <si>
    <t>2022-03-24 14:03:29 UTC</t>
  </si>
  <si>
    <t>2022-03-24 14:02:08 UTC</t>
  </si>
  <si>
    <t>2022-03-24 13:57:35 UTC</t>
  </si>
  <si>
    <t>2022-03-24 13:55:23 UTC</t>
  </si>
  <si>
    <t>2022-03-24 13:47:39 UTC</t>
  </si>
  <si>
    <t>2022-03-24 13:46:49 UTC</t>
  </si>
  <si>
    <t>2022-03-24 12:47:26 UTC</t>
  </si>
  <si>
    <t>2022-03-24 12:31:11 UTC</t>
  </si>
  <si>
    <t>2022-03-24 12:16:41 UTC</t>
  </si>
  <si>
    <t>2022-03-24 12:10:26 UTC</t>
  </si>
  <si>
    <t>2022-03-24 11:57:58 UTC</t>
  </si>
  <si>
    <t>2022-03-24 11:49:23 UTC</t>
  </si>
  <si>
    <t>2022-03-24 11:41:21 UTC</t>
  </si>
  <si>
    <t>2022-03-24 11:39:52 UTC</t>
  </si>
  <si>
    <t>2022-03-24 11:34:57 UTC</t>
  </si>
  <si>
    <t>2022-03-24 11:24:32 UTC</t>
  </si>
  <si>
    <t>2022-03-24 11:22:16 UTC</t>
  </si>
  <si>
    <t>2022-03-24 11:21:24 UTC</t>
  </si>
  <si>
    <t>2022-03-24 11:18:30 UTC</t>
  </si>
  <si>
    <t>2022-03-24 11:11:12 UTC</t>
  </si>
  <si>
    <t>2022-03-24 11:00:47 UTC</t>
  </si>
  <si>
    <t>2022-03-24 10:54:59 UTC</t>
  </si>
  <si>
    <t>2022-03-24 10:46:42 UTC</t>
  </si>
  <si>
    <t>2022-03-24 10:31:12 UTC</t>
  </si>
  <si>
    <t>2022-03-24 10:30:09 UTC</t>
  </si>
  <si>
    <t>2022-03-24 10:27:25 UTC</t>
  </si>
  <si>
    <t>2022-03-24 10:25:04 UTC</t>
  </si>
  <si>
    <t>2022-03-24 10:21:10 UTC</t>
  </si>
  <si>
    <t>2022-03-24 10:17:41 UTC</t>
  </si>
  <si>
    <t>2022-03-24 10:16:58 UTC</t>
  </si>
  <si>
    <t>2022-03-24 10:15:42 UTC</t>
  </si>
  <si>
    <t>2022-03-24 10:13:44 UTC</t>
  </si>
  <si>
    <t>2022-03-24 10:01:49 UTC</t>
  </si>
  <si>
    <t>2022-03-24 09:52:46 UTC</t>
  </si>
  <si>
    <t>2022-03-24 09:52:17 UTC</t>
  </si>
  <si>
    <t>2022-03-24 09:08:33 UTC</t>
  </si>
  <si>
    <t>2022-03-24 08:28:12 UTC</t>
  </si>
  <si>
    <t>2022-03-24 08:25:27 UTC</t>
  </si>
  <si>
    <t>2022-03-24 08:20:17 UTC</t>
  </si>
  <si>
    <t>2022-03-24 08:16:50 UTC</t>
  </si>
  <si>
    <t>2022-03-24 08:16:25 UTC</t>
  </si>
  <si>
    <t>2022-03-24 08:11:53 UTC</t>
  </si>
  <si>
    <t>2022-03-24 08:07:48 UTC</t>
  </si>
  <si>
    <t>2022-03-24 07:17:26 UTC</t>
  </si>
  <si>
    <t>2022-03-24 06:35:49 UTC</t>
  </si>
  <si>
    <t>2022-03-24 06:12:02 UTC</t>
  </si>
  <si>
    <t>2022-03-24 06:07:17 UTC</t>
  </si>
  <si>
    <t>2022-03-24 06:05:55 UTC</t>
  </si>
  <si>
    <t>2022-03-24 06:05:17 UTC</t>
  </si>
  <si>
    <t>2022-03-24 05:46:25 UTC</t>
  </si>
  <si>
    <t>2022-03-24 05:35:48 UTC</t>
  </si>
  <si>
    <t>2022-03-24 05:26:49 UTC</t>
  </si>
  <si>
    <t>2022-03-24 04:52:22 UTC</t>
  </si>
  <si>
    <t>2022-03-24 04:49:01 UTC</t>
  </si>
  <si>
    <t>2022-03-24 04:42:15 UTC</t>
  </si>
  <si>
    <t>2022-03-24 04:40:07 UTC</t>
  </si>
  <si>
    <t>2022-03-24 04:29:48 UTC</t>
  </si>
  <si>
    <t>2022-03-24 03:05:10 UTC</t>
  </si>
  <si>
    <t>2022-03-24 02:56:35 UTC</t>
  </si>
  <si>
    <t>2022-03-24 02:54:35 UTC</t>
  </si>
  <si>
    <t>2022-03-24 02:50:14 UTC</t>
  </si>
  <si>
    <t>2022-03-24 02:50:01 UTC</t>
  </si>
  <si>
    <t>2022-03-24 01:18:35 UTC</t>
  </si>
  <si>
    <t>2022-03-24 00:26:18 UTC</t>
  </si>
  <si>
    <t>2022-03-23 23:06:02 UTC</t>
  </si>
  <si>
    <t>2022-03-23 22:35:44 UTC</t>
  </si>
  <si>
    <t>2022-03-23 22:05:37 UTC</t>
  </si>
  <si>
    <t>2022-03-23 19:15:12 UTC</t>
  </si>
  <si>
    <t>2022-03-23 19:14:46 UTC</t>
  </si>
  <si>
    <t>2022-03-23 19:12:29 UTC</t>
  </si>
  <si>
    <t>2022-03-23 19:09:35 UTC</t>
  </si>
  <si>
    <t>2022-03-23 19:09:30 UTC</t>
  </si>
  <si>
    <t>2022-03-23 19:03:32 UTC</t>
  </si>
  <si>
    <t>2022-03-23 18:34:03 UTC</t>
  </si>
  <si>
    <t>2022-03-23 17:14:46 UTC</t>
  </si>
  <si>
    <t>2022-03-23 17:12:32 UTC</t>
  </si>
  <si>
    <t>2022-03-23 16:23:37 UTC</t>
  </si>
  <si>
    <t>2022-03-23 15:19:42 UTC</t>
  </si>
  <si>
    <t>2022-03-23 14:59:31 UTC</t>
  </si>
  <si>
    <t>2022-03-23 14:56:33 UTC</t>
  </si>
  <si>
    <t>2022-03-23 14:49:54 UTC</t>
  </si>
  <si>
    <t>2022-03-23 14:08:51 UTC</t>
  </si>
  <si>
    <t>2022-03-23 14:07:23 UTC</t>
  </si>
  <si>
    <t>2022-03-23 13:57:07 UTC</t>
  </si>
  <si>
    <t>2022-03-23 13:51:03 UTC</t>
  </si>
  <si>
    <t>2022-03-23 13:50:25 UTC</t>
  </si>
  <si>
    <t>2022-03-23 13:21:54 UTC</t>
  </si>
  <si>
    <t>2022-03-23 13:21:11 UTC</t>
  </si>
  <si>
    <t>2022-03-23 13:11:38 UTC</t>
  </si>
  <si>
    <t>2022-03-23 12:56:53 UTC</t>
  </si>
  <si>
    <t>2022-03-23 12:46:28 UTC</t>
  </si>
  <si>
    <t>2022-03-23 12:40:21 UTC</t>
  </si>
  <si>
    <t>2022-03-23 12:21:44 UTC</t>
  </si>
  <si>
    <t>2022-03-23 12:10:35 UTC</t>
  </si>
  <si>
    <t>2022-03-23 11:55:24 UTC</t>
  </si>
  <si>
    <t>2022-03-23 11:31:06 UTC</t>
  </si>
  <si>
    <t>2022-03-23 11:30:29 UTC</t>
  </si>
  <si>
    <t>2022-03-23 11:01:17 UTC</t>
  </si>
  <si>
    <t>2022-03-23 10:52:38 UTC</t>
  </si>
  <si>
    <t>2022-03-23 10:46:25 UTC</t>
  </si>
  <si>
    <t>2022-03-23 10:42:34 UTC</t>
  </si>
  <si>
    <t>2022-03-23 10:05:41 UTC</t>
  </si>
  <si>
    <t>2022-03-23 09:58:26 UTC</t>
  </si>
  <si>
    <t>2022-03-23 09:32:15 UTC</t>
  </si>
  <si>
    <t>2022-03-23 09:27:28 UTC</t>
  </si>
  <si>
    <t>2022-03-23 08:50:43 UTC</t>
  </si>
  <si>
    <t>2022-03-23 08:47:29 UTC</t>
  </si>
  <si>
    <t>2022-03-23 08:45:25 UTC</t>
  </si>
  <si>
    <t>2022-03-23 08:40:37 UTC</t>
  </si>
  <si>
    <t>2022-03-23 08:38:11 UTC</t>
  </si>
  <si>
    <t>2022-03-23 08:36:31 UTC</t>
  </si>
  <si>
    <t>2022-03-23 08:35:03 UTC</t>
  </si>
  <si>
    <t>2022-03-23 08:00:48 UTC</t>
  </si>
  <si>
    <t>2022-03-23 07:50:08 UTC</t>
  </si>
  <si>
    <t>2022-03-23 07:47:42 UTC</t>
  </si>
  <si>
    <t>2022-03-23 07:43:32 UTC</t>
  </si>
  <si>
    <t>2022-03-23 07:25:54 UTC</t>
  </si>
  <si>
    <t>2022-03-23 07:09:53 UTC</t>
  </si>
  <si>
    <t>2022-03-23 07:02:55 UTC</t>
  </si>
  <si>
    <t>2022-03-23 07:00:50 UTC</t>
  </si>
  <si>
    <t>2022-03-23 06:59:47 UTC</t>
  </si>
  <si>
    <t>2022-03-23 06:48:35 UTC</t>
  </si>
  <si>
    <t>2022-03-23 06:42:21 UTC</t>
  </si>
  <si>
    <t>2022-03-23 06:36:47 UTC</t>
  </si>
  <si>
    <t>2022-03-23 06:08:47 UTC</t>
  </si>
  <si>
    <t>2022-03-23 06:06:14 UTC</t>
  </si>
  <si>
    <t>2022-03-23 05:43:39 UTC</t>
  </si>
  <si>
    <t>2022-03-23 04:53:44 UTC</t>
  </si>
  <si>
    <t>2022-03-23 04:53:37 UTC</t>
  </si>
  <si>
    <t>2022-03-23 04:53:35 UTC</t>
  </si>
  <si>
    <t>2022-03-23 04:53:34 UTC</t>
  </si>
  <si>
    <t>2022-03-23 04:48:00 UTC</t>
  </si>
  <si>
    <t>2022-03-23 04:15:19 UTC</t>
  </si>
  <si>
    <t>2022-03-23 04:12:11 UTC</t>
  </si>
  <si>
    <t>2022-03-23 03:34:35 UTC</t>
  </si>
  <si>
    <t>2022-03-23 03:22:23 UTC</t>
  </si>
  <si>
    <t>2022-03-23 03:20:05 UTC</t>
  </si>
  <si>
    <t>2022-03-23 03:14:11 UTC</t>
  </si>
  <si>
    <t>2022-03-23 02:55:39 UTC</t>
  </si>
  <si>
    <t>2022-03-23 02:41:17 UTC</t>
  </si>
  <si>
    <t>2022-03-23 02:33:28 UTC</t>
  </si>
  <si>
    <t>2022-03-23 02:08:02 UTC</t>
  </si>
  <si>
    <t>2022-03-23 00:22:51 UTC</t>
  </si>
  <si>
    <t>2022-03-23 00:21:07 UTC</t>
  </si>
  <si>
    <t>2022-03-22 23:49:57 UTC</t>
  </si>
  <si>
    <t>2022-03-22 21:07:10 UTC</t>
  </si>
  <si>
    <t>2022-03-22 20:46:35 UTC</t>
  </si>
  <si>
    <t>2022-03-22 20:41:17 UTC</t>
  </si>
  <si>
    <t>2022-03-22 20:39:21 UTC</t>
  </si>
  <si>
    <t>2022-03-22 20:39:11 UTC</t>
  </si>
  <si>
    <t>2022-03-22 19:11:21 UTC</t>
  </si>
  <si>
    <t>2022-03-22 18:53:46 UTC</t>
  </si>
  <si>
    <t>2022-03-22 18:53:18 UTC</t>
  </si>
  <si>
    <t>2022-03-22 18:46:56 UTC</t>
  </si>
  <si>
    <t>2022-03-22 18:37:31 UTC</t>
  </si>
  <si>
    <t>2022-03-22 18:08:27 UTC</t>
  </si>
  <si>
    <t>2022-03-22 18:08:26 UTC</t>
  </si>
  <si>
    <t>2022-03-22 18:03:51 UTC</t>
  </si>
  <si>
    <t>2022-03-22 17:47:12 UTC</t>
  </si>
  <si>
    <t>2022-03-22 17:32:24 UTC</t>
  </si>
  <si>
    <t>2022-03-22 17:26:14 UTC</t>
  </si>
  <si>
    <t>2022-03-22 17:19:53 UTC</t>
  </si>
  <si>
    <t>2022-03-22 17:05:51 UTC</t>
  </si>
  <si>
    <t>2022-03-22 16:48:41 UTC</t>
  </si>
  <si>
    <t>2022-03-22 16:20:38 UTC</t>
  </si>
  <si>
    <t>2022-03-22 16:11:54 UTC</t>
  </si>
  <si>
    <t>2022-03-22 15:59:51 UTC</t>
  </si>
  <si>
    <t>2022-03-22 15:53:16 UTC</t>
  </si>
  <si>
    <t>2022-03-22 15:42:22 UTC</t>
  </si>
  <si>
    <t>2022-03-22 15:39:39 UTC</t>
  </si>
  <si>
    <t>2022-03-22 14:36:26 UTC</t>
  </si>
  <si>
    <t>2022-03-22 14:35:17 UTC</t>
  </si>
  <si>
    <t>2022-03-22 13:42:37 UTC</t>
  </si>
  <si>
    <t>2022-03-22 13:40:33 UTC</t>
  </si>
  <si>
    <t>2022-03-22 13:31:58 UTC</t>
  </si>
  <si>
    <t>2022-03-22 12:46:49 UTC</t>
  </si>
  <si>
    <t>2022-03-22 12:09:16 UTC</t>
  </si>
  <si>
    <t>2022-03-22 12:05:11 UTC</t>
  </si>
  <si>
    <t>2022-03-22 11:52:26 UTC</t>
  </si>
  <si>
    <t>2022-03-22 11:01:28 UTC</t>
  </si>
  <si>
    <t>2022-03-22 10:34:32 UTC</t>
  </si>
  <si>
    <t>2022-03-22 10:21:17 UTC</t>
  </si>
  <si>
    <t>2022-03-22 10:16:33 UTC</t>
  </si>
  <si>
    <t>2022-03-22 09:45:31 UTC</t>
  </si>
  <si>
    <t>2022-03-22 09:45:18 UTC</t>
  </si>
  <si>
    <t>2022-03-22 09:42:45 UTC</t>
  </si>
  <si>
    <t>2022-03-22 09:16:53 UTC</t>
  </si>
  <si>
    <t>2022-03-22 09:11:41 UTC</t>
  </si>
  <si>
    <t>2022-03-22 08:23:04 UTC</t>
  </si>
  <si>
    <t>2022-03-22 08:21:59 UTC</t>
  </si>
  <si>
    <t>2022-03-22 08:00:17 UTC</t>
  </si>
  <si>
    <t>2022-03-22 07:54:51 UTC</t>
  </si>
  <si>
    <t>2022-03-22 07:51:22 UTC</t>
  </si>
  <si>
    <t>2022-03-22 07:05:24 UTC</t>
  </si>
  <si>
    <t>2022-03-22 06:49:27 UTC</t>
  </si>
  <si>
    <t>2022-03-22 06:11:18 UTC</t>
  </si>
  <si>
    <t>2022-03-22 06:04:43 UTC</t>
  </si>
  <si>
    <t>2022-03-22 06:03:57 UTC</t>
  </si>
  <si>
    <t>2022-03-22 05:37:00 UTC</t>
  </si>
  <si>
    <t>2022-03-22 05:18:03 UTC</t>
  </si>
  <si>
    <t>2022-03-22 05:03:48 UTC</t>
  </si>
  <si>
    <t>2022-03-22 04:24:08 UTC</t>
  </si>
  <si>
    <t>2022-03-22 03:46:57 UTC</t>
  </si>
  <si>
    <t>2022-03-22 03:36:38 UTC</t>
  </si>
  <si>
    <t>2022-03-22 03:27:31 UTC</t>
  </si>
  <si>
    <t>2022-03-22 03:07:03 UTC</t>
  </si>
  <si>
    <t>2022-03-22 02:46:46 UTC</t>
  </si>
  <si>
    <t>2022-03-22 02:43:02 UTC</t>
  </si>
  <si>
    <t>2022-03-22 02:36:30 UTC</t>
  </si>
  <si>
    <t>2022-03-22 02:24:34 UTC</t>
  </si>
  <si>
    <t>2022-03-22 01:22:38 UTC</t>
  </si>
  <si>
    <t>2022-03-22 00:49:00 UTC</t>
  </si>
  <si>
    <t>2022-03-21 23:08:38 UTC</t>
  </si>
  <si>
    <t>2022-03-21 23:06:09 UTC</t>
  </si>
  <si>
    <t>2022-03-21 21:24:28 UTC</t>
  </si>
  <si>
    <t>2022-03-21 21:02:05 UTC</t>
  </si>
  <si>
    <t>2022-03-21 20:53:46 UTC</t>
  </si>
  <si>
    <t>2022-03-21 20:50:41 UTC</t>
  </si>
  <si>
    <t>2022-03-21 20:36:23 UTC</t>
  </si>
  <si>
    <t>2022-03-21 19:47:51 UTC</t>
  </si>
  <si>
    <t>2022-03-21 19:40:09 UTC</t>
  </si>
  <si>
    <t>2022-03-21 19:35:20 UTC</t>
  </si>
  <si>
    <t>2022-03-21 19:34:23 UTC</t>
  </si>
  <si>
    <t>2022-03-21 19:18:37 UTC</t>
  </si>
  <si>
    <t>2022-03-21 19:18:25 UTC</t>
  </si>
  <si>
    <t>2022-03-21 18:22:53 UTC</t>
  </si>
  <si>
    <t>2022-03-21 18:08:23 UTC</t>
  </si>
  <si>
    <t>2022-03-21 17:50:13 UTC</t>
  </si>
  <si>
    <t>2022-03-21 17:44:57 UTC</t>
  </si>
  <si>
    <t>2022-03-21 17:44:33 UTC</t>
  </si>
  <si>
    <t>2022-03-21 17:43:50 UTC</t>
  </si>
  <si>
    <t>2022-03-21 16:24:25 UTC</t>
  </si>
  <si>
    <t>2022-03-21 16:20:41 UTC</t>
  </si>
  <si>
    <t>2022-03-21 16:20:34 UTC</t>
  </si>
  <si>
    <t>2022-03-21 16:19:45 UTC</t>
  </si>
  <si>
    <t>2022-03-21 16:19:11 UTC</t>
  </si>
  <si>
    <t>2022-03-21 16:16:46 UTC</t>
  </si>
  <si>
    <t>2022-03-21 16:15:38 UTC</t>
  </si>
  <si>
    <t>2022-03-21 16:10:07 UTC</t>
  </si>
  <si>
    <t>2022-03-21 16:07:38 UTC</t>
  </si>
  <si>
    <t>2022-03-21 16:07:14 UTC</t>
  </si>
  <si>
    <t>2022-03-21 16:07:01 UTC</t>
  </si>
  <si>
    <t>2022-03-21 15:56:39 UTC</t>
  </si>
  <si>
    <t>2022-03-21 15:54:46 UTC</t>
  </si>
  <si>
    <t>2022-03-21 15:50:54 UTC</t>
  </si>
  <si>
    <t>2022-03-21 15:44:52 UTC</t>
  </si>
  <si>
    <t>2022-03-21 15:35:13 UTC</t>
  </si>
  <si>
    <t>2022-03-21 15:35:08 UTC</t>
  </si>
  <si>
    <t>2022-03-21 15:30:59 UTC</t>
  </si>
  <si>
    <t>2022-03-21 15:29:18 UTC</t>
  </si>
  <si>
    <t>2022-03-21 15:24:49 UTC</t>
  </si>
  <si>
    <t>2022-03-21 15:11:46 UTC</t>
  </si>
  <si>
    <t>2022-03-21 14:40:28 UTC</t>
  </si>
  <si>
    <t>2022-03-21 14:23:41 UTC</t>
  </si>
  <si>
    <t>2022-03-21 14:13:09 UTC</t>
  </si>
  <si>
    <t>2022-03-21 14:12:10 UTC</t>
  </si>
  <si>
    <t>2022-03-21 14:04:57 UTC</t>
  </si>
  <si>
    <t>2022-03-21 14:02:39 UTC</t>
  </si>
  <si>
    <t>2022-03-21 14:01:58 UTC</t>
  </si>
  <si>
    <t>2022-03-21 13:56:59 UTC</t>
  </si>
  <si>
    <t>2022-03-21 13:51:34 UTC</t>
  </si>
  <si>
    <t>2022-03-21 13:51:16 UTC</t>
  </si>
  <si>
    <t>2022-03-21 13:22:02 UTC</t>
  </si>
  <si>
    <t>2022-03-21 12:35:54 UTC</t>
  </si>
  <si>
    <t>2022-03-21 12:34:03 UTC</t>
  </si>
  <si>
    <t>2022-03-21 12:32:15 UTC</t>
  </si>
  <si>
    <t>2022-03-21 12:11:51 UTC</t>
  </si>
  <si>
    <t>2022-03-21 12:11:06 UTC</t>
  </si>
  <si>
    <t>2022-03-21 12:10:37 UTC</t>
  </si>
  <si>
    <t>2022-03-21 12:10:14 UTC</t>
  </si>
  <si>
    <t>2022-03-21 12:04:38 UTC</t>
  </si>
  <si>
    <t>2022-03-21 11:57:02 UTC</t>
  </si>
  <si>
    <t>2022-03-21 09:20:48 UTC</t>
  </si>
  <si>
    <t>2022-03-21 08:05:16 UTC</t>
  </si>
  <si>
    <t>2022-03-21 07:59:31 UTC</t>
  </si>
  <si>
    <t>2022-03-21 07:16:30 UTC</t>
  </si>
  <si>
    <t>2022-03-21 07:16:14 UTC</t>
  </si>
  <si>
    <t>2022-03-21 06:58:41 UTC</t>
  </si>
  <si>
    <t>2022-03-21 06:40:13 UTC</t>
  </si>
  <si>
    <t>2022-03-21 06:39:41 UTC</t>
  </si>
  <si>
    <t>2022-03-21 06:22:50 UTC</t>
  </si>
  <si>
    <t>2022-03-21 06:22:36 UTC</t>
  </si>
  <si>
    <t>2022-03-21 06:09:52 UTC</t>
  </si>
  <si>
    <t>2022-03-21 06:08:44 UTC</t>
  </si>
  <si>
    <t>2022-03-21 06:01:33 UTC</t>
  </si>
  <si>
    <t>2022-03-21 05:58:32 UTC</t>
  </si>
  <si>
    <t>2022-03-21 05:29:44 UTC</t>
  </si>
  <si>
    <t>2022-03-21 05:26:55 UTC</t>
  </si>
  <si>
    <t>2022-03-21 04:53:17 UTC</t>
  </si>
  <si>
    <t>2022-03-21 04:48:53 UTC</t>
  </si>
  <si>
    <t>2022-03-21 04:46:45 UTC</t>
  </si>
  <si>
    <t>2022-03-21 04:22:14 UTC</t>
  </si>
  <si>
    <t>2022-03-21 04:11:56 UTC</t>
  </si>
  <si>
    <t>2022-03-21 03:20:35 UTC</t>
  </si>
  <si>
    <t>2022-03-21 03:20:00 UTC</t>
  </si>
  <si>
    <t>2022-03-21 02:37:12 UTC</t>
  </si>
  <si>
    <t>2022-03-21 02:22:34 UTC</t>
  </si>
  <si>
    <t>2022-03-21 02:20:39 UTC</t>
  </si>
  <si>
    <t>2022-03-21 02:15:20 UTC</t>
  </si>
  <si>
    <t>2022-03-21 01:46:02 UTC</t>
  </si>
  <si>
    <t>2022-03-21 01:44:34 UTC</t>
  </si>
  <si>
    <t>2022-03-21 01:37:23 UTC</t>
  </si>
  <si>
    <t>2022-03-21 01:36:29 UTC</t>
  </si>
  <si>
    <t>2022-03-21 01:32:50 UTC</t>
  </si>
  <si>
    <t>2022-03-21 01:30:09 UTC</t>
  </si>
  <si>
    <t>2022-03-21 01:28:40 UTC</t>
  </si>
  <si>
    <t>2022-03-21 00:54:22 UTC</t>
  </si>
  <si>
    <t>2022-03-21 00:45:29 UTC</t>
  </si>
  <si>
    <t>2022-03-20 21:52:44 UTC</t>
  </si>
  <si>
    <t>2022-03-20 21:51:42 UTC</t>
  </si>
  <si>
    <t>2022-03-20 21:40:49 UTC</t>
  </si>
  <si>
    <t>2022-03-20 21:25:19 UTC</t>
  </si>
  <si>
    <t>2022-03-20 21:08:20 UTC</t>
  </si>
  <si>
    <t>2022-03-20 20:39:45 UTC</t>
  </si>
  <si>
    <t>2022-03-20 19:36:57 UTC</t>
  </si>
  <si>
    <t>2022-03-20 19:14:44 UTC</t>
  </si>
  <si>
    <t>2022-03-20 19:04:51 UTC</t>
  </si>
  <si>
    <t>2022-03-20 19:02:15 UTC</t>
  </si>
  <si>
    <t>2022-03-20 18:58:16 UTC</t>
  </si>
  <si>
    <t>2022-03-20 18:03:47 UTC</t>
  </si>
  <si>
    <t>2022-03-20 18:03:37 UTC</t>
  </si>
  <si>
    <t>2022-03-20 17:42:09 UTC</t>
  </si>
  <si>
    <t>2022-03-20 17:07:57 UTC</t>
  </si>
  <si>
    <t>2022-03-20 17:07:16 UTC</t>
  </si>
  <si>
    <t>2022-03-20 16:55:16 UTC</t>
  </si>
  <si>
    <t>2022-03-20 16:14:35 UTC</t>
  </si>
  <si>
    <t>2022-03-20 16:04:40 UTC</t>
  </si>
  <si>
    <t>2022-03-20 15:51:58 UTC</t>
  </si>
  <si>
    <t>2022-03-20 15:47:44 UTC</t>
  </si>
  <si>
    <t>2022-03-20 15:37:58 UTC</t>
  </si>
  <si>
    <t>2022-03-20 15:31:35 UTC</t>
  </si>
  <si>
    <t>2022-03-20 15:25:08 UTC</t>
  </si>
  <si>
    <t>2022-03-20 15:24:30 UTC</t>
  </si>
  <si>
    <t>2022-03-20 15:18:56 UTC</t>
  </si>
  <si>
    <t>2022-03-20 15:18:18 UTC</t>
  </si>
  <si>
    <t>2022-03-20 15:16:03 UTC</t>
  </si>
  <si>
    <t>2022-03-20 15:11:47 UTC</t>
  </si>
  <si>
    <t>2022-03-20 15:03:45 UTC</t>
  </si>
  <si>
    <t>2022-03-20 15:01:56 UTC</t>
  </si>
  <si>
    <t>2022-03-20 14:57:27 UTC</t>
  </si>
  <si>
    <t>2022-03-20 14:53:11 UTC</t>
  </si>
  <si>
    <t>2022-03-20 14:48:31 UTC</t>
  </si>
  <si>
    <t>2022-03-20 14:47:02 UTC</t>
  </si>
  <si>
    <t>2022-03-20 14:42:58 UTC</t>
  </si>
  <si>
    <t>2022-03-20 14:42:23 UTC</t>
  </si>
  <si>
    <t>2022-03-20 14:34:21 UTC</t>
  </si>
  <si>
    <t>2022-03-20 14:33:39 UTC</t>
  </si>
  <si>
    <t>2022-03-20 14:33:31 UTC</t>
  </si>
  <si>
    <t>2022-03-20 14:06:46 UTC</t>
  </si>
  <si>
    <t>2022-03-20 13:44:14 UTC</t>
  </si>
  <si>
    <t>2022-03-20 13:42:54 UTC</t>
  </si>
  <si>
    <t>2022-03-20 12:37:30 UTC</t>
  </si>
  <si>
    <t>2022-03-20 11:50:16 UTC</t>
  </si>
  <si>
    <t>2022-03-20 11:33:47 UTC</t>
  </si>
  <si>
    <t>2022-03-20 11:30:28 UTC</t>
  </si>
  <si>
    <t>2022-03-20 10:23:10 UTC</t>
  </si>
  <si>
    <t>2022-03-20 10:21:42 UTC</t>
  </si>
  <si>
    <t>2022-03-20 09:50:35 UTC</t>
  </si>
  <si>
    <t>2022-03-20 09:45:53 UTC</t>
  </si>
  <si>
    <t>2022-03-20 09:39:42 UTC</t>
  </si>
  <si>
    <t>2022-03-20 09:34:09 UTC</t>
  </si>
  <si>
    <t>2022-03-20 09:33:14 UTC</t>
  </si>
  <si>
    <t>2022-03-20 09:06:13 UTC</t>
  </si>
  <si>
    <t>2022-03-20 09:05:57 UTC</t>
  </si>
  <si>
    <t>2022-03-20 08:38:12 UTC</t>
  </si>
  <si>
    <t>2022-03-20 08:14:22 UTC</t>
  </si>
  <si>
    <t>2022-03-20 07:52:41 UTC</t>
  </si>
  <si>
    <t>2022-03-20 07:03:42 UTC</t>
  </si>
  <si>
    <t>2022-03-20 06:52:16 UTC</t>
  </si>
  <si>
    <t>2022-03-20 06:40:22 UTC</t>
  </si>
  <si>
    <t>2022-03-20 06:09:38 UTC</t>
  </si>
  <si>
    <t>2022-03-20 05:05:28 UTC</t>
  </si>
  <si>
    <t>2022-03-20 04:51:11 UTC</t>
  </si>
  <si>
    <t>2022-03-20 04:32:31 UTC</t>
  </si>
  <si>
    <t>2022-03-20 04:12:33 UTC</t>
  </si>
  <si>
    <t>2022-03-20 03:51:39 UTC</t>
  </si>
  <si>
    <t>2022-03-20 03:36:18 UTC</t>
  </si>
  <si>
    <t>2022-03-20 03:30:15 UTC</t>
  </si>
  <si>
    <t>2022-03-20 03:30:00 UTC</t>
  </si>
  <si>
    <t>2022-03-20 03:16:08 UTC</t>
  </si>
  <si>
    <t>2022-03-20 03:11:40 UTC</t>
  </si>
  <si>
    <t>2022-03-20 02:51:10 UTC</t>
  </si>
  <si>
    <t>2022-03-20 02:32:19 UTC</t>
  </si>
  <si>
    <t>2022-03-20 02:28:52 UTC</t>
  </si>
  <si>
    <t>2022-03-20 02:19:02 UTC</t>
  </si>
  <si>
    <t>2022-03-20 02:17:50 UTC</t>
  </si>
  <si>
    <t>2022-03-20 02:17:23 UTC</t>
  </si>
  <si>
    <t>2022-03-20 01:13:28 UTC</t>
  </si>
  <si>
    <t>2022-03-20 01:10:33 UTC</t>
  </si>
  <si>
    <t>2022-03-20 00:04:07 UTC</t>
  </si>
  <si>
    <t>2022-03-19 22:25:46 UTC</t>
  </si>
  <si>
    <t>2022-03-19 22:20:29 UTC</t>
  </si>
  <si>
    <t>2022-03-19 21:58:19 UTC</t>
  </si>
  <si>
    <t>2022-03-19 21:52:54 UTC</t>
  </si>
  <si>
    <t>2022-03-19 21:52:32 UTC</t>
  </si>
  <si>
    <t>2022-03-19 21:49:23 UTC</t>
  </si>
  <si>
    <t>2022-03-19 21:40:52 UTC</t>
  </si>
  <si>
    <t>2022-03-19 21:30:46 UTC</t>
  </si>
  <si>
    <t>2022-03-19 21:24:18 UTC</t>
  </si>
  <si>
    <t>2022-03-19 21:09:34 UTC</t>
  </si>
  <si>
    <t>2022-03-19 20:01:06 UTC</t>
  </si>
  <si>
    <t>2022-03-19 18:32:37 UTC</t>
  </si>
  <si>
    <t>2022-03-19 17:57:59 UTC</t>
  </si>
  <si>
    <t>2022-03-19 17:51:45 UTC</t>
  </si>
  <si>
    <t>2022-03-19 17:49:12 UTC</t>
  </si>
  <si>
    <t>2022-03-19 17:47:12 UTC</t>
  </si>
  <si>
    <t>2022-03-19 17:38:38 UTC</t>
  </si>
  <si>
    <t>2022-03-19 17:08:56 UTC</t>
  </si>
  <si>
    <t>2022-03-19 16:39:28 UTC</t>
  </si>
  <si>
    <t>2022-03-19 16:21:36 UTC</t>
  </si>
  <si>
    <t>2022-03-19 15:53:32 UTC</t>
  </si>
  <si>
    <t>2022-03-19 15:36:00 UTC</t>
  </si>
  <si>
    <t>2022-03-19 15:35:27 UTC</t>
  </si>
  <si>
    <t>2022-03-19 14:38:18 UTC</t>
  </si>
  <si>
    <t>2022-03-19 14:35:39 UTC</t>
  </si>
  <si>
    <t>2022-03-19 14:16:20 UTC</t>
  </si>
  <si>
    <t>2022-03-19 14:02:03 UTC</t>
  </si>
  <si>
    <t>2022-03-19 13:59:07 UTC</t>
  </si>
  <si>
    <t>2022-03-19 13:04:43 UTC</t>
  </si>
  <si>
    <t>2022-03-19 12:41:45 UTC</t>
  </si>
  <si>
    <t>2022-03-19 12:31:57 UTC</t>
  </si>
  <si>
    <t>2022-03-19 12:23:31 UTC</t>
  </si>
  <si>
    <t>2022-03-19 12:14:36 UTC</t>
  </si>
  <si>
    <t>2022-03-19 12:14:04 UTC</t>
  </si>
  <si>
    <t>2022-03-19 11:42:04 UTC</t>
  </si>
  <si>
    <t>2022-03-19 11:41:51 UTC</t>
  </si>
  <si>
    <t>2022-03-19 11:31:24 UTC</t>
  </si>
  <si>
    <t>2022-03-19 11:16:12 UTC</t>
  </si>
  <si>
    <t>2022-03-19 10:46:10 UTC</t>
  </si>
  <si>
    <t>2022-03-19 10:01:10 UTC</t>
  </si>
  <si>
    <t>2022-03-19 09:55:23 UTC</t>
  </si>
  <si>
    <t>2022-03-19 09:49:48 UTC</t>
  </si>
  <si>
    <t>2022-03-19 09:44:58 UTC</t>
  </si>
  <si>
    <t>2022-03-19 09:44:01 UTC</t>
  </si>
  <si>
    <t>2022-03-19 07:00:32 UTC</t>
  </si>
  <si>
    <t>2022-03-19 06:58:43 UTC</t>
  </si>
  <si>
    <t>2022-03-19 06:46:32 UTC</t>
  </si>
  <si>
    <t>2022-03-19 06:32:51 UTC</t>
  </si>
  <si>
    <t>2022-03-19 06:32:30 UTC</t>
  </si>
  <si>
    <t>2022-03-19 06:25:44 UTC</t>
  </si>
  <si>
    <t>2022-03-19 06:21:08 UTC</t>
  </si>
  <si>
    <t>2022-03-19 05:56:27 UTC</t>
  </si>
  <si>
    <t>2022-03-19 05:19:58 UTC</t>
  </si>
  <si>
    <t>2022-03-19 05:19:50 UTC</t>
  </si>
  <si>
    <t>2022-03-19 05:18:41 UTC</t>
  </si>
  <si>
    <t>2022-03-19 04:36:09 UTC</t>
  </si>
  <si>
    <t>2022-03-19 04:35:36 UTC</t>
  </si>
  <si>
    <t>2022-03-19 04:31:51 UTC</t>
  </si>
  <si>
    <t>2022-03-19 04:09:27 UTC</t>
  </si>
  <si>
    <t>2022-03-19 03:54:54 UTC</t>
  </si>
  <si>
    <t>2022-03-19 03:52:35 UTC</t>
  </si>
  <si>
    <t>2022-03-19 03:51:18 UTC</t>
  </si>
  <si>
    <t>2022-03-19 03:46:38 UTC</t>
  </si>
  <si>
    <t>2022-03-19 03:32:27 UTC</t>
  </si>
  <si>
    <t>2022-03-19 03:00:44 UTC</t>
  </si>
  <si>
    <t>2022-03-19 02:28:54 UTC</t>
  </si>
  <si>
    <t>2022-03-19 02:28:16 UTC</t>
  </si>
  <si>
    <t>2022-03-19 02:26:09 UTC</t>
  </si>
  <si>
    <t>2022-03-19 02:23:59 UTC</t>
  </si>
  <si>
    <t>2022-03-19 02:23:47 UTC</t>
  </si>
  <si>
    <t>2022-03-19 01:57:27 UTC</t>
  </si>
  <si>
    <t>2022-03-18 20:31:44 UTC</t>
  </si>
  <si>
    <t>2022-03-18 20:02:07 UTC</t>
  </si>
  <si>
    <t>2022-03-18 20:00:25 UTC</t>
  </si>
  <si>
    <t>2022-03-18 19:57:02 UTC</t>
  </si>
  <si>
    <t>2022-03-18 19:49:28 UTC</t>
  </si>
  <si>
    <t>2022-03-18 19:48:57 UTC</t>
  </si>
  <si>
    <t>2022-03-18 19:23:38 UTC</t>
  </si>
  <si>
    <t>2022-03-18 19:12:52 UTC</t>
  </si>
  <si>
    <t>2022-03-18 19:04:38 UTC</t>
  </si>
  <si>
    <t>2022-03-18 18:04:09 UTC</t>
  </si>
  <si>
    <t>2022-03-18 17:36:45 UTC</t>
  </si>
  <si>
    <t>2022-03-18 17:36:03 UTC</t>
  </si>
  <si>
    <t>2022-03-18 17:33:04 UTC</t>
  </si>
  <si>
    <t>2022-03-18 17:31:24 UTC</t>
  </si>
  <si>
    <t>2022-03-18 17:27:32 UTC</t>
  </si>
  <si>
    <t>2022-03-18 16:28:38 UTC</t>
  </si>
  <si>
    <t>2022-03-18 16:17:00 UTC</t>
  </si>
  <si>
    <t>2022-03-18 16:16:56 UTC</t>
  </si>
  <si>
    <t>2022-03-18 16:12:29 UTC</t>
  </si>
  <si>
    <t>2022-03-18 16:11:04 UTC</t>
  </si>
  <si>
    <t>2022-03-18 16:04:20 UTC</t>
  </si>
  <si>
    <t>2022-03-18 15:20:25 UTC</t>
  </si>
  <si>
    <t>2022-03-18 15:20:07 UTC</t>
  </si>
  <si>
    <t>2022-03-18 15:16:25 UTC</t>
  </si>
  <si>
    <t>2022-03-18 15:07:37 UTC</t>
  </si>
  <si>
    <t>2022-03-18 15:02:11 UTC</t>
  </si>
  <si>
    <t>2022-03-18 14:54:56 UTC</t>
  </si>
  <si>
    <t>2022-03-18 14:36:21 UTC</t>
  </si>
  <si>
    <t>2022-03-18 14:31:53 UTC</t>
  </si>
  <si>
    <t>2022-03-18 14:25:06 UTC</t>
  </si>
  <si>
    <t>2022-03-18 14:17:20 UTC</t>
  </si>
  <si>
    <t>2022-03-18 12:21:04 UTC</t>
  </si>
  <si>
    <t>2022-03-18 11:06:12 UTC</t>
  </si>
  <si>
    <t>2022-03-18 09:51:08 UTC</t>
  </si>
  <si>
    <t>2022-03-18 09:09:58 UTC</t>
  </si>
  <si>
    <t>2022-03-18 09:08:14 UTC</t>
  </si>
  <si>
    <t>2022-03-18 09:05:06 UTC</t>
  </si>
  <si>
    <t>2022-03-18 09:00:59 UTC</t>
  </si>
  <si>
    <t>2022-03-18 08:55:41 UTC</t>
  </si>
  <si>
    <t>2022-03-18 08:54:37 UTC</t>
  </si>
  <si>
    <t>2022-03-18 08:47:58 UTC</t>
  </si>
  <si>
    <t>2022-03-18 08:38:00 UTC</t>
  </si>
  <si>
    <t>2022-03-18 08:37:10 UTC</t>
  </si>
  <si>
    <t>2022-03-18 08:17:35 UTC</t>
  </si>
  <si>
    <t>2022-03-18 08:07:04 UTC</t>
  </si>
  <si>
    <t>2022-03-18 08:05:14 UTC</t>
  </si>
  <si>
    <t>2022-03-18 07:53:36 UTC</t>
  </si>
  <si>
    <t>2022-03-18 07:30:33 UTC</t>
  </si>
  <si>
    <t>2022-03-18 07:21:41 UTC</t>
  </si>
  <si>
    <t>2022-03-18 07:21:18 UTC</t>
  </si>
  <si>
    <t>2022-03-18 05:38:39 UTC</t>
  </si>
  <si>
    <t>2022-03-18 05:36:04 UTC</t>
  </si>
  <si>
    <t>2022-03-18 05:00:16 UTC</t>
  </si>
  <si>
    <t>2022-03-18 04:59:37 UTC</t>
  </si>
  <si>
    <t>2022-03-18 02:20:04 UTC</t>
  </si>
  <si>
    <t>2022-03-18 02:18:40 UTC</t>
  </si>
  <si>
    <t>2022-03-17 18:49:46 UTC</t>
  </si>
  <si>
    <t>2022-03-17 18:28:33 UTC</t>
  </si>
  <si>
    <t>2022-03-17 18:24:56 UTC</t>
  </si>
  <si>
    <t>2022-03-17 18:04:16 UTC</t>
  </si>
  <si>
    <t>2022-03-17 17:57:20 UTC</t>
  </si>
  <si>
    <t>2022-03-17 17:48:16 UTC</t>
  </si>
  <si>
    <t>2022-03-17 16:22:25 UTC</t>
  </si>
  <si>
    <t>2022-03-17 15:41:56 UTC</t>
  </si>
  <si>
    <t>2022-03-17 15:37:13 UTC</t>
  </si>
  <si>
    <t>2022-03-17 15:36:30 UTC</t>
  </si>
  <si>
    <t>2022-03-17 15:35:09 UTC</t>
  </si>
  <si>
    <t>2022-03-17 15:34:44 UTC</t>
  </si>
  <si>
    <t>2022-03-17 15:32:15 UTC</t>
  </si>
  <si>
    <t>2022-03-17 15:31:03 UTC</t>
  </si>
  <si>
    <t>2022-03-17 15:29:21 UTC</t>
  </si>
  <si>
    <t>2022-03-17 15:23:40 UTC</t>
  </si>
  <si>
    <t>2022-03-17 14:48:08 UTC</t>
  </si>
  <si>
    <t>2022-03-17 14:32:47 UTC</t>
  </si>
  <si>
    <t>2022-03-17 14:30:58 UTC</t>
  </si>
  <si>
    <t>2022-03-17 14:25:19 UTC</t>
  </si>
  <si>
    <t>2022-03-17 14:08:37 UTC</t>
  </si>
  <si>
    <t>2022-03-17 14:05:46 UTC</t>
  </si>
  <si>
    <t>2022-03-17 14:02:02 UTC</t>
  </si>
  <si>
    <t>2022-03-17 14:00:45 UTC</t>
  </si>
  <si>
    <t>2022-03-17 13:30:29 UTC</t>
  </si>
  <si>
    <t>2022-03-17 13:22:18 UTC</t>
  </si>
  <si>
    <t>2022-03-17 13:06:42 UTC</t>
  </si>
  <si>
    <t>2022-03-17 12:52:18 UTC</t>
  </si>
  <si>
    <t>2022-03-17 11:50:15 UTC</t>
  </si>
  <si>
    <t>2022-03-17 11:29:30 UTC</t>
  </si>
  <si>
    <t>2022-03-17 11:05:25 UTC</t>
  </si>
  <si>
    <t>2022-03-17 11:04:49 UTC</t>
  </si>
  <si>
    <t>2022-03-17 10:53:42 UTC</t>
  </si>
  <si>
    <t>2022-03-17 10:42:49 UTC</t>
  </si>
  <si>
    <t>2022-03-17 10:40:43 UTC</t>
  </si>
  <si>
    <t>2022-03-17 10:38:51 UTC</t>
  </si>
  <si>
    <t>2022-03-17 09:51:57 UTC</t>
  </si>
  <si>
    <t>2022-03-17 09:51:46 UTC</t>
  </si>
  <si>
    <t>2022-03-17 09:36:30 UTC</t>
  </si>
  <si>
    <t>2022-03-17 09:32:53 UTC</t>
  </si>
  <si>
    <t>2022-03-17 09:18:34 UTC</t>
  </si>
  <si>
    <t>2022-03-17 09:12:21 UTC</t>
  </si>
  <si>
    <t>2022-03-17 09:10:19 UTC</t>
  </si>
  <si>
    <t>2022-03-17 09:10:03 UTC</t>
  </si>
  <si>
    <t>2022-03-17 09:09:50 UTC</t>
  </si>
  <si>
    <t>2022-03-17 09:09:31 UTC</t>
  </si>
  <si>
    <t>2022-03-17 09:09:21 UTC</t>
  </si>
  <si>
    <t>2022-03-17 08:42:23 UTC</t>
  </si>
  <si>
    <t>2022-03-17 08:34:17 UTC</t>
  </si>
  <si>
    <t>2022-03-17 08:25:23 UTC</t>
  </si>
  <si>
    <t>2022-03-17 08:10:50 UTC</t>
  </si>
  <si>
    <t>2022-03-17 07:34:49 UTC</t>
  </si>
  <si>
    <t>2022-03-17 07:28:02 UTC</t>
  </si>
  <si>
    <t>2022-03-17 07:18:03 UTC</t>
  </si>
  <si>
    <t>2022-03-17 07:11:05 UTC</t>
  </si>
  <si>
    <t>2022-03-17 06:57:22 UTC</t>
  </si>
  <si>
    <t>2022-03-17 06:56:53 UTC</t>
  </si>
  <si>
    <t>2022-03-17 06:53:44 UTC</t>
  </si>
  <si>
    <t>2022-03-17 06:51:57 UTC</t>
  </si>
  <si>
    <t>2022-03-17 06:49:55 UTC</t>
  </si>
  <si>
    <t>2022-03-17 05:41:48 UTC</t>
  </si>
  <si>
    <t>2022-03-17 05:38:54 UTC</t>
  </si>
  <si>
    <t>2022-03-17 05:38:12 UTC</t>
  </si>
  <si>
    <t>2022-03-17 05:22:03 UTC</t>
  </si>
  <si>
    <t>2022-03-17 05:15:20 UTC</t>
  </si>
  <si>
    <t>2022-03-17 05:00:10 UTC</t>
  </si>
  <si>
    <t>2022-03-17 04:59:41 UTC</t>
  </si>
  <si>
    <t>2022-03-17 04:42:50 UTC</t>
  </si>
  <si>
    <t>2022-03-17 04:26:42 UTC</t>
  </si>
  <si>
    <t>2022-03-17 04:23:49 UTC</t>
  </si>
  <si>
    <t>2022-03-17 04:22:39 UTC</t>
  </si>
  <si>
    <t>2022-03-17 04:11:19 UTC</t>
  </si>
  <si>
    <t>2022-03-17 03:30:17 UTC</t>
  </si>
  <si>
    <t>2022-03-17 03:29:41 UTC</t>
  </si>
  <si>
    <t>2022-03-17 02:26:20 UTC</t>
  </si>
  <si>
    <t>2022-03-17 02:16:54 UTC</t>
  </si>
  <si>
    <t>2022-03-17 02:14:48 UTC</t>
  </si>
  <si>
    <t>2022-03-17 02:11:53 UTC</t>
  </si>
  <si>
    <t>2022-03-17 02:11:23 UTC</t>
  </si>
  <si>
    <t>2022-03-17 01:50:53 UTC</t>
  </si>
  <si>
    <t>2022-03-17 01:45:37 UTC</t>
  </si>
  <si>
    <t>2022-03-17 01:35:15 UTC</t>
  </si>
  <si>
    <t>2022-03-17 00:54:54 UTC</t>
  </si>
  <si>
    <t>2022-03-17 00:43:36 UTC</t>
  </si>
  <si>
    <t>2022-03-17 00:14:56 UTC</t>
  </si>
  <si>
    <t>2022-03-17 00:10:33 UTC</t>
  </si>
  <si>
    <t>2022-03-16 20:02:06 UTC</t>
  </si>
  <si>
    <t>2022-03-16 17:27:06 UTC</t>
  </si>
  <si>
    <t>2022-03-16 17:22:23 UTC</t>
  </si>
  <si>
    <t>2022-03-16 17:20:06 UTC</t>
  </si>
  <si>
    <t>2022-03-16 17:19:32 UTC</t>
  </si>
  <si>
    <t>2022-03-16 17:15:27 UTC</t>
  </si>
  <si>
    <t>2022-03-16 17:07:07 UTC</t>
  </si>
  <si>
    <t>2022-03-16 16:22:40 UTC</t>
  </si>
  <si>
    <t>2022-03-16 16:05:54 UTC</t>
  </si>
  <si>
    <t>2022-03-16 15:44:18 UTC</t>
  </si>
  <si>
    <t>2022-03-16 15:02:40 UTC</t>
  </si>
  <si>
    <t>2022-03-16 14:49:04 UTC</t>
  </si>
  <si>
    <t>2022-03-16 14:41:55 UTC</t>
  </si>
  <si>
    <t>2022-03-16 14:41:25 UTC</t>
  </si>
  <si>
    <t>2022-03-16 14:35:48 UTC</t>
  </si>
  <si>
    <t>2022-03-16 14:33:19 UTC</t>
  </si>
  <si>
    <t>2022-03-16 14:27:18 UTC</t>
  </si>
  <si>
    <t>2022-03-16 14:08:10 UTC</t>
  </si>
  <si>
    <t>2022-03-16 14:07:18 UTC</t>
  </si>
  <si>
    <t>2022-03-16 14:04:50 UTC</t>
  </si>
  <si>
    <t>2022-03-16 14:00:49 UTC</t>
  </si>
  <si>
    <t>2022-03-16 13:38:12 UTC</t>
  </si>
  <si>
    <t>2022-03-16 13:37:20 UTC</t>
  </si>
  <si>
    <t>2022-03-16 13:24:20 UTC</t>
  </si>
  <si>
    <t>2022-03-16 13:10:57 UTC</t>
  </si>
  <si>
    <t>2022-03-16 13:06:38 UTC</t>
  </si>
  <si>
    <t>2022-03-16 12:50:33 UTC</t>
  </si>
  <si>
    <t>2022-03-16 12:15:12 UTC</t>
  </si>
  <si>
    <t>2022-03-16 12:11:15 UTC</t>
  </si>
  <si>
    <t>2022-03-16 12:11:13 UTC</t>
  </si>
  <si>
    <t>2022-03-16 12:08:29 UTC</t>
  </si>
  <si>
    <t>2022-03-16 11:44:24 UTC</t>
  </si>
  <si>
    <t>2022-03-16 11:32:20 UTC</t>
  </si>
  <si>
    <t>2022-03-16 11:02:34 UTC</t>
  </si>
  <si>
    <t>2022-03-16 10:42:27 UTC</t>
  </si>
  <si>
    <t>2022-03-16 10:42:25 UTC</t>
  </si>
  <si>
    <t>2022-03-16 10:40:14 UTC</t>
  </si>
  <si>
    <t>2022-03-16 10:40:09 UTC</t>
  </si>
  <si>
    <t>2022-03-16 10:39:19 UTC</t>
  </si>
  <si>
    <t>2022-03-16 10:39:17 UTC</t>
  </si>
  <si>
    <t>2022-03-16 10:37:20 UTC</t>
  </si>
  <si>
    <t>2022-03-16 10:35:00 UTC</t>
  </si>
  <si>
    <t>2022-03-16 10:19:05 UTC</t>
  </si>
  <si>
    <t>2022-03-16 10:19:01 UTC</t>
  </si>
  <si>
    <t>2022-03-16 10:15:39 UTC</t>
  </si>
  <si>
    <t>2022-03-16 10:15:02 UTC</t>
  </si>
  <si>
    <t>2022-03-16 10:10:53 UTC</t>
  </si>
  <si>
    <t>2022-03-16 09:39:02 UTC</t>
  </si>
  <si>
    <t>2022-03-16 09:12:41 UTC</t>
  </si>
  <si>
    <t>2022-03-16 09:12:22 UTC</t>
  </si>
  <si>
    <t>2022-03-16 09:09:53 UTC</t>
  </si>
  <si>
    <t>2022-03-16 09:09:34 UTC</t>
  </si>
  <si>
    <t>2022-03-16 07:44:04 UTC</t>
  </si>
  <si>
    <t>2022-03-16 07:19:36 UTC</t>
  </si>
  <si>
    <t>2022-03-16 07:16:57 UTC</t>
  </si>
  <si>
    <t>2022-03-16 06:17:40 UTC</t>
  </si>
  <si>
    <t>2022-03-16 06:03:25 UTC</t>
  </si>
  <si>
    <t>2022-03-16 05:55:11 UTC</t>
  </si>
  <si>
    <t>2022-03-16 05:35:16 UTC</t>
  </si>
  <si>
    <t>2022-03-16 05:28:55 UTC</t>
  </si>
  <si>
    <t>2022-03-16 05:28:47 UTC</t>
  </si>
  <si>
    <t>2022-03-16 05:28:24 UTC</t>
  </si>
  <si>
    <t>2022-03-16 03:03:17 UTC</t>
  </si>
  <si>
    <t>2022-03-16 02:31:30 UTC</t>
  </si>
  <si>
    <t>2022-03-16 01:44:25 UTC</t>
  </si>
  <si>
    <t>2022-03-15 20:49:41 UTC</t>
  </si>
  <si>
    <t>2022-03-15 20:03:50 UTC</t>
  </si>
  <si>
    <t>2022-03-15 19:55:18 UTC</t>
  </si>
  <si>
    <t>2022-03-15 19:51:52 UTC</t>
  </si>
  <si>
    <t>2022-03-15 19:51:37 UTC</t>
  </si>
  <si>
    <t>2022-03-15 19:50:21 UTC</t>
  </si>
  <si>
    <t>2022-03-15 19:38:24 UTC</t>
  </si>
  <si>
    <t>2022-03-15 19:31:42 UTC</t>
  </si>
  <si>
    <t>2022-03-15 19:27:02 UTC</t>
  </si>
  <si>
    <t>2022-03-15 19:17:42 UTC</t>
  </si>
  <si>
    <t>2022-03-15 19:10:36 UTC</t>
  </si>
  <si>
    <t>2022-03-15 19:09:45 UTC</t>
  </si>
  <si>
    <t>2022-03-15 19:04:41 UTC</t>
  </si>
  <si>
    <t>2022-03-15 17:26:11 UTC</t>
  </si>
  <si>
    <t>2022-03-15 17:20:27 UTC</t>
  </si>
  <si>
    <t>2022-03-15 17:00:01 UTC</t>
  </si>
  <si>
    <t>2022-03-15 16:35:35 UTC</t>
  </si>
  <si>
    <t>2022-03-15 16:15:50 UTC</t>
  </si>
  <si>
    <t>2022-03-15 15:39:56 UTC</t>
  </si>
  <si>
    <t>2022-03-15 15:21:04 UTC</t>
  </si>
  <si>
    <t>2022-03-15 15:05:41 UTC</t>
  </si>
  <si>
    <t>2022-03-15 14:42:31 UTC</t>
  </si>
  <si>
    <t>2022-03-15 14:41:02 UTC</t>
  </si>
  <si>
    <t>2022-03-15 14:34:39 UTC</t>
  </si>
  <si>
    <t>2022-03-15 14:30:27 UTC</t>
  </si>
  <si>
    <t>2022-03-15 13:34:09 UTC</t>
  </si>
  <si>
    <t>2022-03-15 13:32:44 UTC</t>
  </si>
  <si>
    <t>2022-03-15 13:14:42 UTC</t>
  </si>
  <si>
    <t>2022-03-15 13:04:06 UTC</t>
  </si>
  <si>
    <t>2022-03-15 13:03:09 UTC</t>
  </si>
  <si>
    <t>2022-03-15 12:57:33 UTC</t>
  </si>
  <si>
    <t>2022-03-15 11:52:46 UTC</t>
  </si>
  <si>
    <t>2022-03-15 11:34:34 UTC</t>
  </si>
  <si>
    <t>2022-03-15 11:30:05 UTC</t>
  </si>
  <si>
    <t>2022-03-15 11:19:50 UTC</t>
  </si>
  <si>
    <t>2022-03-15 11:15:36 UTC</t>
  </si>
  <si>
    <t>2022-03-15 10:52:43 UTC</t>
  </si>
  <si>
    <t>2022-03-15 10:34:17 UTC</t>
  </si>
  <si>
    <t>2022-03-15 10:30:22 UTC</t>
  </si>
  <si>
    <t>2022-03-15 10:27:57 UTC</t>
  </si>
  <si>
    <t>2022-03-15 10:09:33 UTC</t>
  </si>
  <si>
    <t>2022-03-15 10:06:45 UTC</t>
  </si>
  <si>
    <t>2022-03-15 09:54:17 UTC</t>
  </si>
  <si>
    <t>2022-03-15 09:46:34 UTC</t>
  </si>
  <si>
    <t>2022-03-15 09:35:53 UTC</t>
  </si>
  <si>
    <t>2022-03-15 09:35:38 UTC</t>
  </si>
  <si>
    <t>2022-03-15 09:21:25 UTC</t>
  </si>
  <si>
    <t>2022-03-15 09:04:09 UTC</t>
  </si>
  <si>
    <t>2022-03-15 08:57:15 UTC</t>
  </si>
  <si>
    <t>2022-03-15 08:55:54 UTC</t>
  </si>
  <si>
    <t>2022-03-15 08:49:20 UTC</t>
  </si>
  <si>
    <t>2022-03-15 08:42:50 UTC</t>
  </si>
  <si>
    <t>2022-03-15 08:31:45 UTC</t>
  </si>
  <si>
    <t>2022-03-15 08:02:36 UTC</t>
  </si>
  <si>
    <t>2022-03-15 07:57:37 UTC</t>
  </si>
  <si>
    <t>2022-03-15 07:40:47 UTC</t>
  </si>
  <si>
    <t>2022-03-15 07:35:07 UTC</t>
  </si>
  <si>
    <t>2022-03-15 07:18:13 UTC</t>
  </si>
  <si>
    <t>2022-03-15 06:51:21 UTC</t>
  </si>
  <si>
    <t>2022-03-15 06:46:42 UTC</t>
  </si>
  <si>
    <t>2022-03-15 06:37:05 UTC</t>
  </si>
  <si>
    <t>2022-03-15 06:33:41 UTC</t>
  </si>
  <si>
    <t>2022-03-15 06:28:42 UTC</t>
  </si>
  <si>
    <t>2022-03-15 06:09:42 UTC</t>
  </si>
  <si>
    <t>2022-03-15 06:09:01 UTC</t>
  </si>
  <si>
    <t>2022-03-15 06:05:34 UTC</t>
  </si>
  <si>
    <t>2022-03-15 06:01:47 UTC</t>
  </si>
  <si>
    <t>2022-03-15 05:53:29 UTC</t>
  </si>
  <si>
    <t>2022-03-15 05:52:48 UTC</t>
  </si>
  <si>
    <t>2022-03-15 05:17:12 UTC</t>
  </si>
  <si>
    <t>2022-03-15 05:15:15 UTC</t>
  </si>
  <si>
    <t>2022-03-15 05:06:46 UTC</t>
  </si>
  <si>
    <t>2022-03-15 05:03:49 UTC</t>
  </si>
  <si>
    <t>2022-03-15 05:03:17 UTC</t>
  </si>
  <si>
    <t>2022-03-15 05:01:38 UTC</t>
  </si>
  <si>
    <t>2022-03-15 04:38:31 UTC</t>
  </si>
  <si>
    <t>2022-03-15 04:07:05 UTC</t>
  </si>
  <si>
    <t>2022-03-15 04:06:53 UTC</t>
  </si>
  <si>
    <t>2022-03-15 04:06:39 UTC</t>
  </si>
  <si>
    <t>2022-03-15 04:04:56 UTC</t>
  </si>
  <si>
    <t>2022-03-15 03:50:33 UTC</t>
  </si>
  <si>
    <t>2022-03-15 03:39:39 UTC</t>
  </si>
  <si>
    <t>2022-03-15 02:43:25 UTC</t>
  </si>
  <si>
    <t>2022-03-15 02:13:07 UTC</t>
  </si>
  <si>
    <t>2022-03-15 01:57:08 UTC</t>
  </si>
  <si>
    <t>2022-03-15 01:35:01 UTC</t>
  </si>
  <si>
    <t>2022-03-14 19:39:11 UTC</t>
  </si>
  <si>
    <t>2022-03-14 18:51:32 UTC</t>
  </si>
  <si>
    <t>2022-03-14 18:38:56 UTC</t>
  </si>
  <si>
    <t>2022-03-14 18:37:00 UTC</t>
  </si>
  <si>
    <t>2022-03-14 18:33:42 UTC</t>
  </si>
  <si>
    <t>2022-03-14 18:25:35 UTC</t>
  </si>
  <si>
    <t>2022-03-14 18:06:47 UTC</t>
  </si>
  <si>
    <t>2022-03-14 17:47:14 UTC</t>
  </si>
  <si>
    <t>2022-03-14 17:41:17 UTC</t>
  </si>
  <si>
    <t>2022-03-14 17:14:43 UTC</t>
  </si>
  <si>
    <t>2022-03-14 16:55:18 UTC</t>
  </si>
  <si>
    <t>2022-03-14 15:42:28 UTC</t>
  </si>
  <si>
    <t>2022-03-14 15:26:39 UTC</t>
  </si>
  <si>
    <t>2022-03-14 15:14:58 UTC</t>
  </si>
  <si>
    <t>2022-03-14 14:42:17 UTC</t>
  </si>
  <si>
    <t>2022-03-14 12:35:36 UTC</t>
  </si>
  <si>
    <t>2022-03-14 12:04:42 UTC</t>
  </si>
  <si>
    <t>2022-03-14 12:00:53 UTC</t>
  </si>
  <si>
    <t>2022-03-14 11:59:37 UTC</t>
  </si>
  <si>
    <t>2022-03-14 11:40:03 UTC</t>
  </si>
  <si>
    <t>2022-03-14 11:34:13 UTC</t>
  </si>
  <si>
    <t>2022-03-14 11:27:52 UTC</t>
  </si>
  <si>
    <t>2022-03-14 11:15:36 UTC</t>
  </si>
  <si>
    <t>2022-03-14 11:01:43 UTC</t>
  </si>
  <si>
    <t>2022-03-14 10:20:31 UTC</t>
  </si>
  <si>
    <t>2022-03-14 09:57:46 UTC</t>
  </si>
  <si>
    <t>2022-03-14 09:36:49 UTC</t>
  </si>
  <si>
    <t>2022-03-14 09:19:10 UTC</t>
  </si>
  <si>
    <t>2022-03-14 09:17:39 UTC</t>
  </si>
  <si>
    <t>2022-03-14 09:17:36 UTC</t>
  </si>
  <si>
    <t>2022-03-14 08:51:11 UTC</t>
  </si>
  <si>
    <t>2022-03-14 08:48:59 UTC</t>
  </si>
  <si>
    <t>2022-03-14 08:48:02 UTC</t>
  </si>
  <si>
    <t>2022-03-14 08:41:40 UTC</t>
  </si>
  <si>
    <t>2022-03-14 08:18:57 UTC</t>
  </si>
  <si>
    <t>2022-03-14 08:17:23 UTC</t>
  </si>
  <si>
    <t>2022-03-14 08:12:02 UTC</t>
  </si>
  <si>
    <t>2022-03-14 07:39:38 UTC</t>
  </si>
  <si>
    <t>2022-03-14 07:33:56 UTC</t>
  </si>
  <si>
    <t>2022-03-14 07:03:05 UTC</t>
  </si>
  <si>
    <t>2022-03-14 06:38:05 UTC</t>
  </si>
  <si>
    <t>2022-03-14 06:34:31 UTC</t>
  </si>
  <si>
    <t>2022-03-14 06:34:07 UTC</t>
  </si>
  <si>
    <t>2022-03-14 06:25:55 UTC</t>
  </si>
  <si>
    <t>2022-03-14 06:14:12 UTC</t>
  </si>
  <si>
    <t>2022-03-14 05:43:04 UTC</t>
  </si>
  <si>
    <t>2022-03-14 05:39:29 UTC</t>
  </si>
  <si>
    <t>2022-03-14 05:33:57 UTC</t>
  </si>
  <si>
    <t>2022-03-14 04:32:56 UTC</t>
  </si>
  <si>
    <t>2022-03-14 04:32:47 UTC</t>
  </si>
  <si>
    <t>2022-03-14 04:30:52 UTC</t>
  </si>
  <si>
    <t>2022-03-14 03:31:30 UTC</t>
  </si>
  <si>
    <t>2022-03-14 03:31:19 UTC</t>
  </si>
  <si>
    <t>2022-03-14 03:17:56 UTC</t>
  </si>
  <si>
    <t>2022-03-14 02:20:50 UTC</t>
  </si>
  <si>
    <t>2022-03-14 01:51:03 UTC</t>
  </si>
  <si>
    <t>2022-03-14 01:21:39 UTC</t>
  </si>
  <si>
    <t>2022-03-13 20:33:46 UTC</t>
  </si>
  <si>
    <t>2022-03-13 18:57:47 UTC</t>
  </si>
  <si>
    <t>2022-03-13 17:03:04 UTC</t>
  </si>
  <si>
    <t>2022-03-13 15:52:10 UTC</t>
  </si>
  <si>
    <t>2022-03-13 15:38:58 UTC</t>
  </si>
  <si>
    <t>2022-03-13 15:35:45 UTC</t>
  </si>
  <si>
    <t>2022-03-13 15:16:16 UTC</t>
  </si>
  <si>
    <t>2022-03-13 15:15:30 UTC</t>
  </si>
  <si>
    <t>2022-03-13 14:40:34 UTC</t>
  </si>
  <si>
    <t>2022-03-13 14:29:20 UTC</t>
  </si>
  <si>
    <t>2022-03-13 13:33:50 UTC</t>
  </si>
  <si>
    <t>2022-03-13 13:18:43 UTC</t>
  </si>
  <si>
    <t>2022-03-13 12:40:55 UTC</t>
  </si>
  <si>
    <t>2022-03-13 11:58:09 UTC</t>
  </si>
  <si>
    <t>2022-03-13 10:44:46 UTC</t>
  </si>
  <si>
    <t>2022-03-13 10:37:40 UTC</t>
  </si>
  <si>
    <t>2022-03-13 10:35:44 UTC</t>
  </si>
  <si>
    <t>2022-03-13 10:34:38 UTC</t>
  </si>
  <si>
    <t>2022-03-13 10:23:49 UTC</t>
  </si>
  <si>
    <t>2022-03-13 10:09:10 UTC</t>
  </si>
  <si>
    <t>2022-03-13 09:47:42 UTC</t>
  </si>
  <si>
    <t>2022-03-13 09:39:30 UTC</t>
  </si>
  <si>
    <t>2022-03-13 09:20:52 UTC</t>
  </si>
  <si>
    <t>2022-03-13 09:13:56 UTC</t>
  </si>
  <si>
    <t>2022-03-13 08:54:53 UTC</t>
  </si>
  <si>
    <t>2022-03-13 08:44:08 UTC</t>
  </si>
  <si>
    <t>2022-03-13 08:20:31 UTC</t>
  </si>
  <si>
    <t>2022-03-13 07:25:59 UTC</t>
  </si>
  <si>
    <t>2022-03-13 07:13:48 UTC</t>
  </si>
  <si>
    <t>2022-03-13 07:07:11 UTC</t>
  </si>
  <si>
    <t>2022-03-13 07:03:39 UTC</t>
  </si>
  <si>
    <t>2022-03-13 07:03:36 UTC</t>
  </si>
  <si>
    <t>2022-03-13 06:53:44 UTC</t>
  </si>
  <si>
    <t>2022-03-13 06:49:45 UTC</t>
  </si>
  <si>
    <t>2022-03-13 06:48:38 UTC</t>
  </si>
  <si>
    <t>2022-03-13 06:43:33 UTC</t>
  </si>
  <si>
    <t>2022-03-13 06:32:00 UTC</t>
  </si>
  <si>
    <t>2022-03-13 06:06:55 UTC</t>
  </si>
  <si>
    <t>2022-03-13 06:02:23 UTC</t>
  </si>
  <si>
    <t>2022-03-13 05:28:31 UTC</t>
  </si>
  <si>
    <t>2022-03-13 05:19:56 UTC</t>
  </si>
  <si>
    <t>2022-03-13 05:07:17 UTC</t>
  </si>
  <si>
    <t>2022-03-13 04:44:44 UTC</t>
  </si>
  <si>
    <t>2022-03-13 04:35:20 UTC</t>
  </si>
  <si>
    <t>2022-03-13 02:54:23 UTC</t>
  </si>
  <si>
    <t>2022-03-13 02:38:44 UTC</t>
  </si>
  <si>
    <t>2022-03-13 02:10:32 UTC</t>
  </si>
  <si>
    <t>2022-03-13 02:09:42 UTC</t>
  </si>
  <si>
    <t>2022-03-13 02:01:17 UTC</t>
  </si>
  <si>
    <t>2022-03-13 01:58:42 UTC</t>
  </si>
  <si>
    <t>2022-03-13 01:52:12 UTC</t>
  </si>
  <si>
    <t>2022-03-13 01:40:22 UTC</t>
  </si>
  <si>
    <t>2022-03-12 22:02:36 UTC</t>
  </si>
  <si>
    <t>2022-03-12 21:13:05 UTC</t>
  </si>
  <si>
    <t>2022-03-12 19:15:39 UTC</t>
  </si>
  <si>
    <t>2022-03-12 19:06:22 UTC</t>
  </si>
  <si>
    <t>2022-03-12 19:01:09 UTC</t>
  </si>
  <si>
    <t>2022-03-12 17:59:41 UTC</t>
  </si>
  <si>
    <t>2022-03-12 17:47:27 UTC</t>
  </si>
  <si>
    <t>2022-03-12 17:27:38 UTC</t>
  </si>
  <si>
    <t>2022-03-12 17:26:20 UTC</t>
  </si>
  <si>
    <t>2022-03-12 17:09:16 UTC</t>
  </si>
  <si>
    <t>2022-03-12 17:09:11 UTC</t>
  </si>
  <si>
    <t>2022-03-12 16:59:43 UTC</t>
  </si>
  <si>
    <t>2022-03-12 16:56:57 UTC</t>
  </si>
  <si>
    <t>2022-03-12 16:44:09 UTC</t>
  </si>
  <si>
    <t>2022-03-12 16:29:47 UTC</t>
  </si>
  <si>
    <t>2022-03-12 16:22:41 UTC</t>
  </si>
  <si>
    <t>2022-03-12 16:09:02 UTC</t>
  </si>
  <si>
    <t>2022-03-12 15:56:09 UTC</t>
  </si>
  <si>
    <t>2022-03-12 15:52:20 UTC</t>
  </si>
  <si>
    <t>2022-03-12 15:51:35 UTC</t>
  </si>
  <si>
    <t>2022-03-12 15:40:51 UTC</t>
  </si>
  <si>
    <t>2022-03-12 15:39:27 UTC</t>
  </si>
  <si>
    <t>2022-03-12 15:39:15 UTC</t>
  </si>
  <si>
    <t>2022-03-12 15:37:50 UTC</t>
  </si>
  <si>
    <t>2022-03-12 15:37:28 UTC</t>
  </si>
  <si>
    <t>2022-03-12 15:36:53 UTC</t>
  </si>
  <si>
    <t>2022-03-12 15:36:36 UTC</t>
  </si>
  <si>
    <t>2022-03-12 15:35:34 UTC</t>
  </si>
  <si>
    <t>2022-03-12 15:13:10 UTC</t>
  </si>
  <si>
    <t>2022-03-12 15:04:05 UTC</t>
  </si>
  <si>
    <t>2022-03-12 15:03:24 UTC</t>
  </si>
  <si>
    <t>2022-03-12 14:56:57 UTC</t>
  </si>
  <si>
    <t>2022-03-12 14:42:56 UTC</t>
  </si>
  <si>
    <t>2022-03-12 13:56:33 UTC</t>
  </si>
  <si>
    <t>2022-03-12 13:47:55 UTC</t>
  </si>
  <si>
    <t>2022-03-12 13:41:18 UTC</t>
  </si>
  <si>
    <t>2022-03-12 13:29:53 UTC</t>
  </si>
  <si>
    <t>2022-03-12 13:18:13 UTC</t>
  </si>
  <si>
    <t>2022-03-12 12:48:41 UTC</t>
  </si>
  <si>
    <t>2022-03-12 12:19:13 UTC</t>
  </si>
  <si>
    <t>2022-03-12 12:15:44 UTC</t>
  </si>
  <si>
    <t>2022-03-12 12:15:30 UTC</t>
  </si>
  <si>
    <t>2022-03-12 12:13:56 UTC</t>
  </si>
  <si>
    <t>2022-03-12 12:11:14 UTC</t>
  </si>
  <si>
    <t>2022-03-12 12:10:48 UTC</t>
  </si>
  <si>
    <t>2022-03-12 12:10:08 UTC</t>
  </si>
  <si>
    <t>2022-03-12 11:39:57 UTC</t>
  </si>
  <si>
    <t>2022-03-12 11:10:07 UTC</t>
  </si>
  <si>
    <t>2022-03-12 10:47:15 UTC</t>
  </si>
  <si>
    <t>2022-03-12 10:27:31 UTC</t>
  </si>
  <si>
    <t>2022-03-12 10:11:20 UTC</t>
  </si>
  <si>
    <t>2022-03-12 10:06:03 UTC</t>
  </si>
  <si>
    <t>2022-03-12 08:10:40 UTC</t>
  </si>
  <si>
    <t>2022-03-12 07:23:55 UTC</t>
  </si>
  <si>
    <t>2022-03-12 07:19:13 UTC</t>
  </si>
  <si>
    <t>2022-03-12 07:15:47 UTC</t>
  </si>
  <si>
    <t>2022-03-12 07:13:22 UTC</t>
  </si>
  <si>
    <t>2022-03-12 07:10:59 UTC</t>
  </si>
  <si>
    <t>2022-03-12 06:55:45 UTC</t>
  </si>
  <si>
    <t>2022-03-12 06:51:21 UTC</t>
  </si>
  <si>
    <t>2022-03-12 06:50:59 UTC</t>
  </si>
  <si>
    <t>2022-03-12 06:50:27 UTC</t>
  </si>
  <si>
    <t>2022-03-12 05:27:02 UTC</t>
  </si>
  <si>
    <t>2022-03-12 05:14:06 UTC</t>
  </si>
  <si>
    <t>2022-03-12 05:13:11 UTC</t>
  </si>
  <si>
    <t>2022-03-12 05:01:51 UTC</t>
  </si>
  <si>
    <t>2022-03-12 04:49:40 UTC</t>
  </si>
  <si>
    <t>2022-03-12 04:45:38 UTC</t>
  </si>
  <si>
    <t>2022-03-12 04:44:33 UTC</t>
  </si>
  <si>
    <t>2022-03-12 04:39:32 UTC</t>
  </si>
  <si>
    <t>2022-03-12 04:18:51 UTC</t>
  </si>
  <si>
    <t>2022-03-12 02:24:27 UTC</t>
  </si>
  <si>
    <t>2022-03-12 02:20:34 UTC</t>
  </si>
  <si>
    <t>2022-03-12 02:20:12 UTC</t>
  </si>
  <si>
    <t>2022-03-12 01:55:18 UTC</t>
  </si>
  <si>
    <t>2022-03-12 01:54:22 UTC</t>
  </si>
  <si>
    <t>2022-03-12 01:33:27 UTC</t>
  </si>
  <si>
    <t>2022-03-11 17:33:44 UTC</t>
  </si>
  <si>
    <t>2022-03-11 17:10:34 UTC</t>
  </si>
  <si>
    <t>2022-03-11 17:03:44 UTC</t>
  </si>
  <si>
    <t>2022-03-11 16:52:08 UTC</t>
  </si>
  <si>
    <t>2022-03-11 16:43:57 UTC</t>
  </si>
  <si>
    <t>2022-03-11 16:41:23 UTC</t>
  </si>
  <si>
    <t>2022-03-11 16:40:38 UTC</t>
  </si>
  <si>
    <t>2022-03-11 16:30:16 UTC</t>
  </si>
  <si>
    <t>2022-03-11 16:26:31 UTC</t>
  </si>
  <si>
    <t>2022-03-11 16:20:56 UTC</t>
  </si>
  <si>
    <t>2022-03-11 16:18:51 UTC</t>
  </si>
  <si>
    <t>2022-03-11 16:05:36 UTC</t>
  </si>
  <si>
    <t>2022-03-11 15:59:56 UTC</t>
  </si>
  <si>
    <t>2022-03-11 15:59:02 UTC</t>
  </si>
  <si>
    <t>2022-03-11 15:58:16 UTC</t>
  </si>
  <si>
    <t>2022-03-11 15:51:41 UTC</t>
  </si>
  <si>
    <t>2022-03-11 15:40:43 UTC</t>
  </si>
  <si>
    <t>2022-03-11 15:29:02 UTC</t>
  </si>
  <si>
    <t>2022-03-11 15:25:46 UTC</t>
  </si>
  <si>
    <t>2022-03-11 15:08:49 UTC</t>
  </si>
  <si>
    <t>2022-03-11 15:02:23 UTC</t>
  </si>
  <si>
    <t>2022-03-11 14:57:22 UTC</t>
  </si>
  <si>
    <t>2022-03-11 14:43:54 UTC</t>
  </si>
  <si>
    <t>2022-03-11 14:42:18 UTC</t>
  </si>
  <si>
    <t>2022-03-11 14:38:26 UTC</t>
  </si>
  <si>
    <t>2022-03-11 14:38:14 UTC</t>
  </si>
  <si>
    <t>2022-03-11 14:37:56 UTC</t>
  </si>
  <si>
    <t>2022-03-11 14:36:50 UTC</t>
  </si>
  <si>
    <t>2022-03-11 14:36:32 UTC</t>
  </si>
  <si>
    <t>2022-03-11 14:30:47 UTC</t>
  </si>
  <si>
    <t>2022-03-11 14:29:22 UTC</t>
  </si>
  <si>
    <t>2022-03-11 14:28:42 UTC</t>
  </si>
  <si>
    <t>2022-03-11 14:27:57 UTC</t>
  </si>
  <si>
    <t>2022-03-11 14:12:48 UTC</t>
  </si>
  <si>
    <t>2022-03-11 13:34:12 UTC</t>
  </si>
  <si>
    <t>2022-03-11 13:17:41 UTC</t>
  </si>
  <si>
    <t>2022-03-11 13:00:42 UTC</t>
  </si>
  <si>
    <t>2022-03-11 12:12:34 UTC</t>
  </si>
  <si>
    <t>2022-03-11 12:09:56 UTC</t>
  </si>
  <si>
    <t>2022-03-11 11:20:07 UTC</t>
  </si>
  <si>
    <t>2022-03-11 11:02:25 UTC</t>
  </si>
  <si>
    <t>2022-03-11 10:38:47 UTC</t>
  </si>
  <si>
    <t>2022-03-11 10:17:08 UTC</t>
  </si>
  <si>
    <t>2022-03-11 10:15:16 UTC</t>
  </si>
  <si>
    <t>2022-03-11 09:30:48 UTC</t>
  </si>
  <si>
    <t>2022-03-11 09:20:57 UTC</t>
  </si>
  <si>
    <t>2022-03-11 09:09:54 UTC</t>
  </si>
  <si>
    <t>2022-03-11 09:02:27 UTC</t>
  </si>
  <si>
    <t>2022-03-11 08:47:58 UTC</t>
  </si>
  <si>
    <t>2022-03-11 08:47:17 UTC</t>
  </si>
  <si>
    <t>2022-03-11 08:45:07 UTC</t>
  </si>
  <si>
    <t>2022-03-11 08:43:40 UTC</t>
  </si>
  <si>
    <t>2022-03-11 08:36:54 UTC</t>
  </si>
  <si>
    <t>2022-03-11 08:34:09 UTC</t>
  </si>
  <si>
    <t>2022-03-11 08:32:49 UTC</t>
  </si>
  <si>
    <t>2022-03-11 08:28:36 UTC</t>
  </si>
  <si>
    <t>2022-03-11 08:28:21 UTC</t>
  </si>
  <si>
    <t>2022-03-11 08:27:41 UTC</t>
  </si>
  <si>
    <t>2022-03-11 08:02:10 UTC</t>
  </si>
  <si>
    <t>2022-03-11 07:56:56 UTC</t>
  </si>
  <si>
    <t>2022-03-11 07:55:38 UTC</t>
  </si>
  <si>
    <t>2022-03-11 07:54:52 UTC</t>
  </si>
  <si>
    <t>2022-03-11 07:49:07 UTC</t>
  </si>
  <si>
    <t>2022-03-11 07:48:44 UTC</t>
  </si>
  <si>
    <t>2022-03-11 07:47:57 UTC</t>
  </si>
  <si>
    <t>2022-03-11 07:45:25 UTC</t>
  </si>
  <si>
    <t>2022-03-11 07:45:01 UTC</t>
  </si>
  <si>
    <t>2022-03-11 07:43:53 UTC</t>
  </si>
  <si>
    <t>2022-03-11 07:32:51 UTC</t>
  </si>
  <si>
    <t>2022-03-11 07:27:44 UTC</t>
  </si>
  <si>
    <t>2022-03-11 07:27:17 UTC</t>
  </si>
  <si>
    <t>2022-03-11 07:17:47 UTC</t>
  </si>
  <si>
    <t>2022-03-11 07:10:57 UTC</t>
  </si>
  <si>
    <t>2022-03-11 07:10:37 UTC</t>
  </si>
  <si>
    <t>2022-03-11 07:08:20 UTC</t>
  </si>
  <si>
    <t>2022-03-11 06:42:41 UTC</t>
  </si>
  <si>
    <t>2022-03-11 06:17:20 UTC</t>
  </si>
  <si>
    <t>2022-03-11 06:15:03 UTC</t>
  </si>
  <si>
    <t>2022-03-11 06:11:16 UTC</t>
  </si>
  <si>
    <t>2022-03-11 05:57:59 UTC</t>
  </si>
  <si>
    <t>2022-03-11 05:23:40 UTC</t>
  </si>
  <si>
    <t>2022-03-11 05:21:27 UTC</t>
  </si>
  <si>
    <t>2022-03-11 05:21:06 UTC</t>
  </si>
  <si>
    <t>2022-03-11 05:20:12 UTC</t>
  </si>
  <si>
    <t>2022-03-11 05:20:02 UTC</t>
  </si>
  <si>
    <t>2022-03-11 04:13:19 UTC</t>
  </si>
  <si>
    <t>2022-03-11 03:58:18 UTC</t>
  </si>
  <si>
    <t>2022-03-11 03:08:21 UTC</t>
  </si>
  <si>
    <t>2022-03-11 01:47:09 UTC</t>
  </si>
  <si>
    <t>2022-03-11 01:45:38 UTC</t>
  </si>
  <si>
    <t>2022-03-11 01:45:18 UTC</t>
  </si>
  <si>
    <t>2022-03-11 01:09:17 UTC</t>
  </si>
  <si>
    <t>2022-03-11 01:04:03 UTC</t>
  </si>
  <si>
    <t>2022-03-11 01:00:08 UTC</t>
  </si>
  <si>
    <t>2022-03-11 00:59:04 UTC</t>
  </si>
  <si>
    <t>2022-03-10 21:03:21 UTC</t>
  </si>
  <si>
    <t>2022-03-10 19:58:59 UTC</t>
  </si>
  <si>
    <t>2022-03-10 18:42:40 UTC</t>
  </si>
  <si>
    <t>2022-03-10 18:35:05 UTC</t>
  </si>
  <si>
    <t>2022-03-10 18:14:24 UTC</t>
  </si>
  <si>
    <t>2022-03-10 18:10:29 UTC</t>
  </si>
  <si>
    <t>2022-03-10 17:56:42 UTC</t>
  </si>
  <si>
    <t>2022-03-10 17:44:12 UTC</t>
  </si>
  <si>
    <t>2022-03-10 17:22:18 UTC</t>
  </si>
  <si>
    <t>2022-03-10 17:20:16 UTC</t>
  </si>
  <si>
    <t>2022-03-10 16:26:30 UTC</t>
  </si>
  <si>
    <t>2022-03-10 16:19:25 UTC</t>
  </si>
  <si>
    <t>2022-03-10 16:16:11 UTC</t>
  </si>
  <si>
    <t>2022-03-10 16:16:09 UTC</t>
  </si>
  <si>
    <t>2022-03-10 15:54:29 UTC</t>
  </si>
  <si>
    <t>2022-03-10 15:48:30 UTC</t>
  </si>
  <si>
    <t>2022-03-10 15:48:02 UTC</t>
  </si>
  <si>
    <t>2022-03-10 15:46:13 UTC</t>
  </si>
  <si>
    <t>2022-03-10 15:22:16 UTC</t>
  </si>
  <si>
    <t>2022-03-10 15:05:25 UTC</t>
  </si>
  <si>
    <t>2022-03-10 14:28:13 UTC</t>
  </si>
  <si>
    <t>2022-03-10 13:40:50 UTC</t>
  </si>
  <si>
    <t>2022-03-10 13:39:23 UTC</t>
  </si>
  <si>
    <t>2022-03-10 13:35:47 UTC</t>
  </si>
  <si>
    <t>2022-03-10 13:20:46 UTC</t>
  </si>
  <si>
    <t>2022-03-10 12:55:50 UTC</t>
  </si>
  <si>
    <t>2022-03-10 12:36:21 UTC</t>
  </si>
  <si>
    <t>2022-03-10 12:23:01 UTC</t>
  </si>
  <si>
    <t>2022-03-10 12:22:34 UTC</t>
  </si>
  <si>
    <t>2022-03-10 12:21:13 UTC</t>
  </si>
  <si>
    <t>2022-03-10 12:21:04 UTC</t>
  </si>
  <si>
    <t>2022-03-10 12:07:32 UTC</t>
  </si>
  <si>
    <t>2022-03-10 12:04:13 UTC</t>
  </si>
  <si>
    <t>2022-03-10 11:56:12 UTC</t>
  </si>
  <si>
    <t>2022-03-10 11:40:39 UTC</t>
  </si>
  <si>
    <t>2022-03-10 11:32:02 UTC</t>
  </si>
  <si>
    <t>2022-03-10 11:31:51 UTC</t>
  </si>
  <si>
    <t>2022-03-10 11:30:54 UTC</t>
  </si>
  <si>
    <t>2022-03-10 11:25:54 UTC</t>
  </si>
  <si>
    <t>2022-03-10 11:22:32 UTC</t>
  </si>
  <si>
    <t>2022-03-10 11:21:11 UTC</t>
  </si>
  <si>
    <t>2022-03-10 10:53:30 UTC</t>
  </si>
  <si>
    <t>2022-03-10 10:48:25 UTC</t>
  </si>
  <si>
    <t>2022-03-10 10:45:40 UTC</t>
  </si>
  <si>
    <t>2022-03-10 10:44:41 UTC</t>
  </si>
  <si>
    <t>2022-03-10 10:32:53 UTC</t>
  </si>
  <si>
    <t>2022-03-10 10:10:08 UTC</t>
  </si>
  <si>
    <t>2022-03-10 09:23:47 UTC</t>
  </si>
  <si>
    <t>2022-03-10 09:16:37 UTC</t>
  </si>
  <si>
    <t>2022-03-10 09:14:48 UTC</t>
  </si>
  <si>
    <t>2022-03-10 08:54:51 UTC</t>
  </si>
  <si>
    <t>2022-03-10 08:23:18 UTC</t>
  </si>
  <si>
    <t>2022-03-10 08:06:57 UTC</t>
  </si>
  <si>
    <t>2022-03-10 07:32:34 UTC</t>
  </si>
  <si>
    <t>2022-03-10 07:25:10 UTC</t>
  </si>
  <si>
    <t>2022-03-10 07:20:07 UTC</t>
  </si>
  <si>
    <t>2022-03-10 07:19:33 UTC</t>
  </si>
  <si>
    <t>2022-03-10 07:13:10 UTC</t>
  </si>
  <si>
    <t>2022-03-10 07:01:01 UTC</t>
  </si>
  <si>
    <t>2022-03-10 07:00:39 UTC</t>
  </si>
  <si>
    <t>2022-03-10 06:52:30 UTC</t>
  </si>
  <si>
    <t>2022-03-10 06:40:38 UTC</t>
  </si>
  <si>
    <t>2022-03-10 06:40:15 UTC</t>
  </si>
  <si>
    <t>2022-03-10 06:32:58 UTC</t>
  </si>
  <si>
    <t>2022-03-10 06:00:39 UTC</t>
  </si>
  <si>
    <t>2022-03-10 05:58:07 UTC</t>
  </si>
  <si>
    <t>2022-03-10 05:11:55 UTC</t>
  </si>
  <si>
    <t>2022-03-10 04:53:02 UTC</t>
  </si>
  <si>
    <t>2022-03-10 04:49:47 UTC</t>
  </si>
  <si>
    <t>2022-03-10 04:16:07 UTC</t>
  </si>
  <si>
    <t>2022-03-10 03:56:25 UTC</t>
  </si>
  <si>
    <t>2022-03-10 03:46:51 UTC</t>
  </si>
  <si>
    <t>2022-03-10 03:33:39 UTC</t>
  </si>
  <si>
    <t>2022-03-10 03:28:38 UTC</t>
  </si>
  <si>
    <t>2022-03-10 03:14:08 UTC</t>
  </si>
  <si>
    <t>2022-03-10 02:08:44 UTC</t>
  </si>
  <si>
    <t>2022-03-09 22:14:52 UTC</t>
  </si>
  <si>
    <t>2022-03-09 22:08:45 UTC</t>
  </si>
  <si>
    <t>2022-03-09 21:46:40 UTC</t>
  </si>
  <si>
    <t>2022-03-09 20:25:02 UTC</t>
  </si>
  <si>
    <t>2022-03-09 18:37:59 UTC</t>
  </si>
  <si>
    <t>2022-03-09 18:26:36 UTC</t>
  </si>
  <si>
    <t>2022-03-09 17:42:34 UTC</t>
  </si>
  <si>
    <t>2022-03-09 17:31:24 UTC</t>
  </si>
  <si>
    <t>2022-03-09 17:07:58 UTC</t>
  </si>
  <si>
    <t>2022-03-09 16:12:53 UTC</t>
  </si>
  <si>
    <t>2022-03-09 16:09:42 UTC</t>
  </si>
  <si>
    <t>2022-03-09 16:08:31 UTC</t>
  </si>
  <si>
    <t>2022-03-09 16:06:12 UTC</t>
  </si>
  <si>
    <t>2022-03-09 16:06:09 UTC</t>
  </si>
  <si>
    <t>2022-03-09 16:04:29 UTC</t>
  </si>
  <si>
    <t>2022-03-09 16:02:09 UTC</t>
  </si>
  <si>
    <t>2022-03-09 16:00:41 UTC</t>
  </si>
  <si>
    <t>2022-03-09 16:00:19 UTC</t>
  </si>
  <si>
    <t>2022-03-09 15:51:08 UTC</t>
  </si>
  <si>
    <t>2022-03-09 15:49:30 UTC</t>
  </si>
  <si>
    <t>2022-03-09 15:47:20 UTC</t>
  </si>
  <si>
    <t>2022-03-09 15:39:18 UTC</t>
  </si>
  <si>
    <t>2022-03-09 14:42:52 UTC</t>
  </si>
  <si>
    <t>2022-03-09 14:01:47 UTC</t>
  </si>
  <si>
    <t>2022-03-09 13:57:16 UTC</t>
  </si>
  <si>
    <t>2022-03-09 13:28:54 UTC</t>
  </si>
  <si>
    <t>2022-03-09 13:10:51 UTC</t>
  </si>
  <si>
    <t>2022-03-09 13:04:20 UTC</t>
  </si>
  <si>
    <t>2022-03-09 13:02:37 UTC</t>
  </si>
  <si>
    <t>2022-03-09 12:36:17 UTC</t>
  </si>
  <si>
    <t>2022-03-09 12:32:10 UTC</t>
  </si>
  <si>
    <t>2022-03-09 12:21:47 UTC</t>
  </si>
  <si>
    <t>2022-03-09 12:06:17 UTC</t>
  </si>
  <si>
    <t>2022-03-09 12:01:47 UTC</t>
  </si>
  <si>
    <t>2022-03-09 11:53:58 UTC</t>
  </si>
  <si>
    <t>2022-03-09 11:03:24 UTC</t>
  </si>
  <si>
    <t>2022-03-09 11:03:20 UTC</t>
  </si>
  <si>
    <t>2022-03-09 10:24:39 UTC</t>
  </si>
  <si>
    <t>2022-03-09 10:20:13 UTC</t>
  </si>
  <si>
    <t>2022-03-09 09:58:11 UTC</t>
  </si>
  <si>
    <t>2022-03-09 09:03:08 UTC</t>
  </si>
  <si>
    <t>2022-03-09 09:00:39 UTC</t>
  </si>
  <si>
    <t>2022-03-09 08:52:31 UTC</t>
  </si>
  <si>
    <t>2022-03-09 08:48:36 UTC</t>
  </si>
  <si>
    <t>2022-03-09 08:44:32 UTC</t>
  </si>
  <si>
    <t>2022-03-09 08:43:46 UTC</t>
  </si>
  <si>
    <t>2022-03-09 08:26:57 UTC</t>
  </si>
  <si>
    <t>2022-03-09 08:19:09 UTC</t>
  </si>
  <si>
    <t>2022-03-09 07:36:42 UTC</t>
  </si>
  <si>
    <t>2022-03-09 07:31:57 UTC</t>
  </si>
  <si>
    <t>2022-03-09 07:23:59 UTC</t>
  </si>
  <si>
    <t>2022-03-09 07:15:09 UTC</t>
  </si>
  <si>
    <t>2022-03-09 06:25:55 UTC</t>
  </si>
  <si>
    <t>2022-03-09 05:52:19 UTC</t>
  </si>
  <si>
    <t>2022-03-09 05:24:33 UTC</t>
  </si>
  <si>
    <t>2022-03-09 05:22:42 UTC</t>
  </si>
  <si>
    <t>2022-03-09 05:10:19 UTC</t>
  </si>
  <si>
    <t>2022-03-09 04:22:50 UTC</t>
  </si>
  <si>
    <t>2022-03-09 04:17:56 UTC</t>
  </si>
  <si>
    <t>2022-03-09 03:53:59 UTC</t>
  </si>
  <si>
    <t>2022-03-09 02:21:19 UTC</t>
  </si>
  <si>
    <t>2022-03-08 20:29:01 UTC</t>
  </si>
  <si>
    <t>2022-03-08 20:25:44 UTC</t>
  </si>
  <si>
    <t>2022-03-08 19:21:46 UTC</t>
  </si>
  <si>
    <t>2022-03-08 18:23:19 UTC</t>
  </si>
  <si>
    <t>2022-03-08 18:20:45 UTC</t>
  </si>
  <si>
    <t>2022-03-08 18:17:03 UTC</t>
  </si>
  <si>
    <t>2022-03-08 18:08:39 UTC</t>
  </si>
  <si>
    <t>2022-03-08 18:02:52 UTC</t>
  </si>
  <si>
    <t>2022-03-08 18:00:40 UTC</t>
  </si>
  <si>
    <t>2022-03-08 17:32:54 UTC</t>
  </si>
  <si>
    <t>2022-03-08 17:11:54 UTC</t>
  </si>
  <si>
    <t>2022-03-08 16:45:27 UTC</t>
  </si>
  <si>
    <t>2022-03-08 15:59:37 UTC</t>
  </si>
  <si>
    <t>2022-03-08 15:55:52 UTC</t>
  </si>
  <si>
    <t>2022-03-08 15:54:12 UTC</t>
  </si>
  <si>
    <t>2022-03-08 15:37:09 UTC</t>
  </si>
  <si>
    <t>2022-03-08 15:36:53 UTC</t>
  </si>
  <si>
    <t>2022-03-08 15:16:47 UTC</t>
  </si>
  <si>
    <t>2022-03-08 15:15:35 UTC</t>
  </si>
  <si>
    <t>2022-03-08 15:13:40 UTC</t>
  </si>
  <si>
    <t>2022-03-08 15:10:06 UTC</t>
  </si>
  <si>
    <t>2022-03-08 14:24:26 UTC</t>
  </si>
  <si>
    <t>2022-03-08 14:09:53 UTC</t>
  </si>
  <si>
    <t>2022-03-08 14:09:30 UTC</t>
  </si>
  <si>
    <t>2022-03-08 13:19:56 UTC</t>
  </si>
  <si>
    <t>2022-03-08 12:43:54 UTC</t>
  </si>
  <si>
    <t>2022-03-08 12:11:26 UTC</t>
  </si>
  <si>
    <t>2022-03-08 12:08:54 UTC</t>
  </si>
  <si>
    <t>2022-03-08 12:02:25 UTC</t>
  </si>
  <si>
    <t>2022-03-08 11:54:13 UTC</t>
  </si>
  <si>
    <t>2022-03-08 11:49:02 UTC</t>
  </si>
  <si>
    <t>2022-03-08 11:47:51 UTC</t>
  </si>
  <si>
    <t>2022-03-08 11:47:45 UTC</t>
  </si>
  <si>
    <t>2022-03-08 11:47:33 UTC</t>
  </si>
  <si>
    <t>2022-03-08 11:46:59 UTC</t>
  </si>
  <si>
    <t>2022-03-08 11:44:20 UTC</t>
  </si>
  <si>
    <t>2022-03-08 11:43:40 UTC</t>
  </si>
  <si>
    <t>2022-03-08 11:42:17 UTC</t>
  </si>
  <si>
    <t>2022-03-08 11:34:11 UTC</t>
  </si>
  <si>
    <t>2022-03-08 11:25:06 UTC</t>
  </si>
  <si>
    <t>2022-03-08 11:24:44 UTC</t>
  </si>
  <si>
    <t>2022-03-08 11:21:59 UTC</t>
  </si>
  <si>
    <t>2022-03-08 10:29:11 UTC</t>
  </si>
  <si>
    <t>2022-03-08 10:13:13 UTC</t>
  </si>
  <si>
    <t>2022-03-08 09:58:26 UTC</t>
  </si>
  <si>
    <t>2022-03-08 09:48:55 UTC</t>
  </si>
  <si>
    <t>2022-03-08 09:35:14 UTC</t>
  </si>
  <si>
    <t>2022-03-08 08:14:18 UTC</t>
  </si>
  <si>
    <t>2022-03-08 07:01:03 UTC</t>
  </si>
  <si>
    <t>2022-03-08 06:17:21 UTC</t>
  </si>
  <si>
    <t>2022-03-08 06:16:03 UTC</t>
  </si>
  <si>
    <t>2022-03-08 06:08:26 UTC</t>
  </si>
  <si>
    <t>2022-03-08 06:07:56 UTC</t>
  </si>
  <si>
    <t>2022-03-08 04:46:00 UTC</t>
  </si>
  <si>
    <t>2022-03-08 03:27:47 UTC</t>
  </si>
  <si>
    <t>2022-03-08 03:26:55 UTC</t>
  </si>
  <si>
    <t>2022-03-08 03:20:25 UTC</t>
  </si>
  <si>
    <t>2022-03-08 02:44:12 UTC</t>
  </si>
  <si>
    <t>2022-03-08 02:03:20 UTC</t>
  </si>
  <si>
    <t>2022-03-08 02:03:09 UTC</t>
  </si>
  <si>
    <t>2022-03-08 01:15:57 UTC</t>
  </si>
  <si>
    <t>2022-03-07 23:25:35 UTC</t>
  </si>
  <si>
    <t>2022-03-07 17:46:36 UTC</t>
  </si>
  <si>
    <t>2022-03-07 16:57:31 UTC</t>
  </si>
  <si>
    <t>2022-03-07 15:11:28 UTC</t>
  </si>
  <si>
    <t>2022-03-07 14:03:44 UTC</t>
  </si>
  <si>
    <t>2022-03-07 13:15:09 UTC</t>
  </si>
  <si>
    <t>2022-03-07 12:44:20 UTC</t>
  </si>
  <si>
    <t>2022-03-07 12:35:02 UTC</t>
  </si>
  <si>
    <t>2022-03-07 12:10:45 UTC</t>
  </si>
  <si>
    <t>2022-03-07 11:47:02 UTC</t>
  </si>
  <si>
    <t>2022-03-07 09:25:36 UTC</t>
  </si>
  <si>
    <t>2022-03-07 09:11:28 UTC</t>
  </si>
  <si>
    <t>2022-03-07 07:45:01 UTC</t>
  </si>
  <si>
    <t>2022-03-07 07:27:35 UTC</t>
  </si>
  <si>
    <t>2022-03-07 07:08:58 UTC</t>
  </si>
  <si>
    <t>2022-03-07 06:26:58 UTC</t>
  </si>
  <si>
    <t>2022-03-07 05:29:23 UTC</t>
  </si>
  <si>
    <t>2022-03-07 05:23:24 UTC</t>
  </si>
  <si>
    <t>2022-03-07 05:20:52 UTC</t>
  </si>
  <si>
    <t>2022-03-07 03:35:24 UTC</t>
  </si>
  <si>
    <t>2022-03-07 03:20:59 UTC</t>
  </si>
  <si>
    <t>2022-03-07 02:08:36 UTC</t>
  </si>
  <si>
    <t>2022-03-07 01:51:18 UTC</t>
  </si>
  <si>
    <t>2022-03-07 01:46:38 UTC</t>
  </si>
  <si>
    <t>2022-03-07 01:44:58 UTC</t>
  </si>
  <si>
    <t>2022-03-07 01:43:30 UTC</t>
  </si>
  <si>
    <t>2022-03-07 01:39:40 UTC</t>
  </si>
  <si>
    <t>2022-03-07 01:38:33 UTC</t>
  </si>
  <si>
    <t>2022-03-07 01:37:47 UTC</t>
  </si>
  <si>
    <t>2022-03-06 17:30:29 UTC</t>
  </si>
  <si>
    <t>2022-03-06 16:48:38 UTC</t>
  </si>
  <si>
    <t>2022-03-06 16:48:14 UTC</t>
  </si>
  <si>
    <t>2022-03-06 16:44:44 UTC</t>
  </si>
  <si>
    <t>2022-03-06 16:44:30 UTC</t>
  </si>
  <si>
    <t>2022-03-06 16:36:06 UTC</t>
  </si>
  <si>
    <t>2022-03-06 16:19:26 UTC</t>
  </si>
  <si>
    <t>2022-03-06 16:06:18 UTC</t>
  </si>
  <si>
    <t>2022-03-06 15:50:14 UTC</t>
  </si>
  <si>
    <t>2022-03-06 15:08:14 UTC</t>
  </si>
  <si>
    <t>2022-03-06 14:56:54 UTC</t>
  </si>
  <si>
    <t>2022-03-06 14:53:21 UTC</t>
  </si>
  <si>
    <t>2022-03-06 14:32:56 UTC</t>
  </si>
  <si>
    <t>2022-03-06 14:20:42 UTC</t>
  </si>
  <si>
    <t>2022-03-06 14:16:36 UTC</t>
  </si>
  <si>
    <t>2022-03-06 14:16:09 UTC</t>
  </si>
  <si>
    <t>2022-03-06 13:45:15 UTC</t>
  </si>
  <si>
    <t>2022-03-06 12:56:00 UTC</t>
  </si>
  <si>
    <t>2022-03-06 12:12:38 UTC</t>
  </si>
  <si>
    <t>2022-03-06 11:42:26 UTC</t>
  </si>
  <si>
    <t>2022-03-06 11:40:35 UTC</t>
  </si>
  <si>
    <t>2022-03-06 11:10:50 UTC</t>
  </si>
  <si>
    <t>2022-03-06 11:10:18 UTC</t>
  </si>
  <si>
    <t>2022-03-06 10:09:17 UTC</t>
  </si>
  <si>
    <t>2022-03-06 10:08:39 UTC</t>
  </si>
  <si>
    <t>2022-03-06 10:06:18 UTC</t>
  </si>
  <si>
    <t>2022-03-06 10:05:09 UTC</t>
  </si>
  <si>
    <t>2022-03-06 10:02:47 UTC</t>
  </si>
  <si>
    <t>2022-03-06 10:01:30 UTC</t>
  </si>
  <si>
    <t>2022-03-06 10:00:57 UTC</t>
  </si>
  <si>
    <t>2022-03-06 10:00:43 UTC</t>
  </si>
  <si>
    <t>2022-03-06 09:59:54 UTC</t>
  </si>
  <si>
    <t>2022-03-06 09:59:25 UTC</t>
  </si>
  <si>
    <t>2022-03-06 09:59:12 UTC</t>
  </si>
  <si>
    <t>2022-03-06 09:58:29 UTC</t>
  </si>
  <si>
    <t>2022-03-06 09:58:15 UTC</t>
  </si>
  <si>
    <t>2022-03-06 09:49:55 UTC</t>
  </si>
  <si>
    <t>2022-03-06 08:30:36 UTC</t>
  </si>
  <si>
    <t>2022-03-06 08:16:12 UTC</t>
  </si>
  <si>
    <t>2022-03-06 04:42:16 UTC</t>
  </si>
  <si>
    <t>2022-03-06 04:18:39 UTC</t>
  </si>
  <si>
    <t>2022-03-06 03:53:18 UTC</t>
  </si>
  <si>
    <t>2022-03-06 03:52:54 UTC</t>
  </si>
  <si>
    <t>2022-03-06 03:52:23 UTC</t>
  </si>
  <si>
    <t>2022-03-06 03:51:23 UTC</t>
  </si>
  <si>
    <t>2022-03-06 03:42:02 UTC</t>
  </si>
  <si>
    <t>2022-03-06 03:37:55 UTC</t>
  </si>
  <si>
    <t>2022-03-06 03:15:56 UTC</t>
  </si>
  <si>
    <t>2022-03-06 02:58:13 UTC</t>
  </si>
  <si>
    <t>2022-03-06 02:44:05 UTC</t>
  </si>
  <si>
    <t>2022-03-06 02:15:03 UTC</t>
  </si>
  <si>
    <t>2022-03-06 01:45:42 UTC</t>
  </si>
  <si>
    <t>2022-03-05 16:49:09 UTC</t>
  </si>
  <si>
    <t>2022-03-05 16:25:01 UTC</t>
  </si>
  <si>
    <t>2022-03-05 14:35:58 UTC</t>
  </si>
  <si>
    <t>2022-03-05 14:05:49 UTC</t>
  </si>
  <si>
    <t>2022-03-05 14:01:16 UTC</t>
  </si>
  <si>
    <t>2022-03-05 14:00:41 UTC</t>
  </si>
  <si>
    <t>2022-03-05 13:49:45 UTC</t>
  </si>
  <si>
    <t>2022-03-05 13:49:26 UTC</t>
  </si>
  <si>
    <t>2022-03-05 13:46:10 UTC</t>
  </si>
  <si>
    <t>2022-03-05 13:45:41 UTC</t>
  </si>
  <si>
    <t>2022-03-05 13:42:30 UTC</t>
  </si>
  <si>
    <t>2022-03-05 13:02:53 UTC</t>
  </si>
  <si>
    <t>2022-03-05 12:58:10 UTC</t>
  </si>
  <si>
    <t>2022-03-05 12:49:06 UTC</t>
  </si>
  <si>
    <t>2022-03-05 12:04:13 UTC</t>
  </si>
  <si>
    <t>2022-03-05 10:38:51 UTC</t>
  </si>
  <si>
    <t>2022-03-05 10:16:15 UTC</t>
  </si>
  <si>
    <t>2022-03-05 10:15:40 UTC</t>
  </si>
  <si>
    <t>2022-03-05 09:44:11 UTC</t>
  </si>
  <si>
    <t>2022-03-05 08:43:51 UTC</t>
  </si>
  <si>
    <t>2022-03-05 08:43:20 UTC</t>
  </si>
  <si>
    <t>2022-03-05 08:00:46 UTC</t>
  </si>
  <si>
    <t>2022-03-05 07:53:50 UTC</t>
  </si>
  <si>
    <t>2022-03-05 07:34:06 UTC</t>
  </si>
  <si>
    <t>2022-03-05 07:31:27 UTC</t>
  </si>
  <si>
    <t>2022-03-05 07:29:33 UTC</t>
  </si>
  <si>
    <t>2022-03-05 07:16:16 UTC</t>
  </si>
  <si>
    <t>2022-03-05 07:02:44 UTC</t>
  </si>
  <si>
    <t>2022-03-05 06:52:00 UTC</t>
  </si>
  <si>
    <t>2022-03-05 06:50:34 UTC</t>
  </si>
  <si>
    <t>2022-03-05 06:33:13 UTC</t>
  </si>
  <si>
    <t>2022-03-05 06:32:30 UTC</t>
  </si>
  <si>
    <t>2022-03-05 05:10:07 UTC</t>
  </si>
  <si>
    <t>2022-03-05 05:01:26 UTC</t>
  </si>
  <si>
    <t>2022-03-05 04:39:10 UTC</t>
  </si>
  <si>
    <t>2022-03-05 04:17:10 UTC</t>
  </si>
  <si>
    <t>2022-03-05 04:17:02 UTC</t>
  </si>
  <si>
    <t>2022-03-05 03:51:43 UTC</t>
  </si>
  <si>
    <t>2022-03-05 03:11:01 UTC</t>
  </si>
  <si>
    <t>2022-03-05 03:09:11 UTC</t>
  </si>
  <si>
    <t>2022-03-05 02:43:15 UTC</t>
  </si>
  <si>
    <t>2022-03-05 02:40:45 UTC</t>
  </si>
  <si>
    <t>2022-03-05 02:34:52 UTC</t>
  </si>
  <si>
    <t>2022-03-05 02:29:07 UTC</t>
  </si>
  <si>
    <t>2022-03-05 01:57:53 UTC</t>
  </si>
  <si>
    <t>2022-03-05 01:56:26 UTC</t>
  </si>
  <si>
    <t>2022-03-05 01:47:43 UTC</t>
  </si>
  <si>
    <t>2022-03-05 01:20:13 UTC</t>
  </si>
  <si>
    <t>2022-03-04 20:16:06 UTC</t>
  </si>
  <si>
    <t>2022-03-04 18:54:19 UTC</t>
  </si>
  <si>
    <t>2022-03-04 18:06:37 UTC</t>
  </si>
  <si>
    <t>2022-03-04 16:48:50 UTC</t>
  </si>
  <si>
    <t>2022-03-04 16:29:50 UTC</t>
  </si>
  <si>
    <t>2022-03-04 16:17:38 UTC</t>
  </si>
  <si>
    <t>2022-03-04 16:15:31 UTC</t>
  </si>
  <si>
    <t>2022-03-04 16:10:28 UTC</t>
  </si>
  <si>
    <t>2022-03-04 15:45:30 UTC</t>
  </si>
  <si>
    <t>2022-03-04 15:28:31 UTC</t>
  </si>
  <si>
    <t>2022-03-04 15:06:43 UTC</t>
  </si>
  <si>
    <t>2022-03-04 14:50:02 UTC</t>
  </si>
  <si>
    <t>2022-03-04 14:45:02 UTC</t>
  </si>
  <si>
    <t>2022-03-04 14:40:20 UTC</t>
  </si>
  <si>
    <t>2022-03-04 14:36:16 UTC</t>
  </si>
  <si>
    <t>2022-03-04 14:35:08 UTC</t>
  </si>
  <si>
    <t>2022-03-04 12:56:52 UTC</t>
  </si>
  <si>
    <t>2022-03-04 12:41:42 UTC</t>
  </si>
  <si>
    <t>2022-03-04 12:28:44 UTC</t>
  </si>
  <si>
    <t>2022-03-04 11:35:09 UTC</t>
  </si>
  <si>
    <t>2022-03-04 11:33:44 UTC</t>
  </si>
  <si>
    <t>2022-03-04 11:33:27 UTC</t>
  </si>
  <si>
    <t>2022-03-04 10:16:52 UTC</t>
  </si>
  <si>
    <t>2022-03-04 09:52:49 UTC</t>
  </si>
  <si>
    <t>2022-03-04 09:48:44 UTC</t>
  </si>
  <si>
    <t>2022-03-04 09:43:00 UTC</t>
  </si>
  <si>
    <t>2022-03-04 08:40:26 UTC</t>
  </si>
  <si>
    <t>2022-03-04 08:07:00 UTC</t>
  </si>
  <si>
    <t>2022-03-04 07:58:45 UTC</t>
  </si>
  <si>
    <t>2022-03-04 06:14:04 UTC</t>
  </si>
  <si>
    <t>2022-03-04 05:45:29 UTC</t>
  </si>
  <si>
    <t>2022-03-04 04:55:22 UTC</t>
  </si>
  <si>
    <t>2022-03-04 04:54:15 UTC</t>
  </si>
  <si>
    <t>2022-03-04 04:51:42 UTC</t>
  </si>
  <si>
    <t>2022-03-04 04:48:51 UTC</t>
  </si>
  <si>
    <t>2022-03-04 04:42:07 UTC</t>
  </si>
  <si>
    <t>2022-03-04 04:41:43 UTC</t>
  </si>
  <si>
    <t>2022-03-04 04:38:32 UTC</t>
  </si>
  <si>
    <t>2022-03-04 04:27:52 UTC</t>
  </si>
  <si>
    <t>2022-03-04 04:01:06 UTC</t>
  </si>
  <si>
    <t>2022-03-04 03:52:46 UTC</t>
  </si>
  <si>
    <t>2022-03-04 03:48:27 UTC</t>
  </si>
  <si>
    <t>2022-03-04 03:44:00 UTC</t>
  </si>
  <si>
    <t>2022-03-04 03:36:48 UTC</t>
  </si>
  <si>
    <t>2022-03-04 03:27:17 UTC</t>
  </si>
  <si>
    <t>2022-03-04 02:34:06 UTC</t>
  </si>
  <si>
    <t>2022-03-03 19:09:37 UTC</t>
  </si>
  <si>
    <t>2022-03-03 19:09:13 UTC</t>
  </si>
  <si>
    <t>2022-03-03 18:21:54 UTC</t>
  </si>
  <si>
    <t>2022-03-03 17:59:29 UTC</t>
  </si>
  <si>
    <t>2022-03-03 17:48:49 UTC</t>
  </si>
  <si>
    <t>2022-03-03 17:10:47 UTC</t>
  </si>
  <si>
    <t>2022-03-03 16:41:46 UTC</t>
  </si>
  <si>
    <t>2022-03-03 16:39:42 UTC</t>
  </si>
  <si>
    <t>2022-03-03 16:37:22 UTC</t>
  </si>
  <si>
    <t>2022-03-03 16:20:56 UTC</t>
  </si>
  <si>
    <t>2022-03-03 16:19:44 UTC</t>
  </si>
  <si>
    <t>2022-03-03 15:03:09 UTC</t>
  </si>
  <si>
    <t>2022-03-03 15:02:28 UTC</t>
  </si>
  <si>
    <t>2022-03-03 14:56:12 UTC</t>
  </si>
  <si>
    <t>2022-03-03 14:55:37 UTC</t>
  </si>
  <si>
    <t>2022-03-03 14:53:07 UTC</t>
  </si>
  <si>
    <t>2022-03-03 14:52:45 UTC</t>
  </si>
  <si>
    <t>2022-03-03 14:48:59 UTC</t>
  </si>
  <si>
    <t>2022-03-03 14:47:33 UTC</t>
  </si>
  <si>
    <t>2022-03-03 14:44:23 UTC</t>
  </si>
  <si>
    <t>2022-03-03 14:38:23 UTC</t>
  </si>
  <si>
    <t>2022-03-03 14:36:20 UTC</t>
  </si>
  <si>
    <t>2022-03-03 14:32:33 UTC</t>
  </si>
  <si>
    <t>2022-03-03 14:16:07 UTC</t>
  </si>
  <si>
    <t>2022-03-03 13:42:07 UTC</t>
  </si>
  <si>
    <t>2022-03-03 13:14:50 UTC</t>
  </si>
  <si>
    <t>2022-03-03 13:07:38 UTC</t>
  </si>
  <si>
    <t>2022-03-03 12:48:15 UTC</t>
  </si>
  <si>
    <t>2022-03-03 12:26:13 UTC</t>
  </si>
  <si>
    <t>2022-03-03 12:12:30 UTC</t>
  </si>
  <si>
    <t>2022-03-03 11:58:20 UTC</t>
  </si>
  <si>
    <t>2022-03-03 11:52:32 UTC</t>
  </si>
  <si>
    <t>2022-03-03 11:33:03 UTC</t>
  </si>
  <si>
    <t>2022-03-03 11:31:16 UTC</t>
  </si>
  <si>
    <t>2022-03-03 11:26:27 UTC</t>
  </si>
  <si>
    <t>2022-03-03 11:25:51 UTC</t>
  </si>
  <si>
    <t>2022-03-03 11:22:35 UTC</t>
  </si>
  <si>
    <t>2022-03-03 11:20:54 UTC</t>
  </si>
  <si>
    <t>2022-03-03 11:14:41 UTC</t>
  </si>
  <si>
    <t>2022-03-03 11:11:11 UTC</t>
  </si>
  <si>
    <t>2022-03-03 10:56:00 UTC</t>
  </si>
  <si>
    <t>2022-03-03 10:51:15 UTC</t>
  </si>
  <si>
    <t>2022-03-03 09:58:50 UTC</t>
  </si>
  <si>
    <t>2022-03-03 09:07:30 UTC</t>
  </si>
  <si>
    <t>2022-03-03 09:07:24 UTC</t>
  </si>
  <si>
    <t>2022-03-03 08:58:44 UTC</t>
  </si>
  <si>
    <t>2022-03-03 08:52:37 UTC</t>
  </si>
  <si>
    <t>2022-03-03 08:46:09 UTC</t>
  </si>
  <si>
    <t>2022-03-03 08:42:26 UTC</t>
  </si>
  <si>
    <t>2022-03-03 08:08:30 UTC</t>
  </si>
  <si>
    <t>2022-03-03 08:07:55 UTC</t>
  </si>
  <si>
    <t>2022-03-03 07:42:48 UTC</t>
  </si>
  <si>
    <t>2022-03-03 07:35:02 UTC</t>
  </si>
  <si>
    <t>2022-03-03 07:20:25 UTC</t>
  </si>
  <si>
    <t>2022-03-03 07:10:04 UTC</t>
  </si>
  <si>
    <t>2022-03-03 06:51:58 UTC</t>
  </si>
  <si>
    <t>2022-03-03 06:48:59 UTC</t>
  </si>
  <si>
    <t>2022-03-03 06:11:32 UTC</t>
  </si>
  <si>
    <t>2022-03-03 05:49:20 UTC</t>
  </si>
  <si>
    <t>2022-03-03 05:44:27 UTC</t>
  </si>
  <si>
    <t>2022-03-03 05:06:49 UTC</t>
  </si>
  <si>
    <t>2022-03-03 04:34:11 UTC</t>
  </si>
  <si>
    <t>2022-03-03 04:24:38 UTC</t>
  </si>
  <si>
    <t>2022-03-03 04:17:23 UTC</t>
  </si>
  <si>
    <t>2022-03-03 04:14:20 UTC</t>
  </si>
  <si>
    <t>2022-03-03 04:05:39 UTC</t>
  </si>
  <si>
    <t>2022-03-03 04:02:02 UTC</t>
  </si>
  <si>
    <t>2022-03-03 03:58:22 UTC</t>
  </si>
  <si>
    <t>2022-03-03 03:53:29 UTC</t>
  </si>
  <si>
    <t>2022-03-03 03:51:40 UTC</t>
  </si>
  <si>
    <t>2022-03-03 03:51:10 UTC</t>
  </si>
  <si>
    <t>2022-03-03 03:39:50 UTC</t>
  </si>
  <si>
    <t>2022-03-03 03:31:29 UTC</t>
  </si>
  <si>
    <t>2022-03-03 02:59:23 UTC</t>
  </si>
  <si>
    <t>2022-03-03 02:37:32 UTC</t>
  </si>
  <si>
    <t>2022-03-03 02:20:12 UTC</t>
  </si>
  <si>
    <t>2022-03-03 01:09:58 UTC</t>
  </si>
  <si>
    <t>2022-03-03 00:27:41 UTC</t>
  </si>
  <si>
    <t>2022-03-03 00:25:10 UTC</t>
  </si>
  <si>
    <t>2022-03-03 00:21:16 UTC</t>
  </si>
  <si>
    <t>2022-03-02 23:03:44 UTC</t>
  </si>
  <si>
    <t>2022-03-02 22:25:44 UTC</t>
  </si>
  <si>
    <t>2022-03-02 20:30:43 UTC</t>
  </si>
  <si>
    <t>2022-03-02 19:54:11 UTC</t>
  </si>
  <si>
    <t>2022-03-02 19:12:00 UTC</t>
  </si>
  <si>
    <t>2022-03-02 19:00:43 UTC</t>
  </si>
  <si>
    <t>2022-03-02 18:12:08 UTC</t>
  </si>
  <si>
    <t>2022-03-02 18:05:51 UTC</t>
  </si>
  <si>
    <t>2022-03-02 17:46:47 UTC</t>
  </si>
  <si>
    <t>2022-03-02 17:44:30 UTC</t>
  </si>
  <si>
    <t>2022-03-02 17:42:45 UTC</t>
  </si>
  <si>
    <t>2022-03-02 17:05:14 UTC</t>
  </si>
  <si>
    <t>2022-03-02 16:29:32 UTC</t>
  </si>
  <si>
    <t>2022-03-02 16:29:01 UTC</t>
  </si>
  <si>
    <t>2022-03-02 16:28:44 UTC</t>
  </si>
  <si>
    <t>2022-03-02 16:25:18 UTC</t>
  </si>
  <si>
    <t>2022-03-02 16:24:00 UTC</t>
  </si>
  <si>
    <t>2022-03-02 16:21:41 UTC</t>
  </si>
  <si>
    <t>2022-03-02 16:01:05 UTC</t>
  </si>
  <si>
    <t>2022-03-02 15:58:11 UTC</t>
  </si>
  <si>
    <t>2022-03-02 15:39:57 UTC</t>
  </si>
  <si>
    <t>2022-03-02 15:38:56 UTC</t>
  </si>
  <si>
    <t>2022-03-02 15:33:26 UTC</t>
  </si>
  <si>
    <t>2022-03-02 15:21:46 UTC</t>
  </si>
  <si>
    <t>2022-03-02 14:57:16 UTC</t>
  </si>
  <si>
    <t>2022-03-02 14:49:16 UTC</t>
  </si>
  <si>
    <t>2022-03-02 14:48:23 UTC</t>
  </si>
  <si>
    <t>2022-03-02 14:48:00 UTC</t>
  </si>
  <si>
    <t>2022-03-02 14:41:12 UTC</t>
  </si>
  <si>
    <t>2022-03-02 14:27:30 UTC</t>
  </si>
  <si>
    <t>2022-03-02 14:26:52 UTC</t>
  </si>
  <si>
    <t>2022-03-02 14:14:01 UTC</t>
  </si>
  <si>
    <t>2022-03-02 14:00:44 UTC</t>
  </si>
  <si>
    <t>2022-03-02 13:49:29 UTC</t>
  </si>
  <si>
    <t>2022-03-02 13:33:39 UTC</t>
  </si>
  <si>
    <t>2022-03-02 13:21:02 UTC</t>
  </si>
  <si>
    <t>2022-03-02 13:04:51 UTC</t>
  </si>
  <si>
    <t>2022-03-02 12:42:03 UTC</t>
  </si>
  <si>
    <t>2022-03-02 12:06:21 UTC</t>
  </si>
  <si>
    <t>2022-03-02 11:58:53 UTC</t>
  </si>
  <si>
    <t>2022-03-02 11:37:22 UTC</t>
  </si>
  <si>
    <t>2022-03-02 11:25:05 UTC</t>
  </si>
  <si>
    <t>2022-03-02 11:20:35 UTC</t>
  </si>
  <si>
    <t>2022-03-02 10:40:24 UTC</t>
  </si>
  <si>
    <t>2022-03-02 10:30:32 UTC</t>
  </si>
  <si>
    <t>2022-03-02 10:07:21 UTC</t>
  </si>
  <si>
    <t>2022-03-02 10:03:20 UTC</t>
  </si>
  <si>
    <t>2022-03-02 09:32:25 UTC</t>
  </si>
  <si>
    <t>2022-03-02 09:24:36 UTC</t>
  </si>
  <si>
    <t>2022-03-02 09:21:38 UTC</t>
  </si>
  <si>
    <t>2022-03-02 08:17:15 UTC</t>
  </si>
  <si>
    <t>2022-03-02 08:15:40 UTC</t>
  </si>
  <si>
    <t>2022-03-02 08:11:44 UTC</t>
  </si>
  <si>
    <t>2022-03-02 07:32:38 UTC</t>
  </si>
  <si>
    <t>2022-03-02 07:32:07 UTC</t>
  </si>
  <si>
    <t>2022-03-02 07:08:13 UTC</t>
  </si>
  <si>
    <t>2022-03-02 06:43:04 UTC</t>
  </si>
  <si>
    <t>2022-03-02 06:16:41 UTC</t>
  </si>
  <si>
    <t>2022-03-02 05:29:37 UTC</t>
  </si>
  <si>
    <t>2022-03-02 03:49:04 UTC</t>
  </si>
  <si>
    <t>2022-03-02 01:32:23 UTC</t>
  </si>
  <si>
    <t>2022-03-02 01:30:29 UTC</t>
  </si>
  <si>
    <t>2022-03-02 00:48:31 UTC</t>
  </si>
  <si>
    <t>2022-03-01 20:37:37 UTC</t>
  </si>
  <si>
    <t>2022-03-01 18:58:48 UTC</t>
  </si>
  <si>
    <t>2022-03-01 18:52:05 UTC</t>
  </si>
  <si>
    <t>2022-03-01 18:23:52 UTC</t>
  </si>
  <si>
    <t>2022-03-01 16:28:15 UTC</t>
  </si>
  <si>
    <t>2022-03-01 16:21:45 UTC</t>
  </si>
  <si>
    <t>2022-03-01 15:57:46 UTC</t>
  </si>
  <si>
    <t>2022-03-01 15:31:48 UTC</t>
  </si>
  <si>
    <t>2022-03-01 15:10:29 UTC</t>
  </si>
  <si>
    <t>2022-03-01 15:10:14 UTC</t>
  </si>
  <si>
    <t>2022-03-01 12:52:01 UTC</t>
  </si>
  <si>
    <t>2022-03-01 12:48:30 UTC</t>
  </si>
  <si>
    <t>2022-03-01 12:47:32 UTC</t>
  </si>
  <si>
    <t>2022-03-01 12:46:28 UTC</t>
  </si>
  <si>
    <t>2022-03-01 12:45:55 UTC</t>
  </si>
  <si>
    <t>2022-03-01 12:41:07 UTC</t>
  </si>
  <si>
    <t>2022-03-01 12:23:58 UTC</t>
  </si>
  <si>
    <t>2022-03-01 12:23:57 UTC</t>
  </si>
  <si>
    <t>2022-03-01 12:19:35 UTC</t>
  </si>
  <si>
    <t>2022-03-01 12:19:21 UTC</t>
  </si>
  <si>
    <t>2022-03-01 12:17:57 UTC</t>
  </si>
  <si>
    <t>2022-03-01 12:15:32 UTC</t>
  </si>
  <si>
    <t>2022-03-01 12:15:21 UTC</t>
  </si>
  <si>
    <t>2022-03-01 12:15:09 UTC</t>
  </si>
  <si>
    <t>2022-03-01 12:14:54 UTC</t>
  </si>
  <si>
    <t>2022-03-01 12:14:41 UTC</t>
  </si>
  <si>
    <t>2022-03-01 12:10:42 UTC</t>
  </si>
  <si>
    <t>2022-03-01 11:44:57 UTC</t>
  </si>
  <si>
    <t>2022-03-01 11:12:55 UTC</t>
  </si>
  <si>
    <t>2022-03-01 10:56:12 UTC</t>
  </si>
  <si>
    <t>2022-03-01 10:53:11 UTC</t>
  </si>
  <si>
    <t>2022-03-01 10:44:16 UTC</t>
  </si>
  <si>
    <t>2022-03-01 09:50:23 UTC</t>
  </si>
  <si>
    <t>2022-03-01 08:58:48 UTC</t>
  </si>
  <si>
    <t>2022-03-01 08:33:28 UTC</t>
  </si>
  <si>
    <t>2022-03-01 08:06:56 UTC</t>
  </si>
  <si>
    <t>2022-03-01 08:05:17 UTC</t>
  </si>
  <si>
    <t>2022-03-01 08:03:42 UTC</t>
  </si>
  <si>
    <t>2022-03-01 07:48:01 UTC</t>
  </si>
  <si>
    <t>2022-03-01 07:46:37 UTC</t>
  </si>
  <si>
    <t>2022-03-01 07:29:17 UTC</t>
  </si>
  <si>
    <t>2022-03-01 07:27:26 UTC</t>
  </si>
  <si>
    <t>2022-03-01 07:26:35 UTC</t>
  </si>
  <si>
    <t>2022-03-01 07:17:02 UTC</t>
  </si>
  <si>
    <t>2022-03-01 07:16:09 UTC</t>
  </si>
  <si>
    <t>2022-03-01 07:14:18 UTC</t>
  </si>
  <si>
    <t>2022-03-01 07:13:13 UTC</t>
  </si>
  <si>
    <t>2022-03-01 07:09:07 UTC</t>
  </si>
  <si>
    <t>2022-03-01 07:07:57 UTC</t>
  </si>
  <si>
    <t>2022-03-01 07:03:44 UTC</t>
  </si>
  <si>
    <t>2022-03-01 06:41:45 UTC</t>
  </si>
  <si>
    <t>2022-03-01 06:40:46 UTC</t>
  </si>
  <si>
    <t>2022-03-01 06:40:18 UTC</t>
  </si>
  <si>
    <t>2022-03-01 06:39:40 UTC</t>
  </si>
  <si>
    <t>2022-03-01 06:29:22 UTC</t>
  </si>
  <si>
    <t>2022-03-01 06:27:03 UTC</t>
  </si>
  <si>
    <t>2022-03-01 06:22:55 UTC</t>
  </si>
  <si>
    <t>2022-03-01 05:46:58 UTC</t>
  </si>
  <si>
    <t>2022-03-01 05:46:48 UTC</t>
  </si>
  <si>
    <t>2022-03-01 05:44:57 UTC</t>
  </si>
  <si>
    <t>2022-03-01 05:40:36 UTC</t>
  </si>
  <si>
    <t>2022-03-01 05:19:49 UTC</t>
  </si>
  <si>
    <t>2022-03-01 05:17:33 UTC</t>
  </si>
  <si>
    <t>2022-03-01 05:11:11 UTC</t>
  </si>
  <si>
    <t>2022-03-01 04:54:46 UTC</t>
  </si>
  <si>
    <t>2022-03-01 04:52:18 UTC</t>
  </si>
  <si>
    <t>2022-03-01 04:40:17 UTC</t>
  </si>
  <si>
    <t>2022-03-01 04:35:07 UTC</t>
  </si>
  <si>
    <t>2022-03-01 04:31:45 UTC</t>
  </si>
  <si>
    <t>2022-03-01 04:29:48 UTC</t>
  </si>
  <si>
    <t>2022-03-01 04:26:56 UTC</t>
  </si>
  <si>
    <t>2022-03-01 04:08:25 UTC</t>
  </si>
  <si>
    <t>2022-03-01 03:57:01 UTC</t>
  </si>
  <si>
    <t>2022-03-01 03:30:11 UTC</t>
  </si>
  <si>
    <t>2022-03-01 03:29:42 UTC</t>
  </si>
  <si>
    <t>2022-03-01 03:28:58 UTC</t>
  </si>
  <si>
    <t>2022-03-01 03:18:05 UTC</t>
  </si>
  <si>
    <t>2022-03-01 02:36:28 UTC</t>
  </si>
  <si>
    <t>2022-03-01 02:30:27 UTC</t>
  </si>
  <si>
    <t>2022-03-01 02:25:40 UTC</t>
  </si>
  <si>
    <t>2022-03-01 02:21:20 UTC</t>
  </si>
  <si>
    <t>2022-03-01 02:20:23 UTC</t>
  </si>
  <si>
    <t>2022-03-01 01:38:30 UTC</t>
  </si>
  <si>
    <t>2022-03-01 01:32:34 UTC</t>
  </si>
  <si>
    <t>2022-03-01 00:05:00 UTC</t>
  </si>
  <si>
    <t>2022-02-28 21:41:39 UTC</t>
  </si>
  <si>
    <t>2022-02-28 19:48:26 UTC</t>
  </si>
  <si>
    <t>2022-02-28 17:55:24 UTC</t>
  </si>
  <si>
    <t>2022-02-28 16:57:47 UTC</t>
  </si>
  <si>
    <t>2022-02-28 16:55:48 UTC</t>
  </si>
  <si>
    <t>2022-02-28 16:20:53 UTC</t>
  </si>
  <si>
    <t>2022-02-28 16:02:37 UTC</t>
  </si>
  <si>
    <t>2022-02-28 16:02:22 UTC</t>
  </si>
  <si>
    <t>2022-02-28 15:59:50 UTC</t>
  </si>
  <si>
    <t>2022-02-28 15:57:06 UTC</t>
  </si>
  <si>
    <t>2022-02-28 15:56:55 UTC</t>
  </si>
  <si>
    <t>2022-02-28 15:56:29 UTC</t>
  </si>
  <si>
    <t>2022-02-28 15:52:46 UTC</t>
  </si>
  <si>
    <t>2022-02-28 15:14:26 UTC</t>
  </si>
  <si>
    <t>2022-02-28 15:05:28 UTC</t>
  </si>
  <si>
    <t>2022-02-28 14:50:13 UTC</t>
  </si>
  <si>
    <t>2022-02-28 14:32:19 UTC</t>
  </si>
  <si>
    <t>2022-02-28 14:31:19 UTC</t>
  </si>
  <si>
    <t>2022-02-28 14:03:52 UTC</t>
  </si>
  <si>
    <t>2022-02-28 14:02:53 UTC</t>
  </si>
  <si>
    <t>2022-02-28 13:14:55 UTC</t>
  </si>
  <si>
    <t>2022-02-28 13:09:35 UTC</t>
  </si>
  <si>
    <t>2022-02-28 12:47:14 UTC</t>
  </si>
  <si>
    <t>2022-02-28 12:37:58 UTC</t>
  </si>
  <si>
    <t>2022-02-28 12:35:05 UTC</t>
  </si>
  <si>
    <t>2022-02-28 12:00:36 UTC</t>
  </si>
  <si>
    <t>2022-02-28 11:59:04 UTC</t>
  </si>
  <si>
    <t>2022-02-28 11:38:53 UTC</t>
  </si>
  <si>
    <t>2022-02-28 11:37:46 UTC</t>
  </si>
  <si>
    <t>2022-02-28 11:30:27 UTC</t>
  </si>
  <si>
    <t>2022-02-28 11:07:20 UTC</t>
  </si>
  <si>
    <t>2022-02-28 11:06:35 UTC</t>
  </si>
  <si>
    <t>2022-02-28 11:06:27 UTC</t>
  </si>
  <si>
    <t>2022-02-28 10:26:01 UTC</t>
  </si>
  <si>
    <t>2022-02-28 10:01:39 UTC</t>
  </si>
  <si>
    <t>2022-02-28 09:54:17 UTC</t>
  </si>
  <si>
    <t>2022-02-28 09:35:11 UTC</t>
  </si>
  <si>
    <t>2022-02-28 09:22:38 UTC</t>
  </si>
  <si>
    <t>2022-02-28 09:21:19 UTC</t>
  </si>
  <si>
    <t>2022-02-28 09:03:20 UTC</t>
  </si>
  <si>
    <t>2022-02-28 08:45:48 UTC</t>
  </si>
  <si>
    <t>2022-02-28 08:36:12 UTC</t>
  </si>
  <si>
    <t>2022-02-28 08:23:07 UTC</t>
  </si>
  <si>
    <t>2022-02-28 08:16:07 UTC</t>
  </si>
  <si>
    <t>2022-02-28 08:14:11 UTC</t>
  </si>
  <si>
    <t>2022-02-28 08:03:22 UTC</t>
  </si>
  <si>
    <t>2022-02-28 07:51:24 UTC</t>
  </si>
  <si>
    <t>2022-02-28 06:55:33 UTC</t>
  </si>
  <si>
    <t>2022-02-28 06:49:09 UTC</t>
  </si>
  <si>
    <t>2022-02-28 06:48:24 UTC</t>
  </si>
  <si>
    <t>2022-02-28 06:21:05 UTC</t>
  </si>
  <si>
    <t>2022-02-28 05:25:54 UTC</t>
  </si>
  <si>
    <t>2022-02-28 05:02:32 UTC</t>
  </si>
  <si>
    <t>2022-02-28 04:39:26 UTC</t>
  </si>
  <si>
    <t>2022-02-28 03:52:24 UTC</t>
  </si>
  <si>
    <t>2022-02-28 03:39:25 UTC</t>
  </si>
  <si>
    <t>2022-02-28 01:57:04 UTC</t>
  </si>
  <si>
    <t>2022-02-28 01:51:06 UTC</t>
  </si>
  <si>
    <t>2022-02-28 00:23:14 UTC</t>
  </si>
  <si>
    <t>2022-02-28 00:16:41 UTC</t>
  </si>
  <si>
    <t>2022-02-27 22:05:20 UTC</t>
  </si>
  <si>
    <t>2022-02-27 18:49:28 UTC</t>
  </si>
  <si>
    <t>2022-02-27 17:27:05 UTC</t>
  </si>
  <si>
    <t>2022-02-27 16:25:57 UTC</t>
  </si>
  <si>
    <t>2022-02-27 16:23:59 UTC</t>
  </si>
  <si>
    <t>2022-02-27 16:18:46 UTC</t>
  </si>
  <si>
    <t>2022-02-27 16:16:59 UTC</t>
  </si>
  <si>
    <t>2022-02-27 16:12:03 UTC</t>
  </si>
  <si>
    <t>2022-02-27 16:11:28 UTC</t>
  </si>
  <si>
    <t>2022-02-27 16:11:15 UTC</t>
  </si>
  <si>
    <t>2022-02-27 16:10:21 UTC</t>
  </si>
  <si>
    <t>2022-02-27 16:09:50 UTC</t>
  </si>
  <si>
    <t>2022-02-27 16:05:45 UTC</t>
  </si>
  <si>
    <t>2022-02-27 16:05:10 UTC</t>
  </si>
  <si>
    <t>2022-02-27 16:02:48 UTC</t>
  </si>
  <si>
    <t>2022-02-27 15:58:29 UTC</t>
  </si>
  <si>
    <t>2022-02-27 15:25:49 UTC</t>
  </si>
  <si>
    <t>2022-02-27 15:17:33 UTC</t>
  </si>
  <si>
    <t>2022-02-27 15:16:01 UTC</t>
  </si>
  <si>
    <t>2022-02-27 15:13:31 UTC</t>
  </si>
  <si>
    <t>2022-02-27 15:09:51 UTC</t>
  </si>
  <si>
    <t>2022-02-27 14:51:01 UTC</t>
  </si>
  <si>
    <t>2022-02-27 14:23:39 UTC</t>
  </si>
  <si>
    <t>2022-02-27 13:54:06 UTC</t>
  </si>
  <si>
    <t>2022-02-27 13:44:53 UTC</t>
  </si>
  <si>
    <t>2022-02-27 13:43:21 UTC</t>
  </si>
  <si>
    <t>2022-02-27 13:35:24 UTC</t>
  </si>
  <si>
    <t>2022-02-27 12:38:27 UTC</t>
  </si>
  <si>
    <t>2022-02-27 12:38:20 UTC</t>
  </si>
  <si>
    <t>2022-02-27 12:28:12 UTC</t>
  </si>
  <si>
    <t>2022-02-27 12:02:16 UTC</t>
  </si>
  <si>
    <t>2022-02-27 10:59:10 UTC</t>
  </si>
  <si>
    <t>2022-02-27 10:40:46 UTC</t>
  </si>
  <si>
    <t>2022-02-27 10:37:59 UTC</t>
  </si>
  <si>
    <t>2022-02-27 10:31:30 UTC</t>
  </si>
  <si>
    <t>2022-02-27 10:29:07 UTC</t>
  </si>
  <si>
    <t>2022-02-27 10:18:22 UTC</t>
  </si>
  <si>
    <t>2022-02-27 10:07:54 UTC</t>
  </si>
  <si>
    <t>2022-02-27 09:11:43 UTC</t>
  </si>
  <si>
    <t>2022-02-27 09:11:10 UTC</t>
  </si>
  <si>
    <t>2022-02-27 08:03:03 UTC</t>
  </si>
  <si>
    <t>2022-02-27 08:01:18 UTC</t>
  </si>
  <si>
    <t>2022-02-27 07:18:10 UTC</t>
  </si>
  <si>
    <t>2022-02-27 07:18:05 UTC</t>
  </si>
  <si>
    <t>2022-02-27 06:51:19 UTC</t>
  </si>
  <si>
    <t>2022-02-27 06:25:59 UTC</t>
  </si>
  <si>
    <t>2022-02-27 06:22:41 UTC</t>
  </si>
  <si>
    <t>2022-02-27 05:52:01 UTC</t>
  </si>
  <si>
    <t>2022-02-27 05:39:46 UTC</t>
  </si>
  <si>
    <t>2022-02-27 05:34:30 UTC</t>
  </si>
  <si>
    <t>2022-02-27 05:27:12 UTC</t>
  </si>
  <si>
    <t>2022-02-27 05:22:57 UTC</t>
  </si>
  <si>
    <t>2022-02-27 05:04:30 UTC</t>
  </si>
  <si>
    <t>2022-02-27 05:01:53 UTC</t>
  </si>
  <si>
    <t>2022-02-27 04:58:35 UTC</t>
  </si>
  <si>
    <t>2022-02-27 04:55:14 UTC</t>
  </si>
  <si>
    <t>2022-02-27 04:52:20 UTC</t>
  </si>
  <si>
    <t>2022-02-27 04:35:07 UTC</t>
  </si>
  <si>
    <t>2022-02-27 04:35:03 UTC</t>
  </si>
  <si>
    <t>2022-02-27 04:35:01 UTC</t>
  </si>
  <si>
    <t>2022-02-27 04:34:59 UTC</t>
  </si>
  <si>
    <t>2022-02-27 04:20:05 UTC</t>
  </si>
  <si>
    <t>2022-02-27 04:05:52 UTC</t>
  </si>
  <si>
    <t>2022-02-27 03:58:13 UTC</t>
  </si>
  <si>
    <t>2022-02-27 03:52:22 UTC</t>
  </si>
  <si>
    <t>2022-02-27 03:37:37 UTC</t>
  </si>
  <si>
    <t>2022-02-27 03:32:11 UTC</t>
  </si>
  <si>
    <t>2022-02-27 03:16:24 UTC</t>
  </si>
  <si>
    <t>2022-02-27 03:16:11 UTC</t>
  </si>
  <si>
    <t>2022-02-27 02:59:41 UTC</t>
  </si>
  <si>
    <t>2022-02-27 02:57:43 UTC</t>
  </si>
  <si>
    <t>2022-02-27 02:13:03 UTC</t>
  </si>
  <si>
    <t>2022-02-27 01:52:56 UTC</t>
  </si>
  <si>
    <t>2022-02-27 00:37:52 UTC</t>
  </si>
  <si>
    <t>2022-02-26 19:51:10 UTC</t>
  </si>
  <si>
    <t>2022-02-26 18:59:34 UTC</t>
  </si>
  <si>
    <t>2022-02-26 18:38:09 UTC</t>
  </si>
  <si>
    <t>2022-02-26 18:07:11 UTC</t>
  </si>
  <si>
    <t>2022-02-26 17:52:38 UTC</t>
  </si>
  <si>
    <t>2022-02-26 17:06:44 UTC</t>
  </si>
  <si>
    <t>2022-02-26 17:04:24 UTC</t>
  </si>
  <si>
    <t>2022-02-26 17:02:51 UTC</t>
  </si>
  <si>
    <t>2022-02-26 17:01:36 UTC</t>
  </si>
  <si>
    <t>2022-02-26 16:55:52 UTC</t>
  </si>
  <si>
    <t>2022-02-26 16:50:42 UTC</t>
  </si>
  <si>
    <t>2022-02-26 16:49:28 UTC</t>
  </si>
  <si>
    <t>2022-02-26 16:48:49 UTC</t>
  </si>
  <si>
    <t>2022-02-26 16:48:06 UTC</t>
  </si>
  <si>
    <t>2022-02-26 16:46:46 UTC</t>
  </si>
  <si>
    <t>2022-02-26 16:45:19 UTC</t>
  </si>
  <si>
    <t>2022-02-26 16:35:38 UTC</t>
  </si>
  <si>
    <t>2022-02-26 16:34:14 UTC</t>
  </si>
  <si>
    <t>2022-02-26 16:33:03 UTC</t>
  </si>
  <si>
    <t>2022-02-26 16:17:35 UTC</t>
  </si>
  <si>
    <t>2022-02-26 16:12:09 UTC</t>
  </si>
  <si>
    <t>2022-02-26 16:07:56 UTC</t>
  </si>
  <si>
    <t>2022-02-26 16:07:24 UTC</t>
  </si>
  <si>
    <t>2022-02-26 16:04:23 UTC</t>
  </si>
  <si>
    <t>2022-02-26 15:39:27 UTC</t>
  </si>
  <si>
    <t>2022-02-26 15:02:35 UTC</t>
  </si>
  <si>
    <t>2022-02-26 14:36:15 UTC</t>
  </si>
  <si>
    <t>2022-02-26 14:32:30 UTC</t>
  </si>
  <si>
    <t>2022-02-26 14:27:02 UTC</t>
  </si>
  <si>
    <t>2022-02-26 14:24:37 UTC</t>
  </si>
  <si>
    <t>2022-02-26 14:24:04 UTC</t>
  </si>
  <si>
    <t>2022-02-26 14:06:49 UTC</t>
  </si>
  <si>
    <t>2022-02-26 14:03:50 UTC</t>
  </si>
  <si>
    <t>2022-02-26 14:03:32 UTC</t>
  </si>
  <si>
    <t>2022-02-26 13:35:41 UTC</t>
  </si>
  <si>
    <t>2022-02-26 13:34:48 UTC</t>
  </si>
  <si>
    <t>2022-02-26 13:31:14 UTC</t>
  </si>
  <si>
    <t>2022-02-26 13:01:26 UTC</t>
  </si>
  <si>
    <t>2022-02-26 12:39:22 UTC</t>
  </si>
  <si>
    <t>2022-02-26 12:28:18 UTC</t>
  </si>
  <si>
    <t>2022-02-26 12:17:30 UTC</t>
  </si>
  <si>
    <t>2022-02-26 11:50:46 UTC</t>
  </si>
  <si>
    <t>2022-02-26 11:36:34 UTC</t>
  </si>
  <si>
    <t>2022-02-26 11:01:57 UTC</t>
  </si>
  <si>
    <t>2022-02-26 10:55:00 UTC</t>
  </si>
  <si>
    <t>2022-02-26 10:36:38 UTC</t>
  </si>
  <si>
    <t>2022-02-26 10:35:56 UTC</t>
  </si>
  <si>
    <t>2022-02-26 10:19:45 UTC</t>
  </si>
  <si>
    <t>2022-02-26 10:17:39 UTC</t>
  </si>
  <si>
    <t>2022-02-26 10:12:57 UTC</t>
  </si>
  <si>
    <t>2022-02-26 10:09:23 UTC</t>
  </si>
  <si>
    <t>2022-02-26 10:02:33 UTC</t>
  </si>
  <si>
    <t>2022-02-26 09:47:29 UTC</t>
  </si>
  <si>
    <t>2022-02-26 09:47:19 UTC</t>
  </si>
  <si>
    <t>2022-02-26 09:47:18 UTC</t>
  </si>
  <si>
    <t>2022-02-26 09:47:17 UTC</t>
  </si>
  <si>
    <t>2022-02-26 09:42:10 UTC</t>
  </si>
  <si>
    <t>2022-02-26 08:20:21 UTC</t>
  </si>
  <si>
    <t>2022-02-26 07:02:19 UTC</t>
  </si>
  <si>
    <t>2022-02-26 07:00:29 UTC</t>
  </si>
  <si>
    <t>2022-02-26 06:55:17 UTC</t>
  </si>
  <si>
    <t>2022-02-26 05:58:08 UTC</t>
  </si>
  <si>
    <t>2022-02-26 05:48:43 UTC</t>
  </si>
  <si>
    <t>2022-02-26 05:10:48 UTC</t>
  </si>
  <si>
    <t>2022-02-26 04:00:00 UTC</t>
  </si>
  <si>
    <t>2022-02-26 02:54:25 UTC</t>
  </si>
  <si>
    <t>2022-02-26 02:48:08 UTC</t>
  </si>
  <si>
    <t>2022-02-26 02:20:31 UTC</t>
  </si>
  <si>
    <t>2022-02-26 02:00:48 UTC</t>
  </si>
  <si>
    <t>2022-02-26 01:58:12 UTC</t>
  </si>
  <si>
    <t>2022-02-26 00:54:43 UTC</t>
  </si>
  <si>
    <t>2022-02-25 23:39:00 UTC</t>
  </si>
  <si>
    <t>2022-02-25 22:57:23 UTC</t>
  </si>
  <si>
    <t>2022-02-25 19:42:33 UTC</t>
  </si>
  <si>
    <t>2022-02-25 19:39:16 UTC</t>
  </si>
  <si>
    <t>2022-02-25 19:33:30 UTC</t>
  </si>
  <si>
    <t>2022-02-25 16:26:08 UTC</t>
  </si>
  <si>
    <t>2022-02-25 16:17:51 UTC</t>
  </si>
  <si>
    <t>2022-02-25 16:14:43 UTC</t>
  </si>
  <si>
    <t>2022-02-25 16:04:54 UTC</t>
  </si>
  <si>
    <t>2022-02-25 15:46:11 UTC</t>
  </si>
  <si>
    <t>2022-02-25 15:27:54 UTC</t>
  </si>
  <si>
    <t>2022-02-25 15:23:33 UTC</t>
  </si>
  <si>
    <t>2022-02-25 15:19:17 UTC</t>
  </si>
  <si>
    <t>2022-02-25 15:12:12 UTC</t>
  </si>
  <si>
    <t>2022-02-25 15:08:12 UTC</t>
  </si>
  <si>
    <t>2022-02-25 15:03:55 UTC</t>
  </si>
  <si>
    <t>2022-02-25 15:02:01 UTC</t>
  </si>
  <si>
    <t>2022-02-25 14:38:18 UTC</t>
  </si>
  <si>
    <t>2022-02-25 14:29:20 UTC</t>
  </si>
  <si>
    <t>2022-02-25 14:22:09 UTC</t>
  </si>
  <si>
    <t>2022-02-25 14:16:10 UTC</t>
  </si>
  <si>
    <t>2022-02-25 14:04:54 UTC</t>
  </si>
  <si>
    <t>2022-02-25 13:43:12 UTC</t>
  </si>
  <si>
    <t>2022-02-25 13:38:57 UTC</t>
  </si>
  <si>
    <t>2022-02-25 13:30:57 UTC</t>
  </si>
  <si>
    <t>2022-02-25 13:28:13 UTC</t>
  </si>
  <si>
    <t>2022-02-25 12:47:50 UTC</t>
  </si>
  <si>
    <t>2022-02-25 12:01:38 UTC</t>
  </si>
  <si>
    <t>2022-02-25 11:51:17 UTC</t>
  </si>
  <si>
    <t>2022-02-25 11:39:13 UTC</t>
  </si>
  <si>
    <t>2022-02-25 11:13:43 UTC</t>
  </si>
  <si>
    <t>2022-02-25 11:08:22 UTC</t>
  </si>
  <si>
    <t>2022-02-25 09:36:53 UTC</t>
  </si>
  <si>
    <t>2022-02-25 09:23:23 UTC</t>
  </si>
  <si>
    <t>2022-02-25 07:50:12 UTC</t>
  </si>
  <si>
    <t>2022-02-25 07:19:15 UTC</t>
  </si>
  <si>
    <t>2022-02-25 07:05:57 UTC</t>
  </si>
  <si>
    <t>2022-02-25 07:03:42 UTC</t>
  </si>
  <si>
    <t>2022-02-25 06:40:13 UTC</t>
  </si>
  <si>
    <t>2022-02-25 05:48:17 UTC</t>
  </si>
  <si>
    <t>2022-02-25 05:44:33 UTC</t>
  </si>
  <si>
    <t>2022-02-25 04:19:25 UTC</t>
  </si>
  <si>
    <t>2022-02-25 02:34:35 UTC</t>
  </si>
  <si>
    <t>2022-02-25 00:49:16 UTC</t>
  </si>
  <si>
    <t>2022-02-24 21:54:44 UTC</t>
  </si>
  <si>
    <t>2022-02-24 20:02:11 UTC</t>
  </si>
  <si>
    <t>2022-02-24 16:47:40 UTC</t>
  </si>
  <si>
    <t>2022-02-24 15:48:22 UTC</t>
  </si>
  <si>
    <t>2022-02-24 15:45:54 UTC</t>
  </si>
  <si>
    <t>2022-02-24 15:05:11 UTC</t>
  </si>
  <si>
    <t>2022-02-24 15:02:15 UTC</t>
  </si>
  <si>
    <t>2022-02-24 14:56:48 UTC</t>
  </si>
  <si>
    <t>2022-02-24 11:34:39 UTC</t>
  </si>
  <si>
    <t>2022-02-24 11:23:42 UTC</t>
  </si>
  <si>
    <t>2022-02-24 10:53:45 UTC</t>
  </si>
  <si>
    <t>2022-02-24 10:02:33 UTC</t>
  </si>
  <si>
    <t>2022-02-24 09:53:28 UTC</t>
  </si>
  <si>
    <t>2022-02-24 08:46:07 UTC</t>
  </si>
  <si>
    <t>2022-02-24 08:20:18 UTC</t>
  </si>
  <si>
    <t>2022-02-24 08:11:04 UTC</t>
  </si>
  <si>
    <t>2022-02-24 06:34:07 UTC</t>
  </si>
  <si>
    <t>2022-02-24 06:29:01 UTC</t>
  </si>
  <si>
    <t>2022-02-24 06:04:10 UTC</t>
  </si>
  <si>
    <t>2022-02-24 05:48:36 UTC</t>
  </si>
  <si>
    <t>2022-02-24 04:27:00 UTC</t>
  </si>
  <si>
    <t>2022-02-24 02:55:56 UTC</t>
  </si>
  <si>
    <t>2022-02-24 02:55:40 UTC</t>
  </si>
  <si>
    <t>2022-02-24 02:38:09 UTC</t>
  </si>
  <si>
    <t>2022-02-24 01:44:44 UTC</t>
  </si>
  <si>
    <t>2022-02-23 23:13:56 UTC</t>
  </si>
  <si>
    <t>2022-02-23 20:21:35 UTC</t>
  </si>
  <si>
    <t>2022-02-23 18:36:59 UTC</t>
  </si>
  <si>
    <t>2022-02-23 18:35:17 UTC</t>
  </si>
  <si>
    <t>2022-02-23 18:31:42 UTC</t>
  </si>
  <si>
    <t>2022-02-23 18:28:29 UTC</t>
  </si>
  <si>
    <t>2022-02-23 17:03:04 UTC</t>
  </si>
  <si>
    <t>2022-02-23 16:49:21 UTC</t>
  </si>
  <si>
    <t>2022-02-23 16:49:11 UTC</t>
  </si>
  <si>
    <t>2022-02-23 14:33:51 UTC</t>
  </si>
  <si>
    <t>2022-02-23 14:11:23 UTC</t>
  </si>
  <si>
    <t>2022-02-23 12:49:05 UTC</t>
  </si>
  <si>
    <t>2022-02-23 12:26:09 UTC</t>
  </si>
  <si>
    <t>2022-02-23 12:07:17 UTC</t>
  </si>
  <si>
    <t>2022-02-23 09:47:46 UTC</t>
  </si>
  <si>
    <t>2022-02-23 09:39:26 UTC</t>
  </si>
  <si>
    <t>2022-02-23 09:33:51 UTC</t>
  </si>
  <si>
    <t>2022-02-23 09:31:06 UTC</t>
  </si>
  <si>
    <t>2022-02-23 09:30:35 UTC</t>
  </si>
  <si>
    <t>2022-02-23 09:00:41 UTC</t>
  </si>
  <si>
    <t>2022-02-23 08:30:28 UTC</t>
  </si>
  <si>
    <t>2022-02-23 07:22:12 UTC</t>
  </si>
  <si>
    <t>2022-02-23 06:11:37 UTC</t>
  </si>
  <si>
    <t>2022-02-23 03:08:23 UTC</t>
  </si>
  <si>
    <t>2022-02-23 03:08:13 UTC</t>
  </si>
  <si>
    <t>2022-02-23 02:35:34 UTC</t>
  </si>
  <si>
    <t>2022-02-23 02:19:08 UTC</t>
  </si>
  <si>
    <t>2022-02-23 00:52:51 UTC</t>
  </si>
  <si>
    <t>2022-02-23 00:27:55 UTC</t>
  </si>
  <si>
    <t>2022-02-22 23:34:45 UTC</t>
  </si>
  <si>
    <t>2022-02-22 23:06:16 UTC</t>
  </si>
  <si>
    <t>2022-02-22 16:45:16 UTC</t>
  </si>
  <si>
    <t>2022-02-22 16:29:35 UTC</t>
  </si>
  <si>
    <t>2022-02-22 15:32:43 UTC</t>
  </si>
  <si>
    <t>2022-02-22 15:22:30 UTC</t>
  </si>
  <si>
    <t>2022-02-22 14:47:39 UTC</t>
  </si>
  <si>
    <t>2022-02-22 13:34:39 UTC</t>
  </si>
  <si>
    <t>2022-02-22 12:40:15 UTC</t>
  </si>
  <si>
    <t>2022-02-22 10:10:07 UTC</t>
  </si>
  <si>
    <t>2022-02-22 10:06:02 UTC</t>
  </si>
  <si>
    <t>2022-02-22 10:00:47 UTC</t>
  </si>
  <si>
    <t>2022-02-22 08:30:12 UTC</t>
  </si>
  <si>
    <t>2022-02-22 07:17:16 UTC</t>
  </si>
  <si>
    <t>2022-02-22 07:01:31 UTC</t>
  </si>
  <si>
    <t>2022-02-22 06:59:16 UTC</t>
  </si>
  <si>
    <t>2022-02-22 05:26:40 UTC</t>
  </si>
  <si>
    <t>2022-02-22 05:07:27 UTC</t>
  </si>
  <si>
    <t>2022-02-22 03:45:10 UTC</t>
  </si>
  <si>
    <t>2022-02-21 14:01:54 UTC</t>
  </si>
  <si>
    <t>2022-02-21 12:59:47 UTC</t>
  </si>
  <si>
    <t>2022-02-21 08:51:00 UTC</t>
  </si>
  <si>
    <t>2022-02-21 06:27:25 UTC</t>
  </si>
  <si>
    <t>2022-02-21 04:12:49 UTC</t>
  </si>
  <si>
    <t>2022-02-21 04:12:20 UTC</t>
  </si>
  <si>
    <t>2022-02-21 03:42:08 UTC</t>
  </si>
  <si>
    <t>2022-02-21 02:45:29 UTC</t>
  </si>
  <si>
    <t>2022-02-20 18:16:59 UTC</t>
  </si>
  <si>
    <t>2022-02-20 17:28:31 UTC</t>
  </si>
  <si>
    <t>2022-02-20 16:27:42 UTC</t>
  </si>
  <si>
    <t>2022-02-20 16:26:48 UTC</t>
  </si>
  <si>
    <t>2022-02-20 15:19:57 UTC</t>
  </si>
  <si>
    <t>2022-02-20 13:46:52 UTC</t>
  </si>
  <si>
    <t>2022-02-20 13:46:17 UTC</t>
  </si>
  <si>
    <t>2022-02-20 11:13:38 UTC</t>
  </si>
  <si>
    <t>2022-02-20 11:05:05 UTC</t>
  </si>
  <si>
    <t>2022-02-20 08:10:35 UTC</t>
  </si>
  <si>
    <t>2022-02-20 06:33:16 UTC</t>
  </si>
  <si>
    <t>2022-02-20 06:08:58 UTC</t>
  </si>
  <si>
    <t>2022-02-20 04:28:44 UTC</t>
  </si>
  <si>
    <t>2022-02-20 03:52:52 UTC</t>
  </si>
  <si>
    <t>2022-02-19 15:57:28 UTC</t>
  </si>
  <si>
    <t>2022-02-19 14:51:55 UTC</t>
  </si>
  <si>
    <t>2022-02-19 14:51:52 UTC</t>
  </si>
  <si>
    <t>2022-02-19 14:49:51 UTC</t>
  </si>
  <si>
    <t>2022-02-19 14:47:56 UTC</t>
  </si>
  <si>
    <t>2022-02-19 14:39:29 UTC</t>
  </si>
  <si>
    <t>2022-02-19 09:28:37 UTC</t>
  </si>
  <si>
    <t>2022-02-19 06:11:04 UTC</t>
  </si>
  <si>
    <t>2022-02-19 05:31:45 UTC</t>
  </si>
  <si>
    <t>2022-02-19 04:54:00 UTC</t>
  </si>
  <si>
    <t>2022-02-19 04:14:56 UTC</t>
  </si>
  <si>
    <t>2022-02-19 04:08:00 UTC</t>
  </si>
  <si>
    <t>2022-02-18 17:01:23 UTC</t>
  </si>
  <si>
    <t>2022-02-18 16:45:24 UTC</t>
  </si>
  <si>
    <t>2022-02-18 16:08:18 UTC</t>
  </si>
  <si>
    <t>2022-02-18 15:30:52 UTC</t>
  </si>
  <si>
    <t>2022-02-18 14:20:24 UTC</t>
  </si>
  <si>
    <t>2022-02-18 13:06:43 UTC</t>
  </si>
  <si>
    <t>2022-02-18 11:57:46 UTC</t>
  </si>
  <si>
    <t>2022-02-18 11:31:31 UTC</t>
  </si>
  <si>
    <t>2022-02-18 11:00:20 UTC</t>
  </si>
  <si>
    <t>2022-02-18 10:34:06 UTC</t>
  </si>
  <si>
    <t>2022-02-18 10:24:30 UTC</t>
  </si>
  <si>
    <t>2022-02-18 10:08:13 UTC</t>
  </si>
  <si>
    <t>2022-02-18 09:51:21 UTC</t>
  </si>
  <si>
    <t>2022-02-18 09:29:36 UTC</t>
  </si>
  <si>
    <t>2022-02-18 09:21:16 UTC</t>
  </si>
  <si>
    <t>2022-02-18 09:14:47 UTC</t>
  </si>
  <si>
    <t>2022-02-18 09:14:28 UTC</t>
  </si>
  <si>
    <t>2022-02-18 09:11:35 UTC</t>
  </si>
  <si>
    <t>2022-02-18 09:11:10 UTC</t>
  </si>
  <si>
    <t>2022-02-18 08:44:50 UTC</t>
  </si>
  <si>
    <t>2022-02-18 08:41:42 UTC</t>
  </si>
  <si>
    <t>2022-02-18 05:56:40 UTC</t>
  </si>
  <si>
    <t>2022-02-18 05:56:17 UTC</t>
  </si>
  <si>
    <t>2022-02-18 05:54:21 UTC</t>
  </si>
  <si>
    <t>2022-02-18 01:38:03 UTC</t>
  </si>
  <si>
    <t>2022-02-18 00:51:53 UTC</t>
  </si>
  <si>
    <t>2022-02-17 23:50:31 UTC</t>
  </si>
  <si>
    <t>2022-02-17 19:23:09 UTC</t>
  </si>
  <si>
    <t>2022-02-17 19:12:50 UTC</t>
  </si>
  <si>
    <t>2022-02-17 16:22:19 UTC</t>
  </si>
  <si>
    <t>2022-02-17 15:55:49 UTC</t>
  </si>
  <si>
    <t>2022-02-17 14:17:46 UTC</t>
  </si>
  <si>
    <t>2022-02-17 13:30:09 UTC</t>
  </si>
  <si>
    <t>2022-02-17 13:21:24 UTC</t>
  </si>
  <si>
    <t>2022-02-17 11:44:22 UTC</t>
  </si>
  <si>
    <t>2022-02-17 08:08:24 UTC</t>
  </si>
  <si>
    <t>2022-02-17 06:29:08 UTC</t>
  </si>
  <si>
    <t>2022-02-17 06:22:41 UTC</t>
  </si>
  <si>
    <t>2022-02-17 06:21:21 UTC</t>
  </si>
  <si>
    <t>2022-02-17 06:13:14 UTC</t>
  </si>
  <si>
    <t>2022-02-17 06:13:12 UTC</t>
  </si>
  <si>
    <t>2022-02-17 05:52:25 UTC</t>
  </si>
  <si>
    <t>2022-02-17 05:44:54 UTC</t>
  </si>
  <si>
    <t>2022-02-17 05:40:16 UTC</t>
  </si>
  <si>
    <t>2022-02-17 05:34:18 UTC</t>
  </si>
  <si>
    <t>2022-02-17 05:33:39 UTC</t>
  </si>
  <si>
    <t>2022-02-17 05:12:41 UTC</t>
  </si>
  <si>
    <t>2022-02-17 04:55:33 UTC</t>
  </si>
  <si>
    <t>2022-02-17 04:49:00 UTC</t>
  </si>
  <si>
    <t>2022-02-17 03:22:58 UTC</t>
  </si>
  <si>
    <t>2022-02-17 02:59:47 UTC</t>
  </si>
  <si>
    <t>2022-02-17 01:52:28 UTC</t>
  </si>
  <si>
    <t>2022-02-16 17:17:04 UTC</t>
  </si>
  <si>
    <t>2022-02-16 16:16:06 UTC</t>
  </si>
  <si>
    <t>2022-02-16 16:10:20 UTC</t>
  </si>
  <si>
    <t>2022-02-16 13:48:37 UTC</t>
  </si>
  <si>
    <t>2022-02-16 13:15:27 UTC</t>
  </si>
  <si>
    <t>2022-02-16 13:03:43 UTC</t>
  </si>
  <si>
    <t>2022-02-16 12:17:57 UTC</t>
  </si>
  <si>
    <t>2022-02-16 11:58:50 UTC</t>
  </si>
  <si>
    <t>2022-02-16 11:53:10 UTC</t>
  </si>
  <si>
    <t>2022-02-16 10:16:06 UTC</t>
  </si>
  <si>
    <t>2022-02-16 10:03:59 UTC</t>
  </si>
  <si>
    <t>2022-02-16 09:23:16 UTC</t>
  </si>
  <si>
    <t>2022-02-16 06:21:27 UTC</t>
  </si>
  <si>
    <t>2022-02-16 06:16:54 UTC</t>
  </si>
  <si>
    <t>2022-02-16 05:47:01 UTC</t>
  </si>
  <si>
    <t>2022-02-16 05:45:13 UTC</t>
  </si>
  <si>
    <t>2022-02-16 05:44:32 UTC</t>
  </si>
  <si>
    <t>2022-02-16 05:30:49 UTC</t>
  </si>
  <si>
    <t>2022-02-16 04:07:16 UTC</t>
  </si>
  <si>
    <t>2022-02-16 04:03:19 UTC</t>
  </si>
  <si>
    <t>2022-02-15 18:40:37 UTC</t>
  </si>
  <si>
    <t>2022-02-15 18:28:03 UTC</t>
  </si>
  <si>
    <t>2022-02-15 16:50:14 UTC</t>
  </si>
  <si>
    <t>2022-02-15 15:50:11 UTC</t>
  </si>
  <si>
    <t>2022-02-15 15:44:25 UTC</t>
  </si>
  <si>
    <t>2022-02-15 15:00:30 UTC</t>
  </si>
  <si>
    <t>2022-02-15 14:08:12 UTC</t>
  </si>
  <si>
    <t>2022-02-15 14:07:29 UTC</t>
  </si>
  <si>
    <t>2022-02-15 11:57:27 UTC</t>
  </si>
  <si>
    <t>2022-02-15 11:20:37 UTC</t>
  </si>
  <si>
    <t>2022-02-15 08:25:32 UTC</t>
  </si>
  <si>
    <t>2022-02-15 08:23:52 UTC</t>
  </si>
  <si>
    <t>2022-02-15 06:56:14 UTC</t>
  </si>
  <si>
    <t>2022-02-15 06:21:37 UTC</t>
  </si>
  <si>
    <t>2022-02-15 04:45:03 UTC</t>
  </si>
  <si>
    <t>2022-02-15 03:29:55 UTC</t>
  </si>
  <si>
    <t>2022-02-15 03:10:15 UTC</t>
  </si>
  <si>
    <t>2022-02-15 03:04:51 UTC</t>
  </si>
  <si>
    <t>2022-02-14 17:48:02 UTC</t>
  </si>
  <si>
    <t>2022-02-14 16:04:14 UTC</t>
  </si>
  <si>
    <t>2022-02-14 15:52:21 UTC</t>
  </si>
  <si>
    <t>2022-02-14 15:48:52 UTC</t>
  </si>
  <si>
    <t>2022-02-14 14:42:09 UTC</t>
  </si>
  <si>
    <t>2022-02-14 13:00:52 UTC</t>
  </si>
  <si>
    <t>2022-02-14 13:00:18 UTC</t>
  </si>
  <si>
    <t>2022-02-14 12:57:45 UTC</t>
  </si>
  <si>
    <t>2022-02-14 12:15:26 UTC</t>
  </si>
  <si>
    <t>2022-02-14 11:56:24 UTC</t>
  </si>
  <si>
    <t>2022-02-14 11:26:06 UTC</t>
  </si>
  <si>
    <t>2022-02-14 11:05:16 UTC</t>
  </si>
  <si>
    <t>2022-02-14 10:27:30 UTC</t>
  </si>
  <si>
    <t>2022-02-14 09:23:09 UTC</t>
  </si>
  <si>
    <t>2022-02-14 08:38:54 UTC</t>
  </si>
  <si>
    <t>2022-02-14 07:49:54 UTC</t>
  </si>
  <si>
    <t>2022-02-14 06:05:38 UTC</t>
  </si>
  <si>
    <t>2022-02-14 05:48:57 UTC</t>
  </si>
  <si>
    <t>2022-02-14 05:48:43 UTC</t>
  </si>
  <si>
    <t>2022-02-14 05:40:10 UTC</t>
  </si>
  <si>
    <t>2022-02-14 04:54:09 UTC</t>
  </si>
  <si>
    <t>2022-02-14 04:50:41 UTC</t>
  </si>
  <si>
    <t>2022-02-14 04:41:21 UTC</t>
  </si>
  <si>
    <t>2022-02-14 04:41:19 UTC</t>
  </si>
  <si>
    <t>2022-02-14 04:31:36 UTC</t>
  </si>
  <si>
    <t>2022-02-14 04:16:41 UTC</t>
  </si>
  <si>
    <t>2022-02-14 04:16:38 UTC</t>
  </si>
  <si>
    <t>2022-02-13 18:08:13 UTC</t>
  </si>
  <si>
    <t>2022-02-13 16:06:13 UTC</t>
  </si>
  <si>
    <t>2022-02-13 16:05:19 UTC</t>
  </si>
  <si>
    <t>2022-02-13 15:36:38 UTC</t>
  </si>
  <si>
    <t>2022-02-13 15:36:18 UTC</t>
  </si>
  <si>
    <t>2022-02-13 14:41:46 UTC</t>
  </si>
  <si>
    <t>2022-02-13 11:46:45 UTC</t>
  </si>
  <si>
    <t>2022-02-13 11:00:02 UTC</t>
  </si>
  <si>
    <t>2022-02-13 10:32:02 UTC</t>
  </si>
  <si>
    <t>2022-02-13 09:17:53 UTC</t>
  </si>
  <si>
    <t>2022-02-13 08:48:10 UTC</t>
  </si>
  <si>
    <t>2022-02-13 08:28:02 UTC</t>
  </si>
  <si>
    <t>2022-02-13 08:15:36 UTC</t>
  </si>
  <si>
    <t>2022-02-13 08:00:16 UTC</t>
  </si>
  <si>
    <t>2022-02-13 07:59:05 UTC</t>
  </si>
  <si>
    <t>2022-02-13 07:05:05 UTC</t>
  </si>
  <si>
    <t>2022-02-13 06:19:12 UTC</t>
  </si>
  <si>
    <t>2022-02-13 05:27:08 UTC</t>
  </si>
  <si>
    <t>2022-02-13 04:33:27 UTC</t>
  </si>
  <si>
    <t>2022-02-13 04:31:22 UTC</t>
  </si>
  <si>
    <t>2022-02-13 04:27:53 UTC</t>
  </si>
  <si>
    <t>2022-02-13 00:42:44 UTC</t>
  </si>
  <si>
    <t>2022-02-12 17:58:55 UTC</t>
  </si>
  <si>
    <t>2022-02-12 17:00:38 UTC</t>
  </si>
  <si>
    <t>2022-02-12 15:36:59 UTC</t>
  </si>
  <si>
    <t>2022-02-12 15:36:56 UTC</t>
  </si>
  <si>
    <t>2022-02-12 15:36:40 UTC</t>
  </si>
  <si>
    <t>2022-02-12 15:20:46 UTC</t>
  </si>
  <si>
    <t>2022-02-12 14:52:53 UTC</t>
  </si>
  <si>
    <t>2022-02-12 14:36:34 UTC</t>
  </si>
  <si>
    <t>2022-02-12 13:40:01 UTC</t>
  </si>
  <si>
    <t>2022-02-12 13:27:59 UTC</t>
  </si>
  <si>
    <t>2022-02-12 12:59:23 UTC</t>
  </si>
  <si>
    <t>2022-02-12 12:53:11 UTC</t>
  </si>
  <si>
    <t>2022-02-12 12:49:47 UTC</t>
  </si>
  <si>
    <t>2022-02-12 08:24:16 UTC</t>
  </si>
  <si>
    <t>2022-02-12 07:22:40 UTC</t>
  </si>
  <si>
    <t>2022-02-12 06:11:35 UTC</t>
  </si>
  <si>
    <t>2022-02-12 06:01:44 UTC</t>
  </si>
  <si>
    <t>2022-02-12 05:55:57 UTC</t>
  </si>
  <si>
    <t>2022-02-12 04:19:22 UTC</t>
  </si>
  <si>
    <t>2022-02-12 04:17:36 UTC</t>
  </si>
  <si>
    <t>2022-02-12 04:17:04 UTC</t>
  </si>
  <si>
    <t>2022-02-12 03:09:15 UTC</t>
  </si>
  <si>
    <t>2022-02-12 02:58:16 UTC</t>
  </si>
  <si>
    <t>2022-02-12 01:56:36 UTC</t>
  </si>
  <si>
    <t>Public Database</t>
  </si>
  <si>
    <t>https://console.cloud.google.com/marketplace/product/obfuscated-ga360-data/obfuscated-ga360-data</t>
  </si>
  <si>
    <r>
      <rPr/>
      <t xml:space="preserve">BigQuery link: </t>
    </r>
    <r>
      <rPr>
        <color rgb="FF1155CC"/>
        <u/>
      </rPr>
      <t>https://console.cloud.google.com/bigquery?sq=425332926664:8513a2b72ab74a5389fa919887b3bde3</t>
    </r>
  </si>
  <si>
    <t>1. Identify how many users came via a certain referrer url.</t>
  </si>
  <si>
    <t>SELECT</t>
  </si>
  <si>
    <t>trafficSource.referralPath, COUNT(visitId)</t>
  </si>
  <si>
    <t>FROM `bigquery-public-data.google_analytics_sample.ga_sessions_20170801`</t>
  </si>
  <si>
    <t>GROUP BY trafficSource.referralPath;</t>
  </si>
  <si>
    <t>2. Query to convert datatype of date column from integer to date type.</t>
  </si>
  <si>
    <t>PARSE_DATE('%Y%m%d', date) AS DATE</t>
  </si>
  <si>
    <t>FROM</t>
  </si>
  <si>
    <t>`bigquery-public-data.google_analytics_sample.ga_sessions_20170801` LIMIT 1000;</t>
  </si>
  <si>
    <t>3. Convert the visitStartTime property to IST</t>
  </si>
  <si>
    <t>utc_timestamp, DATETIME(utc_timestamp, 'Asia/Kolkata') AS ist_timestamp</t>
  </si>
  <si>
    <t>FROM (SELECT</t>
  </si>
  <si>
    <t>TIMESTAMP_SECONDS(visitStartTime) AS utc_timestamp</t>
  </si>
  <si>
    <t>`bigquery-public-data.google_analytics_sample.ga_sessions_20170801` LIMIT 1000)</t>
  </si>
  <si>
    <t>Input List A</t>
  </si>
  <si>
    <t>Input List B</t>
  </si>
  <si>
    <t>Output</t>
  </si>
  <si>
    <t>aso, cro, app</t>
  </si>
  <si>
    <t>app, data, insta</t>
  </si>
  <si>
    <t>aso, cro, whatsapp</t>
  </si>
  <si>
    <t>whatsapp, multimedia, whatsapp app</t>
  </si>
  <si>
    <t>aso,cro,whatsapp</t>
  </si>
  <si>
    <t>whatsapp, multimedia, peter, sam</t>
  </si>
  <si>
    <t>insta, delta, summation</t>
  </si>
  <si>
    <t>aso, whatsapp</t>
  </si>
  <si>
    <t>1. User inputs two comma separated lists - list A and list B.</t>
  </si>
  <si>
    <t>2. We take an element from the list A - and match it with the entire range.</t>
  </si>
  <si>
    <t>3. Whichever cell from list B has the highest match, will be return against the values of List A.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</si>
</sst>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 H:mm:ss"/>
  </numFmts>
  <fonts count="30">
    <font>
      <sz val="10.0"/>
      <color rgb="FF000000"/>
      <name val="Arial"/>
      <scheme val="minor"/>
    </font>
    <font>
      <color rgb="FFFF0000"/>
      <name val="Arial"/>
      <scheme val="minor"/>
    </font>
    <font>
      <b/>
      <color rgb="FFFF0000"/>
      <name val="Arial"/>
      <scheme val="minor"/>
    </font>
    <font>
      <u/>
      <color rgb="FF0000FF"/>
    </font>
    <font>
      <color theme="1"/>
      <name val="Arial"/>
      <scheme val="minor"/>
    </font>
    <font>
      <b/>
      <sz val="12.0"/>
      <color rgb="FF0000FF"/>
      <name val="&quot;Google Sans Mono&quot;"/>
    </font>
    <font>
      <b/>
      <color theme="1"/>
      <name val="Arial"/>
      <scheme val="minor"/>
    </font>
    <font>
      <b/>
      <sz val="12.0"/>
      <color rgb="FFFF00FF"/>
      <name val="Arial"/>
      <scheme val="minor"/>
    </font>
    <font>
      <b/>
      <color rgb="FF351C75"/>
      <name val="Arial"/>
      <scheme val="minor"/>
    </font>
    <font>
      <b/>
      <sz val="12.0"/>
      <color rgb="FF674EA7"/>
      <name val="Arial"/>
      <scheme val="minor"/>
    </font>
    <font>
      <b/>
      <sz val="12.0"/>
      <color rgb="FF9900FF"/>
      <name val="Arial"/>
      <scheme val="minor"/>
    </font>
    <font>
      <b/>
      <sz val="12.0"/>
      <color rgb="FF9900FF"/>
      <name val="&quot;Google Sans Mono&quot;"/>
    </font>
    <font>
      <u/>
      <color rgb="FF0000FF"/>
    </font>
    <font>
      <u/>
      <color rgb="FF0000FF"/>
    </font>
    <font>
      <b/>
      <sz val="11.0"/>
      <color rgb="FFCC0000"/>
      <name val="Arial"/>
      <scheme val="minor"/>
    </font>
    <font>
      <b/>
      <sz val="9.0"/>
      <color rgb="FF3367D6"/>
      <name val="&quot;Roboto Mono&quot;"/>
    </font>
    <font>
      <b/>
      <sz val="9.0"/>
      <color rgb="FF37474F"/>
      <name val="&quot;Roboto Mono&quot;"/>
    </font>
    <font>
      <b/>
      <sz val="9.0"/>
      <color rgb="FF0D904F"/>
      <name val="&quot;Roboto Mono&quot;"/>
    </font>
    <font>
      <b/>
      <sz val="9.0"/>
      <color rgb="FF3A474E"/>
      <name val="&quot;Roboto Mono&quot;"/>
    </font>
    <font>
      <b/>
      <sz val="9.0"/>
      <color rgb="FFFFFFFF"/>
      <name val="&quot;Roboto Mono&quot;"/>
    </font>
    <font>
      <b/>
      <sz val="9.0"/>
      <color rgb="FF000000"/>
      <name val="&quot;Roboto Mono&quot;"/>
    </font>
    <font>
      <b/>
      <sz val="9.0"/>
      <color rgb="FF38761D"/>
      <name val="&quot;Roboto Mono&quot;"/>
    </font>
    <font>
      <b/>
      <sz val="11.0"/>
      <color rgb="FFFF0000"/>
      <name val="Arial"/>
      <scheme val="minor"/>
    </font>
    <font>
      <b/>
      <sz val="9.0"/>
      <color rgb="FF0B5394"/>
      <name val="&quot;Roboto Mono&quot;"/>
    </font>
    <font>
      <b/>
      <color rgb="FF000000"/>
      <name val="Arial"/>
      <scheme val="minor"/>
    </font>
    <font>
      <b/>
      <sz val="9.0"/>
      <color rgb="FF000000"/>
      <name val="Arial"/>
      <scheme val="minor"/>
    </font>
    <font>
      <b/>
      <color rgb="FF38761D"/>
      <name val="Arial"/>
      <scheme val="minor"/>
    </font>
    <font>
      <b/>
      <color theme="1"/>
      <name val="Arial"/>
    </font>
    <font>
      <b/>
      <sz val="11.0"/>
      <color theme="1"/>
      <name val="Arial"/>
      <scheme val="minor"/>
    </font>
    <font>
      <color theme="1"/>
      <name val="Arial"/>
    </font>
  </fonts>
  <fills count="11">
    <fill>
      <patternFill patternType="none"/>
    </fill>
    <fill>
      <patternFill patternType="lightGray"/>
    </fill>
    <fill>
      <patternFill patternType="solid">
        <fgColor rgb="FF6FA8DC"/>
        <bgColor rgb="FF6FA8DC"/>
      </patternFill>
    </fill>
    <fill>
      <patternFill patternType="solid">
        <fgColor rgb="FFF1C232"/>
        <bgColor rgb="FFF1C232"/>
      </patternFill>
    </fill>
    <fill>
      <patternFill patternType="solid">
        <fgColor rgb="FFFFFF00"/>
        <bgColor rgb="FFFFFF00"/>
      </patternFill>
    </fill>
    <fill>
      <patternFill patternType="solid">
        <fgColor rgb="FF9FC5E8"/>
        <bgColor rgb="FF9FC5E8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  <fill>
      <patternFill patternType="solid">
        <fgColor rgb="FFFF9900"/>
        <bgColor rgb="FFFF9900"/>
      </patternFill>
    </fill>
    <fill>
      <patternFill patternType="solid">
        <fgColor rgb="FF00FF00"/>
        <bgColor rgb="FF00FF00"/>
      </patternFill>
    </fill>
    <fill>
      <patternFill patternType="solid">
        <fgColor rgb="FF3D85C6"/>
        <bgColor rgb="FF3D85C6"/>
      </patternFill>
    </fill>
  </fills>
  <borders count="1">
    <border/>
  </borders>
  <cellStyleXfs count="1">
    <xf borderId="0" fillId="0" fontId="0" numFmtId="0" applyAlignment="1" applyFont="1"/>
  </cellStyleXfs>
  <cellXfs count="55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/>
    </xf>
    <xf borderId="0" fillId="2" fontId="2" numFmtId="0" xfId="0" applyAlignment="1" applyFont="1">
      <alignment readingOrder="0"/>
    </xf>
    <xf borderId="0" fillId="3" fontId="3" numFmtId="0" xfId="0" applyAlignment="1" applyFill="1" applyFont="1">
      <alignment readingOrder="0"/>
    </xf>
    <xf borderId="0" fillId="3" fontId="4" numFmtId="0" xfId="0" applyAlignment="1" applyFont="1">
      <alignment readingOrder="0"/>
    </xf>
    <xf borderId="0" fillId="4" fontId="5" numFmtId="0" xfId="0" applyFill="1" applyFont="1"/>
    <xf borderId="0" fillId="4" fontId="4" numFmtId="0" xfId="0" applyAlignment="1" applyFont="1">
      <alignment readingOrder="0"/>
    </xf>
    <xf borderId="0" fillId="0" fontId="4" numFmtId="0" xfId="0" applyAlignment="1" applyFont="1">
      <alignment readingOrder="0"/>
    </xf>
    <xf borderId="0" fillId="5" fontId="6" numFmtId="0" xfId="0" applyAlignment="1" applyFill="1" applyFont="1">
      <alignment readingOrder="0"/>
    </xf>
    <xf borderId="0" fillId="5" fontId="4" numFmtId="0" xfId="0" applyAlignment="1" applyFont="1">
      <alignment readingOrder="0"/>
    </xf>
    <xf borderId="0" fillId="6" fontId="7" numFmtId="0" xfId="0" applyAlignment="1" applyFill="1" applyFont="1">
      <alignment readingOrder="0"/>
    </xf>
    <xf borderId="0" fillId="6" fontId="8" numFmtId="0" xfId="0" applyAlignment="1" applyFont="1">
      <alignment readingOrder="0"/>
    </xf>
    <xf borderId="0" fillId="4" fontId="4" numFmtId="164" xfId="0" applyAlignment="1" applyFont="1" applyNumberFormat="1">
      <alignment horizontal="left"/>
    </xf>
    <xf borderId="0" fillId="4" fontId="4" numFmtId="0" xfId="0" applyFont="1"/>
    <xf borderId="0" fillId="4" fontId="4" numFmtId="164" xfId="0" applyAlignment="1" applyFont="1" applyNumberFormat="1">
      <alignment horizontal="left" readingOrder="0"/>
    </xf>
    <xf borderId="0" fillId="0" fontId="4" numFmtId="0" xfId="0" applyFont="1"/>
    <xf borderId="0" fillId="3" fontId="4" numFmtId="0" xfId="0" applyFont="1"/>
    <xf borderId="0" fillId="0" fontId="7" numFmtId="0" xfId="0" applyAlignment="1" applyFont="1">
      <alignment readingOrder="0"/>
    </xf>
    <xf borderId="0" fillId="0" fontId="7" numFmtId="0" xfId="0" applyFont="1"/>
    <xf borderId="0" fillId="0" fontId="9" numFmtId="0" xfId="0" applyFont="1"/>
    <xf borderId="0" fillId="6" fontId="10" numFmtId="0" xfId="0" applyAlignment="1" applyFont="1">
      <alignment readingOrder="0"/>
    </xf>
    <xf borderId="0" fillId="6" fontId="11" numFmtId="0" xfId="0" applyAlignment="1" applyFont="1">
      <alignment horizontal="left"/>
    </xf>
    <xf borderId="0" fillId="0" fontId="10" numFmtId="0" xfId="0" applyAlignment="1" applyFont="1">
      <alignment readingOrder="0"/>
    </xf>
    <xf borderId="0" fillId="0" fontId="4" numFmtId="10" xfId="0" applyFont="1" applyNumberFormat="1"/>
    <xf borderId="0" fillId="7" fontId="4" numFmtId="0" xfId="0" applyFill="1" applyFont="1"/>
    <xf borderId="0" fillId="7" fontId="4" numFmtId="0" xfId="0" applyAlignment="1" applyFont="1">
      <alignment readingOrder="0"/>
    </xf>
    <xf borderId="0" fillId="7" fontId="4" numFmtId="164" xfId="0" applyFont="1" applyNumberFormat="1"/>
    <xf borderId="0" fillId="0" fontId="12" numFmtId="0" xfId="0" applyAlignment="1" applyFont="1">
      <alignment readingOrder="0"/>
    </xf>
    <xf borderId="0" fillId="0" fontId="13" numFmtId="0" xfId="0" applyAlignment="1" applyFont="1">
      <alignment readingOrder="0"/>
    </xf>
    <xf borderId="0" fillId="4" fontId="14" numFmtId="0" xfId="0" applyAlignment="1" applyFont="1">
      <alignment horizontal="left" readingOrder="0"/>
    </xf>
    <xf borderId="0" fillId="4" fontId="14" numFmtId="0" xfId="0" applyFont="1"/>
    <xf borderId="0" fillId="5" fontId="15" numFmtId="0" xfId="0" applyAlignment="1" applyFont="1">
      <alignment readingOrder="0"/>
    </xf>
    <xf borderId="0" fillId="5" fontId="16" numFmtId="0" xfId="0" applyAlignment="1" applyFont="1">
      <alignment readingOrder="0"/>
    </xf>
    <xf borderId="0" fillId="5" fontId="17" numFmtId="0" xfId="0" applyAlignment="1" applyFont="1">
      <alignment readingOrder="0"/>
    </xf>
    <xf borderId="0" fillId="5" fontId="18" numFmtId="0" xfId="0" applyAlignment="1" applyFont="1">
      <alignment readingOrder="0"/>
    </xf>
    <xf borderId="0" fillId="6" fontId="14" numFmtId="0" xfId="0" applyAlignment="1" applyFont="1">
      <alignment horizontal="left" readingOrder="0"/>
    </xf>
    <xf borderId="0" fillId="6" fontId="14" numFmtId="0" xfId="0" applyFont="1"/>
    <xf borderId="0" fillId="5" fontId="19" numFmtId="0" xfId="0" applyAlignment="1" applyFont="1">
      <alignment readingOrder="0"/>
    </xf>
    <xf borderId="0" fillId="5" fontId="20" numFmtId="0" xfId="0" applyAlignment="1" applyFont="1">
      <alignment readingOrder="0"/>
    </xf>
    <xf borderId="0" fillId="5" fontId="21" numFmtId="0" xfId="0" applyAlignment="1" applyFont="1">
      <alignment readingOrder="0"/>
    </xf>
    <xf borderId="0" fillId="4" fontId="22" numFmtId="0" xfId="0" applyAlignment="1" applyFont="1">
      <alignment readingOrder="0"/>
    </xf>
    <xf borderId="0" fillId="4" fontId="22" numFmtId="0" xfId="0" applyFont="1"/>
    <xf borderId="0" fillId="5" fontId="23" numFmtId="0" xfId="0" applyAlignment="1" applyFont="1">
      <alignment readingOrder="0"/>
    </xf>
    <xf borderId="0" fillId="5" fontId="24" numFmtId="0" xfId="0" applyFont="1"/>
    <xf borderId="0" fillId="5" fontId="25" numFmtId="0" xfId="0" applyFont="1"/>
    <xf borderId="0" fillId="5" fontId="26" numFmtId="0" xfId="0" applyFont="1"/>
    <xf borderId="0" fillId="8" fontId="27" numFmtId="0" xfId="0" applyAlignment="1" applyFill="1" applyFont="1">
      <alignment readingOrder="0" vertical="bottom"/>
    </xf>
    <xf borderId="0" fillId="4" fontId="28" numFmtId="0" xfId="0" applyAlignment="1" applyFont="1">
      <alignment readingOrder="0"/>
    </xf>
    <xf borderId="0" fillId="9" fontId="27" numFmtId="0" xfId="0" applyAlignment="1" applyFill="1" applyFont="1">
      <alignment vertical="bottom"/>
    </xf>
    <xf borderId="0" fillId="0" fontId="29" numFmtId="0" xfId="0" applyAlignment="1" applyFont="1">
      <alignment vertical="bottom"/>
    </xf>
    <xf borderId="0" fillId="10" fontId="0" numFmtId="0" xfId="0" applyAlignment="1" applyFill="1" applyFont="1">
      <alignment horizontal="left"/>
    </xf>
    <xf borderId="0" fillId="0" fontId="29" numFmtId="0" xfId="0" applyAlignment="1" applyFont="1">
      <alignment readingOrder="0" vertical="bottom"/>
    </xf>
    <xf borderId="0" fillId="0" fontId="29" numFmtId="0" xfId="0" applyAlignment="1" applyFont="1">
      <alignment readingOrder="0" vertical="bottom"/>
    </xf>
    <xf borderId="0" fillId="6" fontId="0" numFmtId="0" xfId="0" applyAlignment="1" applyFont="1">
      <alignment horizontal="left"/>
    </xf>
    <xf borderId="0" fillId="0" fontId="6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pivotCacheDefinition" Target="pivotCache/pivotCacheDefinition2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pivotCacheDefinition" Target="pivotCache/pivotCacheDefinition1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COUNT of incident_id vs. Day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solution_2!$H$3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solution_2!$G$4:$G$37</c:f>
            </c:strRef>
          </c:cat>
          <c:val>
            <c:numRef>
              <c:f>solution_2!$H$4:$H$37</c:f>
              <c:numCache/>
            </c:numRef>
          </c:val>
        </c:ser>
        <c:axId val="1112556696"/>
        <c:axId val="1382581236"/>
      </c:barChart>
      <c:catAx>
        <c:axId val="1112556696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Day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82581236"/>
      </c:catAx>
      <c:valAx>
        <c:axId val="138258123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COUNT of incident_id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12556696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Percent of instance_id vs. Hour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solution_2!$H$45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solution_2!$G$46:$G$69</c:f>
            </c:strRef>
          </c:cat>
          <c:val>
            <c:numRef>
              <c:f>solution_2!$H$46:$H$69</c:f>
              <c:numCache/>
            </c:numRef>
          </c:val>
        </c:ser>
        <c:axId val="1279826140"/>
        <c:axId val="1455235963"/>
      </c:barChart>
      <c:catAx>
        <c:axId val="1279826140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Hour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55235963"/>
      </c:catAx>
      <c:valAx>
        <c:axId val="145523596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 of instance_id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79826140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FFF"/>
    </a:solidFill>
  </c:spPr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95250</xdr:colOff>
      <xdr:row>2</xdr:row>
      <xdr:rowOff>0</xdr:rowOff>
    </xdr:from>
    <xdr:ext cx="2933700" cy="3543300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8</xdr:col>
      <xdr:colOff>28575</xdr:colOff>
      <xdr:row>45</xdr:row>
      <xdr:rowOff>9525</xdr:rowOff>
    </xdr:from>
    <xdr:ext cx="29337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0</xdr:colOff>
      <xdr:row>4</xdr:row>
      <xdr:rowOff>0</xdr:rowOff>
    </xdr:from>
    <xdr:ext cx="13011150" cy="731520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D9371" sheet="solution_2"/>
  </cacheSource>
  <cacheFields>
    <cacheField name="date_time" numFmtId="0">
      <sharedItems>
        <s v="2022-04-12 07:09:10 UTC"/>
        <s v="2022-04-12 07:07:59 UTC"/>
        <s v="2022-04-12 07:07:50 UTC"/>
        <s v="2022-04-12 07:04:32 UTC"/>
        <s v="2022-04-12 07:01:56 UTC"/>
        <s v="2022-04-12 07:01:53 UTC"/>
        <s v="2022-04-12 07:01:50 UTC"/>
        <s v="2022-04-12 07:01:22 UTC"/>
        <s v="2022-04-12 07:01:17 UTC"/>
        <s v="2022-04-12 07:01:00 UTC"/>
        <s v="2022-04-12 07:00:27 UTC"/>
        <s v="2022-04-12 06:59:15 UTC"/>
        <s v="2022-04-12 06:58:53 UTC"/>
        <s v="2022-04-12 06:58:47 UTC"/>
        <s v="2022-04-12 06:58:36 UTC"/>
        <s v="2022-04-12 06:58:25 UTC"/>
        <s v="2022-04-12 06:57:32 UTC"/>
        <s v="2022-04-12 06:57:30 UTC"/>
        <s v="2022-04-12 06:56:49 UTC"/>
        <s v="2022-04-12 06:56:43 UTC"/>
        <s v="2022-04-12 06:56:39 UTC"/>
        <s v="2022-04-12 06:56:37 UTC"/>
        <s v="2022-04-12 06:56:33 UTC"/>
        <s v="2022-04-12 06:54:49 UTC"/>
        <s v="2022-04-12 06:52:53 UTC"/>
        <s v="2022-04-12 06:52:38 UTC"/>
        <s v="2022-04-12 06:51:33 UTC"/>
        <s v="2022-04-12 06:51:26 UTC"/>
        <s v="2022-04-12 06:50:27 UTC"/>
        <s v="2022-04-12 06:47:18 UTC"/>
        <s v="2022-04-12 06:46:58 UTC"/>
        <s v="2022-04-12 06:45:38 UTC"/>
        <s v="2022-04-12 06:44:30 UTC"/>
        <s v="2022-04-12 06:37:59 UTC"/>
        <s v="2022-04-12 06:36:53 UTC"/>
        <s v="2022-04-12 06:35:19 UTC"/>
        <s v="2022-04-12 06:32:19 UTC"/>
        <s v="2022-04-12 06:31:56 UTC"/>
        <s v="2022-04-12 06:31:34 UTC"/>
        <s v="2022-04-12 06:26:41 UTC"/>
        <s v="2022-04-12 06:25:34 UTC"/>
        <s v="2022-04-12 06:25:15 UTC"/>
        <s v="2022-04-12 06:25:01 UTC"/>
        <s v="2022-04-12 06:22:34 UTC"/>
        <s v="2022-04-12 06:22:30 UTC"/>
        <s v="2022-04-12 06:22:27 UTC"/>
        <s v="2022-04-12 06:20:53 UTC"/>
        <s v="2022-04-12 06:20:42 UTC"/>
        <s v="2022-04-12 06:20:36 UTC"/>
        <s v="2022-04-12 06:20:22 UTC"/>
        <s v="2022-04-12 06:20:17 UTC"/>
        <s v="2022-04-12 06:18:51 UTC"/>
        <s v="2022-04-12 06:18:23 UTC"/>
        <s v="2022-04-12 06:18:13 UTC"/>
        <s v="2022-04-12 06:17:56 UTC"/>
        <s v="2022-04-12 06:17:46 UTC"/>
        <s v="2022-04-12 06:17:07 UTC"/>
        <s v="2022-04-12 06:17:02 UTC"/>
        <s v="2022-04-12 06:16:56 UTC"/>
        <s v="2022-04-12 06:16:37 UTC"/>
        <s v="2022-04-12 06:16:33 UTC"/>
        <s v="2022-04-12 06:16:27 UTC"/>
        <s v="2022-04-12 06:16:23 UTC"/>
        <s v="2022-04-12 06:16:19 UTC"/>
        <s v="2022-04-12 06:16:10 UTC"/>
        <s v="2022-04-12 06:16:06 UTC"/>
        <s v="2022-04-12 06:16:03 UTC"/>
        <s v="2022-04-12 06:15:55 UTC"/>
        <s v="2022-04-12 06:15:21 UTC"/>
        <s v="2022-04-12 06:14:42 UTC"/>
        <s v="2022-04-12 06:13:37 UTC"/>
        <s v="2022-04-12 06:12:56 UTC"/>
        <s v="2022-04-12 06:12:13 UTC"/>
        <s v="2022-04-12 06:11:54 UTC"/>
        <s v="2022-04-12 06:11:44 UTC"/>
        <s v="2022-04-12 06:10:56 UTC"/>
        <s v="2022-04-12 06:10:06 UTC"/>
        <s v="2022-04-12 06:09:53 UTC"/>
        <s v="2022-04-12 06:09:47 UTC"/>
        <s v="2022-04-12 06:09:40 UTC"/>
        <s v="2022-04-12 06:08:23 UTC"/>
        <s v="2022-04-12 06:06:51 UTC"/>
        <s v="2022-04-12 06:04:35 UTC"/>
        <s v="2022-04-12 06:04:27 UTC"/>
        <s v="2022-04-12 06:04:22 UTC"/>
        <s v="2022-04-12 06:04:15 UTC"/>
        <s v="2022-04-12 06:02:11 UTC"/>
        <s v="2022-04-12 06:01:26 UTC"/>
        <s v="2022-04-12 06:01:23 UTC"/>
        <s v="2022-04-12 06:00:25 UTC"/>
        <s v="2022-04-12 06:00:21 UTC"/>
        <s v="2022-04-12 06:00:19 UTC"/>
        <s v="2022-04-12 05:58:49 UTC"/>
        <s v="2022-04-12 05:58:37 UTC"/>
        <s v="2022-04-12 05:57:45 UTC"/>
        <s v="2022-04-12 05:57:18 UTC"/>
        <s v="2022-04-12 05:57:12 UTC"/>
        <s v="2022-04-12 05:57:08 UTC"/>
        <s v="2022-04-12 05:57:05 UTC"/>
        <s v="2022-04-12 05:57:01 UTC"/>
        <s v="2022-04-12 05:56:58 UTC"/>
        <s v="2022-04-12 05:56:55 UTC"/>
        <s v="2022-04-12 05:56:50 UTC"/>
        <s v="2022-04-12 05:56:04 UTC"/>
        <s v="2022-04-12 05:56:03 UTC"/>
        <s v="2022-04-12 05:55:57 UTC"/>
        <s v="2022-04-12 05:54:55 UTC"/>
        <s v="2022-04-12 05:54:38 UTC"/>
        <s v="2022-04-12 05:53:36 UTC"/>
        <s v="2022-04-12 05:52:58 UTC"/>
        <s v="2022-04-12 05:52:01 UTC"/>
        <s v="2022-04-12 05:48:12 UTC"/>
        <s v="2022-04-12 05:47:48 UTC"/>
        <s v="2022-04-12 05:46:53 UTC"/>
        <s v="2022-04-12 05:46:39 UTC"/>
        <s v="2022-04-12 05:46:27 UTC"/>
        <s v="2022-04-12 05:45:49 UTC"/>
        <s v="2022-04-12 05:43:32 UTC"/>
        <s v="2022-04-12 05:43:14 UTC"/>
        <s v="2022-04-12 05:40:40 UTC"/>
        <s v="2022-04-12 05:39:58 UTC"/>
        <s v="2022-04-12 05:39:34 UTC"/>
        <s v="2022-04-12 05:39:12 UTC"/>
        <s v="2022-04-12 05:37:01 UTC"/>
        <s v="2022-04-12 05:35:41 UTC"/>
        <s v="2022-04-12 05:33:34 UTC"/>
        <s v="2022-04-12 05:33:31 UTC"/>
        <s v="2022-04-12 05:33:27 UTC"/>
        <s v="2022-04-12 05:33:16 UTC"/>
        <s v="2022-04-12 05:33:13 UTC"/>
        <s v="2022-04-12 05:33:01 UTC"/>
        <s v="2022-04-12 05:32:58 UTC"/>
        <s v="2022-04-12 05:32:56 UTC"/>
        <s v="2022-04-12 05:32:36 UTC"/>
        <s v="2022-04-12 05:32:30 UTC"/>
        <s v="2022-04-12 05:32:11 UTC"/>
        <s v="2022-04-12 05:30:38 UTC"/>
        <s v="2022-04-12 05:30:37 UTC"/>
        <s v="2022-04-12 05:30:33 UTC"/>
        <s v="2022-04-12 05:30:04 UTC"/>
        <s v="2022-04-12 05:30:01 UTC"/>
        <s v="2022-04-12 05:29:56 UTC"/>
        <s v="2022-04-12 05:29:54 UTC"/>
        <s v="2022-04-12 05:28:30 UTC"/>
        <s v="2022-04-12 05:28:27 UTC"/>
        <s v="2022-04-12 05:28:24 UTC"/>
        <s v="2022-04-12 05:28:19 UTC"/>
        <s v="2022-04-12 05:28:17 UTC"/>
        <s v="2022-04-12 05:28:03 UTC"/>
        <s v="2022-04-12 05:27:43 UTC"/>
        <s v="2022-04-12 05:27:22 UTC"/>
        <s v="2022-04-12 05:27:19 UTC"/>
        <s v="2022-04-12 05:27:13 UTC"/>
        <s v="2022-04-12 05:27:10 UTC"/>
        <s v="2022-04-12 05:27:04 UTC"/>
        <s v="2022-04-12 05:27:01 UTC"/>
        <s v="2022-04-12 05:26:57 UTC"/>
        <s v="2022-04-12 05:26:43 UTC"/>
        <s v="2022-04-12 05:26:40 UTC"/>
        <s v="2022-04-12 05:26:33 UTC"/>
        <s v="2022-04-12 05:23:58 UTC"/>
        <s v="2022-04-12 05:22:25 UTC"/>
        <s v="2022-04-12 05:20:12 UTC"/>
        <s v="2022-04-12 05:19:33 UTC"/>
        <s v="2022-04-12 05:19:27 UTC"/>
        <s v="2022-04-12 05:19:24 UTC"/>
        <s v="2022-04-12 05:18:58 UTC"/>
        <s v="2022-04-12 05:17:33 UTC"/>
        <s v="2022-04-12 05:17:20 UTC"/>
        <s v="2022-04-12 05:17:16 UTC"/>
        <s v="2022-04-12 05:12:08 UTC"/>
        <s v="2022-04-12 05:09:25 UTC"/>
        <s v="2022-04-12 05:08:41 UTC"/>
        <s v="2022-04-12 05:06:16 UTC"/>
        <s v="2022-04-12 05:02:31 UTC"/>
        <s v="2022-04-12 05:02:23 UTC"/>
        <s v="2022-04-12 05:02:17 UTC"/>
        <s v="2022-04-12 05:00:19 UTC"/>
        <s v="2022-04-12 05:00:12 UTC"/>
        <s v="2022-04-12 04:59:55 UTC"/>
        <s v="2022-04-12 04:59:02 UTC"/>
        <s v="2022-04-12 04:55:37 UTC"/>
        <s v="2022-04-12 04:48:57 UTC"/>
        <s v="2022-04-12 04:48:22 UTC"/>
        <s v="2022-04-12 04:47:36 UTC"/>
        <s v="2022-04-12 04:47:35 UTC"/>
        <s v="2022-04-12 04:47:31 UTC"/>
        <s v="2022-04-12 04:47:28 UTC"/>
        <s v="2022-04-12 04:47:25 UTC"/>
        <s v="2022-04-12 04:47:22 UTC"/>
        <s v="2022-04-12 04:46:56 UTC"/>
        <s v="2022-04-12 04:46:18 UTC"/>
        <s v="2022-04-12 04:43:21 UTC"/>
        <s v="2022-04-12 04:43:14 UTC"/>
        <s v="2022-04-12 04:43:05 UTC"/>
        <s v="2022-04-12 04:40:28 UTC"/>
        <s v="2022-04-12 04:38:52 UTC"/>
        <s v="2022-04-12 04:38:03 UTC"/>
        <s v="2022-04-12 04:34:47 UTC"/>
        <s v="2022-04-12 04:33:21 UTC"/>
        <s v="2022-04-12 04:33:09 UTC"/>
        <s v="2022-04-12 04:32:37 UTC"/>
        <s v="2022-04-12 04:32:32 UTC"/>
        <s v="2022-04-12 04:30:34 UTC"/>
        <s v="2022-04-12 04:30:08 UTC"/>
        <s v="2022-04-12 04:29:12 UTC"/>
        <s v="2022-04-12 04:25:44 UTC"/>
        <s v="2022-04-12 04:24:40 UTC"/>
        <s v="2022-04-12 04:20:52 UTC"/>
        <s v="2022-04-12 04:17:35 UTC"/>
        <s v="2022-04-12 04:13:58 UTC"/>
        <s v="2022-04-12 04:13:50 UTC"/>
        <s v="2022-04-12 04:13:45 UTC"/>
        <s v="2022-04-12 04:12:46 UTC"/>
        <s v="2022-04-12 04:12:28 UTC"/>
        <s v="2022-04-12 04:12:26 UTC"/>
        <s v="2022-04-12 04:12:23 UTC"/>
        <s v="2022-04-12 04:12:19 UTC"/>
        <s v="2022-04-12 04:10:58 UTC"/>
        <s v="2022-04-12 04:09:27 UTC"/>
        <s v="2022-04-12 04:09:17 UTC"/>
        <s v="2022-04-12 04:08:26 UTC"/>
        <s v="2022-04-12 04:08:24 UTC"/>
        <s v="2022-04-12 04:08:22 UTC"/>
        <s v="2022-04-12 04:07:32 UTC"/>
        <s v="2022-04-12 04:06:28 UTC"/>
        <s v="2022-04-12 04:06:12 UTC"/>
        <s v="2022-04-12 04:06:06 UTC"/>
        <s v="2022-04-12 04:03:10 UTC"/>
        <s v="2022-04-12 03:59:45 UTC"/>
        <s v="2022-04-12 03:59:42 UTC"/>
        <s v="2022-04-12 03:58:39 UTC"/>
        <s v="2022-04-12 03:57:42 UTC"/>
        <s v="2022-04-12 03:55:45 UTC"/>
        <s v="2022-04-12 03:55:42 UTC"/>
        <s v="2022-04-12 03:55:11 UTC"/>
        <s v="2022-04-12 03:54:30 UTC"/>
        <s v="2022-04-12 03:54:27 UTC"/>
        <s v="2022-04-12 03:54:06 UTC"/>
        <s v="2022-04-12 03:53:58 UTC"/>
        <s v="2022-04-12 03:53:55 UTC"/>
        <s v="2022-04-12 03:52:29 UTC"/>
        <s v="2022-04-12 03:52:19 UTC"/>
        <s v="2022-04-12 03:51:30 UTC"/>
        <s v="2022-04-12 03:50:34 UTC"/>
        <s v="2022-04-12 03:50:05 UTC"/>
        <s v="2022-04-12 03:49:54 UTC"/>
        <s v="2022-04-12 03:49:25 UTC"/>
        <s v="2022-04-12 03:49:17 UTC"/>
        <s v="2022-04-12 03:48:55 UTC"/>
        <s v="2022-04-12 03:48:28 UTC"/>
        <s v="2022-04-12 03:48:19 UTC"/>
        <s v="2022-04-12 03:48:17 UTC"/>
        <s v="2022-04-12 03:48:15 UTC"/>
        <s v="2022-04-12 03:48:11 UTC"/>
        <s v="2022-04-12 03:48:10 UTC"/>
        <s v="2022-04-12 03:48:09 UTC"/>
        <s v="2022-04-12 03:48:05 UTC"/>
        <s v="2022-04-12 03:47:47 UTC"/>
        <s v="2022-04-12 03:47:45 UTC"/>
        <s v="2022-04-12 03:47:28 UTC"/>
        <s v="2022-04-12 03:47:26 UTC"/>
        <s v="2022-04-12 03:47:24 UTC"/>
        <s v="2022-04-12 03:47:23 UTC"/>
        <s v="2022-04-12 03:47:21 UTC"/>
        <s v="2022-04-12 03:47:14 UTC"/>
        <s v="2022-04-12 03:47:12 UTC"/>
        <s v="2022-04-12 03:47:10 UTC"/>
        <s v="2022-04-12 03:47:09 UTC"/>
        <s v="2022-04-12 03:47:06 UTC"/>
        <s v="2022-04-12 03:47:04 UTC"/>
        <s v="2022-04-12 03:47:03 UTC"/>
        <s v="2022-04-12 03:47:00 UTC"/>
        <s v="2022-04-12 03:46:55 UTC"/>
        <s v="2022-04-12 03:42:35 UTC"/>
        <s v="2022-04-12 03:42:29 UTC"/>
        <s v="2022-04-12 03:42:28 UTC"/>
        <s v="2022-04-12 03:42:16 UTC"/>
        <s v="2022-04-12 03:42:01 UTC"/>
        <s v="2022-04-12 03:41:57 UTC"/>
        <s v="2022-04-12 03:41:54 UTC"/>
        <s v="2022-04-12 03:41:50 UTC"/>
        <s v="2022-04-12 03:41:33 UTC"/>
        <s v="2022-04-12 03:40:45 UTC"/>
        <s v="2022-04-12 03:39:39 UTC"/>
        <s v="2022-04-12 03:39:03 UTC"/>
        <s v="2022-04-12 03:39:00 UTC"/>
        <s v="2022-04-12 03:38:54 UTC"/>
        <s v="2022-04-12 03:38:53 UTC"/>
        <s v="2022-04-12 03:38:48 UTC"/>
        <s v="2022-04-12 03:38:17 UTC"/>
        <s v="2022-04-12 03:37:54 UTC"/>
        <s v="2022-04-12 03:37:17 UTC"/>
        <s v="2022-04-12 03:37:01 UTC"/>
        <s v="2022-04-12 03:35:45 UTC"/>
        <s v="2022-04-12 03:35:42 UTC"/>
        <s v="2022-04-12 03:35:30 UTC"/>
        <s v="2022-04-12 03:35:19 UTC"/>
        <s v="2022-04-12 03:35:18 UTC"/>
        <s v="2022-04-12 03:35:17 UTC"/>
        <s v="2022-04-12 03:35:16 UTC"/>
        <s v="2022-04-12 03:35:15 UTC"/>
        <s v="2022-04-12 03:35:14 UTC"/>
        <s v="2022-04-12 03:35:13 UTC"/>
        <s v="2022-04-12 03:35:12 UTC"/>
        <s v="2022-04-12 03:35:11 UTC"/>
        <s v="2022-04-12 03:35:10 UTC"/>
        <s v="2022-04-12 03:35:09 UTC"/>
        <s v="2022-04-12 03:35:08 UTC"/>
        <s v="2022-04-12 03:35:07 UTC"/>
        <s v="2022-04-12 03:35:06 UTC"/>
        <s v="2022-04-12 03:35:05 UTC"/>
        <s v="2022-04-12 03:35:04 UTC"/>
        <s v="2022-04-12 03:35:03 UTC"/>
        <s v="2022-04-12 03:35:02 UTC"/>
        <s v="2022-04-12 03:35:01 UTC"/>
        <s v="2022-04-12 03:35:00 UTC"/>
        <s v="2022-04-12 03:34:59 UTC"/>
        <s v="2022-04-12 03:34:58 UTC"/>
        <s v="2022-04-12 03:34:57 UTC"/>
        <s v="2022-04-12 03:34:56 UTC"/>
        <s v="2022-04-12 03:34:55 UTC"/>
        <s v="2022-04-12 03:34:54 UTC"/>
        <s v="2022-04-12 03:34:53 UTC"/>
        <s v="2022-04-12 03:34:52 UTC"/>
        <s v="2022-04-12 03:34:51 UTC"/>
        <s v="2022-04-12 03:34:50 UTC"/>
        <s v="2022-04-12 03:34:49 UTC"/>
        <s v="2022-04-12 03:34:48 UTC"/>
        <s v="2022-04-12 03:34:47 UTC"/>
        <s v="2022-04-12 03:34:46 UTC"/>
        <s v="2022-04-12 03:34:45 UTC"/>
        <s v="2022-04-12 03:34:44 UTC"/>
        <s v="2022-04-12 03:34:43 UTC"/>
        <s v="2022-04-12 03:34:42 UTC"/>
        <s v="2022-04-12 03:34:41 UTC"/>
        <s v="2022-04-12 03:34:40 UTC"/>
        <s v="2022-04-12 03:34:39 UTC"/>
        <s v="2022-04-12 03:34:38 UTC"/>
        <s v="2022-04-12 03:34:37 UTC"/>
        <s v="2022-04-12 03:34:36 UTC"/>
        <s v="2022-04-12 03:34:35 UTC"/>
        <s v="2022-04-12 03:34:34 UTC"/>
        <s v="2022-04-12 03:34:33 UTC"/>
        <s v="2022-04-12 03:34:32 UTC"/>
        <s v="2022-04-12 03:34:31 UTC"/>
        <s v="2022-04-12 03:34:30 UTC"/>
        <s v="2022-04-12 03:34:29 UTC"/>
        <s v="2022-04-12 03:34:28 UTC"/>
        <s v="2022-04-12 03:34:27 UTC"/>
        <s v="2022-04-12 03:34:26 UTC"/>
        <s v="2022-04-12 03:34:25 UTC"/>
        <s v="2022-04-12 03:34:24 UTC"/>
        <s v="2022-04-12 03:34:23 UTC"/>
        <s v="2022-04-12 03:34:22 UTC"/>
        <s v="2022-04-12 03:34:21 UTC"/>
        <s v="2022-04-12 03:34:20 UTC"/>
        <s v="2022-04-12 03:34:19 UTC"/>
        <s v="2022-04-12 03:34:18 UTC"/>
        <s v="2022-04-12 03:34:17 UTC"/>
        <s v="2022-04-12 03:34:16 UTC"/>
        <s v="2022-04-12 03:34:15 UTC"/>
        <s v="2022-04-12 03:34:14 UTC"/>
        <s v="2022-04-12 03:34:13 UTC"/>
        <s v="2022-04-12 03:34:12 UTC"/>
        <s v="2022-04-12 03:34:11 UTC"/>
        <s v="2022-04-12 03:34:10 UTC"/>
        <s v="2022-04-12 03:34:09 UTC"/>
        <s v="2022-04-12 03:34:08 UTC"/>
        <s v="2022-04-12 03:34:07 UTC"/>
        <s v="2022-04-12 03:34:06 UTC"/>
        <s v="2022-04-12 03:34:05 UTC"/>
        <s v="2022-04-12 03:34:04 UTC"/>
        <s v="2022-04-12 03:34:03 UTC"/>
        <s v="2022-04-12 03:34:02 UTC"/>
        <s v="2022-04-12 03:34:01 UTC"/>
        <s v="2022-04-12 03:34:00 UTC"/>
        <s v="2022-04-12 03:33:59 UTC"/>
        <s v="2022-04-12 03:33:58 UTC"/>
        <s v="2022-04-12 03:33:57 UTC"/>
        <s v="2022-04-12 03:33:56 UTC"/>
        <s v="2022-04-12 03:33:55 UTC"/>
        <s v="2022-04-12 03:33:54 UTC"/>
        <s v="2022-04-12 03:33:53 UTC"/>
        <s v="2022-04-12 03:33:52 UTC"/>
        <s v="2022-04-12 03:33:51 UTC"/>
        <s v="2022-04-12 03:33:50 UTC"/>
        <s v="2022-04-12 03:33:49 UTC"/>
        <s v="2022-04-12 03:33:48 UTC"/>
        <s v="2022-04-12 03:33:47 UTC"/>
        <s v="2022-04-12 03:33:46 UTC"/>
        <s v="2022-04-12 03:33:45 UTC"/>
        <s v="2022-04-12 03:33:44 UTC"/>
        <s v="2022-04-12 03:33:43 UTC"/>
        <s v="2022-04-12 03:33:42 UTC"/>
        <s v="2022-04-12 03:33:41 UTC"/>
        <s v="2022-04-12 03:33:40 UTC"/>
        <s v="2022-04-12 03:33:39 UTC"/>
        <s v="2022-04-12 03:33:38 UTC"/>
        <s v="2022-04-12 03:33:37 UTC"/>
        <s v="2022-04-12 03:33:36 UTC"/>
        <s v="2022-04-12 03:33:35 UTC"/>
        <s v="2022-04-12 03:33:34 UTC"/>
        <s v="2022-04-12 03:33:33 UTC"/>
        <s v="2022-04-12 03:33:32 UTC"/>
        <s v="2022-04-12 03:33:31 UTC"/>
        <s v="2022-04-12 03:33:30 UTC"/>
        <s v="2022-04-12 03:33:29 UTC"/>
        <s v="2022-04-12 03:33:28 UTC"/>
        <s v="2022-04-12 03:33:27 UTC"/>
        <s v="2022-04-12 03:33:26 UTC"/>
        <s v="2022-04-12 03:33:25 UTC"/>
        <s v="2022-04-12 03:33:24 UTC"/>
        <s v="2022-04-12 03:33:23 UTC"/>
        <s v="2022-04-12 03:33:22 UTC"/>
        <s v="2022-04-12 03:33:21 UTC"/>
        <s v="2022-04-12 03:33:20 UTC"/>
        <s v="2022-04-12 03:33:15 UTC"/>
        <s v="2022-04-12 03:33:14 UTC"/>
        <s v="2022-04-12 03:33:13 UTC"/>
        <s v="2022-04-12 03:33:12 UTC"/>
        <s v="2022-04-12 03:33:11 UTC"/>
        <s v="2022-04-12 03:33:10 UTC"/>
        <s v="2022-04-12 03:33:09 UTC"/>
        <s v="2022-04-12 03:33:08 UTC"/>
        <s v="2022-04-12 03:33:07 UTC"/>
        <s v="2022-04-12 03:33:06 UTC"/>
        <s v="2022-04-12 03:33:05 UTC"/>
        <s v="2022-04-12 03:33:04 UTC"/>
        <s v="2022-04-12 03:33:03 UTC"/>
        <s v="2022-04-12 03:33:02 UTC"/>
        <s v="2022-04-12 03:33:01 UTC"/>
        <s v="2022-04-12 03:33:00 UTC"/>
        <s v="2022-04-12 03:32:59 UTC"/>
        <s v="2022-04-12 03:32:58 UTC"/>
        <s v="2022-04-12 03:32:57 UTC"/>
        <s v="2022-04-12 03:32:56 UTC"/>
        <s v="2022-04-12 03:32:55 UTC"/>
        <s v="2022-04-12 03:32:54 UTC"/>
        <s v="2022-04-12 03:32:53 UTC"/>
        <s v="2022-04-12 03:32:52 UTC"/>
        <s v="2022-04-12 03:32:51 UTC"/>
        <s v="2022-04-12 03:32:50 UTC"/>
        <s v="2022-04-12 03:32:49 UTC"/>
        <s v="2022-04-12 03:32:48 UTC"/>
        <s v="2022-04-12 03:32:47 UTC"/>
        <s v="2022-04-12 03:32:46 UTC"/>
        <s v="2022-04-12 03:32:45 UTC"/>
        <s v="2022-04-12 03:32:44 UTC"/>
        <s v="2022-04-12 03:32:43 UTC"/>
        <s v="2022-04-12 03:32:42 UTC"/>
        <s v="2022-04-12 03:32:41 UTC"/>
        <s v="2022-04-12 03:32:40 UTC"/>
        <s v="2022-04-12 03:32:39 UTC"/>
        <s v="2022-04-12 03:32:38 UTC"/>
        <s v="2022-04-12 03:32:37 UTC"/>
        <s v="2022-04-12 03:32:36 UTC"/>
        <s v="2022-04-12 03:32:35 UTC"/>
        <s v="2022-04-12 03:32:34 UTC"/>
        <s v="2022-04-12 03:32:33 UTC"/>
        <s v="2022-04-12 03:32:32 UTC"/>
        <s v="2022-04-12 03:32:31 UTC"/>
        <s v="2022-04-12 03:32:30 UTC"/>
        <s v="2022-04-12 03:32:29 UTC"/>
        <s v="2022-04-12 03:32:28 UTC"/>
        <s v="2022-04-12 03:32:27 UTC"/>
        <s v="2022-04-12 03:32:26 UTC"/>
        <s v="2022-04-12 03:32:25 UTC"/>
        <s v="2022-04-12 03:32:24 UTC"/>
        <s v="2022-04-12 03:32:23 UTC"/>
        <s v="2022-04-12 03:32:22 UTC"/>
        <s v="2022-04-12 03:32:21 UTC"/>
        <s v="2022-04-12 03:32:20 UTC"/>
        <s v="2022-04-12 03:32:19 UTC"/>
        <s v="2022-04-12 03:32:18 UTC"/>
        <s v="2022-04-12 03:32:17 UTC"/>
        <s v="2022-04-12 03:32:16 UTC"/>
        <s v="2022-04-12 03:32:11 UTC"/>
        <s v="2022-04-12 03:32:10 UTC"/>
        <s v="2022-04-12 03:32:09 UTC"/>
        <s v="2022-04-12 03:32:08 UTC"/>
        <s v="2022-04-12 03:32:07 UTC"/>
        <s v="2022-04-12 03:32:06 UTC"/>
        <s v="2022-04-12 03:32:05 UTC"/>
        <s v="2022-04-12 03:32:04 UTC"/>
        <s v="2022-04-12 03:32:03 UTC"/>
        <s v="2022-04-12 03:32:02 UTC"/>
        <s v="2022-04-12 03:32:01 UTC"/>
        <s v="2022-04-12 03:32:00 UTC"/>
        <s v="2022-04-12 03:31:59 UTC"/>
        <s v="2022-04-12 03:31:58 UTC"/>
        <s v="2022-04-12 03:31:57 UTC"/>
        <s v="2022-04-12 03:31:56 UTC"/>
        <s v="2022-04-12 03:31:55 UTC"/>
        <s v="2022-04-12 03:31:54 UTC"/>
        <s v="2022-04-12 03:31:53 UTC"/>
        <s v="2022-04-12 03:31:52 UTC"/>
        <s v="2022-04-12 03:31:51 UTC"/>
        <s v="2022-04-12 03:31:50 UTC"/>
        <s v="2022-04-12 03:31:49 UTC"/>
        <s v="2022-04-12 03:31:48 UTC"/>
        <s v="2022-04-12 03:31:47 UTC"/>
        <s v="2022-04-12 03:31:46 UTC"/>
        <s v="2022-04-12 03:31:45 UTC"/>
        <s v="2022-04-12 03:31:44 UTC"/>
        <s v="2022-04-12 03:31:43 UTC"/>
        <s v="2022-04-12 03:31:42 UTC"/>
        <s v="2022-04-12 03:31:41 UTC"/>
        <s v="2022-04-12 03:31:36 UTC"/>
        <s v="2022-04-12 03:31:35 UTC"/>
        <s v="2022-04-12 03:31:34 UTC"/>
        <s v="2022-04-12 03:31:33 UTC"/>
        <s v="2022-04-12 03:31:32 UTC"/>
        <s v="2022-04-12 03:31:31 UTC"/>
        <s v="2022-04-12 03:31:30 UTC"/>
        <s v="2022-04-12 03:31:29 UTC"/>
        <s v="2022-04-12 03:31:28 UTC"/>
        <s v="2022-04-12 03:31:27 UTC"/>
        <s v="2022-04-12 03:31:26 UTC"/>
        <s v="2022-04-12 03:31:25 UTC"/>
        <s v="2022-04-12 03:31:24 UTC"/>
        <s v="2022-04-12 03:31:23 UTC"/>
        <s v="2022-04-12 03:31:22 UTC"/>
        <s v="2022-04-12 03:31:21 UTC"/>
        <s v="2022-04-12 03:31:20 UTC"/>
        <s v="2022-04-12 03:31:19 UTC"/>
        <s v="2022-04-12 03:31:18 UTC"/>
        <s v="2022-04-12 03:31:17 UTC"/>
        <s v="2022-04-12 03:31:16 UTC"/>
        <s v="2022-04-12 03:31:15 UTC"/>
        <s v="2022-04-12 03:31:02 UTC"/>
        <s v="2022-04-12 03:29:42 UTC"/>
        <s v="2022-04-12 03:28:41 UTC"/>
        <s v="2022-04-12 03:26:39 UTC"/>
        <s v="2022-04-12 03:26:38 UTC"/>
        <s v="2022-04-12 03:25:48 UTC"/>
        <s v="2022-04-12 03:25:42 UTC"/>
        <s v="2022-04-12 03:25:37 UTC"/>
        <s v="2022-04-12 03:25:05 UTC"/>
        <s v="2022-04-12 03:25:03 UTC"/>
        <s v="2022-04-12 03:23:12 UTC"/>
        <s v="2022-04-12 03:23:11 UTC"/>
        <s v="2022-04-12 03:23:10 UTC"/>
        <s v="2022-04-12 03:23:08 UTC"/>
        <s v="2022-04-12 03:23:07 UTC"/>
        <s v="2022-04-12 03:23:06 UTC"/>
        <s v="2022-04-12 03:23:05 UTC"/>
        <s v="2022-04-12 03:23:03 UTC"/>
        <s v="2022-04-12 03:23:01 UTC"/>
        <s v="2022-04-12 03:23:00 UTC"/>
        <s v="2022-04-12 03:22:13 UTC"/>
        <s v="2022-04-12 03:21:18 UTC"/>
        <s v="2022-04-12 03:21:03 UTC"/>
        <s v="2022-04-12 03:18:42 UTC"/>
        <s v="2022-04-12 03:17:47 UTC"/>
        <s v="2022-04-12 03:16:37 UTC"/>
        <s v="2022-04-12 03:16:27 UTC"/>
        <s v="2022-04-12 03:15:20 UTC"/>
        <s v="2022-04-12 03:15:15 UTC"/>
        <s v="2022-04-12 03:15:07 UTC"/>
        <s v="2022-04-12 03:14:54 UTC"/>
        <s v="2022-04-12 03:14:26 UTC"/>
        <s v="2022-04-12 03:14:16 UTC"/>
        <s v="2022-04-12 03:13:39 UTC"/>
        <s v="2022-04-12 03:13:37 UTC"/>
        <s v="2022-04-12 03:12:20 UTC"/>
        <s v="2022-04-12 03:11:38 UTC"/>
        <s v="2022-04-12 03:11:25 UTC"/>
        <s v="2022-04-12 03:10:33 UTC"/>
        <s v="2022-04-12 03:09:59 UTC"/>
        <s v="2022-04-12 03:09:56 UTC"/>
        <s v="2022-04-12 03:08:55 UTC"/>
        <s v="2022-04-12 03:08:11 UTC"/>
        <s v="2022-04-12 03:06:34 UTC"/>
        <s v="2022-04-12 03:06:26 UTC"/>
        <s v="2022-04-12 03:06:16 UTC"/>
        <s v="2022-04-12 03:06:07 UTC"/>
        <s v="2022-04-12 03:06:03 UTC"/>
        <s v="2022-04-12 03:05:59 UTC"/>
        <s v="2022-04-12 03:05:56 UTC"/>
        <s v="2022-04-12 03:05:50 UTC"/>
        <s v="2022-04-12 03:05:45 UTC"/>
        <s v="2022-04-12 03:05:41 UTC"/>
        <s v="2022-04-12 03:04:35 UTC"/>
        <s v="2022-04-12 03:04:34 UTC"/>
        <s v="2022-04-12 03:04:32 UTC"/>
        <s v="2022-04-12 03:04:30 UTC"/>
        <s v="2022-04-12 03:04:29 UTC"/>
        <s v="2022-04-12 03:04:27 UTC"/>
        <s v="2022-04-12 03:04:25 UTC"/>
        <s v="2022-04-12 03:04:21 UTC"/>
        <s v="2022-04-12 03:04:06 UTC"/>
        <s v="2022-04-12 03:04:04 UTC"/>
        <s v="2022-04-12 03:03:59 UTC"/>
        <s v="2022-04-12 03:02:46 UTC"/>
        <s v="2022-04-12 03:02:25 UTC"/>
        <s v="2022-04-12 03:02:08 UTC"/>
        <s v="2022-04-12 03:02:05 UTC"/>
        <s v="2022-04-12 03:01:54 UTC"/>
        <s v="2022-04-12 03:01:45 UTC"/>
        <s v="2022-04-12 03:01:33 UTC"/>
        <s v="2022-04-12 03:01:16 UTC"/>
        <s v="2022-04-12 03:00:51 UTC"/>
        <s v="2022-04-12 03:00:34 UTC"/>
        <s v="2022-04-12 03:00:32 UTC"/>
        <s v="2022-04-12 03:00:30 UTC"/>
        <s v="2022-04-12 03:00:22 UTC"/>
        <s v="2022-04-12 03:00:11 UTC"/>
        <s v="2022-04-12 02:59:57 UTC"/>
        <s v="2022-04-12 02:59:19 UTC"/>
        <s v="2022-04-12 02:59:12 UTC"/>
        <s v="2022-04-12 02:58:57 UTC"/>
        <s v="2022-04-12 02:58:19 UTC"/>
        <s v="2022-04-12 02:58:11 UTC"/>
        <s v="2022-04-12 02:53:15 UTC"/>
        <s v="2022-04-12 02:52:23 UTC"/>
        <s v="2022-04-12 02:48:35 UTC"/>
        <s v="2022-04-12 02:45:19 UTC"/>
        <s v="2022-04-12 02:39:16 UTC"/>
        <s v="2022-04-12 02:32:28 UTC"/>
        <s v="2022-04-12 02:31:49 UTC"/>
        <s v="2022-04-12 02:30:54 UTC"/>
        <s v="2022-04-12 02:30:30 UTC"/>
        <s v="2022-04-12 02:30:25 UTC"/>
        <s v="2022-04-12 02:30:04 UTC"/>
        <s v="2022-04-12 02:28:49 UTC"/>
        <s v="2022-04-12 02:27:19 UTC"/>
        <s v="2022-04-12 02:24:26 UTC"/>
        <s v="2022-04-12 02:23:45 UTC"/>
        <s v="2022-04-12 02:22:28 UTC"/>
        <s v="2022-04-12 02:19:49 UTC"/>
        <s v="2022-04-12 02:19:47 UTC"/>
        <s v="2022-04-12 02:18:26 UTC"/>
        <s v="2022-04-12 02:17:54 UTC"/>
        <s v="2022-04-12 02:17:47 UTC"/>
        <s v="2022-04-12 02:16:49 UTC"/>
        <s v="2022-04-12 02:15:19 UTC"/>
        <s v="2022-04-12 02:13:12 UTC"/>
        <s v="2022-04-12 02:11:57 UTC"/>
        <s v="2022-04-12 02:08:58 UTC"/>
        <s v="2022-04-12 02:08:26 UTC"/>
        <s v="2022-04-12 02:08:24 UTC"/>
        <s v="2022-04-12 02:05:13 UTC"/>
        <s v="2022-04-12 02:05:11 UTC"/>
        <s v="2022-04-12 02:05:04 UTC"/>
        <s v="2022-04-12 02:05:01 UTC"/>
        <s v="2022-04-12 02:02:03 UTC"/>
        <s v="2022-04-12 01:59:17 UTC"/>
        <s v="2022-04-12 01:56:02 UTC"/>
        <s v="2022-04-12 01:56:00 UTC"/>
        <s v="2022-04-12 01:55:26 UTC"/>
        <s v="2022-04-12 01:54:34 UTC"/>
        <s v="2022-04-12 01:54:32 UTC"/>
        <s v="2022-04-12 01:53:43 UTC"/>
        <s v="2022-04-12 01:52:47 UTC"/>
        <s v="2022-04-12 01:52:22 UTC"/>
        <s v="2022-04-12 01:52:16 UTC"/>
        <s v="2022-04-12 01:45:01 UTC"/>
        <s v="2022-04-12 01:44:58 UTC"/>
        <s v="2022-04-12 01:44:51 UTC"/>
        <s v="2022-04-12 01:44:47 UTC"/>
        <s v="2022-04-12 01:44:35 UTC"/>
        <s v="2022-04-12 01:44:33 UTC"/>
        <s v="2022-04-12 01:44:31 UTC"/>
        <s v="2022-04-12 01:44:29 UTC"/>
        <s v="2022-04-12 01:44:25 UTC"/>
        <s v="2022-04-12 01:44:13 UTC"/>
        <s v="2022-04-12 01:42:52 UTC"/>
        <s v="2022-04-12 01:42:17 UTC"/>
        <s v="2022-04-12 01:42:15 UTC"/>
        <s v="2022-04-12 01:39:33 UTC"/>
        <s v="2022-04-12 01:39:14 UTC"/>
        <s v="2022-04-12 01:39:00 UTC"/>
        <s v="2022-04-12 01:38:54 UTC"/>
        <s v="2022-04-12 01:38:52 UTC"/>
        <s v="2022-04-12 01:33:53 UTC"/>
        <s v="2022-04-12 01:32:51 UTC"/>
        <s v="2022-04-12 01:32:07 UTC"/>
        <s v="2022-04-12 01:32:03 UTC"/>
        <s v="2022-04-12 01:31:28 UTC"/>
        <s v="2022-04-12 01:31:27 UTC"/>
        <s v="2022-04-12 01:31:24 UTC"/>
        <s v="2022-04-12 01:31:21 UTC"/>
        <s v="2022-04-12 01:31:20 UTC"/>
        <s v="2022-04-12 01:28:39 UTC"/>
        <s v="2022-04-12 01:28:37 UTC"/>
        <s v="2022-04-12 01:28:34 UTC"/>
        <s v="2022-04-12 01:28:31 UTC"/>
        <s v="2022-04-12 01:28:29 UTC"/>
        <s v="2022-04-12 01:26:35 UTC"/>
        <s v="2022-04-12 01:25:35 UTC"/>
        <s v="2022-04-12 01:24:46 UTC"/>
        <s v="2022-04-12 01:23:55 UTC"/>
        <s v="2022-04-12 01:23:53 UTC"/>
        <s v="2022-04-12 01:21:51 UTC"/>
        <s v="2022-04-12 01:21:05 UTC"/>
        <s v="2022-04-12 01:20:08 UTC"/>
        <s v="2022-04-12 01:19:44 UTC"/>
        <s v="2022-04-12 01:19:23 UTC"/>
        <s v="2022-04-12 01:17:24 UTC"/>
        <s v="2022-04-12 01:17:00 UTC"/>
        <s v="2022-04-12 01:10:18 UTC"/>
        <s v="2022-04-12 01:10:16 UTC"/>
        <s v="2022-04-12 01:09:24 UTC"/>
        <s v="2022-04-12 01:08:21 UTC"/>
        <s v="2022-04-12 01:07:13 UTC"/>
        <s v="2022-04-12 01:07:10 UTC"/>
        <s v="2022-04-12 01:07:08 UTC"/>
        <s v="2022-04-12 01:07:05 UTC"/>
        <s v="2022-04-12 01:05:45 UTC"/>
        <s v="2022-04-12 01:05:27 UTC"/>
        <s v="2022-04-12 01:04:12 UTC"/>
        <s v="2022-04-12 01:04:05 UTC"/>
        <s v="2022-04-12 01:03:56 UTC"/>
        <s v="2022-04-12 01:03:02 UTC"/>
        <s v="2022-04-12 01:01:23 UTC"/>
        <s v="2022-04-12 00:58:56 UTC"/>
        <s v="2022-04-12 00:58:03 UTC"/>
        <s v="2022-04-12 00:53:37 UTC"/>
        <s v="2022-04-12 00:52:23 UTC"/>
        <s v="2022-04-12 00:40:12 UTC"/>
        <s v="2022-04-12 00:38:55 UTC"/>
        <s v="2022-04-12 00:38:11 UTC"/>
        <s v="2022-04-12 00:38:08 UTC"/>
        <s v="2022-04-12 00:35:53 UTC"/>
        <s v="2022-04-12 00:33:03 UTC"/>
        <s v="2022-04-12 00:32:59 UTC"/>
        <s v="2022-04-12 00:32:56 UTC"/>
        <s v="2022-04-12 00:28:09 UTC"/>
        <s v="2022-04-12 00:27:56 UTC"/>
        <s v="2022-04-12 00:27:52 UTC"/>
        <s v="2022-04-12 00:27:49 UTC"/>
        <s v="2022-04-12 00:27:44 UTC"/>
        <s v="2022-04-12 00:27:16 UTC"/>
        <s v="2022-04-12 00:27:12 UTC"/>
        <s v="2022-04-12 00:26:46 UTC"/>
        <s v="2022-04-12 00:26:43 UTC"/>
        <s v="2022-04-12 00:26:30 UTC"/>
        <s v="2022-04-12 00:26:27 UTC"/>
        <s v="2022-04-12 00:26:12 UTC"/>
        <s v="2022-04-12 00:26:08 UTC"/>
        <s v="2022-04-12 00:26:03 UTC"/>
        <s v="2022-04-12 00:26:00 UTC"/>
        <s v="2022-04-12 00:25:55 UTC"/>
        <s v="2022-04-12 00:25:48 UTC"/>
        <s v="2022-04-12 00:25:14 UTC"/>
        <s v="2022-04-12 00:23:12 UTC"/>
        <s v="2022-04-12 00:23:06 UTC"/>
        <s v="2022-04-12 00:19:09 UTC"/>
        <s v="2022-04-12 00:19:08 UTC"/>
        <s v="2022-04-12 00:19:06 UTC"/>
        <s v="2022-04-12 00:17:00 UTC"/>
        <s v="2022-04-12 00:16:55 UTC"/>
        <s v="2022-04-12 00:16:44 UTC"/>
        <s v="2022-04-12 00:16:36 UTC"/>
        <s v="2022-04-12 00:16:32 UTC"/>
        <s v="2022-04-12 00:16:30 UTC"/>
        <s v="2022-04-12 00:16:27 UTC"/>
        <s v="2022-04-12 00:16:06 UTC"/>
        <s v="2022-04-12 00:15:59 UTC"/>
        <s v="2022-04-12 00:15:53 UTC"/>
        <s v="2022-04-12 00:15:50 UTC"/>
        <s v="2022-04-12 00:15:47 UTC"/>
        <s v="2022-04-12 00:15:44 UTC"/>
        <s v="2022-04-12 00:10:30 UTC"/>
        <s v="2022-04-12 00:09:22 UTC"/>
        <s v="2022-04-12 00:01:49 UTC"/>
        <s v="2022-04-12 00:01:48 UTC"/>
        <s v="2022-04-12 00:01:46 UTC"/>
        <s v="2022-04-12 00:01:44 UTC"/>
        <s v="2022-04-12 00:01:40 UTC"/>
        <s v="2022-04-12 00:01:37 UTC"/>
        <s v="2022-04-12 00:01:16 UTC"/>
        <s v="2022-04-12 00:00:55 UTC"/>
        <s v="2022-04-12 00:00:54 UTC"/>
        <s v="2022-04-12 00:00:52 UTC"/>
        <s v="2022-04-11 23:53:26 UTC"/>
        <s v="2022-04-11 23:50:10 UTC"/>
        <s v="2022-04-11 23:50:08 UTC"/>
        <s v="2022-04-11 23:47:55 UTC"/>
        <s v="2022-04-11 23:47:52 UTC"/>
        <s v="2022-04-11 23:43:52 UTC"/>
        <s v="2022-04-11 23:35:52 UTC"/>
        <s v="2022-04-11 23:35:49 UTC"/>
        <s v="2022-04-11 23:35:23 UTC"/>
        <s v="2022-04-11 23:35:22 UTC"/>
        <s v="2022-04-11 23:35:18 UTC"/>
        <s v="2022-04-11 23:35:14 UTC"/>
        <s v="2022-04-11 23:34:34 UTC"/>
        <s v="2022-04-11 23:31:06 UTC"/>
        <s v="2022-04-11 23:31:03 UTC"/>
        <s v="2022-04-11 23:26:59 UTC"/>
        <s v="2022-04-11 23:26:39 UTC"/>
        <s v="2022-04-11 23:24:23 UTC"/>
        <s v="2022-04-11 23:24:10 UTC"/>
        <s v="2022-04-11 23:18:31 UTC"/>
        <s v="2022-04-11 23:18:27 UTC"/>
        <s v="2022-04-11 23:17:40 UTC"/>
        <s v="2022-04-11 23:15:47 UTC"/>
        <s v="2022-04-11 23:15:30 UTC"/>
        <s v="2022-04-11 23:07:37 UTC"/>
        <s v="2022-04-11 23:03:39 UTC"/>
        <s v="2022-04-11 22:45:45 UTC"/>
        <s v="2022-04-11 22:26:37 UTC"/>
        <s v="2022-04-11 22:00:06 UTC"/>
        <s v="2022-04-11 21:58:11 UTC"/>
        <s v="2022-04-11 21:51:33 UTC"/>
        <s v="2022-04-11 21:51:15 UTC"/>
        <s v="2022-04-11 21:51:08 UTC"/>
        <s v="2022-04-11 21:49:16 UTC"/>
        <s v="2022-04-11 21:44:23 UTC"/>
        <s v="2022-04-11 20:49:09 UTC"/>
        <s v="2022-04-11 20:09:01 UTC"/>
        <s v="2022-04-11 20:06:32 UTC"/>
        <s v="2022-04-11 20:03:46 UTC"/>
        <s v="2022-04-11 20:01:04 UTC"/>
        <s v="2022-04-11 19:50:24 UTC"/>
        <s v="2022-04-11 19:47:58 UTC"/>
        <s v="2022-04-11 19:47:53 UTC"/>
        <s v="2022-04-11 19:29:31 UTC"/>
        <s v="2022-04-11 19:24:05 UTC"/>
        <s v="2022-04-11 19:21:53 UTC"/>
        <s v="2022-04-11 19:21:51 UTC"/>
        <s v="2022-04-11 19:21:48 UTC"/>
        <s v="2022-04-11 19:21:37 UTC"/>
        <s v="2022-04-11 19:19:27 UTC"/>
        <s v="2022-04-11 19:19:20 UTC"/>
        <s v="2022-04-11 19:07:12 UTC"/>
        <s v="2022-04-11 19:07:09 UTC"/>
        <s v="2022-04-11 19:03:42 UTC"/>
        <s v="2022-04-11 19:02:41 UTC"/>
        <s v="2022-04-11 19:02:08 UTC"/>
        <s v="2022-04-11 19:00:26 UTC"/>
        <s v="2022-04-11 18:59:50 UTC"/>
        <s v="2022-04-11 18:59:48 UTC"/>
        <s v="2022-04-11 18:59:45 UTC"/>
        <s v="2022-04-11 18:59:42 UTC"/>
        <s v="2022-04-11 18:59:09 UTC"/>
        <s v="2022-04-11 18:58:29 UTC"/>
        <s v="2022-04-11 18:58:27 UTC"/>
        <s v="2022-04-11 18:58:25 UTC"/>
        <s v="2022-04-11 18:58:21 UTC"/>
        <s v="2022-04-11 18:58:12 UTC"/>
        <s v="2022-04-11 18:57:59 UTC"/>
        <s v="2022-04-11 18:57:51 UTC"/>
        <s v="2022-04-11 18:57:39 UTC"/>
        <s v="2022-04-11 18:51:13 UTC"/>
        <s v="2022-04-11 18:49:11 UTC"/>
        <s v="2022-04-11 18:49:09 UTC"/>
        <s v="2022-04-11 18:49:07 UTC"/>
        <s v="2022-04-11 18:48:59 UTC"/>
        <s v="2022-04-11 18:48:46 UTC"/>
        <s v="2022-04-11 18:48:40 UTC"/>
        <s v="2022-04-11 18:48:37 UTC"/>
        <s v="2022-04-11 18:45:05 UTC"/>
        <s v="2022-04-11 18:44:18 UTC"/>
        <s v="2022-04-11 18:39:39 UTC"/>
        <s v="2022-04-11 18:39:15 UTC"/>
        <s v="2022-04-11 18:38:10 UTC"/>
        <s v="2022-04-11 18:37:01 UTC"/>
        <s v="2022-04-11 18:36:42 UTC"/>
        <s v="2022-04-11 18:36:40 UTC"/>
        <s v="2022-04-11 18:36:38 UTC"/>
        <s v="2022-04-11 18:32:18 UTC"/>
        <s v="2022-04-11 18:29:27 UTC"/>
        <s v="2022-04-11 18:29:23 UTC"/>
        <s v="2022-04-11 18:29:17 UTC"/>
        <s v="2022-04-11 18:29:12 UTC"/>
        <s v="2022-04-11 18:29:08 UTC"/>
        <s v="2022-04-11 18:29:04 UTC"/>
        <s v="2022-04-11 18:25:34 UTC"/>
        <s v="2022-04-11 18:22:30 UTC"/>
        <s v="2022-04-11 18:18:40 UTC"/>
        <s v="2022-04-11 18:01:45 UTC"/>
        <s v="2022-04-11 18:00:34 UTC"/>
        <s v="2022-04-11 17:57:20 UTC"/>
        <s v="2022-04-11 17:55:00 UTC"/>
        <s v="2022-04-11 17:48:50 UTC"/>
        <s v="2022-04-11 17:46:29 UTC"/>
        <s v="2022-04-11 17:44:20 UTC"/>
        <s v="2022-04-11 17:44:09 UTC"/>
        <s v="2022-04-11 17:42:27 UTC"/>
        <s v="2022-04-11 17:40:40 UTC"/>
        <s v="2022-04-11 17:40:17 UTC"/>
        <s v="2022-04-11 17:38:58 UTC"/>
        <s v="2022-04-11 17:38:50 UTC"/>
        <s v="2022-04-11 17:38:20 UTC"/>
        <s v="2022-04-11 17:36:39 UTC"/>
        <s v="2022-04-11 17:34:40 UTC"/>
        <s v="2022-04-11 17:34:37 UTC"/>
        <s v="2022-04-11 17:34:33 UTC"/>
        <s v="2022-04-11 17:33:46 UTC"/>
        <s v="2022-04-11 17:33:23 UTC"/>
        <s v="2022-04-11 17:33:19 UTC"/>
        <s v="2022-04-11 17:32:29 UTC"/>
        <s v="2022-04-11 17:32:13 UTC"/>
        <s v="2022-04-11 17:32:09 UTC"/>
        <s v="2022-04-11 17:31:57 UTC"/>
        <s v="2022-04-11 17:30:27 UTC"/>
        <s v="2022-04-11 17:29:54 UTC"/>
        <s v="2022-04-11 17:29:41 UTC"/>
        <s v="2022-04-11 17:29:34 UTC"/>
        <s v="2022-04-11 17:29:29 UTC"/>
        <s v="2022-04-11 17:29:25 UTC"/>
        <s v="2022-04-11 17:29:24 UTC"/>
        <s v="2022-04-11 17:29:04 UTC"/>
        <s v="2022-04-11 17:29:00 UTC"/>
        <s v="2022-04-11 17:28:34 UTC"/>
        <s v="2022-04-11 17:28:18 UTC"/>
        <s v="2022-04-11 17:28:17 UTC"/>
        <s v="2022-04-11 17:28:16 UTC"/>
        <s v="2022-04-11 17:28:13 UTC"/>
        <s v="2022-04-11 17:28:10 UTC"/>
        <s v="2022-04-11 17:28:07 UTC"/>
        <s v="2022-04-11 17:28:06 UTC"/>
        <s v="2022-04-11 17:28:04 UTC"/>
        <s v="2022-04-11 17:28:02 UTC"/>
        <s v="2022-04-11 17:28:00 UTC"/>
        <s v="2022-04-11 17:27:55 UTC"/>
        <s v="2022-04-11 17:27:53 UTC"/>
        <s v="2022-04-11 17:27:51 UTC"/>
        <s v="2022-04-11 17:27:49 UTC"/>
        <s v="2022-04-11 17:27:45 UTC"/>
        <s v="2022-04-11 17:27:44 UTC"/>
        <s v="2022-04-11 17:27:42 UTC"/>
        <s v="2022-04-11 17:27:39 UTC"/>
        <s v="2022-04-11 17:27:33 UTC"/>
        <s v="2022-04-11 17:27:32 UTC"/>
        <s v="2022-04-11 17:27:24 UTC"/>
        <s v="2022-04-11 17:27:21 UTC"/>
        <s v="2022-04-11 17:27:20 UTC"/>
        <s v="2022-04-11 17:27:17 UTC"/>
        <s v="2022-04-11 17:27:16 UTC"/>
        <s v="2022-04-11 17:27:15 UTC"/>
        <s v="2022-04-11 17:27:13 UTC"/>
        <s v="2022-04-11 17:27:11 UTC"/>
        <s v="2022-04-11 17:27:08 UTC"/>
        <s v="2022-04-11 17:27:01 UTC"/>
        <s v="2022-04-11 17:26:59 UTC"/>
        <s v="2022-04-11 17:26:57 UTC"/>
        <s v="2022-04-11 17:26:54 UTC"/>
        <s v="2022-04-11 17:26:53 UTC"/>
        <s v="2022-04-11 17:26:51 UTC"/>
        <s v="2022-04-11 17:26:50 UTC"/>
        <s v="2022-04-11 17:26:49 UTC"/>
        <s v="2022-04-11 17:26:47 UTC"/>
        <s v="2022-04-11 17:26:46 UTC"/>
        <s v="2022-04-11 17:26:45 UTC"/>
        <s v="2022-04-11 17:26:39 UTC"/>
        <s v="2022-04-11 17:26:37 UTC"/>
        <s v="2022-04-11 17:25:39 UTC"/>
        <s v="2022-04-11 17:25:35 UTC"/>
        <s v="2022-04-11 17:25:31 UTC"/>
        <s v="2022-04-11 17:25:18 UTC"/>
        <s v="2022-04-11 17:25:07 UTC"/>
        <s v="2022-04-11 17:24:45 UTC"/>
        <s v="2022-04-11 17:23:18 UTC"/>
        <s v="2022-04-11 17:23:14 UTC"/>
        <s v="2022-04-11 17:23:12 UTC"/>
        <s v="2022-04-11 17:23:10 UTC"/>
        <s v="2022-04-11 17:23:01 UTC"/>
        <s v="2022-04-11 17:22:47 UTC"/>
        <s v="2022-04-11 17:22:43 UTC"/>
        <s v="2022-04-11 17:22:41 UTC"/>
        <s v="2022-04-11 17:22:38 UTC"/>
        <s v="2022-04-11 17:22:29 UTC"/>
        <s v="2022-04-11 17:22:26 UTC"/>
        <s v="2022-04-11 17:22:20 UTC"/>
        <s v="2022-04-11 17:22:18 UTC"/>
        <s v="2022-04-11 17:22:04 UTC"/>
        <s v="2022-04-11 17:21:35 UTC"/>
        <s v="2022-04-11 17:21:28 UTC"/>
        <s v="2022-04-11 17:21:27 UTC"/>
        <s v="2022-04-11 17:21:00 UTC"/>
        <s v="2022-04-11 17:20:05 UTC"/>
        <s v="2022-04-11 17:19:56 UTC"/>
        <s v="2022-04-11 17:16:47 UTC"/>
        <s v="2022-04-11 17:16:42 UTC"/>
        <s v="2022-04-11 17:16:38 UTC"/>
        <s v="2022-04-11 17:16:34 UTC"/>
        <s v="2022-04-11 17:16:28 UTC"/>
        <s v="2022-04-11 17:16:26 UTC"/>
        <s v="2022-04-11 17:16:25 UTC"/>
        <s v="2022-04-11 17:16:21 UTC"/>
        <s v="2022-04-11 17:16:16 UTC"/>
        <s v="2022-04-11 17:16:08 UTC"/>
        <s v="2022-04-11 17:16:05 UTC"/>
        <s v="2022-04-11 17:15:51 UTC"/>
        <s v="2022-04-11 17:12:55 UTC"/>
        <s v="2022-04-11 17:12:02 UTC"/>
        <s v="2022-04-11 17:11:59 UTC"/>
        <s v="2022-04-11 17:11:54 UTC"/>
        <s v="2022-04-11 17:11:52 UTC"/>
        <s v="2022-04-11 17:11:48 UTC"/>
        <s v="2022-04-11 17:11:41 UTC"/>
        <s v="2022-04-11 17:11:27 UTC"/>
        <s v="2022-04-11 17:10:57 UTC"/>
        <s v="2022-04-11 17:10:39 UTC"/>
        <s v="2022-04-11 17:10:36 UTC"/>
        <s v="2022-04-11 17:09:49 UTC"/>
        <s v="2022-04-11 17:09:48 UTC"/>
        <s v="2022-04-11 17:08:53 UTC"/>
        <s v="2022-04-11 17:08:31 UTC"/>
        <s v="2022-04-11 17:07:48 UTC"/>
        <s v="2022-04-11 17:07:43 UTC"/>
        <s v="2022-04-11 17:07:24 UTC"/>
        <s v="2022-04-11 17:05:31 UTC"/>
        <s v="2022-04-11 17:05:24 UTC"/>
        <s v="2022-04-11 17:05:12 UTC"/>
        <s v="2022-04-11 17:04:35 UTC"/>
        <s v="2022-04-11 17:03:59 UTC"/>
        <s v="2022-04-11 17:03:56 UTC"/>
        <s v="2022-04-11 17:03:54 UTC"/>
        <s v="2022-04-11 17:01:20 UTC"/>
        <s v="2022-04-11 17:01:17 UTC"/>
        <s v="2022-04-11 16:59:10 UTC"/>
        <s v="2022-04-11 16:58:16 UTC"/>
        <s v="2022-04-11 16:57:45 UTC"/>
        <s v="2022-04-11 16:57:04 UTC"/>
        <s v="2022-04-11 16:56:21 UTC"/>
        <s v="2022-04-11 16:56:18 UTC"/>
        <s v="2022-04-11 16:54:55 UTC"/>
        <s v="2022-04-11 16:54:49 UTC"/>
        <s v="2022-04-11 16:54:46 UTC"/>
        <s v="2022-04-11 16:54:39 UTC"/>
        <s v="2022-04-11 16:52:28 UTC"/>
        <s v="2022-04-11 16:51:52 UTC"/>
        <s v="2022-04-11 16:51:48 UTC"/>
        <s v="2022-04-11 16:50:08 UTC"/>
        <s v="2022-04-11 16:49:41 UTC"/>
        <s v="2022-04-11 16:48:46 UTC"/>
        <s v="2022-04-11 16:46:57 UTC"/>
        <s v="2022-04-11 16:46:52 UTC"/>
        <s v="2022-04-11 16:46:14 UTC"/>
        <s v="2022-04-11 16:44:15 UTC"/>
        <s v="2022-04-11 16:42:01 UTC"/>
        <s v="2022-04-11 16:41:59 UTC"/>
        <s v="2022-04-11 16:41:54 UTC"/>
        <s v="2022-04-11 16:41:27 UTC"/>
        <s v="2022-04-11 16:41:21 UTC"/>
        <s v="2022-04-11 16:40:03 UTC"/>
        <s v="2022-04-11 16:39:41 UTC"/>
        <s v="2022-04-11 16:39:39 UTC"/>
        <s v="2022-04-11 16:39:35 UTC"/>
        <s v="2022-04-11 16:39:33 UTC"/>
        <s v="2022-04-11 16:39:11 UTC"/>
        <s v="2022-04-11 16:39:08 UTC"/>
        <s v="2022-04-11 16:37:52 UTC"/>
        <s v="2022-04-11 16:37:43 UTC"/>
        <s v="2022-04-11 16:37:41 UTC"/>
        <s v="2022-04-11 16:35:53 UTC"/>
        <s v="2022-04-11 16:35:50 UTC"/>
        <s v="2022-04-11 16:35:25 UTC"/>
        <s v="2022-04-11 16:35:22 UTC"/>
        <s v="2022-04-11 16:33:55 UTC"/>
        <s v="2022-04-11 16:33:42 UTC"/>
        <s v="2022-04-11 16:33:36 UTC"/>
        <s v="2022-04-11 16:33:32 UTC"/>
        <s v="2022-04-11 16:33:29 UTC"/>
        <s v="2022-04-11 16:33:27 UTC"/>
        <s v="2022-04-11 16:33:08 UTC"/>
        <s v="2022-04-11 16:32:57 UTC"/>
        <s v="2022-04-11 16:32:55 UTC"/>
        <s v="2022-04-11 16:32:53 UTC"/>
        <s v="2022-04-11 16:32:51 UTC"/>
        <s v="2022-04-11 16:32:50 UTC"/>
        <s v="2022-04-11 16:32:35 UTC"/>
        <s v="2022-04-11 16:32:24 UTC"/>
        <s v="2022-04-11 16:31:32 UTC"/>
        <s v="2022-04-11 16:31:26 UTC"/>
        <s v="2022-04-11 16:31:15 UTC"/>
        <s v="2022-04-11 16:31:11 UTC"/>
        <s v="2022-04-11 16:31:10 UTC"/>
        <s v="2022-04-11 16:30:58 UTC"/>
        <s v="2022-04-11 16:30:56 UTC"/>
        <s v="2022-04-11 16:30:47 UTC"/>
        <s v="2022-04-11 16:29:54 UTC"/>
        <s v="2022-04-11 16:29:31 UTC"/>
        <s v="2022-04-11 16:29:29 UTC"/>
        <s v="2022-04-11 16:26:21 UTC"/>
        <s v="2022-04-11 16:24:53 UTC"/>
        <s v="2022-04-11 16:23:33 UTC"/>
        <s v="2022-04-11 16:22:51 UTC"/>
        <s v="2022-04-11 16:22:23 UTC"/>
        <s v="2022-04-11 16:22:20 UTC"/>
        <s v="2022-04-11 16:22:17 UTC"/>
        <s v="2022-04-11 16:22:12 UTC"/>
        <s v="2022-04-11 16:22:09 UTC"/>
        <s v="2022-04-11 16:22:04 UTC"/>
        <s v="2022-04-11 16:22:00 UTC"/>
        <s v="2022-04-11 16:21:50 UTC"/>
        <s v="2022-04-11 16:21:46 UTC"/>
        <s v="2022-04-11 16:21:22 UTC"/>
        <s v="2022-04-11 16:18:50 UTC"/>
        <s v="2022-04-11 16:18:47 UTC"/>
        <s v="2022-04-11 16:18:04 UTC"/>
        <s v="2022-04-11 16:17:58 UTC"/>
        <s v="2022-04-11 16:17:54 UTC"/>
        <s v="2022-04-11 16:17:53 UTC"/>
        <s v="2022-04-11 16:17:52 UTC"/>
        <s v="2022-04-11 16:17:49 UTC"/>
        <s v="2022-04-11 16:17:37 UTC"/>
        <s v="2022-04-11 16:17:34 UTC"/>
        <s v="2022-04-11 16:17:30 UTC"/>
        <s v="2022-04-11 16:17:10 UTC"/>
        <s v="2022-04-11 16:17:08 UTC"/>
        <s v="2022-04-11 16:17:04 UTC"/>
        <s v="2022-04-11 16:16:35 UTC"/>
        <s v="2022-04-11 16:14:48 UTC"/>
        <s v="2022-04-11 16:14:39 UTC"/>
        <s v="2022-04-11 16:14:37 UTC"/>
        <s v="2022-04-11 16:14:03 UTC"/>
        <s v="2022-04-11 16:13:56 UTC"/>
        <s v="2022-04-11 16:13:21 UTC"/>
        <s v="2022-04-11 16:13:19 UTC"/>
        <s v="2022-04-11 16:13:18 UTC"/>
        <s v="2022-04-11 16:13:13 UTC"/>
        <s v="2022-04-11 16:11:29 UTC"/>
        <s v="2022-04-11 16:11:16 UTC"/>
        <s v="2022-04-11 16:10:07 UTC"/>
        <s v="2022-04-11 16:09:36 UTC"/>
        <s v="2022-04-11 16:09:31 UTC"/>
        <s v="2022-04-11 16:09:26 UTC"/>
        <s v="2022-04-11 16:09:11 UTC"/>
        <s v="2022-04-11 16:09:10 UTC"/>
        <s v="2022-04-11 16:09:08 UTC"/>
        <s v="2022-04-11 16:09:07 UTC"/>
        <s v="2022-04-11 16:09:05 UTC"/>
        <s v="2022-04-11 16:09:04 UTC"/>
        <s v="2022-04-11 16:09:01 UTC"/>
        <s v="2022-04-11 16:08:55 UTC"/>
        <s v="2022-04-11 16:08:54 UTC"/>
        <s v="2022-04-11 16:08:52 UTC"/>
        <s v="2022-04-11 16:08:47 UTC"/>
        <s v="2022-04-11 16:08:44 UTC"/>
        <s v="2022-04-11 16:08:27 UTC"/>
        <s v="2022-04-11 16:07:47 UTC"/>
        <s v="2022-04-11 16:07:29 UTC"/>
        <s v="2022-04-11 16:07:27 UTC"/>
        <s v="2022-04-11 16:07:26 UTC"/>
        <s v="2022-04-11 16:07:24 UTC"/>
        <s v="2022-04-11 16:07:22 UTC"/>
        <s v="2022-04-11 16:07:21 UTC"/>
        <s v="2022-04-11 16:07:19 UTC"/>
        <s v="2022-04-11 16:07:10 UTC"/>
        <s v="2022-04-11 16:07:03 UTC"/>
        <s v="2022-04-11 16:05:21 UTC"/>
        <s v="2022-04-11 16:05:19 UTC"/>
        <s v="2022-04-11 16:05:17 UTC"/>
        <s v="2022-04-11 16:05:15 UTC"/>
        <s v="2022-04-11 16:05:12 UTC"/>
        <s v="2022-04-11 16:05:10 UTC"/>
        <s v="2022-04-11 16:05:08 UTC"/>
        <s v="2022-04-11 16:05:01 UTC"/>
        <s v="2022-04-11 16:04:57 UTC"/>
        <s v="2022-04-11 16:04:55 UTC"/>
        <s v="2022-04-11 16:04:53 UTC"/>
        <s v="2022-04-11 16:04:49 UTC"/>
        <s v="2022-04-11 16:04:48 UTC"/>
        <s v="2022-04-11 16:04:45 UTC"/>
        <s v="2022-04-11 16:04:38 UTC"/>
        <s v="2022-04-11 16:04:27 UTC"/>
        <s v="2022-04-11 16:04:26 UTC"/>
        <s v="2022-04-11 16:04:25 UTC"/>
        <s v="2022-04-11 16:04:23 UTC"/>
        <s v="2022-04-11 16:04:22 UTC"/>
        <s v="2022-04-11 16:04:21 UTC"/>
        <s v="2022-04-11 16:04:19 UTC"/>
        <s v="2022-04-11 16:04:18 UTC"/>
        <s v="2022-04-11 16:04:17 UTC"/>
        <s v="2022-04-11 16:04:15 UTC"/>
        <s v="2022-04-11 16:04:14 UTC"/>
        <s v="2022-04-11 16:04:12 UTC"/>
        <s v="2022-04-11 16:04:08 UTC"/>
        <s v="2022-04-11 16:04:06 UTC"/>
        <s v="2022-04-11 16:03:15 UTC"/>
        <s v="2022-04-11 16:02:40 UTC"/>
        <s v="2022-04-11 16:02:34 UTC"/>
        <s v="2022-04-11 16:01:58 UTC"/>
        <s v="2022-04-11 16:01:35 UTC"/>
        <s v="2022-04-11 16:01:33 UTC"/>
        <s v="2022-04-11 16:01:32 UTC"/>
        <s v="2022-04-11 16:01:30 UTC"/>
        <s v="2022-04-11 16:01:27 UTC"/>
        <s v="2022-04-11 16:01:25 UTC"/>
        <s v="2022-04-11 16:01:21 UTC"/>
        <s v="2022-04-11 16:00:35 UTC"/>
        <s v="2022-04-11 16:00:10 UTC"/>
        <s v="2022-04-11 15:58:05 UTC"/>
        <s v="2022-04-11 15:57:57 UTC"/>
        <s v="2022-04-11 15:56:28 UTC"/>
        <s v="2022-04-11 15:56:25 UTC"/>
        <s v="2022-04-11 15:55:18 UTC"/>
        <s v="2022-04-11 15:52:53 UTC"/>
        <s v="2022-04-11 15:51:26 UTC"/>
        <s v="2022-04-11 15:49:23 UTC"/>
        <s v="2022-04-11 15:49:20 UTC"/>
        <s v="2022-04-11 15:48:59 UTC"/>
        <s v="2022-04-11 15:48:36 UTC"/>
        <s v="2022-04-11 15:45:22 UTC"/>
        <s v="2022-04-11 15:45:04 UTC"/>
        <s v="2022-04-11 15:44:07 UTC"/>
        <s v="2022-04-11 15:44:04 UTC"/>
        <s v="2022-04-11 15:44:02 UTC"/>
        <s v="2022-04-11 15:44:01 UTC"/>
        <s v="2022-04-11 15:43:59 UTC"/>
        <s v="2022-04-11 15:43:57 UTC"/>
        <s v="2022-04-11 15:43:54 UTC"/>
        <s v="2022-04-11 15:40:27 UTC"/>
        <s v="2022-04-11 15:40:23 UTC"/>
        <s v="2022-04-11 15:40:22 UTC"/>
        <s v="2022-04-11 15:40:20 UTC"/>
        <s v="2022-04-11 15:40:18 UTC"/>
        <s v="2022-04-11 15:40:12 UTC"/>
        <s v="2022-04-11 15:40:08 UTC"/>
        <s v="2022-04-11 15:40:06 UTC"/>
        <s v="2022-04-11 15:40:04 UTC"/>
        <s v="2022-04-11 15:40:02 UTC"/>
        <s v="2022-04-11 15:40:00 UTC"/>
        <s v="2022-04-11 15:39:58 UTC"/>
        <s v="2022-04-11 15:39:56 UTC"/>
        <s v="2022-04-11 15:39:50 UTC"/>
        <s v="2022-04-11 15:39:46 UTC"/>
        <s v="2022-04-11 15:39:45 UTC"/>
        <s v="2022-04-11 15:39:41 UTC"/>
        <s v="2022-04-11 15:39:35 UTC"/>
        <s v="2022-04-11 15:39:31 UTC"/>
        <s v="2022-04-11 15:36:26 UTC"/>
        <s v="2022-04-11 15:36:04 UTC"/>
        <s v="2022-04-11 15:35:42 UTC"/>
        <s v="2022-04-11 15:35:33 UTC"/>
        <s v="2022-04-11 15:35:31 UTC"/>
        <s v="2022-04-11 15:35:16 UTC"/>
        <s v="2022-04-11 15:35:12 UTC"/>
        <s v="2022-04-11 15:35:05 UTC"/>
        <s v="2022-04-11 15:35:02 UTC"/>
        <s v="2022-04-11 15:34:49 UTC"/>
        <s v="2022-04-11 15:33:30 UTC"/>
        <s v="2022-04-11 15:32:53 UTC"/>
        <s v="2022-04-11 15:31:46 UTC"/>
        <s v="2022-04-11 15:31:40 UTC"/>
        <s v="2022-04-11 15:31:37 UTC"/>
        <s v="2022-04-11 15:31:36 UTC"/>
        <s v="2022-04-11 15:31:33 UTC"/>
        <s v="2022-04-11 15:31:27 UTC"/>
        <s v="2022-04-11 15:31:22 UTC"/>
        <s v="2022-04-11 15:31:12 UTC"/>
        <s v="2022-04-11 15:30:58 UTC"/>
        <s v="2022-04-11 15:30:57 UTC"/>
        <s v="2022-04-11 15:30:56 UTC"/>
        <s v="2022-04-11 15:30:55 UTC"/>
        <s v="2022-04-11 15:30:54 UTC"/>
        <s v="2022-04-11 15:30:53 UTC"/>
        <s v="2022-04-11 15:30:45 UTC"/>
        <s v="2022-04-11 15:30:41 UTC"/>
        <s v="2022-04-11 15:30:09 UTC"/>
        <s v="2022-04-11 15:29:59 UTC"/>
        <s v="2022-04-11 15:29:57 UTC"/>
        <s v="2022-04-11 15:29:56 UTC"/>
        <s v="2022-04-11 15:29:51 UTC"/>
        <s v="2022-04-11 15:29:37 UTC"/>
        <s v="2022-04-11 15:29:34 UTC"/>
        <s v="2022-04-11 15:29:32 UTC"/>
        <s v="2022-04-11 15:29:30 UTC"/>
        <s v="2022-04-11 15:29:29 UTC"/>
        <s v="2022-04-11 15:29:26 UTC"/>
        <s v="2022-04-11 15:29:21 UTC"/>
        <s v="2022-04-11 15:29:19 UTC"/>
        <s v="2022-04-11 15:29:15 UTC"/>
        <s v="2022-04-11 15:29:12 UTC"/>
        <s v="2022-04-11 15:29:08 UTC"/>
        <s v="2022-04-11 15:29:04 UTC"/>
        <s v="2022-04-11 15:27:24 UTC"/>
        <s v="2022-04-11 15:27:21 UTC"/>
        <s v="2022-04-11 15:23:17 UTC"/>
        <s v="2022-04-11 15:21:13 UTC"/>
        <s v="2022-04-11 15:20:08 UTC"/>
        <s v="2022-04-11 15:19:06 UTC"/>
        <s v="2022-04-11 15:19:00 UTC"/>
        <s v="2022-04-11 15:18:42 UTC"/>
        <s v="2022-04-11 15:18:06 UTC"/>
        <s v="2022-04-11 15:17:46 UTC"/>
        <s v="2022-04-11 15:17:04 UTC"/>
        <s v="2022-04-11 15:16:49 UTC"/>
        <s v="2022-04-11 15:16:47 UTC"/>
        <s v="2022-04-11 15:14:23 UTC"/>
        <s v="2022-04-11 15:14:19 UTC"/>
        <s v="2022-04-11 15:12:27 UTC"/>
        <s v="2022-04-11 15:10:41 UTC"/>
        <s v="2022-04-11 15:09:04 UTC"/>
        <s v="2022-04-11 15:09:02 UTC"/>
        <s v="2022-04-11 15:09:01 UTC"/>
        <s v="2022-04-11 15:08:59 UTC"/>
        <s v="2022-04-11 15:08:54 UTC"/>
        <s v="2022-04-11 15:08:34 UTC"/>
        <s v="2022-04-11 15:08:17 UTC"/>
        <s v="2022-04-11 15:06:35 UTC"/>
        <s v="2022-04-11 15:06:33 UTC"/>
        <s v="2022-04-11 15:06:07 UTC"/>
        <s v="2022-04-11 15:05:50 UTC"/>
        <s v="2022-04-11 15:04:02 UTC"/>
        <s v="2022-04-11 15:03:27 UTC"/>
        <s v="2022-04-11 15:02:59 UTC"/>
        <s v="2022-04-11 15:02:45 UTC"/>
        <s v="2022-04-11 15:02:43 UTC"/>
        <s v="2022-04-11 15:02:39 UTC"/>
        <s v="2022-04-11 15:02:28 UTC"/>
        <s v="2022-04-11 15:02:26 UTC"/>
        <s v="2022-04-11 15:02:25 UTC"/>
        <s v="2022-04-11 15:02:08 UTC"/>
        <s v="2022-04-11 15:01:58 UTC"/>
        <s v="2022-04-11 15:01:26 UTC"/>
        <s v="2022-04-11 15:01:19 UTC"/>
        <s v="2022-04-11 15:01:08 UTC"/>
        <s v="2022-04-11 15:01:03 UTC"/>
        <s v="2022-04-11 15:00:47 UTC"/>
        <s v="2022-04-11 15:00:40 UTC"/>
        <s v="2022-04-11 15:00:22 UTC"/>
        <s v="2022-04-11 15:00:18 UTC"/>
        <s v="2022-04-11 15:00:15 UTC"/>
        <s v="2022-04-11 15:00:14 UTC"/>
        <s v="2022-04-11 15:00:04 UTC"/>
        <s v="2022-04-11 15:00:02 UTC"/>
        <s v="2022-04-11 14:59:59 UTC"/>
        <s v="2022-04-11 14:59:58 UTC"/>
        <s v="2022-04-11 14:59:56 UTC"/>
        <s v="2022-04-11 14:59:53 UTC"/>
        <s v="2022-04-11 14:59:49 UTC"/>
        <s v="2022-04-11 14:59:29 UTC"/>
        <s v="2022-04-11 14:59:26 UTC"/>
        <s v="2022-04-11 14:59:03 UTC"/>
        <s v="2022-04-11 14:57:34 UTC"/>
        <s v="2022-04-11 14:57:16 UTC"/>
        <s v="2022-04-11 14:56:44 UTC"/>
        <s v="2022-04-11 14:56:30 UTC"/>
        <s v="2022-04-11 14:56:20 UTC"/>
        <s v="2022-04-11 14:55:02 UTC"/>
        <s v="2022-04-11 14:54:54 UTC"/>
        <s v="2022-04-11 14:54:19 UTC"/>
        <s v="2022-04-11 14:54:18 UTC"/>
        <s v="2022-04-11 14:54:16 UTC"/>
        <s v="2022-04-11 14:52:20 UTC"/>
        <s v="2022-04-11 14:52:18 UTC"/>
        <s v="2022-04-11 14:52:16 UTC"/>
        <s v="2022-04-11 14:52:13 UTC"/>
        <s v="2022-04-11 14:52:11 UTC"/>
        <s v="2022-04-11 14:52:04 UTC"/>
        <s v="2022-04-11 14:51:59 UTC"/>
        <s v="2022-04-11 14:51:51 UTC"/>
        <s v="2022-04-11 14:51:47 UTC"/>
        <s v="2022-04-11 14:51:20 UTC"/>
        <s v="2022-04-11 14:51:10 UTC"/>
        <s v="2022-04-11 14:51:06 UTC"/>
        <s v="2022-04-11 14:49:43 UTC"/>
        <s v="2022-04-11 14:49:39 UTC"/>
        <s v="2022-04-11 14:48:48 UTC"/>
        <s v="2022-04-11 14:48:45 UTC"/>
        <s v="2022-04-11 14:48:40 UTC"/>
        <s v="2022-04-11 14:48:38 UTC"/>
        <s v="2022-04-11 14:48:17 UTC"/>
        <s v="2022-04-11 14:47:10 UTC"/>
        <s v="2022-04-11 14:46:53 UTC"/>
        <s v="2022-04-11 14:45:46 UTC"/>
        <s v="2022-04-11 14:45:41 UTC"/>
        <s v="2022-04-11 14:45:37 UTC"/>
        <s v="2022-04-11 14:45:31 UTC"/>
        <s v="2022-04-11 14:45:12 UTC"/>
        <s v="2022-04-11 14:43:53 UTC"/>
        <s v="2022-04-11 14:43:17 UTC"/>
        <s v="2022-04-11 14:43:11 UTC"/>
        <s v="2022-04-11 14:42:56 UTC"/>
        <s v="2022-04-11 14:41:13 UTC"/>
        <s v="2022-04-11 14:39:54 UTC"/>
        <s v="2022-04-11 14:39:18 UTC"/>
        <s v="2022-04-11 14:39:14 UTC"/>
        <s v="2022-04-11 14:36:32 UTC"/>
        <s v="2022-04-11 14:35:48 UTC"/>
        <s v="2022-04-11 14:34:30 UTC"/>
        <s v="2022-04-11 14:33:32 UTC"/>
        <s v="2022-04-11 14:32:24 UTC"/>
        <s v="2022-04-11 14:32:22 UTC"/>
        <s v="2022-04-11 14:32:21 UTC"/>
        <s v="2022-04-11 14:32:20 UTC"/>
        <s v="2022-04-11 14:32:12 UTC"/>
        <s v="2022-04-11 14:32:09 UTC"/>
        <s v="2022-04-11 14:31:38 UTC"/>
        <s v="2022-04-11 14:30:38 UTC"/>
        <s v="2022-04-11 14:29:59 UTC"/>
        <s v="2022-04-11 14:29:54 UTC"/>
        <s v="2022-04-11 14:29:45 UTC"/>
        <s v="2022-04-11 14:28:39 UTC"/>
        <s v="2022-04-11 14:26:04 UTC"/>
        <s v="2022-04-11 14:26:00 UTC"/>
        <s v="2022-04-11 14:25:50 UTC"/>
        <s v="2022-04-11 14:25:25 UTC"/>
        <s v="2022-04-11 14:24:38 UTC"/>
        <s v="2022-04-11 14:24:35 UTC"/>
        <s v="2022-04-11 14:24:32 UTC"/>
        <s v="2022-04-11 14:24:30 UTC"/>
        <s v="2022-04-11 14:24:25 UTC"/>
        <s v="2022-04-11 14:24:06 UTC"/>
        <s v="2022-04-11 14:24:01 UTC"/>
        <s v="2022-04-11 14:23:40 UTC"/>
        <s v="2022-04-11 14:23:24 UTC"/>
        <s v="2022-04-11 14:23:15 UTC"/>
        <s v="2022-04-11 14:22:34 UTC"/>
        <s v="2022-04-11 14:20:34 UTC"/>
        <s v="2022-04-11 14:18:08 UTC"/>
        <s v="2022-04-11 14:17:52 UTC"/>
        <s v="2022-04-11 14:17:40 UTC"/>
        <s v="2022-04-11 14:17:26 UTC"/>
        <s v="2022-04-11 14:17:25 UTC"/>
        <s v="2022-04-11 14:17:24 UTC"/>
        <s v="2022-04-11 14:17:21 UTC"/>
        <s v="2022-04-11 14:16:51 UTC"/>
        <s v="2022-04-11 14:16:25 UTC"/>
        <s v="2022-04-11 14:16:12 UTC"/>
        <s v="2022-04-11 14:16:03 UTC"/>
        <s v="2022-04-11 14:14:54 UTC"/>
        <s v="2022-04-11 14:14:51 UTC"/>
        <s v="2022-04-11 14:14:49 UTC"/>
        <s v="2022-04-11 14:14:48 UTC"/>
        <s v="2022-04-11 14:12:38 UTC"/>
        <s v="2022-04-11 14:10:51 UTC"/>
        <s v="2022-04-11 14:10:50 UTC"/>
        <s v="2022-04-11 14:10:49 UTC"/>
        <s v="2022-04-11 14:10:19 UTC"/>
        <s v="2022-04-11 14:08:29 UTC"/>
        <s v="2022-04-11 14:07:41 UTC"/>
        <s v="2022-04-11 14:07:28 UTC"/>
        <s v="2022-04-11 14:07:01 UTC"/>
        <s v="2022-04-11 14:06:48 UTC"/>
        <s v="2022-04-11 14:06:46 UTC"/>
        <s v="2022-04-11 14:06:30 UTC"/>
        <s v="2022-04-11 14:05:26 UTC"/>
        <s v="2022-04-11 14:05:23 UTC"/>
        <s v="2022-04-11 14:04:51 UTC"/>
        <s v="2022-04-11 14:04:47 UTC"/>
        <s v="2022-04-11 14:04:38 UTC"/>
        <s v="2022-04-11 14:04:22 UTC"/>
        <s v="2022-04-11 14:04:06 UTC"/>
        <s v="2022-04-11 14:02:42 UTC"/>
        <s v="2022-04-11 14:02:39 UTC"/>
        <s v="2022-04-11 13:59:11 UTC"/>
        <s v="2022-04-11 13:58:35 UTC"/>
        <s v="2022-04-11 13:58:21 UTC"/>
        <s v="2022-04-11 13:58:18 UTC"/>
        <s v="2022-04-11 13:58:16 UTC"/>
        <s v="2022-04-11 13:58:13 UTC"/>
        <s v="2022-04-11 13:58:12 UTC"/>
        <s v="2022-04-11 13:58:11 UTC"/>
        <s v="2022-04-11 13:58:10 UTC"/>
        <s v="2022-04-11 13:58:08 UTC"/>
        <s v="2022-04-11 13:58:01 UTC"/>
        <s v="2022-04-11 13:58:00 UTC"/>
        <s v="2022-04-11 13:57:59 UTC"/>
        <s v="2022-04-11 13:57:57 UTC"/>
        <s v="2022-04-11 13:57:56 UTC"/>
        <s v="2022-04-11 13:57:45 UTC"/>
        <s v="2022-04-11 13:57:40 UTC"/>
        <s v="2022-04-11 13:57:19 UTC"/>
        <s v="2022-04-11 13:57:13 UTC"/>
        <s v="2022-04-11 13:57:12 UTC"/>
        <s v="2022-04-11 13:57:11 UTC"/>
        <s v="2022-04-11 13:57:10 UTC"/>
        <s v="2022-04-11 13:57:09 UTC"/>
        <s v="2022-04-11 13:57:07 UTC"/>
        <s v="2022-04-11 13:57:06 UTC"/>
        <s v="2022-04-11 13:57:05 UTC"/>
        <s v="2022-04-11 13:57:04 UTC"/>
        <s v="2022-04-11 13:57:03 UTC"/>
        <s v="2022-04-11 13:57:02 UTC"/>
        <s v="2022-04-11 13:57:01 UTC"/>
        <s v="2022-04-11 13:57:00 UTC"/>
        <s v="2022-04-11 13:56:59 UTC"/>
        <s v="2022-04-11 13:56:57 UTC"/>
        <s v="2022-04-11 13:56:56 UTC"/>
        <s v="2022-04-11 13:56:55 UTC"/>
        <s v="2022-04-11 13:56:53 UTC"/>
        <s v="2022-04-11 13:56:51 UTC"/>
        <s v="2022-04-11 13:56:33 UTC"/>
        <s v="2022-04-11 13:55:16 UTC"/>
        <s v="2022-04-11 13:55:13 UTC"/>
        <s v="2022-04-11 13:54:26 UTC"/>
        <s v="2022-04-11 13:53:58 UTC"/>
        <s v="2022-04-11 13:53:50 UTC"/>
        <s v="2022-04-11 13:53:42 UTC"/>
        <s v="2022-04-11 13:53:21 UTC"/>
        <s v="2022-04-11 13:53:11 UTC"/>
        <s v="2022-04-11 13:52:22 UTC"/>
        <s v="2022-04-11 13:52:21 UTC"/>
        <s v="2022-04-11 13:52:19 UTC"/>
        <s v="2022-04-11 13:52:18 UTC"/>
        <s v="2022-04-11 13:52:16 UTC"/>
        <s v="2022-04-11 13:52:15 UTC"/>
        <s v="2022-04-11 13:52:13 UTC"/>
        <s v="2022-04-11 13:52:02 UTC"/>
        <s v="2022-04-11 13:52:00 UTC"/>
        <s v="2022-04-11 13:51:59 UTC"/>
        <s v="2022-04-11 13:51:56 UTC"/>
        <s v="2022-04-11 13:51:54 UTC"/>
        <s v="2022-04-11 13:51:52 UTC"/>
        <s v="2022-04-11 13:51:39 UTC"/>
        <s v="2022-04-11 13:51:08 UTC"/>
        <s v="2022-04-11 13:50:00 UTC"/>
        <s v="2022-04-11 13:49:58 UTC"/>
        <s v="2022-04-11 13:49:44 UTC"/>
        <s v="2022-04-11 13:49:40 UTC"/>
        <s v="2022-04-11 13:49:35 UTC"/>
        <s v="2022-04-11 13:49:33 UTC"/>
        <s v="2022-04-11 13:49:31 UTC"/>
        <s v="2022-04-11 13:49:27 UTC"/>
        <s v="2022-04-11 13:49:25 UTC"/>
        <s v="2022-04-11 13:48:32 UTC"/>
        <s v="2022-04-11 13:47:59 UTC"/>
        <s v="2022-04-11 13:47:58 UTC"/>
        <s v="2022-04-11 13:47:39 UTC"/>
        <s v="2022-04-11 13:47:34 UTC"/>
        <s v="2022-04-11 13:47:31 UTC"/>
        <s v="2022-04-11 13:47:29 UTC"/>
        <s v="2022-04-11 13:47:17 UTC"/>
        <s v="2022-04-11 13:47:14 UTC"/>
        <s v="2022-04-11 13:46:51 UTC"/>
        <s v="2022-04-11 13:46:46 UTC"/>
        <s v="2022-04-11 13:46:25 UTC"/>
        <s v="2022-04-11 13:46:23 UTC"/>
        <s v="2022-04-11 13:45:33 UTC"/>
        <s v="2022-04-11 13:45:21 UTC"/>
        <s v="2022-04-11 13:45:04 UTC"/>
        <s v="2022-04-11 13:44:29 UTC"/>
        <s v="2022-04-11 13:44:20 UTC"/>
        <s v="2022-04-11 13:42:52 UTC"/>
        <s v="2022-04-11 13:41:58 UTC"/>
        <s v="2022-04-11 13:40:27 UTC"/>
        <s v="2022-04-11 13:38:09 UTC"/>
        <s v="2022-04-11 13:38:06 UTC"/>
        <s v="2022-04-11 13:38:04 UTC"/>
        <s v="2022-04-11 13:37:52 UTC"/>
        <s v="2022-04-11 13:36:50 UTC"/>
        <s v="2022-04-11 13:35:07 UTC"/>
        <s v="2022-04-11 13:33:57 UTC"/>
        <s v="2022-04-11 13:33:45 UTC"/>
        <s v="2022-04-11 13:33:43 UTC"/>
        <s v="2022-04-11 13:33:42 UTC"/>
        <s v="2022-04-11 13:33:40 UTC"/>
        <s v="2022-04-11 13:33:37 UTC"/>
        <s v="2022-04-11 13:33:34 UTC"/>
        <s v="2022-04-11 13:32:25 UTC"/>
        <s v="2022-04-11 13:32:03 UTC"/>
        <s v="2022-04-11 13:31:29 UTC"/>
        <s v="2022-04-11 13:31:23 UTC"/>
        <s v="2022-04-11 13:31:09 UTC"/>
        <s v="2022-04-11 13:30:39 UTC"/>
        <s v="2022-04-11 13:30:33 UTC"/>
        <s v="2022-04-11 13:30:18 UTC"/>
        <s v="2022-04-11 13:29:54 UTC"/>
        <s v="2022-04-11 13:28:57 UTC"/>
        <s v="2022-04-11 13:28:54 UTC"/>
        <s v="2022-04-11 13:28:47 UTC"/>
        <s v="2022-04-11 13:28:01 UTC"/>
        <s v="2022-04-11 13:27:54 UTC"/>
        <s v="2022-04-11 13:27:52 UTC"/>
        <s v="2022-04-11 13:26:49 UTC"/>
        <s v="2022-04-11 13:26:39 UTC"/>
        <s v="2022-04-11 13:26:34 UTC"/>
        <s v="2022-04-11 13:25:25 UTC"/>
        <s v="2022-04-11 13:25:17 UTC"/>
        <s v="2022-04-11 13:24:57 UTC"/>
        <s v="2022-04-11 13:24:50 UTC"/>
        <s v="2022-04-11 13:24:17 UTC"/>
        <s v="2022-04-11 13:24:13 UTC"/>
        <s v="2022-04-11 13:24:07 UTC"/>
        <s v="2022-04-11 13:23:21 UTC"/>
        <s v="2022-04-11 13:23:05 UTC"/>
        <s v="2022-04-11 13:22:55 UTC"/>
        <s v="2022-04-11 13:22:53 UTC"/>
        <s v="2022-04-11 13:22:51 UTC"/>
        <s v="2022-04-11 13:21:57 UTC"/>
        <s v="2022-04-11 13:20:56 UTC"/>
        <s v="2022-04-11 13:20:46 UTC"/>
        <s v="2022-04-11 13:20:43 UTC"/>
        <s v="2022-04-11 13:18:39 UTC"/>
        <s v="2022-04-11 13:18:17 UTC"/>
        <s v="2022-04-11 13:18:07 UTC"/>
        <s v="2022-04-11 13:18:04 UTC"/>
        <s v="2022-04-11 13:17:57 UTC"/>
        <s v="2022-04-11 13:17:47 UTC"/>
        <s v="2022-04-11 13:17:42 UTC"/>
        <s v="2022-04-11 13:17:40 UTC"/>
        <s v="2022-04-11 13:17:34 UTC"/>
        <s v="2022-04-11 13:17:12 UTC"/>
        <s v="2022-04-11 13:17:08 UTC"/>
        <s v="2022-04-11 13:17:06 UTC"/>
        <s v="2022-04-11 13:15:45 UTC"/>
        <s v="2022-04-11 13:15:43 UTC"/>
        <s v="2022-04-11 13:15:42 UTC"/>
        <s v="2022-04-11 13:15:39 UTC"/>
        <s v="2022-04-11 13:15:36 UTC"/>
        <s v="2022-04-11 13:15:34 UTC"/>
        <s v="2022-04-11 13:15:27 UTC"/>
        <s v="2022-04-11 13:15:23 UTC"/>
        <s v="2022-04-11 13:15:20 UTC"/>
        <s v="2022-04-11 13:15:15 UTC"/>
        <s v="2022-04-11 13:15:13 UTC"/>
        <s v="2022-04-11 13:15:11 UTC"/>
        <s v="2022-04-11 13:15:09 UTC"/>
        <s v="2022-04-11 13:15:07 UTC"/>
        <s v="2022-04-11 13:15:05 UTC"/>
        <s v="2022-04-11 13:15:01 UTC"/>
        <s v="2022-04-11 13:14:52 UTC"/>
        <s v="2022-04-11 13:14:32 UTC"/>
        <s v="2022-04-11 13:14:29 UTC"/>
        <s v="2022-04-11 13:14:28 UTC"/>
        <s v="2022-04-11 13:14:26 UTC"/>
        <s v="2022-04-11 13:13:42 UTC"/>
        <s v="2022-04-11 13:13:19 UTC"/>
        <s v="2022-04-11 13:12:45 UTC"/>
        <s v="2022-04-11 13:12:20 UTC"/>
        <s v="2022-04-11 13:12:16 UTC"/>
        <s v="2022-04-11 13:11:30 UTC"/>
        <s v="2022-04-11 13:10:59 UTC"/>
        <s v="2022-04-11 13:10:43 UTC"/>
        <s v="2022-04-11 13:10:41 UTC"/>
        <s v="2022-04-11 13:10:30 UTC"/>
        <s v="2022-04-11 13:10:26 UTC"/>
        <s v="2022-04-11 13:10:24 UTC"/>
        <s v="2022-04-11 13:10:23 UTC"/>
        <s v="2022-04-11 13:09:58 UTC"/>
        <s v="2022-04-11 13:09:00 UTC"/>
        <s v="2022-04-11 13:08:53 UTC"/>
        <s v="2022-04-11 13:08:41 UTC"/>
        <s v="2022-04-11 13:08:22 UTC"/>
        <s v="2022-04-11 13:08:11 UTC"/>
        <s v="2022-04-11 13:08:03 UTC"/>
        <s v="2022-04-11 13:07:48 UTC"/>
        <s v="2022-04-11 13:07:46 UTC"/>
        <s v="2022-04-11 13:07:43 UTC"/>
        <s v="2022-04-11 13:07:41 UTC"/>
        <s v="2022-04-11 13:07:37 UTC"/>
        <s v="2022-04-11 13:07:34 UTC"/>
        <s v="2022-04-11 13:07:31 UTC"/>
        <s v="2022-04-11 13:06:54 UTC"/>
        <s v="2022-04-11 13:06:52 UTC"/>
        <s v="2022-04-11 13:05:38 UTC"/>
        <s v="2022-04-11 13:05:04 UTC"/>
        <s v="2022-04-11 13:04:42 UTC"/>
        <s v="2022-04-11 13:04:40 UTC"/>
        <s v="2022-04-11 13:02:51 UTC"/>
        <s v="2022-04-11 13:02:23 UTC"/>
        <s v="2022-04-11 13:01:02 UTC"/>
        <s v="2022-04-11 13:00:52 UTC"/>
        <s v="2022-04-11 13:00:49 UTC"/>
        <s v="2022-04-11 13:00:47 UTC"/>
        <s v="2022-04-11 13:00:45 UTC"/>
        <s v="2022-04-11 12:59:08 UTC"/>
        <s v="2022-04-11 12:59:02 UTC"/>
        <s v="2022-04-11 12:58:16 UTC"/>
        <s v="2022-04-11 12:58:04 UTC"/>
        <s v="2022-04-11 12:58:02 UTC"/>
        <s v="2022-04-11 12:58:01 UTC"/>
        <s v="2022-04-11 12:57:59 UTC"/>
        <s v="2022-04-11 12:57:57 UTC"/>
        <s v="2022-04-11 12:57:42 UTC"/>
        <s v="2022-04-11 12:57:38 UTC"/>
        <s v="2022-04-11 12:57:08 UTC"/>
        <s v="2022-04-11 12:56:47 UTC"/>
        <s v="2022-04-11 12:56:45 UTC"/>
        <s v="2022-04-11 12:56:34 UTC"/>
        <s v="2022-04-11 12:56:26 UTC"/>
        <s v="2022-04-11 12:54:41 UTC"/>
        <s v="2022-04-11 12:52:39 UTC"/>
        <s v="2022-04-11 12:51:36 UTC"/>
        <s v="2022-04-11 12:51:29 UTC"/>
        <s v="2022-04-11 12:51:26 UTC"/>
        <s v="2022-04-11 12:51:22 UTC"/>
        <s v="2022-04-11 12:50:00 UTC"/>
        <s v="2022-04-11 12:48:21 UTC"/>
        <s v="2022-04-11 12:48:17 UTC"/>
        <s v="2022-04-11 12:47:55 UTC"/>
        <s v="2022-04-11 12:47:45 UTC"/>
        <s v="2022-04-11 12:47:24 UTC"/>
        <s v="2022-04-11 12:47:10 UTC"/>
        <s v="2022-04-11 12:46:57 UTC"/>
        <s v="2022-04-11 12:46:55 UTC"/>
        <s v="2022-04-11 12:46:52 UTC"/>
        <s v="2022-04-11 12:46:50 UTC"/>
        <s v="2022-04-11 12:46:46 UTC"/>
        <s v="2022-04-11 12:46:44 UTC"/>
        <s v="2022-04-11 12:46:40 UTC"/>
        <s v="2022-04-11 12:46:32 UTC"/>
        <s v="2022-04-11 12:46:05 UTC"/>
        <s v="2022-04-11 12:45:03 UTC"/>
        <s v="2022-04-11 12:45:01 UTC"/>
        <s v="2022-04-11 12:43:56 UTC"/>
        <s v="2022-04-11 12:43:33 UTC"/>
        <s v="2022-04-11 12:43:28 UTC"/>
        <s v="2022-04-11 12:43:23 UTC"/>
        <s v="2022-04-11 12:42:58 UTC"/>
        <s v="2022-04-11 12:41:17 UTC"/>
        <s v="2022-04-11 12:40:52 UTC"/>
        <s v="2022-04-11 12:40:39 UTC"/>
        <s v="2022-04-11 12:40:35 UTC"/>
        <s v="2022-04-11 12:40:34 UTC"/>
        <s v="2022-04-11 12:40:29 UTC"/>
        <s v="2022-04-11 12:40:10 UTC"/>
        <s v="2022-04-11 12:39:48 UTC"/>
        <s v="2022-04-11 12:38:59 UTC"/>
        <s v="2022-04-11 12:38:42 UTC"/>
        <s v="2022-04-11 12:37:26 UTC"/>
        <s v="2022-04-11 12:36:37 UTC"/>
        <s v="2022-04-11 12:36:31 UTC"/>
        <s v="2022-04-11 12:36:28 UTC"/>
        <s v="2022-04-11 12:36:08 UTC"/>
        <s v="2022-04-11 12:36:02 UTC"/>
        <s v="2022-04-11 12:35:57 UTC"/>
        <s v="2022-04-11 12:35:07 UTC"/>
        <s v="2022-04-11 12:34:57 UTC"/>
        <s v="2022-04-11 12:34:51 UTC"/>
        <s v="2022-04-11 12:34:46 UTC"/>
        <s v="2022-04-11 12:34:44 UTC"/>
        <s v="2022-04-11 12:34:42 UTC"/>
        <s v="2022-04-11 12:34:41 UTC"/>
        <s v="2022-04-11 12:34:36 UTC"/>
        <s v="2022-04-11 12:34:34 UTC"/>
        <s v="2022-04-11 12:34:08 UTC"/>
        <s v="2022-04-11 12:33:41 UTC"/>
        <s v="2022-04-11 12:33:02 UTC"/>
        <s v="2022-04-11 12:33:01 UTC"/>
        <s v="2022-04-11 12:32:44 UTC"/>
        <s v="2022-04-11 12:32:40 UTC"/>
        <s v="2022-04-11 12:32:35 UTC"/>
        <s v="2022-04-11 12:32:27 UTC"/>
        <s v="2022-04-11 12:32:18 UTC"/>
        <s v="2022-04-11 12:32:14 UTC"/>
        <s v="2022-04-11 12:32:08 UTC"/>
        <s v="2022-04-11 12:32:02 UTC"/>
        <s v="2022-04-11 12:31:57 UTC"/>
        <s v="2022-04-11 12:31:55 UTC"/>
        <s v="2022-04-11 12:31:51 UTC"/>
        <s v="2022-04-11 12:31:35 UTC"/>
        <s v="2022-04-11 12:31:20 UTC"/>
        <s v="2022-04-11 12:31:06 UTC"/>
        <s v="2022-04-11 12:30:56 UTC"/>
        <s v="2022-04-11 12:30:53 UTC"/>
        <s v="2022-04-11 12:30:47 UTC"/>
        <s v="2022-04-11 12:30:45 UTC"/>
        <s v="2022-04-11 12:30:44 UTC"/>
        <s v="2022-04-11 12:30:41 UTC"/>
        <s v="2022-04-11 12:30:10 UTC"/>
        <s v="2022-04-11 12:30:01 UTC"/>
        <s v="2022-04-11 12:29:12 UTC"/>
        <s v="2022-04-11 12:29:07 UTC"/>
        <s v="2022-04-11 12:29:03 UTC"/>
        <s v="2022-04-11 12:29:01 UTC"/>
        <s v="2022-04-11 12:28:58 UTC"/>
        <s v="2022-04-11 12:28:52 UTC"/>
        <s v="2022-04-11 12:28:20 UTC"/>
        <s v="2022-04-11 12:27:29 UTC"/>
        <s v="2022-04-11 12:27:27 UTC"/>
        <s v="2022-04-11 12:27:04 UTC"/>
        <s v="2022-04-11 12:26:51 UTC"/>
        <s v="2022-04-11 12:26:46 UTC"/>
        <s v="2022-04-11 12:26:24 UTC"/>
        <s v="2022-04-11 12:26:20 UTC"/>
        <s v="2022-04-11 12:26:01 UTC"/>
        <s v="2022-04-11 12:24:56 UTC"/>
        <s v="2022-04-11 12:24:54 UTC"/>
        <s v="2022-04-11 12:24:52 UTC"/>
        <s v="2022-04-11 12:24:48 UTC"/>
        <s v="2022-04-11 12:24:44 UTC"/>
        <s v="2022-04-11 12:24:42 UTC"/>
        <s v="2022-04-11 12:24:40 UTC"/>
        <s v="2022-04-11 12:24:37 UTC"/>
        <s v="2022-04-11 12:24:32 UTC"/>
        <s v="2022-04-11 12:24:27 UTC"/>
        <s v="2022-04-11 12:24:22 UTC"/>
        <s v="2022-04-11 12:24:18 UTC"/>
        <s v="2022-04-11 12:23:55 UTC"/>
        <s v="2022-04-11 12:22:54 UTC"/>
        <s v="2022-04-11 12:22:52 UTC"/>
        <s v="2022-04-11 12:22:51 UTC"/>
        <s v="2022-04-11 12:22:49 UTC"/>
        <s v="2022-04-11 12:22:46 UTC"/>
        <s v="2022-04-11 12:22:44 UTC"/>
        <s v="2022-04-11 12:21:42 UTC"/>
        <s v="2022-04-11 12:21:35 UTC"/>
        <s v="2022-04-11 12:20:57 UTC"/>
        <s v="2022-04-11 12:20:50 UTC"/>
        <s v="2022-04-11 12:20:04 UTC"/>
        <s v="2022-04-11 12:20:00 UTC"/>
        <s v="2022-04-11 12:19:36 UTC"/>
        <s v="2022-04-11 12:18:58 UTC"/>
        <s v="2022-04-11 12:18:32 UTC"/>
        <s v="2022-04-11 12:17:16 UTC"/>
        <s v="2022-04-11 12:16:19 UTC"/>
        <s v="2022-04-11 12:16:17 UTC"/>
        <s v="2022-04-11 12:16:14 UTC"/>
        <s v="2022-04-11 12:16:12 UTC"/>
        <s v="2022-04-11 12:15:52 UTC"/>
        <s v="2022-04-11 12:15:10 UTC"/>
        <s v="2022-04-11 12:14:44 UTC"/>
        <s v="2022-04-11 12:14:35 UTC"/>
        <s v="2022-04-11 12:14:27 UTC"/>
        <s v="2022-04-11 12:14:19 UTC"/>
        <s v="2022-04-11 12:13:55 UTC"/>
        <s v="2022-04-11 12:13:51 UTC"/>
        <s v="2022-04-11 12:12:49 UTC"/>
        <s v="2022-04-11 12:11:50 UTC"/>
        <s v="2022-04-11 12:11:16 UTC"/>
        <s v="2022-04-11 12:09:39 UTC"/>
        <s v="2022-04-11 12:07:28 UTC"/>
        <s v="2022-04-11 12:07:03 UTC"/>
        <s v="2022-04-11 12:05:51 UTC"/>
        <s v="2022-04-11 12:05:40 UTC"/>
        <s v="2022-04-11 12:05:38 UTC"/>
        <s v="2022-04-11 12:05:28 UTC"/>
        <s v="2022-04-11 12:05:21 UTC"/>
        <s v="2022-04-11 12:05:16 UTC"/>
        <s v="2022-04-11 12:05:07 UTC"/>
        <s v="2022-04-11 12:05:05 UTC"/>
        <s v="2022-04-11 12:03:49 UTC"/>
        <s v="2022-04-11 12:03:24 UTC"/>
        <s v="2022-04-11 12:02:22 UTC"/>
        <s v="2022-04-11 12:02:09 UTC"/>
        <s v="2022-04-11 12:01:30 UTC"/>
        <s v="2022-04-11 11:59:56 UTC"/>
        <s v="2022-04-11 11:59:38 UTC"/>
        <s v="2022-04-11 11:58:51 UTC"/>
        <s v="2022-04-11 11:58:21 UTC"/>
        <s v="2022-04-11 11:58:18 UTC"/>
        <s v="2022-04-11 11:57:54 UTC"/>
        <s v="2022-04-11 11:57:29 UTC"/>
        <s v="2022-04-11 11:57:28 UTC"/>
        <s v="2022-04-11 11:57:26 UTC"/>
        <s v="2022-04-11 11:57:25 UTC"/>
        <s v="2022-04-11 11:57:24 UTC"/>
        <s v="2022-04-11 11:57:23 UTC"/>
        <s v="2022-04-11 11:57:22 UTC"/>
        <s v="2022-04-11 11:57:20 UTC"/>
        <s v="2022-04-11 11:57:19 UTC"/>
        <s v="2022-04-11 11:57:18 UTC"/>
        <s v="2022-04-11 11:57:17 UTC"/>
        <s v="2022-04-11 11:57:15 UTC"/>
        <s v="2022-04-11 11:57:14 UTC"/>
        <s v="2022-04-11 11:57:13 UTC"/>
        <s v="2022-04-11 11:57:11 UTC"/>
        <s v="2022-04-11 11:57:10 UTC"/>
        <s v="2022-04-11 11:57:09 UTC"/>
        <s v="2022-04-11 11:57:07 UTC"/>
        <s v="2022-04-11 11:57:06 UTC"/>
        <s v="2022-04-11 11:57:04 UTC"/>
        <s v="2022-04-11 11:56:22 UTC"/>
        <s v="2022-04-11 11:56:20 UTC"/>
        <s v="2022-04-11 11:56:09 UTC"/>
        <s v="2022-04-11 11:55:45 UTC"/>
        <s v="2022-04-11 11:55:23 UTC"/>
        <s v="2022-04-11 11:54:04 UTC"/>
        <s v="2022-04-11 11:52:09 UTC"/>
        <s v="2022-04-11 11:52:07 UTC"/>
        <s v="2022-04-11 11:51:08 UTC"/>
        <s v="2022-04-11 11:50:21 UTC"/>
        <s v="2022-04-11 11:47:57 UTC"/>
        <s v="2022-04-11 11:47:53 UTC"/>
        <s v="2022-04-11 11:47:51 UTC"/>
        <s v="2022-04-11 11:47:50 UTC"/>
        <s v="2022-04-11 11:47:48 UTC"/>
        <s v="2022-04-11 11:47:42 UTC"/>
        <s v="2022-04-11 11:47:40 UTC"/>
        <s v="2022-04-11 11:46:39 UTC"/>
        <s v="2022-04-11 11:46:35 UTC"/>
        <s v="2022-04-11 11:46:33 UTC"/>
        <s v="2022-04-11 11:46:28 UTC"/>
        <s v="2022-04-11 11:45:06 UTC"/>
        <s v="2022-04-11 11:45:05 UTC"/>
        <s v="2022-04-11 11:43:34 UTC"/>
        <s v="2022-04-11 11:43:11 UTC"/>
        <s v="2022-04-11 11:42:24 UTC"/>
        <s v="2022-04-11 11:42:18 UTC"/>
        <s v="2022-04-11 11:42:14 UTC"/>
        <s v="2022-04-11 11:42:09 UTC"/>
        <s v="2022-04-11 11:42:00 UTC"/>
        <s v="2022-04-11 11:41:54 UTC"/>
        <s v="2022-04-11 11:41:49 UTC"/>
        <s v="2022-04-11 11:41:11 UTC"/>
        <s v="2022-04-11 11:41:01 UTC"/>
        <s v="2022-04-11 11:40:52 UTC"/>
        <s v="2022-04-11 11:40:50 UTC"/>
        <s v="2022-04-11 11:40:48 UTC"/>
        <s v="2022-04-11 11:40:43 UTC"/>
        <s v="2022-04-11 11:40:35 UTC"/>
        <s v="2022-04-11 11:40:02 UTC"/>
        <s v="2022-04-11 11:39:35 UTC"/>
        <s v="2022-04-11 11:38:58 UTC"/>
        <s v="2022-04-11 11:38:49 UTC"/>
        <s v="2022-04-11 11:38:45 UTC"/>
        <s v="2022-04-11 11:38:40 UTC"/>
        <s v="2022-04-11 11:38:28 UTC"/>
        <s v="2022-04-11 11:38:26 UTC"/>
        <s v="2022-04-11 11:38:07 UTC"/>
        <s v="2022-04-11 11:37:08 UTC"/>
        <s v="2022-04-11 11:36:04 UTC"/>
        <s v="2022-04-11 11:36:02 UTC"/>
        <s v="2022-04-11 11:34:22 UTC"/>
        <s v="2022-04-11 11:32:36 UTC"/>
        <s v="2022-04-11 11:32:21 UTC"/>
        <s v="2022-04-11 11:32:13 UTC"/>
        <s v="2022-04-11 11:31:42 UTC"/>
        <s v="2022-04-11 11:31:34 UTC"/>
        <s v="2022-04-11 11:31:10 UTC"/>
        <s v="2022-04-11 11:31:07 UTC"/>
        <s v="2022-04-11 11:31:03 UTC"/>
        <s v="2022-04-11 11:30:54 UTC"/>
        <s v="2022-04-11 11:30:52 UTC"/>
        <s v="2022-04-11 11:29:19 UTC"/>
        <s v="2022-04-11 11:28:59 UTC"/>
        <s v="2022-04-11 11:28:55 UTC"/>
        <s v="2022-04-11 11:28:52 UTC"/>
        <s v="2022-04-11 11:28:36 UTC"/>
        <s v="2022-04-11 11:27:13 UTC"/>
        <s v="2022-04-11 11:26:22 UTC"/>
        <s v="2022-04-11 11:26:19 UTC"/>
        <s v="2022-04-11 11:26:08 UTC"/>
        <s v="2022-04-11 11:25:57 UTC"/>
        <s v="2022-04-11 11:25:50 UTC"/>
        <s v="2022-04-11 11:25:48 UTC"/>
        <s v="2022-04-11 11:25:44 UTC"/>
        <s v="2022-04-11 11:25:43 UTC"/>
        <s v="2022-04-11 11:25:31 UTC"/>
        <s v="2022-04-11 11:25:12 UTC"/>
        <s v="2022-04-11 11:25:10 UTC"/>
        <s v="2022-04-11 11:24:25 UTC"/>
        <s v="2022-04-11 11:23:55 UTC"/>
        <s v="2022-04-11 11:23:49 UTC"/>
        <s v="2022-04-11 11:23:48 UTC"/>
        <s v="2022-04-11 11:23:46 UTC"/>
        <s v="2022-04-11 11:23:43 UTC"/>
        <s v="2022-04-11 11:23:41 UTC"/>
        <s v="2022-04-11 11:23:37 UTC"/>
        <s v="2022-04-11 11:23:35 UTC"/>
        <s v="2022-04-11 11:23:00 UTC"/>
        <s v="2022-04-11 11:22:56 UTC"/>
        <s v="2022-04-11 11:22:55 UTC"/>
        <s v="2022-04-11 11:22:53 UTC"/>
        <s v="2022-04-11 11:22:50 UTC"/>
        <s v="2022-04-11 11:22:49 UTC"/>
        <s v="2022-04-11 11:22:47 UTC"/>
        <s v="2022-04-11 11:22:45 UTC"/>
        <s v="2022-04-11 11:22:43 UTC"/>
        <s v="2022-04-11 11:22:39 UTC"/>
        <s v="2022-04-11 11:22:23 UTC"/>
        <s v="2022-04-11 11:22:22 UTC"/>
        <s v="2022-04-11 11:22:15 UTC"/>
        <s v="2022-04-11 11:22:14 UTC"/>
        <s v="2022-04-11 11:22:07 UTC"/>
        <s v="2022-04-11 11:22:05 UTC"/>
        <s v="2022-04-11 11:22:03 UTC"/>
        <s v="2022-04-11 11:21:41 UTC"/>
        <s v="2022-04-11 11:21:17 UTC"/>
        <s v="2022-04-11 11:21:15 UTC"/>
        <s v="2022-04-11 11:20:52 UTC"/>
        <s v="2022-04-11 11:20:22 UTC"/>
        <s v="2022-04-11 11:20:21 UTC"/>
        <s v="2022-04-11 11:20:20 UTC"/>
        <s v="2022-04-11 11:20:19 UTC"/>
        <s v="2022-04-11 11:20:18 UTC"/>
        <s v="2022-04-11 11:20:17 UTC"/>
        <s v="2022-04-11 11:20:16 UTC"/>
        <s v="2022-04-11 11:20:15 UTC"/>
        <s v="2022-04-11 11:20:14 UTC"/>
        <s v="2022-04-11 11:20:12 UTC"/>
        <s v="2022-04-11 11:20:11 UTC"/>
        <s v="2022-04-11 11:20:10 UTC"/>
        <s v="2022-04-11 11:20:09 UTC"/>
        <s v="2022-04-11 11:20:08 UTC"/>
        <s v="2022-04-11 11:20:07 UTC"/>
        <s v="2022-04-11 11:20:06 UTC"/>
        <s v="2022-04-11 11:20:05 UTC"/>
        <s v="2022-04-11 11:20:04 UTC"/>
        <s v="2022-04-11 11:20:03 UTC"/>
        <s v="2022-04-11 11:20:02 UTC"/>
        <s v="2022-04-11 11:20:01 UTC"/>
        <s v="2022-04-11 11:20:00 UTC"/>
        <s v="2022-04-11 11:19:59 UTC"/>
        <s v="2022-04-11 11:19:58 UTC"/>
        <s v="2022-04-11 11:19:57 UTC"/>
        <s v="2022-04-11 11:19:56 UTC"/>
        <s v="2022-04-11 11:19:55 UTC"/>
        <s v="2022-04-11 11:19:54 UTC"/>
        <s v="2022-04-11 11:19:53 UTC"/>
        <s v="2022-04-11 11:19:51 UTC"/>
        <s v="2022-04-11 11:19:50 UTC"/>
        <s v="2022-04-11 11:19:49 UTC"/>
        <s v="2022-04-11 11:19:48 UTC"/>
        <s v="2022-04-11 11:19:47 UTC"/>
        <s v="2022-04-11 11:19:46 UTC"/>
        <s v="2022-04-11 11:19:45 UTC"/>
        <s v="2022-04-11 11:19:44 UTC"/>
        <s v="2022-04-11 11:19:43 UTC"/>
        <s v="2022-04-11 11:19:42 UTC"/>
        <s v="2022-04-11 11:19:41 UTC"/>
        <s v="2022-04-11 11:19:40 UTC"/>
        <s v="2022-04-11 11:19:39 UTC"/>
        <s v="2022-04-11 11:19:22 UTC"/>
        <s v="2022-04-11 11:19:19 UTC"/>
        <s v="2022-04-11 11:19:15 UTC"/>
        <s v="2022-04-11 11:17:58 UTC"/>
        <s v="2022-04-11 11:17:39 UTC"/>
        <s v="2022-04-11 11:16:44 UTC"/>
        <s v="2022-04-11 11:16:37 UTC"/>
        <s v="2022-04-11 11:16:35 UTC"/>
        <s v="2022-04-11 11:16:04 UTC"/>
        <s v="2022-04-11 11:15:59 UTC"/>
        <s v="2022-04-11 11:15:13 UTC"/>
        <s v="2022-04-11 11:15:10 UTC"/>
        <s v="2022-04-11 11:15:06 UTC"/>
        <s v="2022-04-11 11:14:19 UTC"/>
        <s v="2022-04-11 11:14:17 UTC"/>
        <s v="2022-04-11 11:14:08 UTC"/>
        <s v="2022-04-11 11:13:46 UTC"/>
        <s v="2022-04-11 11:13:26 UTC"/>
        <s v="2022-04-11 11:13:00 UTC"/>
        <s v="2022-04-11 11:12:57 UTC"/>
        <s v="2022-04-11 11:12:55 UTC"/>
        <s v="2022-04-11 11:12:53 UTC"/>
        <s v="2022-04-11 11:12:51 UTC"/>
        <s v="2022-04-11 11:12:42 UTC"/>
        <s v="2022-04-11 11:12:39 UTC"/>
        <s v="2022-04-11 11:12:37 UTC"/>
        <s v="2022-04-11 11:12:34 UTC"/>
        <s v="2022-04-11 11:11:58 UTC"/>
        <s v="2022-04-11 11:11:53 UTC"/>
        <s v="2022-04-11 11:11:49 UTC"/>
        <s v="2022-04-11 11:11:45 UTC"/>
        <s v="2022-04-11 11:11:41 UTC"/>
        <s v="2022-04-11 11:11:38 UTC"/>
        <s v="2022-04-11 11:11:36 UTC"/>
        <s v="2022-04-11 11:11:35 UTC"/>
        <s v="2022-04-11 11:11:33 UTC"/>
        <s v="2022-04-11 11:11:31 UTC"/>
        <s v="2022-04-11 11:11:29 UTC"/>
        <s v="2022-04-11 11:11:28 UTC"/>
        <s v="2022-04-11 11:11:26 UTC"/>
        <s v="2022-04-11 11:11:24 UTC"/>
        <s v="2022-04-11 11:11:23 UTC"/>
        <s v="2022-04-11 11:11:21 UTC"/>
        <s v="2022-04-11 11:11:20 UTC"/>
        <s v="2022-04-11 11:11:15 UTC"/>
        <s v="2022-04-11 11:11:13 UTC"/>
        <s v="2022-04-11 11:11:10 UTC"/>
        <s v="2022-04-11 11:11:09 UTC"/>
        <s v="2022-04-11 11:11:07 UTC"/>
        <s v="2022-04-11 11:11:05 UTC"/>
        <s v="2022-04-11 11:11:04 UTC"/>
        <s v="2022-04-11 11:11:02 UTC"/>
        <s v="2022-04-11 11:11:01 UTC"/>
        <s v="2022-04-11 11:11:00 UTC"/>
        <s v="2022-04-11 11:10:58 UTC"/>
        <s v="2022-04-11 11:10:54 UTC"/>
        <s v="2022-04-11 11:10:49 UTC"/>
        <s v="2022-04-11 11:08:28 UTC"/>
        <s v="2022-04-11 11:08:22 UTC"/>
        <s v="2022-04-11 11:08:14 UTC"/>
        <s v="2022-04-11 11:08:12 UTC"/>
        <s v="2022-04-11 11:08:07 UTC"/>
        <s v="2022-04-11 11:08:01 UTC"/>
        <s v="2022-04-11 11:07:50 UTC"/>
        <s v="2022-04-11 11:07:45 UTC"/>
        <s v="2022-04-11 11:07:42 UTC"/>
        <s v="2022-04-11 11:07:13 UTC"/>
        <s v="2022-04-11 11:06:51 UTC"/>
        <s v="2022-04-11 11:06:47 UTC"/>
        <s v="2022-04-11 11:06:35 UTC"/>
        <s v="2022-04-11 11:06:30 UTC"/>
        <s v="2022-04-11 11:06:26 UTC"/>
        <s v="2022-04-11 11:06:13 UTC"/>
        <s v="2022-04-11 11:04:51 UTC"/>
        <s v="2022-04-11 11:04:41 UTC"/>
        <s v="2022-04-11 11:04:37 UTC"/>
        <s v="2022-04-11 11:04:32 UTC"/>
        <s v="2022-04-11 11:04:28 UTC"/>
        <s v="2022-04-11 11:04:20 UTC"/>
        <s v="2022-04-11 11:04:19 UTC"/>
        <s v="2022-04-11 11:04:17 UTC"/>
        <s v="2022-04-11 11:04:16 UTC"/>
        <s v="2022-04-11 11:04:14 UTC"/>
        <s v="2022-04-11 11:04:13 UTC"/>
        <s v="2022-04-11 11:04:11 UTC"/>
        <s v="2022-04-11 11:04:03 UTC"/>
        <s v="2022-04-11 11:03:48 UTC"/>
        <s v="2022-04-11 11:03:45 UTC"/>
        <s v="2022-04-11 11:03:42 UTC"/>
        <s v="2022-04-11 11:03:35 UTC"/>
        <s v="2022-04-11 11:03:29 UTC"/>
        <s v="2022-04-11 11:03:26 UTC"/>
        <s v="2022-04-11 11:03:23 UTC"/>
        <s v="2022-04-11 11:03:20 UTC"/>
        <s v="2022-04-11 11:03:18 UTC"/>
        <s v="2022-04-11 11:03:17 UTC"/>
        <s v="2022-04-11 11:03:13 UTC"/>
        <s v="2022-04-11 11:02:33 UTC"/>
        <s v="2022-04-11 11:02:31 UTC"/>
        <s v="2022-04-11 11:02:11 UTC"/>
        <s v="2022-04-11 11:02:08 UTC"/>
        <s v="2022-04-11 11:02:05 UTC"/>
        <s v="2022-04-11 11:01:57 UTC"/>
        <s v="2022-04-11 11:00:44 UTC"/>
        <s v="2022-04-11 10:59:46 UTC"/>
        <s v="2022-04-11 10:58:41 UTC"/>
        <s v="2022-04-11 10:54:10 UTC"/>
        <s v="2022-04-11 10:53:57 UTC"/>
        <s v="2022-04-11 10:53:50 UTC"/>
        <s v="2022-04-11 10:53:43 UTC"/>
        <s v="2022-04-11 10:53:41 UTC"/>
        <s v="2022-04-11 10:53:40 UTC"/>
        <s v="2022-04-11 10:53:31 UTC"/>
        <s v="2022-04-11 10:53:14 UTC"/>
        <s v="2022-04-11 10:52:25 UTC"/>
        <s v="2022-04-11 10:52:16 UTC"/>
        <s v="2022-04-11 10:52:11 UTC"/>
        <s v="2022-04-11 10:51:45 UTC"/>
        <s v="2022-04-11 10:51:29 UTC"/>
        <s v="2022-04-11 10:51:04 UTC"/>
        <s v="2022-04-11 10:50:37 UTC"/>
        <s v="2022-04-11 10:50:34 UTC"/>
        <s v="2022-04-11 10:50:31 UTC"/>
        <s v="2022-04-11 10:49:26 UTC"/>
        <s v="2022-04-11 10:49:20 UTC"/>
        <s v="2022-04-11 10:48:39 UTC"/>
        <s v="2022-04-11 10:48:12 UTC"/>
        <s v="2022-04-11 10:47:29 UTC"/>
        <s v="2022-04-11 10:47:04 UTC"/>
        <s v="2022-04-11 10:46:49 UTC"/>
        <s v="2022-04-11 10:45:50 UTC"/>
        <s v="2022-04-11 10:45:49 UTC"/>
        <s v="2022-04-11 10:45:47 UTC"/>
        <s v="2022-04-11 10:45:44 UTC"/>
        <s v="2022-04-11 10:45:38 UTC"/>
        <s v="2022-04-11 10:45:32 UTC"/>
        <s v="2022-04-11 10:45:27 UTC"/>
        <s v="2022-04-11 10:45:26 UTC"/>
        <s v="2022-04-11 10:45:16 UTC"/>
        <s v="2022-04-11 10:45:10 UTC"/>
        <s v="2022-04-11 10:45:08 UTC"/>
        <s v="2022-04-11 10:45:06 UTC"/>
        <s v="2022-04-11 10:45:04 UTC"/>
        <s v="2022-04-11 10:44:20 UTC"/>
        <s v="2022-04-11 10:44:19 UTC"/>
        <s v="2022-04-11 10:44:09 UTC"/>
        <s v="2022-04-11 10:43:50 UTC"/>
        <s v="2022-04-11 10:43:23 UTC"/>
        <s v="2022-04-11 10:43:07 UTC"/>
        <s v="2022-04-11 10:43:05 UTC"/>
        <s v="2022-04-11 10:42:43 UTC"/>
        <s v="2022-04-11 10:42:39 UTC"/>
        <s v="2022-04-11 10:42:22 UTC"/>
        <s v="2022-04-11 10:41:45 UTC"/>
        <s v="2022-04-11 10:41:42 UTC"/>
        <s v="2022-04-11 10:41:41 UTC"/>
        <s v="2022-04-11 10:41:31 UTC"/>
        <s v="2022-04-11 10:41:30 UTC"/>
        <s v="2022-04-11 10:41:29 UTC"/>
        <s v="2022-04-11 10:41:28 UTC"/>
        <s v="2022-04-11 10:41:26 UTC"/>
        <s v="2022-04-11 10:41:25 UTC"/>
        <s v="2022-04-11 10:41:09 UTC"/>
        <s v="2022-04-11 10:41:06 UTC"/>
        <s v="2022-04-11 10:40:58 UTC"/>
        <s v="2022-04-11 10:40:52 UTC"/>
        <s v="2022-04-11 10:40:51 UTC"/>
        <s v="2022-04-11 10:40:49 UTC"/>
        <s v="2022-04-11 10:40:48 UTC"/>
        <s v="2022-04-11 10:40:42 UTC"/>
        <s v="2022-04-11 10:40:40 UTC"/>
        <s v="2022-04-11 10:40:39 UTC"/>
        <s v="2022-04-11 10:40:37 UTC"/>
        <s v="2022-04-11 10:40:34 UTC"/>
        <s v="2022-04-11 10:40:26 UTC"/>
        <s v="2022-04-11 10:39:55 UTC"/>
        <s v="2022-04-11 10:39:25 UTC"/>
        <s v="2022-04-11 10:39:17 UTC"/>
        <s v="2022-04-11 10:38:56 UTC"/>
        <s v="2022-04-11 10:38:27 UTC"/>
        <s v="2022-04-11 10:38:25 UTC"/>
        <s v="2022-04-11 10:37:46 UTC"/>
        <s v="2022-04-11 10:37:44 UTC"/>
        <s v="2022-04-11 10:37:43 UTC"/>
        <s v="2022-04-11 10:37:41 UTC"/>
        <s v="2022-04-11 10:37:37 UTC"/>
        <s v="2022-04-11 10:37:36 UTC"/>
        <s v="2022-04-11 10:37:34 UTC"/>
        <s v="2022-04-11 10:37:33 UTC"/>
        <s v="2022-04-11 10:37:29 UTC"/>
        <s v="2022-04-11 10:37:27 UTC"/>
        <s v="2022-04-11 10:37:25 UTC"/>
        <s v="2022-04-11 10:37:16 UTC"/>
        <s v="2022-04-11 10:37:10 UTC"/>
        <s v="2022-04-11 10:36:14 UTC"/>
        <s v="2022-04-11 10:36:09 UTC"/>
        <s v="2022-04-11 10:35:43 UTC"/>
        <s v="2022-04-11 10:35:36 UTC"/>
        <s v="2022-04-11 10:34:25 UTC"/>
        <s v="2022-04-11 10:34:23 UTC"/>
        <s v="2022-04-11 10:34:20 UTC"/>
        <s v="2022-04-11 10:34:18 UTC"/>
        <s v="2022-04-11 10:34:15 UTC"/>
        <s v="2022-04-11 10:33:49 UTC"/>
        <s v="2022-04-11 10:33:40 UTC"/>
        <s v="2022-04-11 10:33:37 UTC"/>
        <s v="2022-04-11 10:33:07 UTC"/>
        <s v="2022-04-11 10:33:01 UTC"/>
        <s v="2022-04-11 10:33:00 UTC"/>
        <s v="2022-04-11 10:32:57 UTC"/>
        <s v="2022-04-11 10:32:54 UTC"/>
        <s v="2022-04-11 10:32:52 UTC"/>
        <s v="2022-04-11 10:32:47 UTC"/>
        <s v="2022-04-11 10:32:45 UTC"/>
        <s v="2022-04-11 10:32:38 UTC"/>
        <s v="2022-04-11 10:32:34 UTC"/>
        <s v="2022-04-11 10:32:31 UTC"/>
        <s v="2022-04-11 10:32:28 UTC"/>
        <s v="2022-04-11 10:32:25 UTC"/>
        <s v="2022-04-11 10:32:13 UTC"/>
        <s v="2022-04-11 10:31:25 UTC"/>
        <s v="2022-04-11 10:31:24 UTC"/>
        <s v="2022-04-11 10:31:03 UTC"/>
        <s v="2022-04-11 10:30:14 UTC"/>
        <s v="2022-04-11 10:30:11 UTC"/>
        <s v="2022-04-11 10:30:07 UTC"/>
        <s v="2022-04-11 10:30:04 UTC"/>
        <s v="2022-04-11 10:30:02 UTC"/>
        <s v="2022-04-11 10:29:56 UTC"/>
        <s v="2022-04-11 10:29:51 UTC"/>
        <s v="2022-04-11 10:29:45 UTC"/>
        <s v="2022-04-11 10:29:41 UTC"/>
        <s v="2022-04-11 10:29:37 UTC"/>
        <s v="2022-04-11 10:29:31 UTC"/>
        <s v="2022-04-11 10:29:30 UTC"/>
        <s v="2022-04-11 10:28:45 UTC"/>
        <s v="2022-04-11 10:28:27 UTC"/>
        <s v="2022-04-11 10:28:22 UTC"/>
        <s v="2022-04-11 10:28:19 UTC"/>
        <s v="2022-04-11 10:28:01 UTC"/>
        <s v="2022-04-11 10:27:32 UTC"/>
        <s v="2022-04-11 10:27:20 UTC"/>
        <s v="2022-04-11 10:27:02 UTC"/>
        <s v="2022-04-11 10:27:00 UTC"/>
        <s v="2022-04-11 10:26:53 UTC"/>
        <s v="2022-04-11 10:26:50 UTC"/>
        <s v="2022-04-11 10:26:42 UTC"/>
        <s v="2022-04-11 10:26:12 UTC"/>
        <s v="2022-04-11 10:26:10 UTC"/>
        <s v="2022-04-11 10:25:58 UTC"/>
        <s v="2022-04-11 10:25:31 UTC"/>
        <s v="2022-04-11 10:25:18 UTC"/>
        <s v="2022-04-11 10:25:14 UTC"/>
        <s v="2022-04-11 10:24:48 UTC"/>
        <s v="2022-04-11 10:24:41 UTC"/>
        <s v="2022-04-11 10:24:37 UTC"/>
        <s v="2022-04-11 10:24:29 UTC"/>
        <s v="2022-04-11 10:24:27 UTC"/>
        <s v="2022-04-11 10:24:26 UTC"/>
        <s v="2022-04-11 10:24:22 UTC"/>
        <s v="2022-04-11 10:24:17 UTC"/>
        <s v="2022-04-11 10:24:11 UTC"/>
        <s v="2022-04-11 10:23:58 UTC"/>
        <s v="2022-04-11 10:23:55 UTC"/>
        <s v="2022-04-11 10:23:52 UTC"/>
        <s v="2022-04-11 10:22:39 UTC"/>
        <s v="2022-04-11 10:22:13 UTC"/>
        <s v="2022-04-11 10:22:12 UTC"/>
        <s v="2022-04-11 10:22:08 UTC"/>
        <s v="2022-04-11 10:22:07 UTC"/>
        <s v="2022-04-11 10:22:06 UTC"/>
        <s v="2022-04-11 10:22:05 UTC"/>
        <s v="2022-04-11 10:22:02 UTC"/>
        <s v="2022-04-11 10:22:01 UTC"/>
        <s v="2022-04-11 10:21:56 UTC"/>
        <s v="2022-04-11 10:21:34 UTC"/>
        <s v="2022-04-11 10:21:30 UTC"/>
        <s v="2022-04-11 10:21:28 UTC"/>
        <s v="2022-04-11 10:21:19 UTC"/>
        <s v="2022-04-11 10:21:16 UTC"/>
        <s v="2022-04-11 10:21:14 UTC"/>
        <s v="2022-04-11 10:21:05 UTC"/>
        <s v="2022-04-11 10:21:03 UTC"/>
        <s v="2022-04-11 10:20:50 UTC"/>
        <s v="2022-04-11 10:20:47 UTC"/>
        <s v="2022-04-11 10:20:32 UTC"/>
        <s v="2022-04-11 10:20:29 UTC"/>
        <s v="2022-04-11 10:20:25 UTC"/>
        <s v="2022-04-11 10:20:23 UTC"/>
        <s v="2022-04-11 10:20:21 UTC"/>
        <s v="2022-04-11 10:20:19 UTC"/>
        <s v="2022-04-11 10:20:15 UTC"/>
        <s v="2022-04-11 10:20:02 UTC"/>
        <s v="2022-04-11 10:19:57 UTC"/>
        <s v="2022-04-11 10:19:56 UTC"/>
        <s v="2022-04-11 10:19:55 UTC"/>
        <s v="2022-04-11 10:19:53 UTC"/>
        <s v="2022-04-11 10:19:52 UTC"/>
        <s v="2022-04-11 10:19:51 UTC"/>
        <s v="2022-04-11 10:19:43 UTC"/>
        <s v="2022-04-11 10:19:42 UTC"/>
        <s v="2022-04-11 10:19:40 UTC"/>
        <s v="2022-04-11 10:19:38 UTC"/>
        <s v="2022-04-11 10:19:34 UTC"/>
        <s v="2022-04-11 10:19:32 UTC"/>
        <s v="2022-04-11 10:19:30 UTC"/>
        <s v="2022-04-11 10:19:28 UTC"/>
        <s v="2022-04-11 10:18:57 UTC"/>
        <s v="2022-04-11 10:18:49 UTC"/>
        <s v="2022-04-11 10:18:44 UTC"/>
        <s v="2022-04-11 10:18:38 UTC"/>
        <s v="2022-04-11 10:18:36 UTC"/>
        <s v="2022-04-11 10:18:32 UTC"/>
        <s v="2022-04-11 10:18:30 UTC"/>
        <s v="2022-04-11 10:18:28 UTC"/>
        <s v="2022-04-11 10:18:27 UTC"/>
        <s v="2022-04-11 10:18:24 UTC"/>
        <s v="2022-04-11 10:18:23 UTC"/>
        <s v="2022-04-11 10:18:22 UTC"/>
        <s v="2022-04-11 10:18:18 UTC"/>
        <s v="2022-04-11 10:18:09 UTC"/>
        <s v="2022-04-11 10:17:31 UTC"/>
        <s v="2022-04-11 10:17:26 UTC"/>
        <s v="2022-04-11 10:17:25 UTC"/>
        <s v="2022-04-11 10:16:49 UTC"/>
        <s v="2022-04-11 10:16:40 UTC"/>
        <s v="2022-04-11 10:16:38 UTC"/>
        <s v="2022-04-11 10:16:37 UTC"/>
        <s v="2022-04-11 10:16:33 UTC"/>
        <s v="2022-04-11 10:16:32 UTC"/>
        <s v="2022-04-11 10:16:19 UTC"/>
        <s v="2022-04-11 10:16:18 UTC"/>
        <s v="2022-04-11 10:16:16 UTC"/>
        <s v="2022-04-11 10:16:13 UTC"/>
        <s v="2022-04-11 10:16:11 UTC"/>
        <s v="2022-04-11 10:16:09 UTC"/>
        <s v="2022-04-11 10:16:06 UTC"/>
        <s v="2022-04-11 10:16:05 UTC"/>
        <s v="2022-04-11 10:16:04 UTC"/>
        <s v="2022-04-11 10:16:00 UTC"/>
        <s v="2022-04-11 10:15:52 UTC"/>
        <s v="2022-04-11 10:15:44 UTC"/>
        <s v="2022-04-11 10:15:25 UTC"/>
        <s v="2022-04-11 10:14:36 UTC"/>
        <s v="2022-04-11 10:14:30 UTC"/>
        <s v="2022-04-11 10:14:26 UTC"/>
        <s v="2022-04-11 10:14:25 UTC"/>
        <s v="2022-04-11 10:14:24 UTC"/>
        <s v="2022-04-11 10:14:08 UTC"/>
        <s v="2022-04-11 10:13:33 UTC"/>
        <s v="2022-04-11 10:11:42 UTC"/>
        <s v="2022-04-11 10:11:05 UTC"/>
        <s v="2022-04-11 10:11:00 UTC"/>
        <s v="2022-04-11 10:10:53 UTC"/>
        <s v="2022-04-11 10:10:45 UTC"/>
        <s v="2022-04-11 10:10:39 UTC"/>
        <s v="2022-04-11 10:10:28 UTC"/>
        <s v="2022-04-11 10:10:26 UTC"/>
        <s v="2022-04-11 10:10:20 UTC"/>
        <s v="2022-04-11 10:10:18 UTC"/>
        <s v="2022-04-11 10:10:17 UTC"/>
        <s v="2022-04-11 10:10:14 UTC"/>
        <s v="2022-04-11 10:10:08 UTC"/>
        <s v="2022-04-11 10:10:04 UTC"/>
        <s v="2022-04-11 10:10:02 UTC"/>
        <s v="2022-04-11 10:09:59 UTC"/>
        <s v="2022-04-11 10:09:55 UTC"/>
        <s v="2022-04-11 10:09:31 UTC"/>
        <s v="2022-04-11 10:08:43 UTC"/>
        <s v="2022-04-11 10:08:37 UTC"/>
        <s v="2022-04-11 10:08:28 UTC"/>
        <s v="2022-04-11 10:08:24 UTC"/>
        <s v="2022-04-11 10:08:11 UTC"/>
        <s v="2022-04-11 10:06:38 UTC"/>
        <s v="2022-04-11 10:06:36 UTC"/>
        <s v="2022-04-11 10:06:31 UTC"/>
        <s v="2022-04-11 10:06:29 UTC"/>
        <s v="2022-04-11 10:06:06 UTC"/>
        <s v="2022-04-11 10:05:33 UTC"/>
        <s v="2022-04-11 10:05:03 UTC"/>
        <s v="2022-04-11 10:05:00 UTC"/>
        <s v="2022-04-11 10:04:58 UTC"/>
        <s v="2022-04-11 10:04:30 UTC"/>
        <s v="2022-04-11 10:04:27 UTC"/>
        <s v="2022-04-11 10:04:25 UTC"/>
        <s v="2022-04-11 10:04:22 UTC"/>
        <s v="2022-04-11 10:04:10 UTC"/>
        <s v="2022-04-11 10:04:06 UTC"/>
        <s v="2022-04-11 10:03:34 UTC"/>
        <s v="2022-04-11 10:03:02 UTC"/>
        <s v="2022-04-11 10:02:59 UTC"/>
        <s v="2022-04-11 10:02:56 UTC"/>
        <s v="2022-04-11 10:02:53 UTC"/>
        <s v="2022-04-11 10:02:51 UTC"/>
        <s v="2022-04-11 10:02:49 UTC"/>
        <s v="2022-04-11 10:02:43 UTC"/>
        <s v="2022-04-11 10:02:22 UTC"/>
        <s v="2022-04-11 10:02:21 UTC"/>
        <s v="2022-04-11 10:02:20 UTC"/>
        <s v="2022-04-11 10:02:19 UTC"/>
        <s v="2022-04-11 10:02:17 UTC"/>
        <s v="2022-04-11 10:02:16 UTC"/>
        <s v="2022-04-11 10:02:15 UTC"/>
        <s v="2022-04-11 10:02:13 UTC"/>
        <s v="2022-04-11 10:02:08 UTC"/>
        <s v="2022-04-11 10:02:06 UTC"/>
        <s v="2022-04-11 10:01:29 UTC"/>
        <s v="2022-04-11 10:01:11 UTC"/>
        <s v="2022-04-11 10:01:08 UTC"/>
        <s v="2022-04-11 10:01:02 UTC"/>
        <s v="2022-04-11 10:00:58 UTC"/>
        <s v="2022-04-11 10:00:54 UTC"/>
        <s v="2022-04-11 10:00:49 UTC"/>
        <s v="2022-04-11 10:00:46 UTC"/>
        <s v="2022-04-11 09:58:06 UTC"/>
        <s v="2022-04-11 09:57:15 UTC"/>
        <s v="2022-04-11 09:56:51 UTC"/>
        <s v="2022-04-11 09:56:45 UTC"/>
        <s v="2022-04-11 09:56:18 UTC"/>
        <s v="2022-04-11 09:56:05 UTC"/>
        <s v="2022-04-11 09:53:00 UTC"/>
        <s v="2022-04-11 09:52:08 UTC"/>
        <s v="2022-04-11 09:52:06 UTC"/>
        <s v="2022-04-11 09:52:02 UTC"/>
        <s v="2022-04-11 09:51:28 UTC"/>
        <s v="2022-04-11 09:51:07 UTC"/>
        <s v="2022-04-11 09:51:02 UTC"/>
        <s v="2022-04-11 09:50:48 UTC"/>
        <s v="2022-04-11 09:50:40 UTC"/>
        <s v="2022-04-11 09:50:04 UTC"/>
        <s v="2022-04-11 09:49:54 UTC"/>
        <s v="2022-04-11 09:49:46 UTC"/>
        <s v="2022-04-11 09:49:38 UTC"/>
        <s v="2022-04-11 09:49:29 UTC"/>
        <s v="2022-04-11 09:49:08 UTC"/>
        <s v="2022-04-11 09:48:47 UTC"/>
        <s v="2022-04-11 09:48:45 UTC"/>
        <s v="2022-04-11 09:48:44 UTC"/>
        <s v="2022-04-11 09:48:41 UTC"/>
        <s v="2022-04-11 09:48:39 UTC"/>
        <s v="2022-04-11 09:48:32 UTC"/>
        <s v="2022-04-11 09:48:10 UTC"/>
        <s v="2022-04-11 09:48:06 UTC"/>
        <s v="2022-04-11 09:48:05 UTC"/>
        <s v="2022-04-11 09:48:00 UTC"/>
        <s v="2022-04-11 09:47:46 UTC"/>
        <s v="2022-04-11 09:47:44 UTC"/>
        <s v="2022-04-11 09:47:43 UTC"/>
        <s v="2022-04-11 09:47:41 UTC"/>
        <s v="2022-04-11 09:47:30 UTC"/>
        <s v="2022-04-11 09:47:28 UTC"/>
        <s v="2022-04-11 09:47:27 UTC"/>
        <s v="2022-04-11 09:47:26 UTC"/>
        <s v="2022-04-11 09:47:24 UTC"/>
        <s v="2022-04-11 09:47:22 UTC"/>
        <s v="2022-04-11 09:47:20 UTC"/>
        <s v="2022-04-11 09:47:19 UTC"/>
        <s v="2022-04-11 09:47:18 UTC"/>
        <s v="2022-04-11 09:47:17 UTC"/>
        <s v="2022-04-11 09:47:13 UTC"/>
        <s v="2022-04-11 09:47:11 UTC"/>
        <s v="2022-04-11 09:47:09 UTC"/>
        <s v="2022-04-11 09:47:07 UTC"/>
        <s v="2022-04-11 09:46:49 UTC"/>
        <s v="2022-04-11 09:46:47 UTC"/>
        <s v="2022-04-11 09:46:46 UTC"/>
        <s v="2022-04-11 09:46:45 UTC"/>
        <s v="2022-04-11 09:46:43 UTC"/>
        <s v="2022-04-11 09:46:42 UTC"/>
        <s v="2022-04-11 09:46:40 UTC"/>
        <s v="2022-04-11 09:46:36 UTC"/>
        <s v="2022-04-11 09:46:08 UTC"/>
        <s v="2022-04-11 09:46:06 UTC"/>
        <s v="2022-04-11 09:46:02 UTC"/>
        <s v="2022-04-11 09:45:39 UTC"/>
        <s v="2022-04-11 09:45:34 UTC"/>
        <s v="2022-04-11 09:43:23 UTC"/>
        <s v="2022-04-11 09:42:33 UTC"/>
        <s v="2022-04-11 09:41:45 UTC"/>
        <s v="2022-04-11 09:41:37 UTC"/>
        <s v="2022-04-11 09:41:35 UTC"/>
        <s v="2022-04-11 09:41:32 UTC"/>
        <s v="2022-04-11 09:41:28 UTC"/>
        <s v="2022-04-11 09:41:27 UTC"/>
        <s v="2022-04-11 09:41:22 UTC"/>
        <s v="2022-04-11 09:41:20 UTC"/>
        <s v="2022-04-11 09:41:17 UTC"/>
        <s v="2022-04-11 09:41:16 UTC"/>
        <s v="2022-04-11 09:41:11 UTC"/>
        <s v="2022-04-11 09:41:08 UTC"/>
        <s v="2022-04-11 09:41:06 UTC"/>
        <s v="2022-04-11 09:41:05 UTC"/>
        <s v="2022-04-11 09:41:01 UTC"/>
        <s v="2022-04-11 09:40:55 UTC"/>
        <s v="2022-04-11 09:40:53 UTC"/>
        <s v="2022-04-11 09:40:51 UTC"/>
        <s v="2022-04-11 09:40:50 UTC"/>
        <s v="2022-04-11 09:40:46 UTC"/>
        <s v="2022-04-11 09:40:38 UTC"/>
        <s v="2022-04-11 09:40:33 UTC"/>
        <s v="2022-04-11 09:40:30 UTC"/>
        <s v="2022-04-11 09:40:06 UTC"/>
        <s v="2022-04-11 09:40:05 UTC"/>
        <s v="2022-04-11 09:39:59 UTC"/>
        <s v="2022-04-11 09:39:32 UTC"/>
        <s v="2022-04-11 09:39:28 UTC"/>
        <s v="2022-04-11 09:38:59 UTC"/>
        <s v="2022-04-11 09:38:29 UTC"/>
        <s v="2022-04-11 09:38:24 UTC"/>
        <s v="2022-04-11 09:36:09 UTC"/>
        <s v="2022-04-11 09:35:58 UTC"/>
        <s v="2022-04-11 09:35:49 UTC"/>
        <s v="2022-04-11 09:35:41 UTC"/>
        <s v="2022-04-11 09:35:21 UTC"/>
        <s v="2022-04-11 09:35:07 UTC"/>
        <s v="2022-04-11 09:35:05 UTC"/>
        <s v="2022-04-11 09:34:35 UTC"/>
        <s v="2022-04-11 09:34:29 UTC"/>
        <s v="2022-04-11 09:34:26 UTC"/>
        <s v="2022-04-11 09:34:07 UTC"/>
        <s v="2022-04-11 09:34:05 UTC"/>
        <s v="2022-04-11 09:34:04 UTC"/>
        <s v="2022-04-11 09:34:02 UTC"/>
        <s v="2022-04-11 09:34:00 UTC"/>
        <s v="2022-04-11 09:33:58 UTC"/>
        <s v="2022-04-11 09:33:56 UTC"/>
        <s v="2022-04-11 09:33:52 UTC"/>
        <s v="2022-04-11 09:33:50 UTC"/>
        <s v="2022-04-11 09:33:47 UTC"/>
        <s v="2022-04-11 09:33:37 UTC"/>
        <s v="2022-04-11 09:33:30 UTC"/>
        <s v="2022-04-11 09:33:27 UTC"/>
        <s v="2022-04-11 09:33:26 UTC"/>
        <s v="2022-04-11 09:33:15 UTC"/>
        <s v="2022-04-11 09:31:44 UTC"/>
        <s v="2022-04-11 09:31:25 UTC"/>
        <s v="2022-04-11 09:31:20 UTC"/>
        <s v="2022-04-11 09:30:50 UTC"/>
        <s v="2022-04-11 09:30:46 UTC"/>
        <s v="2022-04-11 09:30:41 UTC"/>
        <s v="2022-04-11 09:30:39 UTC"/>
        <s v="2022-04-11 09:30:31 UTC"/>
        <s v="2022-04-11 09:30:28 UTC"/>
        <s v="2022-04-11 09:30:25 UTC"/>
        <s v="2022-04-11 09:29:32 UTC"/>
        <s v="2022-04-11 09:29:26 UTC"/>
        <s v="2022-04-11 09:29:07 UTC"/>
        <s v="2022-04-11 09:29:02 UTC"/>
        <s v="2022-04-11 09:29:01 UTC"/>
        <s v="2022-04-11 09:29:00 UTC"/>
        <s v="2022-04-11 09:28:59 UTC"/>
        <s v="2022-04-11 09:28:58 UTC"/>
        <s v="2022-04-11 09:28:57 UTC"/>
        <s v="2022-04-11 09:28:56 UTC"/>
        <s v="2022-04-11 09:28:55 UTC"/>
        <s v="2022-04-11 09:28:53 UTC"/>
        <s v="2022-04-11 09:28:49 UTC"/>
        <s v="2022-04-11 09:28:43 UTC"/>
        <s v="2022-04-11 09:28:42 UTC"/>
        <s v="2022-04-11 09:28:38 UTC"/>
        <s v="2022-04-11 09:28:24 UTC"/>
        <s v="2022-04-11 09:28:22 UTC"/>
        <s v="2022-04-11 09:28:20 UTC"/>
        <s v="2022-04-11 09:28:19 UTC"/>
        <s v="2022-04-11 09:28:12 UTC"/>
        <s v="2022-04-11 09:28:10 UTC"/>
        <s v="2022-04-11 09:28:07 UTC"/>
        <s v="2022-04-11 09:28:06 UTC"/>
        <s v="2022-04-11 09:28:04 UTC"/>
        <s v="2022-04-11 09:28:01 UTC"/>
        <s v="2022-04-11 09:27:58 UTC"/>
        <s v="2022-04-11 09:27:54 UTC"/>
        <s v="2022-04-11 09:27:48 UTC"/>
        <s v="2022-04-11 09:27:46 UTC"/>
        <s v="2022-04-11 09:27:42 UTC"/>
        <s v="2022-04-11 09:27:38 UTC"/>
        <s v="2022-04-11 09:27:34 UTC"/>
        <s v="2022-04-11 09:27:28 UTC"/>
        <s v="2022-04-11 09:26:55 UTC"/>
        <s v="2022-04-11 09:26:53 UTC"/>
        <s v="2022-04-11 09:26:50 UTC"/>
        <s v="2022-04-11 09:26:48 UTC"/>
        <s v="2022-04-11 09:26:41 UTC"/>
        <s v="2022-04-11 09:26:38 UTC"/>
        <s v="2022-04-11 09:26:35 UTC"/>
        <s v="2022-04-11 09:26:19 UTC"/>
        <s v="2022-04-11 09:26:02 UTC"/>
        <s v="2022-04-11 09:25:09 UTC"/>
        <s v="2022-04-11 09:24:27 UTC"/>
        <s v="2022-04-11 09:23:55 UTC"/>
        <s v="2022-04-11 09:23:43 UTC"/>
        <s v="2022-04-11 09:23:42 UTC"/>
        <s v="2022-04-11 09:23:40 UTC"/>
        <s v="2022-04-11 09:23:39 UTC"/>
        <s v="2022-04-11 09:23:38 UTC"/>
        <s v="2022-04-11 09:23:34 UTC"/>
        <s v="2022-04-11 09:23:26 UTC"/>
        <s v="2022-04-11 09:22:43 UTC"/>
        <s v="2022-04-11 09:22:41 UTC"/>
        <s v="2022-04-11 09:22:40 UTC"/>
        <s v="2022-04-11 09:22:38 UTC"/>
        <s v="2022-04-11 09:22:37 UTC"/>
        <s v="2022-04-11 09:22:36 UTC"/>
        <s v="2022-04-11 09:22:34 UTC"/>
        <s v="2022-04-11 09:22:33 UTC"/>
        <s v="2022-04-11 09:22:32 UTC"/>
        <s v="2022-04-11 09:22:30 UTC"/>
        <s v="2022-04-11 09:22:29 UTC"/>
        <s v="2022-04-11 09:22:28 UTC"/>
        <s v="2022-04-11 09:22:26 UTC"/>
        <s v="2022-04-11 09:22:25 UTC"/>
        <s v="2022-04-11 09:22:24 UTC"/>
        <s v="2022-04-11 09:22:22 UTC"/>
        <s v="2022-04-11 09:22:20 UTC"/>
        <s v="2022-04-11 09:22:18 UTC"/>
        <s v="2022-04-11 09:22:17 UTC"/>
        <s v="2022-04-11 09:22:13 UTC"/>
        <s v="2022-04-11 09:22:12 UTC"/>
        <s v="2022-04-11 09:22:11 UTC"/>
        <s v="2022-04-11 09:22:10 UTC"/>
        <s v="2022-04-11 09:21:52 UTC"/>
        <s v="2022-04-11 09:21:20 UTC"/>
        <s v="2022-04-11 09:20:10 UTC"/>
        <s v="2022-04-11 09:20:08 UTC"/>
        <s v="2022-04-11 09:19:45 UTC"/>
        <s v="2022-04-11 09:18:38 UTC"/>
        <s v="2022-04-11 09:18:27 UTC"/>
        <s v="2022-04-11 09:18:24 UTC"/>
        <s v="2022-04-11 09:18:16 UTC"/>
        <s v="2022-04-11 09:18:10 UTC"/>
        <s v="2022-04-11 09:17:50 UTC"/>
        <s v="2022-04-11 09:16:54 UTC"/>
        <s v="2022-04-11 09:15:07 UTC"/>
        <s v="2022-04-11 09:15:05 UTC"/>
        <s v="2022-04-11 09:15:03 UTC"/>
        <s v="2022-04-11 09:15:01 UTC"/>
        <s v="2022-04-11 09:14:59 UTC"/>
        <s v="2022-04-11 09:14:57 UTC"/>
        <s v="2022-04-11 09:14:53 UTC"/>
        <s v="2022-04-11 09:14:50 UTC"/>
        <s v="2022-04-11 09:14:46 UTC"/>
        <s v="2022-04-11 09:14:41 UTC"/>
        <s v="2022-04-11 09:14:37 UTC"/>
        <s v="2022-04-11 09:14:28 UTC"/>
        <s v="2022-04-11 09:13:43 UTC"/>
        <s v="2022-04-11 09:13:21 UTC"/>
        <s v="2022-04-11 09:13:17 UTC"/>
        <s v="2022-04-11 09:11:29 UTC"/>
        <s v="2022-04-11 09:11:09 UTC"/>
        <s v="2022-04-11 09:10:54 UTC"/>
        <s v="2022-04-11 09:10:40 UTC"/>
        <s v="2022-04-11 09:10:37 UTC"/>
        <s v="2022-04-11 09:10:19 UTC"/>
        <s v="2022-04-11 09:10:13 UTC"/>
        <s v="2022-04-11 09:10:11 UTC"/>
        <s v="2022-04-11 09:10:07 UTC"/>
        <s v="2022-04-11 09:09:32 UTC"/>
        <s v="2022-04-11 09:09:23 UTC"/>
        <s v="2022-04-11 09:08:33 UTC"/>
        <s v="2022-04-11 09:07:54 UTC"/>
        <s v="2022-04-11 09:07:46 UTC"/>
        <s v="2022-04-11 09:07:24 UTC"/>
        <s v="2022-04-11 09:07:21 UTC"/>
        <s v="2022-04-11 09:07:18 UTC"/>
        <s v="2022-04-11 09:07:16 UTC"/>
        <s v="2022-04-11 09:07:12 UTC"/>
        <s v="2022-04-11 09:07:06 UTC"/>
        <s v="2022-04-11 09:07:01 UTC"/>
        <s v="2022-04-11 09:06:56 UTC"/>
        <s v="2022-04-11 09:06:51 UTC"/>
        <s v="2022-04-11 09:06:48 UTC"/>
        <s v="2022-04-11 09:06:46 UTC"/>
        <s v="2022-04-11 09:06:45 UTC"/>
        <s v="2022-04-11 09:06:44 UTC"/>
        <s v="2022-04-11 09:06:43 UTC"/>
        <s v="2022-04-11 09:06:42 UTC"/>
        <s v="2022-04-11 09:06:41 UTC"/>
        <s v="2022-04-11 09:06:40 UTC"/>
        <s v="2022-04-11 09:06:34 UTC"/>
        <s v="2022-04-11 09:06:11 UTC"/>
        <s v="2022-04-11 09:05:00 UTC"/>
        <s v="2022-04-11 09:04:57 UTC"/>
        <s v="2022-04-11 09:04:56 UTC"/>
        <s v="2022-04-11 09:04:54 UTC"/>
        <s v="2022-04-11 09:04:06 UTC"/>
        <s v="2022-04-11 09:03:40 UTC"/>
        <s v="2022-04-11 09:03:20 UTC"/>
        <s v="2022-04-11 09:03:17 UTC"/>
        <s v="2022-04-11 09:02:36 UTC"/>
        <s v="2022-04-11 09:02:26 UTC"/>
        <s v="2022-04-11 09:02:18 UTC"/>
        <s v="2022-04-11 09:02:11 UTC"/>
        <s v="2022-04-11 09:02:05 UTC"/>
        <s v="2022-04-11 09:02:02 UTC"/>
        <s v="2022-04-11 09:01:54 UTC"/>
        <s v="2022-04-11 09:01:41 UTC"/>
        <s v="2022-04-11 09:00:52 UTC"/>
        <s v="2022-04-11 09:00:40 UTC"/>
        <s v="2022-04-11 09:00:37 UTC"/>
        <s v="2022-04-11 09:00:15 UTC"/>
        <s v="2022-04-11 09:00:09 UTC"/>
        <s v="2022-04-11 08:59:59 UTC"/>
        <s v="2022-04-11 08:59:43 UTC"/>
        <s v="2022-04-11 08:59:41 UTC"/>
        <s v="2022-04-11 08:59:38 UTC"/>
        <s v="2022-04-11 08:59:35 UTC"/>
        <s v="2022-04-11 08:59:33 UTC"/>
        <s v="2022-04-11 08:59:31 UTC"/>
        <s v="2022-04-11 08:59:29 UTC"/>
        <s v="2022-04-11 08:59:23 UTC"/>
        <s v="2022-04-11 08:59:20 UTC"/>
        <s v="2022-04-11 08:59:17 UTC"/>
        <s v="2022-04-11 08:59:15 UTC"/>
        <s v="2022-04-11 08:59:11 UTC"/>
        <s v="2022-04-11 08:59:09 UTC"/>
        <s v="2022-04-11 08:59:05 UTC"/>
        <s v="2022-04-11 08:59:02 UTC"/>
        <s v="2022-04-11 08:59:00 UTC"/>
        <s v="2022-04-11 08:58:59 UTC"/>
        <s v="2022-04-11 08:58:56 UTC"/>
        <s v="2022-04-11 08:58:53 UTC"/>
        <s v="2022-04-11 08:58:50 UTC"/>
        <s v="2022-04-11 08:58:17 UTC"/>
        <s v="2022-04-11 08:57:57 UTC"/>
        <s v="2022-04-11 08:57:35 UTC"/>
        <s v="2022-04-11 08:57:33 UTC"/>
        <s v="2022-04-11 08:57:29 UTC"/>
        <s v="2022-04-11 08:57:26 UTC"/>
        <s v="2022-04-11 08:57:21 UTC"/>
        <s v="2022-04-11 08:57:08 UTC"/>
        <s v="2022-04-11 08:56:03 UTC"/>
        <s v="2022-04-11 08:55:59 UTC"/>
        <s v="2022-04-11 08:55:28 UTC"/>
        <s v="2022-04-11 08:55:26 UTC"/>
        <s v="2022-04-11 08:55:24 UTC"/>
        <s v="2022-04-11 08:55:23 UTC"/>
        <s v="2022-04-11 08:54:46 UTC"/>
        <s v="2022-04-11 08:53:49 UTC"/>
        <s v="2022-04-11 08:53:43 UTC"/>
        <s v="2022-04-11 08:53:23 UTC"/>
        <s v="2022-04-11 08:53:14 UTC"/>
        <s v="2022-04-11 08:52:51 UTC"/>
        <s v="2022-04-11 08:52:45 UTC"/>
        <s v="2022-04-11 08:52:24 UTC"/>
        <s v="2022-04-11 08:52:03 UTC"/>
        <s v="2022-04-11 08:52:02 UTC"/>
        <s v="2022-04-11 08:51:59 UTC"/>
        <s v="2022-04-11 08:51:14 UTC"/>
        <s v="2022-04-11 08:51:12 UTC"/>
        <s v="2022-04-11 08:51:03 UTC"/>
        <s v="2022-04-11 08:51:00 UTC"/>
        <s v="2022-04-11 08:50:58 UTC"/>
        <s v="2022-04-11 08:50:52 UTC"/>
        <s v="2022-04-11 08:49:40 UTC"/>
        <s v="2022-04-11 08:49:36 UTC"/>
        <s v="2022-04-11 08:49:34 UTC"/>
        <s v="2022-04-11 08:49:30 UTC"/>
        <s v="2022-04-11 08:49:27 UTC"/>
        <s v="2022-04-11 08:49:24 UTC"/>
        <s v="2022-04-11 08:49:23 UTC"/>
        <s v="2022-04-11 08:49:20 UTC"/>
        <s v="2022-04-11 08:49:13 UTC"/>
        <s v="2022-04-11 08:49:11 UTC"/>
        <s v="2022-04-11 08:49:03 UTC"/>
        <s v="2022-04-11 08:49:00 UTC"/>
        <s v="2022-04-11 08:48:58 UTC"/>
        <s v="2022-04-11 08:48:56 UTC"/>
        <s v="2022-04-11 08:48:51 UTC"/>
        <s v="2022-04-11 08:48:40 UTC"/>
        <s v="2022-04-11 08:48:35 UTC"/>
        <s v="2022-04-11 08:48:09 UTC"/>
        <s v="2022-04-11 08:47:59 UTC"/>
        <s v="2022-04-11 08:47:48 UTC"/>
        <s v="2022-04-11 08:47:44 UTC"/>
        <s v="2022-04-11 08:47:40 UTC"/>
        <s v="2022-04-11 08:47:39 UTC"/>
        <s v="2022-04-11 08:47:22 UTC"/>
        <s v="2022-04-11 08:47:17 UTC"/>
        <s v="2022-04-11 08:47:12 UTC"/>
        <s v="2022-04-11 08:47:07 UTC"/>
        <s v="2022-04-11 08:46:56 UTC"/>
        <s v="2022-04-11 08:46:46 UTC"/>
        <s v="2022-04-11 08:46:41 UTC"/>
        <s v="2022-04-11 08:46:09 UTC"/>
        <s v="2022-04-11 08:45:48 UTC"/>
        <s v="2022-04-11 08:45:46 UTC"/>
        <s v="2022-04-11 08:45:41 UTC"/>
        <s v="2022-04-11 08:45:37 UTC"/>
        <s v="2022-04-11 08:45:33 UTC"/>
        <s v="2022-04-11 08:45:32 UTC"/>
        <s v="2022-04-11 08:45:30 UTC"/>
        <s v="2022-04-11 08:45:06 UTC"/>
        <s v="2022-04-11 08:45:04 UTC"/>
        <s v="2022-04-11 08:45:03 UTC"/>
        <s v="2022-04-11 08:44:49 UTC"/>
        <s v="2022-04-11 08:44:07 UTC"/>
        <s v="2022-04-11 08:43:57 UTC"/>
        <s v="2022-04-11 08:43:37 UTC"/>
        <s v="2022-04-11 08:43:02 UTC"/>
        <s v="2022-04-11 08:42:58 UTC"/>
        <s v="2022-04-11 08:42:57 UTC"/>
        <s v="2022-04-11 08:42:49 UTC"/>
        <s v="2022-04-11 08:42:43 UTC"/>
        <s v="2022-04-11 08:41:05 UTC"/>
        <s v="2022-04-11 08:41:02 UTC"/>
        <s v="2022-04-11 08:40:57 UTC"/>
        <s v="2022-04-11 08:40:54 UTC"/>
        <s v="2022-04-11 08:40:41 UTC"/>
        <s v="2022-04-11 08:40:40 UTC"/>
        <s v="2022-04-11 08:40:29 UTC"/>
        <s v="2022-04-11 08:40:08 UTC"/>
        <s v="2022-04-11 08:40:06 UTC"/>
        <s v="2022-04-11 08:39:56 UTC"/>
        <s v="2022-04-11 08:39:53 UTC"/>
        <s v="2022-04-11 08:39:51 UTC"/>
        <s v="2022-04-11 08:39:48 UTC"/>
        <s v="2022-04-11 08:39:43 UTC"/>
        <s v="2022-04-11 08:39:40 UTC"/>
        <s v="2022-04-11 08:39:37 UTC"/>
        <s v="2022-04-11 08:39:31 UTC"/>
        <s v="2022-04-11 08:39:21 UTC"/>
        <s v="2022-04-11 08:39:18 UTC"/>
        <s v="2022-04-11 08:39:13 UTC"/>
        <s v="2022-04-11 08:39:09 UTC"/>
        <s v="2022-04-11 08:38:58 UTC"/>
        <s v="2022-04-11 08:38:48 UTC"/>
        <s v="2022-04-11 08:38:42 UTC"/>
        <s v="2022-04-11 08:38:36 UTC"/>
        <s v="2022-04-11 08:37:56 UTC"/>
        <s v="2022-04-11 08:37:55 UTC"/>
        <s v="2022-04-11 08:37:52 UTC"/>
        <s v="2022-04-11 08:37:48 UTC"/>
        <s v="2022-04-11 08:37:47 UTC"/>
        <s v="2022-04-11 08:37:44 UTC"/>
        <s v="2022-04-11 08:37:35 UTC"/>
        <s v="2022-04-11 08:37:32 UTC"/>
        <s v="2022-04-11 08:37:28 UTC"/>
        <s v="2022-04-11 08:37:24 UTC"/>
        <s v="2022-04-11 08:37:18 UTC"/>
        <s v="2022-04-11 08:37:16 UTC"/>
        <s v="2022-04-11 08:37:13 UTC"/>
        <s v="2022-04-11 08:36:58 UTC"/>
        <s v="2022-04-11 08:36:57 UTC"/>
        <s v="2022-04-11 08:36:54 UTC"/>
        <s v="2022-04-11 08:36:50 UTC"/>
        <s v="2022-04-11 08:36:48 UTC"/>
        <s v="2022-04-11 08:36:46 UTC"/>
        <s v="2022-04-11 08:36:45 UTC"/>
        <s v="2022-04-11 08:36:41 UTC"/>
        <s v="2022-04-11 08:36:37 UTC"/>
        <s v="2022-04-11 08:36:31 UTC"/>
        <s v="2022-04-11 08:36:28 UTC"/>
        <s v="2022-04-11 08:36:27 UTC"/>
        <s v="2022-04-11 08:36:25 UTC"/>
        <s v="2022-04-11 08:36:24 UTC"/>
        <s v="2022-04-11 08:36:22 UTC"/>
        <s v="2022-04-11 08:36:21 UTC"/>
        <s v="2022-04-11 08:36:17 UTC"/>
        <s v="2022-04-11 08:36:16 UTC"/>
        <s v="2022-04-11 08:36:14 UTC"/>
        <s v="2022-04-11 08:36:13 UTC"/>
        <s v="2022-04-11 08:36:11 UTC"/>
        <s v="2022-04-11 08:36:10 UTC"/>
        <s v="2022-04-11 08:36:08 UTC"/>
        <s v="2022-04-11 08:36:07 UTC"/>
        <s v="2022-04-11 08:36:05 UTC"/>
        <s v="2022-04-11 08:35:55 UTC"/>
        <s v="2022-04-11 08:35:51 UTC"/>
        <s v="2022-04-11 08:35:49 UTC"/>
        <s v="2022-04-11 08:35:40 UTC"/>
        <s v="2022-04-11 08:35:21 UTC"/>
        <s v="2022-04-11 08:35:19 UTC"/>
        <s v="2022-04-11 08:35:18 UTC"/>
        <s v="2022-04-11 08:35:17 UTC"/>
        <s v="2022-04-11 08:35:15 UTC"/>
        <s v="2022-04-11 08:35:13 UTC"/>
        <s v="2022-04-11 08:35:11 UTC"/>
        <s v="2022-04-11 08:35:06 UTC"/>
        <s v="2022-04-11 08:34:34 UTC"/>
        <s v="2022-04-11 08:34:32 UTC"/>
        <s v="2022-04-11 08:34:27 UTC"/>
        <s v="2022-04-11 08:34:24 UTC"/>
        <s v="2022-04-11 08:34:13 UTC"/>
        <s v="2022-04-11 08:33:55 UTC"/>
        <s v="2022-04-11 08:33:35 UTC"/>
        <s v="2022-04-11 08:32:14 UTC"/>
        <s v="2022-04-11 08:32:13 UTC"/>
        <s v="2022-04-11 08:32:11 UTC"/>
        <s v="2022-04-11 08:32:10 UTC"/>
        <s v="2022-04-11 08:32:08 UTC"/>
        <s v="2022-04-11 08:32:07 UTC"/>
        <s v="2022-04-11 08:32:06 UTC"/>
        <s v="2022-04-11 08:32:05 UTC"/>
        <s v="2022-04-11 08:32:04 UTC"/>
        <s v="2022-04-11 08:32:03 UTC"/>
        <s v="2022-04-11 08:32:02 UTC"/>
        <s v="2022-04-11 08:32:00 UTC"/>
        <s v="2022-04-11 08:31:56 UTC"/>
        <s v="2022-04-11 08:31:54 UTC"/>
        <s v="2022-04-11 08:31:52 UTC"/>
        <s v="2022-04-11 08:31:45 UTC"/>
        <s v="2022-04-11 08:31:43 UTC"/>
        <s v="2022-04-11 08:31:35 UTC"/>
        <s v="2022-04-11 08:31:19 UTC"/>
        <s v="2022-04-11 08:31:09 UTC"/>
        <s v="2022-04-11 08:31:08 UTC"/>
        <s v="2022-04-11 08:31:06 UTC"/>
        <s v="2022-04-11 08:31:05 UTC"/>
        <s v="2022-04-11 08:31:04 UTC"/>
        <s v="2022-04-11 08:31:03 UTC"/>
        <s v="2022-04-11 08:31:02 UTC"/>
        <s v="2022-04-11 08:31:00 UTC"/>
        <s v="2022-04-11 08:30:59 UTC"/>
        <s v="2022-04-11 08:30:58 UTC"/>
        <s v="2022-04-11 08:30:57 UTC"/>
        <s v="2022-04-11 08:30:55 UTC"/>
        <s v="2022-04-11 08:30:54 UTC"/>
        <s v="2022-04-11 08:30:52 UTC"/>
        <s v="2022-04-11 08:30:49 UTC"/>
        <s v="2022-04-11 08:30:47 UTC"/>
        <s v="2022-04-11 08:30:27 UTC"/>
        <s v="2022-04-11 08:30:14 UTC"/>
        <s v="2022-04-11 08:30:10 UTC"/>
        <s v="2022-04-11 08:30:00 UTC"/>
        <s v="2022-04-11 08:29:53 UTC"/>
        <s v="2022-04-11 08:29:47 UTC"/>
        <s v="2022-04-11 08:29:46 UTC"/>
        <s v="2022-04-11 08:29:42 UTC"/>
        <s v="2022-04-11 08:29:40 UTC"/>
        <s v="2022-04-11 08:29:35 UTC"/>
        <s v="2022-04-11 08:29:29 UTC"/>
        <s v="2022-04-11 08:29:21 UTC"/>
        <s v="2022-04-11 08:28:02 UTC"/>
        <s v="2022-04-11 08:27:58 UTC"/>
        <s v="2022-04-11 08:27:49 UTC"/>
        <s v="2022-04-11 08:27:45 UTC"/>
        <s v="2022-04-11 08:27:43 UTC"/>
        <s v="2022-04-11 08:27:41 UTC"/>
        <s v="2022-04-11 08:27:40 UTC"/>
        <s v="2022-04-11 08:27:38 UTC"/>
        <s v="2022-04-11 08:27:37 UTC"/>
        <s v="2022-04-11 08:27:33 UTC"/>
        <s v="2022-04-11 08:27:31 UTC"/>
        <s v="2022-04-11 08:27:27 UTC"/>
        <s v="2022-04-11 08:27:25 UTC"/>
        <s v="2022-04-11 08:27:23 UTC"/>
        <s v="2022-04-11 08:27:15 UTC"/>
        <s v="2022-04-11 08:26:49 UTC"/>
        <s v="2022-04-11 08:26:47 UTC"/>
        <s v="2022-04-11 08:26:46 UTC"/>
        <s v="2022-04-11 08:26:44 UTC"/>
        <s v="2022-04-11 08:26:43 UTC"/>
        <s v="2022-04-11 08:26:40 UTC"/>
        <s v="2022-04-11 08:26:14 UTC"/>
        <s v="2022-04-11 08:26:06 UTC"/>
        <s v="2022-04-11 08:26:04 UTC"/>
        <s v="2022-04-11 08:26:03 UTC"/>
        <s v="2022-04-11 08:26:01 UTC"/>
        <s v="2022-04-11 08:25:46 UTC"/>
        <s v="2022-04-11 08:25:42 UTC"/>
        <s v="2022-04-11 08:25:36 UTC"/>
        <s v="2022-04-11 08:25:32 UTC"/>
        <s v="2022-04-11 08:25:27 UTC"/>
        <s v="2022-04-11 08:25:19 UTC"/>
        <s v="2022-04-11 08:25:15 UTC"/>
        <s v="2022-04-11 08:25:11 UTC"/>
        <s v="2022-04-11 08:25:09 UTC"/>
        <s v="2022-04-11 08:25:08 UTC"/>
        <s v="2022-04-11 08:25:06 UTC"/>
        <s v="2022-04-11 08:25:05 UTC"/>
        <s v="2022-04-11 08:25:01 UTC"/>
        <s v="2022-04-11 08:25:00 UTC"/>
        <s v="2022-04-11 08:24:59 UTC"/>
        <s v="2022-04-11 08:24:57 UTC"/>
        <s v="2022-04-11 08:24:55 UTC"/>
        <s v="2022-04-11 08:24:53 UTC"/>
        <s v="2022-04-11 08:24:50 UTC"/>
        <s v="2022-04-11 08:24:48 UTC"/>
        <s v="2022-04-11 08:24:46 UTC"/>
        <s v="2022-04-11 08:24:43 UTC"/>
        <s v="2022-04-11 08:24:40 UTC"/>
        <s v="2022-04-11 08:24:37 UTC"/>
        <s v="2022-04-11 08:24:28 UTC"/>
        <s v="2022-04-11 08:24:25 UTC"/>
        <s v="2022-04-11 08:24:22 UTC"/>
        <s v="2022-04-11 08:24:18 UTC"/>
        <s v="2022-04-11 08:24:16 UTC"/>
        <s v="2022-04-11 08:24:11 UTC"/>
        <s v="2022-04-11 08:24:09 UTC"/>
        <s v="2022-04-11 08:24:04 UTC"/>
        <s v="2022-04-11 08:23:43 UTC"/>
        <s v="2022-04-11 08:23:25 UTC"/>
        <s v="2022-04-11 08:23:03 UTC"/>
        <s v="2022-04-11 08:23:02 UTC"/>
        <s v="2022-04-11 08:22:57 UTC"/>
        <s v="2022-04-11 08:22:47 UTC"/>
        <s v="2022-04-11 08:22:46 UTC"/>
        <s v="2022-04-11 08:22:45 UTC"/>
        <s v="2022-04-11 08:22:41 UTC"/>
        <s v="2022-04-11 08:22:38 UTC"/>
        <s v="2022-04-11 08:22:37 UTC"/>
        <s v="2022-04-11 08:22:32 UTC"/>
        <s v="2022-04-11 08:22:30 UTC"/>
        <s v="2022-04-11 08:22:29 UTC"/>
        <s v="2022-04-11 08:22:26 UTC"/>
        <s v="2022-04-11 08:22:24 UTC"/>
        <s v="2022-04-11 08:22:22 UTC"/>
        <s v="2022-04-11 08:22:14 UTC"/>
        <s v="2022-04-11 08:22:09 UTC"/>
        <s v="2022-04-11 08:22:07 UTC"/>
        <s v="2022-04-11 08:22:02 UTC"/>
        <s v="2022-04-11 08:22:00 UTC"/>
        <s v="2022-04-11 08:21:58 UTC"/>
        <s v="2022-04-11 08:21:45 UTC"/>
        <s v="2022-04-11 08:21:21 UTC"/>
        <s v="2022-04-11 08:20:43 UTC"/>
        <s v="2022-04-11 08:20:38 UTC"/>
        <s v="2022-04-11 08:20:37 UTC"/>
        <s v="2022-04-11 08:20:34 UTC"/>
        <s v="2022-04-11 08:20:33 UTC"/>
        <s v="2022-04-11 08:20:30 UTC"/>
        <s v="2022-04-11 08:20:29 UTC"/>
        <s v="2022-04-11 08:20:27 UTC"/>
        <s v="2022-04-11 08:20:24 UTC"/>
        <s v="2022-04-11 08:20:22 UTC"/>
        <s v="2022-04-11 08:20:20 UTC"/>
        <s v="2022-04-11 08:20:13 UTC"/>
        <s v="2022-04-11 08:20:11 UTC"/>
        <s v="2022-04-11 08:20:10 UTC"/>
        <s v="2022-04-11 08:19:29 UTC"/>
        <s v="2022-04-11 08:19:14 UTC"/>
        <s v="2022-04-11 08:19:12 UTC"/>
        <s v="2022-04-11 08:19:08 UTC"/>
        <s v="2022-04-11 08:19:00 UTC"/>
        <s v="2022-04-11 08:18:51 UTC"/>
        <s v="2022-04-11 08:18:48 UTC"/>
        <s v="2022-04-11 08:18:45 UTC"/>
        <s v="2022-04-11 08:18:44 UTC"/>
        <s v="2022-04-11 08:18:22 UTC"/>
        <s v="2022-04-11 08:18:21 UTC"/>
        <s v="2022-04-11 08:18:19 UTC"/>
        <s v="2022-04-11 08:18:14 UTC"/>
        <s v="2022-04-11 08:17:43 UTC"/>
        <s v="2022-04-11 08:17:32 UTC"/>
        <s v="2022-04-11 08:17:29 UTC"/>
        <s v="2022-04-11 08:17:22 UTC"/>
        <s v="2022-04-11 08:17:21 UTC"/>
        <s v="2022-04-11 08:17:17 UTC"/>
        <s v="2022-04-11 08:17:15 UTC"/>
        <s v="2022-04-11 08:17:09 UTC"/>
        <s v="2022-04-11 08:17:07 UTC"/>
        <s v="2022-04-11 08:17:02 UTC"/>
        <s v="2022-04-11 08:17:01 UTC"/>
        <s v="2022-04-11 08:16:59 UTC"/>
        <s v="2022-04-11 08:16:58 UTC"/>
        <s v="2022-04-11 08:16:53 UTC"/>
        <s v="2022-04-11 08:16:52 UTC"/>
        <s v="2022-04-11 08:16:45 UTC"/>
        <s v="2022-04-11 08:16:41 UTC"/>
        <s v="2022-04-11 08:16:36 UTC"/>
        <s v="2022-04-11 08:15:43 UTC"/>
        <s v="2022-04-11 08:15:36 UTC"/>
        <s v="2022-04-11 08:15:33 UTC"/>
        <s v="2022-04-11 08:15:30 UTC"/>
        <s v="2022-04-11 08:15:26 UTC"/>
        <s v="2022-04-11 08:15:25 UTC"/>
        <s v="2022-04-11 08:15:23 UTC"/>
        <s v="2022-04-11 08:15:20 UTC"/>
        <s v="2022-04-11 08:15:16 UTC"/>
        <s v="2022-04-11 08:15:15 UTC"/>
        <s v="2022-04-11 08:15:14 UTC"/>
        <s v="2022-04-11 08:15:10 UTC"/>
        <s v="2022-04-11 08:15:08 UTC"/>
        <s v="2022-04-11 08:15:04 UTC"/>
        <s v="2022-04-11 08:15:01 UTC"/>
        <s v="2022-04-11 08:14:59 UTC"/>
        <s v="2022-04-11 08:14:57 UTC"/>
        <s v="2022-04-11 08:14:55 UTC"/>
        <s v="2022-04-11 08:14:51 UTC"/>
        <s v="2022-04-11 08:14:50 UTC"/>
        <s v="2022-04-11 08:14:48 UTC"/>
        <s v="2022-04-11 08:14:44 UTC"/>
        <s v="2022-04-11 08:14:41 UTC"/>
        <s v="2022-04-11 08:14:39 UTC"/>
        <s v="2022-04-11 08:14:37 UTC"/>
        <s v="2022-04-11 08:14:30 UTC"/>
        <s v="2022-04-11 08:14:23 UTC"/>
        <s v="2022-04-11 08:14:20 UTC"/>
        <s v="2022-04-11 08:14:15 UTC"/>
        <s v="2022-04-11 08:14:13 UTC"/>
        <s v="2022-04-11 08:14:08 UTC"/>
        <s v="2022-04-11 08:14:03 UTC"/>
        <s v="2022-04-11 08:14:02 UTC"/>
        <s v="2022-04-11 08:13:59 UTC"/>
        <s v="2022-04-11 08:13:53 UTC"/>
        <s v="2022-04-11 08:13:43 UTC"/>
        <s v="2022-04-11 08:13:39 UTC"/>
        <s v="2022-04-11 08:13:32 UTC"/>
        <s v="2022-04-11 08:13:30 UTC"/>
        <s v="2022-04-11 08:13:28 UTC"/>
        <s v="2022-04-11 08:13:27 UTC"/>
        <s v="2022-04-11 08:13:24 UTC"/>
        <s v="2022-04-11 08:13:18 UTC"/>
        <s v="2022-04-11 08:13:10 UTC"/>
        <s v="2022-04-11 08:13:07 UTC"/>
        <s v="2022-04-11 08:13:05 UTC"/>
        <s v="2022-04-11 08:13:04 UTC"/>
        <s v="2022-04-11 08:13:02 UTC"/>
        <s v="2022-04-11 08:13:01 UTC"/>
        <s v="2022-04-11 08:12:58 UTC"/>
        <s v="2022-04-11 08:12:57 UTC"/>
        <s v="2022-04-11 08:12:51 UTC"/>
        <s v="2022-04-11 08:12:42 UTC"/>
        <s v="2022-04-11 08:12:41 UTC"/>
        <s v="2022-04-11 08:12:40 UTC"/>
        <s v="2022-04-11 08:12:37 UTC"/>
        <s v="2022-04-11 08:12:36 UTC"/>
        <s v="2022-04-11 08:12:25 UTC"/>
        <s v="2022-04-11 08:12:09 UTC"/>
        <s v="2022-04-11 08:11:50 UTC"/>
        <s v="2022-04-11 08:11:48 UTC"/>
        <s v="2022-04-11 08:11:43 UTC"/>
        <s v="2022-04-11 08:11:39 UTC"/>
        <s v="2022-04-11 08:11:36 UTC"/>
        <s v="2022-04-11 08:11:34 UTC"/>
        <s v="2022-04-11 08:11:32 UTC"/>
        <s v="2022-04-11 08:11:29 UTC"/>
        <s v="2022-04-11 08:11:25 UTC"/>
        <s v="2022-04-11 08:10:55 UTC"/>
        <s v="2022-04-11 08:10:46 UTC"/>
        <s v="2022-04-11 08:10:38 UTC"/>
        <s v="2022-04-11 08:10:34 UTC"/>
        <s v="2022-04-11 08:10:31 UTC"/>
        <s v="2022-04-11 08:10:30 UTC"/>
        <s v="2022-04-11 08:10:26 UTC"/>
        <s v="2022-04-11 08:10:25 UTC"/>
        <s v="2022-04-11 08:10:19 UTC"/>
        <s v="2022-04-11 08:10:17 UTC"/>
        <s v="2022-04-11 08:10:15 UTC"/>
        <s v="2022-04-11 08:10:13 UTC"/>
        <s v="2022-04-11 08:10:08 UTC"/>
        <s v="2022-04-11 08:10:05 UTC"/>
        <s v="2022-04-11 08:09:53 UTC"/>
        <s v="2022-04-11 08:09:51 UTC"/>
        <s v="2022-04-11 08:09:39 UTC"/>
        <s v="2022-04-11 08:09:38 UTC"/>
        <s v="2022-04-11 08:09:37 UTC"/>
        <s v="2022-04-11 08:09:34 UTC"/>
        <s v="2022-04-11 08:09:33 UTC"/>
        <s v="2022-04-11 08:09:32 UTC"/>
        <s v="2022-04-11 08:09:20 UTC"/>
        <s v="2022-04-11 08:09:13 UTC"/>
        <s v="2022-04-11 08:09:08 UTC"/>
        <s v="2022-04-11 08:09:06 UTC"/>
        <s v="2022-04-11 08:09:04 UTC"/>
        <s v="2022-04-11 08:09:02 UTC"/>
        <s v="2022-04-11 08:09:01 UTC"/>
        <s v="2022-04-11 08:08:57 UTC"/>
        <s v="2022-04-11 08:08:55 UTC"/>
        <s v="2022-04-11 08:08:52 UTC"/>
        <s v="2022-04-11 08:08:51 UTC"/>
        <s v="2022-04-11 08:08:49 UTC"/>
        <s v="2022-04-11 08:08:47 UTC"/>
        <s v="2022-04-11 08:08:46 UTC"/>
        <s v="2022-04-11 08:08:45 UTC"/>
        <s v="2022-04-11 08:08:43 UTC"/>
        <s v="2022-04-11 08:08:39 UTC"/>
        <s v="2022-04-11 08:08:30 UTC"/>
        <s v="2022-04-11 08:08:17 UTC"/>
        <s v="2022-04-11 08:08:10 UTC"/>
        <s v="2022-04-11 08:08:07 UTC"/>
        <s v="2022-04-11 08:08:05 UTC"/>
        <s v="2022-04-11 08:08:03 UTC"/>
        <s v="2022-04-11 08:08:01 UTC"/>
        <s v="2022-04-11 08:07:58 UTC"/>
        <s v="2022-04-11 08:07:57 UTC"/>
        <s v="2022-04-11 08:07:41 UTC"/>
        <s v="2022-04-11 08:07:24 UTC"/>
        <s v="2022-04-11 08:07:22 UTC"/>
        <s v="2022-04-11 08:07:20 UTC"/>
        <s v="2022-04-11 08:07:17 UTC"/>
        <s v="2022-04-11 08:07:06 UTC"/>
        <s v="2022-04-11 08:07:05 UTC"/>
        <s v="2022-04-11 08:07:04 UTC"/>
        <s v="2022-04-11 08:07:02 UTC"/>
        <s v="2022-04-11 08:07:01 UTC"/>
        <s v="2022-04-11 08:07:00 UTC"/>
        <s v="2022-04-11 08:06:59 UTC"/>
        <s v="2022-04-11 08:06:48 UTC"/>
        <s v="2022-04-11 08:06:45 UTC"/>
        <s v="2022-04-11 08:06:23 UTC"/>
        <s v="2022-04-11 08:06:21 UTC"/>
        <s v="2022-04-11 08:06:19 UTC"/>
        <s v="2022-04-11 08:06:15 UTC"/>
        <s v="2022-04-11 08:06:11 UTC"/>
        <s v="2022-04-11 08:06:04 UTC"/>
        <s v="2022-04-11 08:06:00 UTC"/>
        <s v="2022-04-11 08:05:56 UTC"/>
        <s v="2022-04-11 08:05:55 UTC"/>
        <s v="2022-04-11 08:05:51 UTC"/>
        <s v="2022-04-11 08:05:44 UTC"/>
        <s v="2022-04-11 08:05:30 UTC"/>
        <s v="2022-04-11 08:05:02 UTC"/>
        <s v="2022-04-11 08:04:55 UTC"/>
        <s v="2022-04-11 08:04:54 UTC"/>
        <s v="2022-04-11 08:04:50 UTC"/>
        <s v="2022-04-11 08:04:49 UTC"/>
        <s v="2022-04-11 08:04:47 UTC"/>
        <s v="2022-04-11 08:04:46 UTC"/>
        <s v="2022-04-11 08:04:44 UTC"/>
        <s v="2022-04-11 08:04:40 UTC"/>
        <s v="2022-04-11 08:04:25 UTC"/>
        <s v="2022-04-11 08:04:04 UTC"/>
        <s v="2022-04-11 08:03:56 UTC"/>
        <s v="2022-04-11 08:03:54 UTC"/>
        <s v="2022-04-11 08:03:36 UTC"/>
        <s v="2022-04-11 08:03:34 UTC"/>
        <s v="2022-04-11 08:03:32 UTC"/>
        <s v="2022-04-11 08:03:27 UTC"/>
        <s v="2022-04-11 08:03:26 UTC"/>
        <s v="2022-04-11 08:03:25 UTC"/>
        <s v="2022-04-11 08:03:24 UTC"/>
        <s v="2022-04-11 08:03:20 UTC"/>
        <s v="2022-04-11 08:03:18 UTC"/>
        <s v="2022-04-11 08:03:13 UTC"/>
        <s v="2022-04-11 08:03:01 UTC"/>
        <s v="2022-04-11 08:02:59 UTC"/>
        <s v="2022-04-11 08:02:55 UTC"/>
        <s v="2022-04-11 08:02:49 UTC"/>
        <s v="2022-04-11 08:02:31 UTC"/>
        <s v="2022-04-11 08:02:19 UTC"/>
        <s v="2022-04-11 08:02:18 UTC"/>
        <s v="2022-04-11 08:02:16 UTC"/>
        <s v="2022-04-11 08:02:13 UTC"/>
        <s v="2022-04-11 08:01:56 UTC"/>
        <s v="2022-04-11 08:01:54 UTC"/>
        <s v="2022-04-11 08:01:52 UTC"/>
        <s v="2022-04-11 08:01:50 UTC"/>
        <s v="2022-04-11 08:01:35 UTC"/>
        <s v="2022-04-11 08:01:33 UTC"/>
        <s v="2022-04-11 08:01:27 UTC"/>
        <s v="2022-04-11 08:00:51 UTC"/>
        <s v="2022-04-11 08:00:49 UTC"/>
        <s v="2022-04-11 08:00:46 UTC"/>
        <s v="2022-04-11 08:00:43 UTC"/>
        <s v="2022-04-11 08:00:36 UTC"/>
        <s v="2022-04-11 08:00:05 UTC"/>
        <s v="2022-04-11 08:00:00 UTC"/>
        <s v="2022-04-11 07:59:55 UTC"/>
        <s v="2022-04-11 07:59:50 UTC"/>
        <s v="2022-04-11 07:59:49 UTC"/>
        <s v="2022-04-11 07:59:44 UTC"/>
        <s v="2022-04-11 07:59:40 UTC"/>
        <s v="2022-04-11 07:59:09 UTC"/>
        <s v="2022-04-11 07:58:13 UTC"/>
        <s v="2022-04-11 07:58:04 UTC"/>
        <s v="2022-04-11 07:58:02 UTC"/>
        <s v="2022-04-11 07:58:00 UTC"/>
        <s v="2022-04-11 07:57:57 UTC"/>
        <s v="2022-04-11 07:57:50 UTC"/>
        <s v="2022-04-11 07:57:03 UTC"/>
        <s v="2022-04-11 07:56:57 UTC"/>
        <s v="2022-04-11 07:56:50 UTC"/>
        <s v="2022-04-11 07:56:49 UTC"/>
        <s v="2022-04-11 07:56:47 UTC"/>
        <s v="2022-04-11 07:56:46 UTC"/>
        <s v="2022-04-11 07:56:42 UTC"/>
        <s v="2022-04-11 07:56:38 UTC"/>
        <s v="2022-04-11 07:56:37 UTC"/>
        <s v="2022-04-11 07:56:34 UTC"/>
        <s v="2022-04-11 07:56:26 UTC"/>
        <s v="2022-04-11 07:56:24 UTC"/>
        <s v="2022-04-11 07:55:55 UTC"/>
        <s v="2022-04-11 07:55:44 UTC"/>
        <s v="2022-04-11 07:55:24 UTC"/>
        <s v="2022-04-11 07:55:16 UTC"/>
        <s v="2022-04-11 07:55:14 UTC"/>
        <s v="2022-04-11 07:55:03 UTC"/>
        <s v="2022-04-11 07:54:59 UTC"/>
        <s v="2022-04-11 07:54:54 UTC"/>
        <s v="2022-04-11 07:54:38 UTC"/>
        <s v="2022-04-11 07:54:32 UTC"/>
        <s v="2022-04-11 07:54:13 UTC"/>
        <s v="2022-04-11 07:54:12 UTC"/>
        <s v="2022-04-11 07:54:09 UTC"/>
        <s v="2022-04-11 07:54:04 UTC"/>
        <s v="2022-04-11 07:53:59 UTC"/>
        <s v="2022-04-11 07:53:55 UTC"/>
        <s v="2022-04-11 07:53:53 UTC"/>
        <s v="2022-04-11 07:53:50 UTC"/>
        <s v="2022-04-11 07:53:48 UTC"/>
        <s v="2022-04-11 07:53:42 UTC"/>
        <s v="2022-04-11 07:53:41 UTC"/>
        <s v="2022-04-11 07:53:15 UTC"/>
        <s v="2022-04-11 07:53:10 UTC"/>
        <s v="2022-04-11 07:52:46 UTC"/>
        <s v="2022-04-11 07:52:44 UTC"/>
        <s v="2022-04-11 07:52:30 UTC"/>
        <s v="2022-04-11 07:52:28 UTC"/>
        <s v="2022-04-11 07:52:25 UTC"/>
        <s v="2022-04-11 07:52:23 UTC"/>
        <s v="2022-04-11 07:51:41 UTC"/>
        <s v="2022-04-11 07:51:39 UTC"/>
        <s v="2022-04-11 07:51:36 UTC"/>
        <s v="2022-04-11 07:51:20 UTC"/>
        <s v="2022-04-11 07:51:01 UTC"/>
        <s v="2022-04-11 07:50:20 UTC"/>
        <s v="2022-04-11 07:50:16 UTC"/>
        <s v="2022-04-11 07:50:14 UTC"/>
        <s v="2022-04-11 07:50:12 UTC"/>
        <s v="2022-04-11 07:50:11 UTC"/>
        <s v="2022-04-11 07:50:10 UTC"/>
        <s v="2022-04-11 07:50:09 UTC"/>
        <s v="2022-04-11 07:50:08 UTC"/>
        <s v="2022-04-11 07:50:07 UTC"/>
        <s v="2022-04-11 07:50:06 UTC"/>
        <s v="2022-04-11 07:50:05 UTC"/>
        <s v="2022-04-11 07:50:04 UTC"/>
        <s v="2022-04-11 07:50:03 UTC"/>
        <s v="2022-04-11 07:50:02 UTC"/>
        <s v="2022-04-11 07:50:01 UTC"/>
        <s v="2022-04-11 07:50:00 UTC"/>
        <s v="2022-04-11 07:49:59 UTC"/>
        <s v="2022-04-11 07:49:58 UTC"/>
        <s v="2022-04-11 07:49:57 UTC"/>
        <s v="2022-04-11 07:49:56 UTC"/>
        <s v="2022-04-11 07:49:55 UTC"/>
        <s v="2022-04-11 07:49:54 UTC"/>
        <s v="2022-04-11 07:49:53 UTC"/>
        <s v="2022-04-11 07:49:49 UTC"/>
        <s v="2022-04-11 07:49:47 UTC"/>
        <s v="2022-04-11 07:49:44 UTC"/>
        <s v="2022-04-11 07:49:42 UTC"/>
        <s v="2022-04-11 07:49:40 UTC"/>
        <s v="2022-04-11 07:49:37 UTC"/>
        <s v="2022-04-11 07:49:35 UTC"/>
        <s v="2022-04-11 07:49:34 UTC"/>
        <s v="2022-04-11 07:49:33 UTC"/>
        <s v="2022-04-11 07:49:29 UTC"/>
        <s v="2022-04-11 07:49:23 UTC"/>
        <s v="2022-04-11 07:49:17 UTC"/>
        <s v="2022-04-11 07:48:56 UTC"/>
        <s v="2022-04-11 07:48:46 UTC"/>
        <s v="2022-04-11 07:48:45 UTC"/>
        <s v="2022-04-11 07:48:44 UTC"/>
        <s v="2022-04-11 07:48:43 UTC"/>
        <s v="2022-04-11 07:48:42 UTC"/>
        <s v="2022-04-11 07:48:40 UTC"/>
        <s v="2022-04-11 07:48:39 UTC"/>
        <s v="2022-04-11 07:48:38 UTC"/>
        <s v="2022-04-11 07:48:36 UTC"/>
        <s v="2022-04-11 07:48:35 UTC"/>
        <s v="2022-04-11 07:48:33 UTC"/>
        <s v="2022-04-11 07:48:32 UTC"/>
        <s v="2022-04-11 07:48:31 UTC"/>
        <s v="2022-04-11 07:48:30 UTC"/>
        <s v="2022-04-11 07:48:22 UTC"/>
        <s v="2022-04-11 07:48:21 UTC"/>
        <s v="2022-04-11 07:48:14 UTC"/>
        <s v="2022-04-11 07:47:56 UTC"/>
        <s v="2022-04-11 07:47:44 UTC"/>
        <s v="2022-04-11 07:47:37 UTC"/>
        <s v="2022-04-11 07:47:02 UTC"/>
        <s v="2022-04-11 07:47:00 UTC"/>
        <s v="2022-04-11 07:46:58 UTC"/>
        <s v="2022-04-11 07:46:46 UTC"/>
        <s v="2022-04-11 07:46:45 UTC"/>
        <s v="2022-04-11 07:45:59 UTC"/>
        <s v="2022-04-11 07:45:51 UTC"/>
        <s v="2022-04-11 07:45:44 UTC"/>
        <s v="2022-04-11 07:45:38 UTC"/>
        <s v="2022-04-11 07:45:16 UTC"/>
        <s v="2022-04-11 07:45:14 UTC"/>
        <s v="2022-04-11 07:45:13 UTC"/>
        <s v="2022-04-11 07:45:12 UTC"/>
        <s v="2022-04-11 07:45:11 UTC"/>
        <s v="2022-04-11 07:45:10 UTC"/>
        <s v="2022-04-11 07:45:08 UTC"/>
        <s v="2022-04-11 07:45:07 UTC"/>
        <s v="2022-04-11 07:45:05 UTC"/>
        <s v="2022-04-11 07:45:04 UTC"/>
        <s v="2022-04-11 07:45:03 UTC"/>
        <s v="2022-04-11 07:45:02 UTC"/>
        <s v="2022-04-11 07:45:01 UTC"/>
        <s v="2022-04-11 07:45:00 UTC"/>
        <s v="2022-04-11 07:44:59 UTC"/>
        <s v="2022-04-11 07:44:57 UTC"/>
        <s v="2022-04-11 07:44:55 UTC"/>
        <s v="2022-04-11 07:44:53 UTC"/>
        <s v="2022-04-11 07:44:50 UTC"/>
        <s v="2022-04-11 07:44:49 UTC"/>
        <s v="2022-04-11 07:44:47 UTC"/>
        <s v="2022-04-11 07:44:46 UTC"/>
        <s v="2022-04-11 07:44:43 UTC"/>
        <s v="2022-04-11 07:44:40 UTC"/>
        <s v="2022-04-11 07:44:30 UTC"/>
        <s v="2022-04-11 07:43:28 UTC"/>
        <s v="2022-04-11 07:43:20 UTC"/>
        <s v="2022-04-11 07:43:13 UTC"/>
        <s v="2022-04-11 07:42:53 UTC"/>
        <s v="2022-04-11 07:42:51 UTC"/>
        <s v="2022-04-11 07:42:50 UTC"/>
        <s v="2022-04-11 07:42:13 UTC"/>
        <s v="2022-04-11 07:42:06 UTC"/>
        <s v="2022-04-11 07:41:59 UTC"/>
        <s v="2022-04-11 07:41:56 UTC"/>
        <s v="2022-04-11 07:41:54 UTC"/>
        <s v="2022-04-11 07:41:51 UTC"/>
        <s v="2022-04-11 07:41:50 UTC"/>
        <s v="2022-04-11 07:41:46 UTC"/>
        <s v="2022-04-11 07:41:43 UTC"/>
        <s v="2022-04-11 07:41:29 UTC"/>
        <s v="2022-04-11 07:41:27 UTC"/>
        <s v="2022-04-11 07:41:26 UTC"/>
        <s v="2022-04-11 07:41:23 UTC"/>
        <s v="2022-04-11 07:41:21 UTC"/>
        <s v="2022-04-11 07:41:10 UTC"/>
        <s v="2022-04-11 07:41:07 UTC"/>
        <s v="2022-04-11 07:41:05 UTC"/>
        <s v="2022-04-11 07:41:04 UTC"/>
        <s v="2022-04-11 07:41:02 UTC"/>
        <s v="2022-04-11 07:40:59 UTC"/>
        <s v="2022-04-11 07:40:56 UTC"/>
        <s v="2022-04-11 07:40:45 UTC"/>
        <s v="2022-04-11 07:40:31 UTC"/>
        <s v="2022-04-11 07:40:28 UTC"/>
        <s v="2022-04-11 07:40:23 UTC"/>
        <s v="2022-04-11 07:40:19 UTC"/>
        <s v="2022-04-11 07:40:14 UTC"/>
        <s v="2022-04-11 07:40:12 UTC"/>
        <s v="2022-04-11 07:40:10 UTC"/>
        <s v="2022-04-11 07:40:08 UTC"/>
        <s v="2022-04-11 07:40:05 UTC"/>
        <s v="2022-04-11 07:40:02 UTC"/>
        <s v="2022-04-11 07:40:01 UTC"/>
        <s v="2022-04-11 07:40:00 UTC"/>
        <s v="2022-04-11 07:39:59 UTC"/>
        <s v="2022-04-11 07:39:58 UTC"/>
        <s v="2022-04-11 07:39:55 UTC"/>
        <s v="2022-04-11 07:39:50 UTC"/>
        <s v="2022-04-11 07:39:48 UTC"/>
        <s v="2022-04-11 07:39:45 UTC"/>
        <s v="2022-04-11 07:39:44 UTC"/>
        <s v="2022-04-11 07:39:41 UTC"/>
        <s v="2022-04-11 07:39:39 UTC"/>
        <s v="2022-04-11 07:39:38 UTC"/>
        <s v="2022-04-11 07:39:31 UTC"/>
        <s v="2022-04-11 07:39:16 UTC"/>
        <s v="2022-04-11 07:38:58 UTC"/>
        <s v="2022-04-11 07:38:35 UTC"/>
        <s v="2022-04-11 07:38:33 UTC"/>
        <s v="2022-04-11 07:38:25 UTC"/>
        <s v="2022-04-11 07:38:22 UTC"/>
        <s v="2022-04-11 07:38:20 UTC"/>
        <s v="2022-04-11 07:38:14 UTC"/>
        <s v="2022-04-11 07:38:11 UTC"/>
        <s v="2022-04-11 07:38:10 UTC"/>
        <s v="2022-04-11 07:38:09 UTC"/>
        <s v="2022-04-11 07:38:08 UTC"/>
        <s v="2022-04-11 07:38:06 UTC"/>
        <s v="2022-04-11 07:38:05 UTC"/>
        <s v="2022-04-11 07:38:04 UTC"/>
        <s v="2022-04-11 07:38:03 UTC"/>
        <s v="2022-04-11 07:37:59 UTC"/>
        <s v="2022-04-11 07:37:56 UTC"/>
        <s v="2022-04-11 07:37:55 UTC"/>
        <s v="2022-04-11 07:37:54 UTC"/>
        <s v="2022-04-11 07:37:52 UTC"/>
        <s v="2022-04-11 07:37:47 UTC"/>
        <s v="2022-04-11 07:37:45 UTC"/>
        <s v="2022-04-11 07:37:42 UTC"/>
        <s v="2022-04-11 07:37:41 UTC"/>
        <s v="2022-04-11 07:37:40 UTC"/>
        <s v="2022-04-11 07:37:37 UTC"/>
        <s v="2022-04-11 07:37:36 UTC"/>
        <s v="2022-04-11 07:37:35 UTC"/>
        <s v="2022-04-11 07:37:34 UTC"/>
        <s v="2022-04-11 07:37:33 UTC"/>
        <s v="2022-04-11 07:37:30 UTC"/>
        <s v="2022-04-11 07:37:29 UTC"/>
        <s v="2022-04-11 07:37:26 UTC"/>
        <s v="2022-04-11 07:37:24 UTC"/>
        <s v="2022-04-11 07:37:22 UTC"/>
        <s v="2022-04-11 07:37:19 UTC"/>
        <s v="2022-04-11 07:37:18 UTC"/>
        <s v="2022-04-11 07:37:17 UTC"/>
        <s v="2022-04-11 07:37:16 UTC"/>
        <s v="2022-04-11 07:37:15 UTC"/>
        <s v="2022-04-11 07:37:14 UTC"/>
        <s v="2022-04-11 07:37:13 UTC"/>
        <s v="2022-04-11 07:37:12 UTC"/>
        <s v="2022-04-11 07:37:11 UTC"/>
        <s v="2022-04-11 07:37:10 UTC"/>
        <s v="2022-04-11 07:37:09 UTC"/>
        <s v="2022-04-11 07:37:07 UTC"/>
        <s v="2022-04-11 07:37:06 UTC"/>
        <s v="2022-04-11 07:37:05 UTC"/>
        <s v="2022-04-11 07:37:04 UTC"/>
        <s v="2022-04-11 07:37:03 UTC"/>
        <s v="2022-04-11 07:36:59 UTC"/>
        <s v="2022-04-11 07:36:33 UTC"/>
        <s v="2022-04-11 07:36:20 UTC"/>
        <s v="2022-04-11 07:36:19 UTC"/>
        <s v="2022-04-11 07:36:18 UTC"/>
        <s v="2022-04-11 07:36:15 UTC"/>
        <s v="2022-04-11 07:36:09 UTC"/>
        <s v="2022-04-11 07:36:03 UTC"/>
        <s v="2022-04-11 07:36:00 UTC"/>
        <s v="2022-04-11 07:35:56 UTC"/>
        <s v="2022-04-11 07:35:39 UTC"/>
        <s v="2022-04-11 07:35:19 UTC"/>
        <s v="2022-04-11 07:34:18 UTC"/>
        <s v="2022-04-11 07:34:10 UTC"/>
        <s v="2022-04-11 07:34:07 UTC"/>
        <s v="2022-04-11 07:33:59 UTC"/>
        <s v="2022-04-11 07:33:49 UTC"/>
        <s v="2022-04-11 07:33:48 UTC"/>
        <s v="2022-04-11 07:33:44 UTC"/>
        <s v="2022-04-11 07:33:41 UTC"/>
        <s v="2022-04-11 07:33:21 UTC"/>
        <s v="2022-04-11 07:32:35 UTC"/>
        <s v="2022-04-11 07:32:34 UTC"/>
        <s v="2022-04-11 07:32:29 UTC"/>
        <s v="2022-04-11 07:32:23 UTC"/>
        <s v="2022-04-11 07:32:22 UTC"/>
        <s v="2022-04-11 07:32:18 UTC"/>
        <s v="2022-04-11 07:31:53 UTC"/>
        <s v="2022-04-11 07:31:37 UTC"/>
        <s v="2022-04-11 07:31:35 UTC"/>
        <s v="2022-04-11 07:31:32 UTC"/>
        <s v="2022-04-11 07:31:30 UTC"/>
        <s v="2022-04-11 07:31:25 UTC"/>
        <s v="2022-04-11 07:31:17 UTC"/>
        <s v="2022-04-11 07:31:14 UTC"/>
        <s v="2022-04-11 07:30:55 UTC"/>
        <s v="2022-04-11 07:30:50 UTC"/>
        <s v="2022-04-11 07:30:48 UTC"/>
        <s v="2022-04-11 07:30:37 UTC"/>
        <s v="2022-04-11 07:30:35 UTC"/>
        <s v="2022-04-11 07:30:32 UTC"/>
        <s v="2022-04-11 07:30:31 UTC"/>
        <s v="2022-04-11 07:30:04 UTC"/>
        <s v="2022-04-11 07:29:59 UTC"/>
        <s v="2022-04-11 07:29:47 UTC"/>
        <s v="2022-04-11 07:28:14 UTC"/>
        <s v="2022-04-11 07:28:12 UTC"/>
        <s v="2022-04-11 07:27:57 UTC"/>
        <s v="2022-04-11 07:26:42 UTC"/>
        <s v="2022-04-11 07:26:39 UTC"/>
        <s v="2022-04-11 07:26:38 UTC"/>
        <s v="2022-04-11 07:26:36 UTC"/>
        <s v="2022-04-11 07:26:35 UTC"/>
        <s v="2022-04-11 07:26:34 UTC"/>
        <s v="2022-04-11 07:26:33 UTC"/>
        <s v="2022-04-11 07:26:32 UTC"/>
        <s v="2022-04-11 07:26:30 UTC"/>
        <s v="2022-04-11 07:26:29 UTC"/>
        <s v="2022-04-11 07:26:27 UTC"/>
        <s v="2022-04-11 07:26:26 UTC"/>
        <s v="2022-04-11 07:26:25 UTC"/>
        <s v="2022-04-11 07:26:24 UTC"/>
        <s v="2022-04-11 07:26:23 UTC"/>
        <s v="2022-04-11 07:26:22 UTC"/>
        <s v="2022-04-11 07:26:21 UTC"/>
        <s v="2022-04-11 07:26:15 UTC"/>
        <s v="2022-04-11 07:26:07 UTC"/>
        <s v="2022-04-11 07:26:05 UTC"/>
        <s v="2022-04-11 07:25:59 UTC"/>
        <s v="2022-04-11 07:25:49 UTC"/>
        <s v="2022-04-11 07:25:30 UTC"/>
        <s v="2022-04-11 07:25:26 UTC"/>
        <s v="2022-04-11 07:25:19 UTC"/>
        <s v="2022-04-11 07:24:43 UTC"/>
        <s v="2022-04-11 07:24:33 UTC"/>
        <s v="2022-04-11 07:24:32 UTC"/>
        <s v="2022-04-11 07:24:31 UTC"/>
        <s v="2022-04-11 07:24:29 UTC"/>
        <s v="2022-04-11 07:24:27 UTC"/>
        <s v="2022-04-11 07:24:26 UTC"/>
        <s v="2022-04-11 07:24:25 UTC"/>
        <s v="2022-04-11 07:24:23 UTC"/>
        <s v="2022-04-11 07:24:22 UTC"/>
        <s v="2022-04-11 07:24:20 UTC"/>
        <s v="2022-04-11 07:24:19 UTC"/>
        <s v="2022-04-11 07:24:16 UTC"/>
        <s v="2022-04-11 07:24:15 UTC"/>
        <s v="2022-04-11 07:24:12 UTC"/>
        <s v="2022-04-11 07:24:10 UTC"/>
        <s v="2022-04-11 07:24:08 UTC"/>
        <s v="2022-04-11 07:24:06 UTC"/>
        <s v="2022-04-11 07:24:05 UTC"/>
        <s v="2022-04-11 07:24:04 UTC"/>
        <s v="2022-04-11 07:24:03 UTC"/>
        <s v="2022-04-11 07:24:00 UTC"/>
        <s v="2022-04-11 07:23:59 UTC"/>
        <s v="2022-04-11 07:23:57 UTC"/>
        <s v="2022-04-11 07:23:54 UTC"/>
        <s v="2022-04-11 07:23:51 UTC"/>
        <s v="2022-04-11 07:23:49 UTC"/>
        <s v="2022-04-11 07:23:33 UTC"/>
        <s v="2022-04-11 07:23:31 UTC"/>
        <s v="2022-04-11 07:23:30 UTC"/>
        <s v="2022-04-11 07:23:29 UTC"/>
        <s v="2022-04-11 07:23:22 UTC"/>
        <s v="2022-04-11 07:23:17 UTC"/>
        <s v="2022-04-11 07:23:06 UTC"/>
        <s v="2022-04-11 07:23:05 UTC"/>
        <s v="2022-04-11 07:23:02 UTC"/>
        <s v="2022-04-11 07:23:01 UTC"/>
        <s v="2022-04-11 07:22:57 UTC"/>
        <s v="2022-04-11 07:22:56 UTC"/>
        <s v="2022-04-11 07:22:53 UTC"/>
        <s v="2022-04-11 07:22:52 UTC"/>
        <s v="2022-04-11 07:22:51 UTC"/>
        <s v="2022-04-11 07:22:50 UTC"/>
        <s v="2022-04-11 07:22:49 UTC"/>
        <s v="2022-04-11 07:22:28 UTC"/>
        <s v="2022-04-11 07:22:24 UTC"/>
        <s v="2022-04-11 07:22:18 UTC"/>
        <s v="2022-04-11 07:22:11 UTC"/>
        <s v="2022-04-11 07:22:00 UTC"/>
        <s v="2022-04-11 07:21:59 UTC"/>
        <s v="2022-04-11 07:21:57 UTC"/>
        <s v="2022-04-11 07:21:55 UTC"/>
        <s v="2022-04-11 07:21:53 UTC"/>
        <s v="2022-04-11 07:21:49 UTC"/>
        <s v="2022-04-11 07:21:46 UTC"/>
        <s v="2022-04-11 07:21:41 UTC"/>
        <s v="2022-04-11 07:21:37 UTC"/>
        <s v="2022-04-11 07:21:33 UTC"/>
        <s v="2022-04-11 07:21:32 UTC"/>
        <s v="2022-04-11 07:21:31 UTC"/>
        <s v="2022-04-11 07:21:30 UTC"/>
        <s v="2022-04-11 07:21:28 UTC"/>
        <s v="2022-04-11 07:21:27 UTC"/>
        <s v="2022-04-11 07:21:26 UTC"/>
        <s v="2022-04-11 07:21:25 UTC"/>
        <s v="2022-04-11 07:21:24 UTC"/>
        <s v="2022-04-11 07:21:23 UTC"/>
        <s v="2022-04-11 07:21:22 UTC"/>
        <s v="2022-04-11 07:21:21 UTC"/>
        <s v="2022-04-11 07:21:19 UTC"/>
        <s v="2022-04-11 07:21:18 UTC"/>
        <s v="2022-04-11 07:21:17 UTC"/>
        <s v="2022-04-11 07:21:15 UTC"/>
        <s v="2022-04-11 07:21:14 UTC"/>
        <s v="2022-04-11 07:21:13 UTC"/>
        <s v="2022-04-11 07:21:09 UTC"/>
        <s v="2022-04-11 07:21:07 UTC"/>
        <s v="2022-04-11 07:20:58 UTC"/>
        <s v="2022-04-11 07:20:45 UTC"/>
        <s v="2022-04-11 07:19:47 UTC"/>
        <s v="2022-04-11 07:19:22 UTC"/>
        <s v="2022-04-11 07:19:20 UTC"/>
        <s v="2022-04-11 07:19:03 UTC"/>
        <s v="2022-04-11 07:19:00 UTC"/>
        <s v="2022-04-11 07:18:59 UTC"/>
        <s v="2022-04-11 07:18:55 UTC"/>
        <s v="2022-04-11 07:18:53 UTC"/>
        <s v="2022-04-11 07:18:50 UTC"/>
        <s v="2022-04-11 07:18:48 UTC"/>
        <s v="2022-04-11 07:18:46 UTC"/>
        <s v="2022-04-11 07:18:43 UTC"/>
        <s v="2022-04-11 07:18:41 UTC"/>
        <s v="2022-04-11 07:18:39 UTC"/>
        <s v="2022-04-11 07:18:38 UTC"/>
        <s v="2022-04-11 07:18:36 UTC"/>
        <s v="2022-04-11 07:18:34 UTC"/>
        <s v="2022-04-11 07:18:31 UTC"/>
        <s v="2022-04-11 07:18:29 UTC"/>
        <s v="2022-04-11 07:18:26 UTC"/>
        <s v="2022-04-11 07:18:22 UTC"/>
        <s v="2022-04-11 07:18:19 UTC"/>
        <s v="2022-04-11 07:18:13 UTC"/>
        <s v="2022-04-11 07:18:10 UTC"/>
        <s v="2022-04-11 07:17:46 UTC"/>
        <s v="2022-04-11 07:17:34 UTC"/>
        <s v="2022-04-11 07:17:16 UTC"/>
        <s v="2022-04-11 07:17:14 UTC"/>
        <s v="2022-04-11 07:17:13 UTC"/>
        <s v="2022-04-11 07:16:39 UTC"/>
        <s v="2022-04-11 07:16:35 UTC"/>
        <s v="2022-04-11 07:16:34 UTC"/>
        <s v="2022-04-11 07:16:23 UTC"/>
        <s v="2022-04-11 07:15:25 UTC"/>
        <s v="2022-04-11 07:15:18 UTC"/>
        <s v="2022-04-11 07:15:16 UTC"/>
        <s v="2022-04-11 07:15:03 UTC"/>
        <s v="2022-04-11 07:15:00 UTC"/>
        <s v="2022-04-11 07:14:59 UTC"/>
        <s v="2022-04-11 07:14:54 UTC"/>
        <s v="2022-04-11 07:14:53 UTC"/>
        <s v="2022-04-11 07:14:51 UTC"/>
        <s v="2022-04-11 07:14:48 UTC"/>
        <s v="2022-04-11 07:14:45 UTC"/>
        <s v="2022-04-11 07:14:41 UTC"/>
        <s v="2022-04-11 07:14:39 UTC"/>
        <s v="2022-04-11 07:14:37 UTC"/>
        <s v="2022-04-11 07:14:31 UTC"/>
        <s v="2022-04-11 07:14:19 UTC"/>
        <s v="2022-04-11 07:14:16 UTC"/>
        <s v="2022-04-11 07:14:14 UTC"/>
        <s v="2022-04-11 07:14:11 UTC"/>
        <s v="2022-04-11 07:14:08 UTC"/>
        <s v="2022-04-11 07:13:56 UTC"/>
        <s v="2022-04-11 07:13:24 UTC"/>
        <s v="2022-04-11 07:12:56 UTC"/>
        <s v="2022-04-11 07:12:04 UTC"/>
        <s v="2022-04-11 07:12:03 UTC"/>
        <s v="2022-04-11 07:12:00 UTC"/>
        <s v="2022-04-11 07:11:55 UTC"/>
        <s v="2022-04-11 07:11:53 UTC"/>
        <s v="2022-04-11 07:11:52 UTC"/>
        <s v="2022-04-11 07:11:44 UTC"/>
        <s v="2022-04-11 07:11:39 UTC"/>
        <s v="2022-04-11 07:11:36 UTC"/>
        <s v="2022-04-11 07:11:27 UTC"/>
        <s v="2022-04-11 07:11:23 UTC"/>
        <s v="2022-04-11 07:11:16 UTC"/>
        <s v="2022-04-11 07:11:12 UTC"/>
        <s v="2022-04-11 07:11:01 UTC"/>
        <s v="2022-04-11 07:10:58 UTC"/>
        <s v="2022-04-11 07:10:52 UTC"/>
        <s v="2022-04-11 07:10:50 UTC"/>
        <s v="2022-04-11 07:10:45 UTC"/>
        <s v="2022-04-11 07:10:42 UTC"/>
        <s v="2022-04-11 07:10:39 UTC"/>
        <s v="2022-04-11 07:10:38 UTC"/>
        <s v="2022-04-11 07:10:31 UTC"/>
        <s v="2022-04-11 07:10:24 UTC"/>
        <s v="2022-04-11 07:10:12 UTC"/>
        <s v="2022-04-11 07:10:09 UTC"/>
        <s v="2022-04-11 07:10:07 UTC"/>
        <s v="2022-04-11 07:10:04 UTC"/>
        <s v="2022-04-11 07:09:47 UTC"/>
        <s v="2022-04-11 07:09:44 UTC"/>
        <s v="2022-04-11 07:09:13 UTC"/>
        <s v="2022-04-11 07:09:06 UTC"/>
        <s v="2022-04-11 07:09:05 UTC"/>
        <s v="2022-04-11 07:09:03 UTC"/>
        <s v="2022-04-11 07:08:38 UTC"/>
        <s v="2022-04-11 07:08:19 UTC"/>
        <s v="2022-04-11 07:07:57 UTC"/>
        <s v="2022-04-11 07:07:56 UTC"/>
        <s v="2022-04-11 07:07:54 UTC"/>
        <s v="2022-04-11 07:07:53 UTC"/>
        <s v="2022-04-11 07:07:44 UTC"/>
        <s v="2022-04-11 07:07:43 UTC"/>
        <s v="2022-04-11 07:07:37 UTC"/>
        <s v="2022-04-11 07:07:34 UTC"/>
        <s v="2022-04-11 07:07:33 UTC"/>
        <s v="2022-04-11 07:07:29 UTC"/>
        <s v="2022-04-11 07:07:28 UTC"/>
        <s v="2022-04-11 07:07:27 UTC"/>
        <s v="2022-04-11 07:07:26 UTC"/>
        <s v="2022-04-11 07:07:25 UTC"/>
        <s v="2022-04-11 07:07:23 UTC"/>
        <s v="2022-04-11 07:07:17 UTC"/>
        <s v="2022-04-11 07:07:15 UTC"/>
        <s v="2022-04-11 07:07:14 UTC"/>
        <s v="2022-04-11 07:07:12 UTC"/>
        <s v="2022-04-11 07:07:11 UTC"/>
        <s v="2022-04-11 07:07:10 UTC"/>
        <s v="2022-04-11 07:07:07 UTC"/>
        <s v="2022-04-11 07:07:05 UTC"/>
        <s v="2022-04-11 07:07:03 UTC"/>
        <s v="2022-04-11 07:06:59 UTC"/>
        <s v="2022-04-11 07:06:56 UTC"/>
        <s v="2022-04-11 07:06:55 UTC"/>
        <s v="2022-04-11 07:06:53 UTC"/>
        <s v="2022-04-11 07:06:50 UTC"/>
        <s v="2022-04-11 07:06:48 UTC"/>
        <s v="2022-04-11 07:06:47 UTC"/>
        <s v="2022-04-11 07:06:45 UTC"/>
        <s v="2022-04-11 07:06:44 UTC"/>
        <s v="2022-04-11 07:06:42 UTC"/>
        <s v="2022-04-11 07:06:40 UTC"/>
        <s v="2022-04-11 07:06:32 UTC"/>
        <s v="2022-04-11 07:06:18 UTC"/>
        <s v="2022-04-11 07:06:01 UTC"/>
        <s v="2022-04-11 07:05:55 UTC"/>
        <s v="2022-04-11 07:05:53 UTC"/>
        <s v="2022-04-11 07:05:44 UTC"/>
        <s v="2022-04-11 07:05:41 UTC"/>
        <s v="2022-04-11 07:05:29 UTC"/>
        <s v="2022-04-11 07:05:25 UTC"/>
        <s v="2022-04-11 07:05:21 UTC"/>
        <s v="2022-04-11 07:05:14 UTC"/>
        <s v="2022-04-11 07:04:55 UTC"/>
        <s v="2022-04-11 07:04:54 UTC"/>
        <s v="2022-04-11 07:04:46 UTC"/>
        <s v="2022-04-11 07:04:44 UTC"/>
        <s v="2022-04-11 07:04:23 UTC"/>
        <s v="2022-04-11 07:04:19 UTC"/>
        <s v="2022-04-11 07:04:15 UTC"/>
        <s v="2022-04-11 07:04:12 UTC"/>
        <s v="2022-04-11 07:04:10 UTC"/>
        <s v="2022-04-11 07:03:52 UTC"/>
        <s v="2022-04-11 07:03:48 UTC"/>
        <s v="2022-04-11 07:03:37 UTC"/>
        <s v="2022-04-11 07:03:19 UTC"/>
        <s v="2022-04-11 07:03:15 UTC"/>
        <s v="2022-04-11 07:03:10 UTC"/>
        <s v="2022-04-11 07:02:53 UTC"/>
        <s v="2022-04-11 07:02:17 UTC"/>
        <s v="2022-04-11 07:02:15 UTC"/>
        <s v="2022-04-11 07:02:12 UTC"/>
        <s v="2022-04-11 07:02:09 UTC"/>
        <s v="2022-04-11 07:01:59 UTC"/>
        <s v="2022-04-11 07:01:53 UTC"/>
        <s v="2022-04-11 07:01:52 UTC"/>
        <s v="2022-04-11 07:01:51 UTC"/>
        <s v="2022-04-11 07:01:50 UTC"/>
        <s v="2022-04-11 07:01:48 UTC"/>
        <s v="2022-04-11 07:01:47 UTC"/>
        <s v="2022-04-11 07:01:45 UTC"/>
        <s v="2022-04-11 07:01:38 UTC"/>
        <s v="2022-04-11 07:01:32 UTC"/>
        <s v="2022-04-11 07:01:29 UTC"/>
        <s v="2022-04-11 07:01:27 UTC"/>
        <s v="2022-04-11 07:01:21 UTC"/>
        <s v="2022-04-11 07:01:15 UTC"/>
        <s v="2022-04-11 07:01:11 UTC"/>
        <s v="2022-04-11 07:01:08 UTC"/>
        <s v="2022-04-11 07:01:05 UTC"/>
        <s v="2022-04-11 07:01:04 UTC"/>
        <s v="2022-04-11 07:00:57 UTC"/>
        <s v="2022-04-11 07:00:54 UTC"/>
        <s v="2022-04-11 07:00:53 UTC"/>
        <s v="2022-04-11 07:00:49 UTC"/>
        <s v="2022-04-11 07:00:45 UTC"/>
        <s v="2022-04-11 07:00:43 UTC"/>
        <s v="2022-04-11 07:00:42 UTC"/>
        <s v="2022-04-11 07:00:41 UTC"/>
        <s v="2022-04-11 07:00:39 UTC"/>
        <s v="2022-04-11 07:00:38 UTC"/>
        <s v="2022-04-11 07:00:37 UTC"/>
        <s v="2022-04-11 07:00:35 UTC"/>
        <s v="2022-04-11 07:00:34 UTC"/>
        <s v="2022-04-11 07:00:32 UTC"/>
        <s v="2022-04-11 07:00:24 UTC"/>
        <s v="2022-04-11 07:00:23 UTC"/>
        <s v="2022-04-11 07:00:20 UTC"/>
        <s v="2022-04-11 07:00:19 UTC"/>
        <s v="2022-04-11 07:00:18 UTC"/>
        <s v="2022-04-11 07:00:16 UTC"/>
        <s v="2022-04-11 07:00:15 UTC"/>
        <s v="2022-04-11 07:00:14 UTC"/>
        <s v="2022-04-11 07:00:13 UTC"/>
        <s v="2022-04-11 07:00:12 UTC"/>
        <s v="2022-04-11 07:00:11 UTC"/>
        <s v="2022-04-11 07:00:09 UTC"/>
        <s v="2022-04-11 07:00:08 UTC"/>
        <s v="2022-04-11 07:00:07 UTC"/>
        <s v="2022-04-11 07:00:06 UTC"/>
        <s v="2022-04-11 07:00:05 UTC"/>
        <s v="2022-04-11 07:00:03 UTC"/>
        <s v="2022-04-11 07:00:02 UTC"/>
        <s v="2022-04-11 07:00:00 UTC"/>
        <s v="2022-04-11 06:59:58 UTC"/>
        <s v="2022-04-11 06:59:57 UTC"/>
        <s v="2022-04-11 06:59:54 UTC"/>
        <s v="2022-04-11 06:59:51 UTC"/>
        <s v="2022-04-11 06:59:48 UTC"/>
        <s v="2022-04-11 06:59:47 UTC"/>
        <s v="2022-04-11 06:59:45 UTC"/>
        <s v="2022-04-11 06:59:44 UTC"/>
        <s v="2022-04-11 06:59:43 UTC"/>
        <s v="2022-04-11 06:59:42 UTC"/>
        <s v="2022-04-11 06:59:41 UTC"/>
        <s v="2022-04-11 06:59:40 UTC"/>
        <s v="2022-04-11 06:59:39 UTC"/>
        <s v="2022-04-11 06:59:36 UTC"/>
        <s v="2022-04-11 06:59:35 UTC"/>
        <s v="2022-04-11 06:59:30 UTC"/>
        <s v="2022-04-11 06:59:28 UTC"/>
        <s v="2022-04-11 06:59:24 UTC"/>
        <s v="2022-04-11 06:59:23 UTC"/>
        <s v="2022-04-11 06:59:22 UTC"/>
        <s v="2022-04-11 06:59:19 UTC"/>
        <s v="2022-04-11 06:59:18 UTC"/>
        <s v="2022-04-11 06:59:10 UTC"/>
        <s v="2022-04-11 06:59:03 UTC"/>
        <s v="2022-04-11 06:58:59 UTC"/>
        <s v="2022-04-11 06:58:52 UTC"/>
        <s v="2022-04-11 06:58:48 UTC"/>
        <s v="2022-04-11 06:58:46 UTC"/>
        <s v="2022-04-11 06:58:44 UTC"/>
        <s v="2022-04-11 06:58:42 UTC"/>
        <s v="2022-04-11 06:58:41 UTC"/>
        <s v="2022-04-11 06:58:40 UTC"/>
        <s v="2022-04-11 06:58:39 UTC"/>
        <s v="2022-04-11 06:58:37 UTC"/>
        <s v="2022-04-11 06:58:36 UTC"/>
        <s v="2022-04-11 06:58:34 UTC"/>
        <s v="2022-04-11 06:58:33 UTC"/>
        <s v="2022-04-11 06:58:32 UTC"/>
        <s v="2022-04-11 06:58:30 UTC"/>
        <s v="2022-04-11 06:58:28 UTC"/>
        <s v="2022-04-11 06:58:26 UTC"/>
        <s v="2022-04-11 06:58:25 UTC"/>
        <s v="2022-04-11 06:58:23 UTC"/>
        <s v="2022-04-11 06:58:22 UTC"/>
        <s v="2022-04-11 06:58:20 UTC"/>
        <s v="2022-04-11 06:58:19 UTC"/>
        <s v="2022-04-11 06:58:18 UTC"/>
        <s v="2022-04-11 06:58:16 UTC"/>
        <s v="2022-04-11 06:58:14 UTC"/>
        <s v="2022-04-11 06:58:13 UTC"/>
        <s v="2022-04-11 06:58:08 UTC"/>
        <s v="2022-04-11 06:58:06 UTC"/>
        <s v="2022-04-11 06:58:04 UTC"/>
        <s v="2022-04-11 06:58:02 UTC"/>
        <s v="2022-04-11 06:58:00 UTC"/>
        <s v="2022-04-11 06:57:58 UTC"/>
        <s v="2022-04-11 06:57:54 UTC"/>
        <s v="2022-04-11 06:57:53 UTC"/>
        <s v="2022-04-11 06:57:51 UTC"/>
        <s v="2022-04-11 06:57:49 UTC"/>
        <s v="2022-04-11 06:57:47 UTC"/>
        <s v="2022-04-11 06:57:44 UTC"/>
        <s v="2022-04-11 06:57:41 UTC"/>
        <s v="2022-04-11 06:57:40 UTC"/>
        <s v="2022-04-11 06:57:38 UTC"/>
        <s v="2022-04-11 06:57:37 UTC"/>
        <s v="2022-04-11 06:57:35 UTC"/>
        <s v="2022-04-11 06:57:30 UTC"/>
        <s v="2022-04-11 06:57:28 UTC"/>
        <s v="2022-04-11 06:57:26 UTC"/>
        <s v="2022-04-11 06:57:24 UTC"/>
        <s v="2022-04-11 06:57:12 UTC"/>
        <s v="2022-04-11 06:57:07 UTC"/>
        <s v="2022-04-11 06:57:01 UTC"/>
        <s v="2022-04-11 06:56:52 UTC"/>
        <s v="2022-04-11 06:56:46 UTC"/>
        <s v="2022-04-11 06:56:42 UTC"/>
        <s v="2022-04-11 06:56:38 UTC"/>
        <s v="2022-04-11 06:56:24 UTC"/>
        <s v="2022-04-11 06:56:18 UTC"/>
        <s v="2022-04-11 06:56:10 UTC"/>
        <s v="2022-04-11 06:56:09 UTC"/>
        <s v="2022-04-11 06:56:06 UTC"/>
        <s v="2022-04-11 06:56:03 UTC"/>
        <s v="2022-04-11 06:56:01 UTC"/>
        <s v="2022-04-11 06:55:59 UTC"/>
        <s v="2022-04-11 06:55:55 UTC"/>
        <s v="2022-04-11 06:55:54 UTC"/>
        <s v="2022-04-11 06:55:50 UTC"/>
        <s v="2022-04-11 06:55:41 UTC"/>
        <s v="2022-04-11 06:55:40 UTC"/>
        <s v="2022-04-11 06:55:31 UTC"/>
        <s v="2022-04-11 06:55:29 UTC"/>
        <s v="2022-04-11 06:55:27 UTC"/>
        <s v="2022-04-11 06:55:22 UTC"/>
        <s v="2022-04-11 06:55:20 UTC"/>
        <s v="2022-04-11 06:55:01 UTC"/>
        <s v="2022-04-11 06:54:46 UTC"/>
        <s v="2022-04-11 06:54:25 UTC"/>
        <s v="2022-04-11 06:54:21 UTC"/>
        <s v="2022-04-11 06:54:06 UTC"/>
        <s v="2022-04-11 06:54:03 UTC"/>
        <s v="2022-04-11 06:54:00 UTC"/>
        <s v="2022-04-11 06:53:58 UTC"/>
        <s v="2022-04-11 06:53:54 UTC"/>
        <s v="2022-04-11 06:53:53 UTC"/>
        <s v="2022-04-11 06:53:50 UTC"/>
        <s v="2022-04-11 06:53:49 UTC"/>
        <s v="2022-04-11 06:53:47 UTC"/>
        <s v="2022-04-11 06:53:43 UTC"/>
        <s v="2022-04-11 06:53:40 UTC"/>
        <s v="2022-04-11 06:53:35 UTC"/>
        <s v="2022-04-11 06:53:31 UTC"/>
        <s v="2022-04-11 06:53:30 UTC"/>
        <s v="2022-04-11 06:53:29 UTC"/>
        <s v="2022-04-11 06:53:28 UTC"/>
        <s v="2022-04-11 06:53:27 UTC"/>
        <s v="2022-04-11 06:53:25 UTC"/>
        <s v="2022-04-11 06:53:24 UTC"/>
        <s v="2022-04-11 06:53:23 UTC"/>
        <s v="2022-04-11 06:53:22 UTC"/>
        <s v="2022-04-11 06:53:21 UTC"/>
        <s v="2022-04-11 06:53:20 UTC"/>
        <s v="2022-04-11 06:53:19 UTC"/>
        <s v="2022-04-11 06:53:18 UTC"/>
        <s v="2022-04-11 06:53:17 UTC"/>
        <s v="2022-04-11 06:53:16 UTC"/>
        <s v="2022-04-11 06:53:15 UTC"/>
        <s v="2022-04-11 06:53:13 UTC"/>
        <s v="2022-04-11 06:53:07 UTC"/>
        <s v="2022-04-11 06:53:05 UTC"/>
        <s v="2022-04-11 06:53:04 UTC"/>
        <s v="2022-04-11 06:53:02 UTC"/>
        <s v="2022-04-11 06:52:56 UTC"/>
        <s v="2022-04-11 06:52:54 UTC"/>
        <s v="2022-04-11 06:52:53 UTC"/>
        <s v="2022-04-11 06:52:51 UTC"/>
        <s v="2022-04-11 06:52:49 UTC"/>
        <s v="2022-04-11 06:52:47 UTC"/>
        <s v="2022-04-11 06:52:46 UTC"/>
        <s v="2022-04-11 06:52:44 UTC"/>
        <s v="2022-04-11 06:52:43 UTC"/>
        <s v="2022-04-11 06:52:42 UTC"/>
        <s v="2022-04-11 06:52:41 UTC"/>
        <s v="2022-04-11 06:52:40 UTC"/>
        <s v="2022-04-11 06:52:39 UTC"/>
        <s v="2022-04-11 06:52:38 UTC"/>
        <s v="2022-04-11 06:52:34 UTC"/>
        <s v="2022-04-11 06:52:27 UTC"/>
        <s v="2022-04-11 06:52:17 UTC"/>
        <s v="2022-04-11 06:52:11 UTC"/>
        <s v="2022-04-11 06:51:57 UTC"/>
        <s v="2022-04-11 06:51:56 UTC"/>
        <s v="2022-04-11 06:51:55 UTC"/>
        <s v="2022-04-11 06:51:54 UTC"/>
        <s v="2022-04-11 06:51:53 UTC"/>
        <s v="2022-04-11 06:51:52 UTC"/>
        <s v="2022-04-11 06:51:51 UTC"/>
        <s v="2022-04-11 06:51:50 UTC"/>
        <s v="2022-04-11 06:51:49 UTC"/>
        <s v="2022-04-11 06:51:48 UTC"/>
        <s v="2022-04-11 06:51:44 UTC"/>
        <s v="2022-04-11 06:51:42 UTC"/>
        <s v="2022-04-11 06:51:39 UTC"/>
        <s v="2022-04-11 06:51:37 UTC"/>
        <s v="2022-04-11 06:51:34 UTC"/>
        <s v="2022-04-11 06:51:29 UTC"/>
        <s v="2022-04-11 06:51:26 UTC"/>
        <s v="2022-04-11 06:51:19 UTC"/>
        <s v="2022-04-11 06:51:18 UTC"/>
        <s v="2022-04-11 06:51:13 UTC"/>
        <s v="2022-04-11 06:51:11 UTC"/>
        <s v="2022-04-11 06:51:09 UTC"/>
        <s v="2022-04-11 06:51:08 UTC"/>
        <s v="2022-04-11 06:51:07 UTC"/>
        <s v="2022-04-11 06:51:05 UTC"/>
        <s v="2022-04-11 06:51:03 UTC"/>
        <s v="2022-04-11 06:51:01 UTC"/>
        <s v="2022-04-11 06:50:59 UTC"/>
        <s v="2022-04-11 06:50:58 UTC"/>
        <s v="2022-04-11 06:50:55 UTC"/>
        <s v="2022-04-11 06:50:54 UTC"/>
        <s v="2022-04-11 06:50:53 UTC"/>
        <s v="2022-04-11 06:50:52 UTC"/>
        <s v="2022-04-11 06:50:50 UTC"/>
        <s v="2022-04-11 06:50:46 UTC"/>
        <s v="2022-04-11 06:50:45 UTC"/>
        <s v="2022-04-11 06:50:43 UTC"/>
        <s v="2022-04-11 06:50:41 UTC"/>
        <s v="2022-04-11 06:50:39 UTC"/>
        <s v="2022-04-11 06:50:38 UTC"/>
        <s v="2022-04-11 06:50:37 UTC"/>
        <s v="2022-04-11 06:50:36 UTC"/>
        <s v="2022-04-11 06:50:35 UTC"/>
        <s v="2022-04-11 06:50:34 UTC"/>
        <s v="2022-04-11 06:50:33 UTC"/>
        <s v="2022-04-11 06:50:32 UTC"/>
        <s v="2022-04-11 06:50:31 UTC"/>
        <s v="2022-04-11 06:50:30 UTC"/>
        <s v="2022-04-11 06:50:29 UTC"/>
        <s v="2022-04-11 06:50:27 UTC"/>
        <s v="2022-04-11 06:50:25 UTC"/>
        <s v="2022-04-11 06:50:22 UTC"/>
        <s v="2022-04-11 06:50:21 UTC"/>
        <s v="2022-04-11 06:50:19 UTC"/>
        <s v="2022-04-11 06:50:18 UTC"/>
        <s v="2022-04-11 06:50:17 UTC"/>
        <s v="2022-04-11 06:50:15 UTC"/>
        <s v="2022-04-11 06:50:14 UTC"/>
        <s v="2022-04-11 06:50:13 UTC"/>
        <s v="2022-04-11 06:50:11 UTC"/>
        <s v="2022-04-11 06:50:07 UTC"/>
        <s v="2022-04-11 06:50:06 UTC"/>
        <s v="2022-04-11 06:50:05 UTC"/>
        <s v="2022-04-11 06:50:04 UTC"/>
        <s v="2022-04-11 06:50:03 UTC"/>
        <s v="2022-04-11 06:50:02 UTC"/>
        <s v="2022-04-11 06:50:01 UTC"/>
        <s v="2022-04-11 06:50:00 UTC"/>
        <s v="2022-04-11 06:49:59 UTC"/>
        <s v="2022-04-11 06:49:58 UTC"/>
        <s v="2022-04-11 06:49:57 UTC"/>
        <s v="2022-04-11 06:49:56 UTC"/>
        <s v="2022-04-11 06:49:55 UTC"/>
        <s v="2022-04-11 06:49:54 UTC"/>
        <s v="2022-04-11 06:49:53 UTC"/>
        <s v="2022-04-11 06:49:52 UTC"/>
        <s v="2022-04-11 06:49:51 UTC"/>
        <s v="2022-04-11 06:49:50 UTC"/>
        <s v="2022-04-11 06:49:49 UTC"/>
        <s v="2022-04-11 06:49:48 UTC"/>
        <s v="2022-04-11 06:49:47 UTC"/>
        <s v="2022-04-11 06:49:46 UTC"/>
        <s v="2022-04-11 06:49:45 UTC"/>
        <s v="2022-04-11 06:49:44 UTC"/>
        <s v="2022-04-11 06:49:43 UTC"/>
        <s v="2022-04-11 06:49:42 UTC"/>
        <s v="2022-04-11 06:49:41 UTC"/>
        <s v="2022-04-11 06:49:40 UTC"/>
        <s v="2022-04-11 06:49:39 UTC"/>
        <s v="2022-04-11 06:49:38 UTC"/>
        <s v="2022-04-11 06:49:37 UTC"/>
        <s v="2022-04-11 06:49:36 UTC"/>
        <s v="2022-04-11 06:49:35 UTC"/>
        <s v="2022-04-11 06:49:33 UTC"/>
        <s v="2022-04-11 06:49:28 UTC"/>
        <s v="2022-04-11 06:49:27 UTC"/>
        <s v="2022-04-11 06:49:26 UTC"/>
        <s v="2022-04-11 06:49:24 UTC"/>
        <s v="2022-04-11 06:49:23 UTC"/>
        <s v="2022-04-11 06:49:22 UTC"/>
        <s v="2022-04-11 06:49:20 UTC"/>
        <s v="2022-04-11 06:49:18 UTC"/>
        <s v="2022-04-11 06:49:17 UTC"/>
        <s v="2022-04-11 06:49:15 UTC"/>
        <s v="2022-04-11 06:49:14 UTC"/>
        <s v="2022-04-11 06:49:13 UTC"/>
        <s v="2022-04-11 06:49:12 UTC"/>
        <s v="2022-04-11 06:49:11 UTC"/>
        <s v="2022-04-11 06:49:10 UTC"/>
        <s v="2022-04-11 06:49:09 UTC"/>
        <s v="2022-04-11 06:49:07 UTC"/>
        <s v="2022-04-11 06:49:06 UTC"/>
        <s v="2022-04-11 06:49:05 UTC"/>
        <s v="2022-04-11 06:49:04 UTC"/>
        <s v="2022-04-11 06:49:03 UTC"/>
        <s v="2022-04-11 06:49:02 UTC"/>
        <s v="2022-04-11 06:49:01 UTC"/>
        <s v="2022-04-11 06:48:59 UTC"/>
        <s v="2022-04-11 06:48:57 UTC"/>
        <s v="2022-04-11 06:48:54 UTC"/>
        <s v="2022-04-11 06:48:53 UTC"/>
        <s v="2022-04-11 06:48:52 UTC"/>
        <s v="2022-04-11 06:48:51 UTC"/>
        <s v="2022-04-11 06:48:49 UTC"/>
        <s v="2022-04-11 06:48:47 UTC"/>
        <s v="2022-04-11 06:48:46 UTC"/>
        <s v="2022-04-11 06:48:45 UTC"/>
        <s v="2022-04-11 06:48:44 UTC"/>
        <s v="2022-04-11 06:48:43 UTC"/>
        <s v="2022-04-11 06:48:42 UTC"/>
        <s v="2022-04-11 06:48:41 UTC"/>
        <s v="2022-04-11 06:48:40 UTC"/>
        <s v="2022-04-11 06:48:38 UTC"/>
        <s v="2022-04-11 06:48:37 UTC"/>
        <s v="2022-04-11 06:48:33 UTC"/>
        <s v="2022-04-11 06:48:31 UTC"/>
        <s v="2022-04-11 06:48:27 UTC"/>
        <s v="2022-04-11 06:48:23 UTC"/>
        <s v="2022-04-11 06:48:22 UTC"/>
        <s v="2022-04-11 06:48:20 UTC"/>
        <s v="2022-04-11 06:48:18 UTC"/>
        <s v="2022-04-11 06:48:09 UTC"/>
        <s v="2022-04-11 06:48:07 UTC"/>
        <s v="2022-04-11 06:48:06 UTC"/>
        <s v="2022-04-11 06:48:04 UTC"/>
        <s v="2022-04-11 06:48:03 UTC"/>
        <s v="2022-04-11 06:48:02 UTC"/>
        <s v="2022-04-11 06:48:00 UTC"/>
        <s v="2022-04-11 06:47:58 UTC"/>
        <s v="2022-04-11 06:47:57 UTC"/>
        <s v="2022-04-11 06:47:54 UTC"/>
        <s v="2022-04-11 06:47:52 UTC"/>
        <s v="2022-04-11 06:47:51 UTC"/>
        <s v="2022-04-11 06:47:49 UTC"/>
        <s v="2022-04-11 06:47:48 UTC"/>
        <s v="2022-04-11 06:47:46 UTC"/>
        <s v="2022-04-11 06:47:44 UTC"/>
        <s v="2022-04-11 06:47:41 UTC"/>
        <s v="2022-04-11 06:47:40 UTC"/>
        <s v="2022-04-11 06:47:39 UTC"/>
        <s v="2022-04-11 06:47:35 UTC"/>
        <s v="2022-04-11 06:47:32 UTC"/>
        <s v="2022-04-11 06:47:31 UTC"/>
        <s v="2022-04-11 06:47:27 UTC"/>
        <s v="2022-04-11 06:47:26 UTC"/>
        <s v="2022-04-11 06:47:24 UTC"/>
        <s v="2022-04-11 06:47:22 UTC"/>
        <s v="2022-04-11 06:47:20 UTC"/>
        <s v="2022-04-11 06:47:19 UTC"/>
        <s v="2022-04-11 06:47:18 UTC"/>
        <s v="2022-04-11 06:47:15 UTC"/>
        <s v="2022-04-11 06:47:11 UTC"/>
        <s v="2022-04-11 06:47:09 UTC"/>
        <s v="2022-04-11 06:47:05 UTC"/>
        <s v="2022-04-11 06:47:03 UTC"/>
        <s v="2022-04-11 06:47:00 UTC"/>
        <s v="2022-04-11 06:46:59 UTC"/>
        <s v="2022-04-11 06:46:58 UTC"/>
        <s v="2022-04-11 06:46:56 UTC"/>
        <s v="2022-04-11 06:46:54 UTC"/>
        <s v="2022-04-11 06:46:52 UTC"/>
        <s v="2022-04-11 06:46:48 UTC"/>
        <s v="2022-04-11 06:46:47 UTC"/>
        <s v="2022-04-11 06:46:44 UTC"/>
        <s v="2022-04-11 06:46:42 UTC"/>
        <s v="2022-04-11 06:46:40 UTC"/>
        <s v="2022-04-11 06:46:39 UTC"/>
        <s v="2022-04-11 06:46:36 UTC"/>
        <s v="2022-04-11 06:46:33 UTC"/>
        <s v="2022-04-11 06:46:27 UTC"/>
        <s v="2022-04-11 06:46:25 UTC"/>
        <s v="2022-04-11 06:46:24 UTC"/>
        <s v="2022-04-11 06:46:18 UTC"/>
        <s v="2022-04-11 06:46:17 UTC"/>
        <s v="2022-04-11 06:46:13 UTC"/>
        <s v="2022-04-11 06:46:11 UTC"/>
        <s v="2022-04-11 06:46:08 UTC"/>
        <s v="2022-04-11 06:46:07 UTC"/>
        <s v="2022-04-11 06:46:06 UTC"/>
        <s v="2022-04-11 06:46:04 UTC"/>
        <s v="2022-04-11 06:46:03 UTC"/>
        <s v="2022-04-11 06:46:01 UTC"/>
        <s v="2022-04-11 06:45:59 UTC"/>
        <s v="2022-04-11 06:45:57 UTC"/>
        <s v="2022-04-11 06:45:55 UTC"/>
        <s v="2022-04-11 06:45:33 UTC"/>
        <s v="2022-04-11 06:45:19 UTC"/>
        <s v="2022-04-11 06:45:17 UTC"/>
        <s v="2022-04-11 06:45:16 UTC"/>
        <s v="2022-04-11 06:45:15 UTC"/>
        <s v="2022-04-11 06:45:14 UTC"/>
        <s v="2022-04-11 06:45:13 UTC"/>
        <s v="2022-04-11 06:45:11 UTC"/>
        <s v="2022-04-11 06:45:08 UTC"/>
        <s v="2022-04-11 06:45:01 UTC"/>
        <s v="2022-04-11 06:45:00 UTC"/>
        <s v="2022-04-11 06:44:58 UTC"/>
        <s v="2022-04-11 06:44:47 UTC"/>
        <s v="2022-04-11 06:44:32 UTC"/>
        <s v="2022-04-11 06:43:45 UTC"/>
        <s v="2022-04-11 06:43:43 UTC"/>
        <s v="2022-04-11 06:43:37 UTC"/>
        <s v="2022-04-11 06:43:29 UTC"/>
        <s v="2022-04-11 06:43:27 UTC"/>
        <s v="2022-04-11 06:43:23 UTC"/>
        <s v="2022-04-11 06:43:18 UTC"/>
        <s v="2022-04-11 06:43:14 UTC"/>
        <s v="2022-04-11 06:43:03 UTC"/>
        <s v="2022-04-11 06:42:57 UTC"/>
        <s v="2022-04-11 06:42:54 UTC"/>
        <s v="2022-04-11 06:42:47 UTC"/>
        <s v="2022-04-11 06:42:07 UTC"/>
        <s v="2022-04-11 06:41:56 UTC"/>
        <s v="2022-04-11 06:41:40 UTC"/>
        <s v="2022-04-11 06:41:31 UTC"/>
        <s v="2022-04-11 06:41:19 UTC"/>
        <s v="2022-04-11 06:41:01 UTC"/>
        <s v="2022-04-11 06:40:57 UTC"/>
        <s v="2022-04-11 06:40:55 UTC"/>
        <s v="2022-04-11 06:40:53 UTC"/>
        <s v="2022-04-11 06:40:47 UTC"/>
        <s v="2022-04-11 06:40:22 UTC"/>
        <s v="2022-04-11 06:40:16 UTC"/>
        <s v="2022-04-11 06:40:14 UTC"/>
        <s v="2022-04-11 06:40:09 UTC"/>
        <s v="2022-04-11 06:40:04 UTC"/>
        <s v="2022-04-11 06:39:52 UTC"/>
        <s v="2022-04-11 06:39:45 UTC"/>
        <s v="2022-04-11 06:39:42 UTC"/>
        <s v="2022-04-11 06:39:36 UTC"/>
        <s v="2022-04-11 06:39:31 UTC"/>
        <s v="2022-04-11 06:39:26 UTC"/>
        <s v="2022-04-11 06:39:23 UTC"/>
        <s v="2022-04-11 06:39:18 UTC"/>
        <s v="2022-04-11 06:39:08 UTC"/>
        <s v="2022-04-11 06:39:06 UTC"/>
        <s v="2022-04-11 06:38:57 UTC"/>
        <s v="2022-04-11 06:38:52 UTC"/>
        <s v="2022-04-11 06:38:26 UTC"/>
        <s v="2022-04-11 06:37:57 UTC"/>
        <s v="2022-04-11 06:37:48 UTC"/>
        <s v="2022-04-11 06:37:45 UTC"/>
        <s v="2022-04-11 06:37:44 UTC"/>
        <s v="2022-04-11 06:37:35 UTC"/>
        <s v="2022-04-11 06:34:04 UTC"/>
        <s v="2022-04-11 06:33:46 UTC"/>
        <s v="2022-04-11 06:32:35 UTC"/>
        <s v="2022-04-11 06:29:30 UTC"/>
        <s v="2022-04-11 06:28:43 UTC"/>
        <s v="2022-04-11 06:28:09 UTC"/>
        <s v="2022-04-11 06:27:54 UTC"/>
        <s v="2022-04-11 06:27:49 UTC"/>
        <s v="2022-04-11 06:27:35 UTC"/>
        <s v="2022-04-11 06:27:32 UTC"/>
        <s v="2022-04-11 06:27:27 UTC"/>
        <s v="2022-04-11 06:27:12 UTC"/>
        <s v="2022-04-11 06:27:10 UTC"/>
        <s v="2022-04-11 06:26:51 UTC"/>
        <s v="2022-04-11 06:26:45 UTC"/>
        <s v="2022-04-11 06:26:44 UTC"/>
        <s v="2022-04-11 06:25:58 UTC"/>
        <s v="2022-04-11 06:25:51 UTC"/>
        <s v="2022-04-11 06:25:46 UTC"/>
        <s v="2022-04-11 06:25:42 UTC"/>
        <s v="2022-04-11 06:22:16 UTC"/>
        <s v="2022-04-11 06:16:21 UTC"/>
        <s v="2022-04-11 06:16:15 UTC"/>
        <s v="2022-04-11 06:15:29 UTC"/>
        <s v="2022-04-11 06:15:24 UTC"/>
        <s v="2022-04-11 06:15:01 UTC"/>
        <s v="2022-04-11 06:14:54 UTC"/>
        <s v="2022-04-11 06:14:51 UTC"/>
        <s v="2022-04-11 06:14:04 UTC"/>
        <s v="2022-04-11 06:14:02 UTC"/>
        <s v="2022-04-11 06:14:00 UTC"/>
        <s v="2022-04-11 06:13:54 UTC"/>
        <s v="2022-04-11 06:13:52 UTC"/>
        <s v="2022-04-11 06:13:39 UTC"/>
        <s v="2022-04-11 06:13:28 UTC"/>
        <s v="2022-04-11 06:11:59 UTC"/>
        <s v="2022-04-11 06:05:28 UTC"/>
        <s v="2022-04-11 06:02:16 UTC"/>
        <s v="2022-04-11 05:57:20 UTC"/>
        <s v="2022-04-11 05:56:46 UTC"/>
        <s v="2022-04-11 05:54:46 UTC"/>
        <s v="2022-04-11 05:54:43 UTC"/>
        <s v="2022-04-11 05:53:22 UTC"/>
        <s v="2022-04-11 05:51:35 UTC"/>
        <s v="2022-04-11 05:49:47 UTC"/>
        <s v="2022-04-11 05:49:38 UTC"/>
        <s v="2022-04-11 05:49:17 UTC"/>
        <s v="2022-04-11 05:48:46 UTC"/>
        <s v="2022-04-11 05:48:20 UTC"/>
        <s v="2022-04-11 05:48:14 UTC"/>
        <s v="2022-04-11 05:48:09 UTC"/>
        <s v="2022-04-11 05:46:22 UTC"/>
        <s v="2022-04-11 05:46:16 UTC"/>
        <s v="2022-04-11 05:46:15 UTC"/>
        <s v="2022-04-11 05:45:36 UTC"/>
        <s v="2022-04-11 05:45:20 UTC"/>
        <s v="2022-04-11 05:44:59 UTC"/>
        <s v="2022-04-11 05:44:57 UTC"/>
        <s v="2022-04-11 05:44:54 UTC"/>
        <s v="2022-04-11 05:44:44 UTC"/>
        <s v="2022-04-11 05:43:24 UTC"/>
        <s v="2022-04-11 05:43:18 UTC"/>
        <s v="2022-04-11 05:43:10 UTC"/>
        <s v="2022-04-11 05:41:40 UTC"/>
        <s v="2022-04-11 05:41:31 UTC"/>
        <s v="2022-04-11 05:41:29 UTC"/>
        <s v="2022-04-11 05:41:27 UTC"/>
        <s v="2022-04-11 05:41:25 UTC"/>
        <s v="2022-04-11 05:41:24 UTC"/>
        <s v="2022-04-11 05:41:22 UTC"/>
        <s v="2022-04-11 05:41:15 UTC"/>
        <s v="2022-04-11 05:41:12 UTC"/>
        <s v="2022-04-11 05:39:50 UTC"/>
        <s v="2022-04-11 05:39:37 UTC"/>
        <s v="2022-04-11 05:37:19 UTC"/>
        <s v="2022-04-11 05:36:31 UTC"/>
        <s v="2022-04-11 05:36:29 UTC"/>
        <s v="2022-04-11 05:36:28 UTC"/>
        <s v="2022-04-11 05:36:26 UTC"/>
        <s v="2022-04-11 05:36:24 UTC"/>
        <s v="2022-04-11 05:36:23 UTC"/>
        <s v="2022-04-11 05:36:20 UTC"/>
        <s v="2022-04-11 05:36:14 UTC"/>
        <s v="2022-04-11 05:34:55 UTC"/>
        <s v="2022-04-11 05:34:28 UTC"/>
        <s v="2022-04-11 05:33:17 UTC"/>
        <s v="2022-04-11 05:32:37 UTC"/>
        <s v="2022-04-11 05:30:27 UTC"/>
        <s v="2022-04-11 05:29:52 UTC"/>
        <s v="2022-04-11 05:29:35 UTC"/>
        <s v="2022-04-11 05:28:50 UTC"/>
        <s v="2022-04-11 05:28:06 UTC"/>
        <s v="2022-04-11 05:27:04 UTC"/>
        <s v="2022-04-11 05:23:53 UTC"/>
        <s v="2022-04-11 05:23:50 UTC"/>
        <s v="2022-04-11 05:23:44 UTC"/>
        <s v="2022-04-11 05:23:06 UTC"/>
        <s v="2022-04-11 05:23:01 UTC"/>
        <s v="2022-04-11 05:22:55 UTC"/>
        <s v="2022-04-11 05:22:39 UTC"/>
        <s v="2022-04-11 05:18:31 UTC"/>
        <s v="2022-04-11 05:08:50 UTC"/>
        <s v="2022-04-11 05:07:25 UTC"/>
        <s v="2022-04-11 05:06:06 UTC"/>
        <s v="2022-04-11 05:05:11 UTC"/>
        <s v="2022-04-11 05:04:56 UTC"/>
        <s v="2022-04-11 05:04:05 UTC"/>
        <s v="2022-04-11 05:03:36 UTC"/>
        <s v="2022-04-11 05:02:08 UTC"/>
        <s v="2022-04-11 05:01:53 UTC"/>
        <s v="2022-04-11 04:56:08 UTC"/>
        <s v="2022-04-11 04:56:06 UTC"/>
        <s v="2022-04-11 04:55:53 UTC"/>
        <s v="2022-04-11 04:55:12 UTC"/>
        <s v="2022-04-11 04:54:56 UTC"/>
        <s v="2022-04-11 04:53:46 UTC"/>
        <s v="2022-04-11 04:51:17 UTC"/>
        <s v="2022-04-11 04:50:51 UTC"/>
        <s v="2022-04-11 04:50:36 UTC"/>
        <s v="2022-04-11 04:50:35 UTC"/>
        <s v="2022-04-11 04:49:22 UTC"/>
        <s v="2022-04-11 04:49:18 UTC"/>
        <s v="2022-04-11 04:49:16 UTC"/>
        <s v="2022-04-11 04:49:07 UTC"/>
        <s v="2022-04-11 04:47:32 UTC"/>
        <s v="2022-04-11 04:46:36 UTC"/>
        <s v="2022-04-11 04:46:32 UTC"/>
        <s v="2022-04-11 04:46:21 UTC"/>
        <s v="2022-04-11 04:45:01 UTC"/>
        <s v="2022-04-11 04:43:35 UTC"/>
        <s v="2022-04-11 04:42:48 UTC"/>
        <s v="2022-04-11 04:42:45 UTC"/>
        <s v="2022-04-11 04:40:22 UTC"/>
        <s v="2022-04-11 04:39:10 UTC"/>
        <s v="2022-04-11 04:37:40 UTC"/>
        <s v="2022-04-11 04:36:39 UTC"/>
        <s v="2022-04-11 04:36:26 UTC"/>
        <s v="2022-04-11 04:36:04 UTC"/>
        <s v="2022-04-11 04:35:58 UTC"/>
        <s v="2022-04-11 04:35:40 UTC"/>
        <s v="2022-04-11 04:34:30 UTC"/>
        <s v="2022-04-11 04:34:12 UTC"/>
        <s v="2022-04-11 04:33:17 UTC"/>
        <s v="2022-04-11 04:31:35 UTC"/>
        <s v="2022-04-11 04:31:03 UTC"/>
        <s v="2022-04-11 04:29:56 UTC"/>
        <s v="2022-04-11 04:27:53 UTC"/>
        <s v="2022-04-11 04:27:21 UTC"/>
        <s v="2022-04-11 04:26:08 UTC"/>
        <s v="2022-04-11 04:26:06 UTC"/>
        <s v="2022-04-11 04:25:23 UTC"/>
        <s v="2022-04-11 04:25:10 UTC"/>
        <s v="2022-04-11 04:25:08 UTC"/>
        <s v="2022-04-11 04:24:53 UTC"/>
        <s v="2022-04-11 04:24:47 UTC"/>
        <s v="2022-04-11 04:23:46 UTC"/>
        <s v="2022-04-11 04:23:43 UTC"/>
        <s v="2022-04-11 04:23:40 UTC"/>
        <s v="2022-04-11 04:23:37 UTC"/>
        <s v="2022-04-11 04:23:35 UTC"/>
        <s v="2022-04-11 04:23:33 UTC"/>
        <s v="2022-04-11 04:23:31 UTC"/>
        <s v="2022-04-11 04:23:29 UTC"/>
        <s v="2022-04-11 04:23:00 UTC"/>
        <s v="2022-04-11 04:21:49 UTC"/>
        <s v="2022-04-11 04:21:29 UTC"/>
        <s v="2022-04-11 04:19:44 UTC"/>
        <s v="2022-04-11 04:19:38 UTC"/>
        <s v="2022-04-11 04:19:36 UTC"/>
        <s v="2022-04-11 04:19:03 UTC"/>
        <s v="2022-04-11 04:18:59 UTC"/>
        <s v="2022-04-11 04:18:57 UTC"/>
        <s v="2022-04-11 04:18:55 UTC"/>
        <s v="2022-04-11 04:18:54 UTC"/>
        <s v="2022-04-11 04:18:53 UTC"/>
        <s v="2022-04-11 04:18:51 UTC"/>
        <s v="2022-04-11 04:18:50 UTC"/>
        <s v="2022-04-11 04:18:49 UTC"/>
        <s v="2022-04-11 04:18:47 UTC"/>
        <s v="2022-04-11 04:18:46 UTC"/>
        <s v="2022-04-11 04:18:44 UTC"/>
        <s v="2022-04-11 04:18:43 UTC"/>
        <s v="2022-04-11 04:18:42 UTC"/>
        <s v="2022-04-11 04:18:41 UTC"/>
        <s v="2022-04-11 04:18:39 UTC"/>
        <s v="2022-04-11 04:18:38 UTC"/>
        <s v="2022-04-11 04:18:37 UTC"/>
        <s v="2022-04-11 04:18:36 UTC"/>
        <s v="2022-04-11 04:18:35 UTC"/>
        <s v="2022-04-11 04:18:33 UTC"/>
        <s v="2022-04-11 04:18:30 UTC"/>
        <s v="2022-04-11 04:18:23 UTC"/>
        <s v="2022-04-11 04:17:57 UTC"/>
        <s v="2022-04-11 04:17:44 UTC"/>
        <s v="2022-04-11 04:14:49 UTC"/>
        <s v="2022-04-11 04:14:25 UTC"/>
        <s v="2022-04-11 04:14:11 UTC"/>
        <s v="2022-04-11 04:14:00 UTC"/>
        <s v="2022-04-11 04:12:47 UTC"/>
        <s v="2022-04-11 04:11:51 UTC"/>
        <s v="2022-04-11 04:09:54 UTC"/>
        <s v="2022-04-11 04:09:52 UTC"/>
        <s v="2022-04-11 04:09:42 UTC"/>
        <s v="2022-04-11 04:09:39 UTC"/>
        <s v="2022-04-11 04:08:55 UTC"/>
        <s v="2022-04-11 04:08:42 UTC"/>
        <s v="2022-04-11 04:08:39 UTC"/>
        <s v="2022-04-11 04:08:33 UTC"/>
        <s v="2022-04-11 04:08:20 UTC"/>
        <s v="2022-04-11 04:08:08 UTC"/>
        <s v="2022-04-11 04:08:06 UTC"/>
        <s v="2022-04-11 04:08:03 UTC"/>
        <s v="2022-04-11 04:07:59 UTC"/>
        <s v="2022-04-11 04:07:51 UTC"/>
        <s v="2022-04-11 04:07:12 UTC"/>
        <s v="2022-04-11 04:06:48 UTC"/>
        <s v="2022-04-11 04:06:43 UTC"/>
        <s v="2022-04-11 04:06:18 UTC"/>
        <s v="2022-04-11 04:05:39 UTC"/>
        <s v="2022-04-11 04:05:33 UTC"/>
        <s v="2022-04-11 04:05:27 UTC"/>
        <s v="2022-04-11 04:05:18 UTC"/>
        <s v="2022-04-11 04:00:31 UTC"/>
        <s v="2022-04-11 04:00:16 UTC"/>
        <s v="2022-04-11 03:59:35 UTC"/>
        <s v="2022-04-11 03:59:15 UTC"/>
        <s v="2022-04-11 03:58:55 UTC"/>
        <s v="2022-04-11 03:56:54 UTC"/>
        <s v="2022-04-11 03:56:07 UTC"/>
        <s v="2022-04-11 03:56:05 UTC"/>
        <s v="2022-04-11 03:56:00 UTC"/>
        <s v="2022-04-11 03:55:43 UTC"/>
        <s v="2022-04-11 03:54:51 UTC"/>
        <s v="2022-04-11 03:54:49 UTC"/>
        <s v="2022-04-11 03:54:30 UTC"/>
        <s v="2022-04-11 03:54:23 UTC"/>
        <s v="2022-04-11 03:50:09 UTC"/>
        <s v="2022-04-11 03:50:05 UTC"/>
        <s v="2022-04-11 03:49:59 UTC"/>
        <s v="2022-04-11 03:49:16 UTC"/>
        <s v="2022-04-11 03:46:17 UTC"/>
        <s v="2022-04-11 03:46:04 UTC"/>
        <s v="2022-04-11 03:46:03 UTC"/>
        <s v="2022-04-11 03:46:00 UTC"/>
        <s v="2022-04-11 03:45:58 UTC"/>
        <s v="2022-04-11 03:45:46 UTC"/>
        <s v="2022-04-11 03:44:59 UTC"/>
        <s v="2022-04-11 03:41:25 UTC"/>
        <s v="2022-04-11 03:41:23 UTC"/>
        <s v="2022-04-11 03:39:47 UTC"/>
        <s v="2022-04-11 03:38:39 UTC"/>
        <s v="2022-04-11 03:38:23 UTC"/>
        <s v="2022-04-11 03:37:31 UTC"/>
        <s v="2022-04-11 03:37:25 UTC"/>
        <s v="2022-04-11 03:37:23 UTC"/>
        <s v="2022-04-11 03:37:22 UTC"/>
        <s v="2022-04-11 03:37:21 UTC"/>
        <s v="2022-04-11 03:37:12 UTC"/>
        <s v="2022-04-11 03:37:04 UTC"/>
        <s v="2022-04-11 03:36:03 UTC"/>
        <s v="2022-04-11 03:33:38 UTC"/>
        <s v="2022-04-11 03:33:35 UTC"/>
        <s v="2022-04-11 03:33:11 UTC"/>
        <s v="2022-04-11 03:33:06 UTC"/>
        <s v="2022-04-11 03:33:04 UTC"/>
        <s v="2022-04-11 03:33:02 UTC"/>
        <s v="2022-04-11 03:32:57 UTC"/>
        <s v="2022-04-11 03:32:33 UTC"/>
        <s v="2022-04-11 03:32:32 UTC"/>
        <s v="2022-04-11 03:32:26 UTC"/>
        <s v="2022-04-11 03:32:24 UTC"/>
        <s v="2022-04-11 03:32:20 UTC"/>
        <s v="2022-04-11 03:31:57 UTC"/>
        <s v="2022-04-11 03:30:44 UTC"/>
        <s v="2022-04-11 03:28:50 UTC"/>
        <s v="2022-04-11 03:28:34 UTC"/>
        <s v="2022-04-11 03:27:31 UTC"/>
        <s v="2022-04-11 03:27:24 UTC"/>
        <s v="2022-04-11 03:27:23 UTC"/>
        <s v="2022-04-11 03:27:21 UTC"/>
        <s v="2022-04-11 03:27:14 UTC"/>
        <s v="2022-04-11 03:23:40 UTC"/>
        <s v="2022-04-11 03:23:38 UTC"/>
        <s v="2022-04-11 03:22:43 UTC"/>
        <s v="2022-04-11 03:22:41 UTC"/>
        <s v="2022-04-11 03:22:39 UTC"/>
        <s v="2022-04-11 03:22:37 UTC"/>
        <s v="2022-04-11 03:22:18 UTC"/>
        <s v="2022-04-11 03:22:16 UTC"/>
        <s v="2022-04-11 03:21:28 UTC"/>
        <s v="2022-04-11 03:21:26 UTC"/>
        <s v="2022-04-11 03:21:17 UTC"/>
        <s v="2022-04-11 03:21:15 UTC"/>
        <s v="2022-04-11 03:20:20 UTC"/>
        <s v="2022-04-11 03:20:06 UTC"/>
        <s v="2022-04-11 03:18:44 UTC"/>
        <s v="2022-04-11 03:18:13 UTC"/>
        <s v="2022-04-11 03:01:54 UTC"/>
        <s v="2022-04-11 03:01:38 UTC"/>
        <s v="2022-04-11 02:55:23 UTC"/>
        <s v="2022-04-11 02:54:45 UTC"/>
        <s v="2022-04-11 02:54:10 UTC"/>
        <s v="2022-04-11 02:53:39 UTC"/>
        <s v="2022-04-11 02:48:43 UTC"/>
        <s v="2022-04-11 02:48:38 UTC"/>
        <s v="2022-04-11 02:45:24 UTC"/>
        <s v="2022-04-11 02:45:22 UTC"/>
        <s v="2022-04-11 02:45:12 UTC"/>
        <s v="2022-04-11 02:45:09 UTC"/>
        <s v="2022-04-11 02:45:07 UTC"/>
        <s v="2022-04-11 02:45:02 UTC"/>
        <s v="2022-04-11 02:44:44 UTC"/>
        <s v="2022-04-11 02:44:29 UTC"/>
        <s v="2022-04-11 02:43:12 UTC"/>
        <s v="2022-04-11 02:43:10 UTC"/>
        <s v="2022-04-11 02:43:08 UTC"/>
        <s v="2022-04-11 02:42:49 UTC"/>
        <s v="2022-04-11 02:42:44 UTC"/>
        <s v="2022-04-11 02:42:33 UTC"/>
        <s v="2022-04-11 02:41:31 UTC"/>
        <s v="2022-04-11 02:41:13 UTC"/>
        <s v="2022-04-11 02:40:29 UTC"/>
        <s v="2022-04-11 02:40:27 UTC"/>
        <s v="2022-04-11 02:40:22 UTC"/>
        <s v="2022-04-11 02:40:15 UTC"/>
        <s v="2022-04-11 02:40:11 UTC"/>
        <s v="2022-04-11 02:40:06 UTC"/>
        <s v="2022-04-11 02:23:01 UTC"/>
        <s v="2022-04-11 02:22:59 UTC"/>
        <s v="2022-04-11 02:22:57 UTC"/>
        <s v="2022-04-11 02:22:50 UTC"/>
        <s v="2022-04-11 02:20:50 UTC"/>
        <s v="2022-04-11 02:20:00 UTC"/>
        <s v="2022-04-11 02:18:27 UTC"/>
        <s v="2022-04-11 02:16:47 UTC"/>
        <s v="2022-04-11 02:11:28 UTC"/>
        <s v="2022-04-11 02:08:15 UTC"/>
        <s v="2022-04-11 02:08:03 UTC"/>
        <s v="2022-04-11 02:06:44 UTC"/>
        <s v="2022-04-11 02:06:39 UTC"/>
        <s v="2022-04-11 02:06:35 UTC"/>
        <s v="2022-04-11 01:52:35 UTC"/>
        <s v="2022-04-11 01:50:46 UTC"/>
        <s v="2022-04-11 01:22:02 UTC"/>
        <s v="2022-04-11 01:21:06 UTC"/>
        <s v="2022-04-11 01:13:50 UTC"/>
        <s v="2022-04-11 01:13:43 UTC"/>
        <s v="2022-04-11 01:11:44 UTC"/>
        <s v="2022-04-11 01:11:33 UTC"/>
        <s v="2022-04-11 01:10:17 UTC"/>
        <s v="2022-04-11 01:09:57 UTC"/>
        <s v="2022-04-11 00:49:22 UTC"/>
        <s v="2022-04-11 00:49:20 UTC"/>
        <s v="2022-04-11 00:49:11 UTC"/>
        <s v="2022-04-11 00:47:50 UTC"/>
        <s v="2022-04-11 00:39:54 UTC"/>
        <s v="2022-04-11 00:39:52 UTC"/>
        <s v="2022-04-11 00:39:48 UTC"/>
        <s v="2022-04-11 00:39:34 UTC"/>
        <s v="2022-04-11 00:35:04 UTC"/>
        <s v="2022-04-11 00:33:32 UTC"/>
        <s v="2022-04-11 00:32:06 UTC"/>
        <s v="2022-04-11 00:32:04 UTC"/>
        <s v="2022-04-11 00:32:01 UTC"/>
        <s v="2022-04-11 00:28:38 UTC"/>
        <s v="2022-04-11 00:24:06 UTC"/>
        <s v="2022-04-11 00:14:01 UTC"/>
        <s v="2022-04-11 00:13:59 UTC"/>
        <s v="2022-04-11 00:12:31 UTC"/>
        <s v="2022-04-11 00:12:26 UTC"/>
        <s v="2022-04-11 00:12:06 UTC"/>
        <s v="2022-04-11 00:08:35 UTC"/>
        <s v="2022-04-10 23:26:56 UTC"/>
        <s v="2022-04-10 23:26:54 UTC"/>
        <s v="2022-04-10 23:26:13 UTC"/>
        <s v="2022-04-10 23:26:09 UTC"/>
        <s v="2022-04-10 23:26:01 UTC"/>
        <s v="2022-04-10 23:25:35 UTC"/>
        <s v="2022-04-10 23:25:05 UTC"/>
        <s v="2022-04-10 23:24:48 UTC"/>
        <s v="2022-04-10 23:24:44 UTC"/>
        <s v="2022-04-10 23:24:12 UTC"/>
        <s v="2022-04-10 23:23:56 UTC"/>
        <s v="2022-04-10 23:12:05 UTC"/>
        <s v="2022-04-10 23:12:02 UTC"/>
        <s v="2022-04-10 21:21:27 UTC"/>
        <s v="2022-04-10 20:53:49 UTC"/>
        <s v="2022-04-10 19:56:25 UTC"/>
        <s v="2022-04-10 19:27:10 UTC"/>
        <s v="2022-04-10 19:15:31 UTC"/>
        <s v="2022-04-10 19:15:03 UTC"/>
        <s v="2022-04-10 19:13:19 UTC"/>
        <s v="2022-04-10 19:13:12 UTC"/>
        <s v="2022-04-10 18:52:36 UTC"/>
        <s v="2022-04-10 18:52:33 UTC"/>
        <s v="2022-04-10 18:52:31 UTC"/>
        <s v="2022-04-10 18:22:28 UTC"/>
        <s v="2022-04-10 18:22:17 UTC"/>
        <s v="2022-04-10 18:18:29 UTC"/>
        <s v="2022-04-10 18:14:32 UTC"/>
        <s v="2022-04-10 18:09:34 UTC"/>
        <s v="2022-04-10 18:07:17 UTC"/>
        <s v="2022-04-10 18:07:14 UTC"/>
        <s v="2022-04-10 18:07:12 UTC"/>
        <s v="2022-04-10 18:07:10 UTC"/>
        <s v="2022-04-10 18:07:04 UTC"/>
        <s v="2022-04-10 18:07:01 UTC"/>
        <s v="2022-04-10 18:06:54 UTC"/>
        <s v="2022-04-10 18:06:49 UTC"/>
        <s v="2022-04-10 18:03:38 UTC"/>
        <s v="2022-04-10 18:03:22 UTC"/>
        <s v="2022-04-10 17:56:57 UTC"/>
        <s v="2022-04-10 17:56:07 UTC"/>
        <s v="2022-04-10 17:56:05 UTC"/>
        <s v="2022-04-10 17:56:01 UTC"/>
        <s v="2022-04-10 17:55:59 UTC"/>
        <s v="2022-04-10 17:54:18 UTC"/>
        <s v="2022-04-10 17:54:16 UTC"/>
        <s v="2022-04-10 17:38:02 UTC"/>
        <s v="2022-04-10 17:37:53 UTC"/>
        <s v="2022-04-10 17:21:56 UTC"/>
        <s v="2022-04-10 17:17:15 UTC"/>
        <s v="2022-04-10 17:16:44 UTC"/>
        <s v="2022-04-10 17:15:35 UTC"/>
        <s v="2022-04-10 17:12:39 UTC"/>
        <s v="2022-04-10 17:01:45 UTC"/>
        <s v="2022-04-10 16:55:07 UTC"/>
        <s v="2022-04-10 16:47:46 UTC"/>
        <s v="2022-04-10 16:45:47 UTC"/>
        <s v="2022-04-10 16:35:46 UTC"/>
        <s v="2022-04-10 16:34:29 UTC"/>
        <s v="2022-04-10 16:34:01 UTC"/>
        <s v="2022-04-10 16:29:39 UTC"/>
        <s v="2022-04-10 16:29:15 UTC"/>
        <s v="2022-04-10 16:24:53 UTC"/>
        <s v="2022-04-10 16:22:44 UTC"/>
        <s v="2022-04-10 16:22:41 UTC"/>
        <s v="2022-04-10 16:18:58 UTC"/>
        <s v="2022-04-10 16:11:33 UTC"/>
        <s v="2022-04-10 16:11:31 UTC"/>
        <s v="2022-04-10 16:06:05 UTC"/>
        <s v="2022-04-10 16:03:16 UTC"/>
        <s v="2022-04-10 16:01:58 UTC"/>
        <s v="2022-04-10 16:00:49 UTC"/>
        <s v="2022-04-10 16:00:47 UTC"/>
        <s v="2022-04-10 16:00:42 UTC"/>
        <s v="2022-04-10 16:00:40 UTC"/>
        <s v="2022-04-10 16:00:32 UTC"/>
        <s v="2022-04-10 15:58:54 UTC"/>
        <s v="2022-04-10 15:58:32 UTC"/>
        <s v="2022-04-10 15:54:47 UTC"/>
        <s v="2022-04-10 15:54:39 UTC"/>
        <s v="2022-04-10 15:52:10 UTC"/>
        <s v="2022-04-10 15:52:04 UTC"/>
        <s v="2022-04-10 15:50:56 UTC"/>
        <s v="2022-04-10 15:50:37 UTC"/>
        <s v="2022-04-10 15:50:02 UTC"/>
        <s v="2022-04-10 15:44:15 UTC"/>
        <s v="2022-04-10 15:40:46 UTC"/>
        <s v="2022-04-10 15:39:18 UTC"/>
        <s v="2022-04-10 15:31:09 UTC"/>
        <s v="2022-04-10 15:31:05 UTC"/>
        <s v="2022-04-10 15:31:04 UTC"/>
        <s v="2022-04-10 15:31:02 UTC"/>
        <s v="2022-04-10 15:31:01 UTC"/>
        <s v="2022-04-10 15:31:00 UTC"/>
        <s v="2022-04-10 15:30:58 UTC"/>
        <s v="2022-04-10 15:30:56 UTC"/>
        <s v="2022-04-10 15:30:53 UTC"/>
        <s v="2022-04-10 15:30:13 UTC"/>
        <s v="2022-04-10 15:30:11 UTC"/>
        <s v="2022-04-10 15:30:03 UTC"/>
        <s v="2022-04-10 15:29:36 UTC"/>
        <s v="2022-04-10 15:25:36 UTC"/>
        <s v="2022-04-10 15:25:06 UTC"/>
        <s v="2022-04-10 15:25:03 UTC"/>
        <s v="2022-04-10 15:23:32 UTC"/>
        <s v="2022-04-10 15:18:22 UTC"/>
        <s v="2022-04-10 15:14:52 UTC"/>
        <s v="2022-04-10 15:14:19 UTC"/>
        <s v="2022-04-10 15:13:36 UTC"/>
        <s v="2022-04-10 15:13:21 UTC"/>
        <s v="2022-04-10 15:13:16 UTC"/>
        <s v="2022-04-10 15:13:13 UTC"/>
        <s v="2022-04-10 15:13:01 UTC"/>
        <s v="2022-04-10 15:11:33 UTC"/>
        <s v="2022-04-10 14:59:57 UTC"/>
        <s v="2022-04-10 14:53:10 UTC"/>
        <s v="2022-04-10 14:52:48 UTC"/>
        <s v="2022-04-10 14:50:14 UTC"/>
        <s v="2022-04-10 14:48:53 UTC"/>
        <s v="2022-04-10 14:48:35 UTC"/>
        <s v="2022-04-10 14:43:52 UTC"/>
        <s v="2022-04-10 14:42:38 UTC"/>
        <s v="2022-04-10 14:39:45 UTC"/>
        <s v="2022-04-10 14:39:43 UTC"/>
        <s v="2022-04-10 14:39:35 UTC"/>
        <s v="2022-04-10 14:38:40 UTC"/>
        <s v="2022-04-10 14:38:36 UTC"/>
        <s v="2022-04-10 14:38:25 UTC"/>
        <s v="2022-04-10 14:38:15 UTC"/>
        <s v="2022-04-10 14:37:13 UTC"/>
        <s v="2022-04-10 14:34:53 UTC"/>
        <s v="2022-04-10 14:34:44 UTC"/>
        <s v="2022-04-10 14:33:40 UTC"/>
        <s v="2022-04-10 14:28:40 UTC"/>
        <s v="2022-04-10 14:28:38 UTC"/>
        <s v="2022-04-10 14:28:16 UTC"/>
        <s v="2022-04-10 14:27:35 UTC"/>
        <s v="2022-04-10 14:26:50 UTC"/>
        <s v="2022-04-10 14:26:40 UTC"/>
        <s v="2022-04-10 14:26:37 UTC"/>
        <s v="2022-04-10 14:26:27 UTC"/>
        <s v="2022-04-10 14:23:30 UTC"/>
        <s v="2022-04-10 14:23:25 UTC"/>
        <s v="2022-04-10 14:23:07 UTC"/>
        <s v="2022-04-10 14:22:59 UTC"/>
        <s v="2022-04-10 14:22:47 UTC"/>
        <s v="2022-04-10 14:22:41 UTC"/>
        <s v="2022-04-10 14:22:37 UTC"/>
        <s v="2022-04-10 14:22:33 UTC"/>
        <s v="2022-04-10 14:22:28 UTC"/>
        <s v="2022-04-10 14:22:24 UTC"/>
        <s v="2022-04-10 14:22:12 UTC"/>
        <s v="2022-04-10 14:22:06 UTC"/>
        <s v="2022-04-10 14:21:59 UTC"/>
        <s v="2022-04-10 14:21:52 UTC"/>
        <s v="2022-04-10 14:21:48 UTC"/>
        <s v="2022-04-10 14:21:43 UTC"/>
        <s v="2022-04-10 14:21:11 UTC"/>
        <s v="2022-04-10 14:21:06 UTC"/>
        <s v="2022-04-10 14:21:02 UTC"/>
        <s v="2022-04-10 14:20:58 UTC"/>
        <s v="2022-04-10 14:20:55 UTC"/>
        <s v="2022-04-10 14:20:53 UTC"/>
        <s v="2022-04-10 14:20:33 UTC"/>
        <s v="2022-04-10 14:17:14 UTC"/>
        <s v="2022-04-10 14:17:04 UTC"/>
        <s v="2022-04-10 14:16:34 UTC"/>
        <s v="2022-04-10 14:16:32 UTC"/>
        <s v="2022-04-10 14:16:30 UTC"/>
        <s v="2022-04-10 14:16:29 UTC"/>
        <s v="2022-04-10 14:16:28 UTC"/>
        <s v="2022-04-10 14:16:27 UTC"/>
        <s v="2022-04-10 14:16:25 UTC"/>
        <s v="2022-04-10 14:16:24 UTC"/>
        <s v="2022-04-10 14:16:23 UTC"/>
        <s v="2022-04-10 14:16:22 UTC"/>
        <s v="2022-04-10 14:16:21 UTC"/>
        <s v="2022-04-10 14:16:18 UTC"/>
        <s v="2022-04-10 14:16:17 UTC"/>
        <s v="2022-04-10 14:16:15 UTC"/>
        <s v="2022-04-10 14:16:14 UTC"/>
        <s v="2022-04-10 14:16:12 UTC"/>
        <s v="2022-04-10 14:16:10 UTC"/>
        <s v="2022-04-10 14:16:09 UTC"/>
        <s v="2022-04-10 14:16:07 UTC"/>
        <s v="2022-04-10 14:16:04 UTC"/>
        <s v="2022-04-10 14:16:00 UTC"/>
        <s v="2022-04-10 14:15:58 UTC"/>
        <s v="2022-04-10 14:15:56 UTC"/>
        <s v="2022-04-10 14:15:54 UTC"/>
        <s v="2022-04-10 14:15:49 UTC"/>
        <s v="2022-04-10 14:15:46 UTC"/>
        <s v="2022-04-10 14:15:44 UTC"/>
        <s v="2022-04-10 14:14:38 UTC"/>
        <s v="2022-04-10 14:14:02 UTC"/>
        <s v="2022-04-10 14:14:00 UTC"/>
        <s v="2022-04-10 14:13:58 UTC"/>
        <s v="2022-04-10 14:13:56 UTC"/>
        <s v="2022-04-10 14:13:43 UTC"/>
        <s v="2022-04-10 14:13:36 UTC"/>
        <s v="2022-04-10 14:13:34 UTC"/>
        <s v="2022-04-10 14:13:32 UTC"/>
        <s v="2022-04-10 14:13:28 UTC"/>
        <s v="2022-04-10 14:13:26 UTC"/>
        <s v="2022-04-10 14:13:07 UTC"/>
        <s v="2022-04-10 14:13:05 UTC"/>
        <s v="2022-04-10 14:13:02 UTC"/>
        <s v="2022-04-10 14:12:54 UTC"/>
        <s v="2022-04-10 14:12:40 UTC"/>
        <s v="2022-04-10 14:08:35 UTC"/>
        <s v="2022-04-10 14:07:29 UTC"/>
        <s v="2022-04-10 14:06:21 UTC"/>
        <s v="2022-04-10 14:06:18 UTC"/>
        <s v="2022-04-10 14:04:23 UTC"/>
        <s v="2022-04-10 14:02:54 UTC"/>
        <s v="2022-04-10 14:02:48 UTC"/>
        <s v="2022-04-10 14:02:27 UTC"/>
        <s v="2022-04-10 14:02:22 UTC"/>
        <s v="2022-04-10 14:01:39 UTC"/>
        <s v="2022-04-10 14:01:30 UTC"/>
        <s v="2022-04-10 14:01:22 UTC"/>
        <s v="2022-04-10 14:01:20 UTC"/>
        <s v="2022-04-10 14:00:55 UTC"/>
        <s v="2022-04-10 13:59:28 UTC"/>
        <s v="2022-04-10 13:58:57 UTC"/>
        <s v="2022-04-10 13:58:38 UTC"/>
        <s v="2022-04-10 13:57:58 UTC"/>
        <s v="2022-04-10 13:57:53 UTC"/>
        <s v="2022-04-10 13:57:50 UTC"/>
        <s v="2022-04-10 13:57:49 UTC"/>
        <s v="2022-04-10 13:57:48 UTC"/>
        <s v="2022-04-10 13:57:47 UTC"/>
        <s v="2022-04-10 13:57:46 UTC"/>
        <s v="2022-04-10 13:57:45 UTC"/>
        <s v="2022-04-10 13:57:44 UTC"/>
        <s v="2022-04-10 13:57:42 UTC"/>
        <s v="2022-04-10 13:57:41 UTC"/>
        <s v="2022-04-10 13:57:39 UTC"/>
        <s v="2022-04-10 13:57:37 UTC"/>
        <s v="2022-04-10 13:57:36 UTC"/>
        <s v="2022-04-10 13:57:34 UTC"/>
        <s v="2022-04-10 13:57:29 UTC"/>
        <s v="2022-04-10 13:57:27 UTC"/>
        <s v="2022-04-10 13:57:26 UTC"/>
        <s v="2022-04-10 13:57:17 UTC"/>
        <s v="2022-04-10 13:57:02 UTC"/>
        <s v="2022-04-10 13:56:47 UTC"/>
        <s v="2022-04-10 13:56:43 UTC"/>
        <s v="2022-04-10 13:56:25 UTC"/>
        <s v="2022-04-10 13:56:17 UTC"/>
        <s v="2022-04-10 13:56:13 UTC"/>
        <s v="2022-04-10 13:56:08 UTC"/>
        <s v="2022-04-10 13:55:57 UTC"/>
        <s v="2022-04-10 13:55:10 UTC"/>
        <s v="2022-04-10 13:55:07 UTC"/>
        <s v="2022-04-10 13:55:03 UTC"/>
        <s v="2022-04-10 13:54:56 UTC"/>
        <s v="2022-04-10 13:54:48 UTC"/>
        <s v="2022-04-10 13:53:07 UTC"/>
        <s v="2022-04-10 13:51:25 UTC"/>
        <s v="2022-04-10 13:50:57 UTC"/>
        <s v="2022-04-10 13:48:46 UTC"/>
        <s v="2022-04-10 13:42:02 UTC"/>
        <s v="2022-04-10 13:41:14 UTC"/>
        <s v="2022-04-10 13:41:02 UTC"/>
        <s v="2022-04-10 13:39:21 UTC"/>
        <s v="2022-04-10 13:39:17 UTC"/>
        <s v="2022-04-10 13:39:15 UTC"/>
        <s v="2022-04-10 13:39:09 UTC"/>
        <s v="2022-04-10 13:33:21 UTC"/>
        <s v="2022-04-10 13:31:17 UTC"/>
        <s v="2022-04-10 13:25:53 UTC"/>
        <s v="2022-04-10 13:25:08 UTC"/>
        <s v="2022-04-10 13:24:46 UTC"/>
        <s v="2022-04-10 13:24:35 UTC"/>
        <s v="2022-04-10 13:23:58 UTC"/>
        <s v="2022-04-10 13:23:56 UTC"/>
        <s v="2022-04-10 13:23:50 UTC"/>
        <s v="2022-04-10 13:22:07 UTC"/>
        <s v="2022-04-10 13:21:59 UTC"/>
        <s v="2022-04-10 13:21:57 UTC"/>
        <s v="2022-04-10 13:21:47 UTC"/>
        <s v="2022-04-10 13:07:29 UTC"/>
        <s v="2022-04-10 13:07:09 UTC"/>
        <s v="2022-04-10 13:07:07 UTC"/>
        <s v="2022-04-10 13:06:24 UTC"/>
        <s v="2022-04-10 13:05:13 UTC"/>
        <s v="2022-04-10 13:05:08 UTC"/>
        <s v="2022-04-10 13:04:57 UTC"/>
        <s v="2022-04-10 12:58:23 UTC"/>
        <s v="2022-04-10 12:55:58 UTC"/>
        <s v="2022-04-10 12:50:02 UTC"/>
        <s v="2022-04-10 12:43:17 UTC"/>
        <s v="2022-04-10 12:41:10 UTC"/>
        <s v="2022-04-10 12:30:09 UTC"/>
        <s v="2022-04-10 12:28:56 UTC"/>
        <s v="2022-04-10 12:28:39 UTC"/>
        <s v="2022-04-10 12:18:53 UTC"/>
        <s v="2022-04-10 12:07:33 UTC"/>
        <s v="2022-04-10 12:06:28 UTC"/>
        <s v="2022-04-10 12:05:27 UTC"/>
        <s v="2022-04-10 12:05:03 UTC"/>
        <s v="2022-04-10 12:04:47 UTC"/>
        <s v="2022-04-10 12:04:43 UTC"/>
        <s v="2022-04-10 12:04:13 UTC"/>
        <s v="2022-04-10 11:52:58 UTC"/>
        <s v="2022-04-10 11:52:27 UTC"/>
        <s v="2022-04-10 11:41:32 UTC"/>
        <s v="2022-04-10 11:41:29 UTC"/>
        <s v="2022-04-10 11:41:27 UTC"/>
        <s v="2022-04-10 11:40:17 UTC"/>
        <s v="2022-04-10 11:38:44 UTC"/>
        <s v="2022-04-10 11:38:19 UTC"/>
        <s v="2022-04-10 11:37:54 UTC"/>
        <s v="2022-04-10 11:37:51 UTC"/>
        <s v="2022-04-10 11:35:24 UTC"/>
        <s v="2022-04-10 11:35:23 UTC"/>
        <s v="2022-04-10 11:35:21 UTC"/>
        <s v="2022-04-10 11:35:12 UTC"/>
        <s v="2022-04-10 11:34:12 UTC"/>
        <s v="2022-04-10 11:32:44 UTC"/>
        <s v="2022-04-10 11:32:42 UTC"/>
        <s v="2022-04-10 11:28:56 UTC"/>
        <s v="2022-04-10 11:28:51 UTC"/>
        <s v="2022-04-10 11:27:59 UTC"/>
        <s v="2022-04-10 11:27:55 UTC"/>
        <s v="2022-04-10 11:27:53 UTC"/>
        <s v="2022-04-10 11:26:28 UTC"/>
        <s v="2022-04-10 11:17:14 UTC"/>
        <s v="2022-04-10 11:15:08 UTC"/>
        <s v="2022-04-10 11:14:39 UTC"/>
        <s v="2022-04-10 11:14:31 UTC"/>
        <s v="2022-04-10 11:12:03 UTC"/>
        <s v="2022-04-10 11:12:00 UTC"/>
        <s v="2022-04-10 11:08:12 UTC"/>
        <s v="2022-04-10 11:06:31 UTC"/>
        <s v="2022-04-10 11:06:15 UTC"/>
        <s v="2022-04-10 11:04:20 UTC"/>
        <s v="2022-04-10 10:47:30 UTC"/>
        <s v="2022-04-10 10:45:54 UTC"/>
        <s v="2022-04-10 10:36:28 UTC"/>
        <s v="2022-04-10 10:19:23 UTC"/>
        <s v="2022-04-10 10:18:41 UTC"/>
        <s v="2022-04-10 10:18:38 UTC"/>
        <s v="2022-04-10 10:18:34 UTC"/>
        <s v="2022-04-10 10:18:27 UTC"/>
        <s v="2022-04-10 10:18:25 UTC"/>
        <s v="2022-04-10 10:18:22 UTC"/>
        <s v="2022-04-10 10:18:18 UTC"/>
        <s v="2022-04-10 10:18:13 UTC"/>
        <s v="2022-04-10 10:18:11 UTC"/>
        <s v="2022-04-10 10:18:08 UTC"/>
        <s v="2022-04-10 10:18:05 UTC"/>
        <s v="2022-04-10 10:17:58 UTC"/>
        <s v="2022-04-10 10:17:38 UTC"/>
        <s v="2022-04-10 10:17:33 UTC"/>
        <s v="2022-04-10 10:16:53 UTC"/>
        <s v="2022-04-10 10:12:56 UTC"/>
        <s v="2022-04-10 10:12:24 UTC"/>
        <s v="2022-04-10 10:12:16 UTC"/>
        <s v="2022-04-10 10:07:28 UTC"/>
        <s v="2022-04-10 10:06:35 UTC"/>
        <s v="2022-04-10 10:06:33 UTC"/>
        <s v="2022-04-10 10:06:31 UTC"/>
        <s v="2022-04-10 10:06:22 UTC"/>
        <s v="2022-04-10 10:06:21 UTC"/>
        <s v="2022-04-10 10:02:09 UTC"/>
        <s v="2022-04-10 10:01:39 UTC"/>
        <s v="2022-04-10 09:53:39 UTC"/>
        <s v="2022-04-10 09:53:37 UTC"/>
        <s v="2022-04-10 09:53:32 UTC"/>
        <s v="2022-04-10 09:53:27 UTC"/>
        <s v="2022-04-10 09:53:25 UTC"/>
        <s v="2022-04-10 09:53:21 UTC"/>
        <s v="2022-04-10 09:51:02 UTC"/>
        <s v="2022-04-10 09:50:12 UTC"/>
        <s v="2022-04-10 09:47:33 UTC"/>
        <s v="2022-04-10 09:47:28 UTC"/>
        <s v="2022-04-10 09:47:24 UTC"/>
        <s v="2022-04-10 09:44:49 UTC"/>
        <s v="2022-04-10 09:44:48 UTC"/>
        <s v="2022-04-10 09:38:48 UTC"/>
        <s v="2022-04-10 09:38:44 UTC"/>
        <s v="2022-04-10 09:36:06 UTC"/>
        <s v="2022-04-10 09:34:10 UTC"/>
        <s v="2022-04-10 09:32:16 UTC"/>
        <s v="2022-04-10 09:31:04 UTC"/>
        <s v="2022-04-10 09:30:00 UTC"/>
        <s v="2022-04-10 09:29:49 UTC"/>
        <s v="2022-04-10 09:29:11 UTC"/>
        <s v="2022-04-10 09:28:41 UTC"/>
        <s v="2022-04-10 09:26:49 UTC"/>
        <s v="2022-04-10 09:25:18 UTC"/>
        <s v="2022-04-10 09:24:15 UTC"/>
        <s v="2022-04-10 09:24:09 UTC"/>
        <s v="2022-04-10 09:20:12 UTC"/>
        <s v="2022-04-10 09:20:09 UTC"/>
        <s v="2022-04-10 09:19:56 UTC"/>
        <s v="2022-04-10 09:19:40 UTC"/>
        <s v="2022-04-10 09:13:06 UTC"/>
        <s v="2022-04-10 09:12:46 UTC"/>
        <s v="2022-04-10 09:11:46 UTC"/>
        <s v="2022-04-10 09:11:16 UTC"/>
        <s v="2022-04-10 09:00:43 UTC"/>
        <s v="2022-04-10 08:59:31 UTC"/>
        <s v="2022-04-10 08:59:05 UTC"/>
        <s v="2022-04-10 08:50:55 UTC"/>
        <s v="2022-04-10 08:50:45 UTC"/>
        <s v="2022-04-10 08:50:34 UTC"/>
        <s v="2022-04-10 08:50:27 UTC"/>
        <s v="2022-04-10 08:50:24 UTC"/>
        <s v="2022-04-10 08:49:47 UTC"/>
        <s v="2022-04-10 08:49:34 UTC"/>
        <s v="2022-04-10 08:49:32 UTC"/>
        <s v="2022-04-10 08:49:31 UTC"/>
        <s v="2022-04-10 08:49:30 UTC"/>
        <s v="2022-04-10 08:49:29 UTC"/>
        <s v="2022-04-10 08:49:27 UTC"/>
        <s v="2022-04-10 08:49:25 UTC"/>
        <s v="2022-04-10 08:49:24 UTC"/>
        <s v="2022-04-10 08:49:18 UTC"/>
        <s v="2022-04-10 08:49:14 UTC"/>
        <s v="2022-04-10 08:49:10 UTC"/>
        <s v="2022-04-10 08:49:07 UTC"/>
        <s v="2022-04-10 08:48:58 UTC"/>
        <s v="2022-04-10 08:48:46 UTC"/>
        <s v="2022-04-10 08:48:38 UTC"/>
        <s v="2022-04-10 08:41:25 UTC"/>
        <s v="2022-04-10 08:36:40 UTC"/>
        <s v="2022-04-10 08:27:16 UTC"/>
        <s v="2022-04-10 08:25:36 UTC"/>
        <s v="2022-04-10 08:20:25 UTC"/>
        <s v="2022-04-10 08:18:53 UTC"/>
        <s v="2022-04-10 08:17:52 UTC"/>
        <s v="2022-04-10 08:16:51 UTC"/>
        <s v="2022-04-10 08:16:47 UTC"/>
        <s v="2022-04-10 08:09:44 UTC"/>
        <s v="2022-04-10 08:09:29 UTC"/>
        <s v="2022-04-10 08:09:27 UTC"/>
        <s v="2022-04-10 08:09:26 UTC"/>
        <s v="2022-04-10 08:05:46 UTC"/>
        <s v="2022-04-10 08:05:35 UTC"/>
        <s v="2022-04-10 08:05:33 UTC"/>
        <s v="2022-04-10 08:02:59 UTC"/>
        <s v="2022-04-10 08:02:55 UTC"/>
        <s v="2022-04-10 08:02:46 UTC"/>
        <s v="2022-04-10 08:02:35 UTC"/>
        <s v="2022-04-10 08:01:48 UTC"/>
        <s v="2022-04-10 08:01:43 UTC"/>
        <s v="2022-04-10 08:01:21 UTC"/>
        <s v="2022-04-10 07:59:27 UTC"/>
        <s v="2022-04-10 07:59:20 UTC"/>
        <s v="2022-04-10 07:58:46 UTC"/>
        <s v="2022-04-10 07:58:36 UTC"/>
        <s v="2022-04-10 07:52:25 UTC"/>
        <s v="2022-04-10 07:36:57 UTC"/>
        <s v="2022-04-10 07:30:00 UTC"/>
        <s v="2022-04-10 07:29:36 UTC"/>
        <s v="2022-04-10 07:24:39 UTC"/>
        <s v="2022-04-10 07:22:54 UTC"/>
        <s v="2022-04-10 07:17:47 UTC"/>
        <s v="2022-04-10 07:17:42 UTC"/>
        <s v="2022-04-10 07:17:33 UTC"/>
        <s v="2022-04-10 07:17:26 UTC"/>
        <s v="2022-04-10 07:14:08 UTC"/>
        <s v="2022-04-10 07:12:20 UTC"/>
        <s v="2022-04-10 07:08:16 UTC"/>
        <s v="2022-04-10 06:48:52 UTC"/>
        <s v="2022-04-10 06:48:46 UTC"/>
        <s v="2022-04-10 06:48:11 UTC"/>
        <s v="2022-04-10 06:38:50 UTC"/>
        <s v="2022-04-10 06:38:38 UTC"/>
        <s v="2022-04-10 06:38:18 UTC"/>
        <s v="2022-04-10 06:38:10 UTC"/>
        <s v="2022-04-10 06:37:56 UTC"/>
        <s v="2022-04-10 06:36:32 UTC"/>
        <s v="2022-04-10 06:36:13 UTC"/>
        <s v="2022-04-10 06:35:20 UTC"/>
        <s v="2022-04-10 06:31:05 UTC"/>
        <s v="2022-04-10 06:26:55 UTC"/>
        <s v="2022-04-10 06:24:59 UTC"/>
        <s v="2022-04-10 06:15:59 UTC"/>
        <s v="2022-04-10 06:04:48 UTC"/>
        <s v="2022-04-10 06:04:44 UTC"/>
        <s v="2022-04-10 06:04:18 UTC"/>
        <s v="2022-04-10 06:02:34 UTC"/>
        <s v="2022-04-10 06:01:31 UTC"/>
        <s v="2022-04-10 06:00:42 UTC"/>
        <s v="2022-04-10 06:00:37 UTC"/>
        <s v="2022-04-10 06:00:33 UTC"/>
        <s v="2022-04-10 05:56:26 UTC"/>
        <s v="2022-04-10 05:54:11 UTC"/>
        <s v="2022-04-10 05:37:03 UTC"/>
        <s v="2022-04-10 05:33:08 UTC"/>
        <s v="2022-04-10 05:32:45 UTC"/>
        <s v="2022-04-10 05:29:27 UTC"/>
        <s v="2022-04-10 05:25:22 UTC"/>
        <s v="2022-04-10 05:22:39 UTC"/>
        <s v="2022-04-10 05:22:06 UTC"/>
        <s v="2022-04-10 05:22:00 UTC"/>
        <s v="2022-04-10 05:21:33 UTC"/>
        <s v="2022-04-10 05:15:46 UTC"/>
        <s v="2022-04-10 05:15:08 UTC"/>
        <s v="2022-04-10 05:12:08 UTC"/>
        <s v="2022-04-10 05:12:05 UTC"/>
        <s v="2022-04-10 05:11:49 UTC"/>
        <s v="2022-04-10 05:11:37 UTC"/>
        <s v="2022-04-10 05:11:13 UTC"/>
        <s v="2022-04-10 05:11:11 UTC"/>
        <s v="2022-04-10 05:11:08 UTC"/>
        <s v="2022-04-10 05:11:06 UTC"/>
        <s v="2022-04-10 05:11:02 UTC"/>
        <s v="2022-04-10 05:10:59 UTC"/>
        <s v="2022-04-10 05:10:56 UTC"/>
        <s v="2022-04-10 05:10:54 UTC"/>
        <s v="2022-04-10 05:10:52 UTC"/>
        <s v="2022-04-10 05:10:49 UTC"/>
        <s v="2022-04-10 05:10:46 UTC"/>
        <s v="2022-04-10 05:10:44 UTC"/>
        <s v="2022-04-10 05:10:41 UTC"/>
        <s v="2022-04-10 05:10:39 UTC"/>
        <s v="2022-04-10 05:10:36 UTC"/>
        <s v="2022-04-10 05:10:33 UTC"/>
        <s v="2022-04-10 05:10:24 UTC"/>
        <s v="2022-04-10 05:10:15 UTC"/>
        <s v="2022-04-10 05:10:13 UTC"/>
        <s v="2022-04-10 05:10:07 UTC"/>
        <s v="2022-04-10 05:10:03 UTC"/>
        <s v="2022-04-10 05:09:54 UTC"/>
        <s v="2022-04-10 05:09:53 UTC"/>
        <s v="2022-04-10 05:09:50 UTC"/>
        <s v="2022-04-10 05:09:45 UTC"/>
        <s v="2022-04-10 05:09:34 UTC"/>
        <s v="2022-04-10 05:09:32 UTC"/>
        <s v="2022-04-10 05:09:06 UTC"/>
        <s v="2022-04-10 05:08:49 UTC"/>
        <s v="2022-04-10 05:08:47 UTC"/>
        <s v="2022-04-10 05:08:38 UTC"/>
        <s v="2022-04-10 05:08:36 UTC"/>
        <s v="2022-04-10 05:08:25 UTC"/>
        <s v="2022-04-10 05:08:17 UTC"/>
        <s v="2022-04-10 05:08:16 UTC"/>
        <s v="2022-04-10 05:07:59 UTC"/>
        <s v="2022-04-10 05:07:29 UTC"/>
        <s v="2022-04-10 05:07:27 UTC"/>
        <s v="2022-04-10 05:07:24 UTC"/>
        <s v="2022-04-10 05:07:20 UTC"/>
        <s v="2022-04-10 05:07:17 UTC"/>
        <s v="2022-04-10 05:06:46 UTC"/>
        <s v="2022-04-10 05:06:39 UTC"/>
        <s v="2022-04-10 05:06:25 UTC"/>
        <s v="2022-04-10 05:06:21 UTC"/>
        <s v="2022-04-10 05:06:19 UTC"/>
        <s v="2022-04-10 05:04:53 UTC"/>
        <s v="2022-04-10 04:55:44 UTC"/>
        <s v="2022-04-10 04:46:49 UTC"/>
        <s v="2022-04-10 04:46:29 UTC"/>
        <s v="2022-04-10 04:46:00 UTC"/>
        <s v="2022-04-10 04:45:10 UTC"/>
        <s v="2022-04-10 04:45:03 UTC"/>
        <s v="2022-04-10 04:44:04 UTC"/>
        <s v="2022-04-10 04:44:02 UTC"/>
        <s v="2022-04-10 04:40:41 UTC"/>
        <s v="2022-04-10 04:35:18 UTC"/>
        <s v="2022-04-10 04:34:27 UTC"/>
        <s v="2022-04-10 04:32:37 UTC"/>
        <s v="2022-04-10 04:32:10 UTC"/>
        <s v="2022-04-10 04:23:20 UTC"/>
        <s v="2022-04-10 04:22:46 UTC"/>
        <s v="2022-04-10 04:22:28 UTC"/>
        <s v="2022-04-10 04:21:37 UTC"/>
        <s v="2022-04-10 04:20:35 UTC"/>
        <s v="2022-04-10 04:20:32 UTC"/>
        <s v="2022-04-10 04:15:21 UTC"/>
        <s v="2022-04-10 04:13:56 UTC"/>
        <s v="2022-04-10 04:13:12 UTC"/>
        <s v="2022-04-10 04:13:08 UTC"/>
        <s v="2022-04-10 04:13:06 UTC"/>
        <s v="2022-04-10 04:12:43 UTC"/>
        <s v="2022-04-10 04:12:41 UTC"/>
        <s v="2022-04-10 04:12:39 UTC"/>
        <s v="2022-04-10 04:12:36 UTC"/>
        <s v="2022-04-10 04:12:34 UTC"/>
        <s v="2022-04-10 04:12:32 UTC"/>
        <s v="2022-04-10 04:09:03 UTC"/>
        <s v="2022-04-10 04:09:01 UTC"/>
        <s v="2022-04-10 04:08:55 UTC"/>
        <s v="2022-04-10 04:08:51 UTC"/>
        <s v="2022-04-10 04:08:49 UTC"/>
        <s v="2022-04-10 04:08:48 UTC"/>
        <s v="2022-04-10 04:08:46 UTC"/>
        <s v="2022-04-10 04:08:44 UTC"/>
        <s v="2022-04-10 04:08:35 UTC"/>
        <s v="2022-04-10 04:08:19 UTC"/>
        <s v="2022-04-10 04:07:15 UTC"/>
        <s v="2022-04-10 04:03:06 UTC"/>
        <s v="2022-04-10 04:00:15 UTC"/>
        <s v="2022-04-10 03:58:28 UTC"/>
        <s v="2022-04-10 03:57:02 UTC"/>
        <s v="2022-04-10 03:56:30 UTC"/>
        <s v="2022-04-10 03:55:31 UTC"/>
        <s v="2022-04-10 03:51:55 UTC"/>
        <s v="2022-04-10 03:50:24 UTC"/>
        <s v="2022-04-10 03:47:43 UTC"/>
        <s v="2022-04-10 03:47:42 UTC"/>
        <s v="2022-04-10 03:47:41 UTC"/>
        <s v="2022-04-10 03:47:33 UTC"/>
        <s v="2022-04-10 03:47:28 UTC"/>
        <s v="2022-04-10 03:45:18 UTC"/>
        <s v="2022-04-10 03:45:01 UTC"/>
        <s v="2022-04-10 03:44:58 UTC"/>
        <s v="2022-04-10 03:44:25 UTC"/>
        <s v="2022-04-10 03:41:45 UTC"/>
        <s v="2022-04-10 03:41:04 UTC"/>
        <s v="2022-04-10 03:40:57 UTC"/>
        <s v="2022-04-10 03:40:54 UTC"/>
        <s v="2022-04-10 03:32:23 UTC"/>
        <s v="2022-04-10 03:31:17 UTC"/>
        <s v="2022-04-10 03:30:23 UTC"/>
        <s v="2022-04-10 03:30:18 UTC"/>
        <s v="2022-04-10 03:30:14 UTC"/>
        <s v="2022-04-10 03:30:10 UTC"/>
        <s v="2022-04-10 03:28:37 UTC"/>
        <s v="2022-04-10 03:28:34 UTC"/>
        <s v="2022-04-10 03:28:29 UTC"/>
        <s v="2022-04-10 03:11:01 UTC"/>
        <s v="2022-04-10 03:08:38 UTC"/>
        <s v="2022-04-10 02:50:50 UTC"/>
        <s v="2022-04-10 02:09:10 UTC"/>
        <s v="2022-04-10 00:07:42 UTC"/>
        <s v="2022-04-09 23:44:57 UTC"/>
        <s v="2022-04-09 22:26:12 UTC"/>
        <s v="2022-04-09 22:25:37 UTC"/>
        <s v="2022-04-09 19:42:07 UTC"/>
        <s v="2022-04-09 19:26:41 UTC"/>
        <s v="2022-04-09 19:20:20 UTC"/>
        <s v="2022-04-09 19:00:48 UTC"/>
        <s v="2022-04-09 18:46:54 UTC"/>
        <s v="2022-04-09 18:33:48 UTC"/>
        <s v="2022-04-09 18:17:43 UTC"/>
        <s v="2022-04-09 18:09:57 UTC"/>
        <s v="2022-04-09 17:52:42 UTC"/>
        <s v="2022-04-09 17:11:01 UTC"/>
        <s v="2022-04-09 16:01:02 UTC"/>
        <s v="2022-04-09 15:49:31 UTC"/>
        <s v="2022-04-09 15:48:53 UTC"/>
        <s v="2022-04-09 15:33:35 UTC"/>
        <s v="2022-04-09 15:14:47 UTC"/>
        <s v="2022-04-09 15:03:31 UTC"/>
        <s v="2022-04-09 14:13:52 UTC"/>
        <s v="2022-04-09 13:40:31 UTC"/>
        <s v="2022-04-09 13:30:19 UTC"/>
        <s v="2022-04-09 13:00:55 UTC"/>
        <s v="2022-04-09 12:59:55 UTC"/>
        <s v="2022-04-09 12:53:37 UTC"/>
        <s v="2022-04-09 12:40:41 UTC"/>
        <s v="2022-04-09 12:40:39 UTC"/>
        <s v="2022-04-09 12:22:08 UTC"/>
        <s v="2022-04-09 12:07:02 UTC"/>
        <s v="2022-04-09 11:34:47 UTC"/>
        <s v="2022-04-09 11:30:58 UTC"/>
        <s v="2022-04-09 11:25:10 UTC"/>
        <s v="2022-04-09 11:21:04 UTC"/>
        <s v="2022-04-09 10:45:29 UTC"/>
        <s v="2022-04-09 10:25:02 UTC"/>
        <s v="2022-04-09 10:22:24 UTC"/>
        <s v="2022-04-09 10:20:59 UTC"/>
        <s v="2022-04-09 09:59:43 UTC"/>
        <s v="2022-04-09 09:59:13 UTC"/>
        <s v="2022-04-09 09:31:08 UTC"/>
        <s v="2022-04-09 09:19:20 UTC"/>
        <s v="2022-04-09 09:19:15 UTC"/>
        <s v="2022-04-09 09:19:08 UTC"/>
        <s v="2022-04-09 08:38:34 UTC"/>
        <s v="2022-04-09 08:35:46 UTC"/>
        <s v="2022-04-09 08:35:10 UTC"/>
        <s v="2022-04-09 08:08:10 UTC"/>
        <s v="2022-04-09 08:07:58 UTC"/>
        <s v="2022-04-09 08:07:54 UTC"/>
        <s v="2022-04-09 08:07:40 UTC"/>
        <s v="2022-04-09 08:07:04 UTC"/>
        <s v="2022-04-09 07:35:53 UTC"/>
        <s v="2022-04-09 07:13:52 UTC"/>
        <s v="2022-04-09 07:07:00 UTC"/>
        <s v="2022-04-09 06:54:38 UTC"/>
        <s v="2022-04-09 06:54:05 UTC"/>
        <s v="2022-04-09 06:54:03 UTC"/>
        <s v="2022-04-09 06:53:59 UTC"/>
        <s v="2022-04-09 06:53:56 UTC"/>
        <s v="2022-04-09 06:53:55 UTC"/>
        <s v="2022-04-09 06:21:33 UTC"/>
        <s v="2022-04-09 06:04:11 UTC"/>
        <s v="2022-04-09 05:54:17 UTC"/>
        <s v="2022-04-09 05:46:28 UTC"/>
        <s v="2022-04-09 05:45:34 UTC"/>
        <s v="2022-04-09 05:44:49 UTC"/>
        <s v="2022-04-09 05:44:14 UTC"/>
        <s v="2022-04-09 05:42:05 UTC"/>
        <s v="2022-04-09 05:39:42 UTC"/>
        <s v="2022-04-09 05:38:51 UTC"/>
        <s v="2022-04-09 05:35:22 UTC"/>
        <s v="2022-04-09 05:28:52 UTC"/>
        <s v="2022-04-09 05:15:01 UTC"/>
        <s v="2022-04-09 04:47:38 UTC"/>
        <s v="2022-04-09 04:43:22 UTC"/>
        <s v="2022-04-09 04:32:41 UTC"/>
        <s v="2022-04-09 04:24:12 UTC"/>
        <s v="2022-04-09 04:20:39 UTC"/>
        <s v="2022-04-09 04:10:01 UTC"/>
        <s v="2022-04-09 03:55:38 UTC"/>
        <s v="2022-04-09 02:56:08 UTC"/>
        <s v="2022-04-09 02:04:48 UTC"/>
        <s v="2022-04-09 02:00:10 UTC"/>
        <s v="2022-04-09 00:56:58 UTC"/>
        <s v="2022-04-09 00:53:42 UTC"/>
        <s v="2022-04-09 00:52:02 UTC"/>
        <s v="2022-04-09 00:50:29 UTC"/>
        <s v="2022-04-09 00:47:41 UTC"/>
        <s v="2022-04-09 00:43:44 UTC"/>
        <s v="2022-04-09 00:41:32 UTC"/>
        <s v="2022-04-09 00:41:27 UTC"/>
        <s v="2022-04-09 00:33:49 UTC"/>
        <s v="2022-04-09 00:28:22 UTC"/>
        <s v="2022-04-09 00:23:21 UTC"/>
        <s v="2022-04-09 00:18:09 UTC"/>
        <s v="2022-04-09 00:13:26 UTC"/>
        <s v="2022-04-09 00:09:17 UTC"/>
        <s v="2022-04-09 00:09:13 UTC"/>
        <s v="2022-04-09 00:06:40 UTC"/>
        <s v="2022-04-09 00:06:35 UTC"/>
        <s v="2022-04-09 00:02:48 UTC"/>
        <s v="2022-04-09 00:02:42 UTC"/>
        <s v="2022-04-08 23:58:08 UTC"/>
        <s v="2022-04-08 23:58:04 UTC"/>
        <s v="2022-04-08 23:37:49 UTC"/>
        <s v="2022-04-08 21:36:41 UTC"/>
        <s v="2022-04-08 20:58:56 UTC"/>
        <s v="2022-04-08 18:28:57 UTC"/>
        <s v="2022-04-08 18:27:11 UTC"/>
        <s v="2022-04-08 17:21:41 UTC"/>
        <s v="2022-04-08 17:21:38 UTC"/>
        <s v="2022-04-08 16:45:43 UTC"/>
        <s v="2022-04-08 16:17:29 UTC"/>
        <s v="2022-04-08 14:41:35 UTC"/>
        <s v="2022-04-08 14:05:10 UTC"/>
        <s v="2022-04-08 13:51:24 UTC"/>
        <s v="2022-04-08 13:51:19 UTC"/>
        <s v="2022-04-08 11:48:32 UTC"/>
        <s v="2022-04-08 11:21:27 UTC"/>
        <s v="2022-04-08 11:08:41 UTC"/>
        <s v="2022-04-08 10:45:46 UTC"/>
        <s v="2022-04-08 10:31:42 UTC"/>
        <s v="2022-04-08 10:31:14 UTC"/>
        <s v="2022-04-08 10:15:28 UTC"/>
        <s v="2022-04-08 10:14:18 UTC"/>
        <s v="2022-04-08 10:13:39 UTC"/>
        <s v="2022-04-08 10:06:23 UTC"/>
        <s v="2022-04-08 10:06:13 UTC"/>
        <s v="2022-04-08 09:59:42 UTC"/>
        <s v="2022-04-08 09:59:14 UTC"/>
        <s v="2022-04-08 09:58:19 UTC"/>
        <s v="2022-04-08 09:53:31 UTC"/>
        <s v="2022-04-08 09:52:06 UTC"/>
        <s v="2022-04-08 09:52:03 UTC"/>
        <s v="2022-04-08 09:51:50 UTC"/>
        <s v="2022-04-08 09:51:49 UTC"/>
        <s v="2022-04-08 09:47:23 UTC"/>
        <s v="2022-04-08 09:41:40 UTC"/>
        <s v="2022-04-08 09:31:40 UTC"/>
        <s v="2022-04-08 09:24:09 UTC"/>
        <s v="2022-04-08 09:24:03 UTC"/>
        <s v="2022-04-08 09:13:20 UTC"/>
        <s v="2022-04-08 09:05:28 UTC"/>
        <s v="2022-04-08 08:59:23 UTC"/>
        <s v="2022-04-08 08:59:16 UTC"/>
        <s v="2022-04-08 08:52:51 UTC"/>
        <s v="2022-04-08 08:49:25 UTC"/>
        <s v="2022-04-08 08:43:07 UTC"/>
        <s v="2022-04-08 08:37:07 UTC"/>
        <s v="2022-04-08 08:23:58 UTC"/>
        <s v="2022-04-08 08:23:49 UTC"/>
        <s v="2022-04-08 08:23:37 UTC"/>
        <s v="2022-04-08 08:06:00 UTC"/>
        <s v="2022-04-08 07:46:13 UTC"/>
        <s v="2022-04-08 07:45:59 UTC"/>
        <s v="2022-04-08 07:44:40 UTC"/>
        <s v="2022-04-08 07:44:23 UTC"/>
        <s v="2022-04-08 07:40:30 UTC"/>
        <s v="2022-04-08 07:40:23 UTC"/>
        <s v="2022-04-08 07:36:30 UTC"/>
        <s v="2022-04-08 07:36:10 UTC"/>
        <s v="2022-04-08 07:36:03 UTC"/>
        <s v="2022-04-08 07:35:53 UTC"/>
        <s v="2022-04-08 07:15:13 UTC"/>
        <s v="2022-04-08 07:15:11 UTC"/>
        <s v="2022-04-08 07:15:04 UTC"/>
        <s v="2022-04-08 07:15:02 UTC"/>
        <s v="2022-04-08 07:15:00 UTC"/>
        <s v="2022-04-08 07:14:52 UTC"/>
        <s v="2022-04-08 07:14:50 UTC"/>
        <s v="2022-04-08 07:11:06 UTC"/>
        <s v="2022-04-08 07:10:57 UTC"/>
        <s v="2022-04-08 07:10:40 UTC"/>
        <s v="2022-04-08 07:01:59 UTC"/>
        <s v="2022-04-08 06:29:58 UTC"/>
        <s v="2022-04-08 06:19:31 UTC"/>
        <s v="2022-04-08 06:19:20 UTC"/>
        <s v="2022-04-08 06:13:57 UTC"/>
        <s v="2022-04-08 06:05:48 UTC"/>
        <s v="2022-04-08 06:01:45 UTC"/>
        <s v="2022-04-08 05:59:42 UTC"/>
        <s v="2022-04-08 05:58:31 UTC"/>
        <s v="2022-04-08 05:57:59 UTC"/>
        <s v="2022-04-08 05:57:49 UTC"/>
        <s v="2022-04-08 05:40:04 UTC"/>
        <s v="2022-04-08 05:40:02 UTC"/>
        <s v="2022-04-08 05:26:23 UTC"/>
        <s v="2022-04-08 05:13:42 UTC"/>
        <s v="2022-04-08 04:55:08 UTC"/>
        <s v="2022-04-08 04:51:02 UTC"/>
        <s v="2022-04-08 04:50:31 UTC"/>
        <s v="2022-04-08 04:50:21 UTC"/>
        <s v="2022-04-08 04:35:38 UTC"/>
        <s v="2022-04-08 03:58:40 UTC"/>
        <s v="2022-04-08 03:58:35 UTC"/>
        <s v="2022-04-08 03:58:21 UTC"/>
        <s v="2022-04-08 03:58:10 UTC"/>
        <s v="2022-04-08 03:47:37 UTC"/>
        <s v="2022-04-08 03:43:32 UTC"/>
        <s v="2022-04-08 03:41:09 UTC"/>
        <s v="2022-04-08 01:42:42 UTC"/>
        <s v="2022-04-08 01:29:01 UTC"/>
        <s v="2022-04-08 01:26:15 UTC"/>
        <s v="2022-04-08 01:21:21 UTC"/>
        <s v="2022-04-08 01:13:58 UTC"/>
        <s v="2022-04-08 01:13:53 UTC"/>
        <s v="2022-04-08 01:11:33 UTC"/>
        <s v="2022-04-08 01:05:41 UTC"/>
        <s v="2022-04-08 01:05:36 UTC"/>
        <s v="2022-04-08 00:55:15 UTC"/>
        <s v="2022-04-08 00:46:10 UTC"/>
        <s v="2022-04-08 00:45:28 UTC"/>
        <s v="2022-04-08 00:45:20 UTC"/>
        <s v="2022-04-08 00:34:40 UTC"/>
        <s v="2022-04-08 00:30:42 UTC"/>
        <s v="2022-04-07 23:24:44 UTC"/>
        <s v="2022-04-07 21:36:21 UTC"/>
        <s v="2022-04-07 16:38:16 UTC"/>
        <s v="2022-04-07 16:25:04 UTC"/>
        <s v="2022-04-07 14:56:49 UTC"/>
        <s v="2022-04-07 14:43:12 UTC"/>
        <s v="2022-04-07 14:43:09 UTC"/>
        <s v="2022-04-07 14:07:56 UTC"/>
        <s v="2022-04-07 14:00:09 UTC"/>
        <s v="2022-04-07 14:00:06 UTC"/>
        <s v="2022-04-07 13:47:31 UTC"/>
        <s v="2022-04-07 13:38:27 UTC"/>
        <s v="2022-04-07 13:38:25 UTC"/>
        <s v="2022-04-07 13:35:14 UTC"/>
        <s v="2022-04-07 13:35:11 UTC"/>
        <s v="2022-04-07 13:24:46 UTC"/>
        <s v="2022-04-07 12:19:16 UTC"/>
        <s v="2022-04-07 12:08:07 UTC"/>
        <s v="2022-04-07 12:02:34 UTC"/>
        <s v="2022-04-07 11:54:14 UTC"/>
        <s v="2022-04-07 11:21:15 UTC"/>
        <s v="2022-04-07 11:21:13 UTC"/>
        <s v="2022-04-07 11:19:15 UTC"/>
        <s v="2022-04-07 11:06:26 UTC"/>
        <s v="2022-04-07 11:06:24 UTC"/>
        <s v="2022-04-07 10:54:31 UTC"/>
        <s v="2022-04-07 10:53:50 UTC"/>
        <s v="2022-04-07 10:22:54 UTC"/>
        <s v="2022-04-07 10:20:32 UTC"/>
        <s v="2022-04-07 10:20:29 UTC"/>
        <s v="2022-04-07 10:14:54 UTC"/>
        <s v="2022-04-07 10:12:20 UTC"/>
        <s v="2022-04-07 10:12:17 UTC"/>
        <s v="2022-04-07 10:10:58 UTC"/>
        <s v="2022-04-07 10:10:56 UTC"/>
        <s v="2022-04-07 09:32:31 UTC"/>
        <s v="2022-04-07 09:28:46 UTC"/>
        <s v="2022-04-07 09:22:25 UTC"/>
        <s v="2022-04-07 09:22:14 UTC"/>
        <s v="2022-04-07 09:12:40 UTC"/>
        <s v="2022-04-07 09:09:35 UTC"/>
        <s v="2022-04-07 09:09:17 UTC"/>
        <s v="2022-04-07 09:04:15 UTC"/>
        <s v="2022-04-07 09:04:07 UTC"/>
        <s v="2022-04-07 09:01:51 UTC"/>
        <s v="2022-04-07 08:43:15 UTC"/>
        <s v="2022-04-07 08:42:25 UTC"/>
        <s v="2022-04-07 08:42:22 UTC"/>
        <s v="2022-04-07 07:38:16 UTC"/>
        <s v="2022-04-07 07:09:19 UTC"/>
        <s v="2022-04-07 06:31:40 UTC"/>
        <s v="2022-04-07 05:28:11 UTC"/>
        <s v="2022-04-07 05:20:04 UTC"/>
        <s v="2022-04-07 05:10:58 UTC"/>
        <s v="2022-04-07 05:06:44 UTC"/>
        <s v="2022-04-07 05:06:15 UTC"/>
        <s v="2022-04-07 05:06:13 UTC"/>
        <s v="2022-04-07 05:05:54 UTC"/>
        <s v="2022-04-07 05:05:52 UTC"/>
        <s v="2022-04-07 05:05:49 UTC"/>
        <s v="2022-04-07 05:05:47 UTC"/>
        <s v="2022-04-07 05:05:41 UTC"/>
        <s v="2022-04-07 05:05:39 UTC"/>
        <s v="2022-04-07 05:04:58 UTC"/>
        <s v="2022-04-07 04:36:40 UTC"/>
        <s v="2022-04-07 04:30:35 UTC"/>
        <s v="2022-04-07 04:15:57 UTC"/>
        <s v="2022-04-07 04:13:57 UTC"/>
        <s v="2022-04-07 04:11:48 UTC"/>
        <s v="2022-04-07 03:41:38 UTC"/>
        <s v="2022-04-07 03:25:28 UTC"/>
        <s v="2022-04-07 03:16:43 UTC"/>
        <s v="2022-04-07 03:12:41 UTC"/>
        <s v="2022-04-07 03:10:40 UTC"/>
        <s v="2022-04-07 03:09:39 UTC"/>
        <s v="2022-04-07 03:08:46 UTC"/>
        <s v="2022-04-07 03:08:41 UTC"/>
        <s v="2022-04-07 03:00:42 UTC"/>
        <s v="2022-04-07 03:00:09 UTC"/>
        <s v="2022-04-07 03:00:03 UTC"/>
        <s v="2022-04-07 02:57:52 UTC"/>
        <s v="2022-04-07 02:57:44 UTC"/>
        <s v="2022-04-07 02:57:02 UTC"/>
        <s v="2022-04-07 02:56:57 UTC"/>
        <s v="2022-04-07 02:56:51 UTC"/>
        <s v="2022-04-07 02:55:27 UTC"/>
        <s v="2022-04-07 02:54:37 UTC"/>
        <s v="2022-04-07 02:54:34 UTC"/>
        <s v="2022-04-07 02:24:48 UTC"/>
        <s v="2022-04-07 01:14:49 UTC"/>
        <s v="2022-04-07 01:14:29 UTC"/>
        <s v="2022-04-07 01:14:09 UTC"/>
        <s v="2022-04-07 01:13:49 UTC"/>
        <s v="2022-04-07 01:13:29 UTC"/>
        <s v="2022-04-07 01:13:09 UTC"/>
        <s v="2022-04-07 01:12:49 UTC"/>
        <s v="2022-04-07 01:12:30 UTC"/>
        <s v="2022-04-07 01:12:09 UTC"/>
        <s v="2022-04-07 01:11:49 UTC"/>
        <s v="2022-04-07 01:11:29 UTC"/>
        <s v="2022-04-07 01:11:09 UTC"/>
        <s v="2022-04-07 01:10:39 UTC"/>
        <s v="2022-04-07 01:10:19 UTC"/>
        <s v="2022-04-07 01:09:59 UTC"/>
        <s v="2022-04-07 01:09:40 UTC"/>
        <s v="2022-04-07 01:09:19 UTC"/>
        <s v="2022-04-07 01:08:59 UTC"/>
        <s v="2022-04-07 01:08:39 UTC"/>
        <s v="2022-04-07 01:08:19 UTC"/>
        <s v="2022-04-07 01:07:49 UTC"/>
        <s v="2022-04-07 01:07:29 UTC"/>
        <s v="2022-04-07 01:07:09 UTC"/>
        <s v="2022-04-07 01:06:49 UTC"/>
        <s v="2022-04-07 01:06:29 UTC"/>
        <s v="2022-04-07 01:06:09 UTC"/>
        <s v="2022-04-07 01:05:49 UTC"/>
        <s v="2022-04-07 01:05:29 UTC"/>
        <s v="2022-04-07 01:05:09 UTC"/>
        <s v="2022-04-07 01:04:09 UTC"/>
        <s v="2022-04-07 01:03:49 UTC"/>
        <s v="2022-04-07 01:03:29 UTC"/>
        <s v="2022-04-07 01:03:09 UTC"/>
        <s v="2022-04-07 01:02:49 UTC"/>
        <s v="2022-04-07 01:02:29 UTC"/>
        <s v="2022-04-07 01:02:09 UTC"/>
        <s v="2022-04-07 01:01:49 UTC"/>
        <s v="2022-04-07 01:01:29 UTC"/>
        <s v="2022-04-07 01:01:09 UTC"/>
        <s v="2022-04-07 01:00:50 UTC"/>
        <s v="2022-04-07 01:00:30 UTC"/>
        <s v="2022-04-07 01:00:12 UTC"/>
        <s v="2022-04-07 00:59:50 UTC"/>
        <s v="2022-04-07 00:59:36 UTC"/>
        <s v="2022-04-07 00:59:23 UTC"/>
        <s v="2022-04-07 00:59:02 UTC"/>
        <s v="2022-04-07 00:58:38 UTC"/>
        <s v="2022-04-07 00:58:36 UTC"/>
        <s v="2022-04-07 00:58:33 UTC"/>
        <s v="2022-04-07 00:58:31 UTC"/>
        <s v="2022-04-07 00:58:29 UTC"/>
        <s v="2022-04-07 00:58:25 UTC"/>
        <s v="2022-04-07 00:58:22 UTC"/>
        <s v="2022-04-07 00:58:19 UTC"/>
        <s v="2022-04-07 00:58:13 UTC"/>
        <s v="2022-04-07 00:58:10 UTC"/>
        <s v="2022-04-07 00:58:08 UTC"/>
        <s v="2022-04-07 00:58:05 UTC"/>
        <s v="2022-04-07 00:58:03 UTC"/>
        <s v="2022-04-07 00:58:00 UTC"/>
        <s v="2022-04-07 00:57:58 UTC"/>
        <s v="2022-04-07 00:57:56 UTC"/>
        <s v="2022-04-07 00:57:53 UTC"/>
        <s v="2022-04-07 00:57:50 UTC"/>
        <s v="2022-04-07 00:57:46 UTC"/>
        <s v="2022-04-07 00:57:40 UTC"/>
        <s v="2022-04-07 00:45:47 UTC"/>
        <s v="2022-04-07 00:43:19 UTC"/>
        <s v="2022-04-07 00:02:12 UTC"/>
        <s v="2022-04-06 21:22:53 UTC"/>
        <s v="2022-04-06 21:04:10 UTC"/>
        <s v="2022-04-06 21:00:13 UTC"/>
        <s v="2022-04-06 21:00:09 UTC"/>
        <s v="2022-04-06 21:00:06 UTC"/>
        <s v="2022-04-06 20:59:59 UTC"/>
        <s v="2022-04-06 19:27:30 UTC"/>
        <s v="2022-04-06 18:11:36 UTC"/>
        <s v="2022-04-06 17:15:35 UTC"/>
        <s v="2022-04-06 17:15:06 UTC"/>
        <s v="2022-04-06 17:15:01 UTC"/>
        <s v="2022-04-06 17:14:28 UTC"/>
        <s v="2022-04-06 17:09:07 UTC"/>
        <s v="2022-04-06 17:09:05 UTC"/>
        <s v="2022-04-06 16:23:04 UTC"/>
        <s v="2022-04-06 16:18:14 UTC"/>
        <s v="2022-04-06 16:18:11 UTC"/>
        <s v="2022-04-06 16:06:10 UTC"/>
        <s v="2022-04-06 16:05:23 UTC"/>
        <s v="2022-04-06 16:05:19 UTC"/>
        <s v="2022-04-06 15:58:33 UTC"/>
        <s v="2022-04-06 15:50:59 UTC"/>
        <s v="2022-04-06 15:50:44 UTC"/>
        <s v="2022-04-06 14:41:54 UTC"/>
        <s v="2022-04-06 12:56:01 UTC"/>
        <s v="2022-04-06 12:07:58 UTC"/>
        <s v="2022-04-06 11:46:49 UTC"/>
        <s v="2022-04-06 11:37:26 UTC"/>
        <s v="2022-04-06 11:20:41 UTC"/>
        <s v="2022-04-06 11:00:59 UTC"/>
        <s v="2022-04-06 09:30:57 UTC"/>
        <s v="2022-04-06 09:28:56 UTC"/>
        <s v="2022-04-06 09:28:55 UTC"/>
        <s v="2022-04-06 09:28:50 UTC"/>
        <s v="2022-04-06 09:28:46 UTC"/>
        <s v="2022-04-06 09:16:28 UTC"/>
        <s v="2022-04-06 09:16:23 UTC"/>
        <s v="2022-04-06 09:16:15 UTC"/>
        <s v="2022-04-06 09:14:29 UTC"/>
        <s v="2022-04-06 09:13:12 UTC"/>
        <s v="2022-04-06 08:04:34 UTC"/>
        <s v="2022-04-06 07:27:18 UTC"/>
        <s v="2022-04-06 06:57:35 UTC"/>
        <s v="2022-04-06 06:38:47 UTC"/>
        <s v="2022-04-06 06:21:31 UTC"/>
        <s v="2022-04-06 06:05:06 UTC"/>
        <s v="2022-04-06 05:56:49 UTC"/>
        <s v="2022-04-06 05:33:34 UTC"/>
        <s v="2022-04-06 04:09:27 UTC"/>
        <s v="2022-04-06 04:09:23 UTC"/>
        <s v="2022-04-06 04:09:18 UTC"/>
        <s v="2022-04-06 04:09:15 UTC"/>
        <s v="2022-04-06 03:40:48 UTC"/>
        <s v="2022-04-06 03:40:29 UTC"/>
        <s v="2022-04-06 02:20:44 UTC"/>
        <s v="2022-04-06 02:04:18 UTC"/>
        <s v="2022-04-05 16:53:30 UTC"/>
        <s v="2022-04-05 16:53:08 UTC"/>
        <s v="2022-04-05 16:53:04 UTC"/>
        <s v="2022-04-05 16:52:56 UTC"/>
        <s v="2022-04-05 16:52:40 UTC"/>
        <s v="2022-04-05 16:51:38 UTC"/>
        <s v="2022-04-05 16:51:06 UTC"/>
        <s v="2022-04-05 16:51:04 UTC"/>
        <s v="2022-04-05 16:50:57 UTC"/>
        <s v="2022-04-05 16:41:10 UTC"/>
        <s v="2022-04-05 15:32:57 UTC"/>
        <s v="2022-04-05 15:02:01 UTC"/>
        <s v="2022-04-05 15:01:26 UTC"/>
        <s v="2022-04-05 15:01:23 UTC"/>
        <s v="2022-04-05 15:00:52 UTC"/>
        <s v="2022-04-05 14:59:25 UTC"/>
        <s v="2022-04-05 14:58:56 UTC"/>
        <s v="2022-04-05 14:58:24 UTC"/>
        <s v="2022-04-05 12:07:51 UTC"/>
        <s v="2022-04-05 11:11:32 UTC"/>
        <s v="2022-04-05 10:06:29 UTC"/>
        <s v="2022-04-05 10:06:13 UTC"/>
        <s v="2022-04-05 10:06:07 UTC"/>
        <s v="2022-04-05 10:03:31 UTC"/>
        <s v="2022-04-05 08:48:04 UTC"/>
        <s v="2022-04-05 07:51:18 UTC"/>
        <s v="2022-04-05 07:44:05 UTC"/>
        <s v="2022-04-05 07:33:44 UTC"/>
        <s v="2022-04-05 07:33:17 UTC"/>
        <s v="2022-04-05 07:28:55 UTC"/>
        <s v="2022-04-05 07:28:43 UTC"/>
        <s v="2022-04-05 07:21:40 UTC"/>
        <s v="2022-04-05 07:00:29 UTC"/>
        <s v="2022-04-05 05:40:40 UTC"/>
        <s v="2022-04-05 05:39:51 UTC"/>
        <s v="2022-04-05 05:38:54 UTC"/>
        <s v="2022-04-05 05:36:19 UTC"/>
        <s v="2022-04-05 05:22:20 UTC"/>
        <s v="2022-04-05 05:21:39 UTC"/>
        <s v="2022-04-05 05:15:55 UTC"/>
        <s v="2022-04-05 05:12:02 UTC"/>
        <s v="2022-04-05 04:26:42 UTC"/>
        <s v="2022-04-05 04:26:20 UTC"/>
        <s v="2022-04-05 04:26:11 UTC"/>
        <s v="2022-04-05 04:24:47 UTC"/>
        <s v="2022-04-05 03:41:53 UTC"/>
        <s v="2022-04-05 03:41:50 UTC"/>
        <s v="2022-04-05 03:41:47 UTC"/>
        <s v="2022-04-05 03:41:45 UTC"/>
        <s v="2022-04-05 03:41:27 UTC"/>
        <s v="2022-04-05 03:41:26 UTC"/>
        <s v="2022-04-05 03:41:24 UTC"/>
        <s v="2022-04-05 03:41:22 UTC"/>
        <s v="2022-04-05 03:41:20 UTC"/>
        <s v="2022-04-05 03:41:18 UTC"/>
        <s v="2022-04-05 03:41:17 UTC"/>
        <s v="2022-04-05 03:41:10 UTC"/>
        <s v="2022-04-05 03:41:08 UTC"/>
        <s v="2022-04-05 03:41:03 UTC"/>
        <s v="2022-04-05 03:41:00 UTC"/>
        <s v="2022-04-05 03:40:53 UTC"/>
        <s v="2022-04-05 03:40:52 UTC"/>
        <s v="2022-04-05 03:40:50 UTC"/>
        <s v="2022-04-05 03:40:48 UTC"/>
        <s v="2022-04-05 03:40:46 UTC"/>
        <s v="2022-04-05 03:40:44 UTC"/>
        <s v="2022-04-05 03:40:43 UTC"/>
        <s v="2022-04-05 03:40:41 UTC"/>
        <s v="2022-04-05 03:40:38 UTC"/>
        <s v="2022-04-05 03:40:16 UTC"/>
        <s v="2022-04-05 03:40:14 UTC"/>
        <s v="2022-04-05 03:40:12 UTC"/>
        <s v="2022-04-05 03:40:10 UTC"/>
        <s v="2022-04-05 03:40:08 UTC"/>
        <s v="2022-04-04 19:13:04 UTC"/>
        <s v="2022-04-04 16:55:10 UTC"/>
        <s v="2022-04-04 16:47:06 UTC"/>
        <s v="2022-04-04 16:40:40 UTC"/>
        <s v="2022-04-04 16:10:25 UTC"/>
        <s v="2022-04-04 16:01:12 UTC"/>
        <s v="2022-04-04 15:45:02 UTC"/>
        <s v="2022-04-04 15:03:22 UTC"/>
        <s v="2022-04-04 15:02:53 UTC"/>
        <s v="2022-04-04 15:02:50 UTC"/>
        <s v="2022-04-04 15:02:49 UTC"/>
        <s v="2022-04-04 14:28:06 UTC"/>
        <s v="2022-04-04 13:53:30 UTC"/>
        <s v="2022-04-04 12:52:52 UTC"/>
        <s v="2022-04-04 12:52:44 UTC"/>
        <s v="2022-04-04 12:52:33 UTC"/>
        <s v="2022-04-04 12:52:03 UTC"/>
        <s v="2022-04-04 12:45:50 UTC"/>
        <s v="2022-04-04 12:45:28 UTC"/>
        <s v="2022-04-04 12:45:10 UTC"/>
        <s v="2022-04-04 12:41:14 UTC"/>
        <s v="2022-04-04 12:40:42 UTC"/>
        <s v="2022-04-04 12:31:09 UTC"/>
        <s v="2022-04-04 11:43:21 UTC"/>
        <s v="2022-04-04 11:43:18 UTC"/>
        <s v="2022-04-04 11:43:15 UTC"/>
        <s v="2022-04-04 11:43:12 UTC"/>
        <s v="2022-04-04 11:43:10 UTC"/>
        <s v="2022-04-04 11:43:07 UTC"/>
        <s v="2022-04-04 11:43:00 UTC"/>
        <s v="2022-04-04 11:42:57 UTC"/>
        <s v="2022-04-04 11:42:54 UTC"/>
        <s v="2022-04-04 11:42:50 UTC"/>
        <s v="2022-04-04 11:42:47 UTC"/>
        <s v="2022-04-04 11:42:18 UTC"/>
        <s v="2022-04-04 11:42:16 UTC"/>
        <s v="2022-04-04 11:39:20 UTC"/>
        <s v="2022-04-04 10:29:41 UTC"/>
        <s v="2022-04-04 10:19:40 UTC"/>
        <s v="2022-04-04 10:19:38 UTC"/>
        <s v="2022-04-04 10:19:37 UTC"/>
        <s v="2022-04-04 10:19:34 UTC"/>
        <s v="2022-04-04 10:19:32 UTC"/>
        <s v="2022-04-04 10:19:08 UTC"/>
        <s v="2022-04-04 08:49:16 UTC"/>
        <s v="2022-04-04 08:49:13 UTC"/>
        <s v="2022-04-04 08:48:35 UTC"/>
        <s v="2022-04-04 08:48:33 UTC"/>
        <s v="2022-04-04 08:45:55 UTC"/>
        <s v="2022-04-04 08:10:00 UTC"/>
        <s v="2022-04-04 07:46:09 UTC"/>
        <s v="2022-04-04 07:46:03 UTC"/>
        <s v="2022-04-04 07:45:59 UTC"/>
        <s v="2022-04-04 07:03:51 UTC"/>
        <s v="2022-04-04 06:54:46 UTC"/>
        <s v="2022-04-04 06:33:47 UTC"/>
        <s v="2022-04-04 06:33:30 UTC"/>
        <s v="2022-04-04 06:32:41 UTC"/>
        <s v="2022-04-04 06:32:38 UTC"/>
        <s v="2022-04-04 06:32:31 UTC"/>
        <s v="2022-04-04 06:32:28 UTC"/>
        <s v="2022-04-04 06:32:26 UTC"/>
        <s v="2022-04-04 06:32:21 UTC"/>
        <s v="2022-04-04 06:32:19 UTC"/>
        <s v="2022-04-04 06:05:24 UTC"/>
        <s v="2022-04-04 06:03:23 UTC"/>
        <s v="2022-04-04 06:02:19 UTC"/>
        <s v="2022-04-04 06:01:42 UTC"/>
        <s v="2022-04-04 06:01:37 UTC"/>
        <s v="2022-04-04 05:43:59 UTC"/>
        <s v="2022-04-04 05:43:46 UTC"/>
        <s v="2022-04-04 05:26:42 UTC"/>
        <s v="2022-04-04 05:15:45 UTC"/>
        <s v="2022-04-04 04:58:59 UTC"/>
        <s v="2022-04-04 04:57:55 UTC"/>
        <s v="2022-04-04 04:57:48 UTC"/>
        <s v="2022-04-04 04:57:27 UTC"/>
        <s v="2022-04-04 03:26:18 UTC"/>
        <s v="2022-04-04 02:07:38 UTC"/>
        <s v="2022-04-04 01:55:41 UTC"/>
        <s v="2022-04-03 21:47:26 UTC"/>
        <s v="2022-04-03 18:02:48 UTC"/>
        <s v="2022-04-03 18:01:48 UTC"/>
        <s v="2022-04-03 18:01:13 UTC"/>
        <s v="2022-04-03 18:00:28 UTC"/>
        <s v="2022-04-03 17:59:19 UTC"/>
        <s v="2022-04-03 17:57:58 UTC"/>
        <s v="2022-04-03 17:57:49 UTC"/>
        <s v="2022-04-03 17:53:20 UTC"/>
        <s v="2022-04-03 16:52:22 UTC"/>
        <s v="2022-04-03 16:46:18 UTC"/>
        <s v="2022-04-03 16:26:26 UTC"/>
        <s v="2022-04-03 16:20:37 UTC"/>
        <s v="2022-04-03 16:11:37 UTC"/>
        <s v="2022-04-03 16:03:02 UTC"/>
        <s v="2022-04-03 15:23:59 UTC"/>
        <s v="2022-04-03 14:59:53 UTC"/>
        <s v="2022-04-03 14:53:27 UTC"/>
        <s v="2022-04-03 14:53:24 UTC"/>
        <s v="2022-04-03 14:53:22 UTC"/>
        <s v="2022-04-03 14:53:16 UTC"/>
        <s v="2022-04-03 14:53:08 UTC"/>
        <s v="2022-04-03 14:35:25 UTC"/>
        <s v="2022-04-03 14:35:23 UTC"/>
        <s v="2022-04-03 14:35:21 UTC"/>
        <s v="2022-04-03 14:35:18 UTC"/>
        <s v="2022-04-03 14:35:17 UTC"/>
        <s v="2022-04-03 14:35:14 UTC"/>
        <s v="2022-04-03 14:35:13 UTC"/>
        <s v="2022-04-03 14:35:11 UTC"/>
        <s v="2022-04-03 14:35:09 UTC"/>
        <s v="2022-04-03 14:35:06 UTC"/>
        <s v="2022-04-03 14:35:04 UTC"/>
        <s v="2022-04-03 14:35:01 UTC"/>
        <s v="2022-04-03 14:34:58 UTC"/>
        <s v="2022-04-03 14:34:55 UTC"/>
        <s v="2022-04-03 14:34:50 UTC"/>
        <s v="2022-04-03 14:34:47 UTC"/>
        <s v="2022-04-03 14:34:45 UTC"/>
        <s v="2022-04-03 14:34:42 UTC"/>
        <s v="2022-04-03 14:34:39 UTC"/>
        <s v="2022-04-03 14:34:36 UTC"/>
        <s v="2022-04-03 14:34:33 UTC"/>
        <s v="2022-04-03 14:34:30 UTC"/>
        <s v="2022-04-03 14:34:27 UTC"/>
        <s v="2022-04-03 14:34:24 UTC"/>
        <s v="2022-04-03 14:34:21 UTC"/>
        <s v="2022-04-03 14:34:19 UTC"/>
        <s v="2022-04-03 14:34:15 UTC"/>
        <s v="2022-04-03 14:34:12 UTC"/>
        <s v="2022-04-03 14:34:10 UTC"/>
        <s v="2022-04-03 14:34:08 UTC"/>
        <s v="2022-04-03 14:34:06 UTC"/>
        <s v="2022-04-03 14:34:04 UTC"/>
        <s v="2022-04-03 14:34:02 UTC"/>
        <s v="2022-04-03 14:33:59 UTC"/>
        <s v="2022-04-03 14:33:57 UTC"/>
        <s v="2022-04-03 14:33:55 UTC"/>
        <s v="2022-04-03 14:33:53 UTC"/>
        <s v="2022-04-03 14:33:51 UTC"/>
        <s v="2022-04-03 14:33:49 UTC"/>
        <s v="2022-04-03 14:33:47 UTC"/>
        <s v="2022-04-03 14:33:45 UTC"/>
        <s v="2022-04-03 14:33:42 UTC"/>
        <s v="2022-04-03 14:33:40 UTC"/>
        <s v="2022-04-03 14:33:38 UTC"/>
        <s v="2022-04-03 14:33:36 UTC"/>
        <s v="2022-04-03 14:33:34 UTC"/>
        <s v="2022-04-03 14:33:32 UTC"/>
        <s v="2022-04-03 14:33:29 UTC"/>
        <s v="2022-04-03 14:33:26 UTC"/>
        <s v="2022-04-03 14:33:23 UTC"/>
        <s v="2022-04-03 14:33:20 UTC"/>
        <s v="2022-04-03 14:33:18 UTC"/>
        <s v="2022-04-03 14:33:15 UTC"/>
        <s v="2022-04-03 14:33:12 UTC"/>
        <s v="2022-04-03 14:33:10 UTC"/>
        <s v="2022-04-03 14:33:08 UTC"/>
        <s v="2022-04-03 14:33:06 UTC"/>
        <s v="2022-04-03 14:33:03 UTC"/>
        <s v="2022-04-03 14:33:01 UTC"/>
        <s v="2022-04-03 14:32:59 UTC"/>
        <s v="2022-04-03 14:32:56 UTC"/>
        <s v="2022-04-03 14:32:54 UTC"/>
        <s v="2022-04-03 14:32:51 UTC"/>
        <s v="2022-04-03 14:32:49 UTC"/>
        <s v="2022-04-03 14:32:46 UTC"/>
        <s v="2022-04-03 14:32:42 UTC"/>
        <s v="2022-04-03 14:32:39 UTC"/>
        <s v="2022-04-03 14:32:36 UTC"/>
        <s v="2022-04-03 14:28:18 UTC"/>
        <s v="2022-04-03 14:03:25 UTC"/>
        <s v="2022-04-03 14:00:52 UTC"/>
        <s v="2022-04-03 14:00:18 UTC"/>
        <s v="2022-04-03 13:28:03 UTC"/>
        <s v="2022-04-03 13:17:53 UTC"/>
        <s v="2022-04-03 13:17:42 UTC"/>
        <s v="2022-04-03 13:17:28 UTC"/>
        <s v="2022-04-03 12:49:40 UTC"/>
        <s v="2022-04-03 12:42:53 UTC"/>
        <s v="2022-04-03 12:28:49 UTC"/>
        <s v="2022-04-03 12:27:31 UTC"/>
        <s v="2022-04-03 12:27:23 UTC"/>
        <s v="2022-04-03 12:27:20 UTC"/>
        <s v="2022-04-03 12:27:05 UTC"/>
        <s v="2022-04-03 12:26:59 UTC"/>
        <s v="2022-04-03 12:26:52 UTC"/>
        <s v="2022-04-03 12:26:44 UTC"/>
        <s v="2022-04-03 12:26:38 UTC"/>
        <s v="2022-04-03 12:26:34 UTC"/>
        <s v="2022-04-03 12:26:29 UTC"/>
        <s v="2022-04-03 12:01:23 UTC"/>
        <s v="2022-04-03 11:59:47 UTC"/>
        <s v="2022-04-03 11:58:35 UTC"/>
        <s v="2022-04-03 11:58:21 UTC"/>
        <s v="2022-04-03 11:47:58 UTC"/>
        <s v="2022-04-03 11:33:37 UTC"/>
        <s v="2022-04-03 11:18:48 UTC"/>
        <s v="2022-04-03 11:16:42 UTC"/>
        <s v="2022-04-03 11:16:40 UTC"/>
        <s v="2022-04-03 11:16:35 UTC"/>
        <s v="2022-04-03 11:16:34 UTC"/>
        <s v="2022-04-03 11:16:32 UTC"/>
        <s v="2022-04-03 11:16:26 UTC"/>
        <s v="2022-04-03 11:15:41 UTC"/>
        <s v="2022-04-03 11:15:34 UTC"/>
        <s v="2022-04-03 11:15:27 UTC"/>
        <s v="2022-04-03 11:15:13 UTC"/>
        <s v="2022-04-03 11:09:09 UTC"/>
        <s v="2022-04-03 10:25:29 UTC"/>
        <s v="2022-04-03 09:50:02 UTC"/>
        <s v="2022-04-03 07:17:35 UTC"/>
        <s v="2022-04-03 07:02:55 UTC"/>
        <s v="2022-04-03 07:01:07 UTC"/>
        <s v="2022-04-03 06:55:37 UTC"/>
        <s v="2022-04-03 06:55:29 UTC"/>
        <s v="2022-04-03 06:47:37 UTC"/>
        <s v="2022-04-03 06:33:28 UTC"/>
        <s v="2022-04-03 06:33:24 UTC"/>
        <s v="2022-04-03 05:59:29 UTC"/>
        <s v="2022-04-03 05:59:21 UTC"/>
        <s v="2022-04-03 05:49:24 UTC"/>
        <s v="2022-04-03 05:20:01 UTC"/>
        <s v="2022-04-03 05:00:21 UTC"/>
        <s v="2022-04-03 04:59:38 UTC"/>
        <s v="2022-04-03 04:59:30 UTC"/>
        <s v="2022-04-03 04:59:14 UTC"/>
        <s v="2022-04-03 04:58:03 UTC"/>
        <s v="2022-04-03 04:56:49 UTC"/>
        <s v="2022-04-03 04:56:11 UTC"/>
        <s v="2022-04-03 04:56:05 UTC"/>
        <s v="2022-04-03 04:54:59 UTC"/>
        <s v="2022-04-03 04:18:22 UTC"/>
        <s v="2022-04-03 04:18:08 UTC"/>
        <s v="2022-04-03 04:17:44 UTC"/>
        <s v="2022-04-03 04:17:40 UTC"/>
        <s v="2022-04-03 04:17:33 UTC"/>
        <s v="2022-04-03 04:17:17 UTC"/>
        <s v="2022-04-03 04:17:15 UTC"/>
        <s v="2022-04-03 04:07:58 UTC"/>
        <s v="2022-04-03 04:07:52 UTC"/>
        <s v="2022-04-03 04:03:07 UTC"/>
        <s v="2022-04-03 02:16:13 UTC"/>
        <s v="2022-04-03 02:13:57 UTC"/>
        <s v="2022-04-03 02:13:52 UTC"/>
        <s v="2022-04-03 02:07:23 UTC"/>
        <s v="2022-04-03 02:07:21 UTC"/>
        <s v="2022-04-03 02:07:19 UTC"/>
        <s v="2022-04-03 02:07:18 UTC"/>
        <s v="2022-04-03 02:07:16 UTC"/>
        <s v="2022-04-03 02:07:15 UTC"/>
        <s v="2022-04-03 02:07:13 UTC"/>
        <s v="2022-04-03 02:07:09 UTC"/>
        <s v="2022-04-03 02:07:08 UTC"/>
        <s v="2022-04-03 02:07:02 UTC"/>
        <s v="2022-04-03 02:05:46 UTC"/>
        <s v="2022-04-03 02:04:51 UTC"/>
        <s v="2022-04-03 01:59:36 UTC"/>
        <s v="2022-04-03 01:59:34 UTC"/>
        <s v="2022-04-03 01:59:32 UTC"/>
        <s v="2022-04-03 01:59:26 UTC"/>
        <s v="2022-04-02 17:28:23 UTC"/>
        <s v="2022-04-02 16:09:07 UTC"/>
        <s v="2022-04-02 15:45:26 UTC"/>
        <s v="2022-04-02 13:24:48 UTC"/>
        <s v="2022-04-02 13:24:46 UTC"/>
        <s v="2022-04-02 13:24:44 UTC"/>
        <s v="2022-04-02 13:24:42 UTC"/>
        <s v="2022-04-02 13:24:32 UTC"/>
        <s v="2022-04-02 13:15:35 UTC"/>
        <s v="2022-04-02 13:09:52 UTC"/>
        <s v="2022-04-02 12:25:37 UTC"/>
        <s v="2022-04-02 11:28:42 UTC"/>
        <s v="2022-04-02 11:28:40 UTC"/>
        <s v="2022-04-02 11:00:54 UTC"/>
        <s v="2022-04-02 10:21:15 UTC"/>
        <s v="2022-04-02 10:15:43 UTC"/>
        <s v="2022-04-02 10:15:38 UTC"/>
        <s v="2022-04-02 06:37:59 UTC"/>
        <s v="2022-04-02 06:35:28 UTC"/>
        <s v="2022-04-02 06:35:25 UTC"/>
        <s v="2022-04-02 06:35:23 UTC"/>
        <s v="2022-04-02 06:35:21 UTC"/>
        <s v="2022-04-02 06:35:10 UTC"/>
        <s v="2022-04-02 06:35:08 UTC"/>
        <s v="2022-04-02 04:20:49 UTC"/>
        <s v="2022-04-02 04:18:13 UTC"/>
        <s v="2022-04-02 04:14:02 UTC"/>
        <s v="2022-04-02 04:13:49 UTC"/>
        <s v="2022-04-02 03:55:37 UTC"/>
        <s v="2022-04-02 03:33:47 UTC"/>
        <s v="2022-04-02 02:13:00 UTC"/>
        <s v="2022-04-02 01:35:33 UTC"/>
        <s v="2022-04-01 19:50:34 UTC"/>
        <s v="2022-04-01 19:15:52 UTC"/>
        <s v="2022-04-01 17:24:51 UTC"/>
        <s v="2022-04-01 13:19:08 UTC"/>
        <s v="2022-04-01 13:19:05 UTC"/>
        <s v="2022-04-01 13:18:59 UTC"/>
        <s v="2022-04-01 13:15:03 UTC"/>
        <s v="2022-04-01 13:02:34 UTC"/>
        <s v="2022-04-01 10:37:51 UTC"/>
        <s v="2022-04-01 10:22:20 UTC"/>
        <s v="2022-04-01 06:19:02 UTC"/>
        <s v="2022-04-01 06:18:39 UTC"/>
        <s v="2022-04-01 05:57:52 UTC"/>
        <s v="2022-04-01 05:56:31 UTC"/>
        <s v="2022-04-01 05:55:35 UTC"/>
        <s v="2022-04-01 05:54:59 UTC"/>
        <s v="2022-04-01 05:54:24 UTC"/>
        <s v="2022-04-01 05:53:42 UTC"/>
        <s v="2022-04-01 05:53:30 UTC"/>
        <s v="2022-04-01 05:52:55 UTC"/>
        <s v="2022-04-01 05:52:48 UTC"/>
        <s v="2022-04-01 05:52:05 UTC"/>
        <s v="2022-04-01 05:51:29 UTC"/>
        <s v="2022-04-01 05:50:56 UTC"/>
        <s v="2022-04-01 05:50:54 UTC"/>
        <s v="2022-04-01 05:25:06 UTC"/>
        <s v="2022-04-01 05:24:18 UTC"/>
        <s v="2022-04-01 05:23:19 UTC"/>
        <s v="2022-04-01 05:22:46 UTC"/>
        <s v="2022-04-01 05:22:11 UTC"/>
        <s v="2022-04-01 05:21:35 UTC"/>
        <s v="2022-04-01 05:21:24 UTC"/>
        <s v="2022-04-01 05:11:46 UTC"/>
        <s v="2022-04-01 04:44:33 UTC"/>
        <s v="2022-04-01 04:31:22 UTC"/>
        <s v="2022-04-01 04:29:41 UTC"/>
        <s v="2022-04-01 04:29:06 UTC"/>
        <s v="2022-04-01 04:28:34 UTC"/>
        <s v="2022-04-01 04:27:43 UTC"/>
        <s v="2022-04-01 04:27:10 UTC"/>
        <s v="2022-04-01 04:26:33 UTC"/>
        <s v="2022-04-01 04:26:24 UTC"/>
        <s v="2022-04-01 04:26:23 UTC"/>
        <s v="2022-04-01 04:26:22 UTC"/>
        <s v="2022-04-01 04:26:01 UTC"/>
        <s v="2022-04-01 04:25:20 UTC"/>
        <s v="2022-04-01 04:25:18 UTC"/>
        <s v="2022-04-01 04:25:08 UTC"/>
        <s v="2022-04-01 04:25:07 UTC"/>
        <s v="2022-04-01 04:16:59 UTC"/>
        <s v="2022-04-01 04:16:57 UTC"/>
        <s v="2022-04-01 01:39:41 UTC"/>
        <s v="2022-04-01 01:39:02 UTC"/>
        <s v="2022-04-01 01:38:00 UTC"/>
        <s v="2022-04-01 01:37:16 UTC"/>
        <s v="2022-04-01 01:36:16 UTC"/>
        <s v="2022-04-01 01:35:01 UTC"/>
        <s v="2022-04-01 01:34:01 UTC"/>
        <s v="2022-04-01 01:33:00 UTC"/>
        <s v="2022-04-01 01:32:26 UTC"/>
        <s v="2022-04-01 01:31:55 UTC"/>
        <s v="2022-04-01 01:31:26 UTC"/>
        <s v="2022-04-01 01:30:49 UTC"/>
        <s v="2022-04-01 01:29:53 UTC"/>
        <s v="2022-04-01 01:29:10 UTC"/>
        <s v="2022-04-01 01:04:23 UTC"/>
        <s v="2022-03-31 22:49:22 UTC"/>
        <s v="2022-03-31 20:09:54 UTC"/>
        <s v="2022-03-31 19:21:23 UTC"/>
        <s v="2022-03-31 19:07:46 UTC"/>
        <s v="2022-03-31 18:17:46 UTC"/>
        <s v="2022-03-31 17:01:42 UTC"/>
        <s v="2022-03-31 16:45:56 UTC"/>
        <s v="2022-03-31 16:45:31 UTC"/>
        <s v="2022-03-31 16:13:02 UTC"/>
        <s v="2022-03-31 16:11:20 UTC"/>
        <s v="2022-03-31 16:10:48 UTC"/>
        <s v="2022-03-31 16:10:17 UTC"/>
        <s v="2022-03-31 16:09:44 UTC"/>
        <s v="2022-03-31 16:09:11 UTC"/>
        <s v="2022-03-31 16:08:11 UTC"/>
        <s v="2022-03-31 16:07:11 UTC"/>
        <s v="2022-03-31 16:06:38 UTC"/>
        <s v="2022-03-31 16:06:05 UTC"/>
        <s v="2022-03-31 16:05:33 UTC"/>
        <s v="2022-03-31 16:05:00 UTC"/>
        <s v="2022-03-31 16:04:27 UTC"/>
        <s v="2022-03-31 16:04:02 UTC"/>
        <s v="2022-03-31 16:04:00 UTC"/>
        <s v="2022-03-31 16:03:56 UTC"/>
        <s v="2022-03-31 16:03:44 UTC"/>
        <s v="2022-03-31 16:03:42 UTC"/>
        <s v="2022-03-31 16:02:53 UTC"/>
        <s v="2022-03-31 16:02:19 UTC"/>
        <s v="2022-03-31 16:01:44 UTC"/>
        <s v="2022-03-31 16:01:37 UTC"/>
        <s v="2022-03-31 16:01:10 UTC"/>
        <s v="2022-03-31 16:00:39 UTC"/>
        <s v="2022-03-31 16:00:34 UTC"/>
        <s v="2022-03-31 16:00:25 UTC"/>
        <s v="2022-03-31 16:00:24 UTC"/>
        <s v="2022-03-31 16:00:12 UTC"/>
        <s v="2022-03-31 16:00:10 UTC"/>
        <s v="2022-03-31 16:00:07 UTC"/>
        <s v="2022-03-31 15:59:45 UTC"/>
        <s v="2022-03-31 15:59:34 UTC"/>
        <s v="2022-03-31 15:59:33 UTC"/>
        <s v="2022-03-31 15:59:31 UTC"/>
        <s v="2022-03-31 15:59:23 UTC"/>
        <s v="2022-03-31 15:59:17 UTC"/>
        <s v="2022-03-31 15:58:43 UTC"/>
        <s v="2022-03-31 15:58:10 UTC"/>
        <s v="2022-03-31 15:58:00 UTC"/>
        <s v="2022-03-31 15:57:27 UTC"/>
        <s v="2022-03-31 15:57:26 UTC"/>
        <s v="2022-03-31 15:57:11 UTC"/>
        <s v="2022-03-31 15:56:29 UTC"/>
        <s v="2022-03-31 15:55:54 UTC"/>
        <s v="2022-03-31 15:55:21 UTC"/>
        <s v="2022-03-31 15:55:01 UTC"/>
        <s v="2022-03-31 15:54:56 UTC"/>
        <s v="2022-03-31 15:54:51 UTC"/>
        <s v="2022-03-31 15:54:43 UTC"/>
        <s v="2022-03-31 15:54:42 UTC"/>
        <s v="2022-03-31 15:53:32 UTC"/>
        <s v="2022-03-31 15:52:57 UTC"/>
        <s v="2022-03-31 15:52:06 UTC"/>
        <s v="2022-03-31 15:51:32 UTC"/>
        <s v="2022-03-31 15:50:32 UTC"/>
        <s v="2022-03-31 15:50:17 UTC"/>
        <s v="2022-03-31 15:50:11 UTC"/>
        <s v="2022-03-31 15:49:59 UTC"/>
        <s v="2022-03-31 15:49:11 UTC"/>
        <s v="2022-03-31 15:49:09 UTC"/>
        <s v="2022-03-31 15:40:40 UTC"/>
        <s v="2022-03-31 14:04:33 UTC"/>
        <s v="2022-03-31 14:04:30 UTC"/>
        <s v="2022-03-31 13:40:01 UTC"/>
        <s v="2022-03-31 13:36:27 UTC"/>
        <s v="2022-03-31 13:28:25 UTC"/>
        <s v="2022-03-31 13:25:32 UTC"/>
        <s v="2022-03-31 13:05:51 UTC"/>
        <s v="2022-03-31 12:44:03 UTC"/>
        <s v="2022-03-31 12:19:45 UTC"/>
        <s v="2022-03-31 12:09:03 UTC"/>
        <s v="2022-03-31 12:08:28 UTC"/>
        <s v="2022-03-31 12:07:59 UTC"/>
        <s v="2022-03-31 12:07:34 UTC"/>
        <s v="2022-03-31 12:07:26 UTC"/>
        <s v="2022-03-31 12:06:56 UTC"/>
        <s v="2022-03-31 12:06:26 UTC"/>
        <s v="2022-03-31 12:06:21 UTC"/>
        <s v="2022-03-31 12:05:54 UTC"/>
        <s v="2022-03-31 12:05:53 UTC"/>
        <s v="2022-03-31 12:05:43 UTC"/>
        <s v="2022-03-31 12:05:33 UTC"/>
        <s v="2022-03-31 12:05:27 UTC"/>
        <s v="2022-03-31 12:05:08 UTC"/>
        <s v="2022-03-31 12:04:32 UTC"/>
        <s v="2022-03-31 12:03:57 UTC"/>
        <s v="2022-03-31 12:03:15 UTC"/>
        <s v="2022-03-31 12:03:11 UTC"/>
        <s v="2022-03-31 12:02:55 UTC"/>
        <s v="2022-03-31 12:02:50 UTC"/>
        <s v="2022-03-31 12:02:36 UTC"/>
        <s v="2022-03-31 12:01:15 UTC"/>
        <s v="2022-03-31 12:00:15 UTC"/>
        <s v="2022-03-31 11:54:06 UTC"/>
        <s v="2022-03-31 11:50:39 UTC"/>
        <s v="2022-03-31 11:49:27 UTC"/>
        <s v="2022-03-31 11:48:53 UTC"/>
        <s v="2022-03-31 11:48:21 UTC"/>
        <s v="2022-03-31 11:47:48 UTC"/>
        <s v="2022-03-31 11:47:11 UTC"/>
        <s v="2022-03-31 11:46:22 UTC"/>
        <s v="2022-03-31 11:45:51 UTC"/>
        <s v="2022-03-31 11:45:18 UTC"/>
        <s v="2022-03-31 11:44:46 UTC"/>
        <s v="2022-03-31 11:44:05 UTC"/>
        <s v="2022-03-31 11:43:33 UTC"/>
        <s v="2022-03-31 11:43:01 UTC"/>
        <s v="2022-03-31 11:42:13 UTC"/>
        <s v="2022-03-31 11:41:41 UTC"/>
        <s v="2022-03-31 11:41:00 UTC"/>
        <s v="2022-03-31 11:40:27 UTC"/>
        <s v="2022-03-31 11:39:54 UTC"/>
        <s v="2022-03-31 11:39:21 UTC"/>
        <s v="2022-03-31 11:38:48 UTC"/>
        <s v="2022-03-31 10:23:09 UTC"/>
        <s v="2022-03-31 10:23:08 UTC"/>
        <s v="2022-03-31 10:22:39 UTC"/>
        <s v="2022-03-31 10:21:57 UTC"/>
        <s v="2022-03-31 10:21:24 UTC"/>
        <s v="2022-03-31 10:20:53 UTC"/>
        <s v="2022-03-31 10:20:18 UTC"/>
        <s v="2022-03-31 10:19:45 UTC"/>
        <s v="2022-03-31 10:19:05 UTC"/>
        <s v="2022-03-31 10:18:33 UTC"/>
        <s v="2022-03-31 10:17:33 UTC"/>
        <s v="2022-03-31 10:16:46 UTC"/>
        <s v="2022-03-31 10:16:35 UTC"/>
        <s v="2022-03-31 10:16:31 UTC"/>
        <s v="2022-03-31 09:46:01 UTC"/>
        <s v="2022-03-31 09:45:01 UTC"/>
        <s v="2022-03-31 09:44:04 UTC"/>
        <s v="2022-03-31 08:47:59 UTC"/>
        <s v="2022-03-31 08:44:44 UTC"/>
        <s v="2022-03-31 08:43:36 UTC"/>
        <s v="2022-03-31 08:42:58 UTC"/>
        <s v="2022-03-31 08:42:10 UTC"/>
        <s v="2022-03-31 08:41:08 UTC"/>
        <s v="2022-03-31 08:40:19 UTC"/>
        <s v="2022-03-31 08:39:42 UTC"/>
        <s v="2022-03-31 08:27:14 UTC"/>
        <s v="2022-03-31 08:13:39 UTC"/>
        <s v="2022-03-31 08:02:25 UTC"/>
        <s v="2022-03-31 08:01:55 UTC"/>
        <s v="2022-03-31 08:00:51 UTC"/>
        <s v="2022-03-31 08:00:05 UTC"/>
        <s v="2022-03-31 07:59:26 UTC"/>
        <s v="2022-03-31 07:58:44 UTC"/>
        <s v="2022-03-31 07:58:09 UTC"/>
        <s v="2022-03-31 07:53:11 UTC"/>
        <s v="2022-03-31 07:47:30 UTC"/>
        <s v="2022-03-31 07:46:57 UTC"/>
        <s v="2022-03-31 07:45:47 UTC"/>
        <s v="2022-03-31 07:45:22 UTC"/>
        <s v="2022-03-31 07:45:20 UTC"/>
        <s v="2022-03-31 07:45:14 UTC"/>
        <s v="2022-03-31 07:45:11 UTC"/>
        <s v="2022-03-31 07:42:39 UTC"/>
        <s v="2022-03-31 07:34:47 UTC"/>
        <s v="2022-03-31 07:33:26 UTC"/>
        <s v="2022-03-31 07:32:43 UTC"/>
        <s v="2022-03-31 07:32:08 UTC"/>
        <s v="2022-03-31 07:31:21 UTC"/>
        <s v="2022-03-31 07:30:49 UTC"/>
        <s v="2022-03-31 07:30:16 UTC"/>
        <s v="2022-03-31 07:29:43 UTC"/>
        <s v="2022-03-31 07:29:03 UTC"/>
        <s v="2022-03-31 07:28:31 UTC"/>
        <s v="2022-03-31 07:27:58 UTC"/>
        <s v="2022-03-31 07:26:44 UTC"/>
        <s v="2022-03-31 07:25:52 UTC"/>
        <s v="2022-03-31 07:13:11 UTC"/>
        <s v="2022-03-31 07:06:46 UTC"/>
        <s v="2022-03-31 06:47:03 UTC"/>
        <s v="2022-03-31 06:46:22 UTC"/>
        <s v="2022-03-31 06:45:16 UTC"/>
        <s v="2022-03-31 06:44:37 UTC"/>
        <s v="2022-03-31 06:43:35 UTC"/>
        <s v="2022-03-31 06:42:06 UTC"/>
        <s v="2022-03-31 06:41:21 UTC"/>
        <s v="2022-03-31 06:40:35 UTC"/>
        <s v="2022-03-31 06:40:02 UTC"/>
        <s v="2022-03-31 06:39:28 UTC"/>
        <s v="2022-03-31 06:38:55 UTC"/>
        <s v="2022-03-31 06:38:22 UTC"/>
        <s v="2022-03-31 06:37:43 UTC"/>
        <s v="2022-03-31 06:37:36 UTC"/>
        <s v="2022-03-31 06:37:10 UTC"/>
        <s v="2022-03-31 06:36:19 UTC"/>
        <s v="2022-03-31 06:35:45 UTC"/>
        <s v="2022-03-31 06:34:51 UTC"/>
        <s v="2022-03-31 06:34:04 UTC"/>
        <s v="2022-03-31 06:33:17 UTC"/>
        <s v="2022-03-31 06:32:44 UTC"/>
        <s v="2022-03-31 06:32:11 UTC"/>
        <s v="2022-03-31 06:31:34 UTC"/>
        <s v="2022-03-31 06:30:57 UTC"/>
        <s v="2022-03-31 06:30:54 UTC"/>
        <s v="2022-03-31 06:30:42 UTC"/>
        <s v="2022-03-31 06:30:01 UTC"/>
        <s v="2022-03-31 06:28:45 UTC"/>
        <s v="2022-03-31 06:28:36 UTC"/>
        <s v="2022-03-31 06:27:51 UTC"/>
        <s v="2022-03-31 06:27:19 UTC"/>
        <s v="2022-03-31 06:26:47 UTC"/>
        <s v="2022-03-31 06:26:14 UTC"/>
        <s v="2022-03-31 06:25:39 UTC"/>
        <s v="2022-03-31 06:25:06 UTC"/>
        <s v="2022-03-31 06:24:28 UTC"/>
        <s v="2022-03-31 06:23:55 UTC"/>
        <s v="2022-03-31 06:23:21 UTC"/>
        <s v="2022-03-31 06:22:41 UTC"/>
        <s v="2022-03-31 06:22:00 UTC"/>
        <s v="2022-03-31 06:21:18 UTC"/>
        <s v="2022-03-31 06:20:44 UTC"/>
        <s v="2022-03-31 06:20:11 UTC"/>
        <s v="2022-03-31 06:19:34 UTC"/>
        <s v="2022-03-31 06:19:00 UTC"/>
        <s v="2022-03-31 06:18:28 UTC"/>
        <s v="2022-03-31 06:17:54 UTC"/>
        <s v="2022-03-31 06:17:13 UTC"/>
        <s v="2022-03-31 06:16:38 UTC"/>
        <s v="2022-03-31 06:15:51 UTC"/>
        <s v="2022-03-31 06:15:17 UTC"/>
        <s v="2022-03-31 06:14:45 UTC"/>
        <s v="2022-03-31 06:14:05 UTC"/>
        <s v="2022-03-31 06:13:10 UTC"/>
        <s v="2022-03-31 06:12:23 UTC"/>
        <s v="2022-03-31 06:08:44 UTC"/>
        <s v="2022-03-31 06:08:07 UTC"/>
        <s v="2022-03-31 06:06:16 UTC"/>
        <s v="2022-03-31 06:03:57 UTC"/>
        <s v="2022-03-31 05:57:54 UTC"/>
        <s v="2022-03-31 05:56:52 UTC"/>
        <s v="2022-03-31 05:56:51 UTC"/>
        <s v="2022-03-31 05:48:11 UTC"/>
        <s v="2022-03-31 05:25:57 UTC"/>
        <s v="2022-03-31 05:21:37 UTC"/>
        <s v="2022-03-31 05:14:12 UTC"/>
        <s v="2022-03-31 05:14:11 UTC"/>
        <s v="2022-03-31 05:13:26 UTC"/>
        <s v="2022-03-31 05:13:25 UTC"/>
        <s v="2022-03-31 05:12:08 UTC"/>
        <s v="2022-03-31 05:11:41 UTC"/>
        <s v="2022-03-31 05:11:40 UTC"/>
        <s v="2022-03-31 05:09:08 UTC"/>
        <s v="2022-03-31 05:04:11 UTC"/>
        <s v="2022-03-31 04:48:40 UTC"/>
        <s v="2022-03-31 04:47:17 UTC"/>
        <s v="2022-03-31 04:47:15 UTC"/>
        <s v="2022-03-31 04:44:12 UTC"/>
        <s v="2022-03-31 04:43:36 UTC"/>
        <s v="2022-03-31 04:43:06 UTC"/>
        <s v="2022-03-31 04:42:58 UTC"/>
        <s v="2022-03-31 04:42:33 UTC"/>
        <s v="2022-03-31 04:42:03 UTC"/>
        <s v="2022-03-31 04:41:59 UTC"/>
        <s v="2022-03-31 04:41:31 UTC"/>
        <s v="2022-03-31 04:41:15 UTC"/>
        <s v="2022-03-31 04:40:58 UTC"/>
        <s v="2022-03-31 04:40:28 UTC"/>
        <s v="2022-03-31 04:39:56 UTC"/>
        <s v="2022-03-31 04:39:18 UTC"/>
        <s v="2022-03-31 04:38:59 UTC"/>
        <s v="2022-03-31 04:38:45 UTC"/>
        <s v="2022-03-31 04:38:15 UTC"/>
        <s v="2022-03-31 04:38:11 UTC"/>
        <s v="2022-03-31 04:37:44 UTC"/>
        <s v="2022-03-31 04:37:39 UTC"/>
        <s v="2022-03-31 04:37:11 UTC"/>
        <s v="2022-03-31 04:36:40 UTC"/>
        <s v="2022-03-31 04:36:07 UTC"/>
        <s v="2022-03-31 04:35:32 UTC"/>
        <s v="2022-03-31 04:34:59 UTC"/>
        <s v="2022-03-31 04:34:15 UTC"/>
        <s v="2022-03-31 04:34:10 UTC"/>
        <s v="2022-03-31 04:33:43 UTC"/>
        <s v="2022-03-31 04:33:19 UTC"/>
        <s v="2022-03-31 04:33:01 UTC"/>
        <s v="2022-03-31 04:32:29 UTC"/>
        <s v="2022-03-31 04:31:45 UTC"/>
        <s v="2022-03-31 04:31:03 UTC"/>
        <s v="2022-03-31 04:30:30 UTC"/>
        <s v="2022-03-31 04:29:53 UTC"/>
        <s v="2022-03-31 04:29:14 UTC"/>
        <s v="2022-03-31 04:28:44 UTC"/>
        <s v="2022-03-31 04:28:14 UTC"/>
        <s v="2022-03-31 04:27:44 UTC"/>
        <s v="2022-03-31 04:27:14 UTC"/>
        <s v="2022-03-31 04:26:44 UTC"/>
        <s v="2022-03-31 04:26:14 UTC"/>
        <s v="2022-03-31 04:25:44 UTC"/>
        <s v="2022-03-31 04:25:14 UTC"/>
        <s v="2022-03-31 04:24:44 UTC"/>
        <s v="2022-03-31 04:24:14 UTC"/>
        <s v="2022-03-31 04:23:43 UTC"/>
        <s v="2022-03-31 04:22:59 UTC"/>
        <s v="2022-03-31 04:22:28 UTC"/>
        <s v="2022-03-31 04:21:44 UTC"/>
        <s v="2022-03-31 04:21:02 UTC"/>
        <s v="2022-03-31 04:20:32 UTC"/>
        <s v="2022-03-31 04:19:59 UTC"/>
        <s v="2022-03-31 04:19:25 UTC"/>
        <s v="2022-03-31 04:18:53 UTC"/>
        <s v="2022-03-31 04:18:15 UTC"/>
        <s v="2022-03-31 04:17:43 UTC"/>
        <s v="2022-03-31 04:16:54 UTC"/>
        <s v="2022-03-31 04:16:51 UTC"/>
        <s v="2022-03-31 04:16:19 UTC"/>
        <s v="2022-03-31 04:15:49 UTC"/>
        <s v="2022-03-31 04:15:19 UTC"/>
        <s v="2022-03-31 04:14:49 UTC"/>
        <s v="2022-03-31 04:14:19 UTC"/>
        <s v="2022-03-31 04:13:49 UTC"/>
        <s v="2022-03-31 04:13:19 UTC"/>
        <s v="2022-03-31 04:12:49 UTC"/>
        <s v="2022-03-31 04:12:35 UTC"/>
        <s v="2022-03-31 04:12:17 UTC"/>
        <s v="2022-03-31 04:11:47 UTC"/>
        <s v="2022-03-31 04:11:34 UTC"/>
        <s v="2022-03-31 04:11:16 UTC"/>
        <s v="2022-03-31 04:10:58 UTC"/>
        <s v="2022-03-31 04:10:43 UTC"/>
        <s v="2022-03-31 04:10:19 UTC"/>
        <s v="2022-03-31 04:10:04 UTC"/>
        <s v="2022-03-31 04:09:34 UTC"/>
        <s v="2022-03-31 04:09:02 UTC"/>
        <s v="2022-03-31 04:08:50 UTC"/>
        <s v="2022-03-31 04:08:46 UTC"/>
        <s v="2022-03-31 04:08:40 UTC"/>
        <s v="2022-03-31 04:08:28 UTC"/>
        <s v="2022-03-31 04:07:40 UTC"/>
        <s v="2022-03-31 04:00:47 UTC"/>
        <s v="2022-03-31 03:58:31 UTC"/>
        <s v="2022-03-31 03:50:43 UTC"/>
        <s v="2022-03-31 03:50:42 UTC"/>
        <s v="2022-03-31 03:48:52 UTC"/>
        <s v="2022-03-31 03:48:09 UTC"/>
        <s v="2022-03-31 03:47:36 UTC"/>
        <s v="2022-03-31 03:40:52 UTC"/>
        <s v="2022-03-31 03:36:13 UTC"/>
        <s v="2022-03-31 03:08:12 UTC"/>
        <s v="2022-03-31 03:06:10 UTC"/>
        <s v="2022-03-31 03:01:37 UTC"/>
        <s v="2022-03-31 03:00:53 UTC"/>
        <s v="2022-03-31 03:00:19 UTC"/>
        <s v="2022-03-31 02:59:32 UTC"/>
        <s v="2022-03-31 02:59:14 UTC"/>
        <s v="2022-03-31 02:58:59 UTC"/>
        <s v="2022-03-31 02:58:29 UTC"/>
        <s v="2022-03-31 02:58:14 UTC"/>
        <s v="2022-03-31 02:57:55 UTC"/>
        <s v="2022-03-31 02:57:29 UTC"/>
        <s v="2022-03-31 02:57:09 UTC"/>
        <s v="2022-03-31 02:56:52 UTC"/>
        <s v="2022-03-31 02:56:35 UTC"/>
        <s v="2022-03-31 02:56:19 UTC"/>
        <s v="2022-03-31 02:55:49 UTC"/>
        <s v="2022-03-31 02:55:45 UTC"/>
        <s v="2022-03-31 02:54:59 UTC"/>
        <s v="2022-03-31 02:54:22 UTC"/>
        <s v="2022-03-31 02:54:12 UTC"/>
        <s v="2022-03-31 02:53:45 UTC"/>
        <s v="2022-03-31 02:53:39 UTC"/>
        <s v="2022-03-31 02:53:07 UTC"/>
        <s v="2022-03-31 02:52:29 UTC"/>
        <s v="2022-03-31 02:51:58 UTC"/>
        <s v="2022-03-31 02:47:19 UTC"/>
        <s v="2022-03-31 02:46:31 UTC"/>
        <s v="2022-03-31 02:45:31 UTC"/>
        <s v="2022-03-31 02:43:50 UTC"/>
        <s v="2022-03-31 02:42:42 UTC"/>
        <s v="2022-03-31 02:42:11 UTC"/>
        <s v="2022-03-31 02:41:33 UTC"/>
        <s v="2022-03-31 02:38:33 UTC"/>
        <s v="2022-03-31 02:37:55 UTC"/>
        <s v="2022-03-31 02:35:53 UTC"/>
        <s v="2022-03-31 02:34:33 UTC"/>
        <s v="2022-03-31 02:33:59 UTC"/>
        <s v="2022-03-31 02:33:10 UTC"/>
        <s v="2022-03-31 02:31:29 UTC"/>
        <s v="2022-03-31 02:29:58 UTC"/>
        <s v="2022-03-31 02:29:55 UTC"/>
        <s v="2022-03-31 02:29:01 UTC"/>
        <s v="2022-03-31 02:27:59 UTC"/>
        <s v="2022-03-31 02:27:25 UTC"/>
        <s v="2022-03-31 02:26:49 UTC"/>
        <s v="2022-03-31 02:26:48 UTC"/>
        <s v="2022-03-31 01:35:46 UTC"/>
        <s v="2022-03-31 00:45:26 UTC"/>
        <s v="2022-03-31 00:31:36 UTC"/>
        <s v="2022-03-30 23:44:59 UTC"/>
        <s v="2022-03-30 23:02:32 UTC"/>
        <s v="2022-03-30 19:22:20 UTC"/>
        <s v="2022-03-30 19:21:47 UTC"/>
        <s v="2022-03-30 19:21:00 UTC"/>
        <s v="2022-03-30 19:20:49 UTC"/>
        <s v="2022-03-30 18:39:01 UTC"/>
        <s v="2022-03-30 17:33:42 UTC"/>
        <s v="2022-03-30 16:49:58 UTC"/>
        <s v="2022-03-30 16:49:42 UTC"/>
        <s v="2022-03-30 16:47:23 UTC"/>
        <s v="2022-03-30 16:47:20 UTC"/>
        <s v="2022-03-30 16:47:19 UTC"/>
        <s v="2022-03-30 16:47:18 UTC"/>
        <s v="2022-03-30 16:47:17 UTC"/>
        <s v="2022-03-30 16:47:15 UTC"/>
        <s v="2022-03-30 16:47:10 UTC"/>
        <s v="2022-03-30 16:47:09 UTC"/>
        <s v="2022-03-30 16:47:08 UTC"/>
        <s v="2022-03-30 16:47:06 UTC"/>
        <s v="2022-03-30 16:47:00 UTC"/>
        <s v="2022-03-30 16:20:48 UTC"/>
        <s v="2022-03-30 16:06:53 UTC"/>
        <s v="2022-03-30 15:36:27 UTC"/>
        <s v="2022-03-30 15:22:58 UTC"/>
        <s v="2022-03-30 15:02:45 UTC"/>
        <s v="2022-03-30 14:34:53 UTC"/>
        <s v="2022-03-30 14:31:39 UTC"/>
        <s v="2022-03-30 14:30:56 UTC"/>
        <s v="2022-03-30 14:20:53 UTC"/>
        <s v="2022-03-30 10:44:21 UTC"/>
        <s v="2022-03-30 10:21:19 UTC"/>
        <s v="2022-03-30 10:19:30 UTC"/>
        <s v="2022-03-30 07:22:08 UTC"/>
        <s v="2022-03-30 07:20:22 UTC"/>
        <s v="2022-03-30 03:54:28 UTC"/>
        <s v="2022-03-30 03:50:02 UTC"/>
        <s v="2022-03-30 03:17:28 UTC"/>
        <s v="2022-03-30 01:29:41 UTC"/>
        <s v="2022-03-29 18:13:45 UTC"/>
        <s v="2022-03-29 16:56:56 UTC"/>
        <s v="2022-03-29 16:33:50 UTC"/>
        <s v="2022-03-29 16:33:27 UTC"/>
        <s v="2022-03-29 16:30:49 UTC"/>
        <s v="2022-03-29 16:28:39 UTC"/>
        <s v="2022-03-29 16:24:31 UTC"/>
        <s v="2022-03-29 12:00:36 UTC"/>
        <s v="2022-03-29 11:52:28 UTC"/>
        <s v="2022-03-29 07:45:40 UTC"/>
        <s v="2022-03-29 04:58:26 UTC"/>
        <s v="2022-03-29 04:35:29 UTC"/>
        <s v="2022-03-29 03:46:49 UTC"/>
        <s v="2022-03-29 00:57:29 UTC"/>
        <s v="2022-03-28 13:40:05 UTC"/>
        <s v="2022-03-28 12:47:44 UTC"/>
        <s v="2022-03-28 12:20:15 UTC"/>
        <s v="2022-03-28 09:48:46 UTC"/>
        <s v="2022-03-28 09:44:46 UTC"/>
        <s v="2022-03-28 08:41:43 UTC"/>
        <s v="2022-03-28 08:13:22 UTC"/>
        <s v="2022-03-28 07:59:15 UTC"/>
        <s v="2022-03-28 07:56:26 UTC"/>
        <s v="2022-03-28 07:25:46 UTC"/>
        <s v="2022-03-28 07:22:18 UTC"/>
        <s v="2022-03-28 07:18:24 UTC"/>
        <s v="2022-03-28 06:05:57 UTC"/>
        <s v="2022-03-28 06:00:31 UTC"/>
        <s v="2022-03-28 06:00:21 UTC"/>
        <s v="2022-03-28 04:09:30 UTC"/>
        <s v="2022-03-28 04:09:29 UTC"/>
        <s v="2022-03-28 04:04:09 UTC"/>
        <s v="2022-03-28 02:14:20 UTC"/>
        <s v="2022-03-27 20:32:04 UTC"/>
        <s v="2022-03-27 20:31:20 UTC"/>
        <s v="2022-03-27 17:24:57 UTC"/>
        <s v="2022-03-27 17:07:25 UTC"/>
        <s v="2022-03-27 16:05:23 UTC"/>
        <s v="2022-03-27 15:29:48 UTC"/>
        <s v="2022-03-27 12:55:10 UTC"/>
        <s v="2022-03-27 12:19:58 UTC"/>
        <s v="2022-03-27 12:19:19 UTC"/>
        <s v="2022-03-27 12:18:14 UTC"/>
        <s v="2022-03-27 08:48:48 UTC"/>
        <s v="2022-03-27 08:44:31 UTC"/>
        <s v="2022-03-27 07:10:35 UTC"/>
        <s v="2022-03-27 06:18:43 UTC"/>
        <s v="2022-03-27 05:50:52 UTC"/>
        <s v="2022-03-27 05:44:06 UTC"/>
        <s v="2022-03-27 05:32:38 UTC"/>
        <s v="2022-03-27 05:29:18 UTC"/>
        <s v="2022-03-27 04:29:30 UTC"/>
        <s v="2022-03-27 04:23:09 UTC"/>
        <s v="2022-03-27 03:55:00 UTC"/>
        <s v="2022-03-27 03:30:45 UTC"/>
        <s v="2022-03-27 02:41:03 UTC"/>
        <s v="2022-03-27 02:32:54 UTC"/>
        <s v="2022-03-27 02:14:52 UTC"/>
        <s v="2022-03-26 21:20:43 UTC"/>
        <s v="2022-03-26 12:06:38 UTC"/>
        <s v="2022-03-26 12:04:36 UTC"/>
        <s v="2022-03-26 11:52:46 UTC"/>
        <s v="2022-03-26 11:38:05 UTC"/>
        <s v="2022-03-26 11:36:26 UTC"/>
        <s v="2022-03-26 10:29:51 UTC"/>
        <s v="2022-03-26 09:07:11 UTC"/>
        <s v="2022-03-26 08:44:58 UTC"/>
        <s v="2022-03-26 07:43:59 UTC"/>
        <s v="2022-03-26 07:41:40 UTC"/>
        <s v="2022-03-26 07:38:49 UTC"/>
        <s v="2022-03-26 06:39:08 UTC"/>
        <s v="2022-03-26 05:44:30 UTC"/>
        <s v="2022-03-26 05:34:33 UTC"/>
        <s v="2022-03-26 05:00:54 UTC"/>
        <s v="2022-03-26 04:55:49 UTC"/>
        <s v="2022-03-26 04:39:22 UTC"/>
        <s v="2022-03-26 04:27:35 UTC"/>
        <s v="2022-03-26 03:42:22 UTC"/>
        <s v="2022-03-26 03:42:20 UTC"/>
        <s v="2022-03-26 03:42:18 UTC"/>
        <s v="2022-03-26 03:28:21 UTC"/>
        <s v="2022-03-26 03:26:18 UTC"/>
        <s v="2022-03-26 01:58:20 UTC"/>
        <s v="2022-03-26 01:57:36 UTC"/>
        <s v="2022-03-26 01:34:36 UTC"/>
        <s v="2022-03-26 01:15:59 UTC"/>
        <s v="2022-03-26 00:24:50 UTC"/>
        <s v="2022-03-25 22:24:28 UTC"/>
        <s v="2022-03-25 20:17:37 UTC"/>
        <s v="2022-03-25 19:15:24 UTC"/>
        <s v="2022-03-25 19:14:56 UTC"/>
        <s v="2022-03-25 19:12:11 UTC"/>
        <s v="2022-03-25 18:59:51 UTC"/>
        <s v="2022-03-25 18:34:22 UTC"/>
        <s v="2022-03-25 18:31:48 UTC"/>
        <s v="2022-03-25 17:52:48 UTC"/>
        <s v="2022-03-25 17:20:23 UTC"/>
        <s v="2022-03-25 17:17:36 UTC"/>
        <s v="2022-03-25 16:09:48 UTC"/>
        <s v="2022-03-25 15:02:49 UTC"/>
        <s v="2022-03-25 14:55:30 UTC"/>
        <s v="2022-03-25 14:47:34 UTC"/>
        <s v="2022-03-25 14:42:08 UTC"/>
        <s v="2022-03-25 14:34:29 UTC"/>
        <s v="2022-03-25 14:28:58 UTC"/>
        <s v="2022-03-25 14:28:56 UTC"/>
        <s v="2022-03-25 14:27:06 UTC"/>
        <s v="2022-03-25 14:21:01 UTC"/>
        <s v="2022-03-25 13:40:56 UTC"/>
        <s v="2022-03-25 13:21:24 UTC"/>
        <s v="2022-03-25 13:09:41 UTC"/>
        <s v="2022-03-25 12:55:10 UTC"/>
        <s v="2022-03-25 12:47:54 UTC"/>
        <s v="2022-03-25 12:45:31 UTC"/>
        <s v="2022-03-25 12:39:39 UTC"/>
        <s v="2022-03-25 12:39:00 UTC"/>
        <s v="2022-03-25 11:52:46 UTC"/>
        <s v="2022-03-25 11:45:16 UTC"/>
        <s v="2022-03-25 11:39:35 UTC"/>
        <s v="2022-03-25 11:38:05 UTC"/>
        <s v="2022-03-25 11:25:51 UTC"/>
        <s v="2022-03-25 11:10:10 UTC"/>
        <s v="2022-03-25 10:56:28 UTC"/>
        <s v="2022-03-25 10:51:48 UTC"/>
        <s v="2022-03-25 10:50:42 UTC"/>
        <s v="2022-03-25 10:49:33 UTC"/>
        <s v="2022-03-25 10:48:07 UTC"/>
        <s v="2022-03-25 10:04:02 UTC"/>
        <s v="2022-03-25 09:54:48 UTC"/>
        <s v="2022-03-25 09:29:27 UTC"/>
        <s v="2022-03-25 09:18:57 UTC"/>
        <s v="2022-03-25 09:05:42 UTC"/>
        <s v="2022-03-25 08:57:41 UTC"/>
        <s v="2022-03-25 08:36:52 UTC"/>
        <s v="2022-03-25 08:35:19 UTC"/>
        <s v="2022-03-25 08:34:37 UTC"/>
        <s v="2022-03-25 08:26:37 UTC"/>
        <s v="2022-03-25 08:22:03 UTC"/>
        <s v="2022-03-25 08:05:21 UTC"/>
        <s v="2022-03-25 08:04:57 UTC"/>
        <s v="2022-03-25 08:04:49 UTC"/>
        <s v="2022-03-25 08:03:57 UTC"/>
        <s v="2022-03-25 08:03:49 UTC"/>
        <s v="2022-03-25 08:03:38 UTC"/>
        <s v="2022-03-25 08:03:19 UTC"/>
        <s v="2022-03-25 07:10:32 UTC"/>
        <s v="2022-03-25 07:10:13 UTC"/>
        <s v="2022-03-25 07:01:34 UTC"/>
        <s v="2022-03-25 06:45:05 UTC"/>
        <s v="2022-03-25 06:38:39 UTC"/>
        <s v="2022-03-25 06:36:45 UTC"/>
        <s v="2022-03-25 06:30:18 UTC"/>
        <s v="2022-03-25 06:19:07 UTC"/>
        <s v="2022-03-25 06:12:08 UTC"/>
        <s v="2022-03-25 06:10:09 UTC"/>
        <s v="2022-03-25 06:05:11 UTC"/>
        <s v="2022-03-25 05:55:08 UTC"/>
        <s v="2022-03-25 05:45:02 UTC"/>
        <s v="2022-03-25 05:41:22 UTC"/>
        <s v="2022-03-25 05:22:05 UTC"/>
        <s v="2022-03-25 05:09:13 UTC"/>
        <s v="2022-03-25 05:03:10 UTC"/>
        <s v="2022-03-25 04:37:55 UTC"/>
        <s v="2022-03-25 04:37:05 UTC"/>
        <s v="2022-03-25 04:29:24 UTC"/>
        <s v="2022-03-25 04:26:31 UTC"/>
        <s v="2022-03-25 04:20:18 UTC"/>
        <s v="2022-03-25 04:11:20 UTC"/>
        <s v="2022-03-25 03:56:52 UTC"/>
        <s v="2022-03-25 03:38:14 UTC"/>
        <s v="2022-03-25 03:03:56 UTC"/>
        <s v="2022-03-25 02:51:15 UTC"/>
        <s v="2022-03-25 02:50:35 UTC"/>
        <s v="2022-03-25 02:31:15 UTC"/>
        <s v="2022-03-25 02:29:31 UTC"/>
        <s v="2022-03-25 02:17:25 UTC"/>
        <s v="2022-03-25 01:27:14 UTC"/>
        <s v="2022-03-24 22:44:19 UTC"/>
        <s v="2022-03-24 22:43:54 UTC"/>
        <s v="2022-03-24 21:37:28 UTC"/>
        <s v="2022-03-24 21:33:57 UTC"/>
        <s v="2022-03-24 20:28:47 UTC"/>
        <s v="2022-03-24 19:23:21 UTC"/>
        <s v="2022-03-24 19:13:21 UTC"/>
        <s v="2022-03-24 19:07:47 UTC"/>
        <s v="2022-03-24 18:51:21 UTC"/>
        <s v="2022-03-24 18:41:34 UTC"/>
        <s v="2022-03-24 17:54:14 UTC"/>
        <s v="2022-03-24 17:41:09 UTC"/>
        <s v="2022-03-24 17:30:33 UTC"/>
        <s v="2022-03-24 17:19:15 UTC"/>
        <s v="2022-03-24 17:18:48 UTC"/>
        <s v="2022-03-24 17:18:47 UTC"/>
        <s v="2022-03-24 16:58:40 UTC"/>
        <s v="2022-03-24 16:54:43 UTC"/>
        <s v="2022-03-24 16:53:35 UTC"/>
        <s v="2022-03-24 16:39:57 UTC"/>
        <s v="2022-03-24 16:26:16 UTC"/>
        <s v="2022-03-24 16:23:46 UTC"/>
        <s v="2022-03-24 16:17:30 UTC"/>
        <s v="2022-03-24 16:14:46 UTC"/>
        <s v="2022-03-24 16:12:40 UTC"/>
        <s v="2022-03-24 16:04:19 UTC"/>
        <s v="2022-03-24 16:01:23 UTC"/>
        <s v="2022-03-24 16:00:55 UTC"/>
        <s v="2022-03-24 15:31:27 UTC"/>
        <s v="2022-03-24 15:31:19 UTC"/>
        <s v="2022-03-24 15:13:54 UTC"/>
        <s v="2022-03-24 14:39:01 UTC"/>
        <s v="2022-03-24 14:38:48 UTC"/>
        <s v="2022-03-24 14:28:20 UTC"/>
        <s v="2022-03-24 14:27:58 UTC"/>
        <s v="2022-03-24 14:27:22 UTC"/>
        <s v="2022-03-24 14:23:52 UTC"/>
        <s v="2022-03-24 14:20:26 UTC"/>
        <s v="2022-03-24 14:03:29 UTC"/>
        <s v="2022-03-24 14:02:08 UTC"/>
        <s v="2022-03-24 13:57:35 UTC"/>
        <s v="2022-03-24 13:55:23 UTC"/>
        <s v="2022-03-24 13:47:39 UTC"/>
        <s v="2022-03-24 13:46:49 UTC"/>
        <s v="2022-03-24 12:47:26 UTC"/>
        <s v="2022-03-24 12:31:11 UTC"/>
        <s v="2022-03-24 12:16:41 UTC"/>
        <s v="2022-03-24 12:10:26 UTC"/>
        <s v="2022-03-24 11:57:58 UTC"/>
        <s v="2022-03-24 11:49:23 UTC"/>
        <s v="2022-03-24 11:41:21 UTC"/>
        <s v="2022-03-24 11:39:52 UTC"/>
        <s v="2022-03-24 11:34:57 UTC"/>
        <s v="2022-03-24 11:24:32 UTC"/>
        <s v="2022-03-24 11:22:16 UTC"/>
        <s v="2022-03-24 11:21:24 UTC"/>
        <s v="2022-03-24 11:18:30 UTC"/>
        <s v="2022-03-24 11:11:12 UTC"/>
        <s v="2022-03-24 11:00:47 UTC"/>
        <s v="2022-03-24 10:54:59 UTC"/>
        <s v="2022-03-24 10:46:42 UTC"/>
        <s v="2022-03-24 10:31:12 UTC"/>
        <s v="2022-03-24 10:30:09 UTC"/>
        <s v="2022-03-24 10:27:25 UTC"/>
        <s v="2022-03-24 10:25:04 UTC"/>
        <s v="2022-03-24 10:21:10 UTC"/>
        <s v="2022-03-24 10:17:41 UTC"/>
        <s v="2022-03-24 10:16:58 UTC"/>
        <s v="2022-03-24 10:15:42 UTC"/>
        <s v="2022-03-24 10:13:44 UTC"/>
        <s v="2022-03-24 10:01:49 UTC"/>
        <s v="2022-03-24 09:52:46 UTC"/>
        <s v="2022-03-24 09:52:17 UTC"/>
        <s v="2022-03-24 09:08:33 UTC"/>
        <s v="2022-03-24 08:28:12 UTC"/>
        <s v="2022-03-24 08:25:27 UTC"/>
        <s v="2022-03-24 08:20:17 UTC"/>
        <s v="2022-03-24 08:16:50 UTC"/>
        <s v="2022-03-24 08:16:25 UTC"/>
        <s v="2022-03-24 08:11:53 UTC"/>
        <s v="2022-03-24 08:07:48 UTC"/>
        <s v="2022-03-24 07:17:26 UTC"/>
        <s v="2022-03-24 06:35:49 UTC"/>
        <s v="2022-03-24 06:12:02 UTC"/>
        <s v="2022-03-24 06:07:17 UTC"/>
        <s v="2022-03-24 06:05:55 UTC"/>
        <s v="2022-03-24 06:05:17 UTC"/>
        <s v="2022-03-24 05:46:25 UTC"/>
        <s v="2022-03-24 05:35:48 UTC"/>
        <s v="2022-03-24 05:26:49 UTC"/>
        <s v="2022-03-24 04:52:22 UTC"/>
        <s v="2022-03-24 04:49:01 UTC"/>
        <s v="2022-03-24 04:42:15 UTC"/>
        <s v="2022-03-24 04:40:07 UTC"/>
        <s v="2022-03-24 04:29:48 UTC"/>
        <s v="2022-03-24 03:05:10 UTC"/>
        <s v="2022-03-24 02:56:35 UTC"/>
        <s v="2022-03-24 02:54:35 UTC"/>
        <s v="2022-03-24 02:50:14 UTC"/>
        <s v="2022-03-24 02:50:01 UTC"/>
        <s v="2022-03-24 01:18:35 UTC"/>
        <s v="2022-03-24 00:26:18 UTC"/>
        <s v="2022-03-23 23:06:02 UTC"/>
        <s v="2022-03-23 22:35:44 UTC"/>
        <s v="2022-03-23 22:05:37 UTC"/>
        <s v="2022-03-23 19:15:12 UTC"/>
        <s v="2022-03-23 19:14:46 UTC"/>
        <s v="2022-03-23 19:12:29 UTC"/>
        <s v="2022-03-23 19:09:35 UTC"/>
        <s v="2022-03-23 19:09:30 UTC"/>
        <s v="2022-03-23 19:03:32 UTC"/>
        <s v="2022-03-23 18:34:03 UTC"/>
        <s v="2022-03-23 17:14:46 UTC"/>
        <s v="2022-03-23 17:12:32 UTC"/>
        <s v="2022-03-23 16:23:37 UTC"/>
        <s v="2022-03-23 15:19:42 UTC"/>
        <s v="2022-03-23 14:59:31 UTC"/>
        <s v="2022-03-23 14:56:33 UTC"/>
        <s v="2022-03-23 14:49:54 UTC"/>
        <s v="2022-03-23 14:08:51 UTC"/>
        <s v="2022-03-23 14:07:23 UTC"/>
        <s v="2022-03-23 13:57:07 UTC"/>
        <s v="2022-03-23 13:51:03 UTC"/>
        <s v="2022-03-23 13:50:25 UTC"/>
        <s v="2022-03-23 13:21:54 UTC"/>
        <s v="2022-03-23 13:21:11 UTC"/>
        <s v="2022-03-23 13:11:38 UTC"/>
        <s v="2022-03-23 12:56:53 UTC"/>
        <s v="2022-03-23 12:46:28 UTC"/>
        <s v="2022-03-23 12:40:21 UTC"/>
        <s v="2022-03-23 12:21:44 UTC"/>
        <s v="2022-03-23 12:10:35 UTC"/>
        <s v="2022-03-23 11:55:24 UTC"/>
        <s v="2022-03-23 11:31:06 UTC"/>
        <s v="2022-03-23 11:30:29 UTC"/>
        <s v="2022-03-23 11:01:17 UTC"/>
        <s v="2022-03-23 10:52:38 UTC"/>
        <s v="2022-03-23 10:46:25 UTC"/>
        <s v="2022-03-23 10:42:34 UTC"/>
        <s v="2022-03-23 10:05:41 UTC"/>
        <s v="2022-03-23 09:58:26 UTC"/>
        <s v="2022-03-23 09:32:15 UTC"/>
        <s v="2022-03-23 09:27:28 UTC"/>
        <s v="2022-03-23 08:50:43 UTC"/>
        <s v="2022-03-23 08:47:29 UTC"/>
        <s v="2022-03-23 08:45:25 UTC"/>
        <s v="2022-03-23 08:40:37 UTC"/>
        <s v="2022-03-23 08:38:11 UTC"/>
        <s v="2022-03-23 08:36:31 UTC"/>
        <s v="2022-03-23 08:35:03 UTC"/>
        <s v="2022-03-23 08:00:48 UTC"/>
        <s v="2022-03-23 07:50:08 UTC"/>
        <s v="2022-03-23 07:47:42 UTC"/>
        <s v="2022-03-23 07:43:32 UTC"/>
        <s v="2022-03-23 07:25:54 UTC"/>
        <s v="2022-03-23 07:09:53 UTC"/>
        <s v="2022-03-23 07:02:55 UTC"/>
        <s v="2022-03-23 07:00:50 UTC"/>
        <s v="2022-03-23 06:59:47 UTC"/>
        <s v="2022-03-23 06:48:35 UTC"/>
        <s v="2022-03-23 06:42:21 UTC"/>
        <s v="2022-03-23 06:36:47 UTC"/>
        <s v="2022-03-23 06:08:47 UTC"/>
        <s v="2022-03-23 06:06:14 UTC"/>
        <s v="2022-03-23 05:43:39 UTC"/>
        <s v="2022-03-23 04:53:44 UTC"/>
        <s v="2022-03-23 04:53:37 UTC"/>
        <s v="2022-03-23 04:53:35 UTC"/>
        <s v="2022-03-23 04:53:34 UTC"/>
        <s v="2022-03-23 04:48:00 UTC"/>
        <s v="2022-03-23 04:15:19 UTC"/>
        <s v="2022-03-23 04:12:11 UTC"/>
        <s v="2022-03-23 03:34:35 UTC"/>
        <s v="2022-03-23 03:22:23 UTC"/>
        <s v="2022-03-23 03:20:05 UTC"/>
        <s v="2022-03-23 03:14:11 UTC"/>
        <s v="2022-03-23 02:55:39 UTC"/>
        <s v="2022-03-23 02:41:17 UTC"/>
        <s v="2022-03-23 02:33:28 UTC"/>
        <s v="2022-03-23 02:08:02 UTC"/>
        <s v="2022-03-23 00:22:51 UTC"/>
        <s v="2022-03-23 00:21:07 UTC"/>
        <s v="2022-03-22 23:49:57 UTC"/>
        <s v="2022-03-22 21:07:10 UTC"/>
        <s v="2022-03-22 20:46:35 UTC"/>
        <s v="2022-03-22 20:41:17 UTC"/>
        <s v="2022-03-22 20:39:21 UTC"/>
        <s v="2022-03-22 20:39:11 UTC"/>
        <s v="2022-03-22 19:11:21 UTC"/>
        <s v="2022-03-22 18:53:46 UTC"/>
        <s v="2022-03-22 18:53:18 UTC"/>
        <s v="2022-03-22 18:46:56 UTC"/>
        <s v="2022-03-22 18:37:31 UTC"/>
        <s v="2022-03-22 18:08:27 UTC"/>
        <s v="2022-03-22 18:08:26 UTC"/>
        <s v="2022-03-22 18:03:51 UTC"/>
        <s v="2022-03-22 17:47:12 UTC"/>
        <s v="2022-03-22 17:32:24 UTC"/>
        <s v="2022-03-22 17:26:14 UTC"/>
        <s v="2022-03-22 17:19:53 UTC"/>
        <s v="2022-03-22 17:05:51 UTC"/>
        <s v="2022-03-22 16:48:41 UTC"/>
        <s v="2022-03-22 16:20:38 UTC"/>
        <s v="2022-03-22 16:11:54 UTC"/>
        <s v="2022-03-22 15:59:51 UTC"/>
        <s v="2022-03-22 15:53:16 UTC"/>
        <s v="2022-03-22 15:42:22 UTC"/>
        <s v="2022-03-22 15:39:39 UTC"/>
        <s v="2022-03-22 14:36:26 UTC"/>
        <s v="2022-03-22 14:35:17 UTC"/>
        <s v="2022-03-22 13:42:37 UTC"/>
        <s v="2022-03-22 13:40:33 UTC"/>
        <s v="2022-03-22 13:31:58 UTC"/>
        <s v="2022-03-22 12:46:49 UTC"/>
        <s v="2022-03-22 12:09:16 UTC"/>
        <s v="2022-03-22 12:05:11 UTC"/>
        <s v="2022-03-22 11:52:26 UTC"/>
        <s v="2022-03-22 11:01:28 UTC"/>
        <s v="2022-03-22 10:34:32 UTC"/>
        <s v="2022-03-22 10:21:17 UTC"/>
        <s v="2022-03-22 10:16:33 UTC"/>
        <s v="2022-03-22 09:45:31 UTC"/>
        <s v="2022-03-22 09:45:18 UTC"/>
        <s v="2022-03-22 09:42:45 UTC"/>
        <s v="2022-03-22 09:16:53 UTC"/>
        <s v="2022-03-22 09:11:41 UTC"/>
        <s v="2022-03-22 08:23:04 UTC"/>
        <s v="2022-03-22 08:21:59 UTC"/>
        <s v="2022-03-22 08:00:17 UTC"/>
        <s v="2022-03-22 07:54:51 UTC"/>
        <s v="2022-03-22 07:51:22 UTC"/>
        <s v="2022-03-22 07:05:24 UTC"/>
        <s v="2022-03-22 06:49:27 UTC"/>
        <s v="2022-03-22 06:11:18 UTC"/>
        <s v="2022-03-22 06:04:43 UTC"/>
        <s v="2022-03-22 06:03:57 UTC"/>
        <s v="2022-03-22 05:37:00 UTC"/>
        <s v="2022-03-22 05:18:03 UTC"/>
        <s v="2022-03-22 05:03:48 UTC"/>
        <s v="2022-03-22 04:24:08 UTC"/>
        <s v="2022-03-22 03:46:57 UTC"/>
        <s v="2022-03-22 03:36:38 UTC"/>
        <s v="2022-03-22 03:27:31 UTC"/>
        <s v="2022-03-22 03:07:03 UTC"/>
        <s v="2022-03-22 02:46:46 UTC"/>
        <s v="2022-03-22 02:43:02 UTC"/>
        <s v="2022-03-22 02:36:30 UTC"/>
        <s v="2022-03-22 02:24:34 UTC"/>
        <s v="2022-03-22 01:22:38 UTC"/>
        <s v="2022-03-22 00:49:00 UTC"/>
        <s v="2022-03-21 23:08:38 UTC"/>
        <s v="2022-03-21 23:06:09 UTC"/>
        <s v="2022-03-21 21:24:28 UTC"/>
        <s v="2022-03-21 21:02:05 UTC"/>
        <s v="2022-03-21 20:53:46 UTC"/>
        <s v="2022-03-21 20:50:41 UTC"/>
        <s v="2022-03-21 20:36:23 UTC"/>
        <s v="2022-03-21 19:47:51 UTC"/>
        <s v="2022-03-21 19:40:09 UTC"/>
        <s v="2022-03-21 19:35:20 UTC"/>
        <s v="2022-03-21 19:34:23 UTC"/>
        <s v="2022-03-21 19:18:37 UTC"/>
        <s v="2022-03-21 19:18:25 UTC"/>
        <s v="2022-03-21 18:22:53 UTC"/>
        <s v="2022-03-21 18:08:23 UTC"/>
        <s v="2022-03-21 17:50:13 UTC"/>
        <s v="2022-03-21 17:44:57 UTC"/>
        <s v="2022-03-21 17:44:33 UTC"/>
        <s v="2022-03-21 17:43:50 UTC"/>
        <s v="2022-03-21 16:24:25 UTC"/>
        <s v="2022-03-21 16:20:41 UTC"/>
        <s v="2022-03-21 16:20:34 UTC"/>
        <s v="2022-03-21 16:19:45 UTC"/>
        <s v="2022-03-21 16:19:11 UTC"/>
        <s v="2022-03-21 16:16:46 UTC"/>
        <s v="2022-03-21 16:15:38 UTC"/>
        <s v="2022-03-21 16:10:07 UTC"/>
        <s v="2022-03-21 16:07:38 UTC"/>
        <s v="2022-03-21 16:07:14 UTC"/>
        <s v="2022-03-21 16:07:01 UTC"/>
        <s v="2022-03-21 15:56:39 UTC"/>
        <s v="2022-03-21 15:54:46 UTC"/>
        <s v="2022-03-21 15:50:54 UTC"/>
        <s v="2022-03-21 15:44:52 UTC"/>
        <s v="2022-03-21 15:35:13 UTC"/>
        <s v="2022-03-21 15:35:08 UTC"/>
        <s v="2022-03-21 15:30:59 UTC"/>
        <s v="2022-03-21 15:29:18 UTC"/>
        <s v="2022-03-21 15:24:49 UTC"/>
        <s v="2022-03-21 15:11:46 UTC"/>
        <s v="2022-03-21 14:40:28 UTC"/>
        <s v="2022-03-21 14:23:41 UTC"/>
        <s v="2022-03-21 14:13:09 UTC"/>
        <s v="2022-03-21 14:12:10 UTC"/>
        <s v="2022-03-21 14:04:57 UTC"/>
        <s v="2022-03-21 14:02:39 UTC"/>
        <s v="2022-03-21 14:01:58 UTC"/>
        <s v="2022-03-21 13:56:59 UTC"/>
        <s v="2022-03-21 13:51:34 UTC"/>
        <s v="2022-03-21 13:51:16 UTC"/>
        <s v="2022-03-21 13:22:02 UTC"/>
        <s v="2022-03-21 12:35:54 UTC"/>
        <s v="2022-03-21 12:34:03 UTC"/>
        <s v="2022-03-21 12:32:15 UTC"/>
        <s v="2022-03-21 12:11:51 UTC"/>
        <s v="2022-03-21 12:11:06 UTC"/>
        <s v="2022-03-21 12:10:37 UTC"/>
        <s v="2022-03-21 12:10:14 UTC"/>
        <s v="2022-03-21 12:04:38 UTC"/>
        <s v="2022-03-21 11:57:02 UTC"/>
        <s v="2022-03-21 09:20:48 UTC"/>
        <s v="2022-03-21 08:05:16 UTC"/>
        <s v="2022-03-21 07:59:31 UTC"/>
        <s v="2022-03-21 07:16:30 UTC"/>
        <s v="2022-03-21 07:16:14 UTC"/>
        <s v="2022-03-21 06:58:41 UTC"/>
        <s v="2022-03-21 06:40:13 UTC"/>
        <s v="2022-03-21 06:39:41 UTC"/>
        <s v="2022-03-21 06:22:50 UTC"/>
        <s v="2022-03-21 06:22:36 UTC"/>
        <s v="2022-03-21 06:09:52 UTC"/>
        <s v="2022-03-21 06:08:44 UTC"/>
        <s v="2022-03-21 06:01:33 UTC"/>
        <s v="2022-03-21 05:58:32 UTC"/>
        <s v="2022-03-21 05:29:44 UTC"/>
        <s v="2022-03-21 05:26:55 UTC"/>
        <s v="2022-03-21 04:53:17 UTC"/>
        <s v="2022-03-21 04:48:53 UTC"/>
        <s v="2022-03-21 04:46:45 UTC"/>
        <s v="2022-03-21 04:22:14 UTC"/>
        <s v="2022-03-21 04:11:56 UTC"/>
        <s v="2022-03-21 03:20:35 UTC"/>
        <s v="2022-03-21 03:20:00 UTC"/>
        <s v="2022-03-21 02:37:12 UTC"/>
        <s v="2022-03-21 02:22:34 UTC"/>
        <s v="2022-03-21 02:20:39 UTC"/>
        <s v="2022-03-21 02:15:20 UTC"/>
        <s v="2022-03-21 01:46:02 UTC"/>
        <s v="2022-03-21 01:44:34 UTC"/>
        <s v="2022-03-21 01:37:23 UTC"/>
        <s v="2022-03-21 01:36:29 UTC"/>
        <s v="2022-03-21 01:32:50 UTC"/>
        <s v="2022-03-21 01:30:09 UTC"/>
        <s v="2022-03-21 01:28:40 UTC"/>
        <s v="2022-03-21 00:54:22 UTC"/>
        <s v="2022-03-21 00:45:29 UTC"/>
        <s v="2022-03-20 21:52:44 UTC"/>
        <s v="2022-03-20 21:51:42 UTC"/>
        <s v="2022-03-20 21:40:49 UTC"/>
        <s v="2022-03-20 21:25:19 UTC"/>
        <s v="2022-03-20 21:08:20 UTC"/>
        <s v="2022-03-20 20:39:45 UTC"/>
        <s v="2022-03-20 19:36:57 UTC"/>
        <s v="2022-03-20 19:14:44 UTC"/>
        <s v="2022-03-20 19:04:51 UTC"/>
        <s v="2022-03-20 19:02:15 UTC"/>
        <s v="2022-03-20 18:58:16 UTC"/>
        <s v="2022-03-20 18:03:47 UTC"/>
        <s v="2022-03-20 18:03:37 UTC"/>
        <s v="2022-03-20 17:42:09 UTC"/>
        <s v="2022-03-20 17:07:57 UTC"/>
        <s v="2022-03-20 17:07:16 UTC"/>
        <s v="2022-03-20 16:55:16 UTC"/>
        <s v="2022-03-20 16:14:35 UTC"/>
        <s v="2022-03-20 16:04:40 UTC"/>
        <s v="2022-03-20 15:51:58 UTC"/>
        <s v="2022-03-20 15:47:44 UTC"/>
        <s v="2022-03-20 15:37:58 UTC"/>
        <s v="2022-03-20 15:31:35 UTC"/>
        <s v="2022-03-20 15:25:08 UTC"/>
        <s v="2022-03-20 15:24:30 UTC"/>
        <s v="2022-03-20 15:18:56 UTC"/>
        <s v="2022-03-20 15:18:18 UTC"/>
        <s v="2022-03-20 15:16:03 UTC"/>
        <s v="2022-03-20 15:11:47 UTC"/>
        <s v="2022-03-20 15:03:45 UTC"/>
        <s v="2022-03-20 15:01:56 UTC"/>
        <s v="2022-03-20 14:57:27 UTC"/>
        <s v="2022-03-20 14:53:11 UTC"/>
        <s v="2022-03-20 14:48:31 UTC"/>
        <s v="2022-03-20 14:47:02 UTC"/>
        <s v="2022-03-20 14:42:58 UTC"/>
        <s v="2022-03-20 14:42:23 UTC"/>
        <s v="2022-03-20 14:34:21 UTC"/>
        <s v="2022-03-20 14:33:39 UTC"/>
        <s v="2022-03-20 14:33:31 UTC"/>
        <s v="2022-03-20 14:06:46 UTC"/>
        <s v="2022-03-20 13:44:14 UTC"/>
        <s v="2022-03-20 13:42:54 UTC"/>
        <s v="2022-03-20 12:37:30 UTC"/>
        <s v="2022-03-20 11:50:16 UTC"/>
        <s v="2022-03-20 11:33:47 UTC"/>
        <s v="2022-03-20 11:30:28 UTC"/>
        <s v="2022-03-20 10:23:10 UTC"/>
        <s v="2022-03-20 10:21:42 UTC"/>
        <s v="2022-03-20 09:50:35 UTC"/>
        <s v="2022-03-20 09:45:53 UTC"/>
        <s v="2022-03-20 09:39:42 UTC"/>
        <s v="2022-03-20 09:34:09 UTC"/>
        <s v="2022-03-20 09:33:14 UTC"/>
        <s v="2022-03-20 09:06:13 UTC"/>
        <s v="2022-03-20 09:05:57 UTC"/>
        <s v="2022-03-20 08:38:12 UTC"/>
        <s v="2022-03-20 08:14:22 UTC"/>
        <s v="2022-03-20 07:52:41 UTC"/>
        <s v="2022-03-20 07:03:42 UTC"/>
        <s v="2022-03-20 06:52:16 UTC"/>
        <s v="2022-03-20 06:40:22 UTC"/>
        <s v="2022-03-20 06:09:38 UTC"/>
        <s v="2022-03-20 05:05:28 UTC"/>
        <s v="2022-03-20 04:51:11 UTC"/>
        <s v="2022-03-20 04:32:31 UTC"/>
        <s v="2022-03-20 04:12:33 UTC"/>
        <s v="2022-03-20 03:51:39 UTC"/>
        <s v="2022-03-20 03:36:18 UTC"/>
        <s v="2022-03-20 03:30:15 UTC"/>
        <s v="2022-03-20 03:30:00 UTC"/>
        <s v="2022-03-20 03:16:08 UTC"/>
        <s v="2022-03-20 03:11:40 UTC"/>
        <s v="2022-03-20 02:51:10 UTC"/>
        <s v="2022-03-20 02:32:19 UTC"/>
        <s v="2022-03-20 02:28:52 UTC"/>
        <s v="2022-03-20 02:19:02 UTC"/>
        <s v="2022-03-20 02:17:50 UTC"/>
        <s v="2022-03-20 02:17:23 UTC"/>
        <s v="2022-03-20 01:13:28 UTC"/>
        <s v="2022-03-20 01:10:33 UTC"/>
        <s v="2022-03-20 00:04:07 UTC"/>
        <s v="2022-03-19 22:25:46 UTC"/>
        <s v="2022-03-19 22:20:29 UTC"/>
        <s v="2022-03-19 21:58:19 UTC"/>
        <s v="2022-03-19 21:52:54 UTC"/>
        <s v="2022-03-19 21:52:32 UTC"/>
        <s v="2022-03-19 21:49:23 UTC"/>
        <s v="2022-03-19 21:40:52 UTC"/>
        <s v="2022-03-19 21:30:46 UTC"/>
        <s v="2022-03-19 21:24:18 UTC"/>
        <s v="2022-03-19 21:09:34 UTC"/>
        <s v="2022-03-19 20:01:06 UTC"/>
        <s v="2022-03-19 18:32:37 UTC"/>
        <s v="2022-03-19 17:57:59 UTC"/>
        <s v="2022-03-19 17:51:45 UTC"/>
        <s v="2022-03-19 17:49:12 UTC"/>
        <s v="2022-03-19 17:47:12 UTC"/>
        <s v="2022-03-19 17:38:38 UTC"/>
        <s v="2022-03-19 17:08:56 UTC"/>
        <s v="2022-03-19 16:39:28 UTC"/>
        <s v="2022-03-19 16:21:36 UTC"/>
        <s v="2022-03-19 15:53:32 UTC"/>
        <s v="2022-03-19 15:36:00 UTC"/>
        <s v="2022-03-19 15:35:27 UTC"/>
        <s v="2022-03-19 14:38:18 UTC"/>
        <s v="2022-03-19 14:35:39 UTC"/>
        <s v="2022-03-19 14:16:20 UTC"/>
        <s v="2022-03-19 14:02:03 UTC"/>
        <s v="2022-03-19 13:59:07 UTC"/>
        <s v="2022-03-19 13:04:43 UTC"/>
        <s v="2022-03-19 12:41:45 UTC"/>
        <s v="2022-03-19 12:31:57 UTC"/>
        <s v="2022-03-19 12:23:31 UTC"/>
        <s v="2022-03-19 12:14:36 UTC"/>
        <s v="2022-03-19 12:14:04 UTC"/>
        <s v="2022-03-19 11:42:04 UTC"/>
        <s v="2022-03-19 11:41:51 UTC"/>
        <s v="2022-03-19 11:31:24 UTC"/>
        <s v="2022-03-19 11:16:12 UTC"/>
        <s v="2022-03-19 10:46:10 UTC"/>
        <s v="2022-03-19 10:01:10 UTC"/>
        <s v="2022-03-19 09:55:23 UTC"/>
        <s v="2022-03-19 09:49:48 UTC"/>
        <s v="2022-03-19 09:44:58 UTC"/>
        <s v="2022-03-19 09:44:01 UTC"/>
        <s v="2022-03-19 07:00:32 UTC"/>
        <s v="2022-03-19 06:58:43 UTC"/>
        <s v="2022-03-19 06:46:32 UTC"/>
        <s v="2022-03-19 06:32:51 UTC"/>
        <s v="2022-03-19 06:32:30 UTC"/>
        <s v="2022-03-19 06:25:44 UTC"/>
        <s v="2022-03-19 06:21:08 UTC"/>
        <s v="2022-03-19 05:56:27 UTC"/>
        <s v="2022-03-19 05:19:58 UTC"/>
        <s v="2022-03-19 05:19:50 UTC"/>
        <s v="2022-03-19 05:18:41 UTC"/>
        <s v="2022-03-19 04:36:09 UTC"/>
        <s v="2022-03-19 04:35:36 UTC"/>
        <s v="2022-03-19 04:31:51 UTC"/>
        <s v="2022-03-19 04:09:27 UTC"/>
        <s v="2022-03-19 03:54:54 UTC"/>
        <s v="2022-03-19 03:52:35 UTC"/>
        <s v="2022-03-19 03:51:18 UTC"/>
        <s v="2022-03-19 03:46:38 UTC"/>
        <s v="2022-03-19 03:32:27 UTC"/>
        <s v="2022-03-19 03:00:44 UTC"/>
        <s v="2022-03-19 02:28:54 UTC"/>
        <s v="2022-03-19 02:28:16 UTC"/>
        <s v="2022-03-19 02:26:09 UTC"/>
        <s v="2022-03-19 02:23:59 UTC"/>
        <s v="2022-03-19 02:23:47 UTC"/>
        <s v="2022-03-19 01:57:27 UTC"/>
        <s v="2022-03-18 20:31:44 UTC"/>
        <s v="2022-03-18 20:02:07 UTC"/>
        <s v="2022-03-18 20:00:25 UTC"/>
        <s v="2022-03-18 19:57:02 UTC"/>
        <s v="2022-03-18 19:49:28 UTC"/>
        <s v="2022-03-18 19:48:57 UTC"/>
        <s v="2022-03-18 19:23:38 UTC"/>
        <s v="2022-03-18 19:12:52 UTC"/>
        <s v="2022-03-18 19:04:38 UTC"/>
        <s v="2022-03-18 18:04:09 UTC"/>
        <s v="2022-03-18 17:36:45 UTC"/>
        <s v="2022-03-18 17:36:03 UTC"/>
        <s v="2022-03-18 17:33:04 UTC"/>
        <s v="2022-03-18 17:31:24 UTC"/>
        <s v="2022-03-18 17:27:32 UTC"/>
        <s v="2022-03-18 16:28:38 UTC"/>
        <s v="2022-03-18 16:17:00 UTC"/>
        <s v="2022-03-18 16:16:56 UTC"/>
        <s v="2022-03-18 16:12:29 UTC"/>
        <s v="2022-03-18 16:11:04 UTC"/>
        <s v="2022-03-18 16:04:20 UTC"/>
        <s v="2022-03-18 15:20:25 UTC"/>
        <s v="2022-03-18 15:20:07 UTC"/>
        <s v="2022-03-18 15:16:25 UTC"/>
        <s v="2022-03-18 15:07:37 UTC"/>
        <s v="2022-03-18 15:02:11 UTC"/>
        <s v="2022-03-18 14:54:56 UTC"/>
        <s v="2022-03-18 14:36:21 UTC"/>
        <s v="2022-03-18 14:31:53 UTC"/>
        <s v="2022-03-18 14:25:06 UTC"/>
        <s v="2022-03-18 14:17:20 UTC"/>
        <s v="2022-03-18 12:21:04 UTC"/>
        <s v="2022-03-18 11:06:12 UTC"/>
        <s v="2022-03-18 09:51:08 UTC"/>
        <s v="2022-03-18 09:09:58 UTC"/>
        <s v="2022-03-18 09:08:14 UTC"/>
        <s v="2022-03-18 09:05:06 UTC"/>
        <s v="2022-03-18 09:00:59 UTC"/>
        <s v="2022-03-18 08:55:41 UTC"/>
        <s v="2022-03-18 08:54:37 UTC"/>
        <s v="2022-03-18 08:47:58 UTC"/>
        <s v="2022-03-18 08:38:00 UTC"/>
        <s v="2022-03-18 08:37:10 UTC"/>
        <s v="2022-03-18 08:17:35 UTC"/>
        <s v="2022-03-18 08:07:04 UTC"/>
        <s v="2022-03-18 08:05:14 UTC"/>
        <s v="2022-03-18 07:53:36 UTC"/>
        <s v="2022-03-18 07:30:33 UTC"/>
        <s v="2022-03-18 07:21:41 UTC"/>
        <s v="2022-03-18 07:21:18 UTC"/>
        <s v="2022-03-18 05:38:39 UTC"/>
        <s v="2022-03-18 05:36:04 UTC"/>
        <s v="2022-03-18 05:00:16 UTC"/>
        <s v="2022-03-18 04:59:37 UTC"/>
        <s v="2022-03-18 02:20:04 UTC"/>
        <s v="2022-03-18 02:18:40 UTC"/>
        <s v="2022-03-17 18:49:46 UTC"/>
        <s v="2022-03-17 18:28:33 UTC"/>
        <s v="2022-03-17 18:24:56 UTC"/>
        <s v="2022-03-17 18:04:16 UTC"/>
        <s v="2022-03-17 17:57:20 UTC"/>
        <s v="2022-03-17 17:48:16 UTC"/>
        <s v="2022-03-17 16:22:25 UTC"/>
        <s v="2022-03-17 15:41:56 UTC"/>
        <s v="2022-03-17 15:37:13 UTC"/>
        <s v="2022-03-17 15:36:30 UTC"/>
        <s v="2022-03-17 15:35:09 UTC"/>
        <s v="2022-03-17 15:34:44 UTC"/>
        <s v="2022-03-17 15:32:15 UTC"/>
        <s v="2022-03-17 15:31:03 UTC"/>
        <s v="2022-03-17 15:29:21 UTC"/>
        <s v="2022-03-17 15:23:40 UTC"/>
        <s v="2022-03-17 14:48:08 UTC"/>
        <s v="2022-03-17 14:32:47 UTC"/>
        <s v="2022-03-17 14:30:58 UTC"/>
        <s v="2022-03-17 14:25:19 UTC"/>
        <s v="2022-03-17 14:08:37 UTC"/>
        <s v="2022-03-17 14:05:46 UTC"/>
        <s v="2022-03-17 14:02:02 UTC"/>
        <s v="2022-03-17 14:00:45 UTC"/>
        <s v="2022-03-17 13:30:29 UTC"/>
        <s v="2022-03-17 13:22:18 UTC"/>
        <s v="2022-03-17 13:06:42 UTC"/>
        <s v="2022-03-17 12:52:18 UTC"/>
        <s v="2022-03-17 11:50:15 UTC"/>
        <s v="2022-03-17 11:29:30 UTC"/>
        <s v="2022-03-17 11:05:25 UTC"/>
        <s v="2022-03-17 11:04:49 UTC"/>
        <s v="2022-03-17 10:53:42 UTC"/>
        <s v="2022-03-17 10:42:49 UTC"/>
        <s v="2022-03-17 10:40:43 UTC"/>
        <s v="2022-03-17 10:38:51 UTC"/>
        <s v="2022-03-17 09:51:57 UTC"/>
        <s v="2022-03-17 09:51:46 UTC"/>
        <s v="2022-03-17 09:36:30 UTC"/>
        <s v="2022-03-17 09:32:53 UTC"/>
        <s v="2022-03-17 09:18:34 UTC"/>
        <s v="2022-03-17 09:12:21 UTC"/>
        <s v="2022-03-17 09:10:19 UTC"/>
        <s v="2022-03-17 09:10:03 UTC"/>
        <s v="2022-03-17 09:09:50 UTC"/>
        <s v="2022-03-17 09:09:31 UTC"/>
        <s v="2022-03-17 09:09:21 UTC"/>
        <s v="2022-03-17 08:42:23 UTC"/>
        <s v="2022-03-17 08:34:17 UTC"/>
        <s v="2022-03-17 08:25:23 UTC"/>
        <s v="2022-03-17 08:10:50 UTC"/>
        <s v="2022-03-17 07:34:49 UTC"/>
        <s v="2022-03-17 07:28:02 UTC"/>
        <s v="2022-03-17 07:18:03 UTC"/>
        <s v="2022-03-17 07:11:05 UTC"/>
        <s v="2022-03-17 06:57:22 UTC"/>
        <s v="2022-03-17 06:56:53 UTC"/>
        <s v="2022-03-17 06:53:44 UTC"/>
        <s v="2022-03-17 06:51:57 UTC"/>
        <s v="2022-03-17 06:49:55 UTC"/>
        <s v="2022-03-17 05:41:48 UTC"/>
        <s v="2022-03-17 05:38:54 UTC"/>
        <s v="2022-03-17 05:38:12 UTC"/>
        <s v="2022-03-17 05:22:03 UTC"/>
        <s v="2022-03-17 05:15:20 UTC"/>
        <s v="2022-03-17 05:00:10 UTC"/>
        <s v="2022-03-17 04:59:41 UTC"/>
        <s v="2022-03-17 04:42:50 UTC"/>
        <s v="2022-03-17 04:26:42 UTC"/>
        <s v="2022-03-17 04:23:49 UTC"/>
        <s v="2022-03-17 04:22:39 UTC"/>
        <s v="2022-03-17 04:11:19 UTC"/>
        <s v="2022-03-17 03:30:17 UTC"/>
        <s v="2022-03-17 03:29:41 UTC"/>
        <s v="2022-03-17 02:26:20 UTC"/>
        <s v="2022-03-17 02:16:54 UTC"/>
        <s v="2022-03-17 02:14:48 UTC"/>
        <s v="2022-03-17 02:11:53 UTC"/>
        <s v="2022-03-17 02:11:23 UTC"/>
        <s v="2022-03-17 01:50:53 UTC"/>
        <s v="2022-03-17 01:45:37 UTC"/>
        <s v="2022-03-17 01:35:15 UTC"/>
        <s v="2022-03-17 00:54:54 UTC"/>
        <s v="2022-03-17 00:43:36 UTC"/>
        <s v="2022-03-17 00:14:56 UTC"/>
        <s v="2022-03-17 00:10:33 UTC"/>
        <s v="2022-03-16 20:02:06 UTC"/>
        <s v="2022-03-16 17:27:06 UTC"/>
        <s v="2022-03-16 17:22:23 UTC"/>
        <s v="2022-03-16 17:20:06 UTC"/>
        <s v="2022-03-16 17:19:32 UTC"/>
        <s v="2022-03-16 17:15:27 UTC"/>
        <s v="2022-03-16 17:07:07 UTC"/>
        <s v="2022-03-16 16:22:40 UTC"/>
        <s v="2022-03-16 16:05:54 UTC"/>
        <s v="2022-03-16 15:44:18 UTC"/>
        <s v="2022-03-16 15:02:40 UTC"/>
        <s v="2022-03-16 14:49:04 UTC"/>
        <s v="2022-03-16 14:41:55 UTC"/>
        <s v="2022-03-16 14:41:25 UTC"/>
        <s v="2022-03-16 14:35:48 UTC"/>
        <s v="2022-03-16 14:33:19 UTC"/>
        <s v="2022-03-16 14:27:18 UTC"/>
        <s v="2022-03-16 14:08:10 UTC"/>
        <s v="2022-03-16 14:07:18 UTC"/>
        <s v="2022-03-16 14:04:50 UTC"/>
        <s v="2022-03-16 14:00:49 UTC"/>
        <s v="2022-03-16 13:38:12 UTC"/>
        <s v="2022-03-16 13:37:20 UTC"/>
        <s v="2022-03-16 13:24:20 UTC"/>
        <s v="2022-03-16 13:10:57 UTC"/>
        <s v="2022-03-16 13:06:38 UTC"/>
        <s v="2022-03-16 12:50:33 UTC"/>
        <s v="2022-03-16 12:15:12 UTC"/>
        <s v="2022-03-16 12:11:15 UTC"/>
        <s v="2022-03-16 12:11:13 UTC"/>
        <s v="2022-03-16 12:08:29 UTC"/>
        <s v="2022-03-16 11:44:24 UTC"/>
        <s v="2022-03-16 11:32:20 UTC"/>
        <s v="2022-03-16 11:02:34 UTC"/>
        <s v="2022-03-16 10:42:27 UTC"/>
        <s v="2022-03-16 10:42:25 UTC"/>
        <s v="2022-03-16 10:40:14 UTC"/>
        <s v="2022-03-16 10:40:09 UTC"/>
        <s v="2022-03-16 10:39:19 UTC"/>
        <s v="2022-03-16 10:39:17 UTC"/>
        <s v="2022-03-16 10:37:20 UTC"/>
        <s v="2022-03-16 10:35:00 UTC"/>
        <s v="2022-03-16 10:19:05 UTC"/>
        <s v="2022-03-16 10:19:01 UTC"/>
        <s v="2022-03-16 10:15:39 UTC"/>
        <s v="2022-03-16 10:15:02 UTC"/>
        <s v="2022-03-16 10:10:53 UTC"/>
        <s v="2022-03-16 09:39:02 UTC"/>
        <s v="2022-03-16 09:12:41 UTC"/>
        <s v="2022-03-16 09:12:22 UTC"/>
        <s v="2022-03-16 09:09:53 UTC"/>
        <s v="2022-03-16 09:09:34 UTC"/>
        <s v="2022-03-16 07:44:04 UTC"/>
        <s v="2022-03-16 07:19:36 UTC"/>
        <s v="2022-03-16 07:16:57 UTC"/>
        <s v="2022-03-16 06:17:40 UTC"/>
        <s v="2022-03-16 06:03:25 UTC"/>
        <s v="2022-03-16 05:55:11 UTC"/>
        <s v="2022-03-16 05:35:16 UTC"/>
        <s v="2022-03-16 05:28:55 UTC"/>
        <s v="2022-03-16 05:28:47 UTC"/>
        <s v="2022-03-16 05:28:24 UTC"/>
        <s v="2022-03-16 03:03:17 UTC"/>
        <s v="2022-03-16 02:31:30 UTC"/>
        <s v="2022-03-16 01:44:25 UTC"/>
        <s v="2022-03-15 20:49:41 UTC"/>
        <s v="2022-03-15 20:03:50 UTC"/>
        <s v="2022-03-15 19:55:18 UTC"/>
        <s v="2022-03-15 19:51:52 UTC"/>
        <s v="2022-03-15 19:51:37 UTC"/>
        <s v="2022-03-15 19:50:21 UTC"/>
        <s v="2022-03-15 19:38:24 UTC"/>
        <s v="2022-03-15 19:31:42 UTC"/>
        <s v="2022-03-15 19:27:02 UTC"/>
        <s v="2022-03-15 19:17:42 UTC"/>
        <s v="2022-03-15 19:10:36 UTC"/>
        <s v="2022-03-15 19:09:45 UTC"/>
        <s v="2022-03-15 19:04:41 UTC"/>
        <s v="2022-03-15 17:26:11 UTC"/>
        <s v="2022-03-15 17:20:27 UTC"/>
        <s v="2022-03-15 17:00:01 UTC"/>
        <s v="2022-03-15 16:35:35 UTC"/>
        <s v="2022-03-15 16:15:50 UTC"/>
        <s v="2022-03-15 15:39:56 UTC"/>
        <s v="2022-03-15 15:21:04 UTC"/>
        <s v="2022-03-15 15:05:41 UTC"/>
        <s v="2022-03-15 14:42:31 UTC"/>
        <s v="2022-03-15 14:41:02 UTC"/>
        <s v="2022-03-15 14:34:39 UTC"/>
        <s v="2022-03-15 14:30:27 UTC"/>
        <s v="2022-03-15 13:34:09 UTC"/>
        <s v="2022-03-15 13:32:44 UTC"/>
        <s v="2022-03-15 13:14:42 UTC"/>
        <s v="2022-03-15 13:04:06 UTC"/>
        <s v="2022-03-15 13:03:09 UTC"/>
        <s v="2022-03-15 12:57:33 UTC"/>
        <s v="2022-03-15 11:52:46 UTC"/>
        <s v="2022-03-15 11:34:34 UTC"/>
        <s v="2022-03-15 11:30:05 UTC"/>
        <s v="2022-03-15 11:19:50 UTC"/>
        <s v="2022-03-15 11:15:36 UTC"/>
        <s v="2022-03-15 10:52:43 UTC"/>
        <s v="2022-03-15 10:34:17 UTC"/>
        <s v="2022-03-15 10:30:22 UTC"/>
        <s v="2022-03-15 10:27:57 UTC"/>
        <s v="2022-03-15 10:09:33 UTC"/>
        <s v="2022-03-15 10:06:45 UTC"/>
        <s v="2022-03-15 09:54:17 UTC"/>
        <s v="2022-03-15 09:46:34 UTC"/>
        <s v="2022-03-15 09:35:53 UTC"/>
        <s v="2022-03-15 09:35:38 UTC"/>
        <s v="2022-03-15 09:21:25 UTC"/>
        <s v="2022-03-15 09:04:09 UTC"/>
        <s v="2022-03-15 08:57:15 UTC"/>
        <s v="2022-03-15 08:55:54 UTC"/>
        <s v="2022-03-15 08:49:20 UTC"/>
        <s v="2022-03-15 08:42:50 UTC"/>
        <s v="2022-03-15 08:31:45 UTC"/>
        <s v="2022-03-15 08:02:36 UTC"/>
        <s v="2022-03-15 07:57:37 UTC"/>
        <s v="2022-03-15 07:40:47 UTC"/>
        <s v="2022-03-15 07:35:07 UTC"/>
        <s v="2022-03-15 07:18:13 UTC"/>
        <s v="2022-03-15 06:51:21 UTC"/>
        <s v="2022-03-15 06:46:42 UTC"/>
        <s v="2022-03-15 06:37:05 UTC"/>
        <s v="2022-03-15 06:33:41 UTC"/>
        <s v="2022-03-15 06:28:42 UTC"/>
        <s v="2022-03-15 06:09:42 UTC"/>
        <s v="2022-03-15 06:09:01 UTC"/>
        <s v="2022-03-15 06:05:34 UTC"/>
        <s v="2022-03-15 06:01:47 UTC"/>
        <s v="2022-03-15 05:53:29 UTC"/>
        <s v="2022-03-15 05:52:48 UTC"/>
        <s v="2022-03-15 05:17:12 UTC"/>
        <s v="2022-03-15 05:15:15 UTC"/>
        <s v="2022-03-15 05:06:46 UTC"/>
        <s v="2022-03-15 05:03:49 UTC"/>
        <s v="2022-03-15 05:03:17 UTC"/>
        <s v="2022-03-15 05:01:38 UTC"/>
        <s v="2022-03-15 04:38:31 UTC"/>
        <s v="2022-03-15 04:07:05 UTC"/>
        <s v="2022-03-15 04:06:53 UTC"/>
        <s v="2022-03-15 04:06:39 UTC"/>
        <s v="2022-03-15 04:04:56 UTC"/>
        <s v="2022-03-15 03:50:33 UTC"/>
        <s v="2022-03-15 03:39:39 UTC"/>
        <s v="2022-03-15 02:43:25 UTC"/>
        <s v="2022-03-15 02:13:07 UTC"/>
        <s v="2022-03-15 01:57:08 UTC"/>
        <s v="2022-03-15 01:35:01 UTC"/>
        <s v="2022-03-14 19:39:11 UTC"/>
        <s v="2022-03-14 18:51:32 UTC"/>
        <s v="2022-03-14 18:38:56 UTC"/>
        <s v="2022-03-14 18:37:00 UTC"/>
        <s v="2022-03-14 18:33:42 UTC"/>
        <s v="2022-03-14 18:25:35 UTC"/>
        <s v="2022-03-14 18:06:47 UTC"/>
        <s v="2022-03-14 17:47:14 UTC"/>
        <s v="2022-03-14 17:41:17 UTC"/>
        <s v="2022-03-14 17:14:43 UTC"/>
        <s v="2022-03-14 16:55:18 UTC"/>
        <s v="2022-03-14 15:42:28 UTC"/>
        <s v="2022-03-14 15:26:39 UTC"/>
        <s v="2022-03-14 15:14:58 UTC"/>
        <s v="2022-03-14 14:42:17 UTC"/>
        <s v="2022-03-14 12:35:36 UTC"/>
        <s v="2022-03-14 12:04:42 UTC"/>
        <s v="2022-03-14 12:00:53 UTC"/>
        <s v="2022-03-14 11:59:37 UTC"/>
        <s v="2022-03-14 11:40:03 UTC"/>
        <s v="2022-03-14 11:34:13 UTC"/>
        <s v="2022-03-14 11:27:52 UTC"/>
        <s v="2022-03-14 11:15:36 UTC"/>
        <s v="2022-03-14 11:01:43 UTC"/>
        <s v="2022-03-14 10:20:31 UTC"/>
        <s v="2022-03-14 09:57:46 UTC"/>
        <s v="2022-03-14 09:36:49 UTC"/>
        <s v="2022-03-14 09:19:10 UTC"/>
        <s v="2022-03-14 09:17:39 UTC"/>
        <s v="2022-03-14 09:17:36 UTC"/>
        <s v="2022-03-14 08:51:11 UTC"/>
        <s v="2022-03-14 08:48:59 UTC"/>
        <s v="2022-03-14 08:48:02 UTC"/>
        <s v="2022-03-14 08:41:40 UTC"/>
        <s v="2022-03-14 08:18:57 UTC"/>
        <s v="2022-03-14 08:17:23 UTC"/>
        <s v="2022-03-14 08:12:02 UTC"/>
        <s v="2022-03-14 07:39:38 UTC"/>
        <s v="2022-03-14 07:33:56 UTC"/>
        <s v="2022-03-14 07:03:05 UTC"/>
        <s v="2022-03-14 06:38:05 UTC"/>
        <s v="2022-03-14 06:34:31 UTC"/>
        <s v="2022-03-14 06:34:07 UTC"/>
        <s v="2022-03-14 06:25:55 UTC"/>
        <s v="2022-03-14 06:14:12 UTC"/>
        <s v="2022-03-14 05:43:04 UTC"/>
        <s v="2022-03-14 05:39:29 UTC"/>
        <s v="2022-03-14 05:33:57 UTC"/>
        <s v="2022-03-14 04:32:56 UTC"/>
        <s v="2022-03-14 04:32:47 UTC"/>
        <s v="2022-03-14 04:30:52 UTC"/>
        <s v="2022-03-14 03:31:30 UTC"/>
        <s v="2022-03-14 03:31:19 UTC"/>
        <s v="2022-03-14 03:17:56 UTC"/>
        <s v="2022-03-14 02:20:50 UTC"/>
        <s v="2022-03-14 01:51:03 UTC"/>
        <s v="2022-03-14 01:21:39 UTC"/>
        <s v="2022-03-13 20:33:46 UTC"/>
        <s v="2022-03-13 18:57:47 UTC"/>
        <s v="2022-03-13 17:03:04 UTC"/>
        <s v="2022-03-13 15:52:10 UTC"/>
        <s v="2022-03-13 15:38:58 UTC"/>
        <s v="2022-03-13 15:35:45 UTC"/>
        <s v="2022-03-13 15:16:16 UTC"/>
        <s v="2022-03-13 15:15:30 UTC"/>
        <s v="2022-03-13 14:40:34 UTC"/>
        <s v="2022-03-13 14:29:20 UTC"/>
        <s v="2022-03-13 13:33:50 UTC"/>
        <s v="2022-03-13 13:18:43 UTC"/>
        <s v="2022-03-13 12:40:55 UTC"/>
        <s v="2022-03-13 11:58:09 UTC"/>
        <s v="2022-03-13 10:44:46 UTC"/>
        <s v="2022-03-13 10:37:40 UTC"/>
        <s v="2022-03-13 10:35:44 UTC"/>
        <s v="2022-03-13 10:34:38 UTC"/>
        <s v="2022-03-13 10:23:49 UTC"/>
        <s v="2022-03-13 10:09:10 UTC"/>
        <s v="2022-03-13 09:47:42 UTC"/>
        <s v="2022-03-13 09:39:30 UTC"/>
        <s v="2022-03-13 09:20:52 UTC"/>
        <s v="2022-03-13 09:13:56 UTC"/>
        <s v="2022-03-13 08:54:53 UTC"/>
        <s v="2022-03-13 08:44:08 UTC"/>
        <s v="2022-03-13 08:20:31 UTC"/>
        <s v="2022-03-13 07:25:59 UTC"/>
        <s v="2022-03-13 07:13:48 UTC"/>
        <s v="2022-03-13 07:07:11 UTC"/>
        <s v="2022-03-13 07:03:39 UTC"/>
        <s v="2022-03-13 07:03:36 UTC"/>
        <s v="2022-03-13 06:53:44 UTC"/>
        <s v="2022-03-13 06:49:45 UTC"/>
        <s v="2022-03-13 06:48:38 UTC"/>
        <s v="2022-03-13 06:43:33 UTC"/>
        <s v="2022-03-13 06:32:00 UTC"/>
        <s v="2022-03-13 06:06:55 UTC"/>
        <s v="2022-03-13 06:02:23 UTC"/>
        <s v="2022-03-13 05:28:31 UTC"/>
        <s v="2022-03-13 05:19:56 UTC"/>
        <s v="2022-03-13 05:07:17 UTC"/>
        <s v="2022-03-13 04:44:44 UTC"/>
        <s v="2022-03-13 04:35:20 UTC"/>
        <s v="2022-03-13 02:54:23 UTC"/>
        <s v="2022-03-13 02:38:44 UTC"/>
        <s v="2022-03-13 02:10:32 UTC"/>
        <s v="2022-03-13 02:09:42 UTC"/>
        <s v="2022-03-13 02:01:17 UTC"/>
        <s v="2022-03-13 01:58:42 UTC"/>
        <s v="2022-03-13 01:52:12 UTC"/>
        <s v="2022-03-13 01:40:22 UTC"/>
        <s v="2022-03-12 22:02:36 UTC"/>
        <s v="2022-03-12 21:13:05 UTC"/>
        <s v="2022-03-12 19:15:39 UTC"/>
        <s v="2022-03-12 19:06:22 UTC"/>
        <s v="2022-03-12 19:01:09 UTC"/>
        <s v="2022-03-12 17:59:41 UTC"/>
        <s v="2022-03-12 17:47:27 UTC"/>
        <s v="2022-03-12 17:27:38 UTC"/>
        <s v="2022-03-12 17:26:20 UTC"/>
        <s v="2022-03-12 17:09:16 UTC"/>
        <s v="2022-03-12 17:09:11 UTC"/>
        <s v="2022-03-12 16:59:43 UTC"/>
        <s v="2022-03-12 16:56:57 UTC"/>
        <s v="2022-03-12 16:44:09 UTC"/>
        <s v="2022-03-12 16:29:47 UTC"/>
        <s v="2022-03-12 16:22:41 UTC"/>
        <s v="2022-03-12 16:09:02 UTC"/>
        <s v="2022-03-12 15:56:09 UTC"/>
        <s v="2022-03-12 15:52:20 UTC"/>
        <s v="2022-03-12 15:51:35 UTC"/>
        <s v="2022-03-12 15:40:51 UTC"/>
        <s v="2022-03-12 15:39:27 UTC"/>
        <s v="2022-03-12 15:39:15 UTC"/>
        <s v="2022-03-12 15:37:50 UTC"/>
        <s v="2022-03-12 15:37:28 UTC"/>
        <s v="2022-03-12 15:36:53 UTC"/>
        <s v="2022-03-12 15:36:36 UTC"/>
        <s v="2022-03-12 15:35:34 UTC"/>
        <s v="2022-03-12 15:13:10 UTC"/>
        <s v="2022-03-12 15:04:05 UTC"/>
        <s v="2022-03-12 15:03:24 UTC"/>
        <s v="2022-03-12 14:56:57 UTC"/>
        <s v="2022-03-12 14:42:56 UTC"/>
        <s v="2022-03-12 13:56:33 UTC"/>
        <s v="2022-03-12 13:47:55 UTC"/>
        <s v="2022-03-12 13:41:18 UTC"/>
        <s v="2022-03-12 13:29:53 UTC"/>
        <s v="2022-03-12 13:18:13 UTC"/>
        <s v="2022-03-12 12:48:41 UTC"/>
        <s v="2022-03-12 12:19:13 UTC"/>
        <s v="2022-03-12 12:15:44 UTC"/>
        <s v="2022-03-12 12:15:30 UTC"/>
        <s v="2022-03-12 12:13:56 UTC"/>
        <s v="2022-03-12 12:11:14 UTC"/>
        <s v="2022-03-12 12:10:48 UTC"/>
        <s v="2022-03-12 12:10:08 UTC"/>
        <s v="2022-03-12 11:39:57 UTC"/>
        <s v="2022-03-12 11:10:07 UTC"/>
        <s v="2022-03-12 10:47:15 UTC"/>
        <s v="2022-03-12 10:27:31 UTC"/>
        <s v="2022-03-12 10:11:20 UTC"/>
        <s v="2022-03-12 10:06:03 UTC"/>
        <s v="2022-03-12 08:10:40 UTC"/>
        <s v="2022-03-12 07:23:55 UTC"/>
        <s v="2022-03-12 07:19:13 UTC"/>
        <s v="2022-03-12 07:15:47 UTC"/>
        <s v="2022-03-12 07:13:22 UTC"/>
        <s v="2022-03-12 07:10:59 UTC"/>
        <s v="2022-03-12 06:55:45 UTC"/>
        <s v="2022-03-12 06:51:21 UTC"/>
        <s v="2022-03-12 06:50:59 UTC"/>
        <s v="2022-03-12 06:50:27 UTC"/>
        <s v="2022-03-12 05:27:02 UTC"/>
        <s v="2022-03-12 05:14:06 UTC"/>
        <s v="2022-03-12 05:13:11 UTC"/>
        <s v="2022-03-12 05:01:51 UTC"/>
        <s v="2022-03-12 04:49:40 UTC"/>
        <s v="2022-03-12 04:45:38 UTC"/>
        <s v="2022-03-12 04:44:33 UTC"/>
        <s v="2022-03-12 04:39:32 UTC"/>
        <s v="2022-03-12 04:18:51 UTC"/>
        <s v="2022-03-12 02:24:27 UTC"/>
        <s v="2022-03-12 02:20:34 UTC"/>
        <s v="2022-03-12 02:20:12 UTC"/>
        <s v="2022-03-12 01:55:18 UTC"/>
        <s v="2022-03-12 01:54:22 UTC"/>
        <s v="2022-03-12 01:33:27 UTC"/>
        <s v="2022-03-11 17:33:44 UTC"/>
        <s v="2022-03-11 17:10:34 UTC"/>
        <s v="2022-03-11 17:03:44 UTC"/>
        <s v="2022-03-11 16:52:08 UTC"/>
        <s v="2022-03-11 16:43:57 UTC"/>
        <s v="2022-03-11 16:41:23 UTC"/>
        <s v="2022-03-11 16:40:38 UTC"/>
        <s v="2022-03-11 16:30:16 UTC"/>
        <s v="2022-03-11 16:26:31 UTC"/>
        <s v="2022-03-11 16:20:56 UTC"/>
        <s v="2022-03-11 16:18:51 UTC"/>
        <s v="2022-03-11 16:05:36 UTC"/>
        <s v="2022-03-11 15:59:56 UTC"/>
        <s v="2022-03-11 15:59:02 UTC"/>
        <s v="2022-03-11 15:58:16 UTC"/>
        <s v="2022-03-11 15:51:41 UTC"/>
        <s v="2022-03-11 15:40:43 UTC"/>
        <s v="2022-03-11 15:29:02 UTC"/>
        <s v="2022-03-11 15:25:46 UTC"/>
        <s v="2022-03-11 15:08:49 UTC"/>
        <s v="2022-03-11 15:02:23 UTC"/>
        <s v="2022-03-11 14:57:22 UTC"/>
        <s v="2022-03-11 14:43:54 UTC"/>
        <s v="2022-03-11 14:42:18 UTC"/>
        <s v="2022-03-11 14:38:26 UTC"/>
        <s v="2022-03-11 14:38:14 UTC"/>
        <s v="2022-03-11 14:37:56 UTC"/>
        <s v="2022-03-11 14:36:50 UTC"/>
        <s v="2022-03-11 14:36:32 UTC"/>
        <s v="2022-03-11 14:30:47 UTC"/>
        <s v="2022-03-11 14:29:22 UTC"/>
        <s v="2022-03-11 14:28:42 UTC"/>
        <s v="2022-03-11 14:27:57 UTC"/>
        <s v="2022-03-11 14:12:48 UTC"/>
        <s v="2022-03-11 13:34:12 UTC"/>
        <s v="2022-03-11 13:17:41 UTC"/>
        <s v="2022-03-11 13:00:42 UTC"/>
        <s v="2022-03-11 12:12:34 UTC"/>
        <s v="2022-03-11 12:09:56 UTC"/>
        <s v="2022-03-11 11:20:07 UTC"/>
        <s v="2022-03-11 11:02:25 UTC"/>
        <s v="2022-03-11 10:38:47 UTC"/>
        <s v="2022-03-11 10:17:08 UTC"/>
        <s v="2022-03-11 10:15:16 UTC"/>
        <s v="2022-03-11 09:30:48 UTC"/>
        <s v="2022-03-11 09:20:57 UTC"/>
        <s v="2022-03-11 09:09:54 UTC"/>
        <s v="2022-03-11 09:02:27 UTC"/>
        <s v="2022-03-11 08:47:58 UTC"/>
        <s v="2022-03-11 08:47:17 UTC"/>
        <s v="2022-03-11 08:45:07 UTC"/>
        <s v="2022-03-11 08:43:40 UTC"/>
        <s v="2022-03-11 08:36:54 UTC"/>
        <s v="2022-03-11 08:34:09 UTC"/>
        <s v="2022-03-11 08:32:49 UTC"/>
        <s v="2022-03-11 08:28:36 UTC"/>
        <s v="2022-03-11 08:28:21 UTC"/>
        <s v="2022-03-11 08:27:41 UTC"/>
        <s v="2022-03-11 08:02:10 UTC"/>
        <s v="2022-03-11 07:56:56 UTC"/>
        <s v="2022-03-11 07:55:38 UTC"/>
        <s v="2022-03-11 07:54:52 UTC"/>
        <s v="2022-03-11 07:49:07 UTC"/>
        <s v="2022-03-11 07:48:44 UTC"/>
        <s v="2022-03-11 07:47:57 UTC"/>
        <s v="2022-03-11 07:45:25 UTC"/>
        <s v="2022-03-11 07:45:01 UTC"/>
        <s v="2022-03-11 07:43:53 UTC"/>
        <s v="2022-03-11 07:32:51 UTC"/>
        <s v="2022-03-11 07:27:44 UTC"/>
        <s v="2022-03-11 07:27:17 UTC"/>
        <s v="2022-03-11 07:17:47 UTC"/>
        <s v="2022-03-11 07:10:57 UTC"/>
        <s v="2022-03-11 07:10:37 UTC"/>
        <s v="2022-03-11 07:08:20 UTC"/>
        <s v="2022-03-11 06:42:41 UTC"/>
        <s v="2022-03-11 06:17:20 UTC"/>
        <s v="2022-03-11 06:15:03 UTC"/>
        <s v="2022-03-11 06:11:16 UTC"/>
        <s v="2022-03-11 05:57:59 UTC"/>
        <s v="2022-03-11 05:23:40 UTC"/>
        <s v="2022-03-11 05:21:27 UTC"/>
        <s v="2022-03-11 05:21:06 UTC"/>
        <s v="2022-03-11 05:20:12 UTC"/>
        <s v="2022-03-11 05:20:02 UTC"/>
        <s v="2022-03-11 04:13:19 UTC"/>
        <s v="2022-03-11 03:58:18 UTC"/>
        <s v="2022-03-11 03:08:21 UTC"/>
        <s v="2022-03-11 01:47:09 UTC"/>
        <s v="2022-03-11 01:45:38 UTC"/>
        <s v="2022-03-11 01:45:18 UTC"/>
        <s v="2022-03-11 01:09:17 UTC"/>
        <s v="2022-03-11 01:04:03 UTC"/>
        <s v="2022-03-11 01:00:08 UTC"/>
        <s v="2022-03-11 00:59:04 UTC"/>
        <s v="2022-03-10 21:03:21 UTC"/>
        <s v="2022-03-10 19:58:59 UTC"/>
        <s v="2022-03-10 18:42:40 UTC"/>
        <s v="2022-03-10 18:35:05 UTC"/>
        <s v="2022-03-10 18:14:24 UTC"/>
        <s v="2022-03-10 18:10:29 UTC"/>
        <s v="2022-03-10 17:56:42 UTC"/>
        <s v="2022-03-10 17:44:12 UTC"/>
        <s v="2022-03-10 17:22:18 UTC"/>
        <s v="2022-03-10 17:20:16 UTC"/>
        <s v="2022-03-10 16:26:30 UTC"/>
        <s v="2022-03-10 16:19:25 UTC"/>
        <s v="2022-03-10 16:16:11 UTC"/>
        <s v="2022-03-10 16:16:09 UTC"/>
        <s v="2022-03-10 15:54:29 UTC"/>
        <s v="2022-03-10 15:48:30 UTC"/>
        <s v="2022-03-10 15:48:02 UTC"/>
        <s v="2022-03-10 15:46:13 UTC"/>
        <s v="2022-03-10 15:22:16 UTC"/>
        <s v="2022-03-10 15:05:25 UTC"/>
        <s v="2022-03-10 14:28:13 UTC"/>
        <s v="2022-03-10 13:40:50 UTC"/>
        <s v="2022-03-10 13:39:23 UTC"/>
        <s v="2022-03-10 13:35:47 UTC"/>
        <s v="2022-03-10 13:20:46 UTC"/>
        <s v="2022-03-10 12:55:50 UTC"/>
        <s v="2022-03-10 12:36:21 UTC"/>
        <s v="2022-03-10 12:23:01 UTC"/>
        <s v="2022-03-10 12:22:34 UTC"/>
        <s v="2022-03-10 12:21:13 UTC"/>
        <s v="2022-03-10 12:21:04 UTC"/>
        <s v="2022-03-10 12:07:32 UTC"/>
        <s v="2022-03-10 12:04:13 UTC"/>
        <s v="2022-03-10 11:56:12 UTC"/>
        <s v="2022-03-10 11:40:39 UTC"/>
        <s v="2022-03-10 11:32:02 UTC"/>
        <s v="2022-03-10 11:31:51 UTC"/>
        <s v="2022-03-10 11:30:54 UTC"/>
        <s v="2022-03-10 11:25:54 UTC"/>
        <s v="2022-03-10 11:22:32 UTC"/>
        <s v="2022-03-10 11:21:11 UTC"/>
        <s v="2022-03-10 10:53:30 UTC"/>
        <s v="2022-03-10 10:48:25 UTC"/>
        <s v="2022-03-10 10:45:40 UTC"/>
        <s v="2022-03-10 10:44:41 UTC"/>
        <s v="2022-03-10 10:32:53 UTC"/>
        <s v="2022-03-10 10:10:08 UTC"/>
        <s v="2022-03-10 09:23:47 UTC"/>
        <s v="2022-03-10 09:16:37 UTC"/>
        <s v="2022-03-10 09:14:48 UTC"/>
        <s v="2022-03-10 08:54:51 UTC"/>
        <s v="2022-03-10 08:23:18 UTC"/>
        <s v="2022-03-10 08:06:57 UTC"/>
        <s v="2022-03-10 07:32:34 UTC"/>
        <s v="2022-03-10 07:25:10 UTC"/>
        <s v="2022-03-10 07:20:07 UTC"/>
        <s v="2022-03-10 07:19:33 UTC"/>
        <s v="2022-03-10 07:13:10 UTC"/>
        <s v="2022-03-10 07:01:01 UTC"/>
        <s v="2022-03-10 07:00:39 UTC"/>
        <s v="2022-03-10 06:52:30 UTC"/>
        <s v="2022-03-10 06:40:38 UTC"/>
        <s v="2022-03-10 06:40:15 UTC"/>
        <s v="2022-03-10 06:32:58 UTC"/>
        <s v="2022-03-10 06:00:39 UTC"/>
        <s v="2022-03-10 05:58:07 UTC"/>
        <s v="2022-03-10 05:11:55 UTC"/>
        <s v="2022-03-10 04:53:02 UTC"/>
        <s v="2022-03-10 04:49:47 UTC"/>
        <s v="2022-03-10 04:16:07 UTC"/>
        <s v="2022-03-10 03:56:25 UTC"/>
        <s v="2022-03-10 03:46:51 UTC"/>
        <s v="2022-03-10 03:33:39 UTC"/>
        <s v="2022-03-10 03:28:38 UTC"/>
        <s v="2022-03-10 03:14:08 UTC"/>
        <s v="2022-03-10 02:08:44 UTC"/>
        <s v="2022-03-09 22:14:52 UTC"/>
        <s v="2022-03-09 22:08:45 UTC"/>
        <s v="2022-03-09 21:46:40 UTC"/>
        <s v="2022-03-09 20:25:02 UTC"/>
        <s v="2022-03-09 18:37:59 UTC"/>
        <s v="2022-03-09 18:26:36 UTC"/>
        <s v="2022-03-09 17:42:34 UTC"/>
        <s v="2022-03-09 17:31:24 UTC"/>
        <s v="2022-03-09 17:07:58 UTC"/>
        <s v="2022-03-09 16:12:53 UTC"/>
        <s v="2022-03-09 16:09:42 UTC"/>
        <s v="2022-03-09 16:08:31 UTC"/>
        <s v="2022-03-09 16:06:12 UTC"/>
        <s v="2022-03-09 16:06:09 UTC"/>
        <s v="2022-03-09 16:04:29 UTC"/>
        <s v="2022-03-09 16:02:09 UTC"/>
        <s v="2022-03-09 16:00:41 UTC"/>
        <s v="2022-03-09 16:00:19 UTC"/>
        <s v="2022-03-09 15:51:08 UTC"/>
        <s v="2022-03-09 15:49:30 UTC"/>
        <s v="2022-03-09 15:47:20 UTC"/>
        <s v="2022-03-09 15:39:18 UTC"/>
        <s v="2022-03-09 14:42:52 UTC"/>
        <s v="2022-03-09 14:01:47 UTC"/>
        <s v="2022-03-09 13:57:16 UTC"/>
        <s v="2022-03-09 13:28:54 UTC"/>
        <s v="2022-03-09 13:10:51 UTC"/>
        <s v="2022-03-09 13:04:20 UTC"/>
        <s v="2022-03-09 13:02:37 UTC"/>
        <s v="2022-03-09 12:36:17 UTC"/>
        <s v="2022-03-09 12:32:10 UTC"/>
        <s v="2022-03-09 12:21:47 UTC"/>
        <s v="2022-03-09 12:06:17 UTC"/>
        <s v="2022-03-09 12:01:47 UTC"/>
        <s v="2022-03-09 11:53:58 UTC"/>
        <s v="2022-03-09 11:03:24 UTC"/>
        <s v="2022-03-09 11:03:20 UTC"/>
        <s v="2022-03-09 10:24:39 UTC"/>
        <s v="2022-03-09 10:20:13 UTC"/>
        <s v="2022-03-09 09:58:11 UTC"/>
        <s v="2022-03-09 09:03:08 UTC"/>
        <s v="2022-03-09 09:00:39 UTC"/>
        <s v="2022-03-09 08:52:31 UTC"/>
        <s v="2022-03-09 08:48:36 UTC"/>
        <s v="2022-03-09 08:44:32 UTC"/>
        <s v="2022-03-09 08:43:46 UTC"/>
        <s v="2022-03-09 08:26:57 UTC"/>
        <s v="2022-03-09 08:19:09 UTC"/>
        <s v="2022-03-09 07:36:42 UTC"/>
        <s v="2022-03-09 07:31:57 UTC"/>
        <s v="2022-03-09 07:23:59 UTC"/>
        <s v="2022-03-09 07:15:09 UTC"/>
        <s v="2022-03-09 06:25:55 UTC"/>
        <s v="2022-03-09 05:52:19 UTC"/>
        <s v="2022-03-09 05:24:33 UTC"/>
        <s v="2022-03-09 05:22:42 UTC"/>
        <s v="2022-03-09 05:10:19 UTC"/>
        <s v="2022-03-09 04:22:50 UTC"/>
        <s v="2022-03-09 04:17:56 UTC"/>
        <s v="2022-03-09 03:53:59 UTC"/>
        <s v="2022-03-09 02:21:19 UTC"/>
        <s v="2022-03-08 20:29:01 UTC"/>
        <s v="2022-03-08 20:25:44 UTC"/>
        <s v="2022-03-08 19:21:46 UTC"/>
        <s v="2022-03-08 18:23:19 UTC"/>
        <s v="2022-03-08 18:20:45 UTC"/>
        <s v="2022-03-08 18:17:03 UTC"/>
        <s v="2022-03-08 18:08:39 UTC"/>
        <s v="2022-03-08 18:02:52 UTC"/>
        <s v="2022-03-08 18:00:40 UTC"/>
        <s v="2022-03-08 17:32:54 UTC"/>
        <s v="2022-03-08 17:11:54 UTC"/>
        <s v="2022-03-08 16:45:27 UTC"/>
        <s v="2022-03-08 15:59:37 UTC"/>
        <s v="2022-03-08 15:55:52 UTC"/>
        <s v="2022-03-08 15:54:12 UTC"/>
        <s v="2022-03-08 15:37:09 UTC"/>
        <s v="2022-03-08 15:36:53 UTC"/>
        <s v="2022-03-08 15:16:47 UTC"/>
        <s v="2022-03-08 15:15:35 UTC"/>
        <s v="2022-03-08 15:13:40 UTC"/>
        <s v="2022-03-08 15:10:06 UTC"/>
        <s v="2022-03-08 14:24:26 UTC"/>
        <s v="2022-03-08 14:09:53 UTC"/>
        <s v="2022-03-08 14:09:30 UTC"/>
        <s v="2022-03-08 13:19:56 UTC"/>
        <s v="2022-03-08 12:43:54 UTC"/>
        <s v="2022-03-08 12:11:26 UTC"/>
        <s v="2022-03-08 12:08:54 UTC"/>
        <s v="2022-03-08 12:02:25 UTC"/>
        <s v="2022-03-08 11:54:13 UTC"/>
        <s v="2022-03-08 11:49:02 UTC"/>
        <s v="2022-03-08 11:47:51 UTC"/>
        <s v="2022-03-08 11:47:45 UTC"/>
        <s v="2022-03-08 11:47:33 UTC"/>
        <s v="2022-03-08 11:46:59 UTC"/>
        <s v="2022-03-08 11:44:20 UTC"/>
        <s v="2022-03-08 11:43:40 UTC"/>
        <s v="2022-03-08 11:42:17 UTC"/>
        <s v="2022-03-08 11:34:11 UTC"/>
        <s v="2022-03-08 11:25:06 UTC"/>
        <s v="2022-03-08 11:24:44 UTC"/>
        <s v="2022-03-08 11:21:59 UTC"/>
        <s v="2022-03-08 10:29:11 UTC"/>
        <s v="2022-03-08 10:13:13 UTC"/>
        <s v="2022-03-08 09:58:26 UTC"/>
        <s v="2022-03-08 09:48:55 UTC"/>
        <s v="2022-03-08 09:35:14 UTC"/>
        <s v="2022-03-08 08:14:18 UTC"/>
        <s v="2022-03-08 07:01:03 UTC"/>
        <s v="2022-03-08 06:17:21 UTC"/>
        <s v="2022-03-08 06:16:03 UTC"/>
        <s v="2022-03-08 06:08:26 UTC"/>
        <s v="2022-03-08 06:07:56 UTC"/>
        <s v="2022-03-08 04:46:00 UTC"/>
        <s v="2022-03-08 03:27:47 UTC"/>
        <s v="2022-03-08 03:26:55 UTC"/>
        <s v="2022-03-08 03:20:25 UTC"/>
        <s v="2022-03-08 02:44:12 UTC"/>
        <s v="2022-03-08 02:03:20 UTC"/>
        <s v="2022-03-08 02:03:09 UTC"/>
        <s v="2022-03-08 01:15:57 UTC"/>
        <s v="2022-03-07 23:25:35 UTC"/>
        <s v="2022-03-07 17:46:36 UTC"/>
        <s v="2022-03-07 16:57:31 UTC"/>
        <s v="2022-03-07 15:11:28 UTC"/>
        <s v="2022-03-07 14:03:44 UTC"/>
        <s v="2022-03-07 13:15:09 UTC"/>
        <s v="2022-03-07 12:44:20 UTC"/>
        <s v="2022-03-07 12:35:02 UTC"/>
        <s v="2022-03-07 12:10:45 UTC"/>
        <s v="2022-03-07 11:47:02 UTC"/>
        <s v="2022-03-07 09:25:36 UTC"/>
        <s v="2022-03-07 09:11:28 UTC"/>
        <s v="2022-03-07 07:45:01 UTC"/>
        <s v="2022-03-07 07:27:35 UTC"/>
        <s v="2022-03-07 07:08:58 UTC"/>
        <s v="2022-03-07 06:26:58 UTC"/>
        <s v="2022-03-07 05:29:23 UTC"/>
        <s v="2022-03-07 05:23:24 UTC"/>
        <s v="2022-03-07 05:20:52 UTC"/>
        <s v="2022-03-07 03:35:24 UTC"/>
        <s v="2022-03-07 03:20:59 UTC"/>
        <s v="2022-03-07 02:08:36 UTC"/>
        <s v="2022-03-07 01:51:18 UTC"/>
        <s v="2022-03-07 01:46:38 UTC"/>
        <s v="2022-03-07 01:44:58 UTC"/>
        <s v="2022-03-07 01:43:30 UTC"/>
        <s v="2022-03-07 01:39:40 UTC"/>
        <s v="2022-03-07 01:38:33 UTC"/>
        <s v="2022-03-07 01:37:47 UTC"/>
        <s v="2022-03-06 17:30:29 UTC"/>
        <s v="2022-03-06 16:48:38 UTC"/>
        <s v="2022-03-06 16:48:14 UTC"/>
        <s v="2022-03-06 16:44:44 UTC"/>
        <s v="2022-03-06 16:44:30 UTC"/>
        <s v="2022-03-06 16:36:06 UTC"/>
        <s v="2022-03-06 16:19:26 UTC"/>
        <s v="2022-03-06 16:06:18 UTC"/>
        <s v="2022-03-06 15:50:14 UTC"/>
        <s v="2022-03-06 15:08:14 UTC"/>
        <s v="2022-03-06 14:56:54 UTC"/>
        <s v="2022-03-06 14:53:21 UTC"/>
        <s v="2022-03-06 14:32:56 UTC"/>
        <s v="2022-03-06 14:20:42 UTC"/>
        <s v="2022-03-06 14:16:36 UTC"/>
        <s v="2022-03-06 14:16:09 UTC"/>
        <s v="2022-03-06 13:45:15 UTC"/>
        <s v="2022-03-06 12:56:00 UTC"/>
        <s v="2022-03-06 12:12:38 UTC"/>
        <s v="2022-03-06 11:42:26 UTC"/>
        <s v="2022-03-06 11:40:35 UTC"/>
        <s v="2022-03-06 11:10:50 UTC"/>
        <s v="2022-03-06 11:10:18 UTC"/>
        <s v="2022-03-06 10:09:17 UTC"/>
        <s v="2022-03-06 10:08:39 UTC"/>
        <s v="2022-03-06 10:06:18 UTC"/>
        <s v="2022-03-06 10:05:09 UTC"/>
        <s v="2022-03-06 10:02:47 UTC"/>
        <s v="2022-03-06 10:01:30 UTC"/>
        <s v="2022-03-06 10:00:57 UTC"/>
        <s v="2022-03-06 10:00:43 UTC"/>
        <s v="2022-03-06 09:59:54 UTC"/>
        <s v="2022-03-06 09:59:25 UTC"/>
        <s v="2022-03-06 09:59:12 UTC"/>
        <s v="2022-03-06 09:58:29 UTC"/>
        <s v="2022-03-06 09:58:15 UTC"/>
        <s v="2022-03-06 09:49:55 UTC"/>
        <s v="2022-03-06 08:30:36 UTC"/>
        <s v="2022-03-06 08:16:12 UTC"/>
        <s v="2022-03-06 04:42:16 UTC"/>
        <s v="2022-03-06 04:18:39 UTC"/>
        <s v="2022-03-06 03:53:18 UTC"/>
        <s v="2022-03-06 03:52:54 UTC"/>
        <s v="2022-03-06 03:52:23 UTC"/>
        <s v="2022-03-06 03:51:23 UTC"/>
        <s v="2022-03-06 03:42:02 UTC"/>
        <s v="2022-03-06 03:37:55 UTC"/>
        <s v="2022-03-06 03:15:56 UTC"/>
        <s v="2022-03-06 02:58:13 UTC"/>
        <s v="2022-03-06 02:44:05 UTC"/>
        <s v="2022-03-06 02:15:03 UTC"/>
        <s v="2022-03-06 01:45:42 UTC"/>
        <s v="2022-03-05 16:49:09 UTC"/>
        <s v="2022-03-05 16:25:01 UTC"/>
        <s v="2022-03-05 14:35:58 UTC"/>
        <s v="2022-03-05 14:05:49 UTC"/>
        <s v="2022-03-05 14:01:16 UTC"/>
        <s v="2022-03-05 14:00:41 UTC"/>
        <s v="2022-03-05 13:49:45 UTC"/>
        <s v="2022-03-05 13:49:26 UTC"/>
        <s v="2022-03-05 13:46:10 UTC"/>
        <s v="2022-03-05 13:45:41 UTC"/>
        <s v="2022-03-05 13:42:30 UTC"/>
        <s v="2022-03-05 13:02:53 UTC"/>
        <s v="2022-03-05 12:58:10 UTC"/>
        <s v="2022-03-05 12:49:06 UTC"/>
        <s v="2022-03-05 12:04:13 UTC"/>
        <s v="2022-03-05 10:38:51 UTC"/>
        <s v="2022-03-05 10:16:15 UTC"/>
        <s v="2022-03-05 10:15:40 UTC"/>
        <s v="2022-03-05 09:44:11 UTC"/>
        <s v="2022-03-05 08:43:51 UTC"/>
        <s v="2022-03-05 08:43:20 UTC"/>
        <s v="2022-03-05 08:00:46 UTC"/>
        <s v="2022-03-05 07:53:50 UTC"/>
        <s v="2022-03-05 07:34:06 UTC"/>
        <s v="2022-03-05 07:31:27 UTC"/>
        <s v="2022-03-05 07:29:33 UTC"/>
        <s v="2022-03-05 07:16:16 UTC"/>
        <s v="2022-03-05 07:02:44 UTC"/>
        <s v="2022-03-05 06:52:00 UTC"/>
        <s v="2022-03-05 06:50:34 UTC"/>
        <s v="2022-03-05 06:33:13 UTC"/>
        <s v="2022-03-05 06:32:30 UTC"/>
        <s v="2022-03-05 05:10:07 UTC"/>
        <s v="2022-03-05 05:01:26 UTC"/>
        <s v="2022-03-05 04:39:10 UTC"/>
        <s v="2022-03-05 04:17:10 UTC"/>
        <s v="2022-03-05 04:17:02 UTC"/>
        <s v="2022-03-05 03:51:43 UTC"/>
        <s v="2022-03-05 03:11:01 UTC"/>
        <s v="2022-03-05 03:09:11 UTC"/>
        <s v="2022-03-05 02:43:15 UTC"/>
        <s v="2022-03-05 02:40:45 UTC"/>
        <s v="2022-03-05 02:34:52 UTC"/>
        <s v="2022-03-05 02:29:07 UTC"/>
        <s v="2022-03-05 01:57:53 UTC"/>
        <s v="2022-03-05 01:56:26 UTC"/>
        <s v="2022-03-05 01:47:43 UTC"/>
        <s v="2022-03-05 01:20:13 UTC"/>
        <s v="2022-03-04 20:16:06 UTC"/>
        <s v="2022-03-04 18:54:19 UTC"/>
        <s v="2022-03-04 18:06:37 UTC"/>
        <s v="2022-03-04 16:48:50 UTC"/>
        <s v="2022-03-04 16:29:50 UTC"/>
        <s v="2022-03-04 16:17:38 UTC"/>
        <s v="2022-03-04 16:15:31 UTC"/>
        <s v="2022-03-04 16:10:28 UTC"/>
        <s v="2022-03-04 15:45:30 UTC"/>
        <s v="2022-03-04 15:28:31 UTC"/>
        <s v="2022-03-04 15:06:43 UTC"/>
        <s v="2022-03-04 14:50:02 UTC"/>
        <s v="2022-03-04 14:45:02 UTC"/>
        <s v="2022-03-04 14:40:20 UTC"/>
        <s v="2022-03-04 14:36:16 UTC"/>
        <s v="2022-03-04 14:35:08 UTC"/>
        <s v="2022-03-04 12:56:52 UTC"/>
        <s v="2022-03-04 12:41:42 UTC"/>
        <s v="2022-03-04 12:28:44 UTC"/>
        <s v="2022-03-04 11:35:09 UTC"/>
        <s v="2022-03-04 11:33:44 UTC"/>
        <s v="2022-03-04 11:33:27 UTC"/>
        <s v="2022-03-04 10:16:52 UTC"/>
        <s v="2022-03-04 09:52:49 UTC"/>
        <s v="2022-03-04 09:48:44 UTC"/>
        <s v="2022-03-04 09:43:00 UTC"/>
        <s v="2022-03-04 08:40:26 UTC"/>
        <s v="2022-03-04 08:07:00 UTC"/>
        <s v="2022-03-04 07:58:45 UTC"/>
        <s v="2022-03-04 06:14:04 UTC"/>
        <s v="2022-03-04 05:45:29 UTC"/>
        <s v="2022-03-04 04:55:22 UTC"/>
        <s v="2022-03-04 04:54:15 UTC"/>
        <s v="2022-03-04 04:51:42 UTC"/>
        <s v="2022-03-04 04:48:51 UTC"/>
        <s v="2022-03-04 04:42:07 UTC"/>
        <s v="2022-03-04 04:41:43 UTC"/>
        <s v="2022-03-04 04:38:32 UTC"/>
        <s v="2022-03-04 04:27:52 UTC"/>
        <s v="2022-03-04 04:01:06 UTC"/>
        <s v="2022-03-04 03:52:46 UTC"/>
        <s v="2022-03-04 03:48:27 UTC"/>
        <s v="2022-03-04 03:44:00 UTC"/>
        <s v="2022-03-04 03:36:48 UTC"/>
        <s v="2022-03-04 03:27:17 UTC"/>
        <s v="2022-03-04 02:34:06 UTC"/>
        <s v="2022-03-03 19:09:37 UTC"/>
        <s v="2022-03-03 19:09:13 UTC"/>
        <s v="2022-03-03 18:21:54 UTC"/>
        <s v="2022-03-03 17:59:29 UTC"/>
        <s v="2022-03-03 17:48:49 UTC"/>
        <s v="2022-03-03 17:10:47 UTC"/>
        <s v="2022-03-03 16:41:46 UTC"/>
        <s v="2022-03-03 16:39:42 UTC"/>
        <s v="2022-03-03 16:37:22 UTC"/>
        <s v="2022-03-03 16:20:56 UTC"/>
        <s v="2022-03-03 16:19:44 UTC"/>
        <s v="2022-03-03 15:03:09 UTC"/>
        <s v="2022-03-03 15:02:28 UTC"/>
        <s v="2022-03-03 14:56:12 UTC"/>
        <s v="2022-03-03 14:55:37 UTC"/>
        <s v="2022-03-03 14:53:07 UTC"/>
        <s v="2022-03-03 14:52:45 UTC"/>
        <s v="2022-03-03 14:48:59 UTC"/>
        <s v="2022-03-03 14:47:33 UTC"/>
        <s v="2022-03-03 14:44:23 UTC"/>
        <s v="2022-03-03 14:38:23 UTC"/>
        <s v="2022-03-03 14:36:20 UTC"/>
        <s v="2022-03-03 14:32:33 UTC"/>
        <s v="2022-03-03 14:16:07 UTC"/>
        <s v="2022-03-03 13:42:07 UTC"/>
        <s v="2022-03-03 13:14:50 UTC"/>
        <s v="2022-03-03 13:07:38 UTC"/>
        <s v="2022-03-03 12:48:15 UTC"/>
        <s v="2022-03-03 12:26:13 UTC"/>
        <s v="2022-03-03 12:12:30 UTC"/>
        <s v="2022-03-03 11:58:20 UTC"/>
        <s v="2022-03-03 11:52:32 UTC"/>
        <s v="2022-03-03 11:33:03 UTC"/>
        <s v="2022-03-03 11:31:16 UTC"/>
        <s v="2022-03-03 11:26:27 UTC"/>
        <s v="2022-03-03 11:25:51 UTC"/>
        <s v="2022-03-03 11:22:35 UTC"/>
        <s v="2022-03-03 11:20:54 UTC"/>
        <s v="2022-03-03 11:14:41 UTC"/>
        <s v="2022-03-03 11:11:11 UTC"/>
        <s v="2022-03-03 10:56:00 UTC"/>
        <s v="2022-03-03 10:51:15 UTC"/>
        <s v="2022-03-03 09:58:50 UTC"/>
        <s v="2022-03-03 09:07:30 UTC"/>
        <s v="2022-03-03 09:07:24 UTC"/>
        <s v="2022-03-03 08:58:44 UTC"/>
        <s v="2022-03-03 08:52:37 UTC"/>
        <s v="2022-03-03 08:46:09 UTC"/>
        <s v="2022-03-03 08:42:26 UTC"/>
        <s v="2022-03-03 08:08:30 UTC"/>
        <s v="2022-03-03 08:07:55 UTC"/>
        <s v="2022-03-03 07:42:48 UTC"/>
        <s v="2022-03-03 07:35:02 UTC"/>
        <s v="2022-03-03 07:20:25 UTC"/>
        <s v="2022-03-03 07:10:04 UTC"/>
        <s v="2022-03-03 06:51:58 UTC"/>
        <s v="2022-03-03 06:48:59 UTC"/>
        <s v="2022-03-03 06:11:32 UTC"/>
        <s v="2022-03-03 05:49:20 UTC"/>
        <s v="2022-03-03 05:44:27 UTC"/>
        <s v="2022-03-03 05:06:49 UTC"/>
        <s v="2022-03-03 04:34:11 UTC"/>
        <s v="2022-03-03 04:24:38 UTC"/>
        <s v="2022-03-03 04:17:23 UTC"/>
        <s v="2022-03-03 04:14:20 UTC"/>
        <s v="2022-03-03 04:05:39 UTC"/>
        <s v="2022-03-03 04:02:02 UTC"/>
        <s v="2022-03-03 03:58:22 UTC"/>
        <s v="2022-03-03 03:53:29 UTC"/>
        <s v="2022-03-03 03:51:40 UTC"/>
        <s v="2022-03-03 03:51:10 UTC"/>
        <s v="2022-03-03 03:39:50 UTC"/>
        <s v="2022-03-03 03:31:29 UTC"/>
        <s v="2022-03-03 02:59:23 UTC"/>
        <s v="2022-03-03 02:37:32 UTC"/>
        <s v="2022-03-03 02:20:12 UTC"/>
        <s v="2022-03-03 01:09:58 UTC"/>
        <s v="2022-03-03 00:27:41 UTC"/>
        <s v="2022-03-03 00:25:10 UTC"/>
        <s v="2022-03-03 00:21:16 UTC"/>
        <s v="2022-03-02 23:03:44 UTC"/>
        <s v="2022-03-02 22:25:44 UTC"/>
        <s v="2022-03-02 20:30:43 UTC"/>
        <s v="2022-03-02 19:54:11 UTC"/>
        <s v="2022-03-02 19:12:00 UTC"/>
        <s v="2022-03-02 19:00:43 UTC"/>
        <s v="2022-03-02 18:12:08 UTC"/>
        <s v="2022-03-02 18:05:51 UTC"/>
        <s v="2022-03-02 17:46:47 UTC"/>
        <s v="2022-03-02 17:44:30 UTC"/>
        <s v="2022-03-02 17:42:45 UTC"/>
        <s v="2022-03-02 17:05:14 UTC"/>
        <s v="2022-03-02 16:29:32 UTC"/>
        <s v="2022-03-02 16:29:01 UTC"/>
        <s v="2022-03-02 16:28:44 UTC"/>
        <s v="2022-03-02 16:25:18 UTC"/>
        <s v="2022-03-02 16:24:00 UTC"/>
        <s v="2022-03-02 16:21:41 UTC"/>
        <s v="2022-03-02 16:01:05 UTC"/>
        <s v="2022-03-02 15:58:11 UTC"/>
        <s v="2022-03-02 15:39:57 UTC"/>
        <s v="2022-03-02 15:38:56 UTC"/>
        <s v="2022-03-02 15:33:26 UTC"/>
        <s v="2022-03-02 15:21:46 UTC"/>
        <s v="2022-03-02 14:57:16 UTC"/>
        <s v="2022-03-02 14:49:16 UTC"/>
        <s v="2022-03-02 14:48:23 UTC"/>
        <s v="2022-03-02 14:48:00 UTC"/>
        <s v="2022-03-02 14:41:12 UTC"/>
        <s v="2022-03-02 14:27:30 UTC"/>
        <s v="2022-03-02 14:26:52 UTC"/>
        <s v="2022-03-02 14:14:01 UTC"/>
        <s v="2022-03-02 14:00:44 UTC"/>
        <s v="2022-03-02 13:49:29 UTC"/>
        <s v="2022-03-02 13:33:39 UTC"/>
        <s v="2022-03-02 13:21:02 UTC"/>
        <s v="2022-03-02 13:04:51 UTC"/>
        <s v="2022-03-02 12:42:03 UTC"/>
        <s v="2022-03-02 12:06:21 UTC"/>
        <s v="2022-03-02 11:58:53 UTC"/>
        <s v="2022-03-02 11:37:22 UTC"/>
        <s v="2022-03-02 11:25:05 UTC"/>
        <s v="2022-03-02 11:20:35 UTC"/>
        <s v="2022-03-02 10:40:24 UTC"/>
        <s v="2022-03-02 10:30:32 UTC"/>
        <s v="2022-03-02 10:07:21 UTC"/>
        <s v="2022-03-02 10:03:20 UTC"/>
        <s v="2022-03-02 09:32:25 UTC"/>
        <s v="2022-03-02 09:24:36 UTC"/>
        <s v="2022-03-02 09:21:38 UTC"/>
        <s v="2022-03-02 08:17:15 UTC"/>
        <s v="2022-03-02 08:15:40 UTC"/>
        <s v="2022-03-02 08:11:44 UTC"/>
        <s v="2022-03-02 07:32:38 UTC"/>
        <s v="2022-03-02 07:32:07 UTC"/>
        <s v="2022-03-02 07:08:13 UTC"/>
        <s v="2022-03-02 06:43:04 UTC"/>
        <s v="2022-03-02 06:16:41 UTC"/>
        <s v="2022-03-02 05:29:37 UTC"/>
        <s v="2022-03-02 03:49:04 UTC"/>
        <s v="2022-03-02 01:32:23 UTC"/>
        <s v="2022-03-02 01:30:29 UTC"/>
        <s v="2022-03-02 00:48:31 UTC"/>
        <s v="2022-03-01 20:37:37 UTC"/>
        <s v="2022-03-01 18:58:48 UTC"/>
        <s v="2022-03-01 18:52:05 UTC"/>
        <s v="2022-03-01 18:23:52 UTC"/>
        <s v="2022-03-01 16:28:15 UTC"/>
        <s v="2022-03-01 16:21:45 UTC"/>
        <s v="2022-03-01 15:57:46 UTC"/>
        <s v="2022-03-01 15:31:48 UTC"/>
        <s v="2022-03-01 15:10:29 UTC"/>
        <s v="2022-03-01 15:10:14 UTC"/>
        <s v="2022-03-01 12:52:01 UTC"/>
        <s v="2022-03-01 12:48:30 UTC"/>
        <s v="2022-03-01 12:47:32 UTC"/>
        <s v="2022-03-01 12:46:28 UTC"/>
        <s v="2022-03-01 12:45:55 UTC"/>
        <s v="2022-03-01 12:41:07 UTC"/>
        <s v="2022-03-01 12:23:58 UTC"/>
        <s v="2022-03-01 12:23:57 UTC"/>
        <s v="2022-03-01 12:19:35 UTC"/>
        <s v="2022-03-01 12:19:21 UTC"/>
        <s v="2022-03-01 12:17:57 UTC"/>
        <s v="2022-03-01 12:15:32 UTC"/>
        <s v="2022-03-01 12:15:21 UTC"/>
        <s v="2022-03-01 12:15:09 UTC"/>
        <s v="2022-03-01 12:14:54 UTC"/>
        <s v="2022-03-01 12:14:41 UTC"/>
        <s v="2022-03-01 12:10:42 UTC"/>
        <s v="2022-03-01 11:44:57 UTC"/>
        <s v="2022-03-01 11:12:55 UTC"/>
        <s v="2022-03-01 10:56:12 UTC"/>
        <s v="2022-03-01 10:53:11 UTC"/>
        <s v="2022-03-01 10:44:16 UTC"/>
        <s v="2022-03-01 09:50:23 UTC"/>
        <s v="2022-03-01 08:58:48 UTC"/>
        <s v="2022-03-01 08:33:28 UTC"/>
        <s v="2022-03-01 08:06:56 UTC"/>
        <s v="2022-03-01 08:05:17 UTC"/>
        <s v="2022-03-01 08:03:42 UTC"/>
        <s v="2022-03-01 07:48:01 UTC"/>
        <s v="2022-03-01 07:46:37 UTC"/>
        <s v="2022-03-01 07:29:17 UTC"/>
        <s v="2022-03-01 07:27:26 UTC"/>
        <s v="2022-03-01 07:26:35 UTC"/>
        <s v="2022-03-01 07:17:02 UTC"/>
        <s v="2022-03-01 07:16:09 UTC"/>
        <s v="2022-03-01 07:14:18 UTC"/>
        <s v="2022-03-01 07:13:13 UTC"/>
        <s v="2022-03-01 07:09:07 UTC"/>
        <s v="2022-03-01 07:07:57 UTC"/>
        <s v="2022-03-01 07:03:44 UTC"/>
        <s v="2022-03-01 06:41:45 UTC"/>
        <s v="2022-03-01 06:40:46 UTC"/>
        <s v="2022-03-01 06:40:18 UTC"/>
        <s v="2022-03-01 06:39:40 UTC"/>
        <s v="2022-03-01 06:29:22 UTC"/>
        <s v="2022-03-01 06:27:03 UTC"/>
        <s v="2022-03-01 06:22:55 UTC"/>
        <s v="2022-03-01 05:46:58 UTC"/>
        <s v="2022-03-01 05:46:48 UTC"/>
        <s v="2022-03-01 05:44:57 UTC"/>
        <s v="2022-03-01 05:40:36 UTC"/>
        <s v="2022-03-01 05:19:49 UTC"/>
        <s v="2022-03-01 05:17:33 UTC"/>
        <s v="2022-03-01 05:11:11 UTC"/>
        <s v="2022-03-01 04:54:46 UTC"/>
        <s v="2022-03-01 04:52:18 UTC"/>
        <s v="2022-03-01 04:40:17 UTC"/>
        <s v="2022-03-01 04:35:07 UTC"/>
        <s v="2022-03-01 04:31:45 UTC"/>
        <s v="2022-03-01 04:29:48 UTC"/>
        <s v="2022-03-01 04:26:56 UTC"/>
        <s v="2022-03-01 04:08:25 UTC"/>
        <s v="2022-03-01 03:57:01 UTC"/>
        <s v="2022-03-01 03:30:11 UTC"/>
        <s v="2022-03-01 03:29:42 UTC"/>
        <s v="2022-03-01 03:28:58 UTC"/>
        <s v="2022-03-01 03:18:05 UTC"/>
        <s v="2022-03-01 02:36:28 UTC"/>
        <s v="2022-03-01 02:30:27 UTC"/>
        <s v="2022-03-01 02:25:40 UTC"/>
        <s v="2022-03-01 02:21:20 UTC"/>
        <s v="2022-03-01 02:20:23 UTC"/>
        <s v="2022-03-01 01:38:30 UTC"/>
        <s v="2022-03-01 01:32:34 UTC"/>
        <s v="2022-03-01 00:05:00 UTC"/>
        <s v="2022-02-28 21:41:39 UTC"/>
        <s v="2022-02-28 19:48:26 UTC"/>
        <s v="2022-02-28 17:55:24 UTC"/>
        <s v="2022-02-28 16:57:47 UTC"/>
        <s v="2022-02-28 16:55:48 UTC"/>
        <s v="2022-02-28 16:20:53 UTC"/>
        <s v="2022-02-28 16:02:37 UTC"/>
        <s v="2022-02-28 16:02:22 UTC"/>
        <s v="2022-02-28 15:59:50 UTC"/>
        <s v="2022-02-28 15:57:06 UTC"/>
        <s v="2022-02-28 15:56:55 UTC"/>
        <s v="2022-02-28 15:56:29 UTC"/>
        <s v="2022-02-28 15:52:46 UTC"/>
        <s v="2022-02-28 15:14:26 UTC"/>
        <s v="2022-02-28 15:05:28 UTC"/>
        <s v="2022-02-28 14:50:13 UTC"/>
        <s v="2022-02-28 14:32:19 UTC"/>
        <s v="2022-02-28 14:31:19 UTC"/>
        <s v="2022-02-28 14:03:52 UTC"/>
        <s v="2022-02-28 14:02:53 UTC"/>
        <s v="2022-02-28 13:14:55 UTC"/>
        <s v="2022-02-28 13:09:35 UTC"/>
        <s v="2022-02-28 12:47:14 UTC"/>
        <s v="2022-02-28 12:37:58 UTC"/>
        <s v="2022-02-28 12:35:05 UTC"/>
        <s v="2022-02-28 12:00:36 UTC"/>
        <s v="2022-02-28 11:59:04 UTC"/>
        <s v="2022-02-28 11:38:53 UTC"/>
        <s v="2022-02-28 11:37:46 UTC"/>
        <s v="2022-02-28 11:30:27 UTC"/>
        <s v="2022-02-28 11:07:20 UTC"/>
        <s v="2022-02-28 11:06:35 UTC"/>
        <s v="2022-02-28 11:06:27 UTC"/>
        <s v="2022-02-28 10:26:01 UTC"/>
        <s v="2022-02-28 10:01:39 UTC"/>
        <s v="2022-02-28 09:54:17 UTC"/>
        <s v="2022-02-28 09:35:11 UTC"/>
        <s v="2022-02-28 09:22:38 UTC"/>
        <s v="2022-02-28 09:21:19 UTC"/>
        <s v="2022-02-28 09:03:20 UTC"/>
        <s v="2022-02-28 08:45:48 UTC"/>
        <s v="2022-02-28 08:36:12 UTC"/>
        <s v="2022-02-28 08:23:07 UTC"/>
        <s v="2022-02-28 08:16:07 UTC"/>
        <s v="2022-02-28 08:14:11 UTC"/>
        <s v="2022-02-28 08:03:22 UTC"/>
        <s v="2022-02-28 07:51:24 UTC"/>
        <s v="2022-02-28 06:55:33 UTC"/>
        <s v="2022-02-28 06:49:09 UTC"/>
        <s v="2022-02-28 06:48:24 UTC"/>
        <s v="2022-02-28 06:21:05 UTC"/>
        <s v="2022-02-28 05:25:54 UTC"/>
        <s v="2022-02-28 05:02:32 UTC"/>
        <s v="2022-02-28 04:39:26 UTC"/>
        <s v="2022-02-28 03:52:24 UTC"/>
        <s v="2022-02-28 03:39:25 UTC"/>
        <s v="2022-02-28 01:57:04 UTC"/>
        <s v="2022-02-28 01:51:06 UTC"/>
        <s v="2022-02-28 00:23:14 UTC"/>
        <s v="2022-02-28 00:16:41 UTC"/>
        <s v="2022-02-27 22:05:20 UTC"/>
        <s v="2022-02-27 18:49:28 UTC"/>
        <s v="2022-02-27 17:27:05 UTC"/>
        <s v="2022-02-27 16:25:57 UTC"/>
        <s v="2022-02-27 16:23:59 UTC"/>
        <s v="2022-02-27 16:18:46 UTC"/>
        <s v="2022-02-27 16:16:59 UTC"/>
        <s v="2022-02-27 16:12:03 UTC"/>
        <s v="2022-02-27 16:11:28 UTC"/>
        <s v="2022-02-27 16:11:15 UTC"/>
        <s v="2022-02-27 16:10:21 UTC"/>
        <s v="2022-02-27 16:09:50 UTC"/>
        <s v="2022-02-27 16:05:45 UTC"/>
        <s v="2022-02-27 16:05:10 UTC"/>
        <s v="2022-02-27 16:02:48 UTC"/>
        <s v="2022-02-27 15:58:29 UTC"/>
        <s v="2022-02-27 15:25:49 UTC"/>
        <s v="2022-02-27 15:17:33 UTC"/>
        <s v="2022-02-27 15:16:01 UTC"/>
        <s v="2022-02-27 15:13:31 UTC"/>
        <s v="2022-02-27 15:09:51 UTC"/>
        <s v="2022-02-27 14:51:01 UTC"/>
        <s v="2022-02-27 14:23:39 UTC"/>
        <s v="2022-02-27 13:54:06 UTC"/>
        <s v="2022-02-27 13:44:53 UTC"/>
        <s v="2022-02-27 13:43:21 UTC"/>
        <s v="2022-02-27 13:35:24 UTC"/>
        <s v="2022-02-27 12:38:27 UTC"/>
        <s v="2022-02-27 12:38:20 UTC"/>
        <s v="2022-02-27 12:28:12 UTC"/>
        <s v="2022-02-27 12:02:16 UTC"/>
        <s v="2022-02-27 10:59:10 UTC"/>
        <s v="2022-02-27 10:40:46 UTC"/>
        <s v="2022-02-27 10:37:59 UTC"/>
        <s v="2022-02-27 10:31:30 UTC"/>
        <s v="2022-02-27 10:29:07 UTC"/>
        <s v="2022-02-27 10:18:22 UTC"/>
        <s v="2022-02-27 10:07:54 UTC"/>
        <s v="2022-02-27 09:11:43 UTC"/>
        <s v="2022-02-27 09:11:10 UTC"/>
        <s v="2022-02-27 08:03:03 UTC"/>
        <s v="2022-02-27 08:01:18 UTC"/>
        <s v="2022-02-27 07:18:10 UTC"/>
        <s v="2022-02-27 07:18:05 UTC"/>
        <s v="2022-02-27 06:51:19 UTC"/>
        <s v="2022-02-27 06:25:59 UTC"/>
        <s v="2022-02-27 06:22:41 UTC"/>
        <s v="2022-02-27 05:52:01 UTC"/>
        <s v="2022-02-27 05:39:46 UTC"/>
        <s v="2022-02-27 05:34:30 UTC"/>
        <s v="2022-02-27 05:27:12 UTC"/>
        <s v="2022-02-27 05:22:57 UTC"/>
        <s v="2022-02-27 05:04:30 UTC"/>
        <s v="2022-02-27 05:01:53 UTC"/>
        <s v="2022-02-27 04:58:35 UTC"/>
        <s v="2022-02-27 04:55:14 UTC"/>
        <s v="2022-02-27 04:52:20 UTC"/>
        <s v="2022-02-27 04:35:07 UTC"/>
        <s v="2022-02-27 04:35:03 UTC"/>
        <s v="2022-02-27 04:35:01 UTC"/>
        <s v="2022-02-27 04:34:59 UTC"/>
        <s v="2022-02-27 04:20:05 UTC"/>
        <s v="2022-02-27 04:05:52 UTC"/>
        <s v="2022-02-27 03:58:13 UTC"/>
        <s v="2022-02-27 03:52:22 UTC"/>
        <s v="2022-02-27 03:37:37 UTC"/>
        <s v="2022-02-27 03:32:11 UTC"/>
        <s v="2022-02-27 03:16:24 UTC"/>
        <s v="2022-02-27 03:16:11 UTC"/>
        <s v="2022-02-27 02:59:41 UTC"/>
        <s v="2022-02-27 02:57:43 UTC"/>
        <s v="2022-02-27 02:13:03 UTC"/>
        <s v="2022-02-27 01:52:56 UTC"/>
        <s v="2022-02-27 00:37:52 UTC"/>
        <s v="2022-02-26 19:51:10 UTC"/>
        <s v="2022-02-26 18:59:34 UTC"/>
        <s v="2022-02-26 18:38:09 UTC"/>
        <s v="2022-02-26 18:07:11 UTC"/>
        <s v="2022-02-26 17:52:38 UTC"/>
        <s v="2022-02-26 17:06:44 UTC"/>
        <s v="2022-02-26 17:04:24 UTC"/>
        <s v="2022-02-26 17:02:51 UTC"/>
        <s v="2022-02-26 17:01:36 UTC"/>
        <s v="2022-02-26 16:55:52 UTC"/>
        <s v="2022-02-26 16:50:42 UTC"/>
        <s v="2022-02-26 16:49:28 UTC"/>
        <s v="2022-02-26 16:48:49 UTC"/>
        <s v="2022-02-26 16:48:06 UTC"/>
        <s v="2022-02-26 16:46:46 UTC"/>
        <s v="2022-02-26 16:45:19 UTC"/>
        <s v="2022-02-26 16:35:38 UTC"/>
        <s v="2022-02-26 16:34:14 UTC"/>
        <s v="2022-02-26 16:33:03 UTC"/>
        <s v="2022-02-26 16:17:35 UTC"/>
        <s v="2022-02-26 16:12:09 UTC"/>
        <s v="2022-02-26 16:07:56 UTC"/>
        <s v="2022-02-26 16:07:24 UTC"/>
        <s v="2022-02-26 16:04:23 UTC"/>
        <s v="2022-02-26 15:39:27 UTC"/>
        <s v="2022-02-26 15:02:35 UTC"/>
        <s v="2022-02-26 14:36:15 UTC"/>
        <s v="2022-02-26 14:32:30 UTC"/>
        <s v="2022-02-26 14:27:02 UTC"/>
        <s v="2022-02-26 14:24:37 UTC"/>
        <s v="2022-02-26 14:24:04 UTC"/>
        <s v="2022-02-26 14:06:49 UTC"/>
        <s v="2022-02-26 14:03:50 UTC"/>
        <s v="2022-02-26 14:03:32 UTC"/>
        <s v="2022-02-26 13:35:41 UTC"/>
        <s v="2022-02-26 13:34:48 UTC"/>
        <s v="2022-02-26 13:31:14 UTC"/>
        <s v="2022-02-26 13:01:26 UTC"/>
        <s v="2022-02-26 12:39:22 UTC"/>
        <s v="2022-02-26 12:28:18 UTC"/>
        <s v="2022-02-26 12:17:30 UTC"/>
        <s v="2022-02-26 11:50:46 UTC"/>
        <s v="2022-02-26 11:36:34 UTC"/>
        <s v="2022-02-26 11:01:57 UTC"/>
        <s v="2022-02-26 10:55:00 UTC"/>
        <s v="2022-02-26 10:36:38 UTC"/>
        <s v="2022-02-26 10:35:56 UTC"/>
        <s v="2022-02-26 10:19:45 UTC"/>
        <s v="2022-02-26 10:17:39 UTC"/>
        <s v="2022-02-26 10:12:57 UTC"/>
        <s v="2022-02-26 10:09:23 UTC"/>
        <s v="2022-02-26 10:02:33 UTC"/>
        <s v="2022-02-26 09:47:29 UTC"/>
        <s v="2022-02-26 09:47:19 UTC"/>
        <s v="2022-02-26 09:47:18 UTC"/>
        <s v="2022-02-26 09:47:17 UTC"/>
        <s v="2022-02-26 09:42:10 UTC"/>
        <s v="2022-02-26 08:20:21 UTC"/>
        <s v="2022-02-26 07:02:19 UTC"/>
        <s v="2022-02-26 07:00:29 UTC"/>
        <s v="2022-02-26 06:55:17 UTC"/>
        <s v="2022-02-26 05:58:08 UTC"/>
        <s v="2022-02-26 05:48:43 UTC"/>
        <s v="2022-02-26 05:10:48 UTC"/>
        <s v="2022-02-26 04:00:00 UTC"/>
        <s v="2022-02-26 02:54:25 UTC"/>
        <s v="2022-02-26 02:48:08 UTC"/>
        <s v="2022-02-26 02:20:31 UTC"/>
        <s v="2022-02-26 02:00:48 UTC"/>
        <s v="2022-02-26 01:58:12 UTC"/>
        <s v="2022-02-26 00:54:43 UTC"/>
        <s v="2022-02-25 23:39:00 UTC"/>
        <s v="2022-02-25 22:57:23 UTC"/>
        <s v="2022-02-25 19:42:33 UTC"/>
        <s v="2022-02-25 19:39:16 UTC"/>
        <s v="2022-02-25 19:33:30 UTC"/>
        <s v="2022-02-25 16:26:08 UTC"/>
        <s v="2022-02-25 16:17:51 UTC"/>
        <s v="2022-02-25 16:14:43 UTC"/>
        <s v="2022-02-25 16:04:54 UTC"/>
        <s v="2022-02-25 15:46:11 UTC"/>
        <s v="2022-02-25 15:27:54 UTC"/>
        <s v="2022-02-25 15:23:33 UTC"/>
        <s v="2022-02-25 15:19:17 UTC"/>
        <s v="2022-02-25 15:12:12 UTC"/>
        <s v="2022-02-25 15:08:12 UTC"/>
        <s v="2022-02-25 15:03:55 UTC"/>
        <s v="2022-02-25 15:02:01 UTC"/>
        <s v="2022-02-25 14:38:18 UTC"/>
        <s v="2022-02-25 14:29:20 UTC"/>
        <s v="2022-02-25 14:22:09 UTC"/>
        <s v="2022-02-25 14:16:10 UTC"/>
        <s v="2022-02-25 14:04:54 UTC"/>
        <s v="2022-02-25 13:43:12 UTC"/>
        <s v="2022-02-25 13:38:57 UTC"/>
        <s v="2022-02-25 13:30:57 UTC"/>
        <s v="2022-02-25 13:28:13 UTC"/>
        <s v="2022-02-25 12:47:50 UTC"/>
        <s v="2022-02-25 12:01:38 UTC"/>
        <s v="2022-02-25 11:51:17 UTC"/>
        <s v="2022-02-25 11:39:13 UTC"/>
        <s v="2022-02-25 11:13:43 UTC"/>
        <s v="2022-02-25 11:08:22 UTC"/>
        <s v="2022-02-25 09:36:53 UTC"/>
        <s v="2022-02-25 09:23:23 UTC"/>
        <s v="2022-02-25 07:50:12 UTC"/>
        <s v="2022-02-25 07:19:15 UTC"/>
        <s v="2022-02-25 07:05:57 UTC"/>
        <s v="2022-02-25 07:03:42 UTC"/>
        <s v="2022-02-25 06:40:13 UTC"/>
        <s v="2022-02-25 05:48:17 UTC"/>
        <s v="2022-02-25 05:44:33 UTC"/>
        <s v="2022-02-25 04:19:25 UTC"/>
        <s v="2022-02-25 02:34:35 UTC"/>
        <s v="2022-02-25 00:49:16 UTC"/>
        <s v="2022-02-24 21:54:44 UTC"/>
        <s v="2022-02-24 20:02:11 UTC"/>
        <s v="2022-02-24 16:47:40 UTC"/>
        <s v="2022-02-24 15:48:22 UTC"/>
        <s v="2022-02-24 15:45:54 UTC"/>
        <s v="2022-02-24 15:05:11 UTC"/>
        <s v="2022-02-24 15:02:15 UTC"/>
        <s v="2022-02-24 14:56:48 UTC"/>
        <s v="2022-02-24 11:34:39 UTC"/>
        <s v="2022-02-24 11:23:42 UTC"/>
        <s v="2022-02-24 10:53:45 UTC"/>
        <s v="2022-02-24 10:02:33 UTC"/>
        <s v="2022-02-24 09:53:28 UTC"/>
        <s v="2022-02-24 08:46:07 UTC"/>
        <s v="2022-02-24 08:20:18 UTC"/>
        <s v="2022-02-24 08:11:04 UTC"/>
        <s v="2022-02-24 06:34:07 UTC"/>
        <s v="2022-02-24 06:29:01 UTC"/>
        <s v="2022-02-24 06:04:10 UTC"/>
        <s v="2022-02-24 05:48:36 UTC"/>
        <s v="2022-02-24 04:27:00 UTC"/>
        <s v="2022-02-24 02:55:56 UTC"/>
        <s v="2022-02-24 02:55:40 UTC"/>
        <s v="2022-02-24 02:38:09 UTC"/>
        <s v="2022-02-24 01:44:44 UTC"/>
        <s v="2022-02-23 23:13:56 UTC"/>
        <s v="2022-02-23 20:21:35 UTC"/>
        <s v="2022-02-23 18:36:59 UTC"/>
        <s v="2022-02-23 18:35:17 UTC"/>
        <s v="2022-02-23 18:31:42 UTC"/>
        <s v="2022-02-23 18:28:29 UTC"/>
        <s v="2022-02-23 17:03:04 UTC"/>
        <s v="2022-02-23 16:49:21 UTC"/>
        <s v="2022-02-23 16:49:11 UTC"/>
        <s v="2022-02-23 14:33:51 UTC"/>
        <s v="2022-02-23 14:11:23 UTC"/>
        <s v="2022-02-23 12:49:05 UTC"/>
        <s v="2022-02-23 12:26:09 UTC"/>
        <s v="2022-02-23 12:07:17 UTC"/>
        <s v="2022-02-23 09:47:46 UTC"/>
        <s v="2022-02-23 09:39:26 UTC"/>
        <s v="2022-02-23 09:33:51 UTC"/>
        <s v="2022-02-23 09:31:06 UTC"/>
        <s v="2022-02-23 09:30:35 UTC"/>
        <s v="2022-02-23 09:00:41 UTC"/>
        <s v="2022-02-23 08:30:28 UTC"/>
        <s v="2022-02-23 07:22:12 UTC"/>
        <s v="2022-02-23 06:11:37 UTC"/>
        <s v="2022-02-23 03:08:23 UTC"/>
        <s v="2022-02-23 03:08:13 UTC"/>
        <s v="2022-02-23 02:35:34 UTC"/>
        <s v="2022-02-23 02:19:08 UTC"/>
        <s v="2022-02-23 00:52:51 UTC"/>
        <s v="2022-02-23 00:27:55 UTC"/>
        <s v="2022-02-22 23:34:45 UTC"/>
        <s v="2022-02-22 23:06:16 UTC"/>
        <s v="2022-02-22 16:45:16 UTC"/>
        <s v="2022-02-22 16:29:35 UTC"/>
        <s v="2022-02-22 15:32:43 UTC"/>
        <s v="2022-02-22 15:22:30 UTC"/>
        <s v="2022-02-22 14:47:39 UTC"/>
        <s v="2022-02-22 13:34:39 UTC"/>
        <s v="2022-02-22 12:40:15 UTC"/>
        <s v="2022-02-22 10:10:07 UTC"/>
        <s v="2022-02-22 10:06:02 UTC"/>
        <s v="2022-02-22 10:00:47 UTC"/>
        <s v="2022-02-22 08:30:12 UTC"/>
        <s v="2022-02-22 07:17:16 UTC"/>
        <s v="2022-02-22 07:01:31 UTC"/>
        <s v="2022-02-22 06:59:16 UTC"/>
        <s v="2022-02-22 05:26:40 UTC"/>
        <s v="2022-02-22 05:07:27 UTC"/>
        <s v="2022-02-22 03:45:10 UTC"/>
        <s v="2022-02-21 14:01:54 UTC"/>
        <s v="2022-02-21 12:59:47 UTC"/>
        <s v="2022-02-21 08:51:00 UTC"/>
        <s v="2022-02-21 06:27:25 UTC"/>
        <s v="2022-02-21 04:12:49 UTC"/>
        <s v="2022-02-21 04:12:20 UTC"/>
        <s v="2022-02-21 03:42:08 UTC"/>
        <s v="2022-02-21 02:45:29 UTC"/>
        <s v="2022-02-20 18:16:59 UTC"/>
        <s v="2022-02-20 17:28:31 UTC"/>
        <s v="2022-02-20 16:27:42 UTC"/>
        <s v="2022-02-20 16:26:48 UTC"/>
        <s v="2022-02-20 15:19:57 UTC"/>
        <s v="2022-02-20 13:46:52 UTC"/>
        <s v="2022-02-20 13:46:17 UTC"/>
        <s v="2022-02-20 11:13:38 UTC"/>
        <s v="2022-02-20 11:05:05 UTC"/>
        <s v="2022-02-20 08:10:35 UTC"/>
        <s v="2022-02-20 06:33:16 UTC"/>
        <s v="2022-02-20 06:08:58 UTC"/>
        <s v="2022-02-20 04:28:44 UTC"/>
        <s v="2022-02-20 03:52:52 UTC"/>
        <s v="2022-02-19 15:57:28 UTC"/>
        <s v="2022-02-19 14:51:55 UTC"/>
        <s v="2022-02-19 14:51:52 UTC"/>
        <s v="2022-02-19 14:49:51 UTC"/>
        <s v="2022-02-19 14:47:56 UTC"/>
        <s v="2022-02-19 14:39:29 UTC"/>
        <s v="2022-02-19 09:28:37 UTC"/>
        <s v="2022-02-19 06:11:04 UTC"/>
        <s v="2022-02-19 05:31:45 UTC"/>
        <s v="2022-02-19 04:54:00 UTC"/>
        <s v="2022-02-19 04:14:56 UTC"/>
        <s v="2022-02-19 04:08:00 UTC"/>
        <s v="2022-02-18 17:01:23 UTC"/>
        <s v="2022-02-18 16:45:24 UTC"/>
        <s v="2022-02-18 16:08:18 UTC"/>
        <s v="2022-02-18 15:30:52 UTC"/>
        <s v="2022-02-18 14:20:24 UTC"/>
        <s v="2022-02-18 13:06:43 UTC"/>
        <s v="2022-02-18 11:57:46 UTC"/>
        <s v="2022-02-18 11:31:31 UTC"/>
        <s v="2022-02-18 11:00:20 UTC"/>
        <s v="2022-02-18 10:34:06 UTC"/>
        <s v="2022-02-18 10:24:30 UTC"/>
        <s v="2022-02-18 10:08:13 UTC"/>
        <s v="2022-02-18 09:51:21 UTC"/>
        <s v="2022-02-18 09:29:36 UTC"/>
        <s v="2022-02-18 09:21:16 UTC"/>
        <s v="2022-02-18 09:14:47 UTC"/>
        <s v="2022-02-18 09:14:28 UTC"/>
        <s v="2022-02-18 09:11:35 UTC"/>
        <s v="2022-02-18 09:11:10 UTC"/>
        <s v="2022-02-18 08:44:50 UTC"/>
        <s v="2022-02-18 08:41:42 UTC"/>
        <s v="2022-02-18 05:56:40 UTC"/>
        <s v="2022-02-18 05:56:17 UTC"/>
        <s v="2022-02-18 05:54:21 UTC"/>
        <s v="2022-02-18 01:38:03 UTC"/>
        <s v="2022-02-18 00:51:53 UTC"/>
        <s v="2022-02-17 23:50:31 UTC"/>
        <s v="2022-02-17 19:23:09 UTC"/>
        <s v="2022-02-17 19:12:50 UTC"/>
        <s v="2022-02-17 16:22:19 UTC"/>
        <s v="2022-02-17 15:55:49 UTC"/>
        <s v="2022-02-17 14:17:46 UTC"/>
        <s v="2022-02-17 13:30:09 UTC"/>
        <s v="2022-02-17 13:21:24 UTC"/>
        <s v="2022-02-17 11:44:22 UTC"/>
        <s v="2022-02-17 08:08:24 UTC"/>
        <s v="2022-02-17 06:29:08 UTC"/>
        <s v="2022-02-17 06:22:41 UTC"/>
        <s v="2022-02-17 06:21:21 UTC"/>
        <s v="2022-02-17 06:13:14 UTC"/>
        <s v="2022-02-17 06:13:12 UTC"/>
        <s v="2022-02-17 05:52:25 UTC"/>
        <s v="2022-02-17 05:44:54 UTC"/>
        <s v="2022-02-17 05:40:16 UTC"/>
        <s v="2022-02-17 05:34:18 UTC"/>
        <s v="2022-02-17 05:33:39 UTC"/>
        <s v="2022-02-17 05:12:41 UTC"/>
        <s v="2022-02-17 04:55:33 UTC"/>
        <s v="2022-02-17 04:49:00 UTC"/>
        <s v="2022-02-17 03:22:58 UTC"/>
        <s v="2022-02-17 02:59:47 UTC"/>
        <s v="2022-02-17 01:52:28 UTC"/>
        <s v="2022-02-16 17:17:04 UTC"/>
        <s v="2022-02-16 16:16:06 UTC"/>
        <s v="2022-02-16 16:10:20 UTC"/>
        <s v="2022-02-16 13:48:37 UTC"/>
        <s v="2022-02-16 13:15:27 UTC"/>
        <s v="2022-02-16 13:03:43 UTC"/>
        <s v="2022-02-16 12:17:57 UTC"/>
        <s v="2022-02-16 11:58:50 UTC"/>
        <s v="2022-02-16 11:53:10 UTC"/>
        <s v="2022-02-16 10:16:06 UTC"/>
        <s v="2022-02-16 10:03:59 UTC"/>
        <s v="2022-02-16 09:23:16 UTC"/>
        <s v="2022-02-16 06:21:27 UTC"/>
        <s v="2022-02-16 06:16:54 UTC"/>
        <s v="2022-02-16 05:47:01 UTC"/>
        <s v="2022-02-16 05:45:13 UTC"/>
        <s v="2022-02-16 05:44:32 UTC"/>
        <s v="2022-02-16 05:30:49 UTC"/>
        <s v="2022-02-16 04:07:16 UTC"/>
        <s v="2022-02-16 04:03:19 UTC"/>
        <s v="2022-02-15 18:40:37 UTC"/>
        <s v="2022-02-15 18:28:03 UTC"/>
        <s v="2022-02-15 16:50:14 UTC"/>
        <s v="2022-02-15 15:50:11 UTC"/>
        <s v="2022-02-15 15:44:25 UTC"/>
        <s v="2022-02-15 15:00:30 UTC"/>
        <s v="2022-02-15 14:08:12 UTC"/>
        <s v="2022-02-15 14:07:29 UTC"/>
        <s v="2022-02-15 11:57:27 UTC"/>
        <s v="2022-02-15 11:20:37 UTC"/>
        <s v="2022-02-15 08:25:32 UTC"/>
        <s v="2022-02-15 08:23:52 UTC"/>
        <s v="2022-02-15 06:56:14 UTC"/>
        <s v="2022-02-15 06:21:37 UTC"/>
        <s v="2022-02-15 04:45:03 UTC"/>
        <s v="2022-02-15 03:29:55 UTC"/>
        <s v="2022-02-15 03:10:15 UTC"/>
        <s v="2022-02-15 03:04:51 UTC"/>
        <s v="2022-02-14 17:48:02 UTC"/>
        <s v="2022-02-14 16:04:14 UTC"/>
        <s v="2022-02-14 15:52:21 UTC"/>
        <s v="2022-02-14 15:48:52 UTC"/>
        <s v="2022-02-14 14:42:09 UTC"/>
        <s v="2022-02-14 13:00:52 UTC"/>
        <s v="2022-02-14 13:00:18 UTC"/>
        <s v="2022-02-14 12:57:45 UTC"/>
        <s v="2022-02-14 12:15:26 UTC"/>
        <s v="2022-02-14 11:56:24 UTC"/>
        <s v="2022-02-14 11:26:06 UTC"/>
        <s v="2022-02-14 11:05:16 UTC"/>
        <s v="2022-02-14 10:27:30 UTC"/>
        <s v="2022-02-14 09:23:09 UTC"/>
        <s v="2022-02-14 08:38:54 UTC"/>
        <s v="2022-02-14 07:49:54 UTC"/>
        <s v="2022-02-14 06:05:38 UTC"/>
        <s v="2022-02-14 05:48:57 UTC"/>
        <s v="2022-02-14 05:48:43 UTC"/>
        <s v="2022-02-14 05:40:10 UTC"/>
        <s v="2022-02-14 04:54:09 UTC"/>
        <s v="2022-02-14 04:50:41 UTC"/>
        <s v="2022-02-14 04:41:21 UTC"/>
        <s v="2022-02-14 04:41:19 UTC"/>
        <s v="2022-02-14 04:31:36 UTC"/>
        <s v="2022-02-14 04:16:41 UTC"/>
        <s v="2022-02-14 04:16:38 UTC"/>
        <s v="2022-02-13 18:08:13 UTC"/>
        <s v="2022-02-13 16:06:13 UTC"/>
        <s v="2022-02-13 16:05:19 UTC"/>
        <s v="2022-02-13 15:36:38 UTC"/>
        <s v="2022-02-13 15:36:18 UTC"/>
        <s v="2022-02-13 14:41:46 UTC"/>
        <s v="2022-02-13 11:46:45 UTC"/>
        <s v="2022-02-13 11:00:02 UTC"/>
        <s v="2022-02-13 10:32:02 UTC"/>
        <s v="2022-02-13 09:17:53 UTC"/>
        <s v="2022-02-13 08:48:10 UTC"/>
        <s v="2022-02-13 08:28:02 UTC"/>
        <s v="2022-02-13 08:15:36 UTC"/>
        <s v="2022-02-13 08:00:16 UTC"/>
        <s v="2022-02-13 07:59:05 UTC"/>
        <s v="2022-02-13 07:05:05 UTC"/>
        <s v="2022-02-13 06:19:12 UTC"/>
        <s v="2022-02-13 05:27:08 UTC"/>
        <s v="2022-02-13 04:33:27 UTC"/>
        <s v="2022-02-13 04:31:22 UTC"/>
        <s v="2022-02-13 04:27:53 UTC"/>
        <s v="2022-02-13 00:42:44 UTC"/>
        <s v="2022-02-12 17:58:55 UTC"/>
        <s v="2022-02-12 17:00:38 UTC"/>
        <s v="2022-02-12 15:36:59 UTC"/>
        <s v="2022-02-12 15:36:56 UTC"/>
        <s v="2022-02-12 15:36:40 UTC"/>
        <s v="2022-02-12 15:20:46 UTC"/>
        <s v="2022-02-12 14:52:53 UTC"/>
        <s v="2022-02-12 14:36:34 UTC"/>
        <s v="2022-02-12 13:40:01 UTC"/>
        <s v="2022-02-12 13:27:59 UTC"/>
        <s v="2022-02-12 12:59:23 UTC"/>
        <s v="2022-02-12 12:53:11 UTC"/>
        <s v="2022-02-12 12:49:47 UTC"/>
        <s v="2022-02-12 08:24:16 UTC"/>
        <s v="2022-02-12 07:22:40 UTC"/>
        <s v="2022-02-12 06:11:35 UTC"/>
        <s v="2022-02-12 06:01:44 UTC"/>
        <s v="2022-02-12 05:55:57 UTC"/>
        <s v="2022-02-12 04:19:22 UTC"/>
        <s v="2022-02-12 04:17:36 UTC"/>
        <s v="2022-02-12 04:17:04 UTC"/>
        <s v="2022-02-12 03:09:15 UTC"/>
        <s v="2022-02-12 02:58:16 UTC"/>
        <s v="2022-02-12 01:56:36 UTC"/>
      </sharedItems>
    </cacheField>
    <cacheField name="instance_id" numFmtId="0">
      <sharedItems containsBlank="1">
        <s v="9e27bf765fdc2986c2f92c6919872380"/>
        <s v="d96f725b82f1c12f177e9d1b9c1bb643"/>
        <s v="f9b959ce7f71a1f92bcbf0a35502a036"/>
        <s v="7d2d079987017cf300ad30d97ddaad84"/>
        <m/>
        <s v="53f113f131c5b49c98714600b95fddb3"/>
        <s v="2a0442055d31f3b75b860cd86aecf4ea"/>
        <s v="188a4318617bae847690254706106891"/>
        <s v="7068d8135b7d792554d60c3046848af7"/>
        <s v="c7696a1b1a3dd8d5ee13cfc7c84378c4"/>
        <s v="2e7e7a6814fe39f6917b1897a89703d7"/>
        <s v="91fba088a6ab6219155727b47cee7be9"/>
        <s v="debfe92260dd64f918c0da86160bdcdc"/>
        <s v="861ad8e9c4142041c0417dd5d5d35363"/>
        <s v="adc11055703b944df7122938251cc957"/>
        <s v="aee4548cea84308b168672fc8a469e23"/>
        <s v="45194919de55628331278d92289f03fa"/>
        <s v="f34af2b1f4385d03dacaae2978766874"/>
        <s v="5c6346228d8010a0929e73ea93585d27"/>
        <s v="8f001089daa8acfe41422878d7cfbab8"/>
        <s v="46ef89cf0faca910c84c33305885545d"/>
        <s v="c8ef09f01b0bb4c6c1b75cf28a48d04a"/>
        <s v="59574b50bc7377d012318c0cc760d3a4"/>
        <s v="1c4795cbe0782fab8d84bd9d524debe1"/>
        <s v="e628bedad49481d7101104b65e367600"/>
        <s v="ac3f0f5c7b8f672c0ac8c609b08c0a23"/>
        <s v="d894024409fcfdce06361793603671b8"/>
        <s v="bf02acce9b9cd8cb81d3f337b033c0ec"/>
        <s v="075cb73e19ebde73477f5c10650fe72b"/>
        <s v="b93d125369c20ceb0ab22949a1735038"/>
        <s v="efc0aac90297fc6b04110b85cfc23c58"/>
        <s v="f665ec6a5680ce71a1b1621958d819dc"/>
        <s v="9672e6958e16659d013d0706b6e4f763"/>
        <s v="1e972bf82016ca11f1d7719672304a78"/>
        <s v="76ea79ec77d657f2a86be6c86c475919"/>
        <s v="c430ff9ec0b3dedd6c2722d550b9506b"/>
        <s v="77a3b42cb272cc37c57583c17c5bff7a"/>
        <s v="ea07517209bf99f68e252d3c74409b5a"/>
        <s v="ff7cc069b4d19c26b6b8137abdfbbec3"/>
        <s v="5efe58e2941d64a18391188f91de66a8"/>
        <s v="94c84423208a64f4dc9b1c41e7f77685"/>
        <s v="219824bbc5a31e5650515041254af176"/>
        <s v="b1e5bbc2859353c6fb2f8e71790169e5"/>
        <s v="e8e6ca2a24efa9b8510ac6cc63ef0994"/>
        <s v="4cb9fbc9a709540db36f7db53ab27243"/>
        <s v="57c87f1300fc325618f8a11d5632cff8"/>
        <s v="16122a494cb26354b608785a1db785c6"/>
        <s v="ffc08c32eaa3145a82f7dd22d93fcdf6"/>
        <s v="ae078b8cbe7739f30344d8cc90cab61e"/>
        <s v="cc6d33fdd4e00f21f99ab32228c8066e"/>
        <s v="e79b71a177655f15a2677f8af305a5b0"/>
        <s v="7fcdf06a462118f9ad40ed8dabb89608"/>
        <s v="c25969056a5e31f7e9d86a792f861b11"/>
        <s v="ea0949be0264de3b43d43814f754e762"/>
        <s v="7985e7456aac883ef0a33b786b5771fa"/>
        <s v="2d10e359633907b90821deda63c7e122"/>
        <s v="f8164938fee04a149d5a0e636061ef83"/>
        <s v="3ec9b677dd89229fdd6c0d778f49be91"/>
        <s v="5c4f5e7f2a2f56ef5938ddcfb123ce0d"/>
        <s v="6fded2275fd1165266cec3a335aba52b"/>
        <s v="35b739047f59bcc186bd3fc6833b9503"/>
        <s v="2384308b31e9b9a7d7d2ecfc3d27d77f"/>
        <s v="9eaa4bc674d6ca7394cff3bcaf5e76ba"/>
        <s v="1a6a8c0206c8a98336d8f0ffc0e17ab8"/>
        <s v="dbea4da031f1640f9ba9a7e64cbf4a74"/>
        <s v="e16ce150747384b5e6b2097e341f5c32"/>
        <s v="6da1681004912416bb0016ab18a2fb2f"/>
        <s v="f1469b1d641a32f06bec7fe703318b7d"/>
        <s v="5716cfc29c81b189ab93fa059c70a01c"/>
        <s v="06bd6ebc6c39eae3d078b9be68ea47fb"/>
        <s v="60b28cc9a90045b62a5a09e3bd2eb6ba"/>
        <s v="56d5764ebc04525ae4dc6a4350d5213f"/>
        <s v="d1de92c3b7fb309ec92b4e7d83eebe13"/>
        <s v="4a4dbd78dba85479929a84ffa0c37efb"/>
        <s v="f25ac214a9fe1cfaf30ce4811279522c"/>
        <s v="ac43069f64fc2b2136dd059097fe5e2e"/>
        <s v="b36eb97aa4435a92dfb2555e73793012"/>
        <s v="fd2a56b78bfb48211929e8cedf39ed75"/>
        <s v="64ef81e5937dc8b2e42f0e950edc5d88"/>
        <s v="3ae556a0dda720509323c9c15c2302fa"/>
        <s v="3b1a3da1f71aef0a96145b38c7f6318a"/>
        <s v="5576a3638b7b941b32debfff8c034e3c"/>
        <s v="f41c65e8925a8c3396b72b6086754130"/>
        <s v="78df32fa3ec68129f96b7917a5f6bd93"/>
        <s v="215625d18101935e74708845377ef394"/>
        <s v="2aaf15aaf43199388554c0b016be459c"/>
        <s v="786e40388417f0e3df59e75fb625cc8c"/>
        <s v="64ff9bd314ae8cb1fed1ba1bc1552883"/>
        <s v="a4f31e79c449132bbc197930a21cc1aa"/>
        <s v="86b5f249f5dcdcd96c7db7b5539ed252"/>
        <s v="17084141e05608128d32fdaf489e419e"/>
        <s v="1695e8b60964da31864b8d53c1aef1dd"/>
        <s v="52835383fd751514bec168f306a2d132"/>
        <s v="2cfc5c1f37f647b2f37d8b2a7a6c7709"/>
        <s v="872c71404db824a8e7cacd56c4178cab"/>
        <s v="cafb4d3c93dd8a3e3eed7b5d3c6345cc"/>
        <s v="d84fad99295e654e7546cb686b4bccd7"/>
        <s v="ec4fd437ffba9c96ba26c911f6e70f6a"/>
        <s v="e193f740b1d8a310d685f27643dba1b3"/>
        <s v="637d4e24a873b5298942f8bc80373e35"/>
        <s v="f7273bd71c83863b43ce78b5c0048aff"/>
        <s v="70167a92951db0dbaf21f1cc76a88efd"/>
        <s v="fd5a7873b856148f0f5810f01a2ee2b6"/>
        <s v="f82bf86507759940821fc4d7c6220a77"/>
        <s v="04820419715d155fc510ca43a6d11c6e"/>
        <s v="59715ce9f5729e4ca8e5abf8a7ec82f8"/>
        <s v="2cb8daa4a94659a5e9a81725fe88399d"/>
        <s v="f2e79034eba8324c2dbd70f6c4700ed1"/>
        <s v="de8401bcb5a8db3cf5fcd291d48a671d"/>
        <s v="d7acc735e404009075afc5523ad4ec38"/>
        <s v="06f11aed2c0d1dcdd779f09942818ef4"/>
        <s v="320664ddca74234dba5fb6e8f0c531b8"/>
        <s v="c2cc57c7eeda68b1777825da50cb3b36"/>
        <s v="cb79c0a05d3622c4a4a3e271b90b142b"/>
        <s v="5fc0cf9f5dedc9eeaf153941f5012a46"/>
        <s v="f6edd7b0525ab754bb9c512e4f9e1366"/>
        <s v="65caf76348fb4d9701860956eebe8162"/>
        <s v="599e8f8d09d8b53f3d344750c8c4df75"/>
        <s v="f5be57efda9ca3a6edcc74b89a529539"/>
        <s v="b1c6d0a7803f17a6b7afe16a74fc5d05"/>
        <s v="d7e19b8a0650f562cb29c6e18b144bf3"/>
        <s v="e44a37ac26c41feb4ba67ff4452fdb90"/>
        <s v="8a1908b96a2ec5c627c8901573fe83ee"/>
        <s v="56a938ed66824f62f5b1f73b6de954c5"/>
        <s v="8f50921470e23e2ed431802fc967d2c1"/>
        <s v="d21bcb1450da3203d407c8d2e2c37eb4"/>
        <s v="f4fa82a0ff44a8837c48d634d38ce9f2"/>
        <s v="35f3afe9986b765356cfcf79c6e3ce82"/>
        <s v="5ac91eed3cd38e58add0abb08c8f2d21"/>
        <s v="055f8ef0770b68004b75bdc635353ab6"/>
        <s v="948b94ed7c8114418a3f834c5142e519"/>
        <s v="9293569896e11a77de62b766331bd51f"/>
        <s v="59abf2e1616319f6acc5388d02fa6337"/>
        <s v="70ece40afe4f6e66116b10d222bc7220"/>
        <s v="f6f620d270e22b5a6cd787207e211dbd"/>
        <s v="2c0410ce1b94fdf7237355095c0cc621"/>
        <s v="d292ff833e0ccec687473cb3fe474ab9"/>
        <s v="ca844af6b01699674d08add814937cbc"/>
        <s v="af123a46f3c24b7da9134d0c493777a5"/>
        <s v="eb0641f4df1b81cb6d08ae5c161c620f"/>
        <s v="db0d481e2417b2fbde67af114d56df66"/>
        <s v="c4f7a60ba10de7e0037e73067f320944"/>
        <s v="de444256221168098379c2825dcadd8e"/>
        <s v="d59c281508d95a8981d071c9870fd84f"/>
        <s v="c4986bb33a5a21d5e4080840bd4a2a0f"/>
        <s v="13572eb3a2530f2fcd4fb5a7a65a9890"/>
        <s v="29b82e8d2441bef315ee888badedc5ca"/>
        <s v="43e0fe3ae18fb5ebb737b9012af49211"/>
        <s v="ab5692084b8f0af4bdd2dece32c8364c"/>
        <s v="2aa8c9df1b3d0122fe5f408f9dd47bfe"/>
        <s v="05f1816c012ae9b3d0c115e72aed1fdc"/>
        <s v="7cdfd0bb095ec9704cf6c7960b74c45a"/>
        <s v="9911237712bde29c346af68637460957"/>
        <s v="b5b0192f0d7a70de204ad4d524ef593f"/>
        <s v="495655bd94544af66ff9fa6500b1bd3f"/>
        <s v="27a8437cdceeee9033348ee6e20dae2c"/>
        <s v="3a524416d729f9e0d7ce7516b5da4877"/>
        <s v="029a52ab51f1aa935e58cedf98217264"/>
        <s v="19383f0251bb430c3d79b806f89e082f"/>
        <s v="5c79921eec5fd6b07d8798037c595993"/>
        <s v="11653b5518262358d36a090693ce1e13"/>
        <s v="4da39fbb39011106ec27e5e6ac4b82ff"/>
        <s v="8f4010646fb6d7814d401c5025a83030"/>
        <s v="eb1f9ca62d9317d8ba25f934c71a0c4e"/>
        <s v="a132a377b04c913c414ca6aa83ef5b66"/>
        <s v="d2967279e277b6ea0e37a20446debbf4"/>
        <s v="cb67deab82f8340b7ce831d5250934dc"/>
        <s v="138ccbdc4e702927a16c5678582d1a01"/>
        <s v="0fc9f7cf4488fcd2b148a0d67ada1905"/>
        <s v="e6ab5edaa69044aa029c14dc5d19795d"/>
        <s v="9a549df106354bf930a46cfc292fc316"/>
        <s v="b7b663269b58fd424835f068d464fe94"/>
        <s v="3a2f42a5b7f023f7e4de81357db2f3cc"/>
        <s v="9d5a9e6686dc5f50ffce300a5ed5c563"/>
        <s v="e604a0491ae239d007253098fda24873"/>
        <s v="622702c2ff489b06631aeeedffadcf80"/>
        <s v="7e0fc33f66231d352366b959665b99ef"/>
        <s v="f0717dca35df182f55219635a2a98d35"/>
        <s v="b067c1c455f7ac8a99c15453c70b4134"/>
        <s v="17e493d77a97a5c0209a101b6a2ece99"/>
        <s v="9d8167ca810d49bd988a85dbe8ce4459"/>
        <s v="a67d0083254cd4179856e0a6a37a0e0b"/>
        <s v="f80bef23c4d5a0abccc515aa6ea35ebe"/>
        <s v="a9fc7839b48713dd34b6decae498cadc"/>
        <s v="54e7d6a149c67a69676c0805371ed986"/>
        <s v="75671f15fb6171e2591032b98a227663"/>
        <s v="ebc03627f22af92b5f6aba1a124c07b9"/>
        <s v="fe0299731b9fc698e09e93e31d5be608"/>
        <s v="6c4a23820c9d10d052dea05cacd198c2"/>
        <s v="121b3b7bc60feb8f2dff4d6a82852d99"/>
        <s v="9f2181a1a7cd3b26742e9e9210f82b4d"/>
        <s v="a0dbd53fc6e40674989076e45838b3b4"/>
        <s v="955544bffb2bba3eda8ab825c099281f"/>
        <s v="adad0cf1f8245f50468eafc8d318b3c1"/>
        <s v="c40342ff3a7cd2d249e95a0a5c939c78"/>
        <s v="fe777632d5236d61ac1e36e40888454f"/>
        <s v="adf61c2fbf60eb9b1804c20c7b7451d2"/>
        <s v="071e01d69b97376bf2fa4bd794198e45"/>
        <s v="23acdc0c15bc76ebaddf92f4d61a6c42"/>
        <s v="817e36ab9f74b588d5280c5a9ecc4d6a"/>
        <s v="b109e55923f4ef85ed6b034a197c3b42"/>
        <s v="ec665ba2d627155996a54ae5d099ce4f"/>
        <s v="977654717fb9d68a27a96509526ca9ed"/>
        <s v="2b00dca67cd16478086bb8570b0b65b5"/>
        <s v="a1c80536f64c52315f3499b8ad6a0449"/>
        <s v="1e7776148bc7e5d724f157a64e28e355"/>
        <s v="a87bb4cde25c7826e9d0f37846da0425"/>
        <s v="02692c221752d14e0333cae93bb7abba"/>
        <s v="e4f01a6eab294cb16d39982ca2519962"/>
        <s v="fafcfd4d3b63a092858b3fa7a05fb0d3"/>
        <s v="d812f903ec6491b3991154b4ceff8d77"/>
        <s v="ab38189b60807949e65a0500217780b2"/>
        <s v="f1e83b4d3e7fc7535fecaf2976b694ae"/>
        <s v="a7f8457aa9de5a639c10347ff374f28a"/>
        <s v="859655292faa1c41d80073134d69e50c"/>
        <s v="085c6da92cade56f5a56a9bb2ddc701f"/>
        <s v="a5a2c26ba961d95946780f9773a9cb7e"/>
        <s v="df414a6313a269f5616d7cbec4852ca4"/>
        <s v="edcf6d87ec4d070aa7a1ac4344fecdf2"/>
        <s v="9f5db8ea1a0ea1b9d13424064888bba2"/>
        <s v="074d7e5be3165a8c74a954e160eec8e8"/>
        <s v="4b492dbbd07dcd39643ceb76f7a65b95"/>
        <s v="fee37a593370e0cc35228f8e08a4d445"/>
        <s v="ab5cdd29661a785cd6ed42e3ea0af2ca"/>
        <s v="0113ac756a546c986922307a4b323b99"/>
        <s v="d517a8439844270e1aade8518c61d334"/>
        <s v="6195ab344898e75fa818d7ae7f11d154"/>
        <s v="0d29131626dfc50e37bd6f5ba821fe7c"/>
        <s v="3a5c788558ee9dad7409e91d6b5d93a1"/>
        <s v="cca85fa0cb8a1b95b92a1b4be73e5957"/>
        <s v="bc096a5a262c371bb7d650d64a58d8aa"/>
        <s v="634a9f82ab76623b57c615778cfcc34d"/>
        <s v="704ebe5cf59d6fa1cbf60e5b319f5e08"/>
        <s v="f3a7586d1215d7ce5923e72e65001216"/>
        <s v="0362be763b4b3e1313f40c91b5659d2d"/>
        <s v="8156a225d13ade6225257f8e105fa247"/>
        <s v="d12b1b5e9abda7a02b83be15bc63ff08"/>
        <s v="10d4cdbf6fa558d618776ad10e94cb3e"/>
        <s v="c121b635b63d9a68ee2a39e2cf1aa387"/>
        <s v="a9166899d527dcd6ba4f3b198955b0c8"/>
        <s v="aeb59b70eecd893aeee031a894de8553"/>
        <s v="a151f9721bed5a27284f165fedf7bc90"/>
        <s v="8870f1d4affca12bd6b9f5e809c9b2c3"/>
        <s v="663f3183901582606756364b871d1004"/>
        <s v="555a56bdd555b356d19655625462b0d6"/>
        <s v="6d33f5d012b6e5db1b48861d4b92cf54"/>
        <s v="cfe125b4fb6061c05c6877db075d51af"/>
        <s v="da383a764c76ca7267d7ae6dccb0db0a"/>
        <s v="cdb79ea53d7154e8436ff6d2e9574443"/>
        <s v="00a54f680484144e18b668cc6abe4a84"/>
        <s v="b11af9dd8413be4eb5b1120fdcda00d8"/>
        <s v="77e1f18061dab9c8bbf28d87e048eb4e"/>
        <s v="1f85cab986b7edf878f386478a8d769e"/>
        <s v="4ab14cb96bdb39bbe4a64211f1025edd"/>
        <s v="587de58e3958031329c6608238e366c1"/>
        <s v="a759771e26cfae486275dfbe0e3c471b"/>
        <s v="8c0212c8cc635d073a3e6bb8f6739400"/>
        <s v="cf1e343db665ff26cf4e6b81c848641a"/>
        <s v="252a2979e08cb590e36da8872c751e79"/>
        <s v="575454d1bc0e37d3b6db8a851605cdfd"/>
        <s v="8eccf4857ef3d46d5ceb971250c2fe7b"/>
        <s v="247a33e0a76fd5f79814f56e7800a306"/>
        <s v="a56d63c70cb16dfea768da9b2fdf86e8"/>
        <s v="13d9cdef245cbe3a0743a2d1a1d47ae7"/>
        <s v="9790bbc4abaa2e7c4715f3aa06a7f5b2"/>
        <s v="a5c004615e29f0097cdfcd828ae539fd"/>
        <s v="812df09c764e167979a0553fb133ca5f"/>
        <s v="c212045c832aa4b27e61b4e4545eb195"/>
        <s v="7c020616c029c2cc4b8a65d665d0989d"/>
        <s v="8ec09395d7ad00b7ce70255c602ce5f3"/>
        <s v="aebdd7a3d29e38915262cd337f920df2"/>
        <s v="eec1d4cb70d2c6c8c8a44e997f3da6c4"/>
        <s v="d9901e1754764c3e09af5c08fc586b1e"/>
        <s v="3cdd820ef03ec8c383286436502cbf18"/>
        <s v="f8cd9f880e09bb30fd555794df3f62c0"/>
        <s v="4a8c76ccf2c17dc8b3900ba9a77c4f82"/>
        <s v="fdd982d1ab12305d0f6c1a4bab23e5bd"/>
        <s v="fd08cdfc5fa6d99dbeae8cb53265691d"/>
        <s v="a5a048e7c7e3173cb1aa98e973b2ebb2"/>
        <s v="1419e44c184a655d2aeefc58a3a96077"/>
        <s v="2498b787e7f74d7df3a3cbc60bd4c087"/>
        <s v="96b0abc53e73be64277ba049190eb19e"/>
        <s v="a81534e2aef5efb30d7361f99c4775b8"/>
        <s v="351bb9b7f21aebcfd70a7420bad4ebfb"/>
        <s v="38fa0021fb93627f48a16f82b47225bd"/>
        <s v="7dfa52af873e8d46ebf995ba2dede498"/>
        <s v="c782ea397a1fd72aa451024304d751ac"/>
        <s v="443923b1a2d7d310cd574ea6badf4a27"/>
        <s v="9e8ed1c2fefd62af58d7a4e08c4ab3b4"/>
        <s v="9e4febddec5a22da1c5ae9103cb45e11"/>
        <s v="2a881119a909bb7900f4f920e3fb4de3"/>
        <s v="39627782d11ffd7b14d5144414eb5b33"/>
        <s v="f7b0a0afd24937813de64a91dfda4e66"/>
        <s v="a1c59601ffa4f914a158bd9ebba87334"/>
        <s v="931466f30307ffb0d434b381bbf23511"/>
        <s v="37f7dbab0cdc2df4251fe526387208dd"/>
        <s v="4003aaaaae89978177857ad0940b572d"/>
        <s v="08168e20598bbd48aabd91449e769553"/>
        <s v="740715fbc7af1317e61bcc3256abd40d"/>
        <s v="2b6ba75d662cf6dee05f77746feef4b1"/>
        <s v="41cef3b347327afa887a85ddd30105a3"/>
        <s v="7b30eb654c7707eb8500bd7847bbcc12"/>
        <s v="042040bbfb1503438e0aec01dbe086c7"/>
        <s v="fab2b41b39a38e60d2b952444d408012"/>
        <s v="e89f974fe6f64682b4c3b9416f5fe561"/>
        <s v="96220c80fa86f054be7e8c6c8db36d22"/>
        <s v="4a14c35dfa6b33f43aa03fbfcb96d7ea"/>
        <s v="2e544b212964b210f391da0c28305cab"/>
        <s v="a31288be0147807fa132df6884216c39"/>
        <s v="ba81cd21203dd284a8d63bfc4d1a1ff5"/>
        <s v="ac680ca93b2d62658ba94648ef46a0f1"/>
        <s v="9d7147baa7e622eacc56f9d251d3b62e"/>
        <s v="7fed71d4d3bf4f2a63e3a25e815aae8a"/>
        <s v="1a9aa32e48fceb17e7e2081c1fb2b59e"/>
        <s v="72bab8600912525ffff7dcf7bcf4e745"/>
        <s v="b68fcd09ae681013153ff1a5856495f0"/>
        <s v="1fa63a387d0a3d19e388aa3b711ce1e6"/>
        <s v="43eb80caf0561a1b961d50d628ae4999"/>
        <s v="f56c1b1d5345147bb6e3afec0469591c"/>
        <s v="3c3146ae3e68a9b926409768c305f3b3"/>
        <s v="e7f635eef59e2e99a970aaac0edfd388"/>
        <s v="f2b63ab260e14ba50050625004967751"/>
        <s v="b597a92697d1a03fac205db4f2e1aec5"/>
        <s v="570c50af0622f188e1750ac2fd06bd53"/>
        <s v="15ae589fc28271ad9c083b0d8eb70490"/>
        <s v="1c6ff46b9f627423f10ef7cb2e1db59b"/>
        <s v="d55bc195c978c4ffc87ecdf3febfe46c"/>
        <s v="a1fc79e04ff594b45f65dfd58d72ae21"/>
        <s v="0ab3afcad7149f025d7e40abedd4eefd"/>
        <s v="f9c5136f614e03293252c55f6dbef195"/>
        <s v="7046c954e8f48028bebb04bd2fea9e49"/>
        <s v="2661afba5914ec3a70c3721ff6e0efd4"/>
        <s v="cc919e69e991210f5efbb52bd9ac6b02"/>
        <s v="50c21ae4df452a58e2be051d163df558"/>
        <s v="e027e08e72f10c1199f49d98bea45791"/>
        <s v="c989ed7d125ce049e968735fe7fb89d1"/>
        <s v="0447ddd9b24376ab4ac7a7f1ab133c42"/>
        <s v="f1f60228d960830e2cce5f3d5a472df2"/>
        <s v="482a7010c5dd6bca5b00254e5c04301d"/>
        <s v="d5305bd69f38beebe90ecfe4ea461e4f"/>
        <s v="f023a7ad49a2d4a9a9be817d5f9029c5"/>
        <s v="41224e4aafed7205d280a4fae214aeeb"/>
        <s v="de1f9b72074eb301f855104cc4295bf4"/>
        <s v="754565f3bf4d35b362a466ab6f90df03"/>
        <s v="87454ce9af063128a6708b23e0e73131"/>
        <s v="6cf63124e28fc0663930588509eb4d6d"/>
        <s v="e4c23b42a18cf72729e974d03d20394f"/>
        <s v="6109d6e45acda52508d0f2c2712b5285"/>
        <s v="6294840eb08f71a99cf92570a0c346d8"/>
        <s v="bc7838c6f0e5c4d6323b5d4ed8d2581e"/>
        <s v="ed12bc975053c4aa41cc908d94e32663"/>
        <s v="de4d96e6e13dea7f85a73277171f0555"/>
        <s v="12d989a0b24bbc1d9729641d4adb4e98"/>
        <s v="243ad3dd29e27cd43c43ab6886b7a3c2"/>
        <s v="bfc940637cb47e392fd4f196f8471a40"/>
        <s v="40de4b217daa489cd0ebcaeccb7e0593"/>
        <s v="6f5fd458b383a6ec7c5bacc3fbe085a4"/>
        <s v="7b82bcb160efc588dd67f9dfbfa19f29"/>
        <s v="b56459ae5106df05704320e0e76f0418"/>
        <s v="defa06c26e1a5e6f2b597f59fa23a290"/>
        <s v="c1e84709b8138a907cf459987fe58b79"/>
        <s v="a037bf6a1079fa6bb8f41e0c6088f3d5"/>
        <s v="0d0e254723f233d755afd80043d7c7ad"/>
        <s v="0c7a7ca6678a3adcdf93304d40054302"/>
        <s v="25aa96d0e4bd8964cfa14aa42fd95d5d"/>
        <s v="630f105100bf6a827277d94e01899211"/>
        <s v="96ec46c91687a0c3c31cdcffc6bbaf6c"/>
        <s v="424c5f63da664017b24cbef5b1555dae"/>
        <s v="fbc05b820dffd7cb1d455760d8696554"/>
        <s v="308f3b5c44b7083ce2e032c5df1ebc02"/>
        <s v="99b6c313eceb70fe6bf0910dd07512ee"/>
        <s v="6092bca40c424ed0ef0bcef816d8d02a"/>
        <s v="679ab3818883ec20821629d88de9357c"/>
        <s v="65cc910d14faa5a05b2ba0d8c6527702"/>
        <s v="2845f29918c4fa3dbe6b4aa642876f4d"/>
        <s v="a6ad26d7a505aff9f1bcbb44bc8d9c7a"/>
        <s v="06c41c83264c2a15709c74cf3c569a6a"/>
        <s v="7a48ec5fb55f3011ad3238f40e07f82b"/>
        <s v="eb4bad2f77a44ee9189d304b4f458280"/>
        <s v="4dc0067eb04e6dd6dccbb5ce385547f2"/>
        <s v="6bac3835d52427e4fbf3ca32bde33b3e"/>
        <s v="8e2c00f0224d2095ef623906c00775e6"/>
        <s v="0e0f5e5810a77c7a046bee5aebaa2675"/>
        <s v="834e7bd1f1dec51daacda92eb1d7b426"/>
        <s v="4cd2b01914c1cc2dd3bac5acd56b89de"/>
        <s v="88fcb6ce2df42be7d2db79fb0b6e8bd0"/>
        <s v="4dfbbebbe0051d0f57669e6ffdf528fd"/>
        <s v="efc7f281275af5aeb62b42382cc413d4"/>
        <s v="fb73c0d84844b548e27d4e8d429ae7d5"/>
        <s v="19c09e9f2b6e35b5dab22dadd44729d0"/>
        <s v="dd656c56b92d5d545120737988e89a16"/>
        <s v="848fd6499cc2ee95f2899e4c310a9937"/>
        <s v="4cf45f5edf3fac63abe5306e85d9a3cb"/>
        <s v="decac8fc1b079c0b21f7b5ac492c5fa7"/>
        <s v="796d93a20f3e937ad2ca346da5c5a4af"/>
        <s v="e4699fe7ae007a745b3c8a9a7a706fff"/>
        <s v="291a5047b23cdc5bca5fcc0138044c41"/>
        <s v="4b3a1747c5f6beac7adde20e317832ee"/>
        <s v="13b5d49f0d86490e864ab049c820be49"/>
        <s v="38ac2e624d35d475c32d755927d2988f"/>
        <s v="25793a2f1ebdde83d4ede695b895d86d"/>
        <s v="9498449afcd4705f424cea2fbfa701f4"/>
        <s v="e56a7b370c90d964348d843adefbb2cc"/>
        <s v="bbd94ab5da8f2525ec20a4ed9ea55a5c"/>
        <s v="a1155ed0e2f3a4edd1f4046980d51e1a"/>
        <s v="ee8d5c7ae9a9531e7e077136b47758c4"/>
        <s v="1f82756933b6ae4560ad8d1726a73093"/>
        <s v="f06accb322f262dc319a7859cf46992d"/>
        <s v="d368c7f4e78f87a621ec011d8ab30101"/>
        <s v="df495ebe85542503fa64472dfd378c77"/>
        <s v="21671509a5c445e1593a5808470bbe3c"/>
        <s v="fd7499ef7bb973474ea1d4128f6a1281"/>
        <s v="60e38c4f99b0ad661d4e847ff5ba698f"/>
        <s v="84f37da968eed0d309ca14b37914d285"/>
        <s v="4ec646eb4f04f100bfa82f566e4b005f"/>
        <s v="f2361ab1c0e6d23215a8bad50ebd9cca"/>
        <s v="741ad222745fa618315457313cb82435"/>
        <s v="24f0e41b13ddd9a1a8b26abf698c8ad4"/>
        <s v="3431ca4a3f86e9f8b9a37f0e845019de"/>
        <s v="085cd98d0376e233e5f75f69cc777e37"/>
        <s v="fe6c301b75f1bbe9244f872c9841bae0"/>
        <s v="6236bb0455a02c42d10d31c2bd6fed36"/>
        <s v="9ca26bc54582903cf7ab5a3508b33054"/>
        <s v="f69c117c8a5e2cc7c583a5f6d0d12aa8"/>
        <s v="372c4432100fe985d6e7f1bb48a8093f"/>
        <s v="0a1714fa1148ad621b4ae50c9fc31bfa"/>
        <s v="9d450ac39e424180bd1501d46a4da2da"/>
        <s v="f4b9e1226ed1383f4bee941182addaca"/>
        <s v="78c5eaec19c940d9cb6d8bab591845bf"/>
        <s v="416cd5e3a7c87183bfa28e6c42cb0fef"/>
        <s v="b459ca494cd19580e6416907a395e6ed"/>
        <s v="fd26132a4d47874d6bb6bd741e2215d1"/>
        <s v="68806c29bcede1c931e0282e19e2e857"/>
        <s v="65797a7251f7284dd14443ba2f2fed45"/>
        <s v="14530b970fc4412769796617147ead46"/>
        <s v="439d8a7ce9b7647705d81600a4e33219"/>
        <s v="f9adc3ea888252f223504a77317f43c9"/>
        <s v="63c691db645157cdedf0fc60a48e6a0d"/>
        <s v="8de053e8dc6867e5709ca75c72665f29"/>
        <s v="247bc44fb7f460dedf60cd5dce73cd48"/>
        <s v="b724c2c6abf9da89c5ca7cbadee7d859"/>
        <s v="794a89b9e70bdebacd20fae4ebeb9b2a"/>
        <s v="7487691c4c2f616a2743139b0cf05aaa"/>
        <s v="0472251747b3736193a5164006e89335"/>
        <s v="45c91319c6d5100942d105f4feaf0e81"/>
        <s v="9c305e5338d05108a3247cfa69bad5ef"/>
        <s v="764e46b5c236fadbdf0fe20e110e1a81"/>
        <s v="fe5738445157dca9c28fabae82e52a55"/>
        <s v="ba6c855d857b632d1c0f6b9a8abfe554"/>
        <s v="9ac3452c4970e2f53962733f67e388fd"/>
        <s v="37a63948dd31866085f0d22d3854b476"/>
        <s v="aa3827e0894de61462b778b94fad4a7c"/>
        <s v="562d151e7821b05f993d5ff9e17fa8d8"/>
        <s v="ef06ce8a8f298570e6a63a0f3fce08e4"/>
        <s v="a9d7915298958b96c6d513cf84992c91"/>
        <s v="24e2b8b3e84515c735274312dcb3dc3b"/>
        <s v="39ad9ae26a1e98d142bf12789c59406b"/>
        <s v="65a9b38cfe392a2ca5a61c8af72cf394"/>
        <s v="a704e2cd0ba85a181f76a439017537b7"/>
        <s v="96da69a436c876052c2dff0b2f467700"/>
        <s v="892ef732118c4d310382a9304e9d7c21"/>
        <s v="66c3bb80aad17f60bc36b36c713677f2"/>
        <s v="7f6fc00df616e7238aab0da79c68622e"/>
        <s v="8f4b9d645dd1245c91c9262eb35d17a5"/>
        <s v="96a8424e483946f68c57cfb49378a85c"/>
        <s v="523bd2abf18d0a727ec3e65fcb061420"/>
        <s v="b466976140a5cd6f0d69aed409ab6aa2"/>
        <s v="83d4437bfa2f13cf23ad803ec6521fa5"/>
        <s v="483608e73e63b75d83ee220f0b12422e"/>
        <s v="811ce2d4d154e7809b72781330468d3e"/>
        <s v="2880b933c0aa1dda68e6354d0ea163c7"/>
        <s v="2fa923284af7337b1bea691a11716730"/>
        <s v="0ec6959be29c8dcf2d53142de79d2c3c"/>
        <s v="8255e1fd94e343a148511904948c06f9"/>
        <s v="aea69d27819a09d601d3167217d714ee"/>
        <s v="f0ac9b61e5241eaca72d563bc5317746"/>
        <s v="91efc5796a7c006887418a5fe825f84e"/>
        <s v="2c74775a0ebd833284aed99c1f90b40d"/>
        <s v="3f5d8376b40b0deabc7ab97b171441ce"/>
        <s v="a11fee13890437a19a35e13c7cd91586"/>
        <s v="659cd1dc7da1d156435f1d88b3eeedeb"/>
        <s v="049972e636b84a1621d9ca326a818a13"/>
        <s v="5ea3a07888561c8dfd8e1afe15af0729"/>
        <s v="3a4985138a4a30a43f23641cd4e877d0"/>
        <s v="fc209441fb86196f3f1ba187dbf5ed91"/>
        <s v="46cb19b26ad78b2c945868e2a79035c6"/>
        <s v="12b0afdb4ce6fbfb36422c84216e27bd"/>
        <s v="dc15d37c60d494c593a364cbc9d3ac98"/>
        <s v="62e2c50c424982c79c1f1ecace3259b2"/>
        <s v="65f22b7274a20e158b4e21f54664ffea"/>
        <s v="33df9a6ab60084972412d9fc44bb40b4"/>
        <s v="ba2391ec28a17ab6e49ee25a57b9a9f8"/>
        <s v="77973531b1dd29d8ae7860daad50a656"/>
        <s v="b0d2bd543b8593c713d8003fa53e22ca"/>
        <s v="3e4d7ed8ff06336ed0046bcf863faae8"/>
        <s v="f24f5ec50e258ee0282f9d77e3679b62"/>
        <s v="031edb3ce43219e204b0e968821cecbc"/>
        <s v="5f29969bbffab212f20b8ac66c8d3029"/>
        <s v="d733bfe1373d8462fceb23c2f6f75ead"/>
        <s v="7309a13e85b3856b06e0093eadc764ca"/>
        <s v="74f605f7da11ab0f4a627d2cd6b5ffb0"/>
        <s v="bcbf4469113aa7699af83467d7ad828a"/>
        <s v="488aeb3d9bbfc67ee20f99779c8784a3"/>
        <s v="061c1c5a59eeaa56a56067076bb76bad"/>
        <s v="8d38a4f0c7ec34a2f7eb74be97a09c25"/>
        <s v="c823131950ef859483ce9faf5472336f"/>
        <s v="4790ffb023ce10926464b10cd876d261"/>
        <s v="35d7c95397ff8ff938e3e44641bb55ce"/>
        <s v="3074aeff0070f4cbe0cd62c4bd4fbe96"/>
        <s v="1b90626f6f21f298cca3f6ed95449177"/>
        <s v="1ff29eddc3256d9871dba96515017973"/>
        <s v="91977a8ccae8be73e637e4a8fbf938a6"/>
        <s v="9a6c33d27e817df9b34d69347f10c173"/>
        <s v="8355f805deb9ad2b6da476745610ebce"/>
        <s v="8d8718536f3a9cfa1a4fbb65ed5a03e5"/>
        <s v="f81f74368bf33fe3ae1c102355fb609f"/>
        <s v="2ad5be2973f18bd2f76bd9ef3b6554ab"/>
        <s v="164565ceaf9201e490df7070dda0b3e2"/>
        <s v="7597544adbe09b527ca16e665c95d6f3"/>
        <s v="dced11daf5eb5662b45c804c9af0727e"/>
        <s v="f6aae3bad756381296b35b0ca35fdf30"/>
        <s v="bb60616ab934529f04a7f442ddbcc1e4"/>
        <s v="f5835c3000849b99a86927b1691c1f9d"/>
        <s v="1971a265c0b55ae411c06c1f29f7ac92"/>
        <s v="625d31150747d4ae8d20c8a489a5d48d"/>
        <s v="f92f75b09b9779e0480ac6bccd67d65d"/>
        <s v="791c79f1612132873b745fa6f611562b"/>
        <s v="a0bd0d61b0f7d9549c3660a588bbbfd4"/>
        <s v="4256c684db92b205fffd85e795bf8deb"/>
        <s v="1d7be0f4c2e59857be929bc77a2c974d"/>
        <s v="f40575b74c26b53daa51d0d3c4756a6a"/>
        <s v="2b8290349518e38774378ffe38b59154"/>
        <s v="ebdb2f54620828e99eead73f1fd7129e"/>
        <s v="eefea0a978d783eee6cafffb62c186d2"/>
        <s v="aa375f80e71f6f3b3d5754836258ae09"/>
        <s v="b9debac4f989506655237a469afe7cd8"/>
        <s v="07b5434393095f28786720534713c2f1"/>
        <s v="cf7859a7805dc837b8a3249e75e32dbf"/>
        <s v="9aac0a9651aa1157821c308216b89b18"/>
        <s v="8357eaf6825cab6c00463d7e6c83045b"/>
        <s v="dfa812272fceebcf836b6670376108be"/>
        <s v="5166b6d6dc85ee34d4f11c787dcf608f"/>
        <s v="30998bd444b498a27ba625065394b9cb"/>
        <s v="48f50f0f8b2250288daa7ecd7d96a8f8"/>
        <s v="c8ed551e9572052fddc7c35c0cfbca3e"/>
        <s v="4a88db073101f6272efb800f4f1f6ec3"/>
        <s v="6e4d9f1096bcf94e73790328d4ab8ff4"/>
        <s v="e5ddb0323b2b5f73ddd430489830ed16"/>
        <s v="6ee3ed3101f1b01390a0977bbc752695"/>
        <s v="d552737980eccce5f27a09dc8c4f51fc"/>
        <s v="ab3e9bd6d0fa8c63275f659b2d7f39b8"/>
        <s v="733ca49c1a8795799e74eb5b76173ec6"/>
        <s v="dce7f8c0f12d71a69dd68fcfa9c21728"/>
        <s v="4d4c3d7e4cf26f5e8d007b95d2cadb74"/>
        <s v="bc977be13bcb4a1a6d2eb73e7f2f03dd"/>
        <s v="36c30c7e8f5cb48dd56fe80307c410a3"/>
        <s v="8c8baac562119adf443d9de29a7d5714"/>
        <s v="0dc7b9fb1da55938c72d7ba38926be1f"/>
        <s v="25a84fcfbb85711575c22f2b4a287a38"/>
        <s v="c24848a14aa1dcda3d83a52bbb809c81"/>
        <s v="738fe94da2786480faf833390f542499"/>
        <s v="f7cb5711f7e696be088551b9fbcc412c"/>
        <s v="7682af9197497dc92940f940e80ea56e"/>
        <s v="2d475bc5422b7ea30e7b3e5e5f786b43"/>
        <s v="1a2c0a1f553e50e171a509a01ae234d6"/>
        <s v="c38cf7d672585e7a9f0ee0a2800a0c04"/>
        <s v="52de8fe3bf3d733688e6b2195a288839"/>
        <s v="7a5fa078140d1eacc3dea3dad59147ae"/>
        <s v="1675e55b6bebc6938e6f0bfa2a796ba1"/>
        <s v="c217fb84d297de2a494df38922661dfe"/>
        <s v="b0619104fae5516dd438df9db24b1ec0"/>
        <s v="f5668c6e4d48bd6ba43f30cd376a0a8c"/>
        <s v="287b3891c76f490605dec6211844d934"/>
        <s v="44a802b9b2519de2be2c50315af9345a"/>
        <s v="7a6e5b62d6ef6635f5e67140d76e8d9b"/>
        <s v="bdaaf968584652e6a8393cb15403c43c"/>
        <s v="2189cd9ae224ceffb931985ddaef3125"/>
        <s v="d52f3aec51f362cfbfe525847e266239"/>
        <s v="8311227abf517ff5e8882b9d5b8a3a53"/>
        <s v="456913b012efbbbc8eda380c7392acec"/>
        <s v="dcd99e010dd832895745d1612b5288f2"/>
        <s v="fb6500dea6221826e348c04d933f3794"/>
        <s v="d4691f15d56d3e5f615cbdbdaf8358ec"/>
        <s v="9eb4b399d7470c46dfe5be6f4cce2f58"/>
        <s v="f55cb9c70fd83fa946f021b8614c31ec"/>
        <s v="b2e5612c8fae2cae025acdec9bfbd780"/>
        <s v="bb7c8a0dc55f10b3f9e0f559e3793c86"/>
        <s v="493d1d81be0820670270687181f436b4"/>
        <s v="9265f97fd2c02664d71e6c39d8cdab7f"/>
        <s v="fd922be4ff448680a1b2545e911f661d"/>
        <s v="1ce92f87ff2e3134079cda0941e239f5"/>
        <s v="e25c90222a8fb87fd415568316644d68"/>
        <s v="6238c3c89df9f61be5e96afe8d4becde"/>
        <s v="d0cc43b03cf4d442e510580142177e00"/>
        <s v="e85dc5c9550f9ea180432cf28e07ff68"/>
        <s v="a7ab8fb9af08b088ab0054cdc27a7c94"/>
        <s v="4cb4d5fe0a56ff62d4a1c267825f5099"/>
        <s v="12c4ec237fd61fd9b12c156db9823e9c"/>
        <s v="cd57780a8cd3880302cd3eb51fcdcb6f"/>
        <s v="c9031c7bc48bfd521d2178d5857a8aa1"/>
        <s v="eb5de40f94f20fa6a9c0502eed8b347d"/>
        <s v="9dc766ae8b50cd6740148dd80ec0085e"/>
        <s v="42f7688a263123903f0ce8b447e74ed9"/>
        <s v="63d4e1f58830b4bd2bdf3abf72f7b9e5"/>
        <s v="fe24886e02edccea1b62c1f99b97f702"/>
        <s v="c0e4da2cc5c486f255e57b062062a269"/>
        <s v="96f90de8a10a54cb608503bb07438184"/>
        <s v="7a48f0da901804419509107991c3b941"/>
        <s v="0a0cbc6e891b46fb3b4eb1f448dac310"/>
        <s v="85ea6a42deab25c868e696710db92204"/>
        <s v="4a6c626729bf11a830190d6defe3ef86"/>
        <s v="e018138f12ffe0a068b3bc0734f5a9ed"/>
        <s v="6c684a6607dfb657c3a91f8be8517522"/>
        <s v="8ef8576d8c88a92a1c9dec5d87129baa"/>
        <s v="a9f4cb50a5ba2d047c29c8dc799aef61"/>
        <s v="2ffe988f63c59b249d44da4d21d5877c"/>
        <s v="a6421acec1e6e9ef4129d99bd232e8c1"/>
        <s v="30139f6bcbbfc44781adb21e0f5b1fee"/>
        <s v="4bc13487c1c6b181dc04f4d32a5263c6"/>
        <s v="db1fe014c4f78c816406bcf6ff5acda7"/>
        <s v="9825ab38e7863eea08a4edeaa8b1d721"/>
        <s v="7b897196a7181bba2475037927178385"/>
        <s v="d6188f2fff864ed4f6c0a74ca9e3c898"/>
        <s v="b274d9a72c570f90a93dab74d228e089"/>
        <s v="3efb7be69ad9fc70a702e9caae23eec0"/>
        <s v="757ee10068698a1b45af10053ad4ce85"/>
        <s v="f9f97e6ff07e9bddff8498136d2fd394"/>
        <s v="471f1eb05fc1343e2bc47a3f30f76dbf"/>
        <s v="4094007a7850797977cc89b6f5a94061"/>
        <s v="06d55157cfc1a1c12dad397707308a0d"/>
        <s v="caaddcbcc542fabd47ee69b1734e0f52"/>
        <s v="88c838f98d3f97512ebf5c2310aa9bc2"/>
        <s v="73f45a47577a6c13a4d0a6862507dac4"/>
        <s v="15be7ce21c528667137c59461e9b1f89"/>
        <s v="3b5ef8271d6ccd065d60d13421a4bc5b"/>
        <s v="1eba489e4410825cbcb55f9d9c2fef86"/>
        <s v="df56e9b6cd21770f36f0b597730e7156"/>
        <s v="fdfc234386b59a2d80cba783691677d7"/>
        <s v="dd4284a6ef69f6beb5b40c9e0182b5c1"/>
        <s v="2142693913896266ebd72e4189dd4b3f"/>
        <s v="a408376bfd08325e70846f2c75ef67c8"/>
        <s v="de58075a69fd1a909056db8983e59e49"/>
        <s v="fcf827825d7e73929b48870591b4ea2d"/>
        <s v="1be09f16fcbbbfd7e88718e57563d7c1"/>
        <s v="f16ddaf2393d4989a3747866a6e00b04"/>
        <s v="167beaeb7453758b48cdbc98e2268317"/>
        <s v="da4f497a72146e638ae8fc9497472782"/>
        <s v="3e35997ae54b9c3d5cadc5169a419fba"/>
        <s v="af795e6a9c500a70d31794e791aeebb3"/>
        <s v="ee600b7d862488a9563a65b796770885"/>
        <s v="6f4696ba1546803def8d9201a4ba0eac"/>
        <s v="cee0caaa4b7e31dece9ca38d8084001a"/>
        <s v="26db91f64c81627c3888eee3b5dd86a6"/>
        <s v="ef2cf18ad1c37119958f34cbafd2de0a"/>
        <s v="1cc5ffc15fcaf3ce6c4a1c81328f12ea"/>
        <s v="e5cba599a78f7724b3b5afe473450f2e"/>
        <s v="facbd4e803aff7e38ba14196da580d5c"/>
        <s v="e7c73faf288c0f879e75257027bf9aa2"/>
        <s v="73da083aa52003c3b100ecf21b794e24"/>
        <s v="61d4bfe489646dd8eedd8ff4c32ded1d"/>
        <s v="3436429e83ea3e89e0c5ad924253061e"/>
        <s v="1e2b3fdba2a1bedd28e0ccd1815a1b92"/>
        <s v="623962241c10cab9dc8c81d768d17b62"/>
        <s v="9f76b542d23a64a53a1133268e6ea6ac"/>
        <s v="b86a33187d802b2c5990ff973725077c"/>
        <s v="0d9214d033e655ca2cb49227460f1cd7"/>
        <s v="76ba82037e9ad4faecb338275cb4f124"/>
        <s v="96e80abf57b486a4af024d6b71de0f0e"/>
        <s v="ec63917ca641bdfab3771486ee510524"/>
        <s v="01696cbebdcf2dfadf53aff55208341f"/>
        <s v="d66b7bb31c2fe3ff27a9d15c6cd76035"/>
        <s v="eccc4dfeb7b99de3b547b3a4230c45a3"/>
        <s v="5c4451e469959206f1b8f02a6c2282d7"/>
        <s v="7fbfda27b28f5030862abeb25fd14453"/>
        <s v="9af225a01f3c3c24ff08d50cc4481717"/>
        <s v="890bbeb68f7dff9c0535a3722b1950ff"/>
        <s v="dbb55196e782d9e11a3ad8a272fa9e6c"/>
        <s v="a4612b41346ae2cc3774705e5796116d"/>
        <s v="8679ac9d8b0a09202ecfe3028e031f23"/>
        <s v="80b6e20d047c4a02d7a4b3ff06010fec"/>
        <s v="fde9cbfba4dbeb774ec0ee7deccb11b4"/>
        <s v="758e2cd96faadb06838ed1a03700648d"/>
        <s v="3c0f012a5201e7cbfee3827fd2dbfe28"/>
        <s v="2c41c507f871040e5b952525a44295b9"/>
        <s v="682b73912b2dee5f450ee6bbb798af48"/>
        <s v="0249e98b228972cd311e7b11a58cbc23"/>
        <s v="4d9bc274ed5aa1e2c25a3672b92de32f"/>
        <s v="a13203a6b82eb2712ff89e7d58e482fb"/>
        <s v="42d5302f888f363baadbf5ca6cad584b"/>
        <s v="242c504cf37d636d828e71cd2e96491e"/>
        <s v="0592040f51c5bac1ceed9b7b04dfc2ba"/>
        <s v="1abc02b0d16ca90e08fd08de743b3ab9"/>
        <s v="720c29f8cc68cd43f4fbab02e55c69b8"/>
        <s v="74f17f6c2dca2932a5666063650fcbd8"/>
        <s v="ff5ad71f2fbfdc9d71ea3cfc39598d41"/>
        <s v="8ee0126a775903128297067424aa2cb0"/>
        <s v="876ddab424dbf4977db7b556309e3040"/>
        <s v="f8268de034a0ebda5766f9647f634fc1"/>
        <s v="4203aaf143232224590ce5d89d54ded5"/>
        <s v="666c61958f24534917486c6a6d658efe"/>
        <s v="6f626ed0ff44a10c16c9dca5127901cc"/>
        <s v="2ee04cecad2ec4426737917831b190de"/>
        <s v="ab2dab905bd841df6ef21dfb01175a30"/>
        <s v="0512e18ded9bd24597d81dc8113ccac2"/>
        <s v="e91126f719894793e7afc68967db7181"/>
        <s v="11d2cef26e8ee6dd67fa41c0cd0b260d"/>
        <s v="8ea81c6cf16644625b9f821f287dc589"/>
        <s v="d86e584755293251a9fdc5fdb1d06237"/>
        <s v="87d043c7d9d2783a45a4008dad26b1bd"/>
        <s v="9db3fe84437530a813cecbbb56c91244"/>
        <s v="bf36391679c914c3b42ee36fa9d18f9d"/>
        <s v="5831c9191d660a920bcf9a0445443296"/>
        <s v="4531c2ac8609eed850faf28a325545af"/>
        <s v="56663c718d0f8315fd1ce968491818e5"/>
        <s v="c487ec455258a2a69f695a6ab492c395"/>
        <s v="a3d267a7848a0fed88d695c3f16d4107"/>
        <s v="aef5d88a079776c3b91064f5929d4f40"/>
        <s v="8b474c7c240501112c75897de5a4c01a"/>
        <s v="65ddd2d8db482a7d90a13a922b646c02"/>
        <s v="82a751bbb28a57e66eccfcce9137d28e"/>
        <s v="6bbb7f5ee61da544b598eac8464b9574"/>
        <s v="88e6a45ae0193b57e2702f1435048c3d"/>
        <s v="06e1a9138fac6ad2203ed00ccc5a395b"/>
        <s v="1ed0400c61b0c9544a26c372d4d98af7"/>
        <s v="172336b380d1c2f25c1eed6f338ad170"/>
        <s v="215e3ef106aa4c473e615da3aa818c97"/>
        <s v="afc2f2b1abc909d88bac8b1389f8ebc6"/>
        <s v="21030d057cf3b6b0f09fb2e0b296bdbd"/>
        <s v="f51798a8fe5b5cfa259bb8978696bb87"/>
        <s v="07737ee50fe3bfdcb348158e52495226"/>
        <s v="a3005e48a7d36fce6ba76822b4d5c609"/>
        <s v="fc148e48a61459b693e4503dd684c76e"/>
        <s v="683c4ea78b90e02c86b2b3ea956d2fa5"/>
        <s v="a1f4b68816260a940528200979d6a455"/>
        <s v="9a626ba9cdd3a4ae6e34cd9b45d637df"/>
        <s v="a316bb908badf89e1622bb51e604e040"/>
        <s v="51ecb0a009bd1ee7acca93212861dfbe"/>
        <s v="20fa88565f410699a1d2c36a91bd3fc4"/>
        <s v="800afe5fe4e1b33d904c25e96247f499"/>
        <s v="1c4f67f840b0aa0f772e7617c0896e79"/>
        <s v="0d727e73d0a99b0c09bb9c597f99c360"/>
        <s v="0800b0de60bdc35a736dedb22b8ba743"/>
        <s v="e42fb18d0287b273160a3415bfe4016f"/>
        <s v="e711860609c3b1cc1acde4c587417c6a"/>
        <s v="734f5392be3c1ee8b05d185e8dc12da5"/>
        <s v="100529865c64d4a1672244ac521dfc53"/>
        <s v="dae9423160a5abe034b61efbe1e815d0"/>
        <s v="aae82555f3a0613e55664ec026148f72"/>
        <s v="01a00aa9d03f0ce8da292f50b62c5868"/>
        <s v="802f64d41e5a4993ed2d9a1747c742bc"/>
        <s v="590dec331d3c848be560dc176f192029"/>
        <s v="dbae897b14374a41defcee8a47a84d4a"/>
        <s v="79060179c1a90e55526a9cd885b02eda"/>
        <s v="bce5f13fe2978c90c370a87a2266fc88"/>
        <s v="a050edc9898812612c999f1a429b4179"/>
        <s v="ea3b22d535fa0c2177817e3c67d6395e"/>
        <s v="b02bfd771ea762144e5a2ef547730528"/>
        <s v="8d18d6a2775886b682b528473e6bbacf"/>
        <s v="d5c429f204cbe1571e8e47e17e164ffc"/>
        <s v="f12dbaca0dc131e787f680b91bb116d9"/>
        <s v="742f2f2dc8e322356f849f66aafb127f"/>
        <s v="aecba6929a99eb0cacc3e8c1b9f01989"/>
        <s v="c27280c400d8a475eab83dee0b245603"/>
        <s v="176eef5f243e5c7f733842c2a97345ba"/>
        <s v="718892d7cb67792c5ed65b07f15beb44"/>
        <s v="65d9230c47a78dfe97f51ff18b18fbae"/>
        <s v="094b1ae5c1716d3943d490c3437eae5a"/>
        <s v="6a5067f25053e64367d5194a5fe80d2a"/>
        <s v="c77a23de238c58957decf9cd01d264f3"/>
        <s v="1aa47cbefbcd78f18d3ac7c6c9c8ee84"/>
        <s v="3bb4f5e7956622a59ba3424198bde990"/>
        <s v="507757750d6fb6e6845e77be5aa371cc"/>
        <s v="a5bbe489a9577b42c06ef1480095631c"/>
        <s v="89516a70f75d0b457ebbca2f8509fa7a"/>
        <s v="ca6dccbba1067e18e9cdd3e6c01997ee"/>
        <s v="c3d2e91f699e3b93f3efba77a5273e63"/>
        <s v="c8c3e4ca2893e6b4c72e6c0d0ff58f89"/>
        <s v="f9a3ce05e792927598bb7fc4cad1390b"/>
        <s v="6f9881c07015d21c5ce8ebd7c6611994"/>
        <s v="07670c7c40405dc1cfbd6c49898fd96f"/>
        <s v="640e36877fcceba676f36f58a301b644"/>
        <s v="3555299306a4abdb689f6fbe196fc2d6"/>
        <s v="7b11ff5fdc6316e7bc6eb818cbb5c1a1"/>
        <s v="6571f1d02592885a630830c2105046a0"/>
        <s v="0eafef8576aed3d7d216cfb238f42188"/>
        <s v="aa25c5a168f67bce310bc59f85ee98fd"/>
        <s v="39bfa78b86556261aaa190e35cdc3230"/>
        <s v="e734caca68ed2a512b2c02b0f78dafbc"/>
        <s v="59ae0791a4678f31abddd93eee0a9559"/>
        <s v="52d30de91d65e55b6fa6b4523a1e84cb"/>
        <s v="579d575dc14ad2f699ef0ad75f137bb9"/>
        <s v="b62c0afb2685970f1a45e88faac3566a"/>
        <s v="d92dc267c7b4e5de2b380d7cdef21a63"/>
        <s v="a86029c8f0e6bd8fa5faef90b66e3128"/>
        <s v="1c21800dfd2e05ec286c7e09cf387f67"/>
        <s v="ab1535a59a3387df11f34e99021810a8"/>
        <s v="f4654b39a9f65e0e2a3d5e4f9d0cb54c"/>
        <s v="bbc756e12ff9352bba6b29400597cf92"/>
        <s v="a82cf6a275a9671ec24fd239a6f0ca60"/>
        <s v="fa0411639a78b62a8ba1359dee61790d"/>
        <s v="efdf0163a97c50c05d8cbd6b1d0bdecf"/>
        <s v="37e4069455712d0b108c42aa76e3bd38"/>
        <s v="a7162659568610b75088e2f522f61d00"/>
        <s v="6987385bd8555719efd04c7e25bfa0b1"/>
        <s v="e91e907775c027326d94c6511019841c"/>
        <s v="6c1569c5c4d9ad84e149478dffe3e142"/>
        <s v="8621f3a24eff74415ec5ef6a6e71fbba"/>
        <s v="726964bde0702ff63d63f5ffabe92eb9"/>
        <s v="ce66461cb2e594cf47d4d221841a7003"/>
        <s v="659ae2bbb3bcc8479486cb9599e9a56e"/>
        <s v="750bead2a7737bef476a02665bd0df66"/>
        <s v="e465671df21299d0b7bf65910246c53f"/>
        <s v="45e818cfab75190f79533130060e3f32"/>
        <s v="c024128a3337fb8366bc8e6ad9ffe4be"/>
        <s v="60c45d5d66116f2def35dbe0afefa08d"/>
        <s v="e1198024911ca9b7f37b84bb34ff5b6c"/>
        <s v="232a68e0bbf045a1d52c38e84e6be968"/>
        <s v="99bea8bcdbe612e582c8c434ae1ad613"/>
        <s v="e68ed4ed233aae53a98270a123a9393c"/>
        <s v="490e8e204934372a1679a99ee00136b4"/>
        <s v="61705b2438752c4b417a7eea0fc15508"/>
        <s v="c5a77c2643f88acd794b6aee9835880d"/>
        <s v="17c92ce377d146906ddee78ab23c1480"/>
        <s v="69668a08af1a08c9223f675d4e5991c8"/>
        <s v="e5ede6da606cef3e0aeb0a14aeecc7b2"/>
        <s v="82bfa55972cb221f95da60070fc4eb55"/>
        <s v="75ba54a8cf5a76f81901515b17b15b87"/>
        <s v="47cd2fedd54192a0ed91c11186bdc1d1"/>
        <s v="23136150735ca1308dc7e75b11ebaf86"/>
        <s v="bf1dc0fa0d53cfd78ce867affc08a082"/>
        <s v="1152c3084f6c28f1379824cd17410449"/>
        <s v="fa4fc0f1fe50b22dc93f44de618e0682"/>
        <s v="9403fb89462dcf250b6c22f9838472fb"/>
        <s v="68e2ca296db0edf33e86825d40e5fc72"/>
        <s v="6f9aa452580c17d8d915887241af0b66"/>
        <s v="d7d25f950c10cd1e1fe6607422a30bfe"/>
        <s v="855c3d0a502b8cc4b02d29e4f2bea9a2"/>
        <s v="63cda5122665393a420e480d83ccac59"/>
        <s v="2be6288b47723b7fafc9fe27a6cd92ba"/>
        <s v="ef289781f2222c5e0947dc3537dff1b3"/>
        <s v="722bf6af2110f5facfa46a9891e25183"/>
        <s v="f1b0d0f443b0581c307fa502281713ea"/>
        <s v="da9a77c7b2ae859d8028601f2df7ca1f"/>
        <s v="f8bea0032addbf7355f21b64ae85fae0"/>
        <s v="bb4ede9cbfbc532a4ef5404e440291ba"/>
        <s v="b2bfc5ec36a42e32f49f60d94fb95164"/>
        <s v="31414327b2947606641949e79813e986"/>
        <s v="7bc97ca9ddc73c259025f3b233b766c5"/>
        <s v="ef3dbc725a9cd85d055d5ec8f84685cd"/>
        <s v="e1cefcd1da6849d5bf8157496fa6be74"/>
        <s v="5381708a7737310fc3ee1146594d90b7"/>
        <s v="62ff45297bf4fe3d04d764d79892f2a2"/>
        <s v="0162c89fa4be4b785fd6c0619d7929e1"/>
        <s v="a52f053a1d46de7295d09930fcaa381d"/>
        <s v="d0260141abdebc3e8fafc5a247616313"/>
        <s v="985b31dd38a251411b784eab33c30273"/>
        <s v="295764f655eb619babc3d131ea3eba84"/>
        <s v="16920ed15fec7d12848cd6373618b099"/>
        <s v="56546829ab7b920119ad062f4244a5b6"/>
        <s v="56025ac3f2b3b5856956aba3d42c74dc"/>
        <s v="b0fa911e2bfad31058796f2488b191db"/>
        <s v="d5509eeaaf7f8a06ac0e915ffeba762f"/>
        <s v="41669c7642d645938868bb2f820c09dc"/>
        <s v="49c0169d30ef91fcb665f840de37b14b"/>
        <s v="212b1837f138626550a07fbc9264be86"/>
        <s v="2b07b067439be9480b97f0bc79226daf"/>
        <s v="ddceb4bac6ec54a82b1caeb999cbd854"/>
        <s v="459a60a0f7f960174a192930626f144c"/>
        <s v="078c09340fcccdf93379f1714bdc0be6"/>
        <s v="34672700f7d8104fe2d1af1a842c04bf"/>
        <s v="87dd9f8dca2fe4ddd11960c4ed87c3b3"/>
        <s v="416809cb01107a24d7af259cf1ac4231"/>
        <s v="5348a29e66ad7ad1751f298fe67aad2c"/>
        <s v="c48a7fd09e2ba885257cd35978a0a7fe"/>
        <s v="1ca64d7f470789d744ee53bab65764cc"/>
        <s v="526a4c68a0ef06790c073266727e831e"/>
        <s v="974f70ab7b6f54ba97fc513cdeb8a157"/>
        <s v="21aa48a1286e874d7f6e7a5db95a7882"/>
        <s v="4771812e98a730cee6e15fe7aa28dc78"/>
        <s v="bc5813dc3cf7cf91074932db459cd2a4"/>
        <s v="16c89cb3f2e5046055122316d7ffd0ad"/>
        <s v="bb7d415113d64950780f25e638d17dfb"/>
        <s v="63b0c0c0e39797db661d7ecfe1aedf92"/>
        <s v="ad032b2fe550fd3ee7085549c9d1c327"/>
        <s v="8dbd887ff6551b15e850d0c37d9d4195"/>
        <s v="b5cd7535f1f1c217c3615bd7233f7864"/>
        <s v="4f02fc5da9c98d16d90972b4559c2d3a"/>
        <s v="e6000c8bf31e8b596c78b948e04aa11f"/>
        <s v="4337ebc5d2541b504fb269e232139e65"/>
        <s v="6482af3e7027053ff0831e9ecd8a353f"/>
        <s v="85aa0dd5ef78467c55298eda9452135a"/>
        <s v="3b417525ea267e12021d3616c0065c8e"/>
        <s v="1b03d2b965e4166c647d842d644af06b"/>
        <s v="56bd302822eb05618b0af69017374433"/>
        <s v="9e98bd84b8e200632d8b074a830fd2e0"/>
        <s v="223711cb1d153eff1d0f5a4e4f51edd7"/>
        <s v="7f03d019032eb75124f0e969517e9f78"/>
        <s v="65bb465f4a540de6b6e4eb2ff5fb0f59"/>
        <s v="68a41d7bb2941b177c298fe910c35ec4"/>
        <s v="f4499f8e50c1b091f24c7f99c9a3dcd4"/>
        <s v="dc505209d3b533a59e2254b1a00307c8"/>
        <s v="90d05b25d4e5a768b20a8984c224c606"/>
        <s v="dfa00c6326eddfa28cad57f87c5465fe"/>
        <s v="810a05492677ff7d6e295274ad0ecd3b"/>
        <s v="efb78f952c8874344970c73b2e5899eb"/>
        <s v="f7123dd49683e6da64166f3d45b917b6"/>
        <s v="073faca9ffbbc5e94a8b0e421e338fdd"/>
        <s v="669513999bafa402439b6fb55b0d0283"/>
        <s v="5cb210617c5ff6ce43c64d163e29aa22"/>
        <s v="2628fb64088c961f33ee94409603463c"/>
        <s v="74826a91a451eafb38e3b408b4bf1667"/>
        <s v="0359bffb39c610224876bac5fca627fe"/>
        <s v="7738a5ae691ee59d5980ee3c094c54e7"/>
        <s v="eb16c0acffbd74996f12a8e44f87fbf6"/>
        <s v="07792d028e89863d28859eefc6d6cf3d"/>
        <s v="72b64664ca0ed576666e4697282f2ba5"/>
        <s v="4124ca80e38c02d7e32e80c8a783cc57"/>
        <s v="41194650d61192e0a3303a52cd393b00"/>
        <s v="e93ffb07a2d2a47ffad1974cee19cecf"/>
        <s v="e2688bf10b31312d29d47c614ec7f4b3"/>
        <s v="4da1de5ca6296e90412520bb554a495d"/>
        <s v="ea38d1aecb49327ca65e50255b6f935b"/>
        <s v="c7591dbccac8b3b2557ceae172fa2b66"/>
        <s v="285b356cea7d74da47be8818a9c5bc3e"/>
        <s v="ba756c4d4f50f78e82550f8d2f4f6296"/>
        <s v="e865ea83b18dcd5962218fdaa636458f"/>
        <s v="1121ff5f9707f479b4c750149aee983a"/>
        <s v="771f76fdb2e8e6985960b72b09e082e9"/>
        <s v="1ce24fa6762736d6ab4ec8cf24f5f479"/>
        <s v="b4a9c69b14b9c2c2edd568c4d8aeaa6e"/>
        <s v="b479994527ce756c041a1578f06ed377"/>
        <s v="039ea32f87a78d9c093e18e0acf384bb"/>
        <s v="6503e6184c243f6189538e9203917cbe"/>
        <s v="5c2b95f792951d402e24d930b9312535"/>
        <s v="44ef5c64c1887f4174ed7f95ad6bcec4"/>
        <s v="87ceee9030102cd611aeab006ae0710d"/>
        <s v="21f018c5774e886ed9a3637ae89c15c2"/>
        <s v="5167fca27e2ccc9293ddb34dd981c726"/>
        <s v="917a011410f93383ccd1ca534e1b4e36"/>
        <s v="d391daff95b80daad9e68b8dae71339a"/>
        <s v="cc682c207bfe580bf8aef04c2cb11e84"/>
        <s v="60e48d31f29e43e15d8a884b73bd4e4b"/>
        <s v="577634c5cb317c511a9ad1903bd8e01f"/>
        <s v="7e8d12d5ff5d2e147496e453dd7e7354"/>
        <s v="ec4d9869752843f611521d09a7ea59ef"/>
        <s v="c9c9a0054f29b06a6f331b81ce4798cd"/>
        <s v="5f67c56d0eeb9e205f37ed062d53d786"/>
        <s v="b87678e5125c50849d73f10de0dd4948"/>
        <s v="58f0f9f7001553a384bdffd9d017bc55"/>
        <s v="d3e06b31a682dcefbb10a4217d63177c"/>
        <s v="3eb4abcdde9b6323999c96b54698d3a4"/>
        <s v="f8961af1dcd929d908750e23e7da1d68"/>
        <s v="089a3505aa581ffbc8f6af411d54fb93"/>
        <s v="844b5021e7f2fb58393c765e0ac6190f"/>
        <s v="fadc5eacc406df8ca51bb471dbebb9c5"/>
        <s v="3ca43b2f2f82e5076cfc5109e1107716"/>
        <s v="5219e84e8f19cb90b574546f97a28bfa"/>
        <s v="88e05e2d30b5709a51e907c2a03ec570"/>
        <s v="40ac62aae0b52682d1fef3ff7d1e3f88"/>
        <s v="882599f4b1d0f9b8245a76030ccccab2"/>
        <s v="4c221e8d1e0f2487d6ef1cb09de4f5de"/>
        <s v="d422a675966c5bb478b2dd5c92c13a20"/>
        <s v="64f1e287d56fcb76f6a7f79cea15d12b"/>
        <s v="ebd8583fc99f5ce7341f9a581916c7f2"/>
        <s v="a26c1f5bc5224410a9c2d92ce7a0dbf8"/>
        <s v="89bb4b190de44e354ab1484377644bbc"/>
        <s v="49c9de05cde68e4fbd51afeb7d08bdc0"/>
        <s v="92d33dca5acfa518cf11fba4929023bc"/>
        <s v="2f4550eae69e30aa08b3880e813955bd"/>
        <s v="802f3b7d2ca98c29ad66d50d8dc62795"/>
        <s v="8178c2fee161ae2cbe961407ac3c1875"/>
        <s v="1e3694371b87c95a9fe3025c3bb8df02"/>
        <s v="18cf16f961d25ec2c2060775963e4e17"/>
        <s v="d2154fd4df7a4b5c6f781979959af961"/>
        <s v="4288ff16c80c6fcff954b0b6666b0871"/>
        <s v="9ae6cfcc2e0763b6811f79431b681138"/>
        <s v="388446de0e7375b834ae5dd181ffebfa"/>
        <s v="4ad0642f938138e5b9d84b92e4dc2f46"/>
        <s v="13ec08cf701b3de51cdf970256821fab"/>
        <s v="745823d685ad4f749c73d32055eb8c4f"/>
        <s v="c5ad7e78a95eb04e4255d9f76ff5f924"/>
        <s v="f20080b8a2841873baabc067583631a6"/>
        <s v="ca6ce62ad7dc90d1b63e5065027151ab"/>
        <s v="edcb1e50ee0aa170a3e66f367a621856"/>
        <s v="ad96fbe2bc5272902d423d1ec9d81e62"/>
        <s v="1f09db7aae2fc28d49c06dcb7fd41582"/>
        <s v="7acb2bef645c8b46a1ad766fee630624"/>
        <s v="5c96d8f4870aaf9df0f058b648856c6d"/>
        <s v="7b129ec3cb7ef0d3c414d411065d2203"/>
        <s v="ae2919d116e4644d3aa8f1f572813528"/>
        <s v="42d560af1c394204b807b533c4ad33a0"/>
        <s v="e1723e1dc1692120991df143a6eb28ac"/>
        <s v="1e4fa6eacf569461b576e95a7f89a3f5"/>
        <s v="0923a862747d3857d21e7a81fd1576cd"/>
        <s v="2ff86d0267d59482bc5605da91efe4be"/>
        <s v="61ea290aa9e31814ee4d2ced8dfcf3c4"/>
        <s v="af9a1c3bce558e179663e8d0f3dccc2a"/>
        <s v="f24f15fb345f70562f40c0d65502d226"/>
        <s v="aa2bd835813b98976388611dc37aac1a"/>
        <s v="bf95b4dc9a30cc54a08a42375e48ea5b"/>
        <s v="a9097b37ac202145f18a29df51074dac"/>
        <s v="b648154e3f8cdb6c99c8bf96cab5125a"/>
        <s v="05ae3b0b19155016871dedd4eca1b3e9"/>
        <s v="9bb09ae8f79061a29c3ae59e4ceecb3d"/>
        <s v="fda7587de624ecaf9a1a2fd5cbbaa31c"/>
        <s v="b648a4f54a7837c4ad43949c1f8ad0ac"/>
        <s v="33ca36c7a5a607c962de726dd7d81e8b"/>
        <s v="2bd946513c059f4de21c961027d4e04d"/>
        <s v="f6813c2a1de03a3bb3063c484d040061"/>
        <s v="e100e02e2879ddd59a92f06b575e1608"/>
        <s v="2f0068762e7ad78ca3b5839e70a5d1a7"/>
        <s v="cfbb9c2a3362d1f9c2b7549191ca39e4"/>
        <s v="3d2786381dfc84640ff907d51dbfcd33"/>
      </sharedItems>
    </cacheField>
    <cacheField name="Date_in_IST" numFmtId="164">
      <sharedItems containsSemiMixedTypes="0" containsDate="1" containsString="0">
        <d v="2022-04-12T12:39:10Z"/>
        <d v="2022-04-12T12:37:59Z"/>
        <d v="2022-04-12T12:37:50Z"/>
        <d v="2022-04-12T12:34:32Z"/>
        <d v="2022-04-12T12:31:56Z"/>
        <d v="2022-04-12T12:31:53Z"/>
        <d v="2022-04-12T12:31:50Z"/>
        <d v="2022-04-12T12:31:22Z"/>
        <d v="2022-04-12T12:31:17Z"/>
        <d v="2022-04-12T12:31:00Z"/>
        <d v="2022-04-12T12:30:27Z"/>
        <d v="2022-04-12T12:29:15Z"/>
        <d v="2022-04-12T12:28:53Z"/>
        <d v="2022-04-12T12:28:47Z"/>
        <d v="2022-04-12T12:28:36Z"/>
        <d v="2022-04-12T12:28:25Z"/>
        <d v="2022-04-12T12:27:32Z"/>
        <d v="2022-04-12T12:27:30Z"/>
        <d v="2022-04-12T12:26:49Z"/>
        <d v="2022-04-12T12:26:43Z"/>
        <d v="2022-04-12T12:26:39Z"/>
        <d v="2022-04-12T12:26:37Z"/>
        <d v="2022-04-12T12:26:33Z"/>
        <d v="2022-04-12T12:24:49Z"/>
        <d v="2022-04-12T12:22:53Z"/>
        <d v="2022-04-12T12:22:38Z"/>
        <d v="2022-04-12T12:21:33Z"/>
        <d v="2022-04-12T12:21:26Z"/>
        <d v="2022-04-12T12:20:27Z"/>
        <d v="2022-04-12T12:17:18Z"/>
        <d v="2022-04-12T12:16:58Z"/>
        <d v="2022-04-12T12:15:38Z"/>
        <d v="2022-04-12T12:14:30Z"/>
        <d v="2022-04-12T12:07:59Z"/>
        <d v="2022-04-12T12:06:53Z"/>
        <d v="2022-04-12T12:05:19Z"/>
        <d v="2022-04-12T12:02:19Z"/>
        <d v="2022-04-12T12:01:56Z"/>
        <d v="2022-04-12T12:01:34Z"/>
        <d v="2022-04-12T11:56:41Z"/>
        <d v="2022-04-12T11:55:34Z"/>
        <d v="2022-04-12T11:55:15Z"/>
        <d v="2022-04-12T11:55:01Z"/>
        <d v="2022-04-12T11:52:34Z"/>
        <d v="2022-04-12T11:52:30Z"/>
        <d v="2022-04-12T11:52:27Z"/>
        <d v="2022-04-12T11:50:53Z"/>
        <d v="2022-04-12T11:50:42Z"/>
        <d v="2022-04-12T11:50:36Z"/>
        <d v="2022-04-12T11:50:22Z"/>
        <d v="2022-04-12T11:50:17Z"/>
        <d v="2022-04-12T11:48:51Z"/>
        <d v="2022-04-12T11:48:23Z"/>
        <d v="2022-04-12T11:48:13Z"/>
        <d v="2022-04-12T11:47:56Z"/>
        <d v="2022-04-12T11:47:46Z"/>
        <d v="2022-04-12T11:47:07Z"/>
        <d v="2022-04-12T11:47:02Z"/>
        <d v="2022-04-12T11:46:56Z"/>
        <d v="2022-04-12T11:46:37Z"/>
        <d v="2022-04-12T11:46:33Z"/>
        <d v="2022-04-12T11:46:27Z"/>
        <d v="2022-04-12T11:46:23Z"/>
        <d v="2022-04-12T11:46:19Z"/>
        <d v="2022-04-12T11:46:10Z"/>
        <d v="2022-04-12T11:46:06Z"/>
        <d v="2022-04-12T11:46:03Z"/>
        <d v="2022-04-12T11:45:55Z"/>
        <d v="2022-04-12T11:45:21Z"/>
        <d v="2022-04-12T11:44:42Z"/>
        <d v="2022-04-12T11:43:37Z"/>
        <d v="2022-04-12T11:42:56Z"/>
        <d v="2022-04-12T11:42:13Z"/>
        <d v="2022-04-12T11:41:54Z"/>
        <d v="2022-04-12T11:41:44Z"/>
        <d v="2022-04-12T11:40:56Z"/>
        <d v="2022-04-12T11:40:06Z"/>
        <d v="2022-04-12T11:39:53Z"/>
        <d v="2022-04-12T11:39:47Z"/>
        <d v="2022-04-12T11:39:40Z"/>
        <d v="2022-04-12T11:38:23Z"/>
        <d v="2022-04-12T11:36:51Z"/>
        <d v="2022-04-12T11:34:35Z"/>
        <d v="2022-04-12T11:34:27Z"/>
        <d v="2022-04-12T11:34:22Z"/>
        <d v="2022-04-12T11:34:15Z"/>
        <d v="2022-04-12T11:32:11Z"/>
        <d v="2022-04-12T11:31:26Z"/>
        <d v="2022-04-12T11:31:23Z"/>
        <d v="2022-04-12T11:30:25Z"/>
        <d v="2022-04-12T11:30:21Z"/>
        <d v="2022-04-12T11:30:19Z"/>
        <d v="2022-04-12T11:28:49Z"/>
        <d v="2022-04-12T11:28:37Z"/>
        <d v="2022-04-12T11:27:45Z"/>
        <d v="2022-04-12T11:27:18Z"/>
        <d v="2022-04-12T11:27:12Z"/>
        <d v="2022-04-12T11:27:08Z"/>
        <d v="2022-04-12T11:27:05Z"/>
        <d v="2022-04-12T11:27:01Z"/>
        <d v="2022-04-12T11:26:58Z"/>
        <d v="2022-04-12T11:26:55Z"/>
        <d v="2022-04-12T11:26:50Z"/>
        <d v="2022-04-12T11:26:04Z"/>
        <d v="2022-04-12T11:26:03Z"/>
        <d v="2022-04-12T11:25:57Z"/>
        <d v="2022-04-12T11:24:55Z"/>
        <d v="2022-04-12T11:24:38Z"/>
        <d v="2022-04-12T11:23:36Z"/>
        <d v="2022-04-12T11:22:58Z"/>
        <d v="2022-04-12T11:22:01Z"/>
        <d v="2022-04-12T11:18:12Z"/>
        <d v="2022-04-12T11:17:48Z"/>
        <d v="2022-04-12T11:16:53Z"/>
        <d v="2022-04-12T11:16:39Z"/>
        <d v="2022-04-12T11:16:27Z"/>
        <d v="2022-04-12T11:15:49Z"/>
        <d v="2022-04-12T11:13:32Z"/>
        <d v="2022-04-12T11:13:14Z"/>
        <d v="2022-04-12T11:10:40Z"/>
        <d v="2022-04-12T11:09:58Z"/>
        <d v="2022-04-12T11:09:34Z"/>
        <d v="2022-04-12T11:09:12Z"/>
        <d v="2022-04-12T11:07:01Z"/>
        <d v="2022-04-12T11:05:41Z"/>
        <d v="2022-04-12T11:03:34Z"/>
        <d v="2022-04-12T11:03:31Z"/>
        <d v="2022-04-12T11:03:27Z"/>
        <d v="2022-04-12T11:03:16Z"/>
        <d v="2022-04-12T11:03:13Z"/>
        <d v="2022-04-12T11:03:01Z"/>
        <d v="2022-04-12T11:02:58Z"/>
        <d v="2022-04-12T11:02:56Z"/>
        <d v="2022-04-12T11:02:36Z"/>
        <d v="2022-04-12T11:02:30Z"/>
        <d v="2022-04-12T11:02:11Z"/>
        <d v="2022-04-12T11:00:38Z"/>
        <d v="2022-04-12T11:00:37Z"/>
        <d v="2022-04-12T11:00:33Z"/>
        <d v="2022-04-12T11:00:04Z"/>
        <d v="2022-04-12T11:00:01Z"/>
        <d v="2022-04-12T10:59:56Z"/>
        <d v="2022-04-12T10:59:54Z"/>
        <d v="2022-04-12T10:58:30Z"/>
        <d v="2022-04-12T10:58:27Z"/>
        <d v="2022-04-12T10:58:24Z"/>
        <d v="2022-04-12T10:58:19Z"/>
        <d v="2022-04-12T10:58:17Z"/>
        <d v="2022-04-12T10:58:03Z"/>
        <d v="2022-04-12T10:57:43Z"/>
        <d v="2022-04-12T10:57:22Z"/>
        <d v="2022-04-12T10:57:19Z"/>
        <d v="2022-04-12T10:57:13Z"/>
        <d v="2022-04-12T10:57:10Z"/>
        <d v="2022-04-12T10:57:04Z"/>
        <d v="2022-04-12T10:57:01Z"/>
        <d v="2022-04-12T10:56:57Z"/>
        <d v="2022-04-12T10:56:43Z"/>
        <d v="2022-04-12T10:56:40Z"/>
        <d v="2022-04-12T10:56:33Z"/>
        <d v="2022-04-12T10:53:58Z"/>
        <d v="2022-04-12T10:52:25Z"/>
        <d v="2022-04-12T10:50:12Z"/>
        <d v="2022-04-12T10:49:33Z"/>
        <d v="2022-04-12T10:49:27Z"/>
        <d v="2022-04-12T10:49:24Z"/>
        <d v="2022-04-12T10:48:58Z"/>
        <d v="2022-04-12T10:47:33Z"/>
        <d v="2022-04-12T10:47:20Z"/>
        <d v="2022-04-12T10:47:16Z"/>
        <d v="2022-04-12T10:42:08Z"/>
        <d v="2022-04-12T10:39:25Z"/>
        <d v="2022-04-12T10:38:41Z"/>
        <d v="2022-04-12T10:36:16Z"/>
        <d v="2022-04-12T10:32:31Z"/>
        <d v="2022-04-12T10:32:23Z"/>
        <d v="2022-04-12T10:32:17Z"/>
        <d v="2022-04-12T10:30:19Z"/>
        <d v="2022-04-12T10:30:12Z"/>
        <d v="2022-04-12T10:29:55Z"/>
        <d v="2022-04-12T10:29:02Z"/>
        <d v="2022-04-12T10:25:37Z"/>
        <d v="2022-04-12T10:18:57Z"/>
        <d v="2022-04-12T10:18:22Z"/>
        <d v="2022-04-12T10:17:36Z"/>
        <d v="2022-04-12T10:17:35Z"/>
        <d v="2022-04-12T10:17:31Z"/>
        <d v="2022-04-12T10:17:28Z"/>
        <d v="2022-04-12T10:17:25Z"/>
        <d v="2022-04-12T10:17:22Z"/>
        <d v="2022-04-12T10:16:56Z"/>
        <d v="2022-04-12T10:16:18Z"/>
        <d v="2022-04-12T10:13:21Z"/>
        <d v="2022-04-12T10:13:14Z"/>
        <d v="2022-04-12T10:13:05Z"/>
        <d v="2022-04-12T10:10:28Z"/>
        <d v="2022-04-12T10:08:52Z"/>
        <d v="2022-04-12T10:08:03Z"/>
        <d v="2022-04-12T10:04:47Z"/>
        <d v="2022-04-12T10:03:21Z"/>
        <d v="2022-04-12T10:03:09Z"/>
        <d v="2022-04-12T10:02:37Z"/>
        <d v="2022-04-12T10:02:32Z"/>
        <d v="2022-04-12T10:00:34Z"/>
        <d v="2022-04-12T10:00:08Z"/>
        <d v="2022-04-12T09:59:12Z"/>
        <d v="2022-04-12T09:55:44Z"/>
        <d v="2022-04-12T09:54:40Z"/>
        <d v="2022-04-12T09:50:52Z"/>
        <d v="2022-04-12T09:47:35Z"/>
        <d v="2022-04-12T09:43:58Z"/>
        <d v="2022-04-12T09:43:50Z"/>
        <d v="2022-04-12T09:43:45Z"/>
        <d v="2022-04-12T09:42:46Z"/>
        <d v="2022-04-12T09:42:28Z"/>
        <d v="2022-04-12T09:42:26Z"/>
        <d v="2022-04-12T09:42:23Z"/>
        <d v="2022-04-12T09:42:19Z"/>
        <d v="2022-04-12T09:40:58Z"/>
        <d v="2022-04-12T09:39:27Z"/>
        <d v="2022-04-12T09:39:17Z"/>
        <d v="2022-04-12T09:38:26Z"/>
        <d v="2022-04-12T09:38:24Z"/>
        <d v="2022-04-12T09:38:22Z"/>
        <d v="2022-04-12T09:37:32Z"/>
        <d v="2022-04-12T09:36:28Z"/>
        <d v="2022-04-12T09:36:12Z"/>
        <d v="2022-04-12T09:36:06Z"/>
        <d v="2022-04-12T09:33:10Z"/>
        <d v="2022-04-12T09:29:45Z"/>
        <d v="2022-04-12T09:29:42Z"/>
        <d v="2022-04-12T09:28:39Z"/>
        <d v="2022-04-12T09:27:42Z"/>
        <d v="2022-04-12T09:25:45Z"/>
        <d v="2022-04-12T09:25:42Z"/>
        <d v="2022-04-12T09:25:11Z"/>
        <d v="2022-04-12T09:24:30Z"/>
        <d v="2022-04-12T09:24:27Z"/>
        <d v="2022-04-12T09:24:06Z"/>
        <d v="2022-04-12T09:23:58Z"/>
        <d v="2022-04-12T09:23:55Z"/>
        <d v="2022-04-12T09:22:29Z"/>
        <d v="2022-04-12T09:22:19Z"/>
        <d v="2022-04-12T09:21:30Z"/>
        <d v="2022-04-12T09:20:34Z"/>
        <d v="2022-04-12T09:20:05Z"/>
        <d v="2022-04-12T09:19:54Z"/>
        <d v="2022-04-12T09:19:25Z"/>
        <d v="2022-04-12T09:19:17Z"/>
        <d v="2022-04-12T09:18:55Z"/>
        <d v="2022-04-12T09:18:28Z"/>
        <d v="2022-04-12T09:18:19Z"/>
        <d v="2022-04-12T09:18:17Z"/>
        <d v="2022-04-12T09:18:15Z"/>
        <d v="2022-04-12T09:18:11Z"/>
        <d v="2022-04-12T09:18:10Z"/>
        <d v="2022-04-12T09:18:09Z"/>
        <d v="2022-04-12T09:18:05Z"/>
        <d v="2022-04-12T09:17:47Z"/>
        <d v="2022-04-12T09:17:45Z"/>
        <d v="2022-04-12T09:17:28Z"/>
        <d v="2022-04-12T09:17:26Z"/>
        <d v="2022-04-12T09:17:24Z"/>
        <d v="2022-04-12T09:17:23Z"/>
        <d v="2022-04-12T09:17:21Z"/>
        <d v="2022-04-12T09:17:14Z"/>
        <d v="2022-04-12T09:17:12Z"/>
        <d v="2022-04-12T09:17:10Z"/>
        <d v="2022-04-12T09:17:09Z"/>
        <d v="2022-04-12T09:17:06Z"/>
        <d v="2022-04-12T09:17:04Z"/>
        <d v="2022-04-12T09:17:03Z"/>
        <d v="2022-04-12T09:17:00Z"/>
        <d v="2022-04-12T09:16:55Z"/>
        <d v="2022-04-12T09:12:35Z"/>
        <d v="2022-04-12T09:12:29Z"/>
        <d v="2022-04-12T09:12:28Z"/>
        <d v="2022-04-12T09:12:16Z"/>
        <d v="2022-04-12T09:12:01Z"/>
        <d v="2022-04-12T09:11:57Z"/>
        <d v="2022-04-12T09:11:54Z"/>
        <d v="2022-04-12T09:11:50Z"/>
        <d v="2022-04-12T09:11:33Z"/>
        <d v="2022-04-12T09:10:45Z"/>
        <d v="2022-04-12T09:09:39Z"/>
        <d v="2022-04-12T09:09:03Z"/>
        <d v="2022-04-12T09:09:00Z"/>
        <d v="2022-04-12T09:08:54Z"/>
        <d v="2022-04-12T09:08:53Z"/>
        <d v="2022-04-12T09:08:48Z"/>
        <d v="2022-04-12T09:08:17Z"/>
        <d v="2022-04-12T09:07:54Z"/>
        <d v="2022-04-12T09:07:17Z"/>
        <d v="2022-04-12T09:07:01Z"/>
        <d v="2022-04-12T09:05:45Z"/>
        <d v="2022-04-12T09:05:42Z"/>
        <d v="2022-04-12T09:05:30Z"/>
        <d v="2022-04-12T09:05:19Z"/>
        <d v="2022-04-12T09:05:18Z"/>
        <d v="2022-04-12T09:05:17Z"/>
        <d v="2022-04-12T09:05:16Z"/>
        <d v="2022-04-12T09:05:15Z"/>
        <d v="2022-04-12T09:05:14Z"/>
        <d v="2022-04-12T09:05:13Z"/>
        <d v="2022-04-12T09:05:12Z"/>
        <d v="2022-04-12T09:05:11Z"/>
        <d v="2022-04-12T09:05:10Z"/>
        <d v="2022-04-12T09:05:09Z"/>
        <d v="2022-04-12T09:05:08Z"/>
        <d v="2022-04-12T09:05:07Z"/>
        <d v="2022-04-12T09:05:06Z"/>
        <d v="2022-04-12T09:05:05Z"/>
        <d v="2022-04-12T09:05:04Z"/>
        <d v="2022-04-12T09:05:03Z"/>
        <d v="2022-04-12T09:05:02Z"/>
        <d v="2022-04-12T09:05:01Z"/>
        <d v="2022-04-12T09:05:00Z"/>
        <d v="2022-04-12T09:04:59Z"/>
        <d v="2022-04-12T09:04:58Z"/>
        <d v="2022-04-12T09:04:57Z"/>
        <d v="2022-04-12T09:04:56Z"/>
        <d v="2022-04-12T09:04:55Z"/>
        <d v="2022-04-12T09:04:54Z"/>
        <d v="2022-04-12T09:04:53Z"/>
        <d v="2022-04-12T09:04:52Z"/>
        <d v="2022-04-12T09:04:51Z"/>
        <d v="2022-04-12T09:04:50Z"/>
        <d v="2022-04-12T09:04:49Z"/>
        <d v="2022-04-12T09:04:48Z"/>
        <d v="2022-04-12T09:04:47Z"/>
        <d v="2022-04-12T09:04:46Z"/>
        <d v="2022-04-12T09:04:45Z"/>
        <d v="2022-04-12T09:04:44Z"/>
        <d v="2022-04-12T09:04:43Z"/>
        <d v="2022-04-12T09:04:42Z"/>
        <d v="2022-04-12T09:04:41Z"/>
        <d v="2022-04-12T09:04:40Z"/>
        <d v="2022-04-12T09:04:39Z"/>
        <d v="2022-04-12T09:04:38Z"/>
        <d v="2022-04-12T09:04:37Z"/>
        <d v="2022-04-12T09:04:36Z"/>
        <d v="2022-04-12T09:04:35Z"/>
        <d v="2022-04-12T09:04:34Z"/>
        <d v="2022-04-12T09:04:33Z"/>
        <d v="2022-04-12T09:04:32Z"/>
        <d v="2022-04-12T09:04:31Z"/>
        <d v="2022-04-12T09:04:30Z"/>
        <d v="2022-04-12T09:04:29Z"/>
        <d v="2022-04-12T09:04:28Z"/>
        <d v="2022-04-12T09:04:27Z"/>
        <d v="2022-04-12T09:04:26Z"/>
        <d v="2022-04-12T09:04:25Z"/>
        <d v="2022-04-12T09:04:24Z"/>
        <d v="2022-04-12T09:04:23Z"/>
        <d v="2022-04-12T09:04:22Z"/>
        <d v="2022-04-12T09:04:21Z"/>
        <d v="2022-04-12T09:04:20Z"/>
        <d v="2022-04-12T09:04:19Z"/>
        <d v="2022-04-12T09:04:18Z"/>
        <d v="2022-04-12T09:04:17Z"/>
        <d v="2022-04-12T09:04:16Z"/>
        <d v="2022-04-12T09:04:15Z"/>
        <d v="2022-04-12T09:04:14Z"/>
        <d v="2022-04-12T09:04:13Z"/>
        <d v="2022-04-12T09:04:12Z"/>
        <d v="2022-04-12T09:04:11Z"/>
        <d v="2022-04-12T09:04:10Z"/>
        <d v="2022-04-12T09:04:09Z"/>
        <d v="2022-04-12T09:04:08Z"/>
        <d v="2022-04-12T09:04:07Z"/>
        <d v="2022-04-12T09:04:06Z"/>
        <d v="2022-04-12T09:04:05Z"/>
        <d v="2022-04-12T09:04:04Z"/>
        <d v="2022-04-12T09:04:03Z"/>
        <d v="2022-04-12T09:04:02Z"/>
        <d v="2022-04-12T09:04:01Z"/>
        <d v="2022-04-12T09:04:00Z"/>
        <d v="2022-04-12T09:03:59Z"/>
        <d v="2022-04-12T09:03:58Z"/>
        <d v="2022-04-12T09:03:57Z"/>
        <d v="2022-04-12T09:03:56Z"/>
        <d v="2022-04-12T09:03:55Z"/>
        <d v="2022-04-12T09:03:54Z"/>
        <d v="2022-04-12T09:03:53Z"/>
        <d v="2022-04-12T09:03:52Z"/>
        <d v="2022-04-12T09:03:51Z"/>
        <d v="2022-04-12T09:03:50Z"/>
        <d v="2022-04-12T09:03:49Z"/>
        <d v="2022-04-12T09:03:48Z"/>
        <d v="2022-04-12T09:03:47Z"/>
        <d v="2022-04-12T09:03:46Z"/>
        <d v="2022-04-12T09:03:45Z"/>
        <d v="2022-04-12T09:03:44Z"/>
        <d v="2022-04-12T09:03:43Z"/>
        <d v="2022-04-12T09:03:42Z"/>
        <d v="2022-04-12T09:03:41Z"/>
        <d v="2022-04-12T09:03:40Z"/>
        <d v="2022-04-12T09:03:39Z"/>
        <d v="2022-04-12T09:03:38Z"/>
        <d v="2022-04-12T09:03:37Z"/>
        <d v="2022-04-12T09:03:36Z"/>
        <d v="2022-04-12T09:03:35Z"/>
        <d v="2022-04-12T09:03:34Z"/>
        <d v="2022-04-12T09:03:33Z"/>
        <d v="2022-04-12T09:03:32Z"/>
        <d v="2022-04-12T09:03:31Z"/>
        <d v="2022-04-12T09:03:30Z"/>
        <d v="2022-04-12T09:03:29Z"/>
        <d v="2022-04-12T09:03:28Z"/>
        <d v="2022-04-12T09:03:27Z"/>
        <d v="2022-04-12T09:03:26Z"/>
        <d v="2022-04-12T09:03:25Z"/>
        <d v="2022-04-12T09:03:24Z"/>
        <d v="2022-04-12T09:03:23Z"/>
        <d v="2022-04-12T09:03:22Z"/>
        <d v="2022-04-12T09:03:21Z"/>
        <d v="2022-04-12T09:03:20Z"/>
        <d v="2022-04-12T09:03:15Z"/>
        <d v="2022-04-12T09:03:14Z"/>
        <d v="2022-04-12T09:03:13Z"/>
        <d v="2022-04-12T09:03:12Z"/>
        <d v="2022-04-12T09:03:11Z"/>
        <d v="2022-04-12T09:03:10Z"/>
        <d v="2022-04-12T09:03:09Z"/>
        <d v="2022-04-12T09:03:08Z"/>
        <d v="2022-04-12T09:03:07Z"/>
        <d v="2022-04-12T09:03:06Z"/>
        <d v="2022-04-12T09:03:05Z"/>
        <d v="2022-04-12T09:03:04Z"/>
        <d v="2022-04-12T09:03:03Z"/>
        <d v="2022-04-12T09:03:02Z"/>
        <d v="2022-04-12T09:03:01Z"/>
        <d v="2022-04-12T09:03:00Z"/>
        <d v="2022-04-12T09:02:59Z"/>
        <d v="2022-04-12T09:02:58Z"/>
        <d v="2022-04-12T09:02:57Z"/>
        <d v="2022-04-12T09:02:56Z"/>
        <d v="2022-04-12T09:02:55Z"/>
        <d v="2022-04-12T09:02:54Z"/>
        <d v="2022-04-12T09:02:53Z"/>
        <d v="2022-04-12T09:02:52Z"/>
        <d v="2022-04-12T09:02:51Z"/>
        <d v="2022-04-12T09:02:50Z"/>
        <d v="2022-04-12T09:02:49Z"/>
        <d v="2022-04-12T09:02:48Z"/>
        <d v="2022-04-12T09:02:47Z"/>
        <d v="2022-04-12T09:02:46Z"/>
        <d v="2022-04-12T09:02:45Z"/>
        <d v="2022-04-12T09:02:44Z"/>
        <d v="2022-04-12T09:02:43Z"/>
        <d v="2022-04-12T09:02:42Z"/>
        <d v="2022-04-12T09:02:41Z"/>
        <d v="2022-04-12T09:02:40Z"/>
        <d v="2022-04-12T09:02:39Z"/>
        <d v="2022-04-12T09:02:38Z"/>
        <d v="2022-04-12T09:02:37Z"/>
        <d v="2022-04-12T09:02:36Z"/>
        <d v="2022-04-12T09:02:35Z"/>
        <d v="2022-04-12T09:02:34Z"/>
        <d v="2022-04-12T09:02:33Z"/>
        <d v="2022-04-12T09:02:32Z"/>
        <d v="2022-04-12T09:02:31Z"/>
        <d v="2022-04-12T09:02:30Z"/>
        <d v="2022-04-12T09:02:29Z"/>
        <d v="2022-04-12T09:02:28Z"/>
        <d v="2022-04-12T09:02:27Z"/>
        <d v="2022-04-12T09:02:26Z"/>
        <d v="2022-04-12T09:02:25Z"/>
        <d v="2022-04-12T09:02:24Z"/>
        <d v="2022-04-12T09:02:23Z"/>
        <d v="2022-04-12T09:02:22Z"/>
        <d v="2022-04-12T09:02:21Z"/>
        <d v="2022-04-12T09:02:20Z"/>
        <d v="2022-04-12T09:02:19Z"/>
        <d v="2022-04-12T09:02:18Z"/>
        <d v="2022-04-12T09:02:17Z"/>
        <d v="2022-04-12T09:02:16Z"/>
        <d v="2022-04-12T09:02:11Z"/>
        <d v="2022-04-12T09:02:10Z"/>
        <d v="2022-04-12T09:02:09Z"/>
        <d v="2022-04-12T09:02:08Z"/>
        <d v="2022-04-12T09:02:07Z"/>
        <d v="2022-04-12T09:02:06Z"/>
        <d v="2022-04-12T09:02:05Z"/>
        <d v="2022-04-12T09:02:04Z"/>
        <d v="2022-04-12T09:02:03Z"/>
        <d v="2022-04-12T09:02:02Z"/>
        <d v="2022-04-12T09:02:01Z"/>
        <d v="2022-04-12T09:02:00Z"/>
        <d v="2022-04-12T09:01:59Z"/>
        <d v="2022-04-12T09:01:58Z"/>
        <d v="2022-04-12T09:01:57Z"/>
        <d v="2022-04-12T09:01:56Z"/>
        <d v="2022-04-12T09:01:55Z"/>
        <d v="2022-04-12T09:01:54Z"/>
        <d v="2022-04-12T09:01:53Z"/>
        <d v="2022-04-12T09:01:52Z"/>
        <d v="2022-04-12T09:01:51Z"/>
        <d v="2022-04-12T09:01:50Z"/>
        <d v="2022-04-12T09:01:49Z"/>
        <d v="2022-04-12T09:01:48Z"/>
        <d v="2022-04-12T09:01:47Z"/>
        <d v="2022-04-12T09:01:46Z"/>
        <d v="2022-04-12T09:01:45Z"/>
        <d v="2022-04-12T09:01:44Z"/>
        <d v="2022-04-12T09:01:43Z"/>
        <d v="2022-04-12T09:01:42Z"/>
        <d v="2022-04-12T09:01:41Z"/>
        <d v="2022-04-12T09:01:36Z"/>
        <d v="2022-04-12T09:01:35Z"/>
        <d v="2022-04-12T09:01:34Z"/>
        <d v="2022-04-12T09:01:33Z"/>
        <d v="2022-04-12T09:01:32Z"/>
        <d v="2022-04-12T09:01:31Z"/>
        <d v="2022-04-12T09:01:30Z"/>
        <d v="2022-04-12T09:01:29Z"/>
        <d v="2022-04-12T09:01:28Z"/>
        <d v="2022-04-12T09:01:27Z"/>
        <d v="2022-04-12T09:01:26Z"/>
        <d v="2022-04-12T09:01:25Z"/>
        <d v="2022-04-12T09:01:24Z"/>
        <d v="2022-04-12T09:01:23Z"/>
        <d v="2022-04-12T09:01:22Z"/>
        <d v="2022-04-12T09:01:21Z"/>
        <d v="2022-04-12T09:01:20Z"/>
        <d v="2022-04-12T09:01:19Z"/>
        <d v="2022-04-12T09:01:18Z"/>
        <d v="2022-04-12T09:01:17Z"/>
        <d v="2022-04-12T09:01:16Z"/>
        <d v="2022-04-12T09:01:15Z"/>
        <d v="2022-04-12T09:01:02Z"/>
        <d v="2022-04-12T08:59:42Z"/>
        <d v="2022-04-12T08:58:41Z"/>
        <d v="2022-04-12T08:56:39Z"/>
        <d v="2022-04-12T08:56:38Z"/>
        <d v="2022-04-12T08:55:48Z"/>
        <d v="2022-04-12T08:55:42Z"/>
        <d v="2022-04-12T08:55:37Z"/>
        <d v="2022-04-12T08:55:05Z"/>
        <d v="2022-04-12T08:55:03Z"/>
        <d v="2022-04-12T08:53:12Z"/>
        <d v="2022-04-12T08:53:11Z"/>
        <d v="2022-04-12T08:53:10Z"/>
        <d v="2022-04-12T08:53:08Z"/>
        <d v="2022-04-12T08:53:07Z"/>
        <d v="2022-04-12T08:53:06Z"/>
        <d v="2022-04-12T08:53:05Z"/>
        <d v="2022-04-12T08:53:03Z"/>
        <d v="2022-04-12T08:53:01Z"/>
        <d v="2022-04-12T08:53:00Z"/>
        <d v="2022-04-12T08:52:13Z"/>
        <d v="2022-04-12T08:51:18Z"/>
        <d v="2022-04-12T08:51:03Z"/>
        <d v="2022-04-12T08:48:42Z"/>
        <d v="2022-04-12T08:47:47Z"/>
        <d v="2022-04-12T08:46:37Z"/>
        <d v="2022-04-12T08:46:27Z"/>
        <d v="2022-04-12T08:45:20Z"/>
        <d v="2022-04-12T08:45:15Z"/>
        <d v="2022-04-12T08:45:07Z"/>
        <d v="2022-04-12T08:44:54Z"/>
        <d v="2022-04-12T08:44:26Z"/>
        <d v="2022-04-12T08:44:16Z"/>
        <d v="2022-04-12T08:43:39Z"/>
        <d v="2022-04-12T08:43:37Z"/>
        <d v="2022-04-12T08:42:20Z"/>
        <d v="2022-04-12T08:41:38Z"/>
        <d v="2022-04-12T08:41:25Z"/>
        <d v="2022-04-12T08:40:33Z"/>
        <d v="2022-04-12T08:39:59Z"/>
        <d v="2022-04-12T08:39:56Z"/>
        <d v="2022-04-12T08:38:55Z"/>
        <d v="2022-04-12T08:38:11Z"/>
        <d v="2022-04-12T08:36:34Z"/>
        <d v="2022-04-12T08:36:26Z"/>
        <d v="2022-04-12T08:36:16Z"/>
        <d v="2022-04-12T08:36:07Z"/>
        <d v="2022-04-12T08:36:03Z"/>
        <d v="2022-04-12T08:35:59Z"/>
        <d v="2022-04-12T08:35:56Z"/>
        <d v="2022-04-12T08:35:50Z"/>
        <d v="2022-04-12T08:35:45Z"/>
        <d v="2022-04-12T08:35:41Z"/>
        <d v="2022-04-12T08:34:35Z"/>
        <d v="2022-04-12T08:34:34Z"/>
        <d v="2022-04-12T08:34:32Z"/>
        <d v="2022-04-12T08:34:30Z"/>
        <d v="2022-04-12T08:34:29Z"/>
        <d v="2022-04-12T08:34:27Z"/>
        <d v="2022-04-12T08:34:25Z"/>
        <d v="2022-04-12T08:34:21Z"/>
        <d v="2022-04-12T08:34:06Z"/>
        <d v="2022-04-12T08:34:04Z"/>
        <d v="2022-04-12T08:33:59Z"/>
        <d v="2022-04-12T08:32:46Z"/>
        <d v="2022-04-12T08:32:25Z"/>
        <d v="2022-04-12T08:32:08Z"/>
        <d v="2022-04-12T08:32:05Z"/>
        <d v="2022-04-12T08:31:54Z"/>
        <d v="2022-04-12T08:31:45Z"/>
        <d v="2022-04-12T08:31:33Z"/>
        <d v="2022-04-12T08:31:16Z"/>
        <d v="2022-04-12T08:30:51Z"/>
        <d v="2022-04-12T08:30:34Z"/>
        <d v="2022-04-12T08:30:32Z"/>
        <d v="2022-04-12T08:30:30Z"/>
        <d v="2022-04-12T08:30:22Z"/>
        <d v="2022-04-12T08:30:11Z"/>
        <d v="2022-04-12T08:29:57Z"/>
        <d v="2022-04-12T08:29:19Z"/>
        <d v="2022-04-12T08:29:12Z"/>
        <d v="2022-04-12T08:28:57Z"/>
        <d v="2022-04-12T08:28:19Z"/>
        <d v="2022-04-12T08:28:11Z"/>
        <d v="2022-04-12T08:23:15Z"/>
        <d v="2022-04-12T08:22:23Z"/>
        <d v="2022-04-12T08:18:35Z"/>
        <d v="2022-04-12T08:15:19Z"/>
        <d v="2022-04-12T08:09:16Z"/>
        <d v="2022-04-12T08:02:28Z"/>
        <d v="2022-04-12T08:01:49Z"/>
        <d v="2022-04-12T08:00:54Z"/>
        <d v="2022-04-12T08:00:30Z"/>
        <d v="2022-04-12T08:00:25Z"/>
        <d v="2022-04-12T08:00:04Z"/>
        <d v="2022-04-12T07:58:49Z"/>
        <d v="2022-04-12T07:57:19Z"/>
        <d v="2022-04-12T07:54:26Z"/>
        <d v="2022-04-12T07:53:45Z"/>
        <d v="2022-04-12T07:52:28Z"/>
        <d v="2022-04-12T07:49:49Z"/>
        <d v="2022-04-12T07:49:47Z"/>
        <d v="2022-04-12T07:48:26Z"/>
        <d v="2022-04-12T07:47:54Z"/>
        <d v="2022-04-12T07:47:47Z"/>
        <d v="2022-04-12T07:46:49Z"/>
        <d v="2022-04-12T07:45:19Z"/>
        <d v="2022-04-12T07:43:12Z"/>
        <d v="2022-04-12T07:41:57Z"/>
        <d v="2022-04-12T07:38:58Z"/>
        <d v="2022-04-12T07:38:26Z"/>
        <d v="2022-04-12T07:38:24Z"/>
        <d v="2022-04-12T07:35:13Z"/>
        <d v="2022-04-12T07:35:11Z"/>
        <d v="2022-04-12T07:35:04Z"/>
        <d v="2022-04-12T07:35:01Z"/>
        <d v="2022-04-12T07:32:03Z"/>
        <d v="2022-04-12T07:29:17Z"/>
        <d v="2022-04-12T07:26:02Z"/>
        <d v="2022-04-12T07:26:00Z"/>
        <d v="2022-04-12T07:25:26Z"/>
        <d v="2022-04-12T07:24:34Z"/>
        <d v="2022-04-12T07:24:32Z"/>
        <d v="2022-04-12T07:23:43Z"/>
        <d v="2022-04-12T07:22:47Z"/>
        <d v="2022-04-12T07:22:22Z"/>
        <d v="2022-04-12T07:22:16Z"/>
        <d v="2022-04-12T07:15:01Z"/>
        <d v="2022-04-12T07:14:58Z"/>
        <d v="2022-04-12T07:14:51Z"/>
        <d v="2022-04-12T07:14:47Z"/>
        <d v="2022-04-12T07:14:35Z"/>
        <d v="2022-04-12T07:14:33Z"/>
        <d v="2022-04-12T07:14:31Z"/>
        <d v="2022-04-12T07:14:29Z"/>
        <d v="2022-04-12T07:14:25Z"/>
        <d v="2022-04-12T07:14:13Z"/>
        <d v="2022-04-12T07:12:52Z"/>
        <d v="2022-04-12T07:12:17Z"/>
        <d v="2022-04-12T07:12:15Z"/>
        <d v="2022-04-12T07:09:33Z"/>
        <d v="2022-04-12T07:09:14Z"/>
        <d v="2022-04-12T07:09:00Z"/>
        <d v="2022-04-12T07:08:54Z"/>
        <d v="2022-04-12T07:08:52Z"/>
        <d v="2022-04-12T07:03:53Z"/>
        <d v="2022-04-12T07:02:51Z"/>
        <d v="2022-04-12T07:02:07Z"/>
        <d v="2022-04-12T07:02:03Z"/>
        <d v="2022-04-12T07:01:28Z"/>
        <d v="2022-04-12T07:01:27Z"/>
        <d v="2022-04-12T07:01:24Z"/>
        <d v="2022-04-12T07:01:21Z"/>
        <d v="2022-04-12T07:01:20Z"/>
        <d v="2022-04-12T06:58:39Z"/>
        <d v="2022-04-12T06:58:37Z"/>
        <d v="2022-04-12T06:58:34Z"/>
        <d v="2022-04-12T06:58:31Z"/>
        <d v="2022-04-12T06:58:29Z"/>
        <d v="2022-04-12T06:56:35Z"/>
        <d v="2022-04-12T06:55:35Z"/>
        <d v="2022-04-12T06:54:46Z"/>
        <d v="2022-04-12T06:53:55Z"/>
        <d v="2022-04-12T06:53:53Z"/>
        <d v="2022-04-12T06:51:51Z"/>
        <d v="2022-04-12T06:51:05Z"/>
        <d v="2022-04-12T06:50:08Z"/>
        <d v="2022-04-12T06:49:44Z"/>
        <d v="2022-04-12T06:49:23Z"/>
        <d v="2022-04-12T06:47:24Z"/>
        <d v="2022-04-12T06:47:00Z"/>
        <d v="2022-04-12T06:40:18Z"/>
        <d v="2022-04-12T06:40:16Z"/>
        <d v="2022-04-12T06:39:24Z"/>
        <d v="2022-04-12T06:38:21Z"/>
        <d v="2022-04-12T06:37:13Z"/>
        <d v="2022-04-12T06:37:10Z"/>
        <d v="2022-04-12T06:37:08Z"/>
        <d v="2022-04-12T06:37:05Z"/>
        <d v="2022-04-12T06:35:45Z"/>
        <d v="2022-04-12T06:35:27Z"/>
        <d v="2022-04-12T06:34:12Z"/>
        <d v="2022-04-12T06:34:05Z"/>
        <d v="2022-04-12T06:33:56Z"/>
        <d v="2022-04-12T06:33:02Z"/>
        <d v="2022-04-12T06:31:23Z"/>
        <d v="2022-04-12T06:28:56Z"/>
        <d v="2022-04-12T06:28:03Z"/>
        <d v="2022-04-12T06:23:37Z"/>
        <d v="2022-04-12T06:22:23Z"/>
        <d v="2022-04-12T06:10:12Z"/>
        <d v="2022-04-12T06:08:55Z"/>
        <d v="2022-04-12T06:08:11Z"/>
        <d v="2022-04-12T06:08:08Z"/>
        <d v="2022-04-12T06:05:53Z"/>
        <d v="2022-04-12T06:03:03Z"/>
        <d v="2022-04-12T06:02:59Z"/>
        <d v="2022-04-12T06:02:56Z"/>
        <d v="2022-04-12T05:58:09Z"/>
        <d v="2022-04-12T05:57:56Z"/>
        <d v="2022-04-12T05:57:52Z"/>
        <d v="2022-04-12T05:57:49Z"/>
        <d v="2022-04-12T05:57:44Z"/>
        <d v="2022-04-12T05:57:16Z"/>
        <d v="2022-04-12T05:57:12Z"/>
        <d v="2022-04-12T05:56:46Z"/>
        <d v="2022-04-12T05:56:43Z"/>
        <d v="2022-04-12T05:56:30Z"/>
        <d v="2022-04-12T05:56:27Z"/>
        <d v="2022-04-12T05:56:12Z"/>
        <d v="2022-04-12T05:56:08Z"/>
        <d v="2022-04-12T05:56:03Z"/>
        <d v="2022-04-12T05:56:00Z"/>
        <d v="2022-04-12T05:55:55Z"/>
        <d v="2022-04-12T05:55:48Z"/>
        <d v="2022-04-12T05:55:14Z"/>
        <d v="2022-04-12T05:53:12Z"/>
        <d v="2022-04-12T05:53:06Z"/>
        <d v="2022-04-12T05:49:09Z"/>
        <d v="2022-04-12T05:49:08Z"/>
        <d v="2022-04-12T05:49:06Z"/>
        <d v="2022-04-12T05:47:00Z"/>
        <d v="2022-04-12T05:46:55Z"/>
        <d v="2022-04-12T05:46:44Z"/>
        <d v="2022-04-12T05:46:36Z"/>
        <d v="2022-04-12T05:46:32Z"/>
        <d v="2022-04-12T05:46:30Z"/>
        <d v="2022-04-12T05:46:27Z"/>
        <d v="2022-04-12T05:46:06Z"/>
        <d v="2022-04-12T05:45:59Z"/>
        <d v="2022-04-12T05:45:53Z"/>
        <d v="2022-04-12T05:45:50Z"/>
        <d v="2022-04-12T05:45:47Z"/>
        <d v="2022-04-12T05:45:44Z"/>
        <d v="2022-04-12T05:40:30Z"/>
        <d v="2022-04-12T05:39:22Z"/>
        <d v="2022-04-12T05:31:49Z"/>
        <d v="2022-04-12T05:31:48Z"/>
        <d v="2022-04-12T05:31:46Z"/>
        <d v="2022-04-12T05:31:44Z"/>
        <d v="2022-04-12T05:31:40Z"/>
        <d v="2022-04-12T05:31:37Z"/>
        <d v="2022-04-12T05:31:16Z"/>
        <d v="2022-04-12T05:30:55Z"/>
        <d v="2022-04-12T05:30:54Z"/>
        <d v="2022-04-12T05:30:52Z"/>
        <d v="2022-04-12T05:23:26Z"/>
        <d v="2022-04-12T05:20:10Z"/>
        <d v="2022-04-12T05:20:08Z"/>
        <d v="2022-04-12T05:17:55Z"/>
        <d v="2022-04-12T05:17:52Z"/>
        <d v="2022-04-12T05:13:52Z"/>
        <d v="2022-04-12T05:05:52Z"/>
        <d v="2022-04-12T05:05:49Z"/>
        <d v="2022-04-12T05:05:23Z"/>
        <d v="2022-04-12T05:05:22Z"/>
        <d v="2022-04-12T05:05:18Z"/>
        <d v="2022-04-12T05:05:14Z"/>
        <d v="2022-04-12T05:04:34Z"/>
        <d v="2022-04-12T05:01:06Z"/>
        <d v="2022-04-12T05:01:03Z"/>
        <d v="2022-04-12T04:56:59Z"/>
        <d v="2022-04-12T04:56:39Z"/>
        <d v="2022-04-12T04:54:23Z"/>
        <d v="2022-04-12T04:54:10Z"/>
        <d v="2022-04-12T04:48:31Z"/>
        <d v="2022-04-12T04:48:27Z"/>
        <d v="2022-04-12T04:47:40Z"/>
        <d v="2022-04-12T04:45:47Z"/>
        <d v="2022-04-12T04:45:30Z"/>
        <d v="2022-04-12T04:37:37Z"/>
        <d v="2022-04-12T04:33:39Z"/>
        <d v="2022-04-12T04:15:45Z"/>
        <d v="2022-04-12T03:56:37Z"/>
        <d v="2022-04-12T03:30:06Z"/>
        <d v="2022-04-12T03:28:11Z"/>
        <d v="2022-04-12T03:21:33Z"/>
        <d v="2022-04-12T03:21:15Z"/>
        <d v="2022-04-12T03:21:08Z"/>
        <d v="2022-04-12T03:19:16Z"/>
        <d v="2022-04-12T03:14:23Z"/>
        <d v="2022-04-12T02:19:09Z"/>
        <d v="2022-04-12T01:39:01Z"/>
        <d v="2022-04-12T01:36:32Z"/>
        <d v="2022-04-12T01:33:46Z"/>
        <d v="2022-04-12T01:31:04Z"/>
        <d v="2022-04-12T01:20:24Z"/>
        <d v="2022-04-12T01:17:58Z"/>
        <d v="2022-04-12T01:17:53Z"/>
        <d v="2022-04-12T00:59:31Z"/>
        <d v="2022-04-12T00:54:05Z"/>
        <d v="2022-04-12T00:51:53Z"/>
        <d v="2022-04-12T00:51:51Z"/>
        <d v="2022-04-12T00:51:48Z"/>
        <d v="2022-04-12T00:51:37Z"/>
        <d v="2022-04-12T00:49:27Z"/>
        <d v="2022-04-12T00:49:20Z"/>
        <d v="2022-04-12T00:37:12Z"/>
        <d v="2022-04-12T00:37:09Z"/>
        <d v="2022-04-12T00:33:42Z"/>
        <d v="2022-04-12T00:32:41Z"/>
        <d v="2022-04-12T00:32:08Z"/>
        <d v="2022-04-12T00:30:26Z"/>
        <d v="2022-04-12T00:29:50Z"/>
        <d v="2022-04-12T00:29:48Z"/>
        <d v="2022-04-12T00:29:45Z"/>
        <d v="2022-04-12T00:29:42Z"/>
        <d v="2022-04-12T00:29:09Z"/>
        <d v="2022-04-12T00:28:29Z"/>
        <d v="2022-04-12T00:28:27Z"/>
        <d v="2022-04-12T00:28:25Z"/>
        <d v="2022-04-12T00:28:21Z"/>
        <d v="2022-04-12T00:28:12Z"/>
        <d v="2022-04-12T00:27:59Z"/>
        <d v="2022-04-12T00:27:51Z"/>
        <d v="2022-04-12T00:27:39Z"/>
        <d v="2022-04-12T00:21:13Z"/>
        <d v="2022-04-12T00:19:11Z"/>
        <d v="2022-04-12T00:19:09Z"/>
        <d v="2022-04-12T00:19:07Z"/>
        <d v="2022-04-12T00:18:59Z"/>
        <d v="2022-04-12T00:18:46Z"/>
        <d v="2022-04-12T00:18:40Z"/>
        <d v="2022-04-12T00:18:37Z"/>
        <d v="2022-04-12T00:15:05Z"/>
        <d v="2022-04-12T00:14:18Z"/>
        <d v="2022-04-12T00:09:39Z"/>
        <d v="2022-04-12T00:09:15Z"/>
        <d v="2022-04-12T00:08:10Z"/>
        <d v="2022-04-12T00:07:01Z"/>
        <d v="2022-04-12T00:06:42Z"/>
        <d v="2022-04-12T00:06:40Z"/>
        <d v="2022-04-12T00:06:38Z"/>
        <d v="2022-04-12T00:02:18Z"/>
        <d v="2022-04-11T23:59:27Z"/>
        <d v="2022-04-11T23:59:23Z"/>
        <d v="2022-04-11T23:59:17Z"/>
        <d v="2022-04-11T23:59:12Z"/>
        <d v="2022-04-11T23:59:08Z"/>
        <d v="2022-04-11T23:59:04Z"/>
        <d v="2022-04-11T23:55:34Z"/>
        <d v="2022-04-11T23:52:30Z"/>
        <d v="2022-04-11T23:48:40Z"/>
        <d v="2022-04-11T23:31:45Z"/>
        <d v="2022-04-11T23:30:34Z"/>
        <d v="2022-04-11T23:27:20Z"/>
        <d v="2022-04-11T23:25:00Z"/>
        <d v="2022-04-11T23:18:50Z"/>
        <d v="2022-04-11T23:16:29Z"/>
        <d v="2022-04-11T23:14:20Z"/>
        <d v="2022-04-11T23:14:09Z"/>
        <d v="2022-04-11T23:12:27Z"/>
        <d v="2022-04-11T23:10:40Z"/>
        <d v="2022-04-11T23:10:17Z"/>
        <d v="2022-04-11T23:08:58Z"/>
        <d v="2022-04-11T23:08:50Z"/>
        <d v="2022-04-11T23:08:20Z"/>
        <d v="2022-04-11T23:06:39Z"/>
        <d v="2022-04-11T23:04:40Z"/>
        <d v="2022-04-11T23:04:37Z"/>
        <d v="2022-04-11T23:04:33Z"/>
        <d v="2022-04-11T23:03:46Z"/>
        <d v="2022-04-11T23:03:23Z"/>
        <d v="2022-04-11T23:03:19Z"/>
        <d v="2022-04-11T23:02:29Z"/>
        <d v="2022-04-11T23:02:13Z"/>
        <d v="2022-04-11T23:02:09Z"/>
        <d v="2022-04-11T23:01:57Z"/>
        <d v="2022-04-11T23:00:27Z"/>
        <d v="2022-04-11T22:59:54Z"/>
        <d v="2022-04-11T22:59:41Z"/>
        <d v="2022-04-11T22:59:34Z"/>
        <d v="2022-04-11T22:59:29Z"/>
        <d v="2022-04-11T22:59:25Z"/>
        <d v="2022-04-11T22:59:24Z"/>
        <d v="2022-04-11T22:59:04Z"/>
        <d v="2022-04-11T22:59:00Z"/>
        <d v="2022-04-11T22:58:34Z"/>
        <d v="2022-04-11T22:58:18Z"/>
        <d v="2022-04-11T22:58:17Z"/>
        <d v="2022-04-11T22:58:16Z"/>
        <d v="2022-04-11T22:58:13Z"/>
        <d v="2022-04-11T22:58:10Z"/>
        <d v="2022-04-11T22:58:07Z"/>
        <d v="2022-04-11T22:58:06Z"/>
        <d v="2022-04-11T22:58:04Z"/>
        <d v="2022-04-11T22:58:02Z"/>
        <d v="2022-04-11T22:58:00Z"/>
        <d v="2022-04-11T22:57:55Z"/>
        <d v="2022-04-11T22:57:53Z"/>
        <d v="2022-04-11T22:57:51Z"/>
        <d v="2022-04-11T22:57:49Z"/>
        <d v="2022-04-11T22:57:45Z"/>
        <d v="2022-04-11T22:57:44Z"/>
        <d v="2022-04-11T22:57:42Z"/>
        <d v="2022-04-11T22:57:39Z"/>
        <d v="2022-04-11T22:57:33Z"/>
        <d v="2022-04-11T22:57:32Z"/>
        <d v="2022-04-11T22:57:24Z"/>
        <d v="2022-04-11T22:57:21Z"/>
        <d v="2022-04-11T22:57:20Z"/>
        <d v="2022-04-11T22:57:17Z"/>
        <d v="2022-04-11T22:57:16Z"/>
        <d v="2022-04-11T22:57:15Z"/>
        <d v="2022-04-11T22:57:13Z"/>
        <d v="2022-04-11T22:57:11Z"/>
        <d v="2022-04-11T22:57:08Z"/>
        <d v="2022-04-11T22:57:01Z"/>
        <d v="2022-04-11T22:56:59Z"/>
        <d v="2022-04-11T22:56:57Z"/>
        <d v="2022-04-11T22:56:54Z"/>
        <d v="2022-04-11T22:56:53Z"/>
        <d v="2022-04-11T22:56:51Z"/>
        <d v="2022-04-11T22:56:50Z"/>
        <d v="2022-04-11T22:56:49Z"/>
        <d v="2022-04-11T22:56:47Z"/>
        <d v="2022-04-11T22:56:46Z"/>
        <d v="2022-04-11T22:56:45Z"/>
        <d v="2022-04-11T22:56:39Z"/>
        <d v="2022-04-11T22:56:37Z"/>
        <d v="2022-04-11T22:55:39Z"/>
        <d v="2022-04-11T22:55:35Z"/>
        <d v="2022-04-11T22:55:31Z"/>
        <d v="2022-04-11T22:55:18Z"/>
        <d v="2022-04-11T22:55:07Z"/>
        <d v="2022-04-11T22:54:45Z"/>
        <d v="2022-04-11T22:53:18Z"/>
        <d v="2022-04-11T22:53:14Z"/>
        <d v="2022-04-11T22:53:12Z"/>
        <d v="2022-04-11T22:53:10Z"/>
        <d v="2022-04-11T22:53:01Z"/>
        <d v="2022-04-11T22:52:47Z"/>
        <d v="2022-04-11T22:52:43Z"/>
        <d v="2022-04-11T22:52:41Z"/>
        <d v="2022-04-11T22:52:38Z"/>
        <d v="2022-04-11T22:52:29Z"/>
        <d v="2022-04-11T22:52:26Z"/>
        <d v="2022-04-11T22:52:20Z"/>
        <d v="2022-04-11T22:52:18Z"/>
        <d v="2022-04-11T22:52:04Z"/>
        <d v="2022-04-11T22:51:35Z"/>
        <d v="2022-04-11T22:51:28Z"/>
        <d v="2022-04-11T22:51:27Z"/>
        <d v="2022-04-11T22:51:00Z"/>
        <d v="2022-04-11T22:50:05Z"/>
        <d v="2022-04-11T22:49:56Z"/>
        <d v="2022-04-11T22:46:47Z"/>
        <d v="2022-04-11T22:46:42Z"/>
        <d v="2022-04-11T22:46:38Z"/>
        <d v="2022-04-11T22:46:34Z"/>
        <d v="2022-04-11T22:46:28Z"/>
        <d v="2022-04-11T22:46:26Z"/>
        <d v="2022-04-11T22:46:25Z"/>
        <d v="2022-04-11T22:46:21Z"/>
        <d v="2022-04-11T22:46:16Z"/>
        <d v="2022-04-11T22:46:08Z"/>
        <d v="2022-04-11T22:46:05Z"/>
        <d v="2022-04-11T22:45:51Z"/>
        <d v="2022-04-11T22:42:55Z"/>
        <d v="2022-04-11T22:42:02Z"/>
        <d v="2022-04-11T22:41:59Z"/>
        <d v="2022-04-11T22:41:54Z"/>
        <d v="2022-04-11T22:41:52Z"/>
        <d v="2022-04-11T22:41:48Z"/>
        <d v="2022-04-11T22:41:41Z"/>
        <d v="2022-04-11T22:41:27Z"/>
        <d v="2022-04-11T22:40:57Z"/>
        <d v="2022-04-11T22:40:39Z"/>
        <d v="2022-04-11T22:40:36Z"/>
        <d v="2022-04-11T22:39:49Z"/>
        <d v="2022-04-11T22:39:48Z"/>
        <d v="2022-04-11T22:38:53Z"/>
        <d v="2022-04-11T22:38:31Z"/>
        <d v="2022-04-11T22:37:48Z"/>
        <d v="2022-04-11T22:37:43Z"/>
        <d v="2022-04-11T22:37:24Z"/>
        <d v="2022-04-11T22:35:31Z"/>
        <d v="2022-04-11T22:35:24Z"/>
        <d v="2022-04-11T22:35:12Z"/>
        <d v="2022-04-11T22:34:35Z"/>
        <d v="2022-04-11T22:33:59Z"/>
        <d v="2022-04-11T22:33:56Z"/>
        <d v="2022-04-11T22:33:54Z"/>
        <d v="2022-04-11T22:31:20Z"/>
        <d v="2022-04-11T22:31:17Z"/>
        <d v="2022-04-11T22:29:10Z"/>
        <d v="2022-04-11T22:28:16Z"/>
        <d v="2022-04-11T22:27:45Z"/>
        <d v="2022-04-11T22:27:04Z"/>
        <d v="2022-04-11T22:26:21Z"/>
        <d v="2022-04-11T22:26:18Z"/>
        <d v="2022-04-11T22:24:55Z"/>
        <d v="2022-04-11T22:24:49Z"/>
        <d v="2022-04-11T22:24:46Z"/>
        <d v="2022-04-11T22:24:39Z"/>
        <d v="2022-04-11T22:22:28Z"/>
        <d v="2022-04-11T22:21:52Z"/>
        <d v="2022-04-11T22:21:48Z"/>
        <d v="2022-04-11T22:20:08Z"/>
        <d v="2022-04-11T22:19:41Z"/>
        <d v="2022-04-11T22:18:46Z"/>
        <d v="2022-04-11T22:16:57Z"/>
        <d v="2022-04-11T22:16:52Z"/>
        <d v="2022-04-11T22:16:14Z"/>
        <d v="2022-04-11T22:14:15Z"/>
        <d v="2022-04-11T22:12:01Z"/>
        <d v="2022-04-11T22:11:59Z"/>
        <d v="2022-04-11T22:11:54Z"/>
        <d v="2022-04-11T22:11:27Z"/>
        <d v="2022-04-11T22:11:21Z"/>
        <d v="2022-04-11T22:10:03Z"/>
        <d v="2022-04-11T22:09:41Z"/>
        <d v="2022-04-11T22:09:39Z"/>
        <d v="2022-04-11T22:09:35Z"/>
        <d v="2022-04-11T22:09:33Z"/>
        <d v="2022-04-11T22:09:11Z"/>
        <d v="2022-04-11T22:09:08Z"/>
        <d v="2022-04-11T22:07:52Z"/>
        <d v="2022-04-11T22:07:43Z"/>
        <d v="2022-04-11T22:07:41Z"/>
        <d v="2022-04-11T22:05:53Z"/>
        <d v="2022-04-11T22:05:50Z"/>
        <d v="2022-04-11T22:05:25Z"/>
        <d v="2022-04-11T22:05:22Z"/>
        <d v="2022-04-11T22:03:55Z"/>
        <d v="2022-04-11T22:03:42Z"/>
        <d v="2022-04-11T22:03:36Z"/>
        <d v="2022-04-11T22:03:32Z"/>
        <d v="2022-04-11T22:03:29Z"/>
        <d v="2022-04-11T22:03:27Z"/>
        <d v="2022-04-11T22:03:08Z"/>
        <d v="2022-04-11T22:02:57Z"/>
        <d v="2022-04-11T22:02:55Z"/>
        <d v="2022-04-11T22:02:53Z"/>
        <d v="2022-04-11T22:02:51Z"/>
        <d v="2022-04-11T22:02:50Z"/>
        <d v="2022-04-11T22:02:35Z"/>
        <d v="2022-04-11T22:02:24Z"/>
        <d v="2022-04-11T22:01:32Z"/>
        <d v="2022-04-11T22:01:26Z"/>
        <d v="2022-04-11T22:01:15Z"/>
        <d v="2022-04-11T22:01:11Z"/>
        <d v="2022-04-11T22:01:10Z"/>
        <d v="2022-04-11T22:00:58Z"/>
        <d v="2022-04-11T22:00:56Z"/>
        <d v="2022-04-11T22:00:47Z"/>
        <d v="2022-04-11T21:59:54Z"/>
        <d v="2022-04-11T21:59:31Z"/>
        <d v="2022-04-11T21:59:29Z"/>
        <d v="2022-04-11T21:56:21Z"/>
        <d v="2022-04-11T21:54:53Z"/>
        <d v="2022-04-11T21:53:33Z"/>
        <d v="2022-04-11T21:52:51Z"/>
        <d v="2022-04-11T21:52:23Z"/>
        <d v="2022-04-11T21:52:20Z"/>
        <d v="2022-04-11T21:52:17Z"/>
        <d v="2022-04-11T21:52:12Z"/>
        <d v="2022-04-11T21:52:09Z"/>
        <d v="2022-04-11T21:52:04Z"/>
        <d v="2022-04-11T21:52:00Z"/>
        <d v="2022-04-11T21:51:50Z"/>
        <d v="2022-04-11T21:51:46Z"/>
        <d v="2022-04-11T21:51:22Z"/>
        <d v="2022-04-11T21:48:50Z"/>
        <d v="2022-04-11T21:48:47Z"/>
        <d v="2022-04-11T21:48:04Z"/>
        <d v="2022-04-11T21:47:58Z"/>
        <d v="2022-04-11T21:47:54Z"/>
        <d v="2022-04-11T21:47:53Z"/>
        <d v="2022-04-11T21:47:52Z"/>
        <d v="2022-04-11T21:47:49Z"/>
        <d v="2022-04-11T21:47:37Z"/>
        <d v="2022-04-11T21:47:34Z"/>
        <d v="2022-04-11T21:47:30Z"/>
        <d v="2022-04-11T21:47:10Z"/>
        <d v="2022-04-11T21:47:08Z"/>
        <d v="2022-04-11T21:47:04Z"/>
        <d v="2022-04-11T21:46:35Z"/>
        <d v="2022-04-11T21:44:48Z"/>
        <d v="2022-04-11T21:44:39Z"/>
        <d v="2022-04-11T21:44:37Z"/>
        <d v="2022-04-11T21:44:03Z"/>
        <d v="2022-04-11T21:43:56Z"/>
        <d v="2022-04-11T21:43:21Z"/>
        <d v="2022-04-11T21:43:19Z"/>
        <d v="2022-04-11T21:43:18Z"/>
        <d v="2022-04-11T21:43:13Z"/>
        <d v="2022-04-11T21:41:29Z"/>
        <d v="2022-04-11T21:41:16Z"/>
        <d v="2022-04-11T21:40:07Z"/>
        <d v="2022-04-11T21:39:36Z"/>
        <d v="2022-04-11T21:39:31Z"/>
        <d v="2022-04-11T21:39:26Z"/>
        <d v="2022-04-11T21:39:11Z"/>
        <d v="2022-04-11T21:39:10Z"/>
        <d v="2022-04-11T21:39:08Z"/>
        <d v="2022-04-11T21:39:07Z"/>
        <d v="2022-04-11T21:39:05Z"/>
        <d v="2022-04-11T21:39:04Z"/>
        <d v="2022-04-11T21:39:01Z"/>
        <d v="2022-04-11T21:38:55Z"/>
        <d v="2022-04-11T21:38:54Z"/>
        <d v="2022-04-11T21:38:52Z"/>
        <d v="2022-04-11T21:38:47Z"/>
        <d v="2022-04-11T21:38:44Z"/>
        <d v="2022-04-11T21:38:27Z"/>
        <d v="2022-04-11T21:37:47Z"/>
        <d v="2022-04-11T21:37:29Z"/>
        <d v="2022-04-11T21:37:27Z"/>
        <d v="2022-04-11T21:37:26Z"/>
        <d v="2022-04-11T21:37:24Z"/>
        <d v="2022-04-11T21:37:22Z"/>
        <d v="2022-04-11T21:37:21Z"/>
        <d v="2022-04-11T21:37:19Z"/>
        <d v="2022-04-11T21:37:10Z"/>
        <d v="2022-04-11T21:37:03Z"/>
        <d v="2022-04-11T21:35:21Z"/>
        <d v="2022-04-11T21:35:19Z"/>
        <d v="2022-04-11T21:35:17Z"/>
        <d v="2022-04-11T21:35:15Z"/>
        <d v="2022-04-11T21:35:12Z"/>
        <d v="2022-04-11T21:35:10Z"/>
        <d v="2022-04-11T21:35:08Z"/>
        <d v="2022-04-11T21:35:01Z"/>
        <d v="2022-04-11T21:34:57Z"/>
        <d v="2022-04-11T21:34:55Z"/>
        <d v="2022-04-11T21:34:53Z"/>
        <d v="2022-04-11T21:34:49Z"/>
        <d v="2022-04-11T21:34:48Z"/>
        <d v="2022-04-11T21:34:45Z"/>
        <d v="2022-04-11T21:34:38Z"/>
        <d v="2022-04-11T21:34:27Z"/>
        <d v="2022-04-11T21:34:26Z"/>
        <d v="2022-04-11T21:34:25Z"/>
        <d v="2022-04-11T21:34:23Z"/>
        <d v="2022-04-11T21:34:22Z"/>
        <d v="2022-04-11T21:34:21Z"/>
        <d v="2022-04-11T21:34:19Z"/>
        <d v="2022-04-11T21:34:18Z"/>
        <d v="2022-04-11T21:34:17Z"/>
        <d v="2022-04-11T21:34:15Z"/>
        <d v="2022-04-11T21:34:14Z"/>
        <d v="2022-04-11T21:34:12Z"/>
        <d v="2022-04-11T21:34:08Z"/>
        <d v="2022-04-11T21:34:06Z"/>
        <d v="2022-04-11T21:33:15Z"/>
        <d v="2022-04-11T21:32:40Z"/>
        <d v="2022-04-11T21:32:34Z"/>
        <d v="2022-04-11T21:31:58Z"/>
        <d v="2022-04-11T21:31:35Z"/>
        <d v="2022-04-11T21:31:33Z"/>
        <d v="2022-04-11T21:31:32Z"/>
        <d v="2022-04-11T21:31:30Z"/>
        <d v="2022-04-11T21:31:27Z"/>
        <d v="2022-04-11T21:31:25Z"/>
        <d v="2022-04-11T21:31:21Z"/>
        <d v="2022-04-11T21:30:35Z"/>
        <d v="2022-04-11T21:30:10Z"/>
        <d v="2022-04-11T21:28:05Z"/>
        <d v="2022-04-11T21:27:57Z"/>
        <d v="2022-04-11T21:26:28Z"/>
        <d v="2022-04-11T21:26:25Z"/>
        <d v="2022-04-11T21:25:18Z"/>
        <d v="2022-04-11T21:22:53Z"/>
        <d v="2022-04-11T21:21:26Z"/>
        <d v="2022-04-11T21:19:23Z"/>
        <d v="2022-04-11T21:19:20Z"/>
        <d v="2022-04-11T21:18:59Z"/>
        <d v="2022-04-11T21:18:36Z"/>
        <d v="2022-04-11T21:15:22Z"/>
        <d v="2022-04-11T21:15:04Z"/>
        <d v="2022-04-11T21:14:07Z"/>
        <d v="2022-04-11T21:14:04Z"/>
        <d v="2022-04-11T21:14:02Z"/>
        <d v="2022-04-11T21:14:01Z"/>
        <d v="2022-04-11T21:13:59Z"/>
        <d v="2022-04-11T21:13:57Z"/>
        <d v="2022-04-11T21:13:54Z"/>
        <d v="2022-04-11T21:10:27Z"/>
        <d v="2022-04-11T21:10:23Z"/>
        <d v="2022-04-11T21:10:22Z"/>
        <d v="2022-04-11T21:10:20Z"/>
        <d v="2022-04-11T21:10:18Z"/>
        <d v="2022-04-11T21:10:12Z"/>
        <d v="2022-04-11T21:10:08Z"/>
        <d v="2022-04-11T21:10:06Z"/>
        <d v="2022-04-11T21:10:04Z"/>
        <d v="2022-04-11T21:10:02Z"/>
        <d v="2022-04-11T21:10:00Z"/>
        <d v="2022-04-11T21:09:58Z"/>
        <d v="2022-04-11T21:09:56Z"/>
        <d v="2022-04-11T21:09:50Z"/>
        <d v="2022-04-11T21:09:46Z"/>
        <d v="2022-04-11T21:09:45Z"/>
        <d v="2022-04-11T21:09:41Z"/>
        <d v="2022-04-11T21:09:35Z"/>
        <d v="2022-04-11T21:09:31Z"/>
        <d v="2022-04-11T21:06:26Z"/>
        <d v="2022-04-11T21:06:04Z"/>
        <d v="2022-04-11T21:05:42Z"/>
        <d v="2022-04-11T21:05:33Z"/>
        <d v="2022-04-11T21:05:31Z"/>
        <d v="2022-04-11T21:05:16Z"/>
        <d v="2022-04-11T21:05:12Z"/>
        <d v="2022-04-11T21:05:05Z"/>
        <d v="2022-04-11T21:05:02Z"/>
        <d v="2022-04-11T21:04:49Z"/>
        <d v="2022-04-11T21:03:30Z"/>
        <d v="2022-04-11T21:02:53Z"/>
        <d v="2022-04-11T21:01:46Z"/>
        <d v="2022-04-11T21:01:40Z"/>
        <d v="2022-04-11T21:01:37Z"/>
        <d v="2022-04-11T21:01:36Z"/>
        <d v="2022-04-11T21:01:33Z"/>
        <d v="2022-04-11T21:01:27Z"/>
        <d v="2022-04-11T21:01:22Z"/>
        <d v="2022-04-11T21:01:12Z"/>
        <d v="2022-04-11T21:00:58Z"/>
        <d v="2022-04-11T21:00:57Z"/>
        <d v="2022-04-11T21:00:56Z"/>
        <d v="2022-04-11T21:00:55Z"/>
        <d v="2022-04-11T21:00:54Z"/>
        <d v="2022-04-11T21:00:53Z"/>
        <d v="2022-04-11T21:00:45Z"/>
        <d v="2022-04-11T21:00:41Z"/>
        <d v="2022-04-11T21:00:09Z"/>
        <d v="2022-04-11T20:59:59Z"/>
        <d v="2022-04-11T20:59:57Z"/>
        <d v="2022-04-11T20:59:56Z"/>
        <d v="2022-04-11T20:59:51Z"/>
        <d v="2022-04-11T20:59:37Z"/>
        <d v="2022-04-11T20:59:34Z"/>
        <d v="2022-04-11T20:59:32Z"/>
        <d v="2022-04-11T20:59:30Z"/>
        <d v="2022-04-11T20:59:29Z"/>
        <d v="2022-04-11T20:59:26Z"/>
        <d v="2022-04-11T20:59:21Z"/>
        <d v="2022-04-11T20:59:19Z"/>
        <d v="2022-04-11T20:59:15Z"/>
        <d v="2022-04-11T20:59:12Z"/>
        <d v="2022-04-11T20:59:08Z"/>
        <d v="2022-04-11T20:59:04Z"/>
        <d v="2022-04-11T20:57:24Z"/>
        <d v="2022-04-11T20:57:21Z"/>
        <d v="2022-04-11T20:53:17Z"/>
        <d v="2022-04-11T20:51:13Z"/>
        <d v="2022-04-11T20:50:08Z"/>
        <d v="2022-04-11T20:49:06Z"/>
        <d v="2022-04-11T20:49:00Z"/>
        <d v="2022-04-11T20:48:42Z"/>
        <d v="2022-04-11T20:48:06Z"/>
        <d v="2022-04-11T20:47:46Z"/>
        <d v="2022-04-11T20:47:04Z"/>
        <d v="2022-04-11T20:46:49Z"/>
        <d v="2022-04-11T20:46:47Z"/>
        <d v="2022-04-11T20:44:23Z"/>
        <d v="2022-04-11T20:44:19Z"/>
        <d v="2022-04-11T20:42:27Z"/>
        <d v="2022-04-11T20:40:41Z"/>
        <d v="2022-04-11T20:39:04Z"/>
        <d v="2022-04-11T20:39:02Z"/>
        <d v="2022-04-11T20:39:01Z"/>
        <d v="2022-04-11T20:38:59Z"/>
        <d v="2022-04-11T20:38:54Z"/>
        <d v="2022-04-11T20:38:34Z"/>
        <d v="2022-04-11T20:38:17Z"/>
        <d v="2022-04-11T20:36:35Z"/>
        <d v="2022-04-11T20:36:33Z"/>
        <d v="2022-04-11T20:36:07Z"/>
        <d v="2022-04-11T20:35:50Z"/>
        <d v="2022-04-11T20:34:02Z"/>
        <d v="2022-04-11T20:33:27Z"/>
        <d v="2022-04-11T20:32:59Z"/>
        <d v="2022-04-11T20:32:45Z"/>
        <d v="2022-04-11T20:32:43Z"/>
        <d v="2022-04-11T20:32:39Z"/>
        <d v="2022-04-11T20:32:28Z"/>
        <d v="2022-04-11T20:32:26Z"/>
        <d v="2022-04-11T20:32:25Z"/>
        <d v="2022-04-11T20:32:08Z"/>
        <d v="2022-04-11T20:31:58Z"/>
        <d v="2022-04-11T20:31:26Z"/>
        <d v="2022-04-11T20:31:19Z"/>
        <d v="2022-04-11T20:31:08Z"/>
        <d v="2022-04-11T20:31:03Z"/>
        <d v="2022-04-11T20:30:47Z"/>
        <d v="2022-04-11T20:30:40Z"/>
        <d v="2022-04-11T20:30:22Z"/>
        <d v="2022-04-11T20:30:18Z"/>
        <d v="2022-04-11T20:30:15Z"/>
        <d v="2022-04-11T20:30:14Z"/>
        <d v="2022-04-11T20:30:04Z"/>
        <d v="2022-04-11T20:30:02Z"/>
        <d v="2022-04-11T20:29:59Z"/>
        <d v="2022-04-11T20:29:58Z"/>
        <d v="2022-04-11T20:29:56Z"/>
        <d v="2022-04-11T20:29:53Z"/>
        <d v="2022-04-11T20:29:49Z"/>
        <d v="2022-04-11T20:29:29Z"/>
        <d v="2022-04-11T20:29:26Z"/>
        <d v="2022-04-11T20:29:03Z"/>
        <d v="2022-04-11T20:27:34Z"/>
        <d v="2022-04-11T20:27:16Z"/>
        <d v="2022-04-11T20:26:44Z"/>
        <d v="2022-04-11T20:26:30Z"/>
        <d v="2022-04-11T20:26:20Z"/>
        <d v="2022-04-11T20:25:02Z"/>
        <d v="2022-04-11T20:24:54Z"/>
        <d v="2022-04-11T20:24:19Z"/>
        <d v="2022-04-11T20:24:18Z"/>
        <d v="2022-04-11T20:24:16Z"/>
        <d v="2022-04-11T20:22:20Z"/>
        <d v="2022-04-11T20:22:18Z"/>
        <d v="2022-04-11T20:22:16Z"/>
        <d v="2022-04-11T20:22:13Z"/>
        <d v="2022-04-11T20:22:11Z"/>
        <d v="2022-04-11T20:22:04Z"/>
        <d v="2022-04-11T20:21:59Z"/>
        <d v="2022-04-11T20:21:51Z"/>
        <d v="2022-04-11T20:21:47Z"/>
        <d v="2022-04-11T20:21:20Z"/>
        <d v="2022-04-11T20:21:10Z"/>
        <d v="2022-04-11T20:21:06Z"/>
        <d v="2022-04-11T20:19:43Z"/>
        <d v="2022-04-11T20:19:39Z"/>
        <d v="2022-04-11T20:18:48Z"/>
        <d v="2022-04-11T20:18:45Z"/>
        <d v="2022-04-11T20:18:40Z"/>
        <d v="2022-04-11T20:18:38Z"/>
        <d v="2022-04-11T20:18:17Z"/>
        <d v="2022-04-11T20:17:10Z"/>
        <d v="2022-04-11T20:16:53Z"/>
        <d v="2022-04-11T20:15:46Z"/>
        <d v="2022-04-11T20:15:41Z"/>
        <d v="2022-04-11T20:15:37Z"/>
        <d v="2022-04-11T20:15:31Z"/>
        <d v="2022-04-11T20:15:12Z"/>
        <d v="2022-04-11T20:13:53Z"/>
        <d v="2022-04-11T20:13:17Z"/>
        <d v="2022-04-11T20:13:11Z"/>
        <d v="2022-04-11T20:12:56Z"/>
        <d v="2022-04-11T20:11:13Z"/>
        <d v="2022-04-11T20:09:54Z"/>
        <d v="2022-04-11T20:09:18Z"/>
        <d v="2022-04-11T20:09:14Z"/>
        <d v="2022-04-11T20:06:32Z"/>
        <d v="2022-04-11T20:05:48Z"/>
        <d v="2022-04-11T20:04:30Z"/>
        <d v="2022-04-11T20:03:32Z"/>
        <d v="2022-04-11T20:02:24Z"/>
        <d v="2022-04-11T20:02:22Z"/>
        <d v="2022-04-11T20:02:21Z"/>
        <d v="2022-04-11T20:02:20Z"/>
        <d v="2022-04-11T20:02:12Z"/>
        <d v="2022-04-11T20:02:09Z"/>
        <d v="2022-04-11T20:01:38Z"/>
        <d v="2022-04-11T20:00:38Z"/>
        <d v="2022-04-11T19:59:59Z"/>
        <d v="2022-04-11T19:59:54Z"/>
        <d v="2022-04-11T19:59:45Z"/>
        <d v="2022-04-11T19:58:39Z"/>
        <d v="2022-04-11T19:56:04Z"/>
        <d v="2022-04-11T19:56:00Z"/>
        <d v="2022-04-11T19:55:50Z"/>
        <d v="2022-04-11T19:55:25Z"/>
        <d v="2022-04-11T19:54:38Z"/>
        <d v="2022-04-11T19:54:35Z"/>
        <d v="2022-04-11T19:54:32Z"/>
        <d v="2022-04-11T19:54:30Z"/>
        <d v="2022-04-11T19:54:25Z"/>
        <d v="2022-04-11T19:54:06Z"/>
        <d v="2022-04-11T19:54:01Z"/>
        <d v="2022-04-11T19:53:40Z"/>
        <d v="2022-04-11T19:53:24Z"/>
        <d v="2022-04-11T19:53:15Z"/>
        <d v="2022-04-11T19:52:34Z"/>
        <d v="2022-04-11T19:50:34Z"/>
        <d v="2022-04-11T19:48:08Z"/>
        <d v="2022-04-11T19:47:52Z"/>
        <d v="2022-04-11T19:47:40Z"/>
        <d v="2022-04-11T19:47:26Z"/>
        <d v="2022-04-11T19:47:25Z"/>
        <d v="2022-04-11T19:47:24Z"/>
        <d v="2022-04-11T19:47:21Z"/>
        <d v="2022-04-11T19:46:51Z"/>
        <d v="2022-04-11T19:46:25Z"/>
        <d v="2022-04-11T19:46:12Z"/>
        <d v="2022-04-11T19:46:03Z"/>
        <d v="2022-04-11T19:44:54Z"/>
        <d v="2022-04-11T19:44:51Z"/>
        <d v="2022-04-11T19:44:49Z"/>
        <d v="2022-04-11T19:44:48Z"/>
        <d v="2022-04-11T19:42:38Z"/>
        <d v="2022-04-11T19:40:51Z"/>
        <d v="2022-04-11T19:40:50Z"/>
        <d v="2022-04-11T19:40:49Z"/>
        <d v="2022-04-11T19:40:19Z"/>
        <d v="2022-04-11T19:38:29Z"/>
        <d v="2022-04-11T19:37:41Z"/>
        <d v="2022-04-11T19:37:28Z"/>
        <d v="2022-04-11T19:37:01Z"/>
        <d v="2022-04-11T19:36:48Z"/>
        <d v="2022-04-11T19:36:46Z"/>
        <d v="2022-04-11T19:36:30Z"/>
        <d v="2022-04-11T19:35:26Z"/>
        <d v="2022-04-11T19:35:23Z"/>
        <d v="2022-04-11T19:34:51Z"/>
        <d v="2022-04-11T19:34:47Z"/>
        <d v="2022-04-11T19:34:38Z"/>
        <d v="2022-04-11T19:34:22Z"/>
        <d v="2022-04-11T19:34:06Z"/>
        <d v="2022-04-11T19:32:42Z"/>
        <d v="2022-04-11T19:32:39Z"/>
        <d v="2022-04-11T19:29:11Z"/>
        <d v="2022-04-11T19:28:35Z"/>
        <d v="2022-04-11T19:28:21Z"/>
        <d v="2022-04-11T19:28:18Z"/>
        <d v="2022-04-11T19:28:16Z"/>
        <d v="2022-04-11T19:28:13Z"/>
        <d v="2022-04-11T19:28:12Z"/>
        <d v="2022-04-11T19:28:11Z"/>
        <d v="2022-04-11T19:28:10Z"/>
        <d v="2022-04-11T19:28:08Z"/>
        <d v="2022-04-11T19:28:01Z"/>
        <d v="2022-04-11T19:28:00Z"/>
        <d v="2022-04-11T19:27:59Z"/>
        <d v="2022-04-11T19:27:57Z"/>
        <d v="2022-04-11T19:27:56Z"/>
        <d v="2022-04-11T19:27:45Z"/>
        <d v="2022-04-11T19:27:40Z"/>
        <d v="2022-04-11T19:27:19Z"/>
        <d v="2022-04-11T19:27:13Z"/>
        <d v="2022-04-11T19:27:12Z"/>
        <d v="2022-04-11T19:27:11Z"/>
        <d v="2022-04-11T19:27:10Z"/>
        <d v="2022-04-11T19:27:09Z"/>
        <d v="2022-04-11T19:27:07Z"/>
        <d v="2022-04-11T19:27:06Z"/>
        <d v="2022-04-11T19:27:05Z"/>
        <d v="2022-04-11T19:27:04Z"/>
        <d v="2022-04-11T19:27:03Z"/>
        <d v="2022-04-11T19:27:02Z"/>
        <d v="2022-04-11T19:27:01Z"/>
        <d v="2022-04-11T19:27:00Z"/>
        <d v="2022-04-11T19:26:59Z"/>
        <d v="2022-04-11T19:26:57Z"/>
        <d v="2022-04-11T19:26:56Z"/>
        <d v="2022-04-11T19:26:55Z"/>
        <d v="2022-04-11T19:26:53Z"/>
        <d v="2022-04-11T19:26:51Z"/>
        <d v="2022-04-11T19:26:33Z"/>
        <d v="2022-04-11T19:25:16Z"/>
        <d v="2022-04-11T19:25:13Z"/>
        <d v="2022-04-11T19:24:26Z"/>
        <d v="2022-04-11T19:23:58Z"/>
        <d v="2022-04-11T19:23:50Z"/>
        <d v="2022-04-11T19:23:42Z"/>
        <d v="2022-04-11T19:23:21Z"/>
        <d v="2022-04-11T19:23:11Z"/>
        <d v="2022-04-11T19:22:22Z"/>
        <d v="2022-04-11T19:22:21Z"/>
        <d v="2022-04-11T19:22:19Z"/>
        <d v="2022-04-11T19:22:18Z"/>
        <d v="2022-04-11T19:22:16Z"/>
        <d v="2022-04-11T19:22:15Z"/>
        <d v="2022-04-11T19:22:13Z"/>
        <d v="2022-04-11T19:22:02Z"/>
        <d v="2022-04-11T19:22:00Z"/>
        <d v="2022-04-11T19:21:59Z"/>
        <d v="2022-04-11T19:21:56Z"/>
        <d v="2022-04-11T19:21:54Z"/>
        <d v="2022-04-11T19:21:52Z"/>
        <d v="2022-04-11T19:21:39Z"/>
        <d v="2022-04-11T19:21:08Z"/>
        <d v="2022-04-11T19:20:00Z"/>
        <d v="2022-04-11T19:19:58Z"/>
        <d v="2022-04-11T19:19:44Z"/>
        <d v="2022-04-11T19:19:40Z"/>
        <d v="2022-04-11T19:19:35Z"/>
        <d v="2022-04-11T19:19:33Z"/>
        <d v="2022-04-11T19:19:31Z"/>
        <d v="2022-04-11T19:19:27Z"/>
        <d v="2022-04-11T19:19:25Z"/>
        <d v="2022-04-11T19:18:32Z"/>
        <d v="2022-04-11T19:17:59Z"/>
        <d v="2022-04-11T19:17:58Z"/>
        <d v="2022-04-11T19:17:39Z"/>
        <d v="2022-04-11T19:17:34Z"/>
        <d v="2022-04-11T19:17:31Z"/>
        <d v="2022-04-11T19:17:29Z"/>
        <d v="2022-04-11T19:17:17Z"/>
        <d v="2022-04-11T19:17:14Z"/>
        <d v="2022-04-11T19:16:51Z"/>
        <d v="2022-04-11T19:16:46Z"/>
        <d v="2022-04-11T19:16:25Z"/>
        <d v="2022-04-11T19:16:23Z"/>
        <d v="2022-04-11T19:15:33Z"/>
        <d v="2022-04-11T19:15:21Z"/>
        <d v="2022-04-11T19:15:04Z"/>
        <d v="2022-04-11T19:14:29Z"/>
        <d v="2022-04-11T19:14:20Z"/>
        <d v="2022-04-11T19:12:52Z"/>
        <d v="2022-04-11T19:11:58Z"/>
        <d v="2022-04-11T19:10:27Z"/>
        <d v="2022-04-11T19:08:09Z"/>
        <d v="2022-04-11T19:08:06Z"/>
        <d v="2022-04-11T19:08:04Z"/>
        <d v="2022-04-11T19:07:52Z"/>
        <d v="2022-04-11T19:06:50Z"/>
        <d v="2022-04-11T19:05:07Z"/>
        <d v="2022-04-11T19:03:57Z"/>
        <d v="2022-04-11T19:03:45Z"/>
        <d v="2022-04-11T19:03:43Z"/>
        <d v="2022-04-11T19:03:42Z"/>
        <d v="2022-04-11T19:03:40Z"/>
        <d v="2022-04-11T19:03:37Z"/>
        <d v="2022-04-11T19:03:34Z"/>
        <d v="2022-04-11T19:02:25Z"/>
        <d v="2022-04-11T19:02:03Z"/>
        <d v="2022-04-11T19:01:29Z"/>
        <d v="2022-04-11T19:01:23Z"/>
        <d v="2022-04-11T19:01:09Z"/>
        <d v="2022-04-11T19:00:39Z"/>
        <d v="2022-04-11T19:00:33Z"/>
        <d v="2022-04-11T19:00:18Z"/>
        <d v="2022-04-11T18:59:54Z"/>
        <d v="2022-04-11T18:58:57Z"/>
        <d v="2022-04-11T18:58:54Z"/>
        <d v="2022-04-11T18:58:47Z"/>
        <d v="2022-04-11T18:58:01Z"/>
        <d v="2022-04-11T18:57:54Z"/>
        <d v="2022-04-11T18:57:52Z"/>
        <d v="2022-04-11T18:56:49Z"/>
        <d v="2022-04-11T18:56:39Z"/>
        <d v="2022-04-11T18:56:34Z"/>
        <d v="2022-04-11T18:55:25Z"/>
        <d v="2022-04-11T18:55:17Z"/>
        <d v="2022-04-11T18:54:57Z"/>
        <d v="2022-04-11T18:54:50Z"/>
        <d v="2022-04-11T18:54:17Z"/>
        <d v="2022-04-11T18:54:13Z"/>
        <d v="2022-04-11T18:54:07Z"/>
        <d v="2022-04-11T18:53:21Z"/>
        <d v="2022-04-11T18:53:05Z"/>
        <d v="2022-04-11T18:52:55Z"/>
        <d v="2022-04-11T18:52:53Z"/>
        <d v="2022-04-11T18:52:51Z"/>
        <d v="2022-04-11T18:51:57Z"/>
        <d v="2022-04-11T18:50:56Z"/>
        <d v="2022-04-11T18:50:46Z"/>
        <d v="2022-04-11T18:50:43Z"/>
        <d v="2022-04-11T18:48:39Z"/>
        <d v="2022-04-11T18:48:17Z"/>
        <d v="2022-04-11T18:48:07Z"/>
        <d v="2022-04-11T18:48:04Z"/>
        <d v="2022-04-11T18:47:57Z"/>
        <d v="2022-04-11T18:47:47Z"/>
        <d v="2022-04-11T18:47:42Z"/>
        <d v="2022-04-11T18:47:40Z"/>
        <d v="2022-04-11T18:47:34Z"/>
        <d v="2022-04-11T18:47:12Z"/>
        <d v="2022-04-11T18:47:08Z"/>
        <d v="2022-04-11T18:47:06Z"/>
        <d v="2022-04-11T18:45:45Z"/>
        <d v="2022-04-11T18:45:43Z"/>
        <d v="2022-04-11T18:45:42Z"/>
        <d v="2022-04-11T18:45:39Z"/>
        <d v="2022-04-11T18:45:36Z"/>
        <d v="2022-04-11T18:45:34Z"/>
        <d v="2022-04-11T18:45:27Z"/>
        <d v="2022-04-11T18:45:23Z"/>
        <d v="2022-04-11T18:45:20Z"/>
        <d v="2022-04-11T18:45:15Z"/>
        <d v="2022-04-11T18:45:13Z"/>
        <d v="2022-04-11T18:45:11Z"/>
        <d v="2022-04-11T18:45:09Z"/>
        <d v="2022-04-11T18:45:07Z"/>
        <d v="2022-04-11T18:45:05Z"/>
        <d v="2022-04-11T18:45:01Z"/>
        <d v="2022-04-11T18:44:52Z"/>
        <d v="2022-04-11T18:44:32Z"/>
        <d v="2022-04-11T18:44:29Z"/>
        <d v="2022-04-11T18:44:28Z"/>
        <d v="2022-04-11T18:44:26Z"/>
        <d v="2022-04-11T18:43:42Z"/>
        <d v="2022-04-11T18:43:19Z"/>
        <d v="2022-04-11T18:42:45Z"/>
        <d v="2022-04-11T18:42:20Z"/>
        <d v="2022-04-11T18:42:16Z"/>
        <d v="2022-04-11T18:41:30Z"/>
        <d v="2022-04-11T18:40:59Z"/>
        <d v="2022-04-11T18:40:43Z"/>
        <d v="2022-04-11T18:40:41Z"/>
        <d v="2022-04-11T18:40:30Z"/>
        <d v="2022-04-11T18:40:26Z"/>
        <d v="2022-04-11T18:40:24Z"/>
        <d v="2022-04-11T18:40:23Z"/>
        <d v="2022-04-11T18:39:58Z"/>
        <d v="2022-04-11T18:39:00Z"/>
        <d v="2022-04-11T18:38:53Z"/>
        <d v="2022-04-11T18:38:41Z"/>
        <d v="2022-04-11T18:38:22Z"/>
        <d v="2022-04-11T18:38:11Z"/>
        <d v="2022-04-11T18:38:03Z"/>
        <d v="2022-04-11T18:37:48Z"/>
        <d v="2022-04-11T18:37:46Z"/>
        <d v="2022-04-11T18:37:43Z"/>
        <d v="2022-04-11T18:37:41Z"/>
        <d v="2022-04-11T18:37:37Z"/>
        <d v="2022-04-11T18:37:34Z"/>
        <d v="2022-04-11T18:37:31Z"/>
        <d v="2022-04-11T18:36:54Z"/>
        <d v="2022-04-11T18:36:52Z"/>
        <d v="2022-04-11T18:35:38Z"/>
        <d v="2022-04-11T18:35:04Z"/>
        <d v="2022-04-11T18:34:42Z"/>
        <d v="2022-04-11T18:34:40Z"/>
        <d v="2022-04-11T18:32:51Z"/>
        <d v="2022-04-11T18:32:23Z"/>
        <d v="2022-04-11T18:31:02Z"/>
        <d v="2022-04-11T18:30:52Z"/>
        <d v="2022-04-11T18:30:49Z"/>
        <d v="2022-04-11T18:30:47Z"/>
        <d v="2022-04-11T18:30:45Z"/>
        <d v="2022-04-11T18:29:08Z"/>
        <d v="2022-04-11T18:29:02Z"/>
        <d v="2022-04-11T18:28:16Z"/>
        <d v="2022-04-11T18:28:04Z"/>
        <d v="2022-04-11T18:28:02Z"/>
        <d v="2022-04-11T18:28:01Z"/>
        <d v="2022-04-11T18:27:59Z"/>
        <d v="2022-04-11T18:27:57Z"/>
        <d v="2022-04-11T18:27:42Z"/>
        <d v="2022-04-11T18:27:38Z"/>
        <d v="2022-04-11T18:27:08Z"/>
        <d v="2022-04-11T18:26:47Z"/>
        <d v="2022-04-11T18:26:45Z"/>
        <d v="2022-04-11T18:26:34Z"/>
        <d v="2022-04-11T18:26:26Z"/>
        <d v="2022-04-11T18:24:41Z"/>
        <d v="2022-04-11T18:22:39Z"/>
        <d v="2022-04-11T18:21:36Z"/>
        <d v="2022-04-11T18:21:29Z"/>
        <d v="2022-04-11T18:21:26Z"/>
        <d v="2022-04-11T18:21:22Z"/>
        <d v="2022-04-11T18:20:00Z"/>
        <d v="2022-04-11T18:18:21Z"/>
        <d v="2022-04-11T18:18:17Z"/>
        <d v="2022-04-11T18:17:55Z"/>
        <d v="2022-04-11T18:17:45Z"/>
        <d v="2022-04-11T18:17:24Z"/>
        <d v="2022-04-11T18:17:10Z"/>
        <d v="2022-04-11T18:16:57Z"/>
        <d v="2022-04-11T18:16:55Z"/>
        <d v="2022-04-11T18:16:52Z"/>
        <d v="2022-04-11T18:16:50Z"/>
        <d v="2022-04-11T18:16:46Z"/>
        <d v="2022-04-11T18:16:44Z"/>
        <d v="2022-04-11T18:16:40Z"/>
        <d v="2022-04-11T18:16:32Z"/>
        <d v="2022-04-11T18:16:05Z"/>
        <d v="2022-04-11T18:15:03Z"/>
        <d v="2022-04-11T18:15:01Z"/>
        <d v="2022-04-11T18:13:56Z"/>
        <d v="2022-04-11T18:13:33Z"/>
        <d v="2022-04-11T18:13:28Z"/>
        <d v="2022-04-11T18:13:23Z"/>
        <d v="2022-04-11T18:12:58Z"/>
        <d v="2022-04-11T18:11:17Z"/>
        <d v="2022-04-11T18:10:52Z"/>
        <d v="2022-04-11T18:10:39Z"/>
        <d v="2022-04-11T18:10:35Z"/>
        <d v="2022-04-11T18:10:34Z"/>
        <d v="2022-04-11T18:10:29Z"/>
        <d v="2022-04-11T18:10:10Z"/>
        <d v="2022-04-11T18:09:48Z"/>
        <d v="2022-04-11T18:08:59Z"/>
        <d v="2022-04-11T18:08:42Z"/>
        <d v="2022-04-11T18:07:26Z"/>
        <d v="2022-04-11T18:06:37Z"/>
        <d v="2022-04-11T18:06:31Z"/>
        <d v="2022-04-11T18:06:28Z"/>
        <d v="2022-04-11T18:06:08Z"/>
        <d v="2022-04-11T18:06:02Z"/>
        <d v="2022-04-11T18:05:57Z"/>
        <d v="2022-04-11T18:05:07Z"/>
        <d v="2022-04-11T18:04:57Z"/>
        <d v="2022-04-11T18:04:51Z"/>
        <d v="2022-04-11T18:04:46Z"/>
        <d v="2022-04-11T18:04:44Z"/>
        <d v="2022-04-11T18:04:42Z"/>
        <d v="2022-04-11T18:04:41Z"/>
        <d v="2022-04-11T18:04:36Z"/>
        <d v="2022-04-11T18:04:34Z"/>
        <d v="2022-04-11T18:04:08Z"/>
        <d v="2022-04-11T18:03:41Z"/>
        <d v="2022-04-11T18:03:02Z"/>
        <d v="2022-04-11T18:03:01Z"/>
        <d v="2022-04-11T18:02:44Z"/>
        <d v="2022-04-11T18:02:40Z"/>
        <d v="2022-04-11T18:02:35Z"/>
        <d v="2022-04-11T18:02:27Z"/>
        <d v="2022-04-11T18:02:18Z"/>
        <d v="2022-04-11T18:02:14Z"/>
        <d v="2022-04-11T18:02:08Z"/>
        <d v="2022-04-11T18:02:02Z"/>
        <d v="2022-04-11T18:01:57Z"/>
        <d v="2022-04-11T18:01:55Z"/>
        <d v="2022-04-11T18:01:51Z"/>
        <d v="2022-04-11T18:01:35Z"/>
        <d v="2022-04-11T18:01:20Z"/>
        <d v="2022-04-11T18:01:06Z"/>
        <d v="2022-04-11T18:00:56Z"/>
        <d v="2022-04-11T18:00:53Z"/>
        <d v="2022-04-11T18:00:47Z"/>
        <d v="2022-04-11T18:00:45Z"/>
        <d v="2022-04-11T18:00:44Z"/>
        <d v="2022-04-11T18:00:41Z"/>
        <d v="2022-04-11T18:00:10Z"/>
        <d v="2022-04-11T18:00:01Z"/>
        <d v="2022-04-11T17:59:12Z"/>
        <d v="2022-04-11T17:59:07Z"/>
        <d v="2022-04-11T17:59:03Z"/>
        <d v="2022-04-11T17:59:01Z"/>
        <d v="2022-04-11T17:58:58Z"/>
        <d v="2022-04-11T17:58:52Z"/>
        <d v="2022-04-11T17:58:20Z"/>
        <d v="2022-04-11T17:57:29Z"/>
        <d v="2022-04-11T17:57:27Z"/>
        <d v="2022-04-11T17:57:04Z"/>
        <d v="2022-04-11T17:56:51Z"/>
        <d v="2022-04-11T17:56:46Z"/>
        <d v="2022-04-11T17:56:24Z"/>
        <d v="2022-04-11T17:56:20Z"/>
        <d v="2022-04-11T17:56:01Z"/>
        <d v="2022-04-11T17:54:56Z"/>
        <d v="2022-04-11T17:54:54Z"/>
        <d v="2022-04-11T17:54:52Z"/>
        <d v="2022-04-11T17:54:48Z"/>
        <d v="2022-04-11T17:54:44Z"/>
        <d v="2022-04-11T17:54:42Z"/>
        <d v="2022-04-11T17:54:40Z"/>
        <d v="2022-04-11T17:54:37Z"/>
        <d v="2022-04-11T17:54:32Z"/>
        <d v="2022-04-11T17:54:27Z"/>
        <d v="2022-04-11T17:54:22Z"/>
        <d v="2022-04-11T17:54:18Z"/>
        <d v="2022-04-11T17:53:55Z"/>
        <d v="2022-04-11T17:52:54Z"/>
        <d v="2022-04-11T17:52:52Z"/>
        <d v="2022-04-11T17:52:51Z"/>
        <d v="2022-04-11T17:52:49Z"/>
        <d v="2022-04-11T17:52:46Z"/>
        <d v="2022-04-11T17:52:44Z"/>
        <d v="2022-04-11T17:51:42Z"/>
        <d v="2022-04-11T17:51:35Z"/>
        <d v="2022-04-11T17:50:57Z"/>
        <d v="2022-04-11T17:50:50Z"/>
        <d v="2022-04-11T17:50:04Z"/>
        <d v="2022-04-11T17:50:00Z"/>
        <d v="2022-04-11T17:49:36Z"/>
        <d v="2022-04-11T17:48:58Z"/>
        <d v="2022-04-11T17:48:32Z"/>
        <d v="2022-04-11T17:47:16Z"/>
        <d v="2022-04-11T17:46:19Z"/>
        <d v="2022-04-11T17:46:17Z"/>
        <d v="2022-04-11T17:46:14Z"/>
        <d v="2022-04-11T17:46:12Z"/>
        <d v="2022-04-11T17:45:52Z"/>
        <d v="2022-04-11T17:45:10Z"/>
        <d v="2022-04-11T17:44:44Z"/>
        <d v="2022-04-11T17:44:35Z"/>
        <d v="2022-04-11T17:44:27Z"/>
        <d v="2022-04-11T17:44:19Z"/>
        <d v="2022-04-11T17:43:55Z"/>
        <d v="2022-04-11T17:43:51Z"/>
        <d v="2022-04-11T17:42:49Z"/>
        <d v="2022-04-11T17:41:50Z"/>
        <d v="2022-04-11T17:41:16Z"/>
        <d v="2022-04-11T17:39:39Z"/>
        <d v="2022-04-11T17:37:28Z"/>
        <d v="2022-04-11T17:37:03Z"/>
        <d v="2022-04-11T17:35:51Z"/>
        <d v="2022-04-11T17:35:40Z"/>
        <d v="2022-04-11T17:35:38Z"/>
        <d v="2022-04-11T17:35:28Z"/>
        <d v="2022-04-11T17:35:21Z"/>
        <d v="2022-04-11T17:35:16Z"/>
        <d v="2022-04-11T17:35:07Z"/>
        <d v="2022-04-11T17:35:05Z"/>
        <d v="2022-04-11T17:33:49Z"/>
        <d v="2022-04-11T17:33:24Z"/>
        <d v="2022-04-11T17:32:22Z"/>
        <d v="2022-04-11T17:32:09Z"/>
        <d v="2022-04-11T17:31:30Z"/>
        <d v="2022-04-11T17:29:56Z"/>
        <d v="2022-04-11T17:29:38Z"/>
        <d v="2022-04-11T17:28:51Z"/>
        <d v="2022-04-11T17:28:21Z"/>
        <d v="2022-04-11T17:28:18Z"/>
        <d v="2022-04-11T17:27:54Z"/>
        <d v="2022-04-11T17:27:29Z"/>
        <d v="2022-04-11T17:27:28Z"/>
        <d v="2022-04-11T17:27:26Z"/>
        <d v="2022-04-11T17:27:25Z"/>
        <d v="2022-04-11T17:27:24Z"/>
        <d v="2022-04-11T17:27:23Z"/>
        <d v="2022-04-11T17:27:22Z"/>
        <d v="2022-04-11T17:27:20Z"/>
        <d v="2022-04-11T17:27:19Z"/>
        <d v="2022-04-11T17:27:18Z"/>
        <d v="2022-04-11T17:27:17Z"/>
        <d v="2022-04-11T17:27:15Z"/>
        <d v="2022-04-11T17:27:14Z"/>
        <d v="2022-04-11T17:27:13Z"/>
        <d v="2022-04-11T17:27:11Z"/>
        <d v="2022-04-11T17:27:10Z"/>
        <d v="2022-04-11T17:27:09Z"/>
        <d v="2022-04-11T17:27:07Z"/>
        <d v="2022-04-11T17:27:06Z"/>
        <d v="2022-04-11T17:27:04Z"/>
        <d v="2022-04-11T17:26:22Z"/>
        <d v="2022-04-11T17:26:20Z"/>
        <d v="2022-04-11T17:26:09Z"/>
        <d v="2022-04-11T17:25:45Z"/>
        <d v="2022-04-11T17:25:23Z"/>
        <d v="2022-04-11T17:24:04Z"/>
        <d v="2022-04-11T17:22:09Z"/>
        <d v="2022-04-11T17:22:07Z"/>
        <d v="2022-04-11T17:21:08Z"/>
        <d v="2022-04-11T17:20:21Z"/>
        <d v="2022-04-11T17:17:57Z"/>
        <d v="2022-04-11T17:17:53Z"/>
        <d v="2022-04-11T17:17:51Z"/>
        <d v="2022-04-11T17:17:50Z"/>
        <d v="2022-04-11T17:17:48Z"/>
        <d v="2022-04-11T17:17:42Z"/>
        <d v="2022-04-11T17:17:40Z"/>
        <d v="2022-04-11T17:16:39Z"/>
        <d v="2022-04-11T17:16:35Z"/>
        <d v="2022-04-11T17:16:33Z"/>
        <d v="2022-04-11T17:16:28Z"/>
        <d v="2022-04-11T17:15:06Z"/>
        <d v="2022-04-11T17:15:05Z"/>
        <d v="2022-04-11T17:13:34Z"/>
        <d v="2022-04-11T17:13:11Z"/>
        <d v="2022-04-11T17:12:24Z"/>
        <d v="2022-04-11T17:12:18Z"/>
        <d v="2022-04-11T17:12:14Z"/>
        <d v="2022-04-11T17:12:09Z"/>
        <d v="2022-04-11T17:12:00Z"/>
        <d v="2022-04-11T17:11:54Z"/>
        <d v="2022-04-11T17:11:49Z"/>
        <d v="2022-04-11T17:11:11Z"/>
        <d v="2022-04-11T17:11:01Z"/>
        <d v="2022-04-11T17:10:52Z"/>
        <d v="2022-04-11T17:10:50Z"/>
        <d v="2022-04-11T17:10:48Z"/>
        <d v="2022-04-11T17:10:43Z"/>
        <d v="2022-04-11T17:10:35Z"/>
        <d v="2022-04-11T17:10:02Z"/>
        <d v="2022-04-11T17:09:35Z"/>
        <d v="2022-04-11T17:08:58Z"/>
        <d v="2022-04-11T17:08:49Z"/>
        <d v="2022-04-11T17:08:45Z"/>
        <d v="2022-04-11T17:08:40Z"/>
        <d v="2022-04-11T17:08:28Z"/>
        <d v="2022-04-11T17:08:26Z"/>
        <d v="2022-04-11T17:08:07Z"/>
        <d v="2022-04-11T17:07:08Z"/>
        <d v="2022-04-11T17:06:04Z"/>
        <d v="2022-04-11T17:06:02Z"/>
        <d v="2022-04-11T17:04:22Z"/>
        <d v="2022-04-11T17:02:36Z"/>
        <d v="2022-04-11T17:02:21Z"/>
        <d v="2022-04-11T17:02:13Z"/>
        <d v="2022-04-11T17:01:42Z"/>
        <d v="2022-04-11T17:01:34Z"/>
        <d v="2022-04-11T17:01:10Z"/>
        <d v="2022-04-11T17:01:07Z"/>
        <d v="2022-04-11T17:01:03Z"/>
        <d v="2022-04-11T17:00:54Z"/>
        <d v="2022-04-11T17:00:52Z"/>
        <d v="2022-04-11T16:59:19Z"/>
        <d v="2022-04-11T16:58:59Z"/>
        <d v="2022-04-11T16:58:55Z"/>
        <d v="2022-04-11T16:58:52Z"/>
        <d v="2022-04-11T16:58:36Z"/>
        <d v="2022-04-11T16:57:13Z"/>
        <d v="2022-04-11T16:56:22Z"/>
        <d v="2022-04-11T16:56:19Z"/>
        <d v="2022-04-11T16:56:08Z"/>
        <d v="2022-04-11T16:55:57Z"/>
        <d v="2022-04-11T16:55:50Z"/>
        <d v="2022-04-11T16:55:48Z"/>
        <d v="2022-04-11T16:55:44Z"/>
        <d v="2022-04-11T16:55:43Z"/>
        <d v="2022-04-11T16:55:31Z"/>
        <d v="2022-04-11T16:55:12Z"/>
        <d v="2022-04-11T16:55:10Z"/>
        <d v="2022-04-11T16:54:25Z"/>
        <d v="2022-04-11T16:53:55Z"/>
        <d v="2022-04-11T16:53:49Z"/>
        <d v="2022-04-11T16:53:48Z"/>
        <d v="2022-04-11T16:53:46Z"/>
        <d v="2022-04-11T16:53:43Z"/>
        <d v="2022-04-11T16:53:41Z"/>
        <d v="2022-04-11T16:53:37Z"/>
        <d v="2022-04-11T16:53:35Z"/>
        <d v="2022-04-11T16:53:00Z"/>
        <d v="2022-04-11T16:52:56Z"/>
        <d v="2022-04-11T16:52:55Z"/>
        <d v="2022-04-11T16:52:53Z"/>
        <d v="2022-04-11T16:52:50Z"/>
        <d v="2022-04-11T16:52:49Z"/>
        <d v="2022-04-11T16:52:47Z"/>
        <d v="2022-04-11T16:52:45Z"/>
        <d v="2022-04-11T16:52:43Z"/>
        <d v="2022-04-11T16:52:39Z"/>
        <d v="2022-04-11T16:52:23Z"/>
        <d v="2022-04-11T16:52:22Z"/>
        <d v="2022-04-11T16:52:15Z"/>
        <d v="2022-04-11T16:52:14Z"/>
        <d v="2022-04-11T16:52:07Z"/>
        <d v="2022-04-11T16:52:05Z"/>
        <d v="2022-04-11T16:52:03Z"/>
        <d v="2022-04-11T16:51:41Z"/>
        <d v="2022-04-11T16:51:17Z"/>
        <d v="2022-04-11T16:51:15Z"/>
        <d v="2022-04-11T16:50:52Z"/>
        <d v="2022-04-11T16:50:22Z"/>
        <d v="2022-04-11T16:50:21Z"/>
        <d v="2022-04-11T16:50:20Z"/>
        <d v="2022-04-11T16:50:19Z"/>
        <d v="2022-04-11T16:50:18Z"/>
        <d v="2022-04-11T16:50:17Z"/>
        <d v="2022-04-11T16:50:16Z"/>
        <d v="2022-04-11T16:50:15Z"/>
        <d v="2022-04-11T16:50:14Z"/>
        <d v="2022-04-11T16:50:12Z"/>
        <d v="2022-04-11T16:50:11Z"/>
        <d v="2022-04-11T16:50:10Z"/>
        <d v="2022-04-11T16:50:09Z"/>
        <d v="2022-04-11T16:50:08Z"/>
        <d v="2022-04-11T16:50:07Z"/>
        <d v="2022-04-11T16:50:06Z"/>
        <d v="2022-04-11T16:50:05Z"/>
        <d v="2022-04-11T16:50:04Z"/>
        <d v="2022-04-11T16:50:03Z"/>
        <d v="2022-04-11T16:50:02Z"/>
        <d v="2022-04-11T16:50:01Z"/>
        <d v="2022-04-11T16:50:00Z"/>
        <d v="2022-04-11T16:49:59Z"/>
        <d v="2022-04-11T16:49:58Z"/>
        <d v="2022-04-11T16:49:57Z"/>
        <d v="2022-04-11T16:49:56Z"/>
        <d v="2022-04-11T16:49:55Z"/>
        <d v="2022-04-11T16:49:54Z"/>
        <d v="2022-04-11T16:49:53Z"/>
        <d v="2022-04-11T16:49:51Z"/>
        <d v="2022-04-11T16:49:50Z"/>
        <d v="2022-04-11T16:49:49Z"/>
        <d v="2022-04-11T16:49:48Z"/>
        <d v="2022-04-11T16:49:47Z"/>
        <d v="2022-04-11T16:49:46Z"/>
        <d v="2022-04-11T16:49:45Z"/>
        <d v="2022-04-11T16:49:44Z"/>
        <d v="2022-04-11T16:49:43Z"/>
        <d v="2022-04-11T16:49:42Z"/>
        <d v="2022-04-11T16:49:41Z"/>
        <d v="2022-04-11T16:49:40Z"/>
        <d v="2022-04-11T16:49:39Z"/>
        <d v="2022-04-11T16:49:22Z"/>
        <d v="2022-04-11T16:49:19Z"/>
        <d v="2022-04-11T16:49:15Z"/>
        <d v="2022-04-11T16:47:58Z"/>
        <d v="2022-04-11T16:47:39Z"/>
        <d v="2022-04-11T16:46:44Z"/>
        <d v="2022-04-11T16:46:37Z"/>
        <d v="2022-04-11T16:46:35Z"/>
        <d v="2022-04-11T16:46:04Z"/>
        <d v="2022-04-11T16:45:59Z"/>
        <d v="2022-04-11T16:45:13Z"/>
        <d v="2022-04-11T16:45:10Z"/>
        <d v="2022-04-11T16:45:06Z"/>
        <d v="2022-04-11T16:44:19Z"/>
        <d v="2022-04-11T16:44:17Z"/>
        <d v="2022-04-11T16:44:08Z"/>
        <d v="2022-04-11T16:43:46Z"/>
        <d v="2022-04-11T16:43:26Z"/>
        <d v="2022-04-11T16:43:00Z"/>
        <d v="2022-04-11T16:42:57Z"/>
        <d v="2022-04-11T16:42:55Z"/>
        <d v="2022-04-11T16:42:53Z"/>
        <d v="2022-04-11T16:42:51Z"/>
        <d v="2022-04-11T16:42:42Z"/>
        <d v="2022-04-11T16:42:39Z"/>
        <d v="2022-04-11T16:42:37Z"/>
        <d v="2022-04-11T16:42:34Z"/>
        <d v="2022-04-11T16:41:58Z"/>
        <d v="2022-04-11T16:41:53Z"/>
        <d v="2022-04-11T16:41:49Z"/>
        <d v="2022-04-11T16:41:45Z"/>
        <d v="2022-04-11T16:41:41Z"/>
        <d v="2022-04-11T16:41:38Z"/>
        <d v="2022-04-11T16:41:36Z"/>
        <d v="2022-04-11T16:41:35Z"/>
        <d v="2022-04-11T16:41:33Z"/>
        <d v="2022-04-11T16:41:31Z"/>
        <d v="2022-04-11T16:41:29Z"/>
        <d v="2022-04-11T16:41:28Z"/>
        <d v="2022-04-11T16:41:26Z"/>
        <d v="2022-04-11T16:41:24Z"/>
        <d v="2022-04-11T16:41:23Z"/>
        <d v="2022-04-11T16:41:21Z"/>
        <d v="2022-04-11T16:41:20Z"/>
        <d v="2022-04-11T16:41:15Z"/>
        <d v="2022-04-11T16:41:13Z"/>
        <d v="2022-04-11T16:41:10Z"/>
        <d v="2022-04-11T16:41:09Z"/>
        <d v="2022-04-11T16:41:07Z"/>
        <d v="2022-04-11T16:41:05Z"/>
        <d v="2022-04-11T16:41:04Z"/>
        <d v="2022-04-11T16:41:02Z"/>
        <d v="2022-04-11T16:41:01Z"/>
        <d v="2022-04-11T16:41:00Z"/>
        <d v="2022-04-11T16:40:58Z"/>
        <d v="2022-04-11T16:40:54Z"/>
        <d v="2022-04-11T16:40:49Z"/>
        <d v="2022-04-11T16:38:28Z"/>
        <d v="2022-04-11T16:38:22Z"/>
        <d v="2022-04-11T16:38:14Z"/>
        <d v="2022-04-11T16:38:12Z"/>
        <d v="2022-04-11T16:38:07Z"/>
        <d v="2022-04-11T16:38:01Z"/>
        <d v="2022-04-11T16:37:50Z"/>
        <d v="2022-04-11T16:37:45Z"/>
        <d v="2022-04-11T16:37:42Z"/>
        <d v="2022-04-11T16:37:13Z"/>
        <d v="2022-04-11T16:36:51Z"/>
        <d v="2022-04-11T16:36:47Z"/>
        <d v="2022-04-11T16:36:35Z"/>
        <d v="2022-04-11T16:36:30Z"/>
        <d v="2022-04-11T16:36:26Z"/>
        <d v="2022-04-11T16:36:13Z"/>
        <d v="2022-04-11T16:34:51Z"/>
        <d v="2022-04-11T16:34:41Z"/>
        <d v="2022-04-11T16:34:37Z"/>
        <d v="2022-04-11T16:34:32Z"/>
        <d v="2022-04-11T16:34:28Z"/>
        <d v="2022-04-11T16:34:20Z"/>
        <d v="2022-04-11T16:34:19Z"/>
        <d v="2022-04-11T16:34:17Z"/>
        <d v="2022-04-11T16:34:16Z"/>
        <d v="2022-04-11T16:34:14Z"/>
        <d v="2022-04-11T16:34:13Z"/>
        <d v="2022-04-11T16:34:11Z"/>
        <d v="2022-04-11T16:34:03Z"/>
        <d v="2022-04-11T16:33:48Z"/>
        <d v="2022-04-11T16:33:45Z"/>
        <d v="2022-04-11T16:33:42Z"/>
        <d v="2022-04-11T16:33:35Z"/>
        <d v="2022-04-11T16:33:29Z"/>
        <d v="2022-04-11T16:33:26Z"/>
        <d v="2022-04-11T16:33:23Z"/>
        <d v="2022-04-11T16:33:20Z"/>
        <d v="2022-04-11T16:33:18Z"/>
        <d v="2022-04-11T16:33:17Z"/>
        <d v="2022-04-11T16:33:13Z"/>
        <d v="2022-04-11T16:32:33Z"/>
        <d v="2022-04-11T16:32:31Z"/>
        <d v="2022-04-11T16:32:11Z"/>
        <d v="2022-04-11T16:32:08Z"/>
        <d v="2022-04-11T16:32:05Z"/>
        <d v="2022-04-11T16:31:57Z"/>
        <d v="2022-04-11T16:30:44Z"/>
        <d v="2022-04-11T16:29:46Z"/>
        <d v="2022-04-11T16:28:41Z"/>
        <d v="2022-04-11T16:24:10Z"/>
        <d v="2022-04-11T16:23:57Z"/>
        <d v="2022-04-11T16:23:50Z"/>
        <d v="2022-04-11T16:23:43Z"/>
        <d v="2022-04-11T16:23:41Z"/>
        <d v="2022-04-11T16:23:40Z"/>
        <d v="2022-04-11T16:23:31Z"/>
        <d v="2022-04-11T16:23:14Z"/>
        <d v="2022-04-11T16:22:25Z"/>
        <d v="2022-04-11T16:22:16Z"/>
        <d v="2022-04-11T16:22:11Z"/>
        <d v="2022-04-11T16:21:45Z"/>
        <d v="2022-04-11T16:21:29Z"/>
        <d v="2022-04-11T16:21:04Z"/>
        <d v="2022-04-11T16:20:37Z"/>
        <d v="2022-04-11T16:20:34Z"/>
        <d v="2022-04-11T16:20:31Z"/>
        <d v="2022-04-11T16:19:26Z"/>
        <d v="2022-04-11T16:19:20Z"/>
        <d v="2022-04-11T16:18:39Z"/>
        <d v="2022-04-11T16:18:12Z"/>
        <d v="2022-04-11T16:17:29Z"/>
        <d v="2022-04-11T16:17:04Z"/>
        <d v="2022-04-11T16:16:49Z"/>
        <d v="2022-04-11T16:15:50Z"/>
        <d v="2022-04-11T16:15:49Z"/>
        <d v="2022-04-11T16:15:47Z"/>
        <d v="2022-04-11T16:15:44Z"/>
        <d v="2022-04-11T16:15:38Z"/>
        <d v="2022-04-11T16:15:32Z"/>
        <d v="2022-04-11T16:15:27Z"/>
        <d v="2022-04-11T16:15:26Z"/>
        <d v="2022-04-11T16:15:16Z"/>
        <d v="2022-04-11T16:15:10Z"/>
        <d v="2022-04-11T16:15:08Z"/>
        <d v="2022-04-11T16:15:06Z"/>
        <d v="2022-04-11T16:15:04Z"/>
        <d v="2022-04-11T16:14:20Z"/>
        <d v="2022-04-11T16:14:19Z"/>
        <d v="2022-04-11T16:14:09Z"/>
        <d v="2022-04-11T16:13:50Z"/>
        <d v="2022-04-11T16:13:23Z"/>
        <d v="2022-04-11T16:13:07Z"/>
        <d v="2022-04-11T16:13:05Z"/>
        <d v="2022-04-11T16:12:43Z"/>
        <d v="2022-04-11T16:12:39Z"/>
        <d v="2022-04-11T16:12:22Z"/>
        <d v="2022-04-11T16:11:45Z"/>
        <d v="2022-04-11T16:11:42Z"/>
        <d v="2022-04-11T16:11:41Z"/>
        <d v="2022-04-11T16:11:31Z"/>
        <d v="2022-04-11T16:11:30Z"/>
        <d v="2022-04-11T16:11:29Z"/>
        <d v="2022-04-11T16:11:28Z"/>
        <d v="2022-04-11T16:11:26Z"/>
        <d v="2022-04-11T16:11:25Z"/>
        <d v="2022-04-11T16:11:09Z"/>
        <d v="2022-04-11T16:11:06Z"/>
        <d v="2022-04-11T16:10:58Z"/>
        <d v="2022-04-11T16:10:52Z"/>
        <d v="2022-04-11T16:10:51Z"/>
        <d v="2022-04-11T16:10:49Z"/>
        <d v="2022-04-11T16:10:48Z"/>
        <d v="2022-04-11T16:10:42Z"/>
        <d v="2022-04-11T16:10:40Z"/>
        <d v="2022-04-11T16:10:39Z"/>
        <d v="2022-04-11T16:10:37Z"/>
        <d v="2022-04-11T16:10:34Z"/>
        <d v="2022-04-11T16:10:26Z"/>
        <d v="2022-04-11T16:09:55Z"/>
        <d v="2022-04-11T16:09:25Z"/>
        <d v="2022-04-11T16:09:17Z"/>
        <d v="2022-04-11T16:08:56Z"/>
        <d v="2022-04-11T16:08:27Z"/>
        <d v="2022-04-11T16:08:25Z"/>
        <d v="2022-04-11T16:07:46Z"/>
        <d v="2022-04-11T16:07:44Z"/>
        <d v="2022-04-11T16:07:43Z"/>
        <d v="2022-04-11T16:07:41Z"/>
        <d v="2022-04-11T16:07:37Z"/>
        <d v="2022-04-11T16:07:36Z"/>
        <d v="2022-04-11T16:07:34Z"/>
        <d v="2022-04-11T16:07:33Z"/>
        <d v="2022-04-11T16:07:29Z"/>
        <d v="2022-04-11T16:07:27Z"/>
        <d v="2022-04-11T16:07:25Z"/>
        <d v="2022-04-11T16:07:16Z"/>
        <d v="2022-04-11T16:07:10Z"/>
        <d v="2022-04-11T16:06:14Z"/>
        <d v="2022-04-11T16:06:09Z"/>
        <d v="2022-04-11T16:05:43Z"/>
        <d v="2022-04-11T16:05:36Z"/>
        <d v="2022-04-11T16:04:25Z"/>
        <d v="2022-04-11T16:04:23Z"/>
        <d v="2022-04-11T16:04:20Z"/>
        <d v="2022-04-11T16:04:18Z"/>
        <d v="2022-04-11T16:04:15Z"/>
        <d v="2022-04-11T16:03:49Z"/>
        <d v="2022-04-11T16:03:40Z"/>
        <d v="2022-04-11T16:03:37Z"/>
        <d v="2022-04-11T16:03:07Z"/>
        <d v="2022-04-11T16:03:01Z"/>
        <d v="2022-04-11T16:03:00Z"/>
        <d v="2022-04-11T16:02:57Z"/>
        <d v="2022-04-11T16:02:54Z"/>
        <d v="2022-04-11T16:02:52Z"/>
        <d v="2022-04-11T16:02:47Z"/>
        <d v="2022-04-11T16:02:45Z"/>
        <d v="2022-04-11T16:02:38Z"/>
        <d v="2022-04-11T16:02:34Z"/>
        <d v="2022-04-11T16:02:31Z"/>
        <d v="2022-04-11T16:02:28Z"/>
        <d v="2022-04-11T16:02:25Z"/>
        <d v="2022-04-11T16:02:13Z"/>
        <d v="2022-04-11T16:01:25Z"/>
        <d v="2022-04-11T16:01:24Z"/>
        <d v="2022-04-11T16:01:03Z"/>
        <d v="2022-04-11T16:00:14Z"/>
        <d v="2022-04-11T16:00:11Z"/>
        <d v="2022-04-11T16:00:07Z"/>
        <d v="2022-04-11T16:00:04Z"/>
        <d v="2022-04-11T16:00:02Z"/>
        <d v="2022-04-11T15:59:56Z"/>
        <d v="2022-04-11T15:59:51Z"/>
        <d v="2022-04-11T15:59:45Z"/>
        <d v="2022-04-11T15:59:41Z"/>
        <d v="2022-04-11T15:59:37Z"/>
        <d v="2022-04-11T15:59:31Z"/>
        <d v="2022-04-11T15:59:30Z"/>
        <d v="2022-04-11T15:58:45Z"/>
        <d v="2022-04-11T15:58:27Z"/>
        <d v="2022-04-11T15:58:22Z"/>
        <d v="2022-04-11T15:58:19Z"/>
        <d v="2022-04-11T15:58:01Z"/>
        <d v="2022-04-11T15:57:32Z"/>
        <d v="2022-04-11T15:57:20Z"/>
        <d v="2022-04-11T15:57:02Z"/>
        <d v="2022-04-11T15:57:00Z"/>
        <d v="2022-04-11T15:56:53Z"/>
        <d v="2022-04-11T15:56:50Z"/>
        <d v="2022-04-11T15:56:42Z"/>
        <d v="2022-04-11T15:56:12Z"/>
        <d v="2022-04-11T15:56:10Z"/>
        <d v="2022-04-11T15:55:58Z"/>
        <d v="2022-04-11T15:55:31Z"/>
        <d v="2022-04-11T15:55:18Z"/>
        <d v="2022-04-11T15:55:14Z"/>
        <d v="2022-04-11T15:54:48Z"/>
        <d v="2022-04-11T15:54:41Z"/>
        <d v="2022-04-11T15:54:37Z"/>
        <d v="2022-04-11T15:54:29Z"/>
        <d v="2022-04-11T15:54:27Z"/>
        <d v="2022-04-11T15:54:26Z"/>
        <d v="2022-04-11T15:54:22Z"/>
        <d v="2022-04-11T15:54:17Z"/>
        <d v="2022-04-11T15:54:11Z"/>
        <d v="2022-04-11T15:53:58Z"/>
        <d v="2022-04-11T15:53:55Z"/>
        <d v="2022-04-11T15:53:52Z"/>
        <d v="2022-04-11T15:52:39Z"/>
        <d v="2022-04-11T15:52:13Z"/>
        <d v="2022-04-11T15:52:12Z"/>
        <d v="2022-04-11T15:52:08Z"/>
        <d v="2022-04-11T15:52:07Z"/>
        <d v="2022-04-11T15:52:06Z"/>
        <d v="2022-04-11T15:52:05Z"/>
        <d v="2022-04-11T15:52:02Z"/>
        <d v="2022-04-11T15:52:01Z"/>
        <d v="2022-04-11T15:51:56Z"/>
        <d v="2022-04-11T15:51:34Z"/>
        <d v="2022-04-11T15:51:30Z"/>
        <d v="2022-04-11T15:51:28Z"/>
        <d v="2022-04-11T15:51:19Z"/>
        <d v="2022-04-11T15:51:16Z"/>
        <d v="2022-04-11T15:51:14Z"/>
        <d v="2022-04-11T15:51:05Z"/>
        <d v="2022-04-11T15:51:03Z"/>
        <d v="2022-04-11T15:50:50Z"/>
        <d v="2022-04-11T15:50:47Z"/>
        <d v="2022-04-11T15:50:32Z"/>
        <d v="2022-04-11T15:50:29Z"/>
        <d v="2022-04-11T15:50:25Z"/>
        <d v="2022-04-11T15:50:23Z"/>
        <d v="2022-04-11T15:50:21Z"/>
        <d v="2022-04-11T15:50:19Z"/>
        <d v="2022-04-11T15:50:15Z"/>
        <d v="2022-04-11T15:50:02Z"/>
        <d v="2022-04-11T15:49:57Z"/>
        <d v="2022-04-11T15:49:56Z"/>
        <d v="2022-04-11T15:49:55Z"/>
        <d v="2022-04-11T15:49:53Z"/>
        <d v="2022-04-11T15:49:52Z"/>
        <d v="2022-04-11T15:49:51Z"/>
        <d v="2022-04-11T15:49:43Z"/>
        <d v="2022-04-11T15:49:42Z"/>
        <d v="2022-04-11T15:49:40Z"/>
        <d v="2022-04-11T15:49:38Z"/>
        <d v="2022-04-11T15:49:34Z"/>
        <d v="2022-04-11T15:49:32Z"/>
        <d v="2022-04-11T15:49:30Z"/>
        <d v="2022-04-11T15:49:28Z"/>
        <d v="2022-04-11T15:48:57Z"/>
        <d v="2022-04-11T15:48:49Z"/>
        <d v="2022-04-11T15:48:44Z"/>
        <d v="2022-04-11T15:48:38Z"/>
        <d v="2022-04-11T15:48:36Z"/>
        <d v="2022-04-11T15:48:32Z"/>
        <d v="2022-04-11T15:48:30Z"/>
        <d v="2022-04-11T15:48:28Z"/>
        <d v="2022-04-11T15:48:27Z"/>
        <d v="2022-04-11T15:48:24Z"/>
        <d v="2022-04-11T15:48:23Z"/>
        <d v="2022-04-11T15:48:22Z"/>
        <d v="2022-04-11T15:48:18Z"/>
        <d v="2022-04-11T15:48:09Z"/>
        <d v="2022-04-11T15:47:31Z"/>
        <d v="2022-04-11T15:47:26Z"/>
        <d v="2022-04-11T15:47:25Z"/>
        <d v="2022-04-11T15:46:49Z"/>
        <d v="2022-04-11T15:46:40Z"/>
        <d v="2022-04-11T15:46:38Z"/>
        <d v="2022-04-11T15:46:37Z"/>
        <d v="2022-04-11T15:46:33Z"/>
        <d v="2022-04-11T15:46:32Z"/>
        <d v="2022-04-11T15:46:19Z"/>
        <d v="2022-04-11T15:46:18Z"/>
        <d v="2022-04-11T15:46:16Z"/>
        <d v="2022-04-11T15:46:13Z"/>
        <d v="2022-04-11T15:46:11Z"/>
        <d v="2022-04-11T15:46:09Z"/>
        <d v="2022-04-11T15:46:06Z"/>
        <d v="2022-04-11T15:46:05Z"/>
        <d v="2022-04-11T15:46:04Z"/>
        <d v="2022-04-11T15:46:00Z"/>
        <d v="2022-04-11T15:45:52Z"/>
        <d v="2022-04-11T15:45:44Z"/>
        <d v="2022-04-11T15:45:25Z"/>
        <d v="2022-04-11T15:44:36Z"/>
        <d v="2022-04-11T15:44:30Z"/>
        <d v="2022-04-11T15:44:26Z"/>
        <d v="2022-04-11T15:44:25Z"/>
        <d v="2022-04-11T15:44:24Z"/>
        <d v="2022-04-11T15:44:08Z"/>
        <d v="2022-04-11T15:43:33Z"/>
        <d v="2022-04-11T15:41:42Z"/>
        <d v="2022-04-11T15:41:05Z"/>
        <d v="2022-04-11T15:41:00Z"/>
        <d v="2022-04-11T15:40:53Z"/>
        <d v="2022-04-11T15:40:45Z"/>
        <d v="2022-04-11T15:40:39Z"/>
        <d v="2022-04-11T15:40:28Z"/>
        <d v="2022-04-11T15:40:26Z"/>
        <d v="2022-04-11T15:40:20Z"/>
        <d v="2022-04-11T15:40:18Z"/>
        <d v="2022-04-11T15:40:17Z"/>
        <d v="2022-04-11T15:40:14Z"/>
        <d v="2022-04-11T15:40:08Z"/>
        <d v="2022-04-11T15:40:04Z"/>
        <d v="2022-04-11T15:40:02Z"/>
        <d v="2022-04-11T15:39:59Z"/>
        <d v="2022-04-11T15:39:55Z"/>
        <d v="2022-04-11T15:39:31Z"/>
        <d v="2022-04-11T15:38:43Z"/>
        <d v="2022-04-11T15:38:37Z"/>
        <d v="2022-04-11T15:38:28Z"/>
        <d v="2022-04-11T15:38:24Z"/>
        <d v="2022-04-11T15:38:11Z"/>
        <d v="2022-04-11T15:36:38Z"/>
        <d v="2022-04-11T15:36:36Z"/>
        <d v="2022-04-11T15:36:31Z"/>
        <d v="2022-04-11T15:36:29Z"/>
        <d v="2022-04-11T15:36:06Z"/>
        <d v="2022-04-11T15:35:33Z"/>
        <d v="2022-04-11T15:35:03Z"/>
        <d v="2022-04-11T15:35:00Z"/>
        <d v="2022-04-11T15:34:58Z"/>
        <d v="2022-04-11T15:34:30Z"/>
        <d v="2022-04-11T15:34:27Z"/>
        <d v="2022-04-11T15:34:25Z"/>
        <d v="2022-04-11T15:34:22Z"/>
        <d v="2022-04-11T15:34:10Z"/>
        <d v="2022-04-11T15:34:06Z"/>
        <d v="2022-04-11T15:33:34Z"/>
        <d v="2022-04-11T15:33:02Z"/>
        <d v="2022-04-11T15:32:59Z"/>
        <d v="2022-04-11T15:32:56Z"/>
        <d v="2022-04-11T15:32:53Z"/>
        <d v="2022-04-11T15:32:51Z"/>
        <d v="2022-04-11T15:32:49Z"/>
        <d v="2022-04-11T15:32:43Z"/>
        <d v="2022-04-11T15:32:22Z"/>
        <d v="2022-04-11T15:32:21Z"/>
        <d v="2022-04-11T15:32:20Z"/>
        <d v="2022-04-11T15:32:19Z"/>
        <d v="2022-04-11T15:32:17Z"/>
        <d v="2022-04-11T15:32:16Z"/>
        <d v="2022-04-11T15:32:15Z"/>
        <d v="2022-04-11T15:32:13Z"/>
        <d v="2022-04-11T15:32:08Z"/>
        <d v="2022-04-11T15:32:06Z"/>
        <d v="2022-04-11T15:31:29Z"/>
        <d v="2022-04-11T15:31:11Z"/>
        <d v="2022-04-11T15:31:08Z"/>
        <d v="2022-04-11T15:31:02Z"/>
        <d v="2022-04-11T15:30:58Z"/>
        <d v="2022-04-11T15:30:54Z"/>
        <d v="2022-04-11T15:30:49Z"/>
        <d v="2022-04-11T15:30:46Z"/>
        <d v="2022-04-11T15:28:06Z"/>
        <d v="2022-04-11T15:27:15Z"/>
        <d v="2022-04-11T15:26:51Z"/>
        <d v="2022-04-11T15:26:45Z"/>
        <d v="2022-04-11T15:26:18Z"/>
        <d v="2022-04-11T15:26:05Z"/>
        <d v="2022-04-11T15:23:00Z"/>
        <d v="2022-04-11T15:22:08Z"/>
        <d v="2022-04-11T15:22:06Z"/>
        <d v="2022-04-11T15:22:02Z"/>
        <d v="2022-04-11T15:21:28Z"/>
        <d v="2022-04-11T15:21:07Z"/>
        <d v="2022-04-11T15:21:02Z"/>
        <d v="2022-04-11T15:20:48Z"/>
        <d v="2022-04-11T15:20:40Z"/>
        <d v="2022-04-11T15:20:04Z"/>
        <d v="2022-04-11T15:19:54Z"/>
        <d v="2022-04-11T15:19:46Z"/>
        <d v="2022-04-11T15:19:38Z"/>
        <d v="2022-04-11T15:19:29Z"/>
        <d v="2022-04-11T15:19:08Z"/>
        <d v="2022-04-11T15:18:47Z"/>
        <d v="2022-04-11T15:18:45Z"/>
        <d v="2022-04-11T15:18:44Z"/>
        <d v="2022-04-11T15:18:41Z"/>
        <d v="2022-04-11T15:18:39Z"/>
        <d v="2022-04-11T15:18:32Z"/>
        <d v="2022-04-11T15:18:10Z"/>
        <d v="2022-04-11T15:18:06Z"/>
        <d v="2022-04-11T15:18:05Z"/>
        <d v="2022-04-11T15:18:00Z"/>
        <d v="2022-04-11T15:17:46Z"/>
        <d v="2022-04-11T15:17:44Z"/>
        <d v="2022-04-11T15:17:43Z"/>
        <d v="2022-04-11T15:17:41Z"/>
        <d v="2022-04-11T15:17:30Z"/>
        <d v="2022-04-11T15:17:28Z"/>
        <d v="2022-04-11T15:17:27Z"/>
        <d v="2022-04-11T15:17:26Z"/>
        <d v="2022-04-11T15:17:24Z"/>
        <d v="2022-04-11T15:17:22Z"/>
        <d v="2022-04-11T15:17:20Z"/>
        <d v="2022-04-11T15:17:19Z"/>
        <d v="2022-04-11T15:17:18Z"/>
        <d v="2022-04-11T15:17:17Z"/>
        <d v="2022-04-11T15:17:13Z"/>
        <d v="2022-04-11T15:17:11Z"/>
        <d v="2022-04-11T15:17:09Z"/>
        <d v="2022-04-11T15:17:07Z"/>
        <d v="2022-04-11T15:16:49Z"/>
        <d v="2022-04-11T15:16:47Z"/>
        <d v="2022-04-11T15:16:46Z"/>
        <d v="2022-04-11T15:16:45Z"/>
        <d v="2022-04-11T15:16:43Z"/>
        <d v="2022-04-11T15:16:42Z"/>
        <d v="2022-04-11T15:16:40Z"/>
        <d v="2022-04-11T15:16:36Z"/>
        <d v="2022-04-11T15:16:08Z"/>
        <d v="2022-04-11T15:16:06Z"/>
        <d v="2022-04-11T15:16:02Z"/>
        <d v="2022-04-11T15:15:39Z"/>
        <d v="2022-04-11T15:15:34Z"/>
        <d v="2022-04-11T15:13:23Z"/>
        <d v="2022-04-11T15:12:33Z"/>
        <d v="2022-04-11T15:11:45Z"/>
        <d v="2022-04-11T15:11:37Z"/>
        <d v="2022-04-11T15:11:35Z"/>
        <d v="2022-04-11T15:11:32Z"/>
        <d v="2022-04-11T15:11:28Z"/>
        <d v="2022-04-11T15:11:27Z"/>
        <d v="2022-04-11T15:11:22Z"/>
        <d v="2022-04-11T15:11:20Z"/>
        <d v="2022-04-11T15:11:17Z"/>
        <d v="2022-04-11T15:11:16Z"/>
        <d v="2022-04-11T15:11:11Z"/>
        <d v="2022-04-11T15:11:08Z"/>
        <d v="2022-04-11T15:11:06Z"/>
        <d v="2022-04-11T15:11:05Z"/>
        <d v="2022-04-11T15:11:01Z"/>
        <d v="2022-04-11T15:10:55Z"/>
        <d v="2022-04-11T15:10:53Z"/>
        <d v="2022-04-11T15:10:51Z"/>
        <d v="2022-04-11T15:10:50Z"/>
        <d v="2022-04-11T15:10:46Z"/>
        <d v="2022-04-11T15:10:38Z"/>
        <d v="2022-04-11T15:10:33Z"/>
        <d v="2022-04-11T15:10:30Z"/>
        <d v="2022-04-11T15:10:06Z"/>
        <d v="2022-04-11T15:10:05Z"/>
        <d v="2022-04-11T15:09:59Z"/>
        <d v="2022-04-11T15:09:32Z"/>
        <d v="2022-04-11T15:09:28Z"/>
        <d v="2022-04-11T15:08:59Z"/>
        <d v="2022-04-11T15:08:29Z"/>
        <d v="2022-04-11T15:08:24Z"/>
        <d v="2022-04-11T15:06:09Z"/>
        <d v="2022-04-11T15:05:58Z"/>
        <d v="2022-04-11T15:05:49Z"/>
        <d v="2022-04-11T15:05:41Z"/>
        <d v="2022-04-11T15:05:21Z"/>
        <d v="2022-04-11T15:05:07Z"/>
        <d v="2022-04-11T15:05:05Z"/>
        <d v="2022-04-11T15:04:35Z"/>
        <d v="2022-04-11T15:04:29Z"/>
        <d v="2022-04-11T15:04:26Z"/>
        <d v="2022-04-11T15:04:07Z"/>
        <d v="2022-04-11T15:04:05Z"/>
        <d v="2022-04-11T15:04:04Z"/>
        <d v="2022-04-11T15:04:02Z"/>
        <d v="2022-04-11T15:04:00Z"/>
        <d v="2022-04-11T15:03:58Z"/>
        <d v="2022-04-11T15:03:56Z"/>
        <d v="2022-04-11T15:03:52Z"/>
        <d v="2022-04-11T15:03:50Z"/>
        <d v="2022-04-11T15:03:47Z"/>
        <d v="2022-04-11T15:03:37Z"/>
        <d v="2022-04-11T15:03:30Z"/>
        <d v="2022-04-11T15:03:27Z"/>
        <d v="2022-04-11T15:03:26Z"/>
        <d v="2022-04-11T15:03:15Z"/>
        <d v="2022-04-11T15:01:44Z"/>
        <d v="2022-04-11T15:01:25Z"/>
        <d v="2022-04-11T15:01:20Z"/>
        <d v="2022-04-11T15:00:50Z"/>
        <d v="2022-04-11T15:00:46Z"/>
        <d v="2022-04-11T15:00:41Z"/>
        <d v="2022-04-11T15:00:39Z"/>
        <d v="2022-04-11T15:00:31Z"/>
        <d v="2022-04-11T15:00:28Z"/>
        <d v="2022-04-11T15:00:25Z"/>
        <d v="2022-04-11T14:59:32Z"/>
        <d v="2022-04-11T14:59:26Z"/>
        <d v="2022-04-11T14:59:07Z"/>
        <d v="2022-04-11T14:59:02Z"/>
        <d v="2022-04-11T14:59:01Z"/>
        <d v="2022-04-11T14:59:00Z"/>
        <d v="2022-04-11T14:58:59Z"/>
        <d v="2022-04-11T14:58:58Z"/>
        <d v="2022-04-11T14:58:57Z"/>
        <d v="2022-04-11T14:58:56Z"/>
        <d v="2022-04-11T14:58:55Z"/>
        <d v="2022-04-11T14:58:53Z"/>
        <d v="2022-04-11T14:58:49Z"/>
        <d v="2022-04-11T14:58:43Z"/>
        <d v="2022-04-11T14:58:42Z"/>
        <d v="2022-04-11T14:58:38Z"/>
        <d v="2022-04-11T14:58:24Z"/>
        <d v="2022-04-11T14:58:22Z"/>
        <d v="2022-04-11T14:58:20Z"/>
        <d v="2022-04-11T14:58:19Z"/>
        <d v="2022-04-11T14:58:12Z"/>
        <d v="2022-04-11T14:58:10Z"/>
        <d v="2022-04-11T14:58:07Z"/>
        <d v="2022-04-11T14:58:06Z"/>
        <d v="2022-04-11T14:58:04Z"/>
        <d v="2022-04-11T14:58:01Z"/>
        <d v="2022-04-11T14:57:58Z"/>
        <d v="2022-04-11T14:57:54Z"/>
        <d v="2022-04-11T14:57:48Z"/>
        <d v="2022-04-11T14:57:46Z"/>
        <d v="2022-04-11T14:57:42Z"/>
        <d v="2022-04-11T14:57:38Z"/>
        <d v="2022-04-11T14:57:34Z"/>
        <d v="2022-04-11T14:57:28Z"/>
        <d v="2022-04-11T14:56:55Z"/>
        <d v="2022-04-11T14:56:53Z"/>
        <d v="2022-04-11T14:56:50Z"/>
        <d v="2022-04-11T14:56:48Z"/>
        <d v="2022-04-11T14:56:41Z"/>
        <d v="2022-04-11T14:56:38Z"/>
        <d v="2022-04-11T14:56:35Z"/>
        <d v="2022-04-11T14:56:19Z"/>
        <d v="2022-04-11T14:56:02Z"/>
        <d v="2022-04-11T14:55:09Z"/>
        <d v="2022-04-11T14:54:27Z"/>
        <d v="2022-04-11T14:53:55Z"/>
        <d v="2022-04-11T14:53:43Z"/>
        <d v="2022-04-11T14:53:42Z"/>
        <d v="2022-04-11T14:53:40Z"/>
        <d v="2022-04-11T14:53:39Z"/>
        <d v="2022-04-11T14:53:38Z"/>
        <d v="2022-04-11T14:53:34Z"/>
        <d v="2022-04-11T14:53:26Z"/>
        <d v="2022-04-11T14:52:43Z"/>
        <d v="2022-04-11T14:52:41Z"/>
        <d v="2022-04-11T14:52:40Z"/>
        <d v="2022-04-11T14:52:38Z"/>
        <d v="2022-04-11T14:52:37Z"/>
        <d v="2022-04-11T14:52:36Z"/>
        <d v="2022-04-11T14:52:34Z"/>
        <d v="2022-04-11T14:52:33Z"/>
        <d v="2022-04-11T14:52:32Z"/>
        <d v="2022-04-11T14:52:30Z"/>
        <d v="2022-04-11T14:52:29Z"/>
        <d v="2022-04-11T14:52:28Z"/>
        <d v="2022-04-11T14:52:26Z"/>
        <d v="2022-04-11T14:52:25Z"/>
        <d v="2022-04-11T14:52:24Z"/>
        <d v="2022-04-11T14:52:22Z"/>
        <d v="2022-04-11T14:52:20Z"/>
        <d v="2022-04-11T14:52:18Z"/>
        <d v="2022-04-11T14:52:17Z"/>
        <d v="2022-04-11T14:52:13Z"/>
        <d v="2022-04-11T14:52:12Z"/>
        <d v="2022-04-11T14:52:11Z"/>
        <d v="2022-04-11T14:52:10Z"/>
        <d v="2022-04-11T14:51:52Z"/>
        <d v="2022-04-11T14:51:20Z"/>
        <d v="2022-04-11T14:50:10Z"/>
        <d v="2022-04-11T14:50:08Z"/>
        <d v="2022-04-11T14:49:45Z"/>
        <d v="2022-04-11T14:48:38Z"/>
        <d v="2022-04-11T14:48:27Z"/>
        <d v="2022-04-11T14:48:24Z"/>
        <d v="2022-04-11T14:48:16Z"/>
        <d v="2022-04-11T14:48:10Z"/>
        <d v="2022-04-11T14:47:50Z"/>
        <d v="2022-04-11T14:46:54Z"/>
        <d v="2022-04-11T14:45:07Z"/>
        <d v="2022-04-11T14:45:05Z"/>
        <d v="2022-04-11T14:45:03Z"/>
        <d v="2022-04-11T14:45:01Z"/>
        <d v="2022-04-11T14:44:59Z"/>
        <d v="2022-04-11T14:44:57Z"/>
        <d v="2022-04-11T14:44:53Z"/>
        <d v="2022-04-11T14:44:50Z"/>
        <d v="2022-04-11T14:44:46Z"/>
        <d v="2022-04-11T14:44:41Z"/>
        <d v="2022-04-11T14:44:37Z"/>
        <d v="2022-04-11T14:44:28Z"/>
        <d v="2022-04-11T14:43:43Z"/>
        <d v="2022-04-11T14:43:21Z"/>
        <d v="2022-04-11T14:43:17Z"/>
        <d v="2022-04-11T14:41:29Z"/>
        <d v="2022-04-11T14:41:09Z"/>
        <d v="2022-04-11T14:40:54Z"/>
        <d v="2022-04-11T14:40:40Z"/>
        <d v="2022-04-11T14:40:37Z"/>
        <d v="2022-04-11T14:40:19Z"/>
        <d v="2022-04-11T14:40:13Z"/>
        <d v="2022-04-11T14:40:11Z"/>
        <d v="2022-04-11T14:40:07Z"/>
        <d v="2022-04-11T14:39:32Z"/>
        <d v="2022-04-11T14:39:23Z"/>
        <d v="2022-04-11T14:38:33Z"/>
        <d v="2022-04-11T14:37:54Z"/>
        <d v="2022-04-11T14:37:46Z"/>
        <d v="2022-04-11T14:37:24Z"/>
        <d v="2022-04-11T14:37:21Z"/>
        <d v="2022-04-11T14:37:18Z"/>
        <d v="2022-04-11T14:37:16Z"/>
        <d v="2022-04-11T14:37:12Z"/>
        <d v="2022-04-11T14:37:06Z"/>
        <d v="2022-04-11T14:37:01Z"/>
        <d v="2022-04-11T14:36:56Z"/>
        <d v="2022-04-11T14:36:51Z"/>
        <d v="2022-04-11T14:36:48Z"/>
        <d v="2022-04-11T14:36:46Z"/>
        <d v="2022-04-11T14:36:45Z"/>
        <d v="2022-04-11T14:36:44Z"/>
        <d v="2022-04-11T14:36:43Z"/>
        <d v="2022-04-11T14:36:42Z"/>
        <d v="2022-04-11T14:36:41Z"/>
        <d v="2022-04-11T14:36:40Z"/>
        <d v="2022-04-11T14:36:34Z"/>
        <d v="2022-04-11T14:36:11Z"/>
        <d v="2022-04-11T14:35:00Z"/>
        <d v="2022-04-11T14:34:57Z"/>
        <d v="2022-04-11T14:34:56Z"/>
        <d v="2022-04-11T14:34:54Z"/>
        <d v="2022-04-11T14:34:06Z"/>
        <d v="2022-04-11T14:33:40Z"/>
        <d v="2022-04-11T14:33:20Z"/>
        <d v="2022-04-11T14:33:17Z"/>
        <d v="2022-04-11T14:32:36Z"/>
        <d v="2022-04-11T14:32:26Z"/>
        <d v="2022-04-11T14:32:18Z"/>
        <d v="2022-04-11T14:32:11Z"/>
        <d v="2022-04-11T14:32:05Z"/>
        <d v="2022-04-11T14:32:02Z"/>
        <d v="2022-04-11T14:31:54Z"/>
        <d v="2022-04-11T14:31:41Z"/>
        <d v="2022-04-11T14:30:52Z"/>
        <d v="2022-04-11T14:30:40Z"/>
        <d v="2022-04-11T14:30:37Z"/>
        <d v="2022-04-11T14:30:15Z"/>
        <d v="2022-04-11T14:30:09Z"/>
        <d v="2022-04-11T14:29:59Z"/>
        <d v="2022-04-11T14:29:43Z"/>
        <d v="2022-04-11T14:29:41Z"/>
        <d v="2022-04-11T14:29:38Z"/>
        <d v="2022-04-11T14:29:35Z"/>
        <d v="2022-04-11T14:29:33Z"/>
        <d v="2022-04-11T14:29:31Z"/>
        <d v="2022-04-11T14:29:29Z"/>
        <d v="2022-04-11T14:29:23Z"/>
        <d v="2022-04-11T14:29:20Z"/>
        <d v="2022-04-11T14:29:17Z"/>
        <d v="2022-04-11T14:29:15Z"/>
        <d v="2022-04-11T14:29:11Z"/>
        <d v="2022-04-11T14:29:09Z"/>
        <d v="2022-04-11T14:29:05Z"/>
        <d v="2022-04-11T14:29:02Z"/>
        <d v="2022-04-11T14:29:00Z"/>
        <d v="2022-04-11T14:28:59Z"/>
        <d v="2022-04-11T14:28:56Z"/>
        <d v="2022-04-11T14:28:53Z"/>
        <d v="2022-04-11T14:28:50Z"/>
        <d v="2022-04-11T14:28:17Z"/>
        <d v="2022-04-11T14:27:57Z"/>
        <d v="2022-04-11T14:27:35Z"/>
        <d v="2022-04-11T14:27:33Z"/>
        <d v="2022-04-11T14:27:29Z"/>
        <d v="2022-04-11T14:27:26Z"/>
        <d v="2022-04-11T14:27:21Z"/>
        <d v="2022-04-11T14:27:08Z"/>
        <d v="2022-04-11T14:26:03Z"/>
        <d v="2022-04-11T14:25:59Z"/>
        <d v="2022-04-11T14:25:28Z"/>
        <d v="2022-04-11T14:25:26Z"/>
        <d v="2022-04-11T14:25:24Z"/>
        <d v="2022-04-11T14:25:23Z"/>
        <d v="2022-04-11T14:24:46Z"/>
        <d v="2022-04-11T14:23:49Z"/>
        <d v="2022-04-11T14:23:43Z"/>
        <d v="2022-04-11T14:23:23Z"/>
        <d v="2022-04-11T14:23:14Z"/>
        <d v="2022-04-11T14:22:51Z"/>
        <d v="2022-04-11T14:22:45Z"/>
        <d v="2022-04-11T14:22:24Z"/>
        <d v="2022-04-11T14:22:03Z"/>
        <d v="2022-04-11T14:22:02Z"/>
        <d v="2022-04-11T14:21:59Z"/>
        <d v="2022-04-11T14:21:14Z"/>
        <d v="2022-04-11T14:21:12Z"/>
        <d v="2022-04-11T14:21:03Z"/>
        <d v="2022-04-11T14:21:00Z"/>
        <d v="2022-04-11T14:20:58Z"/>
        <d v="2022-04-11T14:20:52Z"/>
        <d v="2022-04-11T14:19:40Z"/>
        <d v="2022-04-11T14:19:36Z"/>
        <d v="2022-04-11T14:19:34Z"/>
        <d v="2022-04-11T14:19:30Z"/>
        <d v="2022-04-11T14:19:27Z"/>
        <d v="2022-04-11T14:19:24Z"/>
        <d v="2022-04-11T14:19:23Z"/>
        <d v="2022-04-11T14:19:20Z"/>
        <d v="2022-04-11T14:19:13Z"/>
        <d v="2022-04-11T14:19:11Z"/>
        <d v="2022-04-11T14:19:03Z"/>
        <d v="2022-04-11T14:19:00Z"/>
        <d v="2022-04-11T14:18:58Z"/>
        <d v="2022-04-11T14:18:56Z"/>
        <d v="2022-04-11T14:18:51Z"/>
        <d v="2022-04-11T14:18:40Z"/>
        <d v="2022-04-11T14:18:35Z"/>
        <d v="2022-04-11T14:18:09Z"/>
        <d v="2022-04-11T14:17:59Z"/>
        <d v="2022-04-11T14:17:48Z"/>
        <d v="2022-04-11T14:17:44Z"/>
        <d v="2022-04-11T14:17:40Z"/>
        <d v="2022-04-11T14:17:39Z"/>
        <d v="2022-04-11T14:17:22Z"/>
        <d v="2022-04-11T14:17:17Z"/>
        <d v="2022-04-11T14:17:12Z"/>
        <d v="2022-04-11T14:17:07Z"/>
        <d v="2022-04-11T14:16:56Z"/>
        <d v="2022-04-11T14:16:46Z"/>
        <d v="2022-04-11T14:16:41Z"/>
        <d v="2022-04-11T14:16:09Z"/>
        <d v="2022-04-11T14:15:48Z"/>
        <d v="2022-04-11T14:15:46Z"/>
        <d v="2022-04-11T14:15:41Z"/>
        <d v="2022-04-11T14:15:37Z"/>
        <d v="2022-04-11T14:15:33Z"/>
        <d v="2022-04-11T14:15:32Z"/>
        <d v="2022-04-11T14:15:30Z"/>
        <d v="2022-04-11T14:15:06Z"/>
        <d v="2022-04-11T14:15:04Z"/>
        <d v="2022-04-11T14:15:03Z"/>
        <d v="2022-04-11T14:14:49Z"/>
        <d v="2022-04-11T14:14:07Z"/>
        <d v="2022-04-11T14:13:57Z"/>
        <d v="2022-04-11T14:13:37Z"/>
        <d v="2022-04-11T14:13:02Z"/>
        <d v="2022-04-11T14:12:58Z"/>
        <d v="2022-04-11T14:12:57Z"/>
        <d v="2022-04-11T14:12:49Z"/>
        <d v="2022-04-11T14:12:43Z"/>
        <d v="2022-04-11T14:11:05Z"/>
        <d v="2022-04-11T14:11:02Z"/>
        <d v="2022-04-11T14:10:57Z"/>
        <d v="2022-04-11T14:10:54Z"/>
        <d v="2022-04-11T14:10:41Z"/>
        <d v="2022-04-11T14:10:40Z"/>
        <d v="2022-04-11T14:10:29Z"/>
        <d v="2022-04-11T14:10:08Z"/>
        <d v="2022-04-11T14:10:06Z"/>
        <d v="2022-04-11T14:09:56Z"/>
        <d v="2022-04-11T14:09:53Z"/>
        <d v="2022-04-11T14:09:51Z"/>
        <d v="2022-04-11T14:09:48Z"/>
        <d v="2022-04-11T14:09:43Z"/>
        <d v="2022-04-11T14:09:40Z"/>
        <d v="2022-04-11T14:09:37Z"/>
        <d v="2022-04-11T14:09:31Z"/>
        <d v="2022-04-11T14:09:21Z"/>
        <d v="2022-04-11T14:09:18Z"/>
        <d v="2022-04-11T14:09:13Z"/>
        <d v="2022-04-11T14:09:09Z"/>
        <d v="2022-04-11T14:08:58Z"/>
        <d v="2022-04-11T14:08:48Z"/>
        <d v="2022-04-11T14:08:42Z"/>
        <d v="2022-04-11T14:08:36Z"/>
        <d v="2022-04-11T14:07:56Z"/>
        <d v="2022-04-11T14:07:55Z"/>
        <d v="2022-04-11T14:07:52Z"/>
        <d v="2022-04-11T14:07:48Z"/>
        <d v="2022-04-11T14:07:47Z"/>
        <d v="2022-04-11T14:07:44Z"/>
        <d v="2022-04-11T14:07:35Z"/>
        <d v="2022-04-11T14:07:32Z"/>
        <d v="2022-04-11T14:07:28Z"/>
        <d v="2022-04-11T14:07:24Z"/>
        <d v="2022-04-11T14:07:18Z"/>
        <d v="2022-04-11T14:07:16Z"/>
        <d v="2022-04-11T14:07:13Z"/>
        <d v="2022-04-11T14:06:58Z"/>
        <d v="2022-04-11T14:06:57Z"/>
        <d v="2022-04-11T14:06:54Z"/>
        <d v="2022-04-11T14:06:50Z"/>
        <d v="2022-04-11T14:06:48Z"/>
        <d v="2022-04-11T14:06:46Z"/>
        <d v="2022-04-11T14:06:45Z"/>
        <d v="2022-04-11T14:06:41Z"/>
        <d v="2022-04-11T14:06:37Z"/>
        <d v="2022-04-11T14:06:31Z"/>
        <d v="2022-04-11T14:06:28Z"/>
        <d v="2022-04-11T14:06:27Z"/>
        <d v="2022-04-11T14:06:25Z"/>
        <d v="2022-04-11T14:06:24Z"/>
        <d v="2022-04-11T14:06:22Z"/>
        <d v="2022-04-11T14:06:21Z"/>
        <d v="2022-04-11T14:06:17Z"/>
        <d v="2022-04-11T14:06:16Z"/>
        <d v="2022-04-11T14:06:14Z"/>
        <d v="2022-04-11T14:06:13Z"/>
        <d v="2022-04-11T14:06:11Z"/>
        <d v="2022-04-11T14:06:10Z"/>
        <d v="2022-04-11T14:06:08Z"/>
        <d v="2022-04-11T14:06:07Z"/>
        <d v="2022-04-11T14:06:05Z"/>
        <d v="2022-04-11T14:05:55Z"/>
        <d v="2022-04-11T14:05:51Z"/>
        <d v="2022-04-11T14:05:49Z"/>
        <d v="2022-04-11T14:05:40Z"/>
        <d v="2022-04-11T14:05:21Z"/>
        <d v="2022-04-11T14:05:19Z"/>
        <d v="2022-04-11T14:05:18Z"/>
        <d v="2022-04-11T14:05:17Z"/>
        <d v="2022-04-11T14:05:15Z"/>
        <d v="2022-04-11T14:05:13Z"/>
        <d v="2022-04-11T14:05:11Z"/>
        <d v="2022-04-11T14:05:06Z"/>
        <d v="2022-04-11T14:04:34Z"/>
        <d v="2022-04-11T14:04:32Z"/>
        <d v="2022-04-11T14:04:27Z"/>
        <d v="2022-04-11T14:04:24Z"/>
        <d v="2022-04-11T14:04:13Z"/>
        <d v="2022-04-11T14:03:55Z"/>
        <d v="2022-04-11T14:03:35Z"/>
        <d v="2022-04-11T14:02:14Z"/>
        <d v="2022-04-11T14:02:13Z"/>
        <d v="2022-04-11T14:02:11Z"/>
        <d v="2022-04-11T14:02:10Z"/>
        <d v="2022-04-11T14:02:08Z"/>
        <d v="2022-04-11T14:02:07Z"/>
        <d v="2022-04-11T14:02:06Z"/>
        <d v="2022-04-11T14:02:05Z"/>
        <d v="2022-04-11T14:02:04Z"/>
        <d v="2022-04-11T14:02:03Z"/>
        <d v="2022-04-11T14:02:02Z"/>
        <d v="2022-04-11T14:02:00Z"/>
        <d v="2022-04-11T14:01:56Z"/>
        <d v="2022-04-11T14:01:54Z"/>
        <d v="2022-04-11T14:01:52Z"/>
        <d v="2022-04-11T14:01:45Z"/>
        <d v="2022-04-11T14:01:43Z"/>
        <d v="2022-04-11T14:01:35Z"/>
        <d v="2022-04-11T14:01:19Z"/>
        <d v="2022-04-11T14:01:09Z"/>
        <d v="2022-04-11T14:01:08Z"/>
        <d v="2022-04-11T14:01:06Z"/>
        <d v="2022-04-11T14:01:05Z"/>
        <d v="2022-04-11T14:01:04Z"/>
        <d v="2022-04-11T14:01:03Z"/>
        <d v="2022-04-11T14:01:02Z"/>
        <d v="2022-04-11T14:01:00Z"/>
        <d v="2022-04-11T14:00:59Z"/>
        <d v="2022-04-11T14:00:58Z"/>
        <d v="2022-04-11T14:00:57Z"/>
        <d v="2022-04-11T14:00:55Z"/>
        <d v="2022-04-11T14:00:54Z"/>
        <d v="2022-04-11T14:00:52Z"/>
        <d v="2022-04-11T14:00:49Z"/>
        <d v="2022-04-11T14:00:47Z"/>
        <d v="2022-04-11T14:00:27Z"/>
        <d v="2022-04-11T14:00:14Z"/>
        <d v="2022-04-11T14:00:10Z"/>
        <d v="2022-04-11T14:00:00Z"/>
        <d v="2022-04-11T13:59:53Z"/>
        <d v="2022-04-11T13:59:47Z"/>
        <d v="2022-04-11T13:59:46Z"/>
        <d v="2022-04-11T13:59:42Z"/>
        <d v="2022-04-11T13:59:40Z"/>
        <d v="2022-04-11T13:59:35Z"/>
        <d v="2022-04-11T13:59:29Z"/>
        <d v="2022-04-11T13:59:21Z"/>
        <d v="2022-04-11T13:58:02Z"/>
        <d v="2022-04-11T13:57:58Z"/>
        <d v="2022-04-11T13:57:49Z"/>
        <d v="2022-04-11T13:57:45Z"/>
        <d v="2022-04-11T13:57:43Z"/>
        <d v="2022-04-11T13:57:41Z"/>
        <d v="2022-04-11T13:57:40Z"/>
        <d v="2022-04-11T13:57:38Z"/>
        <d v="2022-04-11T13:57:37Z"/>
        <d v="2022-04-11T13:57:33Z"/>
        <d v="2022-04-11T13:57:31Z"/>
        <d v="2022-04-11T13:57:27Z"/>
        <d v="2022-04-11T13:57:25Z"/>
        <d v="2022-04-11T13:57:23Z"/>
        <d v="2022-04-11T13:57:15Z"/>
        <d v="2022-04-11T13:56:49Z"/>
        <d v="2022-04-11T13:56:47Z"/>
        <d v="2022-04-11T13:56:46Z"/>
        <d v="2022-04-11T13:56:44Z"/>
        <d v="2022-04-11T13:56:43Z"/>
        <d v="2022-04-11T13:56:40Z"/>
        <d v="2022-04-11T13:56:14Z"/>
        <d v="2022-04-11T13:56:06Z"/>
        <d v="2022-04-11T13:56:04Z"/>
        <d v="2022-04-11T13:56:03Z"/>
        <d v="2022-04-11T13:56:01Z"/>
        <d v="2022-04-11T13:55:46Z"/>
        <d v="2022-04-11T13:55:42Z"/>
        <d v="2022-04-11T13:55:36Z"/>
        <d v="2022-04-11T13:55:32Z"/>
        <d v="2022-04-11T13:55:27Z"/>
        <d v="2022-04-11T13:55:19Z"/>
        <d v="2022-04-11T13:55:15Z"/>
        <d v="2022-04-11T13:55:11Z"/>
        <d v="2022-04-11T13:55:09Z"/>
        <d v="2022-04-11T13:55:08Z"/>
        <d v="2022-04-11T13:55:06Z"/>
        <d v="2022-04-11T13:55:05Z"/>
        <d v="2022-04-11T13:55:01Z"/>
        <d v="2022-04-11T13:55:00Z"/>
        <d v="2022-04-11T13:54:59Z"/>
        <d v="2022-04-11T13:54:57Z"/>
        <d v="2022-04-11T13:54:55Z"/>
        <d v="2022-04-11T13:54:53Z"/>
        <d v="2022-04-11T13:54:50Z"/>
        <d v="2022-04-11T13:54:48Z"/>
        <d v="2022-04-11T13:54:46Z"/>
        <d v="2022-04-11T13:54:43Z"/>
        <d v="2022-04-11T13:54:40Z"/>
        <d v="2022-04-11T13:54:37Z"/>
        <d v="2022-04-11T13:54:28Z"/>
        <d v="2022-04-11T13:54:25Z"/>
        <d v="2022-04-11T13:54:22Z"/>
        <d v="2022-04-11T13:54:18Z"/>
        <d v="2022-04-11T13:54:16Z"/>
        <d v="2022-04-11T13:54:11Z"/>
        <d v="2022-04-11T13:54:09Z"/>
        <d v="2022-04-11T13:54:04Z"/>
        <d v="2022-04-11T13:53:43Z"/>
        <d v="2022-04-11T13:53:25Z"/>
        <d v="2022-04-11T13:53:03Z"/>
        <d v="2022-04-11T13:53:02Z"/>
        <d v="2022-04-11T13:52:57Z"/>
        <d v="2022-04-11T13:52:47Z"/>
        <d v="2022-04-11T13:52:46Z"/>
        <d v="2022-04-11T13:52:45Z"/>
        <d v="2022-04-11T13:52:41Z"/>
        <d v="2022-04-11T13:52:38Z"/>
        <d v="2022-04-11T13:52:37Z"/>
        <d v="2022-04-11T13:52:32Z"/>
        <d v="2022-04-11T13:52:30Z"/>
        <d v="2022-04-11T13:52:29Z"/>
        <d v="2022-04-11T13:52:26Z"/>
        <d v="2022-04-11T13:52:24Z"/>
        <d v="2022-04-11T13:52:22Z"/>
        <d v="2022-04-11T13:52:14Z"/>
        <d v="2022-04-11T13:52:09Z"/>
        <d v="2022-04-11T13:52:07Z"/>
        <d v="2022-04-11T13:52:02Z"/>
        <d v="2022-04-11T13:52:00Z"/>
        <d v="2022-04-11T13:51:58Z"/>
        <d v="2022-04-11T13:51:45Z"/>
        <d v="2022-04-11T13:51:21Z"/>
        <d v="2022-04-11T13:50:43Z"/>
        <d v="2022-04-11T13:50:38Z"/>
        <d v="2022-04-11T13:50:37Z"/>
        <d v="2022-04-11T13:50:34Z"/>
        <d v="2022-04-11T13:50:33Z"/>
        <d v="2022-04-11T13:50:30Z"/>
        <d v="2022-04-11T13:50:29Z"/>
        <d v="2022-04-11T13:50:27Z"/>
        <d v="2022-04-11T13:50:24Z"/>
        <d v="2022-04-11T13:50:22Z"/>
        <d v="2022-04-11T13:50:20Z"/>
        <d v="2022-04-11T13:50:13Z"/>
        <d v="2022-04-11T13:50:11Z"/>
        <d v="2022-04-11T13:50:10Z"/>
        <d v="2022-04-11T13:49:29Z"/>
        <d v="2022-04-11T13:49:14Z"/>
        <d v="2022-04-11T13:49:12Z"/>
        <d v="2022-04-11T13:49:08Z"/>
        <d v="2022-04-11T13:49:00Z"/>
        <d v="2022-04-11T13:48:51Z"/>
        <d v="2022-04-11T13:48:48Z"/>
        <d v="2022-04-11T13:48:45Z"/>
        <d v="2022-04-11T13:48:44Z"/>
        <d v="2022-04-11T13:48:22Z"/>
        <d v="2022-04-11T13:48:21Z"/>
        <d v="2022-04-11T13:48:19Z"/>
        <d v="2022-04-11T13:48:14Z"/>
        <d v="2022-04-11T13:47:43Z"/>
        <d v="2022-04-11T13:47:32Z"/>
        <d v="2022-04-11T13:47:29Z"/>
        <d v="2022-04-11T13:47:22Z"/>
        <d v="2022-04-11T13:47:21Z"/>
        <d v="2022-04-11T13:47:17Z"/>
        <d v="2022-04-11T13:47:15Z"/>
        <d v="2022-04-11T13:47:09Z"/>
        <d v="2022-04-11T13:47:07Z"/>
        <d v="2022-04-11T13:47:02Z"/>
        <d v="2022-04-11T13:47:01Z"/>
        <d v="2022-04-11T13:46:59Z"/>
        <d v="2022-04-11T13:46:58Z"/>
        <d v="2022-04-11T13:46:53Z"/>
        <d v="2022-04-11T13:46:52Z"/>
        <d v="2022-04-11T13:46:45Z"/>
        <d v="2022-04-11T13:46:41Z"/>
        <d v="2022-04-11T13:46:36Z"/>
        <d v="2022-04-11T13:45:43Z"/>
        <d v="2022-04-11T13:45:36Z"/>
        <d v="2022-04-11T13:45:33Z"/>
        <d v="2022-04-11T13:45:30Z"/>
        <d v="2022-04-11T13:45:26Z"/>
        <d v="2022-04-11T13:45:25Z"/>
        <d v="2022-04-11T13:45:23Z"/>
        <d v="2022-04-11T13:45:20Z"/>
        <d v="2022-04-11T13:45:16Z"/>
        <d v="2022-04-11T13:45:15Z"/>
        <d v="2022-04-11T13:45:14Z"/>
        <d v="2022-04-11T13:45:10Z"/>
        <d v="2022-04-11T13:45:08Z"/>
        <d v="2022-04-11T13:45:04Z"/>
        <d v="2022-04-11T13:45:01Z"/>
        <d v="2022-04-11T13:44:59Z"/>
        <d v="2022-04-11T13:44:57Z"/>
        <d v="2022-04-11T13:44:55Z"/>
        <d v="2022-04-11T13:44:51Z"/>
        <d v="2022-04-11T13:44:50Z"/>
        <d v="2022-04-11T13:44:48Z"/>
        <d v="2022-04-11T13:44:44Z"/>
        <d v="2022-04-11T13:44:41Z"/>
        <d v="2022-04-11T13:44:39Z"/>
        <d v="2022-04-11T13:44:37Z"/>
        <d v="2022-04-11T13:44:30Z"/>
        <d v="2022-04-11T13:44:23Z"/>
        <d v="2022-04-11T13:44:20Z"/>
        <d v="2022-04-11T13:44:15Z"/>
        <d v="2022-04-11T13:44:13Z"/>
        <d v="2022-04-11T13:44:08Z"/>
        <d v="2022-04-11T13:44:03Z"/>
        <d v="2022-04-11T13:44:02Z"/>
        <d v="2022-04-11T13:43:59Z"/>
        <d v="2022-04-11T13:43:53Z"/>
        <d v="2022-04-11T13:43:43Z"/>
        <d v="2022-04-11T13:43:39Z"/>
        <d v="2022-04-11T13:43:32Z"/>
        <d v="2022-04-11T13:43:30Z"/>
        <d v="2022-04-11T13:43:28Z"/>
        <d v="2022-04-11T13:43:27Z"/>
        <d v="2022-04-11T13:43:24Z"/>
        <d v="2022-04-11T13:43:18Z"/>
        <d v="2022-04-11T13:43:10Z"/>
        <d v="2022-04-11T13:43:07Z"/>
        <d v="2022-04-11T13:43:05Z"/>
        <d v="2022-04-11T13:43:04Z"/>
        <d v="2022-04-11T13:43:02Z"/>
        <d v="2022-04-11T13:43:01Z"/>
        <d v="2022-04-11T13:42:58Z"/>
        <d v="2022-04-11T13:42:57Z"/>
        <d v="2022-04-11T13:42:51Z"/>
        <d v="2022-04-11T13:42:42Z"/>
        <d v="2022-04-11T13:42:41Z"/>
        <d v="2022-04-11T13:42:40Z"/>
        <d v="2022-04-11T13:42:37Z"/>
        <d v="2022-04-11T13:42:36Z"/>
        <d v="2022-04-11T13:42:25Z"/>
        <d v="2022-04-11T13:42:09Z"/>
        <d v="2022-04-11T13:41:50Z"/>
        <d v="2022-04-11T13:41:48Z"/>
        <d v="2022-04-11T13:41:43Z"/>
        <d v="2022-04-11T13:41:39Z"/>
        <d v="2022-04-11T13:41:36Z"/>
        <d v="2022-04-11T13:41:34Z"/>
        <d v="2022-04-11T13:41:32Z"/>
        <d v="2022-04-11T13:41:29Z"/>
        <d v="2022-04-11T13:41:25Z"/>
        <d v="2022-04-11T13:40:55Z"/>
        <d v="2022-04-11T13:40:46Z"/>
        <d v="2022-04-11T13:40:38Z"/>
        <d v="2022-04-11T13:40:34Z"/>
        <d v="2022-04-11T13:40:31Z"/>
        <d v="2022-04-11T13:40:30Z"/>
        <d v="2022-04-11T13:40:26Z"/>
        <d v="2022-04-11T13:40:25Z"/>
        <d v="2022-04-11T13:40:19Z"/>
        <d v="2022-04-11T13:40:17Z"/>
        <d v="2022-04-11T13:40:15Z"/>
        <d v="2022-04-11T13:40:13Z"/>
        <d v="2022-04-11T13:40:08Z"/>
        <d v="2022-04-11T13:40:05Z"/>
        <d v="2022-04-11T13:39:53Z"/>
        <d v="2022-04-11T13:39:51Z"/>
        <d v="2022-04-11T13:39:39Z"/>
        <d v="2022-04-11T13:39:38Z"/>
        <d v="2022-04-11T13:39:37Z"/>
        <d v="2022-04-11T13:39:34Z"/>
        <d v="2022-04-11T13:39:33Z"/>
        <d v="2022-04-11T13:39:32Z"/>
        <d v="2022-04-11T13:39:20Z"/>
        <d v="2022-04-11T13:39:13Z"/>
        <d v="2022-04-11T13:39:08Z"/>
        <d v="2022-04-11T13:39:06Z"/>
        <d v="2022-04-11T13:39:04Z"/>
        <d v="2022-04-11T13:39:02Z"/>
        <d v="2022-04-11T13:39:01Z"/>
        <d v="2022-04-11T13:38:57Z"/>
        <d v="2022-04-11T13:38:55Z"/>
        <d v="2022-04-11T13:38:52Z"/>
        <d v="2022-04-11T13:38:51Z"/>
        <d v="2022-04-11T13:38:49Z"/>
        <d v="2022-04-11T13:38:47Z"/>
        <d v="2022-04-11T13:38:46Z"/>
        <d v="2022-04-11T13:38:45Z"/>
        <d v="2022-04-11T13:38:43Z"/>
        <d v="2022-04-11T13:38:39Z"/>
        <d v="2022-04-11T13:38:30Z"/>
        <d v="2022-04-11T13:38:17Z"/>
        <d v="2022-04-11T13:38:10Z"/>
        <d v="2022-04-11T13:38:07Z"/>
        <d v="2022-04-11T13:38:05Z"/>
        <d v="2022-04-11T13:38:03Z"/>
        <d v="2022-04-11T13:38:01Z"/>
        <d v="2022-04-11T13:37:58Z"/>
        <d v="2022-04-11T13:37:57Z"/>
        <d v="2022-04-11T13:37:41Z"/>
        <d v="2022-04-11T13:37:24Z"/>
        <d v="2022-04-11T13:37:22Z"/>
        <d v="2022-04-11T13:37:20Z"/>
        <d v="2022-04-11T13:37:17Z"/>
        <d v="2022-04-11T13:37:06Z"/>
        <d v="2022-04-11T13:37:05Z"/>
        <d v="2022-04-11T13:37:04Z"/>
        <d v="2022-04-11T13:37:02Z"/>
        <d v="2022-04-11T13:37:01Z"/>
        <d v="2022-04-11T13:37:00Z"/>
        <d v="2022-04-11T13:36:59Z"/>
        <d v="2022-04-11T13:36:48Z"/>
        <d v="2022-04-11T13:36:45Z"/>
        <d v="2022-04-11T13:36:23Z"/>
        <d v="2022-04-11T13:36:21Z"/>
        <d v="2022-04-11T13:36:19Z"/>
        <d v="2022-04-11T13:36:15Z"/>
        <d v="2022-04-11T13:36:11Z"/>
        <d v="2022-04-11T13:36:04Z"/>
        <d v="2022-04-11T13:36:00Z"/>
        <d v="2022-04-11T13:35:56Z"/>
        <d v="2022-04-11T13:35:55Z"/>
        <d v="2022-04-11T13:35:51Z"/>
        <d v="2022-04-11T13:35:44Z"/>
        <d v="2022-04-11T13:35:30Z"/>
        <d v="2022-04-11T13:35:02Z"/>
        <d v="2022-04-11T13:34:55Z"/>
        <d v="2022-04-11T13:34:54Z"/>
        <d v="2022-04-11T13:34:50Z"/>
        <d v="2022-04-11T13:34:49Z"/>
        <d v="2022-04-11T13:34:47Z"/>
        <d v="2022-04-11T13:34:46Z"/>
        <d v="2022-04-11T13:34:44Z"/>
        <d v="2022-04-11T13:34:40Z"/>
        <d v="2022-04-11T13:34:25Z"/>
        <d v="2022-04-11T13:34:04Z"/>
        <d v="2022-04-11T13:33:56Z"/>
        <d v="2022-04-11T13:33:54Z"/>
        <d v="2022-04-11T13:33:36Z"/>
        <d v="2022-04-11T13:33:34Z"/>
        <d v="2022-04-11T13:33:32Z"/>
        <d v="2022-04-11T13:33:27Z"/>
        <d v="2022-04-11T13:33:26Z"/>
        <d v="2022-04-11T13:33:25Z"/>
        <d v="2022-04-11T13:33:24Z"/>
        <d v="2022-04-11T13:33:20Z"/>
        <d v="2022-04-11T13:33:18Z"/>
        <d v="2022-04-11T13:33:13Z"/>
        <d v="2022-04-11T13:33:01Z"/>
        <d v="2022-04-11T13:32:59Z"/>
        <d v="2022-04-11T13:32:55Z"/>
        <d v="2022-04-11T13:32:49Z"/>
        <d v="2022-04-11T13:32:31Z"/>
        <d v="2022-04-11T13:32:19Z"/>
        <d v="2022-04-11T13:32:18Z"/>
        <d v="2022-04-11T13:32:16Z"/>
        <d v="2022-04-11T13:32:13Z"/>
        <d v="2022-04-11T13:31:56Z"/>
        <d v="2022-04-11T13:31:54Z"/>
        <d v="2022-04-11T13:31:52Z"/>
        <d v="2022-04-11T13:31:50Z"/>
        <d v="2022-04-11T13:31:35Z"/>
        <d v="2022-04-11T13:31:33Z"/>
        <d v="2022-04-11T13:31:27Z"/>
        <d v="2022-04-11T13:30:51Z"/>
        <d v="2022-04-11T13:30:49Z"/>
        <d v="2022-04-11T13:30:46Z"/>
        <d v="2022-04-11T13:30:43Z"/>
        <d v="2022-04-11T13:30:36Z"/>
        <d v="2022-04-11T13:30:05Z"/>
        <d v="2022-04-11T13:30:00Z"/>
        <d v="2022-04-11T13:29:55Z"/>
        <d v="2022-04-11T13:29:50Z"/>
        <d v="2022-04-11T13:29:49Z"/>
        <d v="2022-04-11T13:29:44Z"/>
        <d v="2022-04-11T13:29:40Z"/>
        <d v="2022-04-11T13:29:09Z"/>
        <d v="2022-04-11T13:28:13Z"/>
        <d v="2022-04-11T13:28:04Z"/>
        <d v="2022-04-11T13:28:02Z"/>
        <d v="2022-04-11T13:28:00Z"/>
        <d v="2022-04-11T13:27:57Z"/>
        <d v="2022-04-11T13:27:50Z"/>
        <d v="2022-04-11T13:27:03Z"/>
        <d v="2022-04-11T13:26:57Z"/>
        <d v="2022-04-11T13:26:50Z"/>
        <d v="2022-04-11T13:26:49Z"/>
        <d v="2022-04-11T13:26:47Z"/>
        <d v="2022-04-11T13:26:46Z"/>
        <d v="2022-04-11T13:26:42Z"/>
        <d v="2022-04-11T13:26:38Z"/>
        <d v="2022-04-11T13:26:37Z"/>
        <d v="2022-04-11T13:26:34Z"/>
        <d v="2022-04-11T13:26:26Z"/>
        <d v="2022-04-11T13:26:24Z"/>
        <d v="2022-04-11T13:25:55Z"/>
        <d v="2022-04-11T13:25:44Z"/>
        <d v="2022-04-11T13:25:24Z"/>
        <d v="2022-04-11T13:25:16Z"/>
        <d v="2022-04-11T13:25:14Z"/>
        <d v="2022-04-11T13:25:03Z"/>
        <d v="2022-04-11T13:24:59Z"/>
        <d v="2022-04-11T13:24:54Z"/>
        <d v="2022-04-11T13:24:38Z"/>
        <d v="2022-04-11T13:24:32Z"/>
        <d v="2022-04-11T13:24:13Z"/>
        <d v="2022-04-11T13:24:12Z"/>
        <d v="2022-04-11T13:24:09Z"/>
        <d v="2022-04-11T13:24:04Z"/>
        <d v="2022-04-11T13:23:59Z"/>
        <d v="2022-04-11T13:23:55Z"/>
        <d v="2022-04-11T13:23:53Z"/>
        <d v="2022-04-11T13:23:50Z"/>
        <d v="2022-04-11T13:23:48Z"/>
        <d v="2022-04-11T13:23:42Z"/>
        <d v="2022-04-11T13:23:41Z"/>
        <d v="2022-04-11T13:23:15Z"/>
        <d v="2022-04-11T13:23:10Z"/>
        <d v="2022-04-11T13:22:46Z"/>
        <d v="2022-04-11T13:22:44Z"/>
        <d v="2022-04-11T13:22:30Z"/>
        <d v="2022-04-11T13:22:28Z"/>
        <d v="2022-04-11T13:22:25Z"/>
        <d v="2022-04-11T13:22:23Z"/>
        <d v="2022-04-11T13:21:41Z"/>
        <d v="2022-04-11T13:21:39Z"/>
        <d v="2022-04-11T13:21:36Z"/>
        <d v="2022-04-11T13:21:20Z"/>
        <d v="2022-04-11T13:21:01Z"/>
        <d v="2022-04-11T13:20:20Z"/>
        <d v="2022-04-11T13:20:16Z"/>
        <d v="2022-04-11T13:20:14Z"/>
        <d v="2022-04-11T13:20:12Z"/>
        <d v="2022-04-11T13:20:11Z"/>
        <d v="2022-04-11T13:20:10Z"/>
        <d v="2022-04-11T13:20:09Z"/>
        <d v="2022-04-11T13:20:08Z"/>
        <d v="2022-04-11T13:20:07Z"/>
        <d v="2022-04-11T13:20:06Z"/>
        <d v="2022-04-11T13:20:05Z"/>
        <d v="2022-04-11T13:20:04Z"/>
        <d v="2022-04-11T13:20:03Z"/>
        <d v="2022-04-11T13:20:02Z"/>
        <d v="2022-04-11T13:20:01Z"/>
        <d v="2022-04-11T13:20:00Z"/>
        <d v="2022-04-11T13:19:59Z"/>
        <d v="2022-04-11T13:19:58Z"/>
        <d v="2022-04-11T13:19:57Z"/>
        <d v="2022-04-11T13:19:56Z"/>
        <d v="2022-04-11T13:19:55Z"/>
        <d v="2022-04-11T13:19:54Z"/>
        <d v="2022-04-11T13:19:53Z"/>
        <d v="2022-04-11T13:19:49Z"/>
        <d v="2022-04-11T13:19:47Z"/>
        <d v="2022-04-11T13:19:44Z"/>
        <d v="2022-04-11T13:19:42Z"/>
        <d v="2022-04-11T13:19:40Z"/>
        <d v="2022-04-11T13:19:37Z"/>
        <d v="2022-04-11T13:19:35Z"/>
        <d v="2022-04-11T13:19:34Z"/>
        <d v="2022-04-11T13:19:33Z"/>
        <d v="2022-04-11T13:19:29Z"/>
        <d v="2022-04-11T13:19:23Z"/>
        <d v="2022-04-11T13:19:17Z"/>
        <d v="2022-04-11T13:18:56Z"/>
        <d v="2022-04-11T13:18:46Z"/>
        <d v="2022-04-11T13:18:45Z"/>
        <d v="2022-04-11T13:18:44Z"/>
        <d v="2022-04-11T13:18:43Z"/>
        <d v="2022-04-11T13:18:42Z"/>
        <d v="2022-04-11T13:18:40Z"/>
        <d v="2022-04-11T13:18:39Z"/>
        <d v="2022-04-11T13:18:38Z"/>
        <d v="2022-04-11T13:18:36Z"/>
        <d v="2022-04-11T13:18:35Z"/>
        <d v="2022-04-11T13:18:33Z"/>
        <d v="2022-04-11T13:18:32Z"/>
        <d v="2022-04-11T13:18:31Z"/>
        <d v="2022-04-11T13:18:30Z"/>
        <d v="2022-04-11T13:18:22Z"/>
        <d v="2022-04-11T13:18:21Z"/>
        <d v="2022-04-11T13:18:14Z"/>
        <d v="2022-04-11T13:17:56Z"/>
        <d v="2022-04-11T13:17:44Z"/>
        <d v="2022-04-11T13:17:37Z"/>
        <d v="2022-04-11T13:17:02Z"/>
        <d v="2022-04-11T13:17:00Z"/>
        <d v="2022-04-11T13:16:58Z"/>
        <d v="2022-04-11T13:16:46Z"/>
        <d v="2022-04-11T13:16:45Z"/>
        <d v="2022-04-11T13:15:59Z"/>
        <d v="2022-04-11T13:15:51Z"/>
        <d v="2022-04-11T13:15:44Z"/>
        <d v="2022-04-11T13:15:38Z"/>
        <d v="2022-04-11T13:15:16Z"/>
        <d v="2022-04-11T13:15:14Z"/>
        <d v="2022-04-11T13:15:13Z"/>
        <d v="2022-04-11T13:15:12Z"/>
        <d v="2022-04-11T13:15:11Z"/>
        <d v="2022-04-11T13:15:10Z"/>
        <d v="2022-04-11T13:15:08Z"/>
        <d v="2022-04-11T13:15:07Z"/>
        <d v="2022-04-11T13:15:05Z"/>
        <d v="2022-04-11T13:15:04Z"/>
        <d v="2022-04-11T13:15:03Z"/>
        <d v="2022-04-11T13:15:02Z"/>
        <d v="2022-04-11T13:15:01Z"/>
        <d v="2022-04-11T13:15:00Z"/>
        <d v="2022-04-11T13:14:59Z"/>
        <d v="2022-04-11T13:14:57Z"/>
        <d v="2022-04-11T13:14:55Z"/>
        <d v="2022-04-11T13:14:53Z"/>
        <d v="2022-04-11T13:14:50Z"/>
        <d v="2022-04-11T13:14:49Z"/>
        <d v="2022-04-11T13:14:47Z"/>
        <d v="2022-04-11T13:14:46Z"/>
        <d v="2022-04-11T13:14:43Z"/>
        <d v="2022-04-11T13:14:40Z"/>
        <d v="2022-04-11T13:14:30Z"/>
        <d v="2022-04-11T13:13:28Z"/>
        <d v="2022-04-11T13:13:20Z"/>
        <d v="2022-04-11T13:13:13Z"/>
        <d v="2022-04-11T13:12:53Z"/>
        <d v="2022-04-11T13:12:51Z"/>
        <d v="2022-04-11T13:12:50Z"/>
        <d v="2022-04-11T13:12:13Z"/>
        <d v="2022-04-11T13:12:06Z"/>
        <d v="2022-04-11T13:11:59Z"/>
        <d v="2022-04-11T13:11:56Z"/>
        <d v="2022-04-11T13:11:54Z"/>
        <d v="2022-04-11T13:11:51Z"/>
        <d v="2022-04-11T13:11:50Z"/>
        <d v="2022-04-11T13:11:46Z"/>
        <d v="2022-04-11T13:11:43Z"/>
        <d v="2022-04-11T13:11:29Z"/>
        <d v="2022-04-11T13:11:27Z"/>
        <d v="2022-04-11T13:11:26Z"/>
        <d v="2022-04-11T13:11:23Z"/>
        <d v="2022-04-11T13:11:21Z"/>
        <d v="2022-04-11T13:11:10Z"/>
        <d v="2022-04-11T13:11:07Z"/>
        <d v="2022-04-11T13:11:05Z"/>
        <d v="2022-04-11T13:11:04Z"/>
        <d v="2022-04-11T13:11:02Z"/>
        <d v="2022-04-11T13:10:59Z"/>
        <d v="2022-04-11T13:10:56Z"/>
        <d v="2022-04-11T13:10:45Z"/>
        <d v="2022-04-11T13:10:31Z"/>
        <d v="2022-04-11T13:10:28Z"/>
        <d v="2022-04-11T13:10:23Z"/>
        <d v="2022-04-11T13:10:19Z"/>
        <d v="2022-04-11T13:10:14Z"/>
        <d v="2022-04-11T13:10:12Z"/>
        <d v="2022-04-11T13:10:10Z"/>
        <d v="2022-04-11T13:10:08Z"/>
        <d v="2022-04-11T13:10:05Z"/>
        <d v="2022-04-11T13:10:02Z"/>
        <d v="2022-04-11T13:10:01Z"/>
        <d v="2022-04-11T13:10:00Z"/>
        <d v="2022-04-11T13:09:59Z"/>
        <d v="2022-04-11T13:09:58Z"/>
        <d v="2022-04-11T13:09:55Z"/>
        <d v="2022-04-11T13:09:50Z"/>
        <d v="2022-04-11T13:09:48Z"/>
        <d v="2022-04-11T13:09:45Z"/>
        <d v="2022-04-11T13:09:44Z"/>
        <d v="2022-04-11T13:09:41Z"/>
        <d v="2022-04-11T13:09:39Z"/>
        <d v="2022-04-11T13:09:38Z"/>
        <d v="2022-04-11T13:09:31Z"/>
        <d v="2022-04-11T13:09:16Z"/>
        <d v="2022-04-11T13:08:58Z"/>
        <d v="2022-04-11T13:08:35Z"/>
        <d v="2022-04-11T13:08:33Z"/>
        <d v="2022-04-11T13:08:25Z"/>
        <d v="2022-04-11T13:08:22Z"/>
        <d v="2022-04-11T13:08:20Z"/>
        <d v="2022-04-11T13:08:14Z"/>
        <d v="2022-04-11T13:08:11Z"/>
        <d v="2022-04-11T13:08:10Z"/>
        <d v="2022-04-11T13:08:09Z"/>
        <d v="2022-04-11T13:08:08Z"/>
        <d v="2022-04-11T13:08:06Z"/>
        <d v="2022-04-11T13:08:05Z"/>
        <d v="2022-04-11T13:08:04Z"/>
        <d v="2022-04-11T13:08:03Z"/>
        <d v="2022-04-11T13:07:59Z"/>
        <d v="2022-04-11T13:07:56Z"/>
        <d v="2022-04-11T13:07:55Z"/>
        <d v="2022-04-11T13:07:54Z"/>
        <d v="2022-04-11T13:07:52Z"/>
        <d v="2022-04-11T13:07:47Z"/>
        <d v="2022-04-11T13:07:45Z"/>
        <d v="2022-04-11T13:07:42Z"/>
        <d v="2022-04-11T13:07:41Z"/>
        <d v="2022-04-11T13:07:40Z"/>
        <d v="2022-04-11T13:07:37Z"/>
        <d v="2022-04-11T13:07:36Z"/>
        <d v="2022-04-11T13:07:35Z"/>
        <d v="2022-04-11T13:07:34Z"/>
        <d v="2022-04-11T13:07:33Z"/>
        <d v="2022-04-11T13:07:30Z"/>
        <d v="2022-04-11T13:07:29Z"/>
        <d v="2022-04-11T13:07:26Z"/>
        <d v="2022-04-11T13:07:24Z"/>
        <d v="2022-04-11T13:07:22Z"/>
        <d v="2022-04-11T13:07:19Z"/>
        <d v="2022-04-11T13:07:18Z"/>
        <d v="2022-04-11T13:07:17Z"/>
        <d v="2022-04-11T13:07:16Z"/>
        <d v="2022-04-11T13:07:15Z"/>
        <d v="2022-04-11T13:07:14Z"/>
        <d v="2022-04-11T13:07:13Z"/>
        <d v="2022-04-11T13:07:12Z"/>
        <d v="2022-04-11T13:07:11Z"/>
        <d v="2022-04-11T13:07:10Z"/>
        <d v="2022-04-11T13:07:09Z"/>
        <d v="2022-04-11T13:07:07Z"/>
        <d v="2022-04-11T13:07:06Z"/>
        <d v="2022-04-11T13:07:05Z"/>
        <d v="2022-04-11T13:07:04Z"/>
        <d v="2022-04-11T13:07:03Z"/>
        <d v="2022-04-11T13:06:59Z"/>
        <d v="2022-04-11T13:06:33Z"/>
        <d v="2022-04-11T13:06:20Z"/>
        <d v="2022-04-11T13:06:19Z"/>
        <d v="2022-04-11T13:06:18Z"/>
        <d v="2022-04-11T13:06:15Z"/>
        <d v="2022-04-11T13:06:09Z"/>
        <d v="2022-04-11T13:06:03Z"/>
        <d v="2022-04-11T13:06:00Z"/>
        <d v="2022-04-11T13:05:56Z"/>
        <d v="2022-04-11T13:05:39Z"/>
        <d v="2022-04-11T13:05:19Z"/>
        <d v="2022-04-11T13:04:18Z"/>
        <d v="2022-04-11T13:04:10Z"/>
        <d v="2022-04-11T13:04:07Z"/>
        <d v="2022-04-11T13:03:59Z"/>
        <d v="2022-04-11T13:03:49Z"/>
        <d v="2022-04-11T13:03:48Z"/>
        <d v="2022-04-11T13:03:44Z"/>
        <d v="2022-04-11T13:03:41Z"/>
        <d v="2022-04-11T13:03:21Z"/>
        <d v="2022-04-11T13:02:35Z"/>
        <d v="2022-04-11T13:02:34Z"/>
        <d v="2022-04-11T13:02:29Z"/>
        <d v="2022-04-11T13:02:23Z"/>
        <d v="2022-04-11T13:02:22Z"/>
        <d v="2022-04-11T13:02:18Z"/>
        <d v="2022-04-11T13:01:53Z"/>
        <d v="2022-04-11T13:01:37Z"/>
        <d v="2022-04-11T13:01:35Z"/>
        <d v="2022-04-11T13:01:32Z"/>
        <d v="2022-04-11T13:01:30Z"/>
        <d v="2022-04-11T13:01:25Z"/>
        <d v="2022-04-11T13:01:17Z"/>
        <d v="2022-04-11T13:01:14Z"/>
        <d v="2022-04-11T13:00:55Z"/>
        <d v="2022-04-11T13:00:50Z"/>
        <d v="2022-04-11T13:00:48Z"/>
        <d v="2022-04-11T13:00:37Z"/>
        <d v="2022-04-11T13:00:35Z"/>
        <d v="2022-04-11T13:00:32Z"/>
        <d v="2022-04-11T13:00:31Z"/>
        <d v="2022-04-11T13:00:04Z"/>
        <d v="2022-04-11T12:59:59Z"/>
        <d v="2022-04-11T12:59:47Z"/>
        <d v="2022-04-11T12:58:14Z"/>
        <d v="2022-04-11T12:58:12Z"/>
        <d v="2022-04-11T12:57:57Z"/>
        <d v="2022-04-11T12:56:42Z"/>
        <d v="2022-04-11T12:56:39Z"/>
        <d v="2022-04-11T12:56:38Z"/>
        <d v="2022-04-11T12:56:36Z"/>
        <d v="2022-04-11T12:56:35Z"/>
        <d v="2022-04-11T12:56:34Z"/>
        <d v="2022-04-11T12:56:33Z"/>
        <d v="2022-04-11T12:56:32Z"/>
        <d v="2022-04-11T12:56:30Z"/>
        <d v="2022-04-11T12:56:29Z"/>
        <d v="2022-04-11T12:56:27Z"/>
        <d v="2022-04-11T12:56:26Z"/>
        <d v="2022-04-11T12:56:25Z"/>
        <d v="2022-04-11T12:56:24Z"/>
        <d v="2022-04-11T12:56:23Z"/>
        <d v="2022-04-11T12:56:22Z"/>
        <d v="2022-04-11T12:56:21Z"/>
        <d v="2022-04-11T12:56:15Z"/>
        <d v="2022-04-11T12:56:07Z"/>
        <d v="2022-04-11T12:56:05Z"/>
        <d v="2022-04-11T12:55:59Z"/>
        <d v="2022-04-11T12:55:49Z"/>
        <d v="2022-04-11T12:55:30Z"/>
        <d v="2022-04-11T12:55:26Z"/>
        <d v="2022-04-11T12:55:19Z"/>
        <d v="2022-04-11T12:54:43Z"/>
        <d v="2022-04-11T12:54:33Z"/>
        <d v="2022-04-11T12:54:32Z"/>
        <d v="2022-04-11T12:54:31Z"/>
        <d v="2022-04-11T12:54:29Z"/>
        <d v="2022-04-11T12:54:27Z"/>
        <d v="2022-04-11T12:54:26Z"/>
        <d v="2022-04-11T12:54:25Z"/>
        <d v="2022-04-11T12:54:23Z"/>
        <d v="2022-04-11T12:54:22Z"/>
        <d v="2022-04-11T12:54:20Z"/>
        <d v="2022-04-11T12:54:19Z"/>
        <d v="2022-04-11T12:54:16Z"/>
        <d v="2022-04-11T12:54:15Z"/>
        <d v="2022-04-11T12:54:12Z"/>
        <d v="2022-04-11T12:54:10Z"/>
        <d v="2022-04-11T12:54:08Z"/>
        <d v="2022-04-11T12:54:06Z"/>
        <d v="2022-04-11T12:54:05Z"/>
        <d v="2022-04-11T12:54:04Z"/>
        <d v="2022-04-11T12:54:03Z"/>
        <d v="2022-04-11T12:54:00Z"/>
        <d v="2022-04-11T12:53:59Z"/>
        <d v="2022-04-11T12:53:57Z"/>
        <d v="2022-04-11T12:53:54Z"/>
        <d v="2022-04-11T12:53:51Z"/>
        <d v="2022-04-11T12:53:49Z"/>
        <d v="2022-04-11T12:53:33Z"/>
        <d v="2022-04-11T12:53:31Z"/>
        <d v="2022-04-11T12:53:30Z"/>
        <d v="2022-04-11T12:53:29Z"/>
        <d v="2022-04-11T12:53:22Z"/>
        <d v="2022-04-11T12:53:17Z"/>
        <d v="2022-04-11T12:53:06Z"/>
        <d v="2022-04-11T12:53:05Z"/>
        <d v="2022-04-11T12:53:02Z"/>
        <d v="2022-04-11T12:53:01Z"/>
        <d v="2022-04-11T12:52:57Z"/>
        <d v="2022-04-11T12:52:56Z"/>
        <d v="2022-04-11T12:52:53Z"/>
        <d v="2022-04-11T12:52:52Z"/>
        <d v="2022-04-11T12:52:51Z"/>
        <d v="2022-04-11T12:52:50Z"/>
        <d v="2022-04-11T12:52:49Z"/>
        <d v="2022-04-11T12:52:28Z"/>
        <d v="2022-04-11T12:52:24Z"/>
        <d v="2022-04-11T12:52:18Z"/>
        <d v="2022-04-11T12:52:11Z"/>
        <d v="2022-04-11T12:52:00Z"/>
        <d v="2022-04-11T12:51:59Z"/>
        <d v="2022-04-11T12:51:57Z"/>
        <d v="2022-04-11T12:51:55Z"/>
        <d v="2022-04-11T12:51:53Z"/>
        <d v="2022-04-11T12:51:49Z"/>
        <d v="2022-04-11T12:51:46Z"/>
        <d v="2022-04-11T12:51:41Z"/>
        <d v="2022-04-11T12:51:37Z"/>
        <d v="2022-04-11T12:51:33Z"/>
        <d v="2022-04-11T12:51:32Z"/>
        <d v="2022-04-11T12:51:31Z"/>
        <d v="2022-04-11T12:51:30Z"/>
        <d v="2022-04-11T12:51:28Z"/>
        <d v="2022-04-11T12:51:27Z"/>
        <d v="2022-04-11T12:51:26Z"/>
        <d v="2022-04-11T12:51:25Z"/>
        <d v="2022-04-11T12:51:24Z"/>
        <d v="2022-04-11T12:51:23Z"/>
        <d v="2022-04-11T12:51:22Z"/>
        <d v="2022-04-11T12:51:21Z"/>
        <d v="2022-04-11T12:51:19Z"/>
        <d v="2022-04-11T12:51:18Z"/>
        <d v="2022-04-11T12:51:17Z"/>
        <d v="2022-04-11T12:51:15Z"/>
        <d v="2022-04-11T12:51:14Z"/>
        <d v="2022-04-11T12:51:13Z"/>
        <d v="2022-04-11T12:51:09Z"/>
        <d v="2022-04-11T12:51:07Z"/>
        <d v="2022-04-11T12:50:58Z"/>
        <d v="2022-04-11T12:50:45Z"/>
        <d v="2022-04-11T12:49:47Z"/>
        <d v="2022-04-11T12:49:22Z"/>
        <d v="2022-04-11T12:49:20Z"/>
        <d v="2022-04-11T12:49:03Z"/>
        <d v="2022-04-11T12:49:00Z"/>
        <d v="2022-04-11T12:48:59Z"/>
        <d v="2022-04-11T12:48:55Z"/>
        <d v="2022-04-11T12:48:53Z"/>
        <d v="2022-04-11T12:48:50Z"/>
        <d v="2022-04-11T12:48:48Z"/>
        <d v="2022-04-11T12:48:46Z"/>
        <d v="2022-04-11T12:48:43Z"/>
        <d v="2022-04-11T12:48:41Z"/>
        <d v="2022-04-11T12:48:39Z"/>
        <d v="2022-04-11T12:48:38Z"/>
        <d v="2022-04-11T12:48:36Z"/>
        <d v="2022-04-11T12:48:34Z"/>
        <d v="2022-04-11T12:48:31Z"/>
        <d v="2022-04-11T12:48:29Z"/>
        <d v="2022-04-11T12:48:26Z"/>
        <d v="2022-04-11T12:48:22Z"/>
        <d v="2022-04-11T12:48:19Z"/>
        <d v="2022-04-11T12:48:13Z"/>
        <d v="2022-04-11T12:48:10Z"/>
        <d v="2022-04-11T12:47:46Z"/>
        <d v="2022-04-11T12:47:34Z"/>
        <d v="2022-04-11T12:47:16Z"/>
        <d v="2022-04-11T12:47:14Z"/>
        <d v="2022-04-11T12:47:13Z"/>
        <d v="2022-04-11T12:46:39Z"/>
        <d v="2022-04-11T12:46:35Z"/>
        <d v="2022-04-11T12:46:34Z"/>
        <d v="2022-04-11T12:46:23Z"/>
        <d v="2022-04-11T12:45:25Z"/>
        <d v="2022-04-11T12:45:18Z"/>
        <d v="2022-04-11T12:45:16Z"/>
        <d v="2022-04-11T12:45:03Z"/>
        <d v="2022-04-11T12:45:00Z"/>
        <d v="2022-04-11T12:44:59Z"/>
        <d v="2022-04-11T12:44:54Z"/>
        <d v="2022-04-11T12:44:53Z"/>
        <d v="2022-04-11T12:44:51Z"/>
        <d v="2022-04-11T12:44:48Z"/>
        <d v="2022-04-11T12:44:45Z"/>
        <d v="2022-04-11T12:44:41Z"/>
        <d v="2022-04-11T12:44:39Z"/>
        <d v="2022-04-11T12:44:37Z"/>
        <d v="2022-04-11T12:44:31Z"/>
        <d v="2022-04-11T12:44:19Z"/>
        <d v="2022-04-11T12:44:16Z"/>
        <d v="2022-04-11T12:44:14Z"/>
        <d v="2022-04-11T12:44:11Z"/>
        <d v="2022-04-11T12:44:08Z"/>
        <d v="2022-04-11T12:43:56Z"/>
        <d v="2022-04-11T12:43:24Z"/>
        <d v="2022-04-11T12:42:56Z"/>
        <d v="2022-04-11T12:42:04Z"/>
        <d v="2022-04-11T12:42:03Z"/>
        <d v="2022-04-11T12:42:00Z"/>
        <d v="2022-04-11T12:41:55Z"/>
        <d v="2022-04-11T12:41:53Z"/>
        <d v="2022-04-11T12:41:52Z"/>
        <d v="2022-04-11T12:41:44Z"/>
        <d v="2022-04-11T12:41:39Z"/>
        <d v="2022-04-11T12:41:36Z"/>
        <d v="2022-04-11T12:41:27Z"/>
        <d v="2022-04-11T12:41:23Z"/>
        <d v="2022-04-11T12:41:16Z"/>
        <d v="2022-04-11T12:41:12Z"/>
        <d v="2022-04-11T12:41:01Z"/>
        <d v="2022-04-11T12:40:58Z"/>
        <d v="2022-04-11T12:40:52Z"/>
        <d v="2022-04-11T12:40:50Z"/>
        <d v="2022-04-11T12:40:45Z"/>
        <d v="2022-04-11T12:40:42Z"/>
        <d v="2022-04-11T12:40:39Z"/>
        <d v="2022-04-11T12:40:38Z"/>
        <d v="2022-04-11T12:40:31Z"/>
        <d v="2022-04-11T12:40:24Z"/>
        <d v="2022-04-11T12:40:12Z"/>
        <d v="2022-04-11T12:40:09Z"/>
        <d v="2022-04-11T12:40:07Z"/>
        <d v="2022-04-11T12:40:04Z"/>
        <d v="2022-04-11T12:39:47Z"/>
        <d v="2022-04-11T12:39:44Z"/>
        <d v="2022-04-11T12:39:13Z"/>
        <d v="2022-04-11T12:39:06Z"/>
        <d v="2022-04-11T12:39:05Z"/>
        <d v="2022-04-11T12:39:03Z"/>
        <d v="2022-04-11T12:38:38Z"/>
        <d v="2022-04-11T12:38:19Z"/>
        <d v="2022-04-11T12:37:57Z"/>
        <d v="2022-04-11T12:37:56Z"/>
        <d v="2022-04-11T12:37:54Z"/>
        <d v="2022-04-11T12:37:53Z"/>
        <d v="2022-04-11T12:37:44Z"/>
        <d v="2022-04-11T12:37:43Z"/>
        <d v="2022-04-11T12:37:37Z"/>
        <d v="2022-04-11T12:37:34Z"/>
        <d v="2022-04-11T12:37:33Z"/>
        <d v="2022-04-11T12:37:29Z"/>
        <d v="2022-04-11T12:37:28Z"/>
        <d v="2022-04-11T12:37:27Z"/>
        <d v="2022-04-11T12:37:26Z"/>
        <d v="2022-04-11T12:37:25Z"/>
        <d v="2022-04-11T12:37:23Z"/>
        <d v="2022-04-11T12:37:17Z"/>
        <d v="2022-04-11T12:37:15Z"/>
        <d v="2022-04-11T12:37:14Z"/>
        <d v="2022-04-11T12:37:12Z"/>
        <d v="2022-04-11T12:37:11Z"/>
        <d v="2022-04-11T12:37:10Z"/>
        <d v="2022-04-11T12:37:07Z"/>
        <d v="2022-04-11T12:37:05Z"/>
        <d v="2022-04-11T12:37:03Z"/>
        <d v="2022-04-11T12:36:59Z"/>
        <d v="2022-04-11T12:36:56Z"/>
        <d v="2022-04-11T12:36:55Z"/>
        <d v="2022-04-11T12:36:53Z"/>
        <d v="2022-04-11T12:36:50Z"/>
        <d v="2022-04-11T12:36:48Z"/>
        <d v="2022-04-11T12:36:47Z"/>
        <d v="2022-04-11T12:36:45Z"/>
        <d v="2022-04-11T12:36:44Z"/>
        <d v="2022-04-11T12:36:42Z"/>
        <d v="2022-04-11T12:36:40Z"/>
        <d v="2022-04-11T12:36:32Z"/>
        <d v="2022-04-11T12:36:18Z"/>
        <d v="2022-04-11T12:36:01Z"/>
        <d v="2022-04-11T12:35:55Z"/>
        <d v="2022-04-11T12:35:53Z"/>
        <d v="2022-04-11T12:35:44Z"/>
        <d v="2022-04-11T12:35:41Z"/>
        <d v="2022-04-11T12:35:29Z"/>
        <d v="2022-04-11T12:35:25Z"/>
        <d v="2022-04-11T12:35:21Z"/>
        <d v="2022-04-11T12:35:14Z"/>
        <d v="2022-04-11T12:34:55Z"/>
        <d v="2022-04-11T12:34:54Z"/>
        <d v="2022-04-11T12:34:46Z"/>
        <d v="2022-04-11T12:34:44Z"/>
        <d v="2022-04-11T12:34:23Z"/>
        <d v="2022-04-11T12:34:19Z"/>
        <d v="2022-04-11T12:34:15Z"/>
        <d v="2022-04-11T12:34:12Z"/>
        <d v="2022-04-11T12:34:10Z"/>
        <d v="2022-04-11T12:33:52Z"/>
        <d v="2022-04-11T12:33:48Z"/>
        <d v="2022-04-11T12:33:37Z"/>
        <d v="2022-04-11T12:33:19Z"/>
        <d v="2022-04-11T12:33:15Z"/>
        <d v="2022-04-11T12:33:10Z"/>
        <d v="2022-04-11T12:32:53Z"/>
        <d v="2022-04-11T12:32:17Z"/>
        <d v="2022-04-11T12:32:15Z"/>
        <d v="2022-04-11T12:32:12Z"/>
        <d v="2022-04-11T12:32:09Z"/>
        <d v="2022-04-11T12:31:59Z"/>
        <d v="2022-04-11T12:31:53Z"/>
        <d v="2022-04-11T12:31:52Z"/>
        <d v="2022-04-11T12:31:51Z"/>
        <d v="2022-04-11T12:31:50Z"/>
        <d v="2022-04-11T12:31:48Z"/>
        <d v="2022-04-11T12:31:47Z"/>
        <d v="2022-04-11T12:31:45Z"/>
        <d v="2022-04-11T12:31:38Z"/>
        <d v="2022-04-11T12:31:32Z"/>
        <d v="2022-04-11T12:31:29Z"/>
        <d v="2022-04-11T12:31:27Z"/>
        <d v="2022-04-11T12:31:21Z"/>
        <d v="2022-04-11T12:31:15Z"/>
        <d v="2022-04-11T12:31:11Z"/>
        <d v="2022-04-11T12:31:08Z"/>
        <d v="2022-04-11T12:31:05Z"/>
        <d v="2022-04-11T12:31:04Z"/>
        <d v="2022-04-11T12:30:57Z"/>
        <d v="2022-04-11T12:30:54Z"/>
        <d v="2022-04-11T12:30:53Z"/>
        <d v="2022-04-11T12:30:49Z"/>
        <d v="2022-04-11T12:30:45Z"/>
        <d v="2022-04-11T12:30:43Z"/>
        <d v="2022-04-11T12:30:42Z"/>
        <d v="2022-04-11T12:30:41Z"/>
        <d v="2022-04-11T12:30:39Z"/>
        <d v="2022-04-11T12:30:38Z"/>
        <d v="2022-04-11T12:30:37Z"/>
        <d v="2022-04-11T12:30:35Z"/>
        <d v="2022-04-11T12:30:34Z"/>
        <d v="2022-04-11T12:30:32Z"/>
        <d v="2022-04-11T12:30:24Z"/>
        <d v="2022-04-11T12:30:23Z"/>
        <d v="2022-04-11T12:30:20Z"/>
        <d v="2022-04-11T12:30:19Z"/>
        <d v="2022-04-11T12:30:18Z"/>
        <d v="2022-04-11T12:30:16Z"/>
        <d v="2022-04-11T12:30:15Z"/>
        <d v="2022-04-11T12:30:14Z"/>
        <d v="2022-04-11T12:30:13Z"/>
        <d v="2022-04-11T12:30:12Z"/>
        <d v="2022-04-11T12:30:11Z"/>
        <d v="2022-04-11T12:30:09Z"/>
        <d v="2022-04-11T12:30:08Z"/>
        <d v="2022-04-11T12:30:07Z"/>
        <d v="2022-04-11T12:30:06Z"/>
        <d v="2022-04-11T12:30:05Z"/>
        <d v="2022-04-11T12:30:03Z"/>
        <d v="2022-04-11T12:30:02Z"/>
        <d v="2022-04-11T12:30:00Z"/>
        <d v="2022-04-11T12:29:58Z"/>
        <d v="2022-04-11T12:29:57Z"/>
        <d v="2022-04-11T12:29:54Z"/>
        <d v="2022-04-11T12:29:51Z"/>
        <d v="2022-04-11T12:29:48Z"/>
        <d v="2022-04-11T12:29:47Z"/>
        <d v="2022-04-11T12:29:45Z"/>
        <d v="2022-04-11T12:29:44Z"/>
        <d v="2022-04-11T12:29:43Z"/>
        <d v="2022-04-11T12:29:42Z"/>
        <d v="2022-04-11T12:29:41Z"/>
        <d v="2022-04-11T12:29:40Z"/>
        <d v="2022-04-11T12:29:39Z"/>
        <d v="2022-04-11T12:29:36Z"/>
        <d v="2022-04-11T12:29:35Z"/>
        <d v="2022-04-11T12:29:30Z"/>
        <d v="2022-04-11T12:29:28Z"/>
        <d v="2022-04-11T12:29:24Z"/>
        <d v="2022-04-11T12:29:23Z"/>
        <d v="2022-04-11T12:29:22Z"/>
        <d v="2022-04-11T12:29:19Z"/>
        <d v="2022-04-11T12:29:18Z"/>
        <d v="2022-04-11T12:29:10Z"/>
        <d v="2022-04-11T12:29:03Z"/>
        <d v="2022-04-11T12:28:59Z"/>
        <d v="2022-04-11T12:28:52Z"/>
        <d v="2022-04-11T12:28:48Z"/>
        <d v="2022-04-11T12:28:46Z"/>
        <d v="2022-04-11T12:28:44Z"/>
        <d v="2022-04-11T12:28:42Z"/>
        <d v="2022-04-11T12:28:41Z"/>
        <d v="2022-04-11T12:28:40Z"/>
        <d v="2022-04-11T12:28:39Z"/>
        <d v="2022-04-11T12:28:37Z"/>
        <d v="2022-04-11T12:28:36Z"/>
        <d v="2022-04-11T12:28:34Z"/>
        <d v="2022-04-11T12:28:33Z"/>
        <d v="2022-04-11T12:28:32Z"/>
        <d v="2022-04-11T12:28:30Z"/>
        <d v="2022-04-11T12:28:28Z"/>
        <d v="2022-04-11T12:28:26Z"/>
        <d v="2022-04-11T12:28:25Z"/>
        <d v="2022-04-11T12:28:23Z"/>
        <d v="2022-04-11T12:28:22Z"/>
        <d v="2022-04-11T12:28:20Z"/>
        <d v="2022-04-11T12:28:19Z"/>
        <d v="2022-04-11T12:28:18Z"/>
        <d v="2022-04-11T12:28:16Z"/>
        <d v="2022-04-11T12:28:14Z"/>
        <d v="2022-04-11T12:28:13Z"/>
        <d v="2022-04-11T12:28:08Z"/>
        <d v="2022-04-11T12:28:06Z"/>
        <d v="2022-04-11T12:28:04Z"/>
        <d v="2022-04-11T12:28:02Z"/>
        <d v="2022-04-11T12:28:00Z"/>
        <d v="2022-04-11T12:27:58Z"/>
        <d v="2022-04-11T12:27:54Z"/>
        <d v="2022-04-11T12:27:53Z"/>
        <d v="2022-04-11T12:27:51Z"/>
        <d v="2022-04-11T12:27:49Z"/>
        <d v="2022-04-11T12:27:47Z"/>
        <d v="2022-04-11T12:27:44Z"/>
        <d v="2022-04-11T12:27:41Z"/>
        <d v="2022-04-11T12:27:40Z"/>
        <d v="2022-04-11T12:27:38Z"/>
        <d v="2022-04-11T12:27:37Z"/>
        <d v="2022-04-11T12:27:35Z"/>
        <d v="2022-04-11T12:27:30Z"/>
        <d v="2022-04-11T12:27:28Z"/>
        <d v="2022-04-11T12:27:26Z"/>
        <d v="2022-04-11T12:27:24Z"/>
        <d v="2022-04-11T12:27:12Z"/>
        <d v="2022-04-11T12:27:07Z"/>
        <d v="2022-04-11T12:27:01Z"/>
        <d v="2022-04-11T12:26:52Z"/>
        <d v="2022-04-11T12:26:46Z"/>
        <d v="2022-04-11T12:26:42Z"/>
        <d v="2022-04-11T12:26:38Z"/>
        <d v="2022-04-11T12:26:24Z"/>
        <d v="2022-04-11T12:26:18Z"/>
        <d v="2022-04-11T12:26:10Z"/>
        <d v="2022-04-11T12:26:09Z"/>
        <d v="2022-04-11T12:26:06Z"/>
        <d v="2022-04-11T12:26:03Z"/>
        <d v="2022-04-11T12:26:01Z"/>
        <d v="2022-04-11T12:25:59Z"/>
        <d v="2022-04-11T12:25:55Z"/>
        <d v="2022-04-11T12:25:54Z"/>
        <d v="2022-04-11T12:25:50Z"/>
        <d v="2022-04-11T12:25:41Z"/>
        <d v="2022-04-11T12:25:40Z"/>
        <d v="2022-04-11T12:25:31Z"/>
        <d v="2022-04-11T12:25:29Z"/>
        <d v="2022-04-11T12:25:27Z"/>
        <d v="2022-04-11T12:25:22Z"/>
        <d v="2022-04-11T12:25:20Z"/>
        <d v="2022-04-11T12:25:01Z"/>
        <d v="2022-04-11T12:24:46Z"/>
        <d v="2022-04-11T12:24:25Z"/>
        <d v="2022-04-11T12:24:21Z"/>
        <d v="2022-04-11T12:24:06Z"/>
        <d v="2022-04-11T12:24:03Z"/>
        <d v="2022-04-11T12:24:00Z"/>
        <d v="2022-04-11T12:23:58Z"/>
        <d v="2022-04-11T12:23:54Z"/>
        <d v="2022-04-11T12:23:53Z"/>
        <d v="2022-04-11T12:23:50Z"/>
        <d v="2022-04-11T12:23:49Z"/>
        <d v="2022-04-11T12:23:47Z"/>
        <d v="2022-04-11T12:23:43Z"/>
        <d v="2022-04-11T12:23:40Z"/>
        <d v="2022-04-11T12:23:35Z"/>
        <d v="2022-04-11T12:23:31Z"/>
        <d v="2022-04-11T12:23:30Z"/>
        <d v="2022-04-11T12:23:29Z"/>
        <d v="2022-04-11T12:23:28Z"/>
        <d v="2022-04-11T12:23:27Z"/>
        <d v="2022-04-11T12:23:25Z"/>
        <d v="2022-04-11T12:23:24Z"/>
        <d v="2022-04-11T12:23:23Z"/>
        <d v="2022-04-11T12:23:22Z"/>
        <d v="2022-04-11T12:23:21Z"/>
        <d v="2022-04-11T12:23:20Z"/>
        <d v="2022-04-11T12:23:19Z"/>
        <d v="2022-04-11T12:23:18Z"/>
        <d v="2022-04-11T12:23:17Z"/>
        <d v="2022-04-11T12:23:16Z"/>
        <d v="2022-04-11T12:23:15Z"/>
        <d v="2022-04-11T12:23:13Z"/>
        <d v="2022-04-11T12:23:07Z"/>
        <d v="2022-04-11T12:23:05Z"/>
        <d v="2022-04-11T12:23:04Z"/>
        <d v="2022-04-11T12:23:02Z"/>
        <d v="2022-04-11T12:22:56Z"/>
        <d v="2022-04-11T12:22:54Z"/>
        <d v="2022-04-11T12:22:53Z"/>
        <d v="2022-04-11T12:22:51Z"/>
        <d v="2022-04-11T12:22:49Z"/>
        <d v="2022-04-11T12:22:47Z"/>
        <d v="2022-04-11T12:22:46Z"/>
        <d v="2022-04-11T12:22:44Z"/>
        <d v="2022-04-11T12:22:43Z"/>
        <d v="2022-04-11T12:22:42Z"/>
        <d v="2022-04-11T12:22:41Z"/>
        <d v="2022-04-11T12:22:40Z"/>
        <d v="2022-04-11T12:22:39Z"/>
        <d v="2022-04-11T12:22:38Z"/>
        <d v="2022-04-11T12:22:34Z"/>
        <d v="2022-04-11T12:22:27Z"/>
        <d v="2022-04-11T12:22:17Z"/>
        <d v="2022-04-11T12:22:11Z"/>
        <d v="2022-04-11T12:21:57Z"/>
        <d v="2022-04-11T12:21:56Z"/>
        <d v="2022-04-11T12:21:55Z"/>
        <d v="2022-04-11T12:21:54Z"/>
        <d v="2022-04-11T12:21:53Z"/>
        <d v="2022-04-11T12:21:52Z"/>
        <d v="2022-04-11T12:21:51Z"/>
        <d v="2022-04-11T12:21:50Z"/>
        <d v="2022-04-11T12:21:49Z"/>
        <d v="2022-04-11T12:21:48Z"/>
        <d v="2022-04-11T12:21:44Z"/>
        <d v="2022-04-11T12:21:42Z"/>
        <d v="2022-04-11T12:21:39Z"/>
        <d v="2022-04-11T12:21:37Z"/>
        <d v="2022-04-11T12:21:34Z"/>
        <d v="2022-04-11T12:21:29Z"/>
        <d v="2022-04-11T12:21:26Z"/>
        <d v="2022-04-11T12:21:19Z"/>
        <d v="2022-04-11T12:21:18Z"/>
        <d v="2022-04-11T12:21:13Z"/>
        <d v="2022-04-11T12:21:11Z"/>
        <d v="2022-04-11T12:21:09Z"/>
        <d v="2022-04-11T12:21:08Z"/>
        <d v="2022-04-11T12:21:07Z"/>
        <d v="2022-04-11T12:21:05Z"/>
        <d v="2022-04-11T12:21:03Z"/>
        <d v="2022-04-11T12:21:01Z"/>
        <d v="2022-04-11T12:20:59Z"/>
        <d v="2022-04-11T12:20:58Z"/>
        <d v="2022-04-11T12:20:55Z"/>
        <d v="2022-04-11T12:20:54Z"/>
        <d v="2022-04-11T12:20:53Z"/>
        <d v="2022-04-11T12:20:52Z"/>
        <d v="2022-04-11T12:20:50Z"/>
        <d v="2022-04-11T12:20:46Z"/>
        <d v="2022-04-11T12:20:45Z"/>
        <d v="2022-04-11T12:20:43Z"/>
        <d v="2022-04-11T12:20:41Z"/>
        <d v="2022-04-11T12:20:39Z"/>
        <d v="2022-04-11T12:20:38Z"/>
        <d v="2022-04-11T12:20:37Z"/>
        <d v="2022-04-11T12:20:36Z"/>
        <d v="2022-04-11T12:20:35Z"/>
        <d v="2022-04-11T12:20:34Z"/>
        <d v="2022-04-11T12:20:33Z"/>
        <d v="2022-04-11T12:20:32Z"/>
        <d v="2022-04-11T12:20:31Z"/>
        <d v="2022-04-11T12:20:30Z"/>
        <d v="2022-04-11T12:20:29Z"/>
        <d v="2022-04-11T12:20:27Z"/>
        <d v="2022-04-11T12:20:25Z"/>
        <d v="2022-04-11T12:20:22Z"/>
        <d v="2022-04-11T12:20:21Z"/>
        <d v="2022-04-11T12:20:19Z"/>
        <d v="2022-04-11T12:20:18Z"/>
        <d v="2022-04-11T12:20:17Z"/>
        <d v="2022-04-11T12:20:15Z"/>
        <d v="2022-04-11T12:20:14Z"/>
        <d v="2022-04-11T12:20:13Z"/>
        <d v="2022-04-11T12:20:11Z"/>
        <d v="2022-04-11T12:20:07Z"/>
        <d v="2022-04-11T12:20:06Z"/>
        <d v="2022-04-11T12:20:05Z"/>
        <d v="2022-04-11T12:20:04Z"/>
        <d v="2022-04-11T12:20:03Z"/>
        <d v="2022-04-11T12:20:02Z"/>
        <d v="2022-04-11T12:20:01Z"/>
        <d v="2022-04-11T12:20:00Z"/>
        <d v="2022-04-11T12:19:59Z"/>
        <d v="2022-04-11T12:19:58Z"/>
        <d v="2022-04-11T12:19:57Z"/>
        <d v="2022-04-11T12:19:56Z"/>
        <d v="2022-04-11T12:19:55Z"/>
        <d v="2022-04-11T12:19:54Z"/>
        <d v="2022-04-11T12:19:53Z"/>
        <d v="2022-04-11T12:19:52Z"/>
        <d v="2022-04-11T12:19:51Z"/>
        <d v="2022-04-11T12:19:50Z"/>
        <d v="2022-04-11T12:19:49Z"/>
        <d v="2022-04-11T12:19:48Z"/>
        <d v="2022-04-11T12:19:47Z"/>
        <d v="2022-04-11T12:19:46Z"/>
        <d v="2022-04-11T12:19:45Z"/>
        <d v="2022-04-11T12:19:44Z"/>
        <d v="2022-04-11T12:19:43Z"/>
        <d v="2022-04-11T12:19:42Z"/>
        <d v="2022-04-11T12:19:41Z"/>
        <d v="2022-04-11T12:19:40Z"/>
        <d v="2022-04-11T12:19:39Z"/>
        <d v="2022-04-11T12:19:38Z"/>
        <d v="2022-04-11T12:19:37Z"/>
        <d v="2022-04-11T12:19:36Z"/>
        <d v="2022-04-11T12:19:35Z"/>
        <d v="2022-04-11T12:19:33Z"/>
        <d v="2022-04-11T12:19:28Z"/>
        <d v="2022-04-11T12:19:27Z"/>
        <d v="2022-04-11T12:19:26Z"/>
        <d v="2022-04-11T12:19:24Z"/>
        <d v="2022-04-11T12:19:23Z"/>
        <d v="2022-04-11T12:19:22Z"/>
        <d v="2022-04-11T12:19:20Z"/>
        <d v="2022-04-11T12:19:18Z"/>
        <d v="2022-04-11T12:19:17Z"/>
        <d v="2022-04-11T12:19:15Z"/>
        <d v="2022-04-11T12:19:14Z"/>
        <d v="2022-04-11T12:19:13Z"/>
        <d v="2022-04-11T12:19:12Z"/>
        <d v="2022-04-11T12:19:11Z"/>
        <d v="2022-04-11T12:19:10Z"/>
        <d v="2022-04-11T12:19:09Z"/>
        <d v="2022-04-11T12:19:07Z"/>
        <d v="2022-04-11T12:19:06Z"/>
        <d v="2022-04-11T12:19:05Z"/>
        <d v="2022-04-11T12:19:04Z"/>
        <d v="2022-04-11T12:19:03Z"/>
        <d v="2022-04-11T12:19:02Z"/>
        <d v="2022-04-11T12:19:01Z"/>
        <d v="2022-04-11T12:18:59Z"/>
        <d v="2022-04-11T12:18:57Z"/>
        <d v="2022-04-11T12:18:54Z"/>
        <d v="2022-04-11T12:18:53Z"/>
        <d v="2022-04-11T12:18:52Z"/>
        <d v="2022-04-11T12:18:51Z"/>
        <d v="2022-04-11T12:18:49Z"/>
        <d v="2022-04-11T12:18:47Z"/>
        <d v="2022-04-11T12:18:46Z"/>
        <d v="2022-04-11T12:18:45Z"/>
        <d v="2022-04-11T12:18:44Z"/>
        <d v="2022-04-11T12:18:43Z"/>
        <d v="2022-04-11T12:18:42Z"/>
        <d v="2022-04-11T12:18:41Z"/>
        <d v="2022-04-11T12:18:40Z"/>
        <d v="2022-04-11T12:18:38Z"/>
        <d v="2022-04-11T12:18:37Z"/>
        <d v="2022-04-11T12:18:33Z"/>
        <d v="2022-04-11T12:18:31Z"/>
        <d v="2022-04-11T12:18:27Z"/>
        <d v="2022-04-11T12:18:23Z"/>
        <d v="2022-04-11T12:18:22Z"/>
        <d v="2022-04-11T12:18:20Z"/>
        <d v="2022-04-11T12:18:18Z"/>
        <d v="2022-04-11T12:18:09Z"/>
        <d v="2022-04-11T12:18:07Z"/>
        <d v="2022-04-11T12:18:06Z"/>
        <d v="2022-04-11T12:18:04Z"/>
        <d v="2022-04-11T12:18:03Z"/>
        <d v="2022-04-11T12:18:02Z"/>
        <d v="2022-04-11T12:18:00Z"/>
        <d v="2022-04-11T12:17:58Z"/>
        <d v="2022-04-11T12:17:57Z"/>
        <d v="2022-04-11T12:17:54Z"/>
        <d v="2022-04-11T12:17:52Z"/>
        <d v="2022-04-11T12:17:51Z"/>
        <d v="2022-04-11T12:17:49Z"/>
        <d v="2022-04-11T12:17:48Z"/>
        <d v="2022-04-11T12:17:46Z"/>
        <d v="2022-04-11T12:17:44Z"/>
        <d v="2022-04-11T12:17:41Z"/>
        <d v="2022-04-11T12:17:40Z"/>
        <d v="2022-04-11T12:17:39Z"/>
        <d v="2022-04-11T12:17:35Z"/>
        <d v="2022-04-11T12:17:32Z"/>
        <d v="2022-04-11T12:17:31Z"/>
        <d v="2022-04-11T12:17:27Z"/>
        <d v="2022-04-11T12:17:26Z"/>
        <d v="2022-04-11T12:17:24Z"/>
        <d v="2022-04-11T12:17:22Z"/>
        <d v="2022-04-11T12:17:20Z"/>
        <d v="2022-04-11T12:17:19Z"/>
        <d v="2022-04-11T12:17:18Z"/>
        <d v="2022-04-11T12:17:15Z"/>
        <d v="2022-04-11T12:17:11Z"/>
        <d v="2022-04-11T12:17:09Z"/>
        <d v="2022-04-11T12:17:05Z"/>
        <d v="2022-04-11T12:17:03Z"/>
        <d v="2022-04-11T12:17:00Z"/>
        <d v="2022-04-11T12:16:59Z"/>
        <d v="2022-04-11T12:16:58Z"/>
        <d v="2022-04-11T12:16:56Z"/>
        <d v="2022-04-11T12:16:54Z"/>
        <d v="2022-04-11T12:16:52Z"/>
        <d v="2022-04-11T12:16:48Z"/>
        <d v="2022-04-11T12:16:47Z"/>
        <d v="2022-04-11T12:16:44Z"/>
        <d v="2022-04-11T12:16:42Z"/>
        <d v="2022-04-11T12:16:40Z"/>
        <d v="2022-04-11T12:16:39Z"/>
        <d v="2022-04-11T12:16:36Z"/>
        <d v="2022-04-11T12:16:33Z"/>
        <d v="2022-04-11T12:16:27Z"/>
        <d v="2022-04-11T12:16:25Z"/>
        <d v="2022-04-11T12:16:24Z"/>
        <d v="2022-04-11T12:16:18Z"/>
        <d v="2022-04-11T12:16:17Z"/>
        <d v="2022-04-11T12:16:13Z"/>
        <d v="2022-04-11T12:16:11Z"/>
        <d v="2022-04-11T12:16:08Z"/>
        <d v="2022-04-11T12:16:07Z"/>
        <d v="2022-04-11T12:16:06Z"/>
        <d v="2022-04-11T12:16:04Z"/>
        <d v="2022-04-11T12:16:03Z"/>
        <d v="2022-04-11T12:16:01Z"/>
        <d v="2022-04-11T12:15:59Z"/>
        <d v="2022-04-11T12:15:57Z"/>
        <d v="2022-04-11T12:15:55Z"/>
        <d v="2022-04-11T12:15:33Z"/>
        <d v="2022-04-11T12:15:19Z"/>
        <d v="2022-04-11T12:15:17Z"/>
        <d v="2022-04-11T12:15:16Z"/>
        <d v="2022-04-11T12:15:15Z"/>
        <d v="2022-04-11T12:15:14Z"/>
        <d v="2022-04-11T12:15:13Z"/>
        <d v="2022-04-11T12:15:11Z"/>
        <d v="2022-04-11T12:15:08Z"/>
        <d v="2022-04-11T12:15:01Z"/>
        <d v="2022-04-11T12:15:00Z"/>
        <d v="2022-04-11T12:14:58Z"/>
        <d v="2022-04-11T12:14:47Z"/>
        <d v="2022-04-11T12:14:32Z"/>
        <d v="2022-04-11T12:13:45Z"/>
        <d v="2022-04-11T12:13:43Z"/>
        <d v="2022-04-11T12:13:37Z"/>
        <d v="2022-04-11T12:13:29Z"/>
        <d v="2022-04-11T12:13:27Z"/>
        <d v="2022-04-11T12:13:23Z"/>
        <d v="2022-04-11T12:13:18Z"/>
        <d v="2022-04-11T12:13:14Z"/>
        <d v="2022-04-11T12:13:03Z"/>
        <d v="2022-04-11T12:12:57Z"/>
        <d v="2022-04-11T12:12:54Z"/>
        <d v="2022-04-11T12:12:47Z"/>
        <d v="2022-04-11T12:12:07Z"/>
        <d v="2022-04-11T12:11:56Z"/>
        <d v="2022-04-11T12:11:40Z"/>
        <d v="2022-04-11T12:11:31Z"/>
        <d v="2022-04-11T12:11:19Z"/>
        <d v="2022-04-11T12:11:01Z"/>
        <d v="2022-04-11T12:10:57Z"/>
        <d v="2022-04-11T12:10:55Z"/>
        <d v="2022-04-11T12:10:53Z"/>
        <d v="2022-04-11T12:10:47Z"/>
        <d v="2022-04-11T12:10:22Z"/>
        <d v="2022-04-11T12:10:16Z"/>
        <d v="2022-04-11T12:10:14Z"/>
        <d v="2022-04-11T12:10:09Z"/>
        <d v="2022-04-11T12:10:04Z"/>
        <d v="2022-04-11T12:09:52Z"/>
        <d v="2022-04-11T12:09:45Z"/>
        <d v="2022-04-11T12:09:42Z"/>
        <d v="2022-04-11T12:09:36Z"/>
        <d v="2022-04-11T12:09:31Z"/>
        <d v="2022-04-11T12:09:26Z"/>
        <d v="2022-04-11T12:09:23Z"/>
        <d v="2022-04-11T12:09:18Z"/>
        <d v="2022-04-11T12:09:08Z"/>
        <d v="2022-04-11T12:09:06Z"/>
        <d v="2022-04-11T12:08:57Z"/>
        <d v="2022-04-11T12:08:52Z"/>
        <d v="2022-04-11T12:08:26Z"/>
        <d v="2022-04-11T12:07:57Z"/>
        <d v="2022-04-11T12:07:48Z"/>
        <d v="2022-04-11T12:07:45Z"/>
        <d v="2022-04-11T12:07:44Z"/>
        <d v="2022-04-11T12:07:35Z"/>
        <d v="2022-04-11T12:04:04Z"/>
        <d v="2022-04-11T12:03:46Z"/>
        <d v="2022-04-11T12:02:35Z"/>
        <d v="2022-04-11T11:59:30Z"/>
        <d v="2022-04-11T11:58:43Z"/>
        <d v="2022-04-11T11:58:09Z"/>
        <d v="2022-04-11T11:57:54Z"/>
        <d v="2022-04-11T11:57:49Z"/>
        <d v="2022-04-11T11:57:35Z"/>
        <d v="2022-04-11T11:57:32Z"/>
        <d v="2022-04-11T11:57:27Z"/>
        <d v="2022-04-11T11:57:12Z"/>
        <d v="2022-04-11T11:57:10Z"/>
        <d v="2022-04-11T11:56:51Z"/>
        <d v="2022-04-11T11:56:45Z"/>
        <d v="2022-04-11T11:56:44Z"/>
        <d v="2022-04-11T11:55:58Z"/>
        <d v="2022-04-11T11:55:51Z"/>
        <d v="2022-04-11T11:55:46Z"/>
        <d v="2022-04-11T11:55:42Z"/>
        <d v="2022-04-11T11:52:16Z"/>
        <d v="2022-04-11T11:46:21Z"/>
        <d v="2022-04-11T11:46:15Z"/>
        <d v="2022-04-11T11:45:29Z"/>
        <d v="2022-04-11T11:45:24Z"/>
        <d v="2022-04-11T11:45:01Z"/>
        <d v="2022-04-11T11:44:54Z"/>
        <d v="2022-04-11T11:44:51Z"/>
        <d v="2022-04-11T11:44:04Z"/>
        <d v="2022-04-11T11:44:02Z"/>
        <d v="2022-04-11T11:44:00Z"/>
        <d v="2022-04-11T11:43:54Z"/>
        <d v="2022-04-11T11:43:52Z"/>
        <d v="2022-04-11T11:43:39Z"/>
        <d v="2022-04-11T11:43:28Z"/>
        <d v="2022-04-11T11:41:59Z"/>
        <d v="2022-04-11T11:35:28Z"/>
        <d v="2022-04-11T11:32:16Z"/>
        <d v="2022-04-11T11:27:20Z"/>
        <d v="2022-04-11T11:26:46Z"/>
        <d v="2022-04-11T11:24:46Z"/>
        <d v="2022-04-11T11:24:43Z"/>
        <d v="2022-04-11T11:23:22Z"/>
        <d v="2022-04-11T11:21:35Z"/>
        <d v="2022-04-11T11:19:47Z"/>
        <d v="2022-04-11T11:19:38Z"/>
        <d v="2022-04-11T11:19:17Z"/>
        <d v="2022-04-11T11:18:46Z"/>
        <d v="2022-04-11T11:18:20Z"/>
        <d v="2022-04-11T11:18:14Z"/>
        <d v="2022-04-11T11:18:09Z"/>
        <d v="2022-04-11T11:16:22Z"/>
        <d v="2022-04-11T11:16:16Z"/>
        <d v="2022-04-11T11:16:15Z"/>
        <d v="2022-04-11T11:15:36Z"/>
        <d v="2022-04-11T11:15:20Z"/>
        <d v="2022-04-11T11:14:59Z"/>
        <d v="2022-04-11T11:14:57Z"/>
        <d v="2022-04-11T11:14:54Z"/>
        <d v="2022-04-11T11:14:44Z"/>
        <d v="2022-04-11T11:13:24Z"/>
        <d v="2022-04-11T11:13:18Z"/>
        <d v="2022-04-11T11:13:10Z"/>
        <d v="2022-04-11T11:11:40Z"/>
        <d v="2022-04-11T11:11:31Z"/>
        <d v="2022-04-11T11:11:29Z"/>
        <d v="2022-04-11T11:11:27Z"/>
        <d v="2022-04-11T11:11:25Z"/>
        <d v="2022-04-11T11:11:24Z"/>
        <d v="2022-04-11T11:11:22Z"/>
        <d v="2022-04-11T11:11:15Z"/>
        <d v="2022-04-11T11:11:12Z"/>
        <d v="2022-04-11T11:09:50Z"/>
        <d v="2022-04-11T11:09:37Z"/>
        <d v="2022-04-11T11:07:19Z"/>
        <d v="2022-04-11T11:06:31Z"/>
        <d v="2022-04-11T11:06:29Z"/>
        <d v="2022-04-11T11:06:28Z"/>
        <d v="2022-04-11T11:06:26Z"/>
        <d v="2022-04-11T11:06:24Z"/>
        <d v="2022-04-11T11:06:23Z"/>
        <d v="2022-04-11T11:06:20Z"/>
        <d v="2022-04-11T11:06:14Z"/>
        <d v="2022-04-11T11:04:55Z"/>
        <d v="2022-04-11T11:04:28Z"/>
        <d v="2022-04-11T11:03:17Z"/>
        <d v="2022-04-11T11:02:37Z"/>
        <d v="2022-04-11T11:00:27Z"/>
        <d v="2022-04-11T10:59:52Z"/>
        <d v="2022-04-11T10:59:35Z"/>
        <d v="2022-04-11T10:58:50Z"/>
        <d v="2022-04-11T10:58:06Z"/>
        <d v="2022-04-11T10:57:04Z"/>
        <d v="2022-04-11T10:53:53Z"/>
        <d v="2022-04-11T10:53:50Z"/>
        <d v="2022-04-11T10:53:44Z"/>
        <d v="2022-04-11T10:53:06Z"/>
        <d v="2022-04-11T10:53:01Z"/>
        <d v="2022-04-11T10:52:55Z"/>
        <d v="2022-04-11T10:52:39Z"/>
        <d v="2022-04-11T10:48:31Z"/>
        <d v="2022-04-11T10:38:50Z"/>
        <d v="2022-04-11T10:37:25Z"/>
        <d v="2022-04-11T10:36:06Z"/>
        <d v="2022-04-11T10:35:11Z"/>
        <d v="2022-04-11T10:34:56Z"/>
        <d v="2022-04-11T10:34:05Z"/>
        <d v="2022-04-11T10:33:36Z"/>
        <d v="2022-04-11T10:32:08Z"/>
        <d v="2022-04-11T10:31:53Z"/>
        <d v="2022-04-11T10:26:08Z"/>
        <d v="2022-04-11T10:26:06Z"/>
        <d v="2022-04-11T10:25:53Z"/>
        <d v="2022-04-11T10:25:12Z"/>
        <d v="2022-04-11T10:24:56Z"/>
        <d v="2022-04-11T10:23:46Z"/>
        <d v="2022-04-11T10:21:17Z"/>
        <d v="2022-04-11T10:20:51Z"/>
        <d v="2022-04-11T10:20:36Z"/>
        <d v="2022-04-11T10:20:35Z"/>
        <d v="2022-04-11T10:19:22Z"/>
        <d v="2022-04-11T10:19:18Z"/>
        <d v="2022-04-11T10:19:16Z"/>
        <d v="2022-04-11T10:19:07Z"/>
        <d v="2022-04-11T10:17:32Z"/>
        <d v="2022-04-11T10:16:36Z"/>
        <d v="2022-04-11T10:16:32Z"/>
        <d v="2022-04-11T10:16:21Z"/>
        <d v="2022-04-11T10:15:01Z"/>
        <d v="2022-04-11T10:13:35Z"/>
        <d v="2022-04-11T10:12:48Z"/>
        <d v="2022-04-11T10:12:45Z"/>
        <d v="2022-04-11T10:10:22Z"/>
        <d v="2022-04-11T10:09:10Z"/>
        <d v="2022-04-11T10:07:40Z"/>
        <d v="2022-04-11T10:06:39Z"/>
        <d v="2022-04-11T10:06:26Z"/>
        <d v="2022-04-11T10:06:04Z"/>
        <d v="2022-04-11T10:05:58Z"/>
        <d v="2022-04-11T10:05:40Z"/>
        <d v="2022-04-11T10:04:30Z"/>
        <d v="2022-04-11T10:04:12Z"/>
        <d v="2022-04-11T10:03:17Z"/>
        <d v="2022-04-11T10:01:35Z"/>
        <d v="2022-04-11T10:01:03Z"/>
        <d v="2022-04-11T09:59:56Z"/>
        <d v="2022-04-11T09:57:53Z"/>
        <d v="2022-04-11T09:57:21Z"/>
        <d v="2022-04-11T09:56:08Z"/>
        <d v="2022-04-11T09:56:06Z"/>
        <d v="2022-04-11T09:55:23Z"/>
        <d v="2022-04-11T09:55:10Z"/>
        <d v="2022-04-11T09:55:08Z"/>
        <d v="2022-04-11T09:54:53Z"/>
        <d v="2022-04-11T09:54:47Z"/>
        <d v="2022-04-11T09:53:46Z"/>
        <d v="2022-04-11T09:53:43Z"/>
        <d v="2022-04-11T09:53:40Z"/>
        <d v="2022-04-11T09:53:37Z"/>
        <d v="2022-04-11T09:53:35Z"/>
        <d v="2022-04-11T09:53:33Z"/>
        <d v="2022-04-11T09:53:31Z"/>
        <d v="2022-04-11T09:53:29Z"/>
        <d v="2022-04-11T09:53:00Z"/>
        <d v="2022-04-11T09:51:49Z"/>
        <d v="2022-04-11T09:51:29Z"/>
        <d v="2022-04-11T09:49:44Z"/>
        <d v="2022-04-11T09:49:38Z"/>
        <d v="2022-04-11T09:49:36Z"/>
        <d v="2022-04-11T09:49:03Z"/>
        <d v="2022-04-11T09:48:59Z"/>
        <d v="2022-04-11T09:48:57Z"/>
        <d v="2022-04-11T09:48:55Z"/>
        <d v="2022-04-11T09:48:54Z"/>
        <d v="2022-04-11T09:48:53Z"/>
        <d v="2022-04-11T09:48:51Z"/>
        <d v="2022-04-11T09:48:50Z"/>
        <d v="2022-04-11T09:48:49Z"/>
        <d v="2022-04-11T09:48:47Z"/>
        <d v="2022-04-11T09:48:46Z"/>
        <d v="2022-04-11T09:48:44Z"/>
        <d v="2022-04-11T09:48:43Z"/>
        <d v="2022-04-11T09:48:42Z"/>
        <d v="2022-04-11T09:48:41Z"/>
        <d v="2022-04-11T09:48:39Z"/>
        <d v="2022-04-11T09:48:38Z"/>
        <d v="2022-04-11T09:48:37Z"/>
        <d v="2022-04-11T09:48:36Z"/>
        <d v="2022-04-11T09:48:35Z"/>
        <d v="2022-04-11T09:48:33Z"/>
        <d v="2022-04-11T09:48:30Z"/>
        <d v="2022-04-11T09:48:23Z"/>
        <d v="2022-04-11T09:47:57Z"/>
        <d v="2022-04-11T09:47:44Z"/>
        <d v="2022-04-11T09:44:49Z"/>
        <d v="2022-04-11T09:44:25Z"/>
        <d v="2022-04-11T09:44:11Z"/>
        <d v="2022-04-11T09:44:00Z"/>
        <d v="2022-04-11T09:42:47Z"/>
        <d v="2022-04-11T09:41:51Z"/>
        <d v="2022-04-11T09:39:54Z"/>
        <d v="2022-04-11T09:39:52Z"/>
        <d v="2022-04-11T09:39:42Z"/>
        <d v="2022-04-11T09:39:39Z"/>
        <d v="2022-04-11T09:38:55Z"/>
        <d v="2022-04-11T09:38:42Z"/>
        <d v="2022-04-11T09:38:39Z"/>
        <d v="2022-04-11T09:38:33Z"/>
        <d v="2022-04-11T09:38:20Z"/>
        <d v="2022-04-11T09:38:08Z"/>
        <d v="2022-04-11T09:38:06Z"/>
        <d v="2022-04-11T09:38:03Z"/>
        <d v="2022-04-11T09:37:59Z"/>
        <d v="2022-04-11T09:37:51Z"/>
        <d v="2022-04-11T09:37:12Z"/>
        <d v="2022-04-11T09:36:48Z"/>
        <d v="2022-04-11T09:36:43Z"/>
        <d v="2022-04-11T09:36:18Z"/>
        <d v="2022-04-11T09:35:39Z"/>
        <d v="2022-04-11T09:35:33Z"/>
        <d v="2022-04-11T09:35:27Z"/>
        <d v="2022-04-11T09:35:18Z"/>
        <d v="2022-04-11T09:30:31Z"/>
        <d v="2022-04-11T09:30:16Z"/>
        <d v="2022-04-11T09:29:35Z"/>
        <d v="2022-04-11T09:29:15Z"/>
        <d v="2022-04-11T09:28:55Z"/>
        <d v="2022-04-11T09:26:54Z"/>
        <d v="2022-04-11T09:26:07Z"/>
        <d v="2022-04-11T09:26:05Z"/>
        <d v="2022-04-11T09:26:00Z"/>
        <d v="2022-04-11T09:25:43Z"/>
        <d v="2022-04-11T09:24:51Z"/>
        <d v="2022-04-11T09:24:49Z"/>
        <d v="2022-04-11T09:24:30Z"/>
        <d v="2022-04-11T09:24:23Z"/>
        <d v="2022-04-11T09:20:09Z"/>
        <d v="2022-04-11T09:20:05Z"/>
        <d v="2022-04-11T09:19:59Z"/>
        <d v="2022-04-11T09:19:16Z"/>
        <d v="2022-04-11T09:16:17Z"/>
        <d v="2022-04-11T09:16:04Z"/>
        <d v="2022-04-11T09:16:03Z"/>
        <d v="2022-04-11T09:16:00Z"/>
        <d v="2022-04-11T09:15:58Z"/>
        <d v="2022-04-11T09:15:46Z"/>
        <d v="2022-04-11T09:14:59Z"/>
        <d v="2022-04-11T09:11:25Z"/>
        <d v="2022-04-11T09:11:23Z"/>
        <d v="2022-04-11T09:09:47Z"/>
        <d v="2022-04-11T09:08:39Z"/>
        <d v="2022-04-11T09:08:23Z"/>
        <d v="2022-04-11T09:07:31Z"/>
        <d v="2022-04-11T09:07:25Z"/>
        <d v="2022-04-11T09:07:23Z"/>
        <d v="2022-04-11T09:07:22Z"/>
        <d v="2022-04-11T09:07:21Z"/>
        <d v="2022-04-11T09:07:12Z"/>
        <d v="2022-04-11T09:07:04Z"/>
        <d v="2022-04-11T09:06:03Z"/>
        <d v="2022-04-11T09:03:38Z"/>
        <d v="2022-04-11T09:03:35Z"/>
        <d v="2022-04-11T09:03:11Z"/>
        <d v="2022-04-11T09:03:06Z"/>
        <d v="2022-04-11T09:03:04Z"/>
        <d v="2022-04-11T09:03:02Z"/>
        <d v="2022-04-11T09:02:57Z"/>
        <d v="2022-04-11T09:02:33Z"/>
        <d v="2022-04-11T09:02:32Z"/>
        <d v="2022-04-11T09:02:26Z"/>
        <d v="2022-04-11T09:02:24Z"/>
        <d v="2022-04-11T09:02:20Z"/>
        <d v="2022-04-11T09:01:57Z"/>
        <d v="2022-04-11T09:00:44Z"/>
        <d v="2022-04-11T08:58:50Z"/>
        <d v="2022-04-11T08:58:34Z"/>
        <d v="2022-04-11T08:57:31Z"/>
        <d v="2022-04-11T08:57:24Z"/>
        <d v="2022-04-11T08:57:23Z"/>
        <d v="2022-04-11T08:57:21Z"/>
        <d v="2022-04-11T08:57:14Z"/>
        <d v="2022-04-11T08:53:40Z"/>
        <d v="2022-04-11T08:53:38Z"/>
        <d v="2022-04-11T08:52:43Z"/>
        <d v="2022-04-11T08:52:41Z"/>
        <d v="2022-04-11T08:52:39Z"/>
        <d v="2022-04-11T08:52:37Z"/>
        <d v="2022-04-11T08:52:18Z"/>
        <d v="2022-04-11T08:52:16Z"/>
        <d v="2022-04-11T08:51:28Z"/>
        <d v="2022-04-11T08:51:26Z"/>
        <d v="2022-04-11T08:51:17Z"/>
        <d v="2022-04-11T08:51:15Z"/>
        <d v="2022-04-11T08:50:20Z"/>
        <d v="2022-04-11T08:50:06Z"/>
        <d v="2022-04-11T08:48:44Z"/>
        <d v="2022-04-11T08:48:13Z"/>
        <d v="2022-04-11T08:31:54Z"/>
        <d v="2022-04-11T08:31:38Z"/>
        <d v="2022-04-11T08:25:23Z"/>
        <d v="2022-04-11T08:24:45Z"/>
        <d v="2022-04-11T08:24:10Z"/>
        <d v="2022-04-11T08:23:39Z"/>
        <d v="2022-04-11T08:18:43Z"/>
        <d v="2022-04-11T08:18:38Z"/>
        <d v="2022-04-11T08:15:24Z"/>
        <d v="2022-04-11T08:15:22Z"/>
        <d v="2022-04-11T08:15:12Z"/>
        <d v="2022-04-11T08:15:09Z"/>
        <d v="2022-04-11T08:15:07Z"/>
        <d v="2022-04-11T08:15:02Z"/>
        <d v="2022-04-11T08:14:44Z"/>
        <d v="2022-04-11T08:14:29Z"/>
        <d v="2022-04-11T08:13:12Z"/>
        <d v="2022-04-11T08:13:10Z"/>
        <d v="2022-04-11T08:13:08Z"/>
        <d v="2022-04-11T08:12:49Z"/>
        <d v="2022-04-11T08:12:44Z"/>
        <d v="2022-04-11T08:12:33Z"/>
        <d v="2022-04-11T08:11:31Z"/>
        <d v="2022-04-11T08:11:13Z"/>
        <d v="2022-04-11T08:10:29Z"/>
        <d v="2022-04-11T08:10:27Z"/>
        <d v="2022-04-11T08:10:22Z"/>
        <d v="2022-04-11T08:10:15Z"/>
        <d v="2022-04-11T08:10:11Z"/>
        <d v="2022-04-11T08:10:06Z"/>
        <d v="2022-04-11T07:53:01Z"/>
        <d v="2022-04-11T07:52:59Z"/>
        <d v="2022-04-11T07:52:57Z"/>
        <d v="2022-04-11T07:52:50Z"/>
        <d v="2022-04-11T07:50:50Z"/>
        <d v="2022-04-11T07:50:00Z"/>
        <d v="2022-04-11T07:48:27Z"/>
        <d v="2022-04-11T07:46:47Z"/>
        <d v="2022-04-11T07:41:28Z"/>
        <d v="2022-04-11T07:38:15Z"/>
        <d v="2022-04-11T07:38:03Z"/>
        <d v="2022-04-11T07:36:44Z"/>
        <d v="2022-04-11T07:36:39Z"/>
        <d v="2022-04-11T07:36:35Z"/>
        <d v="2022-04-11T07:22:35Z"/>
        <d v="2022-04-11T07:20:46Z"/>
        <d v="2022-04-11T06:52:02Z"/>
        <d v="2022-04-11T06:51:06Z"/>
        <d v="2022-04-11T06:43:50Z"/>
        <d v="2022-04-11T06:43:43Z"/>
        <d v="2022-04-11T06:41:44Z"/>
        <d v="2022-04-11T06:41:33Z"/>
        <d v="2022-04-11T06:40:17Z"/>
        <d v="2022-04-11T06:39:57Z"/>
        <d v="2022-04-11T06:19:22Z"/>
        <d v="2022-04-11T06:19:20Z"/>
        <d v="2022-04-11T06:19:11Z"/>
        <d v="2022-04-11T06:17:50Z"/>
        <d v="2022-04-11T06:09:54Z"/>
        <d v="2022-04-11T06:09:52Z"/>
        <d v="2022-04-11T06:09:48Z"/>
        <d v="2022-04-11T06:09:34Z"/>
        <d v="2022-04-11T06:05:04Z"/>
        <d v="2022-04-11T06:03:32Z"/>
        <d v="2022-04-11T06:02:06Z"/>
        <d v="2022-04-11T06:02:04Z"/>
        <d v="2022-04-11T06:02:01Z"/>
        <d v="2022-04-11T05:58:38Z"/>
        <d v="2022-04-11T05:54:06Z"/>
        <d v="2022-04-11T05:44:01Z"/>
        <d v="2022-04-11T05:43:59Z"/>
        <d v="2022-04-11T05:42:31Z"/>
        <d v="2022-04-11T05:42:26Z"/>
        <d v="2022-04-11T05:42:06Z"/>
        <d v="2022-04-11T05:38:35Z"/>
        <d v="2022-04-11T04:56:56Z"/>
        <d v="2022-04-11T04:56:54Z"/>
        <d v="2022-04-11T04:56:13Z"/>
        <d v="2022-04-11T04:56:09Z"/>
        <d v="2022-04-11T04:56:01Z"/>
        <d v="2022-04-11T04:55:35Z"/>
        <d v="2022-04-11T04:55:05Z"/>
        <d v="2022-04-11T04:54:48Z"/>
        <d v="2022-04-11T04:54:44Z"/>
        <d v="2022-04-11T04:54:12Z"/>
        <d v="2022-04-11T04:53:56Z"/>
        <d v="2022-04-11T04:42:05Z"/>
        <d v="2022-04-11T04:42:02Z"/>
        <d v="2022-04-11T02:51:27Z"/>
        <d v="2022-04-11T02:23:49Z"/>
        <d v="2022-04-11T01:26:25Z"/>
        <d v="2022-04-11T00:57:10Z"/>
        <d v="2022-04-11T00:45:31Z"/>
        <d v="2022-04-11T00:45:03Z"/>
        <d v="2022-04-11T00:43:19Z"/>
        <d v="2022-04-11T00:43:12Z"/>
        <d v="2022-04-11T00:22:36Z"/>
        <d v="2022-04-11T00:22:33Z"/>
        <d v="2022-04-11T00:22:31Z"/>
        <d v="2022-04-10T23:52:28Z"/>
        <d v="2022-04-10T23:52:17Z"/>
        <d v="2022-04-10T23:48:29Z"/>
        <d v="2022-04-10T23:44:32Z"/>
        <d v="2022-04-10T23:39:34Z"/>
        <d v="2022-04-10T23:37:17Z"/>
        <d v="2022-04-10T23:37:14Z"/>
        <d v="2022-04-10T23:37:12Z"/>
        <d v="2022-04-10T23:37:10Z"/>
        <d v="2022-04-10T23:37:04Z"/>
        <d v="2022-04-10T23:37:01Z"/>
        <d v="2022-04-10T23:36:54Z"/>
        <d v="2022-04-10T23:36:49Z"/>
        <d v="2022-04-10T23:33:38Z"/>
        <d v="2022-04-10T23:33:22Z"/>
        <d v="2022-04-10T23:26:57Z"/>
        <d v="2022-04-10T23:26:07Z"/>
        <d v="2022-04-10T23:26:05Z"/>
        <d v="2022-04-10T23:26:01Z"/>
        <d v="2022-04-10T23:25:59Z"/>
        <d v="2022-04-10T23:24:18Z"/>
        <d v="2022-04-10T23:24:16Z"/>
        <d v="2022-04-10T23:08:02Z"/>
        <d v="2022-04-10T23:07:53Z"/>
        <d v="2022-04-10T22:51:56Z"/>
        <d v="2022-04-10T22:47:15Z"/>
        <d v="2022-04-10T22:46:44Z"/>
        <d v="2022-04-10T22:45:35Z"/>
        <d v="2022-04-10T22:42:39Z"/>
        <d v="2022-04-10T22:31:45Z"/>
        <d v="2022-04-10T22:25:07Z"/>
        <d v="2022-04-10T22:17:46Z"/>
        <d v="2022-04-10T22:15:47Z"/>
        <d v="2022-04-10T22:05:46Z"/>
        <d v="2022-04-10T22:04:29Z"/>
        <d v="2022-04-10T22:04:01Z"/>
        <d v="2022-04-10T21:59:39Z"/>
        <d v="2022-04-10T21:59:15Z"/>
        <d v="2022-04-10T21:54:53Z"/>
        <d v="2022-04-10T21:52:44Z"/>
        <d v="2022-04-10T21:52:41Z"/>
        <d v="2022-04-10T21:48:58Z"/>
        <d v="2022-04-10T21:41:33Z"/>
        <d v="2022-04-10T21:41:31Z"/>
        <d v="2022-04-10T21:36:05Z"/>
        <d v="2022-04-10T21:33:16Z"/>
        <d v="2022-04-10T21:31:58Z"/>
        <d v="2022-04-10T21:30:49Z"/>
        <d v="2022-04-10T21:30:47Z"/>
        <d v="2022-04-10T21:30:42Z"/>
        <d v="2022-04-10T21:30:40Z"/>
        <d v="2022-04-10T21:30:32Z"/>
        <d v="2022-04-10T21:28:54Z"/>
        <d v="2022-04-10T21:28:32Z"/>
        <d v="2022-04-10T21:24:47Z"/>
        <d v="2022-04-10T21:24:39Z"/>
        <d v="2022-04-10T21:22:10Z"/>
        <d v="2022-04-10T21:22:04Z"/>
        <d v="2022-04-10T21:20:56Z"/>
        <d v="2022-04-10T21:20:37Z"/>
        <d v="2022-04-10T21:20:02Z"/>
        <d v="2022-04-10T21:14:15Z"/>
        <d v="2022-04-10T21:10:46Z"/>
        <d v="2022-04-10T21:09:18Z"/>
        <d v="2022-04-10T21:01:09Z"/>
        <d v="2022-04-10T21:01:05Z"/>
        <d v="2022-04-10T21:01:04Z"/>
        <d v="2022-04-10T21:01:02Z"/>
        <d v="2022-04-10T21:01:01Z"/>
        <d v="2022-04-10T21:01:00Z"/>
        <d v="2022-04-10T21:00:58Z"/>
        <d v="2022-04-10T21:00:56Z"/>
        <d v="2022-04-10T21:00:53Z"/>
        <d v="2022-04-10T21:00:13Z"/>
        <d v="2022-04-10T21:00:11Z"/>
        <d v="2022-04-10T21:00:03Z"/>
        <d v="2022-04-10T20:59:36Z"/>
        <d v="2022-04-10T20:55:36Z"/>
        <d v="2022-04-10T20:55:06Z"/>
        <d v="2022-04-10T20:55:03Z"/>
        <d v="2022-04-10T20:53:32Z"/>
        <d v="2022-04-10T20:48:22Z"/>
        <d v="2022-04-10T20:44:52Z"/>
        <d v="2022-04-10T20:44:19Z"/>
        <d v="2022-04-10T20:43:36Z"/>
        <d v="2022-04-10T20:43:21Z"/>
        <d v="2022-04-10T20:43:16Z"/>
        <d v="2022-04-10T20:43:13Z"/>
        <d v="2022-04-10T20:43:01Z"/>
        <d v="2022-04-10T20:41:33Z"/>
        <d v="2022-04-10T20:29:57Z"/>
        <d v="2022-04-10T20:23:10Z"/>
        <d v="2022-04-10T20:22:48Z"/>
        <d v="2022-04-10T20:20:14Z"/>
        <d v="2022-04-10T20:18:53Z"/>
        <d v="2022-04-10T20:18:35Z"/>
        <d v="2022-04-10T20:13:52Z"/>
        <d v="2022-04-10T20:12:38Z"/>
        <d v="2022-04-10T20:09:45Z"/>
        <d v="2022-04-10T20:09:43Z"/>
        <d v="2022-04-10T20:09:35Z"/>
        <d v="2022-04-10T20:08:40Z"/>
        <d v="2022-04-10T20:08:36Z"/>
        <d v="2022-04-10T20:08:25Z"/>
        <d v="2022-04-10T20:08:15Z"/>
        <d v="2022-04-10T20:07:13Z"/>
        <d v="2022-04-10T20:04:53Z"/>
        <d v="2022-04-10T20:04:44Z"/>
        <d v="2022-04-10T20:03:40Z"/>
        <d v="2022-04-10T19:58:40Z"/>
        <d v="2022-04-10T19:58:38Z"/>
        <d v="2022-04-10T19:58:16Z"/>
        <d v="2022-04-10T19:57:35Z"/>
        <d v="2022-04-10T19:56:50Z"/>
        <d v="2022-04-10T19:56:40Z"/>
        <d v="2022-04-10T19:56:37Z"/>
        <d v="2022-04-10T19:56:27Z"/>
        <d v="2022-04-10T19:53:30Z"/>
        <d v="2022-04-10T19:53:25Z"/>
        <d v="2022-04-10T19:53:07Z"/>
        <d v="2022-04-10T19:52:59Z"/>
        <d v="2022-04-10T19:52:47Z"/>
        <d v="2022-04-10T19:52:41Z"/>
        <d v="2022-04-10T19:52:37Z"/>
        <d v="2022-04-10T19:52:33Z"/>
        <d v="2022-04-10T19:52:28Z"/>
        <d v="2022-04-10T19:52:24Z"/>
        <d v="2022-04-10T19:52:12Z"/>
        <d v="2022-04-10T19:52:06Z"/>
        <d v="2022-04-10T19:51:59Z"/>
        <d v="2022-04-10T19:51:52Z"/>
        <d v="2022-04-10T19:51:48Z"/>
        <d v="2022-04-10T19:51:43Z"/>
        <d v="2022-04-10T19:51:11Z"/>
        <d v="2022-04-10T19:51:06Z"/>
        <d v="2022-04-10T19:51:02Z"/>
        <d v="2022-04-10T19:50:58Z"/>
        <d v="2022-04-10T19:50:55Z"/>
        <d v="2022-04-10T19:50:53Z"/>
        <d v="2022-04-10T19:50:33Z"/>
        <d v="2022-04-10T19:47:14Z"/>
        <d v="2022-04-10T19:47:04Z"/>
        <d v="2022-04-10T19:46:34Z"/>
        <d v="2022-04-10T19:46:32Z"/>
        <d v="2022-04-10T19:46:30Z"/>
        <d v="2022-04-10T19:46:29Z"/>
        <d v="2022-04-10T19:46:28Z"/>
        <d v="2022-04-10T19:46:27Z"/>
        <d v="2022-04-10T19:46:25Z"/>
        <d v="2022-04-10T19:46:24Z"/>
        <d v="2022-04-10T19:46:23Z"/>
        <d v="2022-04-10T19:46:22Z"/>
        <d v="2022-04-10T19:46:21Z"/>
        <d v="2022-04-10T19:46:18Z"/>
        <d v="2022-04-10T19:46:17Z"/>
        <d v="2022-04-10T19:46:15Z"/>
        <d v="2022-04-10T19:46:14Z"/>
        <d v="2022-04-10T19:46:12Z"/>
        <d v="2022-04-10T19:46:10Z"/>
        <d v="2022-04-10T19:46:09Z"/>
        <d v="2022-04-10T19:46:07Z"/>
        <d v="2022-04-10T19:46:04Z"/>
        <d v="2022-04-10T19:46:00Z"/>
        <d v="2022-04-10T19:45:58Z"/>
        <d v="2022-04-10T19:45:56Z"/>
        <d v="2022-04-10T19:45:54Z"/>
        <d v="2022-04-10T19:45:49Z"/>
        <d v="2022-04-10T19:45:46Z"/>
        <d v="2022-04-10T19:45:44Z"/>
        <d v="2022-04-10T19:44:38Z"/>
        <d v="2022-04-10T19:44:02Z"/>
        <d v="2022-04-10T19:44:00Z"/>
        <d v="2022-04-10T19:43:58Z"/>
        <d v="2022-04-10T19:43:56Z"/>
        <d v="2022-04-10T19:43:43Z"/>
        <d v="2022-04-10T19:43:36Z"/>
        <d v="2022-04-10T19:43:34Z"/>
        <d v="2022-04-10T19:43:32Z"/>
        <d v="2022-04-10T19:43:28Z"/>
        <d v="2022-04-10T19:43:26Z"/>
        <d v="2022-04-10T19:43:07Z"/>
        <d v="2022-04-10T19:43:05Z"/>
        <d v="2022-04-10T19:43:02Z"/>
        <d v="2022-04-10T19:42:54Z"/>
        <d v="2022-04-10T19:42:40Z"/>
        <d v="2022-04-10T19:38:35Z"/>
        <d v="2022-04-10T19:37:29Z"/>
        <d v="2022-04-10T19:36:21Z"/>
        <d v="2022-04-10T19:36:18Z"/>
        <d v="2022-04-10T19:34:23Z"/>
        <d v="2022-04-10T19:32:54Z"/>
        <d v="2022-04-10T19:32:48Z"/>
        <d v="2022-04-10T19:32:27Z"/>
        <d v="2022-04-10T19:32:22Z"/>
        <d v="2022-04-10T19:31:39Z"/>
        <d v="2022-04-10T19:31:30Z"/>
        <d v="2022-04-10T19:31:22Z"/>
        <d v="2022-04-10T19:31:20Z"/>
        <d v="2022-04-10T19:30:55Z"/>
        <d v="2022-04-10T19:29:28Z"/>
        <d v="2022-04-10T19:28:57Z"/>
        <d v="2022-04-10T19:28:38Z"/>
        <d v="2022-04-10T19:27:58Z"/>
        <d v="2022-04-10T19:27:53Z"/>
        <d v="2022-04-10T19:27:50Z"/>
        <d v="2022-04-10T19:27:49Z"/>
        <d v="2022-04-10T19:27:48Z"/>
        <d v="2022-04-10T19:27:47Z"/>
        <d v="2022-04-10T19:27:46Z"/>
        <d v="2022-04-10T19:27:45Z"/>
        <d v="2022-04-10T19:27:44Z"/>
        <d v="2022-04-10T19:27:42Z"/>
        <d v="2022-04-10T19:27:41Z"/>
        <d v="2022-04-10T19:27:39Z"/>
        <d v="2022-04-10T19:27:37Z"/>
        <d v="2022-04-10T19:27:36Z"/>
        <d v="2022-04-10T19:27:34Z"/>
        <d v="2022-04-10T19:27:29Z"/>
        <d v="2022-04-10T19:27:27Z"/>
        <d v="2022-04-10T19:27:26Z"/>
        <d v="2022-04-10T19:27:17Z"/>
        <d v="2022-04-10T19:27:02Z"/>
        <d v="2022-04-10T19:26:47Z"/>
        <d v="2022-04-10T19:26:43Z"/>
        <d v="2022-04-10T19:26:25Z"/>
        <d v="2022-04-10T19:26:17Z"/>
        <d v="2022-04-10T19:26:13Z"/>
        <d v="2022-04-10T19:26:08Z"/>
        <d v="2022-04-10T19:25:57Z"/>
        <d v="2022-04-10T19:25:10Z"/>
        <d v="2022-04-10T19:25:07Z"/>
        <d v="2022-04-10T19:25:03Z"/>
        <d v="2022-04-10T19:24:56Z"/>
        <d v="2022-04-10T19:24:48Z"/>
        <d v="2022-04-10T19:23:07Z"/>
        <d v="2022-04-10T19:21:25Z"/>
        <d v="2022-04-10T19:20:57Z"/>
        <d v="2022-04-10T19:18:46Z"/>
        <d v="2022-04-10T19:12:02Z"/>
        <d v="2022-04-10T19:11:14Z"/>
        <d v="2022-04-10T19:11:02Z"/>
        <d v="2022-04-10T19:09:21Z"/>
        <d v="2022-04-10T19:09:17Z"/>
        <d v="2022-04-10T19:09:15Z"/>
        <d v="2022-04-10T19:09:09Z"/>
        <d v="2022-04-10T19:03:21Z"/>
        <d v="2022-04-10T19:01:17Z"/>
        <d v="2022-04-10T18:55:53Z"/>
        <d v="2022-04-10T18:55:08Z"/>
        <d v="2022-04-10T18:54:46Z"/>
        <d v="2022-04-10T18:54:35Z"/>
        <d v="2022-04-10T18:53:58Z"/>
        <d v="2022-04-10T18:53:56Z"/>
        <d v="2022-04-10T18:53:50Z"/>
        <d v="2022-04-10T18:52:07Z"/>
        <d v="2022-04-10T18:51:59Z"/>
        <d v="2022-04-10T18:51:57Z"/>
        <d v="2022-04-10T18:51:47Z"/>
        <d v="2022-04-10T18:37:29Z"/>
        <d v="2022-04-10T18:37:09Z"/>
        <d v="2022-04-10T18:37:07Z"/>
        <d v="2022-04-10T18:36:24Z"/>
        <d v="2022-04-10T18:35:13Z"/>
        <d v="2022-04-10T18:35:08Z"/>
        <d v="2022-04-10T18:34:57Z"/>
        <d v="2022-04-10T18:28:23Z"/>
        <d v="2022-04-10T18:25:58Z"/>
        <d v="2022-04-10T18:20:02Z"/>
        <d v="2022-04-10T18:13:17Z"/>
        <d v="2022-04-10T18:11:10Z"/>
        <d v="2022-04-10T18:00:09Z"/>
        <d v="2022-04-10T17:58:56Z"/>
        <d v="2022-04-10T17:58:39Z"/>
        <d v="2022-04-10T17:48:53Z"/>
        <d v="2022-04-10T17:37:33Z"/>
        <d v="2022-04-10T17:36:28Z"/>
        <d v="2022-04-10T17:35:27Z"/>
        <d v="2022-04-10T17:35:03Z"/>
        <d v="2022-04-10T17:34:47Z"/>
        <d v="2022-04-10T17:34:43Z"/>
        <d v="2022-04-10T17:34:13Z"/>
        <d v="2022-04-10T17:22:58Z"/>
        <d v="2022-04-10T17:22:27Z"/>
        <d v="2022-04-10T17:11:32Z"/>
        <d v="2022-04-10T17:11:29Z"/>
        <d v="2022-04-10T17:11:27Z"/>
        <d v="2022-04-10T17:10:17Z"/>
        <d v="2022-04-10T17:08:44Z"/>
        <d v="2022-04-10T17:08:19Z"/>
        <d v="2022-04-10T17:07:54Z"/>
        <d v="2022-04-10T17:07:51Z"/>
        <d v="2022-04-10T17:05:24Z"/>
        <d v="2022-04-10T17:05:23Z"/>
        <d v="2022-04-10T17:05:21Z"/>
        <d v="2022-04-10T17:05:12Z"/>
        <d v="2022-04-10T17:04:12Z"/>
        <d v="2022-04-10T17:02:44Z"/>
        <d v="2022-04-10T17:02:42Z"/>
        <d v="2022-04-10T16:58:56Z"/>
        <d v="2022-04-10T16:58:51Z"/>
        <d v="2022-04-10T16:57:59Z"/>
        <d v="2022-04-10T16:57:55Z"/>
        <d v="2022-04-10T16:57:53Z"/>
        <d v="2022-04-10T16:56:28Z"/>
        <d v="2022-04-10T16:47:14Z"/>
        <d v="2022-04-10T16:45:08Z"/>
        <d v="2022-04-10T16:44:39Z"/>
        <d v="2022-04-10T16:44:31Z"/>
        <d v="2022-04-10T16:42:03Z"/>
        <d v="2022-04-10T16:42:00Z"/>
        <d v="2022-04-10T16:38:12Z"/>
        <d v="2022-04-10T16:36:31Z"/>
        <d v="2022-04-10T16:36:15Z"/>
        <d v="2022-04-10T16:34:20Z"/>
        <d v="2022-04-10T16:17:30Z"/>
        <d v="2022-04-10T16:15:54Z"/>
        <d v="2022-04-10T16:06:28Z"/>
        <d v="2022-04-10T15:49:23Z"/>
        <d v="2022-04-10T15:48:41Z"/>
        <d v="2022-04-10T15:48:38Z"/>
        <d v="2022-04-10T15:48:34Z"/>
        <d v="2022-04-10T15:48:27Z"/>
        <d v="2022-04-10T15:48:25Z"/>
        <d v="2022-04-10T15:48:22Z"/>
        <d v="2022-04-10T15:48:18Z"/>
        <d v="2022-04-10T15:48:13Z"/>
        <d v="2022-04-10T15:48:11Z"/>
        <d v="2022-04-10T15:48:08Z"/>
        <d v="2022-04-10T15:48:05Z"/>
        <d v="2022-04-10T15:47:58Z"/>
        <d v="2022-04-10T15:47:38Z"/>
        <d v="2022-04-10T15:47:33Z"/>
        <d v="2022-04-10T15:46:53Z"/>
        <d v="2022-04-10T15:42:56Z"/>
        <d v="2022-04-10T15:42:24Z"/>
        <d v="2022-04-10T15:42:16Z"/>
        <d v="2022-04-10T15:37:28Z"/>
        <d v="2022-04-10T15:36:35Z"/>
        <d v="2022-04-10T15:36:33Z"/>
        <d v="2022-04-10T15:36:31Z"/>
        <d v="2022-04-10T15:36:22Z"/>
        <d v="2022-04-10T15:36:21Z"/>
        <d v="2022-04-10T15:32:09Z"/>
        <d v="2022-04-10T15:31:39Z"/>
        <d v="2022-04-10T15:23:39Z"/>
        <d v="2022-04-10T15:23:37Z"/>
        <d v="2022-04-10T15:23:32Z"/>
        <d v="2022-04-10T15:23:27Z"/>
        <d v="2022-04-10T15:23:25Z"/>
        <d v="2022-04-10T15:23:21Z"/>
        <d v="2022-04-10T15:21:02Z"/>
        <d v="2022-04-10T15:20:12Z"/>
        <d v="2022-04-10T15:17:33Z"/>
        <d v="2022-04-10T15:17:28Z"/>
        <d v="2022-04-10T15:17:24Z"/>
        <d v="2022-04-10T15:14:49Z"/>
        <d v="2022-04-10T15:14:48Z"/>
        <d v="2022-04-10T15:08:48Z"/>
        <d v="2022-04-10T15:08:44Z"/>
        <d v="2022-04-10T15:06:06Z"/>
        <d v="2022-04-10T15:04:10Z"/>
        <d v="2022-04-10T15:02:16Z"/>
        <d v="2022-04-10T15:01:04Z"/>
        <d v="2022-04-10T15:00:00Z"/>
        <d v="2022-04-10T14:59:49Z"/>
        <d v="2022-04-10T14:59:11Z"/>
        <d v="2022-04-10T14:58:41Z"/>
        <d v="2022-04-10T14:56:49Z"/>
        <d v="2022-04-10T14:55:18Z"/>
        <d v="2022-04-10T14:54:15Z"/>
        <d v="2022-04-10T14:54:09Z"/>
        <d v="2022-04-10T14:50:12Z"/>
        <d v="2022-04-10T14:50:09Z"/>
        <d v="2022-04-10T14:49:56Z"/>
        <d v="2022-04-10T14:49:40Z"/>
        <d v="2022-04-10T14:43:06Z"/>
        <d v="2022-04-10T14:42:46Z"/>
        <d v="2022-04-10T14:41:46Z"/>
        <d v="2022-04-10T14:41:16Z"/>
        <d v="2022-04-10T14:30:43Z"/>
        <d v="2022-04-10T14:29:31Z"/>
        <d v="2022-04-10T14:29:05Z"/>
        <d v="2022-04-10T14:20:55Z"/>
        <d v="2022-04-10T14:20:45Z"/>
        <d v="2022-04-10T14:20:34Z"/>
        <d v="2022-04-10T14:20:27Z"/>
        <d v="2022-04-10T14:20:24Z"/>
        <d v="2022-04-10T14:19:47Z"/>
        <d v="2022-04-10T14:19:34Z"/>
        <d v="2022-04-10T14:19:32Z"/>
        <d v="2022-04-10T14:19:31Z"/>
        <d v="2022-04-10T14:19:30Z"/>
        <d v="2022-04-10T14:19:29Z"/>
        <d v="2022-04-10T14:19:27Z"/>
        <d v="2022-04-10T14:19:25Z"/>
        <d v="2022-04-10T14:19:24Z"/>
        <d v="2022-04-10T14:19:18Z"/>
        <d v="2022-04-10T14:19:14Z"/>
        <d v="2022-04-10T14:19:10Z"/>
        <d v="2022-04-10T14:19:07Z"/>
        <d v="2022-04-10T14:18:58Z"/>
        <d v="2022-04-10T14:18:46Z"/>
        <d v="2022-04-10T14:18:38Z"/>
        <d v="2022-04-10T14:11:25Z"/>
        <d v="2022-04-10T14:06:40Z"/>
        <d v="2022-04-10T13:57:16Z"/>
        <d v="2022-04-10T13:55:36Z"/>
        <d v="2022-04-10T13:50:25Z"/>
        <d v="2022-04-10T13:48:53Z"/>
        <d v="2022-04-10T13:47:52Z"/>
        <d v="2022-04-10T13:46:51Z"/>
        <d v="2022-04-10T13:46:47Z"/>
        <d v="2022-04-10T13:39:44Z"/>
        <d v="2022-04-10T13:39:29Z"/>
        <d v="2022-04-10T13:39:27Z"/>
        <d v="2022-04-10T13:39:26Z"/>
        <d v="2022-04-10T13:35:46Z"/>
        <d v="2022-04-10T13:35:35Z"/>
        <d v="2022-04-10T13:35:33Z"/>
        <d v="2022-04-10T13:32:59Z"/>
        <d v="2022-04-10T13:32:55Z"/>
        <d v="2022-04-10T13:32:46Z"/>
        <d v="2022-04-10T13:32:35Z"/>
        <d v="2022-04-10T13:31:48Z"/>
        <d v="2022-04-10T13:31:43Z"/>
        <d v="2022-04-10T13:31:21Z"/>
        <d v="2022-04-10T13:29:27Z"/>
        <d v="2022-04-10T13:29:20Z"/>
        <d v="2022-04-10T13:28:46Z"/>
        <d v="2022-04-10T13:28:36Z"/>
        <d v="2022-04-10T13:22:25Z"/>
        <d v="2022-04-10T13:06:57Z"/>
        <d v="2022-04-10T13:00:00Z"/>
        <d v="2022-04-10T12:59:36Z"/>
        <d v="2022-04-10T12:54:39Z"/>
        <d v="2022-04-10T12:52:54Z"/>
        <d v="2022-04-10T12:47:47Z"/>
        <d v="2022-04-10T12:47:42Z"/>
        <d v="2022-04-10T12:47:33Z"/>
        <d v="2022-04-10T12:47:26Z"/>
        <d v="2022-04-10T12:44:08Z"/>
        <d v="2022-04-10T12:42:20Z"/>
        <d v="2022-04-10T12:38:16Z"/>
        <d v="2022-04-10T12:18:52Z"/>
        <d v="2022-04-10T12:18:46Z"/>
        <d v="2022-04-10T12:18:11Z"/>
        <d v="2022-04-10T12:08:50Z"/>
        <d v="2022-04-10T12:08:38Z"/>
        <d v="2022-04-10T12:08:18Z"/>
        <d v="2022-04-10T12:08:10Z"/>
        <d v="2022-04-10T12:07:56Z"/>
        <d v="2022-04-10T12:06:32Z"/>
        <d v="2022-04-10T12:06:13Z"/>
        <d v="2022-04-10T12:05:20Z"/>
        <d v="2022-04-10T12:01:05Z"/>
        <d v="2022-04-10T11:56:55Z"/>
        <d v="2022-04-10T11:54:59Z"/>
        <d v="2022-04-10T11:45:59Z"/>
        <d v="2022-04-10T11:34:48Z"/>
        <d v="2022-04-10T11:34:44Z"/>
        <d v="2022-04-10T11:34:18Z"/>
        <d v="2022-04-10T11:32:34Z"/>
        <d v="2022-04-10T11:31:31Z"/>
        <d v="2022-04-10T11:30:42Z"/>
        <d v="2022-04-10T11:30:37Z"/>
        <d v="2022-04-10T11:30:33Z"/>
        <d v="2022-04-10T11:26:26Z"/>
        <d v="2022-04-10T11:24:11Z"/>
        <d v="2022-04-10T11:07:03Z"/>
        <d v="2022-04-10T11:03:08Z"/>
        <d v="2022-04-10T11:02:45Z"/>
        <d v="2022-04-10T10:59:27Z"/>
        <d v="2022-04-10T10:55:22Z"/>
        <d v="2022-04-10T10:52:39Z"/>
        <d v="2022-04-10T10:52:06Z"/>
        <d v="2022-04-10T10:52:00Z"/>
        <d v="2022-04-10T10:51:33Z"/>
        <d v="2022-04-10T10:45:46Z"/>
        <d v="2022-04-10T10:45:08Z"/>
        <d v="2022-04-10T10:42:08Z"/>
        <d v="2022-04-10T10:42:05Z"/>
        <d v="2022-04-10T10:41:49Z"/>
        <d v="2022-04-10T10:41:37Z"/>
        <d v="2022-04-10T10:41:13Z"/>
        <d v="2022-04-10T10:41:11Z"/>
        <d v="2022-04-10T10:41:08Z"/>
        <d v="2022-04-10T10:41:06Z"/>
        <d v="2022-04-10T10:41:02Z"/>
        <d v="2022-04-10T10:40:59Z"/>
        <d v="2022-04-10T10:40:56Z"/>
        <d v="2022-04-10T10:40:54Z"/>
        <d v="2022-04-10T10:40:52Z"/>
        <d v="2022-04-10T10:40:49Z"/>
        <d v="2022-04-10T10:40:46Z"/>
        <d v="2022-04-10T10:40:44Z"/>
        <d v="2022-04-10T10:40:41Z"/>
        <d v="2022-04-10T10:40:39Z"/>
        <d v="2022-04-10T10:40:36Z"/>
        <d v="2022-04-10T10:40:33Z"/>
        <d v="2022-04-10T10:40:24Z"/>
        <d v="2022-04-10T10:40:15Z"/>
        <d v="2022-04-10T10:40:13Z"/>
        <d v="2022-04-10T10:40:07Z"/>
        <d v="2022-04-10T10:40:03Z"/>
        <d v="2022-04-10T10:39:54Z"/>
        <d v="2022-04-10T10:39:53Z"/>
        <d v="2022-04-10T10:39:50Z"/>
        <d v="2022-04-10T10:39:45Z"/>
        <d v="2022-04-10T10:39:34Z"/>
        <d v="2022-04-10T10:39:32Z"/>
        <d v="2022-04-10T10:39:06Z"/>
        <d v="2022-04-10T10:38:49Z"/>
        <d v="2022-04-10T10:38:47Z"/>
        <d v="2022-04-10T10:38:38Z"/>
        <d v="2022-04-10T10:38:36Z"/>
        <d v="2022-04-10T10:38:25Z"/>
        <d v="2022-04-10T10:38:17Z"/>
        <d v="2022-04-10T10:38:16Z"/>
        <d v="2022-04-10T10:37:59Z"/>
        <d v="2022-04-10T10:37:29Z"/>
        <d v="2022-04-10T10:37:27Z"/>
        <d v="2022-04-10T10:37:24Z"/>
        <d v="2022-04-10T10:37:20Z"/>
        <d v="2022-04-10T10:37:17Z"/>
        <d v="2022-04-10T10:36:46Z"/>
        <d v="2022-04-10T10:36:39Z"/>
        <d v="2022-04-10T10:36:25Z"/>
        <d v="2022-04-10T10:36:21Z"/>
        <d v="2022-04-10T10:36:19Z"/>
        <d v="2022-04-10T10:34:53Z"/>
        <d v="2022-04-10T10:25:44Z"/>
        <d v="2022-04-10T10:16:49Z"/>
        <d v="2022-04-10T10:16:29Z"/>
        <d v="2022-04-10T10:16:00Z"/>
        <d v="2022-04-10T10:15:10Z"/>
        <d v="2022-04-10T10:15:03Z"/>
        <d v="2022-04-10T10:14:04Z"/>
        <d v="2022-04-10T10:14:02Z"/>
        <d v="2022-04-10T10:10:41Z"/>
        <d v="2022-04-10T10:05:18Z"/>
        <d v="2022-04-10T10:04:27Z"/>
        <d v="2022-04-10T10:02:37Z"/>
        <d v="2022-04-10T10:02:10Z"/>
        <d v="2022-04-10T09:53:20Z"/>
        <d v="2022-04-10T09:52:46Z"/>
        <d v="2022-04-10T09:52:28Z"/>
        <d v="2022-04-10T09:51:37Z"/>
        <d v="2022-04-10T09:50:35Z"/>
        <d v="2022-04-10T09:50:32Z"/>
        <d v="2022-04-10T09:45:21Z"/>
        <d v="2022-04-10T09:43:56Z"/>
        <d v="2022-04-10T09:43:12Z"/>
        <d v="2022-04-10T09:43:08Z"/>
        <d v="2022-04-10T09:43:06Z"/>
        <d v="2022-04-10T09:42:43Z"/>
        <d v="2022-04-10T09:42:41Z"/>
        <d v="2022-04-10T09:42:39Z"/>
        <d v="2022-04-10T09:42:36Z"/>
        <d v="2022-04-10T09:42:34Z"/>
        <d v="2022-04-10T09:42:32Z"/>
        <d v="2022-04-10T09:39:03Z"/>
        <d v="2022-04-10T09:39:01Z"/>
        <d v="2022-04-10T09:38:55Z"/>
        <d v="2022-04-10T09:38:51Z"/>
        <d v="2022-04-10T09:38:49Z"/>
        <d v="2022-04-10T09:38:48Z"/>
        <d v="2022-04-10T09:38:46Z"/>
        <d v="2022-04-10T09:38:44Z"/>
        <d v="2022-04-10T09:38:35Z"/>
        <d v="2022-04-10T09:38:19Z"/>
        <d v="2022-04-10T09:37:15Z"/>
        <d v="2022-04-10T09:33:06Z"/>
        <d v="2022-04-10T09:30:15Z"/>
        <d v="2022-04-10T09:28:28Z"/>
        <d v="2022-04-10T09:27:02Z"/>
        <d v="2022-04-10T09:26:30Z"/>
        <d v="2022-04-10T09:25:31Z"/>
        <d v="2022-04-10T09:21:55Z"/>
        <d v="2022-04-10T09:20:24Z"/>
        <d v="2022-04-10T09:17:43Z"/>
        <d v="2022-04-10T09:17:42Z"/>
        <d v="2022-04-10T09:17:41Z"/>
        <d v="2022-04-10T09:17:33Z"/>
        <d v="2022-04-10T09:17:28Z"/>
        <d v="2022-04-10T09:15:18Z"/>
        <d v="2022-04-10T09:15:01Z"/>
        <d v="2022-04-10T09:14:58Z"/>
        <d v="2022-04-10T09:14:25Z"/>
        <d v="2022-04-10T09:11:45Z"/>
        <d v="2022-04-10T09:11:04Z"/>
        <d v="2022-04-10T09:10:57Z"/>
        <d v="2022-04-10T09:10:54Z"/>
        <d v="2022-04-10T09:02:23Z"/>
        <d v="2022-04-10T09:01:17Z"/>
        <d v="2022-04-10T09:00:23Z"/>
        <d v="2022-04-10T09:00:18Z"/>
        <d v="2022-04-10T09:00:14Z"/>
        <d v="2022-04-10T09:00:10Z"/>
        <d v="2022-04-10T08:58:37Z"/>
        <d v="2022-04-10T08:58:34Z"/>
        <d v="2022-04-10T08:58:29Z"/>
        <d v="2022-04-10T08:41:01Z"/>
        <d v="2022-04-10T08:38:38Z"/>
        <d v="2022-04-10T08:20:50Z"/>
        <d v="2022-04-10T07:39:10Z"/>
        <d v="2022-04-10T05:37:42Z"/>
        <d v="2022-04-10T05:14:57Z"/>
        <d v="2022-04-10T03:56:12Z"/>
        <d v="2022-04-10T03:55:37Z"/>
        <d v="2022-04-10T01:12:07Z"/>
        <d v="2022-04-10T00:56:41Z"/>
        <d v="2022-04-10T00:50:20Z"/>
        <d v="2022-04-10T00:30:48Z"/>
        <d v="2022-04-10T00:16:54Z"/>
        <d v="2022-04-10T00:03:48Z"/>
        <d v="2022-04-09T23:47:43Z"/>
        <d v="2022-04-09T23:39:57Z"/>
        <d v="2022-04-09T23:22:42Z"/>
        <d v="2022-04-09T22:41:01Z"/>
        <d v="2022-04-09T21:31:02Z"/>
        <d v="2022-04-09T21:19:31Z"/>
        <d v="2022-04-09T21:18:53Z"/>
        <d v="2022-04-09T21:03:35Z"/>
        <d v="2022-04-09T20:44:47Z"/>
        <d v="2022-04-09T20:33:31Z"/>
        <d v="2022-04-09T19:43:52Z"/>
        <d v="2022-04-09T19:10:31Z"/>
        <d v="2022-04-09T19:00:19Z"/>
        <d v="2022-04-09T18:30:55Z"/>
        <d v="2022-04-09T18:29:55Z"/>
        <d v="2022-04-09T18:23:37Z"/>
        <d v="2022-04-09T18:10:41Z"/>
        <d v="2022-04-09T18:10:39Z"/>
        <d v="2022-04-09T17:52:08Z"/>
        <d v="2022-04-09T17:37:02Z"/>
        <d v="2022-04-09T17:04:47Z"/>
        <d v="2022-04-09T17:00:58Z"/>
        <d v="2022-04-09T16:55:10Z"/>
        <d v="2022-04-09T16:51:04Z"/>
        <d v="2022-04-09T16:15:29Z"/>
        <d v="2022-04-09T15:55:02Z"/>
        <d v="2022-04-09T15:52:24Z"/>
        <d v="2022-04-09T15:50:59Z"/>
        <d v="2022-04-09T15:29:43Z"/>
        <d v="2022-04-09T15:29:13Z"/>
        <d v="2022-04-09T15:01:08Z"/>
        <d v="2022-04-09T14:49:20Z"/>
        <d v="2022-04-09T14:49:15Z"/>
        <d v="2022-04-09T14:49:08Z"/>
        <d v="2022-04-09T14:08:34Z"/>
        <d v="2022-04-09T14:05:46Z"/>
        <d v="2022-04-09T14:05:10Z"/>
        <d v="2022-04-09T13:38:10Z"/>
        <d v="2022-04-09T13:37:58Z"/>
        <d v="2022-04-09T13:37:54Z"/>
        <d v="2022-04-09T13:37:40Z"/>
        <d v="2022-04-09T13:37:04Z"/>
        <d v="2022-04-09T13:05:53Z"/>
        <d v="2022-04-09T12:43:52Z"/>
        <d v="2022-04-09T12:37:00Z"/>
        <d v="2022-04-09T12:24:38Z"/>
        <d v="2022-04-09T12:24:05Z"/>
        <d v="2022-04-09T12:24:03Z"/>
        <d v="2022-04-09T12:23:59Z"/>
        <d v="2022-04-09T12:23:56Z"/>
        <d v="2022-04-09T12:23:55Z"/>
        <d v="2022-04-09T11:51:33Z"/>
        <d v="2022-04-09T11:34:11Z"/>
        <d v="2022-04-09T11:24:17Z"/>
        <d v="2022-04-09T11:16:28Z"/>
        <d v="2022-04-09T11:15:34Z"/>
        <d v="2022-04-09T11:14:49Z"/>
        <d v="2022-04-09T11:14:14Z"/>
        <d v="2022-04-09T11:12:05Z"/>
        <d v="2022-04-09T11:09:42Z"/>
        <d v="2022-04-09T11:08:51Z"/>
        <d v="2022-04-09T11:05:22Z"/>
        <d v="2022-04-09T10:58:52Z"/>
        <d v="2022-04-09T10:45:01Z"/>
        <d v="2022-04-09T10:17:38Z"/>
        <d v="2022-04-09T10:13:22Z"/>
        <d v="2022-04-09T10:02:41Z"/>
        <d v="2022-04-09T09:54:12Z"/>
        <d v="2022-04-09T09:50:39Z"/>
        <d v="2022-04-09T09:40:01Z"/>
        <d v="2022-04-09T09:25:38Z"/>
        <d v="2022-04-09T08:26:08Z"/>
        <d v="2022-04-09T07:34:48Z"/>
        <d v="2022-04-09T07:30:10Z"/>
        <d v="2022-04-09T06:26:58Z"/>
        <d v="2022-04-09T06:23:42Z"/>
        <d v="2022-04-09T06:22:02Z"/>
        <d v="2022-04-09T06:20:29Z"/>
        <d v="2022-04-09T06:17:41Z"/>
        <d v="2022-04-09T06:13:44Z"/>
        <d v="2022-04-09T06:11:32Z"/>
        <d v="2022-04-09T06:11:27Z"/>
        <d v="2022-04-09T06:03:49Z"/>
        <d v="2022-04-09T05:58:22Z"/>
        <d v="2022-04-09T05:53:21Z"/>
        <d v="2022-04-09T05:48:09Z"/>
        <d v="2022-04-09T05:43:26Z"/>
        <d v="2022-04-09T05:39:17Z"/>
        <d v="2022-04-09T05:39:13Z"/>
        <d v="2022-04-09T05:36:40Z"/>
        <d v="2022-04-09T05:36:35Z"/>
        <d v="2022-04-09T05:32:48Z"/>
        <d v="2022-04-09T05:32:42Z"/>
        <d v="2022-04-09T05:28:08Z"/>
        <d v="2022-04-09T05:28:04Z"/>
        <d v="2022-04-09T05:07:49Z"/>
        <d v="2022-04-09T03:06:41Z"/>
        <d v="2022-04-09T02:28:56Z"/>
        <d v="2022-04-08T23:58:57Z"/>
        <d v="2022-04-08T23:57:11Z"/>
        <d v="2022-04-08T22:51:41Z"/>
        <d v="2022-04-08T22:51:38Z"/>
        <d v="2022-04-08T22:15:43Z"/>
        <d v="2022-04-08T21:47:29Z"/>
        <d v="2022-04-08T20:11:35Z"/>
        <d v="2022-04-08T19:35:10Z"/>
        <d v="2022-04-08T19:21:24Z"/>
        <d v="2022-04-08T19:21:19Z"/>
        <d v="2022-04-08T17:18:32Z"/>
        <d v="2022-04-08T16:51:27Z"/>
        <d v="2022-04-08T16:38:41Z"/>
        <d v="2022-04-08T16:15:46Z"/>
        <d v="2022-04-08T16:01:42Z"/>
        <d v="2022-04-08T16:01:14Z"/>
        <d v="2022-04-08T15:45:28Z"/>
        <d v="2022-04-08T15:44:18Z"/>
        <d v="2022-04-08T15:43:39Z"/>
        <d v="2022-04-08T15:36:23Z"/>
        <d v="2022-04-08T15:36:13Z"/>
        <d v="2022-04-08T15:29:42Z"/>
        <d v="2022-04-08T15:29:14Z"/>
        <d v="2022-04-08T15:28:19Z"/>
        <d v="2022-04-08T15:23:31Z"/>
        <d v="2022-04-08T15:22:06Z"/>
        <d v="2022-04-08T15:22:03Z"/>
        <d v="2022-04-08T15:21:50Z"/>
        <d v="2022-04-08T15:21:49Z"/>
        <d v="2022-04-08T15:17:23Z"/>
        <d v="2022-04-08T15:11:40Z"/>
        <d v="2022-04-08T15:01:40Z"/>
        <d v="2022-04-08T14:54:09Z"/>
        <d v="2022-04-08T14:54:03Z"/>
        <d v="2022-04-08T14:43:20Z"/>
        <d v="2022-04-08T14:35:28Z"/>
        <d v="2022-04-08T14:29:23Z"/>
        <d v="2022-04-08T14:29:16Z"/>
        <d v="2022-04-08T14:22:51Z"/>
        <d v="2022-04-08T14:19:25Z"/>
        <d v="2022-04-08T14:13:07Z"/>
        <d v="2022-04-08T14:07:07Z"/>
        <d v="2022-04-08T13:53:58Z"/>
        <d v="2022-04-08T13:53:49Z"/>
        <d v="2022-04-08T13:53:37Z"/>
        <d v="2022-04-08T13:36:00Z"/>
        <d v="2022-04-08T13:16:13Z"/>
        <d v="2022-04-08T13:15:59Z"/>
        <d v="2022-04-08T13:14:40Z"/>
        <d v="2022-04-08T13:14:23Z"/>
        <d v="2022-04-08T13:10:30Z"/>
        <d v="2022-04-08T13:10:23Z"/>
        <d v="2022-04-08T13:06:30Z"/>
        <d v="2022-04-08T13:06:10Z"/>
        <d v="2022-04-08T13:06:03Z"/>
        <d v="2022-04-08T13:05:53Z"/>
        <d v="2022-04-08T12:45:13Z"/>
        <d v="2022-04-08T12:45:11Z"/>
        <d v="2022-04-08T12:45:04Z"/>
        <d v="2022-04-08T12:45:02Z"/>
        <d v="2022-04-08T12:45:00Z"/>
        <d v="2022-04-08T12:44:52Z"/>
        <d v="2022-04-08T12:44:50Z"/>
        <d v="2022-04-08T12:41:06Z"/>
        <d v="2022-04-08T12:40:57Z"/>
        <d v="2022-04-08T12:40:40Z"/>
        <d v="2022-04-08T12:31:59Z"/>
        <d v="2022-04-08T11:59:58Z"/>
        <d v="2022-04-08T11:49:31Z"/>
        <d v="2022-04-08T11:49:20Z"/>
        <d v="2022-04-08T11:43:57Z"/>
        <d v="2022-04-08T11:35:48Z"/>
        <d v="2022-04-08T11:31:45Z"/>
        <d v="2022-04-08T11:29:42Z"/>
        <d v="2022-04-08T11:28:31Z"/>
        <d v="2022-04-08T11:27:59Z"/>
        <d v="2022-04-08T11:27:49Z"/>
        <d v="2022-04-08T11:10:04Z"/>
        <d v="2022-04-08T11:10:02Z"/>
        <d v="2022-04-08T10:56:23Z"/>
        <d v="2022-04-08T10:43:42Z"/>
        <d v="2022-04-08T10:25:08Z"/>
        <d v="2022-04-08T10:21:02Z"/>
        <d v="2022-04-08T10:20:31Z"/>
        <d v="2022-04-08T10:20:21Z"/>
        <d v="2022-04-08T10:05:38Z"/>
        <d v="2022-04-08T09:28:40Z"/>
        <d v="2022-04-08T09:28:35Z"/>
        <d v="2022-04-08T09:28:21Z"/>
        <d v="2022-04-08T09:28:10Z"/>
        <d v="2022-04-08T09:17:37Z"/>
        <d v="2022-04-08T09:13:32Z"/>
        <d v="2022-04-08T09:11:09Z"/>
        <d v="2022-04-08T07:12:42Z"/>
        <d v="2022-04-08T06:59:01Z"/>
        <d v="2022-04-08T06:56:15Z"/>
        <d v="2022-04-08T06:51:21Z"/>
        <d v="2022-04-08T06:43:58Z"/>
        <d v="2022-04-08T06:43:53Z"/>
        <d v="2022-04-08T06:41:33Z"/>
        <d v="2022-04-08T06:35:41Z"/>
        <d v="2022-04-08T06:35:36Z"/>
        <d v="2022-04-08T06:25:15Z"/>
        <d v="2022-04-08T06:16:10Z"/>
        <d v="2022-04-08T06:15:28Z"/>
        <d v="2022-04-08T06:15:20Z"/>
        <d v="2022-04-08T06:04:40Z"/>
        <d v="2022-04-08T06:00:42Z"/>
        <d v="2022-04-08T04:54:44Z"/>
        <d v="2022-04-08T03:06:21Z"/>
        <d v="2022-04-07T22:08:16Z"/>
        <d v="2022-04-07T21:55:04Z"/>
        <d v="2022-04-07T20:26:49Z"/>
        <d v="2022-04-07T20:13:12Z"/>
        <d v="2022-04-07T20:13:09Z"/>
        <d v="2022-04-07T19:37:56Z"/>
        <d v="2022-04-07T19:30:09Z"/>
        <d v="2022-04-07T19:30:06Z"/>
        <d v="2022-04-07T19:17:31Z"/>
        <d v="2022-04-07T19:08:27Z"/>
        <d v="2022-04-07T19:08:25Z"/>
        <d v="2022-04-07T19:05:14Z"/>
        <d v="2022-04-07T19:05:11Z"/>
        <d v="2022-04-07T18:54:46Z"/>
        <d v="2022-04-07T17:49:16Z"/>
        <d v="2022-04-07T17:38:07Z"/>
        <d v="2022-04-07T17:32:34Z"/>
        <d v="2022-04-07T17:24:14Z"/>
        <d v="2022-04-07T16:51:15Z"/>
        <d v="2022-04-07T16:51:13Z"/>
        <d v="2022-04-07T16:49:15Z"/>
        <d v="2022-04-07T16:36:26Z"/>
        <d v="2022-04-07T16:36:24Z"/>
        <d v="2022-04-07T16:24:31Z"/>
        <d v="2022-04-07T16:23:50Z"/>
        <d v="2022-04-07T15:52:54Z"/>
        <d v="2022-04-07T15:50:32Z"/>
        <d v="2022-04-07T15:50:29Z"/>
        <d v="2022-04-07T15:44:54Z"/>
        <d v="2022-04-07T15:42:20Z"/>
        <d v="2022-04-07T15:42:17Z"/>
        <d v="2022-04-07T15:40:58Z"/>
        <d v="2022-04-07T15:40:56Z"/>
        <d v="2022-04-07T15:02:31Z"/>
        <d v="2022-04-07T14:58:46Z"/>
        <d v="2022-04-07T14:52:25Z"/>
        <d v="2022-04-07T14:52:14Z"/>
        <d v="2022-04-07T14:42:40Z"/>
        <d v="2022-04-07T14:39:35Z"/>
        <d v="2022-04-07T14:39:17Z"/>
        <d v="2022-04-07T14:34:15Z"/>
        <d v="2022-04-07T14:34:07Z"/>
        <d v="2022-04-07T14:31:51Z"/>
        <d v="2022-04-07T14:13:15Z"/>
        <d v="2022-04-07T14:12:25Z"/>
        <d v="2022-04-07T14:12:22Z"/>
        <d v="2022-04-07T13:08:16Z"/>
        <d v="2022-04-07T12:39:19Z"/>
        <d v="2022-04-07T12:01:40Z"/>
        <d v="2022-04-07T10:58:11Z"/>
        <d v="2022-04-07T10:50:04Z"/>
        <d v="2022-04-07T10:40:58Z"/>
        <d v="2022-04-07T10:36:44Z"/>
        <d v="2022-04-07T10:36:15Z"/>
        <d v="2022-04-07T10:36:13Z"/>
        <d v="2022-04-07T10:35:54Z"/>
        <d v="2022-04-07T10:35:52Z"/>
        <d v="2022-04-07T10:35:49Z"/>
        <d v="2022-04-07T10:35:47Z"/>
        <d v="2022-04-07T10:35:41Z"/>
        <d v="2022-04-07T10:35:39Z"/>
        <d v="2022-04-07T10:34:58Z"/>
        <d v="2022-04-07T10:06:40Z"/>
        <d v="2022-04-07T10:00:35Z"/>
        <d v="2022-04-07T09:45:57Z"/>
        <d v="2022-04-07T09:43:57Z"/>
        <d v="2022-04-07T09:41:48Z"/>
        <d v="2022-04-07T09:11:38Z"/>
        <d v="2022-04-07T08:55:28Z"/>
        <d v="2022-04-07T08:46:43Z"/>
        <d v="2022-04-07T08:42:41Z"/>
        <d v="2022-04-07T08:40:40Z"/>
        <d v="2022-04-07T08:39:39Z"/>
        <d v="2022-04-07T08:38:46Z"/>
        <d v="2022-04-07T08:38:41Z"/>
        <d v="2022-04-07T08:30:42Z"/>
        <d v="2022-04-07T08:30:09Z"/>
        <d v="2022-04-07T08:30:03Z"/>
        <d v="2022-04-07T08:27:52Z"/>
        <d v="2022-04-07T08:27:44Z"/>
        <d v="2022-04-07T08:27:02Z"/>
        <d v="2022-04-07T08:26:57Z"/>
        <d v="2022-04-07T08:26:51Z"/>
        <d v="2022-04-07T08:25:27Z"/>
        <d v="2022-04-07T08:24:37Z"/>
        <d v="2022-04-07T08:24:34Z"/>
        <d v="2022-04-07T07:54:48Z"/>
        <d v="2022-04-07T06:44:49Z"/>
        <d v="2022-04-07T06:44:29Z"/>
        <d v="2022-04-07T06:44:09Z"/>
        <d v="2022-04-07T06:43:49Z"/>
        <d v="2022-04-07T06:43:29Z"/>
        <d v="2022-04-07T06:43:09Z"/>
        <d v="2022-04-07T06:42:49Z"/>
        <d v="2022-04-07T06:42:30Z"/>
        <d v="2022-04-07T06:42:09Z"/>
        <d v="2022-04-07T06:41:49Z"/>
        <d v="2022-04-07T06:41:29Z"/>
        <d v="2022-04-07T06:41:09Z"/>
        <d v="2022-04-07T06:40:39Z"/>
        <d v="2022-04-07T06:40:19Z"/>
        <d v="2022-04-07T06:39:59Z"/>
        <d v="2022-04-07T06:39:40Z"/>
        <d v="2022-04-07T06:39:19Z"/>
        <d v="2022-04-07T06:38:59Z"/>
        <d v="2022-04-07T06:38:39Z"/>
        <d v="2022-04-07T06:38:19Z"/>
        <d v="2022-04-07T06:37:49Z"/>
        <d v="2022-04-07T06:37:29Z"/>
        <d v="2022-04-07T06:37:09Z"/>
        <d v="2022-04-07T06:36:49Z"/>
        <d v="2022-04-07T06:36:29Z"/>
        <d v="2022-04-07T06:36:09Z"/>
        <d v="2022-04-07T06:35:49Z"/>
        <d v="2022-04-07T06:35:29Z"/>
        <d v="2022-04-07T06:35:09Z"/>
        <d v="2022-04-07T06:34:09Z"/>
        <d v="2022-04-07T06:33:49Z"/>
        <d v="2022-04-07T06:33:29Z"/>
        <d v="2022-04-07T06:33:09Z"/>
        <d v="2022-04-07T06:32:49Z"/>
        <d v="2022-04-07T06:32:29Z"/>
        <d v="2022-04-07T06:32:09Z"/>
        <d v="2022-04-07T06:31:49Z"/>
        <d v="2022-04-07T06:31:29Z"/>
        <d v="2022-04-07T06:31:09Z"/>
        <d v="2022-04-07T06:30:50Z"/>
        <d v="2022-04-07T06:30:30Z"/>
        <d v="2022-04-07T06:30:12Z"/>
        <d v="2022-04-07T06:29:50Z"/>
        <d v="2022-04-07T06:29:36Z"/>
        <d v="2022-04-07T06:29:23Z"/>
        <d v="2022-04-07T06:29:02Z"/>
        <d v="2022-04-07T06:28:38Z"/>
        <d v="2022-04-07T06:28:36Z"/>
        <d v="2022-04-07T06:28:33Z"/>
        <d v="2022-04-07T06:28:31Z"/>
        <d v="2022-04-07T06:28:29Z"/>
        <d v="2022-04-07T06:28:25Z"/>
        <d v="2022-04-07T06:28:22Z"/>
        <d v="2022-04-07T06:28:19Z"/>
        <d v="2022-04-07T06:28:13Z"/>
        <d v="2022-04-07T06:28:10Z"/>
        <d v="2022-04-07T06:28:08Z"/>
        <d v="2022-04-07T06:28:05Z"/>
        <d v="2022-04-07T06:28:03Z"/>
        <d v="2022-04-07T06:28:00Z"/>
        <d v="2022-04-07T06:27:58Z"/>
        <d v="2022-04-07T06:27:56Z"/>
        <d v="2022-04-07T06:27:53Z"/>
        <d v="2022-04-07T06:27:50Z"/>
        <d v="2022-04-07T06:27:46Z"/>
        <d v="2022-04-07T06:27:40Z"/>
        <d v="2022-04-07T06:15:47Z"/>
        <d v="2022-04-07T06:13:19Z"/>
        <d v="2022-04-07T05:32:12Z"/>
        <d v="2022-04-07T02:52:53Z"/>
        <d v="2022-04-07T02:34:10Z"/>
        <d v="2022-04-07T02:30:13Z"/>
        <d v="2022-04-07T02:30:09Z"/>
        <d v="2022-04-07T02:30:06Z"/>
        <d v="2022-04-07T02:29:59Z"/>
        <d v="2022-04-07T00:57:30Z"/>
        <d v="2022-04-06T23:41:36Z"/>
        <d v="2022-04-06T22:45:35Z"/>
        <d v="2022-04-06T22:45:06Z"/>
        <d v="2022-04-06T22:45:01Z"/>
        <d v="2022-04-06T22:44:28Z"/>
        <d v="2022-04-06T22:39:07Z"/>
        <d v="2022-04-06T22:39:05Z"/>
        <d v="2022-04-06T21:53:04Z"/>
        <d v="2022-04-06T21:48:14Z"/>
        <d v="2022-04-06T21:48:11Z"/>
        <d v="2022-04-06T21:36:10Z"/>
        <d v="2022-04-06T21:35:23Z"/>
        <d v="2022-04-06T21:35:19Z"/>
        <d v="2022-04-06T21:28:33Z"/>
        <d v="2022-04-06T21:20:59Z"/>
        <d v="2022-04-06T21:20:44Z"/>
        <d v="2022-04-06T20:11:54Z"/>
        <d v="2022-04-06T18:26:01Z"/>
        <d v="2022-04-06T17:37:58Z"/>
        <d v="2022-04-06T17:16:49Z"/>
        <d v="2022-04-06T17:07:26Z"/>
        <d v="2022-04-06T16:50:41Z"/>
        <d v="2022-04-06T16:30:59Z"/>
        <d v="2022-04-06T15:00:57Z"/>
        <d v="2022-04-06T14:58:56Z"/>
        <d v="2022-04-06T14:58:55Z"/>
        <d v="2022-04-06T14:58:50Z"/>
        <d v="2022-04-06T14:58:46Z"/>
        <d v="2022-04-06T14:46:28Z"/>
        <d v="2022-04-06T14:46:23Z"/>
        <d v="2022-04-06T14:46:15Z"/>
        <d v="2022-04-06T14:44:29Z"/>
        <d v="2022-04-06T14:43:12Z"/>
        <d v="2022-04-06T13:34:34Z"/>
        <d v="2022-04-06T12:57:18Z"/>
        <d v="2022-04-06T12:27:35Z"/>
        <d v="2022-04-06T12:08:47Z"/>
        <d v="2022-04-06T11:51:31Z"/>
        <d v="2022-04-06T11:35:06Z"/>
        <d v="2022-04-06T11:26:49Z"/>
        <d v="2022-04-06T11:03:34Z"/>
        <d v="2022-04-06T09:39:27Z"/>
        <d v="2022-04-06T09:39:23Z"/>
        <d v="2022-04-06T09:39:18Z"/>
        <d v="2022-04-06T09:39:15Z"/>
        <d v="2022-04-06T09:10:48Z"/>
        <d v="2022-04-06T09:10:29Z"/>
        <d v="2022-04-06T07:50:44Z"/>
        <d v="2022-04-06T07:34:18Z"/>
        <d v="2022-04-05T22:23:30Z"/>
        <d v="2022-04-05T22:23:08Z"/>
        <d v="2022-04-05T22:23:04Z"/>
        <d v="2022-04-05T22:22:56Z"/>
        <d v="2022-04-05T22:22:40Z"/>
        <d v="2022-04-05T22:21:38Z"/>
        <d v="2022-04-05T22:21:06Z"/>
        <d v="2022-04-05T22:21:04Z"/>
        <d v="2022-04-05T22:20:57Z"/>
        <d v="2022-04-05T22:11:10Z"/>
        <d v="2022-04-05T21:02:57Z"/>
        <d v="2022-04-05T20:32:01Z"/>
        <d v="2022-04-05T20:31:26Z"/>
        <d v="2022-04-05T20:31:23Z"/>
        <d v="2022-04-05T20:30:52Z"/>
        <d v="2022-04-05T20:29:25Z"/>
        <d v="2022-04-05T20:28:56Z"/>
        <d v="2022-04-05T20:28:24Z"/>
        <d v="2022-04-05T17:37:51Z"/>
        <d v="2022-04-05T16:41:32Z"/>
        <d v="2022-04-05T15:36:29Z"/>
        <d v="2022-04-05T15:36:13Z"/>
        <d v="2022-04-05T15:36:07Z"/>
        <d v="2022-04-05T15:33:31Z"/>
        <d v="2022-04-05T14:18:04Z"/>
        <d v="2022-04-05T13:21:18Z"/>
        <d v="2022-04-05T13:14:05Z"/>
        <d v="2022-04-05T13:03:44Z"/>
        <d v="2022-04-05T13:03:17Z"/>
        <d v="2022-04-05T12:58:55Z"/>
        <d v="2022-04-05T12:58:43Z"/>
        <d v="2022-04-05T12:51:40Z"/>
        <d v="2022-04-05T12:30:29Z"/>
        <d v="2022-04-05T11:10:40Z"/>
        <d v="2022-04-05T11:09:51Z"/>
        <d v="2022-04-05T11:08:54Z"/>
        <d v="2022-04-05T11:06:19Z"/>
        <d v="2022-04-05T10:52:20Z"/>
        <d v="2022-04-05T10:51:39Z"/>
        <d v="2022-04-05T10:45:55Z"/>
        <d v="2022-04-05T10:42:02Z"/>
        <d v="2022-04-05T09:56:42Z"/>
        <d v="2022-04-05T09:56:20Z"/>
        <d v="2022-04-05T09:56:11Z"/>
        <d v="2022-04-05T09:54:47Z"/>
        <d v="2022-04-05T09:11:53Z"/>
        <d v="2022-04-05T09:11:50Z"/>
        <d v="2022-04-05T09:11:47Z"/>
        <d v="2022-04-05T09:11:45Z"/>
        <d v="2022-04-05T09:11:27Z"/>
        <d v="2022-04-05T09:11:26Z"/>
        <d v="2022-04-05T09:11:24Z"/>
        <d v="2022-04-05T09:11:22Z"/>
        <d v="2022-04-05T09:11:20Z"/>
        <d v="2022-04-05T09:11:18Z"/>
        <d v="2022-04-05T09:11:17Z"/>
        <d v="2022-04-05T09:11:10Z"/>
        <d v="2022-04-05T09:11:08Z"/>
        <d v="2022-04-05T09:11:03Z"/>
        <d v="2022-04-05T09:11:00Z"/>
        <d v="2022-04-05T09:10:53Z"/>
        <d v="2022-04-05T09:10:52Z"/>
        <d v="2022-04-05T09:10:50Z"/>
        <d v="2022-04-05T09:10:48Z"/>
        <d v="2022-04-05T09:10:46Z"/>
        <d v="2022-04-05T09:10:44Z"/>
        <d v="2022-04-05T09:10:43Z"/>
        <d v="2022-04-05T09:10:41Z"/>
        <d v="2022-04-05T09:10:38Z"/>
        <d v="2022-04-05T09:10:16Z"/>
        <d v="2022-04-05T09:10:14Z"/>
        <d v="2022-04-05T09:10:12Z"/>
        <d v="2022-04-05T09:10:10Z"/>
        <d v="2022-04-05T09:10:08Z"/>
        <d v="2022-04-05T00:43:04Z"/>
        <d v="2022-04-04T22:25:10Z"/>
        <d v="2022-04-04T22:17:06Z"/>
        <d v="2022-04-04T22:10:40Z"/>
        <d v="2022-04-04T21:40:25Z"/>
        <d v="2022-04-04T21:31:12Z"/>
        <d v="2022-04-04T21:15:02Z"/>
        <d v="2022-04-04T20:33:22Z"/>
        <d v="2022-04-04T20:32:53Z"/>
        <d v="2022-04-04T20:32:50Z"/>
        <d v="2022-04-04T20:32:49Z"/>
        <d v="2022-04-04T19:58:06Z"/>
        <d v="2022-04-04T19:23:30Z"/>
        <d v="2022-04-04T18:22:52Z"/>
        <d v="2022-04-04T18:22:44Z"/>
        <d v="2022-04-04T18:22:33Z"/>
        <d v="2022-04-04T18:22:03Z"/>
        <d v="2022-04-04T18:15:50Z"/>
        <d v="2022-04-04T18:15:28Z"/>
        <d v="2022-04-04T18:15:10Z"/>
        <d v="2022-04-04T18:11:14Z"/>
        <d v="2022-04-04T18:10:42Z"/>
        <d v="2022-04-04T18:01:09Z"/>
        <d v="2022-04-04T17:13:21Z"/>
        <d v="2022-04-04T17:13:18Z"/>
        <d v="2022-04-04T17:13:15Z"/>
        <d v="2022-04-04T17:13:12Z"/>
        <d v="2022-04-04T17:13:10Z"/>
        <d v="2022-04-04T17:13:07Z"/>
        <d v="2022-04-04T17:13:00Z"/>
        <d v="2022-04-04T17:12:57Z"/>
        <d v="2022-04-04T17:12:54Z"/>
        <d v="2022-04-04T17:12:50Z"/>
        <d v="2022-04-04T17:12:47Z"/>
        <d v="2022-04-04T17:12:18Z"/>
        <d v="2022-04-04T17:12:16Z"/>
        <d v="2022-04-04T17:09:20Z"/>
        <d v="2022-04-04T15:59:41Z"/>
        <d v="2022-04-04T15:49:40Z"/>
        <d v="2022-04-04T15:49:38Z"/>
        <d v="2022-04-04T15:49:37Z"/>
        <d v="2022-04-04T15:49:34Z"/>
        <d v="2022-04-04T15:49:32Z"/>
        <d v="2022-04-04T15:49:08Z"/>
        <d v="2022-04-04T14:19:16Z"/>
        <d v="2022-04-04T14:19:13Z"/>
        <d v="2022-04-04T14:18:35Z"/>
        <d v="2022-04-04T14:18:33Z"/>
        <d v="2022-04-04T14:15:55Z"/>
        <d v="2022-04-04T13:40:00Z"/>
        <d v="2022-04-04T13:16:09Z"/>
        <d v="2022-04-04T13:16:03Z"/>
        <d v="2022-04-04T13:15:59Z"/>
        <d v="2022-04-04T12:33:51Z"/>
        <d v="2022-04-04T12:24:46Z"/>
        <d v="2022-04-04T12:03:47Z"/>
        <d v="2022-04-04T12:03:30Z"/>
        <d v="2022-04-04T12:02:41Z"/>
        <d v="2022-04-04T12:02:38Z"/>
        <d v="2022-04-04T12:02:31Z"/>
        <d v="2022-04-04T12:02:28Z"/>
        <d v="2022-04-04T12:02:26Z"/>
        <d v="2022-04-04T12:02:21Z"/>
        <d v="2022-04-04T12:02:19Z"/>
        <d v="2022-04-04T11:35:24Z"/>
        <d v="2022-04-04T11:33:23Z"/>
        <d v="2022-04-04T11:32:19Z"/>
        <d v="2022-04-04T11:31:42Z"/>
        <d v="2022-04-04T11:31:37Z"/>
        <d v="2022-04-04T11:13:59Z"/>
        <d v="2022-04-04T11:13:46Z"/>
        <d v="2022-04-04T10:56:42Z"/>
        <d v="2022-04-04T10:45:45Z"/>
        <d v="2022-04-04T10:28:59Z"/>
        <d v="2022-04-04T10:27:55Z"/>
        <d v="2022-04-04T10:27:48Z"/>
        <d v="2022-04-04T10:27:27Z"/>
        <d v="2022-04-04T08:56:18Z"/>
        <d v="2022-04-04T07:37:38Z"/>
        <d v="2022-04-04T07:25:41Z"/>
        <d v="2022-04-04T03:17:26Z"/>
        <d v="2022-04-03T23:32:48Z"/>
        <d v="2022-04-03T23:31:48Z"/>
        <d v="2022-04-03T23:31:13Z"/>
        <d v="2022-04-03T23:30:28Z"/>
        <d v="2022-04-03T23:29:19Z"/>
        <d v="2022-04-03T23:27:58Z"/>
        <d v="2022-04-03T23:27:49Z"/>
        <d v="2022-04-03T23:23:20Z"/>
        <d v="2022-04-03T22:22:22Z"/>
        <d v="2022-04-03T22:16:18Z"/>
        <d v="2022-04-03T21:56:26Z"/>
        <d v="2022-04-03T21:50:37Z"/>
        <d v="2022-04-03T21:41:37Z"/>
        <d v="2022-04-03T21:33:02Z"/>
        <d v="2022-04-03T20:53:59Z"/>
        <d v="2022-04-03T20:29:53Z"/>
        <d v="2022-04-03T20:23:27Z"/>
        <d v="2022-04-03T20:23:24Z"/>
        <d v="2022-04-03T20:23:22Z"/>
        <d v="2022-04-03T20:23:16Z"/>
        <d v="2022-04-03T20:23:08Z"/>
        <d v="2022-04-03T20:05:25Z"/>
        <d v="2022-04-03T20:05:23Z"/>
        <d v="2022-04-03T20:05:21Z"/>
        <d v="2022-04-03T20:05:18Z"/>
        <d v="2022-04-03T20:05:17Z"/>
        <d v="2022-04-03T20:05:14Z"/>
        <d v="2022-04-03T20:05:13Z"/>
        <d v="2022-04-03T20:05:11Z"/>
        <d v="2022-04-03T20:05:09Z"/>
        <d v="2022-04-03T20:05:06Z"/>
        <d v="2022-04-03T20:05:04Z"/>
        <d v="2022-04-03T20:05:01Z"/>
        <d v="2022-04-03T20:04:58Z"/>
        <d v="2022-04-03T20:04:55Z"/>
        <d v="2022-04-03T20:04:50Z"/>
        <d v="2022-04-03T20:04:47Z"/>
        <d v="2022-04-03T20:04:45Z"/>
        <d v="2022-04-03T20:04:42Z"/>
        <d v="2022-04-03T20:04:39Z"/>
        <d v="2022-04-03T20:04:36Z"/>
        <d v="2022-04-03T20:04:33Z"/>
        <d v="2022-04-03T20:04:30Z"/>
        <d v="2022-04-03T20:04:27Z"/>
        <d v="2022-04-03T20:04:24Z"/>
        <d v="2022-04-03T20:04:21Z"/>
        <d v="2022-04-03T20:04:19Z"/>
        <d v="2022-04-03T20:04:15Z"/>
        <d v="2022-04-03T20:04:12Z"/>
        <d v="2022-04-03T20:04:10Z"/>
        <d v="2022-04-03T20:04:08Z"/>
        <d v="2022-04-03T20:04:06Z"/>
        <d v="2022-04-03T20:04:04Z"/>
        <d v="2022-04-03T20:04:02Z"/>
        <d v="2022-04-03T20:03:59Z"/>
        <d v="2022-04-03T20:03:57Z"/>
        <d v="2022-04-03T20:03:55Z"/>
        <d v="2022-04-03T20:03:53Z"/>
        <d v="2022-04-03T20:03:51Z"/>
        <d v="2022-04-03T20:03:49Z"/>
        <d v="2022-04-03T20:03:47Z"/>
        <d v="2022-04-03T20:03:45Z"/>
        <d v="2022-04-03T20:03:42Z"/>
        <d v="2022-04-03T20:03:40Z"/>
        <d v="2022-04-03T20:03:38Z"/>
        <d v="2022-04-03T20:03:36Z"/>
        <d v="2022-04-03T20:03:34Z"/>
        <d v="2022-04-03T20:03:32Z"/>
        <d v="2022-04-03T20:03:29Z"/>
        <d v="2022-04-03T20:03:26Z"/>
        <d v="2022-04-03T20:03:23Z"/>
        <d v="2022-04-03T20:03:20Z"/>
        <d v="2022-04-03T20:03:18Z"/>
        <d v="2022-04-03T20:03:15Z"/>
        <d v="2022-04-03T20:03:12Z"/>
        <d v="2022-04-03T20:03:10Z"/>
        <d v="2022-04-03T20:03:08Z"/>
        <d v="2022-04-03T20:03:06Z"/>
        <d v="2022-04-03T20:03:03Z"/>
        <d v="2022-04-03T20:03:01Z"/>
        <d v="2022-04-03T20:02:59Z"/>
        <d v="2022-04-03T20:02:56Z"/>
        <d v="2022-04-03T20:02:54Z"/>
        <d v="2022-04-03T20:02:51Z"/>
        <d v="2022-04-03T20:02:49Z"/>
        <d v="2022-04-03T20:02:46Z"/>
        <d v="2022-04-03T20:02:42Z"/>
        <d v="2022-04-03T20:02:39Z"/>
        <d v="2022-04-03T20:02:36Z"/>
        <d v="2022-04-03T19:58:18Z"/>
        <d v="2022-04-03T19:33:25Z"/>
        <d v="2022-04-03T19:30:52Z"/>
        <d v="2022-04-03T19:30:18Z"/>
        <d v="2022-04-03T18:58:03Z"/>
        <d v="2022-04-03T18:47:53Z"/>
        <d v="2022-04-03T18:47:42Z"/>
        <d v="2022-04-03T18:47:28Z"/>
        <d v="2022-04-03T18:19:40Z"/>
        <d v="2022-04-03T18:12:53Z"/>
        <d v="2022-04-03T17:58:49Z"/>
        <d v="2022-04-03T17:57:31Z"/>
        <d v="2022-04-03T17:57:23Z"/>
        <d v="2022-04-03T17:57:20Z"/>
        <d v="2022-04-03T17:57:05Z"/>
        <d v="2022-04-03T17:56:59Z"/>
        <d v="2022-04-03T17:56:52Z"/>
        <d v="2022-04-03T17:56:44Z"/>
        <d v="2022-04-03T17:56:38Z"/>
        <d v="2022-04-03T17:56:34Z"/>
        <d v="2022-04-03T17:56:29Z"/>
        <d v="2022-04-03T17:31:23Z"/>
        <d v="2022-04-03T17:29:47Z"/>
        <d v="2022-04-03T17:28:35Z"/>
        <d v="2022-04-03T17:28:21Z"/>
        <d v="2022-04-03T17:17:58Z"/>
        <d v="2022-04-03T17:03:37Z"/>
        <d v="2022-04-03T16:48:48Z"/>
        <d v="2022-04-03T16:46:42Z"/>
        <d v="2022-04-03T16:46:40Z"/>
        <d v="2022-04-03T16:46:35Z"/>
        <d v="2022-04-03T16:46:34Z"/>
        <d v="2022-04-03T16:46:32Z"/>
        <d v="2022-04-03T16:46:26Z"/>
        <d v="2022-04-03T16:45:41Z"/>
        <d v="2022-04-03T16:45:34Z"/>
        <d v="2022-04-03T16:45:27Z"/>
        <d v="2022-04-03T16:45:13Z"/>
        <d v="2022-04-03T16:39:09Z"/>
        <d v="2022-04-03T15:55:29Z"/>
        <d v="2022-04-03T15:20:02Z"/>
        <d v="2022-04-03T12:47:35Z"/>
        <d v="2022-04-03T12:32:55Z"/>
        <d v="2022-04-03T12:31:07Z"/>
        <d v="2022-04-03T12:25:37Z"/>
        <d v="2022-04-03T12:25:29Z"/>
        <d v="2022-04-03T12:17:37Z"/>
        <d v="2022-04-03T12:03:28Z"/>
        <d v="2022-04-03T12:03:24Z"/>
        <d v="2022-04-03T11:29:29Z"/>
        <d v="2022-04-03T11:29:21Z"/>
        <d v="2022-04-03T11:19:24Z"/>
        <d v="2022-04-03T10:50:01Z"/>
        <d v="2022-04-03T10:30:21Z"/>
        <d v="2022-04-03T10:29:38Z"/>
        <d v="2022-04-03T10:29:30Z"/>
        <d v="2022-04-03T10:29:14Z"/>
        <d v="2022-04-03T10:28:03Z"/>
        <d v="2022-04-03T10:26:49Z"/>
        <d v="2022-04-03T10:26:11Z"/>
        <d v="2022-04-03T10:26:05Z"/>
        <d v="2022-04-03T10:24:59Z"/>
        <d v="2022-04-03T09:48:22Z"/>
        <d v="2022-04-03T09:48:08Z"/>
        <d v="2022-04-03T09:47:44Z"/>
        <d v="2022-04-03T09:47:40Z"/>
        <d v="2022-04-03T09:47:33Z"/>
        <d v="2022-04-03T09:47:17Z"/>
        <d v="2022-04-03T09:47:15Z"/>
        <d v="2022-04-03T09:37:58Z"/>
        <d v="2022-04-03T09:37:52Z"/>
        <d v="2022-04-03T09:33:07Z"/>
        <d v="2022-04-03T07:46:13Z"/>
        <d v="2022-04-03T07:43:57Z"/>
        <d v="2022-04-03T07:43:52Z"/>
        <d v="2022-04-03T07:37:23Z"/>
        <d v="2022-04-03T07:37:21Z"/>
        <d v="2022-04-03T07:37:19Z"/>
        <d v="2022-04-03T07:37:18Z"/>
        <d v="2022-04-03T07:37:16Z"/>
        <d v="2022-04-03T07:37:15Z"/>
        <d v="2022-04-03T07:37:13Z"/>
        <d v="2022-04-03T07:37:09Z"/>
        <d v="2022-04-03T07:37:08Z"/>
        <d v="2022-04-03T07:37:02Z"/>
        <d v="2022-04-03T07:35:46Z"/>
        <d v="2022-04-03T07:34:51Z"/>
        <d v="2022-04-03T07:29:36Z"/>
        <d v="2022-04-03T07:29:34Z"/>
        <d v="2022-04-03T07:29:32Z"/>
        <d v="2022-04-03T07:29:26Z"/>
        <d v="2022-04-02T22:58:23Z"/>
        <d v="2022-04-02T21:39:07Z"/>
        <d v="2022-04-02T21:15:26Z"/>
        <d v="2022-04-02T18:54:48Z"/>
        <d v="2022-04-02T18:54:46Z"/>
        <d v="2022-04-02T18:54:44Z"/>
        <d v="2022-04-02T18:54:42Z"/>
        <d v="2022-04-02T18:54:32Z"/>
        <d v="2022-04-02T18:45:35Z"/>
        <d v="2022-04-02T18:39:52Z"/>
        <d v="2022-04-02T17:55:37Z"/>
        <d v="2022-04-02T16:58:42Z"/>
        <d v="2022-04-02T16:58:40Z"/>
        <d v="2022-04-02T16:30:54Z"/>
        <d v="2022-04-02T15:51:15Z"/>
        <d v="2022-04-02T15:45:43Z"/>
        <d v="2022-04-02T15:45:38Z"/>
        <d v="2022-04-02T12:07:59Z"/>
        <d v="2022-04-02T12:05:28Z"/>
        <d v="2022-04-02T12:05:25Z"/>
        <d v="2022-04-02T12:05:23Z"/>
        <d v="2022-04-02T12:05:21Z"/>
        <d v="2022-04-02T12:05:10Z"/>
        <d v="2022-04-02T12:05:08Z"/>
        <d v="2022-04-02T09:50:49Z"/>
        <d v="2022-04-02T09:48:13Z"/>
        <d v="2022-04-02T09:44:02Z"/>
        <d v="2022-04-02T09:43:49Z"/>
        <d v="2022-04-02T09:25:37Z"/>
        <d v="2022-04-02T09:03:47Z"/>
        <d v="2022-04-02T07:43:00Z"/>
        <d v="2022-04-02T07:05:33Z"/>
        <d v="2022-04-02T01:20:34Z"/>
        <d v="2022-04-02T00:45:52Z"/>
        <d v="2022-04-01T22:54:51Z"/>
        <d v="2022-04-01T18:49:08Z"/>
        <d v="2022-04-01T18:49:05Z"/>
        <d v="2022-04-01T18:48:59Z"/>
        <d v="2022-04-01T18:45:03Z"/>
        <d v="2022-04-01T18:32:34Z"/>
        <d v="2022-04-01T16:07:51Z"/>
        <d v="2022-04-01T15:52:20Z"/>
        <d v="2022-04-01T11:49:02Z"/>
        <d v="2022-04-01T11:48:39Z"/>
        <d v="2022-04-01T11:27:52Z"/>
        <d v="2022-04-01T11:26:31Z"/>
        <d v="2022-04-01T11:25:35Z"/>
        <d v="2022-04-01T11:24:59Z"/>
        <d v="2022-04-01T11:24:24Z"/>
        <d v="2022-04-01T11:23:42Z"/>
        <d v="2022-04-01T11:23:30Z"/>
        <d v="2022-04-01T11:22:55Z"/>
        <d v="2022-04-01T11:22:48Z"/>
        <d v="2022-04-01T11:22:05Z"/>
        <d v="2022-04-01T11:21:29Z"/>
        <d v="2022-04-01T11:20:56Z"/>
        <d v="2022-04-01T11:20:54Z"/>
        <d v="2022-04-01T10:55:06Z"/>
        <d v="2022-04-01T10:54:18Z"/>
        <d v="2022-04-01T10:53:19Z"/>
        <d v="2022-04-01T10:52:46Z"/>
        <d v="2022-04-01T10:52:11Z"/>
        <d v="2022-04-01T10:51:35Z"/>
        <d v="2022-04-01T10:51:24Z"/>
        <d v="2022-04-01T10:41:46Z"/>
        <d v="2022-04-01T10:14:33Z"/>
        <d v="2022-04-01T10:01:22Z"/>
        <d v="2022-04-01T09:59:41Z"/>
        <d v="2022-04-01T09:59:06Z"/>
        <d v="2022-04-01T09:58:34Z"/>
        <d v="2022-04-01T09:57:43Z"/>
        <d v="2022-04-01T09:57:10Z"/>
        <d v="2022-04-01T09:56:33Z"/>
        <d v="2022-04-01T09:56:24Z"/>
        <d v="2022-04-01T09:56:23Z"/>
        <d v="2022-04-01T09:56:22Z"/>
        <d v="2022-04-01T09:56:01Z"/>
        <d v="2022-04-01T09:55:20Z"/>
        <d v="2022-04-01T09:55:18Z"/>
        <d v="2022-04-01T09:55:08Z"/>
        <d v="2022-04-01T09:55:07Z"/>
        <d v="2022-04-01T09:46:59Z"/>
        <d v="2022-04-01T09:46:57Z"/>
        <d v="2022-04-01T07:09:41Z"/>
        <d v="2022-04-01T07:09:02Z"/>
        <d v="2022-04-01T07:08:00Z"/>
        <d v="2022-04-01T07:07:16Z"/>
        <d v="2022-04-01T07:06:16Z"/>
        <d v="2022-04-01T07:05:01Z"/>
        <d v="2022-04-01T07:04:01Z"/>
        <d v="2022-04-01T07:03:00Z"/>
        <d v="2022-04-01T07:02:26Z"/>
        <d v="2022-04-01T07:01:55Z"/>
        <d v="2022-04-01T07:01:26Z"/>
        <d v="2022-04-01T07:00:49Z"/>
        <d v="2022-04-01T06:59:53Z"/>
        <d v="2022-04-01T06:59:10Z"/>
        <d v="2022-04-01T06:34:23Z"/>
        <d v="2022-04-01T04:19:22Z"/>
        <d v="2022-04-01T01:39:54Z"/>
        <d v="2022-04-01T00:51:23Z"/>
        <d v="2022-04-01T00:37:46Z"/>
        <d v="2022-03-31T23:47:46Z"/>
        <d v="2022-03-31T22:31:42Z"/>
        <d v="2022-03-31T22:15:56Z"/>
        <d v="2022-03-31T22:15:31Z"/>
        <d v="2022-03-31T21:43:02Z"/>
        <d v="2022-03-31T21:41:20Z"/>
        <d v="2022-03-31T21:40:48Z"/>
        <d v="2022-03-31T21:40:17Z"/>
        <d v="2022-03-31T21:39:44Z"/>
        <d v="2022-03-31T21:39:11Z"/>
        <d v="2022-03-31T21:38:11Z"/>
        <d v="2022-03-31T21:37:11Z"/>
        <d v="2022-03-31T21:36:38Z"/>
        <d v="2022-03-31T21:36:05Z"/>
        <d v="2022-03-31T21:35:33Z"/>
        <d v="2022-03-31T21:35:00Z"/>
        <d v="2022-03-31T21:34:27Z"/>
        <d v="2022-03-31T21:34:02Z"/>
        <d v="2022-03-31T21:34:00Z"/>
        <d v="2022-03-31T21:33:56Z"/>
        <d v="2022-03-31T21:33:44Z"/>
        <d v="2022-03-31T21:33:42Z"/>
        <d v="2022-03-31T21:32:53Z"/>
        <d v="2022-03-31T21:32:19Z"/>
        <d v="2022-03-31T21:31:44Z"/>
        <d v="2022-03-31T21:31:37Z"/>
        <d v="2022-03-31T21:31:10Z"/>
        <d v="2022-03-31T21:30:39Z"/>
        <d v="2022-03-31T21:30:34Z"/>
        <d v="2022-03-31T21:30:25Z"/>
        <d v="2022-03-31T21:30:24Z"/>
        <d v="2022-03-31T21:30:12Z"/>
        <d v="2022-03-31T21:30:10Z"/>
        <d v="2022-03-31T21:30:07Z"/>
        <d v="2022-03-31T21:29:45Z"/>
        <d v="2022-03-31T21:29:34Z"/>
        <d v="2022-03-31T21:29:33Z"/>
        <d v="2022-03-31T21:29:31Z"/>
        <d v="2022-03-31T21:29:23Z"/>
        <d v="2022-03-31T21:29:17Z"/>
        <d v="2022-03-31T21:28:43Z"/>
        <d v="2022-03-31T21:28:10Z"/>
        <d v="2022-03-31T21:28:00Z"/>
        <d v="2022-03-31T21:27:27Z"/>
        <d v="2022-03-31T21:27:26Z"/>
        <d v="2022-03-31T21:27:11Z"/>
        <d v="2022-03-31T21:26:29Z"/>
        <d v="2022-03-31T21:25:54Z"/>
        <d v="2022-03-31T21:25:21Z"/>
        <d v="2022-03-31T21:25:01Z"/>
        <d v="2022-03-31T21:24:56Z"/>
        <d v="2022-03-31T21:24:51Z"/>
        <d v="2022-03-31T21:24:43Z"/>
        <d v="2022-03-31T21:24:42Z"/>
        <d v="2022-03-31T21:23:32Z"/>
        <d v="2022-03-31T21:22:57Z"/>
        <d v="2022-03-31T21:22:06Z"/>
        <d v="2022-03-31T21:21:32Z"/>
        <d v="2022-03-31T21:20:32Z"/>
        <d v="2022-03-31T21:20:17Z"/>
        <d v="2022-03-31T21:20:11Z"/>
        <d v="2022-03-31T21:19:59Z"/>
        <d v="2022-03-31T21:19:11Z"/>
        <d v="2022-03-31T21:19:09Z"/>
        <d v="2022-03-31T21:10:40Z"/>
        <d v="2022-03-31T19:34:33Z"/>
        <d v="2022-03-31T19:34:30Z"/>
        <d v="2022-03-31T19:10:01Z"/>
        <d v="2022-03-31T19:06:27Z"/>
        <d v="2022-03-31T18:58:25Z"/>
        <d v="2022-03-31T18:55:32Z"/>
        <d v="2022-03-31T18:35:51Z"/>
        <d v="2022-03-31T18:14:03Z"/>
        <d v="2022-03-31T17:49:45Z"/>
        <d v="2022-03-31T17:39:03Z"/>
        <d v="2022-03-31T17:38:28Z"/>
        <d v="2022-03-31T17:37:59Z"/>
        <d v="2022-03-31T17:37:34Z"/>
        <d v="2022-03-31T17:37:26Z"/>
        <d v="2022-03-31T17:36:56Z"/>
        <d v="2022-03-31T17:36:26Z"/>
        <d v="2022-03-31T17:36:21Z"/>
        <d v="2022-03-31T17:35:54Z"/>
        <d v="2022-03-31T17:35:53Z"/>
        <d v="2022-03-31T17:35:43Z"/>
        <d v="2022-03-31T17:35:33Z"/>
        <d v="2022-03-31T17:35:27Z"/>
        <d v="2022-03-31T17:35:08Z"/>
        <d v="2022-03-31T17:34:32Z"/>
        <d v="2022-03-31T17:33:57Z"/>
        <d v="2022-03-31T17:33:15Z"/>
        <d v="2022-03-31T17:33:11Z"/>
        <d v="2022-03-31T17:32:55Z"/>
        <d v="2022-03-31T17:32:50Z"/>
        <d v="2022-03-31T17:32:36Z"/>
        <d v="2022-03-31T17:31:15Z"/>
        <d v="2022-03-31T17:30:15Z"/>
        <d v="2022-03-31T17:24:06Z"/>
        <d v="2022-03-31T17:20:39Z"/>
        <d v="2022-03-31T17:19:27Z"/>
        <d v="2022-03-31T17:18:53Z"/>
        <d v="2022-03-31T17:18:21Z"/>
        <d v="2022-03-31T17:17:48Z"/>
        <d v="2022-03-31T17:17:11Z"/>
        <d v="2022-03-31T17:16:22Z"/>
        <d v="2022-03-31T17:15:51Z"/>
        <d v="2022-03-31T17:15:18Z"/>
        <d v="2022-03-31T17:14:46Z"/>
        <d v="2022-03-31T17:14:05Z"/>
        <d v="2022-03-31T17:13:33Z"/>
        <d v="2022-03-31T17:13:01Z"/>
        <d v="2022-03-31T17:12:13Z"/>
        <d v="2022-03-31T17:11:41Z"/>
        <d v="2022-03-31T17:11:00Z"/>
        <d v="2022-03-31T17:10:27Z"/>
        <d v="2022-03-31T17:09:54Z"/>
        <d v="2022-03-31T17:09:21Z"/>
        <d v="2022-03-31T17:08:48Z"/>
        <d v="2022-03-31T15:53:09Z"/>
        <d v="2022-03-31T15:53:08Z"/>
        <d v="2022-03-31T15:52:39Z"/>
        <d v="2022-03-31T15:51:57Z"/>
        <d v="2022-03-31T15:51:24Z"/>
        <d v="2022-03-31T15:50:53Z"/>
        <d v="2022-03-31T15:50:18Z"/>
        <d v="2022-03-31T15:49:45Z"/>
        <d v="2022-03-31T15:49:05Z"/>
        <d v="2022-03-31T15:48:33Z"/>
        <d v="2022-03-31T15:47:33Z"/>
        <d v="2022-03-31T15:46:46Z"/>
        <d v="2022-03-31T15:46:35Z"/>
        <d v="2022-03-31T15:46:31Z"/>
        <d v="2022-03-31T15:16:01Z"/>
        <d v="2022-03-31T15:15:01Z"/>
        <d v="2022-03-31T15:14:04Z"/>
        <d v="2022-03-31T14:17:59Z"/>
        <d v="2022-03-31T14:14:44Z"/>
        <d v="2022-03-31T14:13:36Z"/>
        <d v="2022-03-31T14:12:58Z"/>
        <d v="2022-03-31T14:12:10Z"/>
        <d v="2022-03-31T14:11:08Z"/>
        <d v="2022-03-31T14:10:19Z"/>
        <d v="2022-03-31T14:09:42Z"/>
        <d v="2022-03-31T13:57:14Z"/>
        <d v="2022-03-31T13:43:39Z"/>
        <d v="2022-03-31T13:32:25Z"/>
        <d v="2022-03-31T13:31:55Z"/>
        <d v="2022-03-31T13:30:51Z"/>
        <d v="2022-03-31T13:30:05Z"/>
        <d v="2022-03-31T13:29:26Z"/>
        <d v="2022-03-31T13:28:44Z"/>
        <d v="2022-03-31T13:28:09Z"/>
        <d v="2022-03-31T13:23:11Z"/>
        <d v="2022-03-31T13:17:30Z"/>
        <d v="2022-03-31T13:16:57Z"/>
        <d v="2022-03-31T13:15:47Z"/>
        <d v="2022-03-31T13:15:22Z"/>
        <d v="2022-03-31T13:15:20Z"/>
        <d v="2022-03-31T13:15:14Z"/>
        <d v="2022-03-31T13:15:11Z"/>
        <d v="2022-03-31T13:12:39Z"/>
        <d v="2022-03-31T13:04:47Z"/>
        <d v="2022-03-31T13:03:26Z"/>
        <d v="2022-03-31T13:02:43Z"/>
        <d v="2022-03-31T13:02:08Z"/>
        <d v="2022-03-31T13:01:21Z"/>
        <d v="2022-03-31T13:00:49Z"/>
        <d v="2022-03-31T13:00:16Z"/>
        <d v="2022-03-31T12:59:43Z"/>
        <d v="2022-03-31T12:59:03Z"/>
        <d v="2022-03-31T12:58:31Z"/>
        <d v="2022-03-31T12:57:58Z"/>
        <d v="2022-03-31T12:56:44Z"/>
        <d v="2022-03-31T12:55:52Z"/>
        <d v="2022-03-31T12:43:11Z"/>
        <d v="2022-03-31T12:36:46Z"/>
        <d v="2022-03-31T12:17:03Z"/>
        <d v="2022-03-31T12:16:22Z"/>
        <d v="2022-03-31T12:15:16Z"/>
        <d v="2022-03-31T12:14:37Z"/>
        <d v="2022-03-31T12:13:35Z"/>
        <d v="2022-03-31T12:12:06Z"/>
        <d v="2022-03-31T12:11:21Z"/>
        <d v="2022-03-31T12:10:35Z"/>
        <d v="2022-03-31T12:10:02Z"/>
        <d v="2022-03-31T12:09:28Z"/>
        <d v="2022-03-31T12:08:55Z"/>
        <d v="2022-03-31T12:08:22Z"/>
        <d v="2022-03-31T12:07:43Z"/>
        <d v="2022-03-31T12:07:36Z"/>
        <d v="2022-03-31T12:07:10Z"/>
        <d v="2022-03-31T12:06:19Z"/>
        <d v="2022-03-31T12:05:45Z"/>
        <d v="2022-03-31T12:04:51Z"/>
        <d v="2022-03-31T12:04:04Z"/>
        <d v="2022-03-31T12:03:17Z"/>
        <d v="2022-03-31T12:02:44Z"/>
        <d v="2022-03-31T12:02:11Z"/>
        <d v="2022-03-31T12:01:34Z"/>
        <d v="2022-03-31T12:00:57Z"/>
        <d v="2022-03-31T12:00:54Z"/>
        <d v="2022-03-31T12:00:42Z"/>
        <d v="2022-03-31T12:00:01Z"/>
        <d v="2022-03-31T11:58:45Z"/>
        <d v="2022-03-31T11:58:36Z"/>
        <d v="2022-03-31T11:57:51Z"/>
        <d v="2022-03-31T11:57:19Z"/>
        <d v="2022-03-31T11:56:47Z"/>
        <d v="2022-03-31T11:56:14Z"/>
        <d v="2022-03-31T11:55:39Z"/>
        <d v="2022-03-31T11:55:06Z"/>
        <d v="2022-03-31T11:54:28Z"/>
        <d v="2022-03-31T11:53:55Z"/>
        <d v="2022-03-31T11:53:21Z"/>
        <d v="2022-03-31T11:52:41Z"/>
        <d v="2022-03-31T11:52:00Z"/>
        <d v="2022-03-31T11:51:18Z"/>
        <d v="2022-03-31T11:50:44Z"/>
        <d v="2022-03-31T11:50:11Z"/>
        <d v="2022-03-31T11:49:34Z"/>
        <d v="2022-03-31T11:49:00Z"/>
        <d v="2022-03-31T11:48:28Z"/>
        <d v="2022-03-31T11:47:54Z"/>
        <d v="2022-03-31T11:47:13Z"/>
        <d v="2022-03-31T11:46:38Z"/>
        <d v="2022-03-31T11:45:51Z"/>
        <d v="2022-03-31T11:45:17Z"/>
        <d v="2022-03-31T11:44:45Z"/>
        <d v="2022-03-31T11:44:05Z"/>
        <d v="2022-03-31T11:43:10Z"/>
        <d v="2022-03-31T11:42:23Z"/>
        <d v="2022-03-31T11:38:44Z"/>
        <d v="2022-03-31T11:38:07Z"/>
        <d v="2022-03-31T11:36:16Z"/>
        <d v="2022-03-31T11:33:57Z"/>
        <d v="2022-03-31T11:27:54Z"/>
        <d v="2022-03-31T11:26:52Z"/>
        <d v="2022-03-31T11:26:51Z"/>
        <d v="2022-03-31T11:18:11Z"/>
        <d v="2022-03-31T10:55:57Z"/>
        <d v="2022-03-31T10:51:37Z"/>
        <d v="2022-03-31T10:44:12Z"/>
        <d v="2022-03-31T10:44:11Z"/>
        <d v="2022-03-31T10:43:26Z"/>
        <d v="2022-03-31T10:43:25Z"/>
        <d v="2022-03-31T10:42:08Z"/>
        <d v="2022-03-31T10:41:41Z"/>
        <d v="2022-03-31T10:41:40Z"/>
        <d v="2022-03-31T10:39:08Z"/>
        <d v="2022-03-31T10:34:11Z"/>
        <d v="2022-03-31T10:18:40Z"/>
        <d v="2022-03-31T10:17:17Z"/>
        <d v="2022-03-31T10:17:15Z"/>
        <d v="2022-03-31T10:14:12Z"/>
        <d v="2022-03-31T10:13:36Z"/>
        <d v="2022-03-31T10:13:06Z"/>
        <d v="2022-03-31T10:12:58Z"/>
        <d v="2022-03-31T10:12:33Z"/>
        <d v="2022-03-31T10:12:03Z"/>
        <d v="2022-03-31T10:11:59Z"/>
        <d v="2022-03-31T10:11:31Z"/>
        <d v="2022-03-31T10:11:15Z"/>
        <d v="2022-03-31T10:10:58Z"/>
        <d v="2022-03-31T10:10:28Z"/>
        <d v="2022-03-31T10:09:56Z"/>
        <d v="2022-03-31T10:09:18Z"/>
        <d v="2022-03-31T10:08:59Z"/>
        <d v="2022-03-31T10:08:45Z"/>
        <d v="2022-03-31T10:08:15Z"/>
        <d v="2022-03-31T10:08:11Z"/>
        <d v="2022-03-31T10:07:44Z"/>
        <d v="2022-03-31T10:07:39Z"/>
        <d v="2022-03-31T10:07:11Z"/>
        <d v="2022-03-31T10:06:40Z"/>
        <d v="2022-03-31T10:06:07Z"/>
        <d v="2022-03-31T10:05:32Z"/>
        <d v="2022-03-31T10:04:59Z"/>
        <d v="2022-03-31T10:04:15Z"/>
        <d v="2022-03-31T10:04:10Z"/>
        <d v="2022-03-31T10:03:43Z"/>
        <d v="2022-03-31T10:03:19Z"/>
        <d v="2022-03-31T10:03:01Z"/>
        <d v="2022-03-31T10:02:29Z"/>
        <d v="2022-03-31T10:01:45Z"/>
        <d v="2022-03-31T10:01:03Z"/>
        <d v="2022-03-31T10:00:30Z"/>
        <d v="2022-03-31T09:59:53Z"/>
        <d v="2022-03-31T09:59:14Z"/>
        <d v="2022-03-31T09:58:44Z"/>
        <d v="2022-03-31T09:58:14Z"/>
        <d v="2022-03-31T09:57:44Z"/>
        <d v="2022-03-31T09:57:14Z"/>
        <d v="2022-03-31T09:56:44Z"/>
        <d v="2022-03-31T09:56:14Z"/>
        <d v="2022-03-31T09:55:44Z"/>
        <d v="2022-03-31T09:55:14Z"/>
        <d v="2022-03-31T09:54:44Z"/>
        <d v="2022-03-31T09:54:14Z"/>
        <d v="2022-03-31T09:53:43Z"/>
        <d v="2022-03-31T09:52:59Z"/>
        <d v="2022-03-31T09:52:28Z"/>
        <d v="2022-03-31T09:51:44Z"/>
        <d v="2022-03-31T09:51:02Z"/>
        <d v="2022-03-31T09:50:32Z"/>
        <d v="2022-03-31T09:49:59Z"/>
        <d v="2022-03-31T09:49:25Z"/>
        <d v="2022-03-31T09:48:53Z"/>
        <d v="2022-03-31T09:48:15Z"/>
        <d v="2022-03-31T09:47:43Z"/>
        <d v="2022-03-31T09:46:54Z"/>
        <d v="2022-03-31T09:46:51Z"/>
        <d v="2022-03-31T09:46:19Z"/>
        <d v="2022-03-31T09:45:49Z"/>
        <d v="2022-03-31T09:45:19Z"/>
        <d v="2022-03-31T09:44:49Z"/>
        <d v="2022-03-31T09:44:19Z"/>
        <d v="2022-03-31T09:43:49Z"/>
        <d v="2022-03-31T09:43:19Z"/>
        <d v="2022-03-31T09:42:49Z"/>
        <d v="2022-03-31T09:42:35Z"/>
        <d v="2022-03-31T09:42:17Z"/>
        <d v="2022-03-31T09:41:47Z"/>
        <d v="2022-03-31T09:41:34Z"/>
        <d v="2022-03-31T09:41:16Z"/>
        <d v="2022-03-31T09:40:58Z"/>
        <d v="2022-03-31T09:40:43Z"/>
        <d v="2022-03-31T09:40:19Z"/>
        <d v="2022-03-31T09:40:04Z"/>
        <d v="2022-03-31T09:39:34Z"/>
        <d v="2022-03-31T09:39:02Z"/>
        <d v="2022-03-31T09:38:50Z"/>
        <d v="2022-03-31T09:38:46Z"/>
        <d v="2022-03-31T09:38:40Z"/>
        <d v="2022-03-31T09:38:28Z"/>
        <d v="2022-03-31T09:37:40Z"/>
        <d v="2022-03-31T09:30:47Z"/>
        <d v="2022-03-31T09:28:31Z"/>
        <d v="2022-03-31T09:20:43Z"/>
        <d v="2022-03-31T09:20:42Z"/>
        <d v="2022-03-31T09:18:52Z"/>
        <d v="2022-03-31T09:18:09Z"/>
        <d v="2022-03-31T09:17:36Z"/>
        <d v="2022-03-31T09:10:52Z"/>
        <d v="2022-03-31T09:06:13Z"/>
        <d v="2022-03-31T08:38:12Z"/>
        <d v="2022-03-31T08:36:10Z"/>
        <d v="2022-03-31T08:31:37Z"/>
        <d v="2022-03-31T08:30:53Z"/>
        <d v="2022-03-31T08:30:19Z"/>
        <d v="2022-03-31T08:29:32Z"/>
        <d v="2022-03-31T08:29:14Z"/>
        <d v="2022-03-31T08:28:59Z"/>
        <d v="2022-03-31T08:28:29Z"/>
        <d v="2022-03-31T08:28:14Z"/>
        <d v="2022-03-31T08:27:55Z"/>
        <d v="2022-03-31T08:27:29Z"/>
        <d v="2022-03-31T08:27:09Z"/>
        <d v="2022-03-31T08:26:52Z"/>
        <d v="2022-03-31T08:26:35Z"/>
        <d v="2022-03-31T08:26:19Z"/>
        <d v="2022-03-31T08:25:49Z"/>
        <d v="2022-03-31T08:25:45Z"/>
        <d v="2022-03-31T08:24:59Z"/>
        <d v="2022-03-31T08:24:22Z"/>
        <d v="2022-03-31T08:24:12Z"/>
        <d v="2022-03-31T08:23:45Z"/>
        <d v="2022-03-31T08:23:39Z"/>
        <d v="2022-03-31T08:23:07Z"/>
        <d v="2022-03-31T08:22:29Z"/>
        <d v="2022-03-31T08:21:58Z"/>
        <d v="2022-03-31T08:17:19Z"/>
        <d v="2022-03-31T08:16:31Z"/>
        <d v="2022-03-31T08:15:31Z"/>
        <d v="2022-03-31T08:13:50Z"/>
        <d v="2022-03-31T08:12:42Z"/>
        <d v="2022-03-31T08:12:11Z"/>
        <d v="2022-03-31T08:11:33Z"/>
        <d v="2022-03-31T08:08:33Z"/>
        <d v="2022-03-31T08:07:55Z"/>
        <d v="2022-03-31T08:05:53Z"/>
        <d v="2022-03-31T08:04:33Z"/>
        <d v="2022-03-31T08:03:59Z"/>
        <d v="2022-03-31T08:03:10Z"/>
        <d v="2022-03-31T08:01:29Z"/>
        <d v="2022-03-31T07:59:58Z"/>
        <d v="2022-03-31T07:59:55Z"/>
        <d v="2022-03-31T07:59:01Z"/>
        <d v="2022-03-31T07:57:59Z"/>
        <d v="2022-03-31T07:57:25Z"/>
        <d v="2022-03-31T07:56:49Z"/>
        <d v="2022-03-31T07:56:48Z"/>
        <d v="2022-03-31T07:05:46Z"/>
        <d v="2022-03-31T06:15:26Z"/>
        <d v="2022-03-31T06:01:36Z"/>
        <d v="2022-03-31T05:14:59Z"/>
        <d v="2022-03-31T04:32:32Z"/>
        <d v="2022-03-31T00:52:20Z"/>
        <d v="2022-03-31T00:51:47Z"/>
        <d v="2022-03-31T00:51:00Z"/>
        <d v="2022-03-31T00:50:49Z"/>
        <d v="2022-03-31T00:09:01Z"/>
        <d v="2022-03-30T23:03:42Z"/>
        <d v="2022-03-30T22:19:58Z"/>
        <d v="2022-03-30T22:19:42Z"/>
        <d v="2022-03-30T22:17:23Z"/>
        <d v="2022-03-30T22:17:20Z"/>
        <d v="2022-03-30T22:17:19Z"/>
        <d v="2022-03-30T22:17:18Z"/>
        <d v="2022-03-30T22:17:17Z"/>
        <d v="2022-03-30T22:17:15Z"/>
        <d v="2022-03-30T22:17:10Z"/>
        <d v="2022-03-30T22:17:09Z"/>
        <d v="2022-03-30T22:17:08Z"/>
        <d v="2022-03-30T22:17:06Z"/>
        <d v="2022-03-30T22:17:00Z"/>
        <d v="2022-03-30T21:50:48Z"/>
        <d v="2022-03-30T21:36:53Z"/>
        <d v="2022-03-30T21:06:27Z"/>
        <d v="2022-03-30T20:52:58Z"/>
        <d v="2022-03-30T20:32:45Z"/>
        <d v="2022-03-30T20:04:53Z"/>
        <d v="2022-03-30T20:01:39Z"/>
        <d v="2022-03-30T20:00:56Z"/>
        <d v="2022-03-30T19:50:53Z"/>
        <d v="2022-03-30T16:14:21Z"/>
        <d v="2022-03-30T15:51:19Z"/>
        <d v="2022-03-30T15:49:30Z"/>
        <d v="2022-03-30T12:52:08Z"/>
        <d v="2022-03-30T12:50:22Z"/>
        <d v="2022-03-30T09:24:28Z"/>
        <d v="2022-03-30T09:20:02Z"/>
        <d v="2022-03-30T08:47:28Z"/>
        <d v="2022-03-30T06:59:41Z"/>
        <d v="2022-03-29T23:43:45Z"/>
        <d v="2022-03-29T22:26:56Z"/>
        <d v="2022-03-29T22:03:50Z"/>
        <d v="2022-03-29T22:03:27Z"/>
        <d v="2022-03-29T22:00:49Z"/>
        <d v="2022-03-29T21:58:39Z"/>
        <d v="2022-03-29T21:54:31Z"/>
        <d v="2022-03-29T17:30:36Z"/>
        <d v="2022-03-29T17:22:28Z"/>
        <d v="2022-03-29T13:15:40Z"/>
        <d v="2022-03-29T10:28:26Z"/>
        <d v="2022-03-29T10:05:29Z"/>
        <d v="2022-03-29T09:16:49Z"/>
        <d v="2022-03-29T06:27:29Z"/>
        <d v="2022-03-28T19:10:05Z"/>
        <d v="2022-03-28T18:17:44Z"/>
        <d v="2022-03-28T17:50:15Z"/>
        <d v="2022-03-28T15:18:46Z"/>
        <d v="2022-03-28T15:14:46Z"/>
        <d v="2022-03-28T14:11:43Z"/>
        <d v="2022-03-28T13:43:22Z"/>
        <d v="2022-03-28T13:29:15Z"/>
        <d v="2022-03-28T13:26:26Z"/>
        <d v="2022-03-28T12:55:46Z"/>
        <d v="2022-03-28T12:52:18Z"/>
        <d v="2022-03-28T12:48:24Z"/>
        <d v="2022-03-28T11:35:57Z"/>
        <d v="2022-03-28T11:30:31Z"/>
        <d v="2022-03-28T11:30:21Z"/>
        <d v="2022-03-28T09:39:30Z"/>
        <d v="2022-03-28T09:39:29Z"/>
        <d v="2022-03-28T09:34:09Z"/>
        <d v="2022-03-28T07:44:20Z"/>
        <d v="2022-03-28T02:02:04Z"/>
        <d v="2022-03-28T02:01:20Z"/>
        <d v="2022-03-27T22:54:57Z"/>
        <d v="2022-03-27T22:37:25Z"/>
        <d v="2022-03-27T21:35:23Z"/>
        <d v="2022-03-27T20:59:48Z"/>
        <d v="2022-03-27T18:25:10Z"/>
        <d v="2022-03-27T17:49:58Z"/>
        <d v="2022-03-27T17:49:19Z"/>
        <d v="2022-03-27T17:48:14Z"/>
        <d v="2022-03-27T14:18:48Z"/>
        <d v="2022-03-27T14:14:31Z"/>
        <d v="2022-03-27T12:40:35Z"/>
        <d v="2022-03-27T11:48:43Z"/>
        <d v="2022-03-27T11:20:52Z"/>
        <d v="2022-03-27T11:14:06Z"/>
        <d v="2022-03-27T11:02:38Z"/>
        <d v="2022-03-27T10:59:18Z"/>
        <d v="2022-03-27T09:59:30Z"/>
        <d v="2022-03-27T09:53:09Z"/>
        <d v="2022-03-27T09:25:00Z"/>
        <d v="2022-03-27T09:00:45Z"/>
        <d v="2022-03-27T08:11:03Z"/>
        <d v="2022-03-27T08:02:54Z"/>
        <d v="2022-03-27T07:44:52Z"/>
        <d v="2022-03-27T02:50:43Z"/>
        <d v="2022-03-26T17:36:38Z"/>
        <d v="2022-03-26T17:34:36Z"/>
        <d v="2022-03-26T17:22:46Z"/>
        <d v="2022-03-26T17:08:05Z"/>
        <d v="2022-03-26T17:06:26Z"/>
        <d v="2022-03-26T15:59:51Z"/>
        <d v="2022-03-26T14:37:11Z"/>
        <d v="2022-03-26T14:14:58Z"/>
        <d v="2022-03-26T13:13:59Z"/>
        <d v="2022-03-26T13:11:40Z"/>
        <d v="2022-03-26T13:08:49Z"/>
        <d v="2022-03-26T12:09:08Z"/>
        <d v="2022-03-26T11:14:30Z"/>
        <d v="2022-03-26T11:04:33Z"/>
        <d v="2022-03-26T10:30:54Z"/>
        <d v="2022-03-26T10:25:49Z"/>
        <d v="2022-03-26T10:09:22Z"/>
        <d v="2022-03-26T09:57:35Z"/>
        <d v="2022-03-26T09:12:22Z"/>
        <d v="2022-03-26T09:12:20Z"/>
        <d v="2022-03-26T09:12:18Z"/>
        <d v="2022-03-26T08:58:21Z"/>
        <d v="2022-03-26T08:56:18Z"/>
        <d v="2022-03-26T07:28:20Z"/>
        <d v="2022-03-26T07:27:36Z"/>
        <d v="2022-03-26T07:04:36Z"/>
        <d v="2022-03-26T06:45:59Z"/>
        <d v="2022-03-26T05:54:50Z"/>
        <d v="2022-03-26T03:54:28Z"/>
        <d v="2022-03-26T01:47:37Z"/>
        <d v="2022-03-26T00:45:24Z"/>
        <d v="2022-03-26T00:44:56Z"/>
        <d v="2022-03-26T00:42:11Z"/>
        <d v="2022-03-26T00:29:51Z"/>
        <d v="2022-03-26T00:04:22Z"/>
        <d v="2022-03-26T00:01:48Z"/>
        <d v="2022-03-25T23:22:48Z"/>
        <d v="2022-03-25T22:50:23Z"/>
        <d v="2022-03-25T22:47:36Z"/>
        <d v="2022-03-25T21:39:48Z"/>
        <d v="2022-03-25T20:32:49Z"/>
        <d v="2022-03-25T20:25:30Z"/>
        <d v="2022-03-25T20:17:34Z"/>
        <d v="2022-03-25T20:12:08Z"/>
        <d v="2022-03-25T20:04:29Z"/>
        <d v="2022-03-25T19:58:58Z"/>
        <d v="2022-03-25T19:58:56Z"/>
        <d v="2022-03-25T19:57:06Z"/>
        <d v="2022-03-25T19:51:01Z"/>
        <d v="2022-03-25T19:10:56Z"/>
        <d v="2022-03-25T18:51:24Z"/>
        <d v="2022-03-25T18:39:41Z"/>
        <d v="2022-03-25T18:25:10Z"/>
        <d v="2022-03-25T18:17:54Z"/>
        <d v="2022-03-25T18:15:31Z"/>
        <d v="2022-03-25T18:09:39Z"/>
        <d v="2022-03-25T18:09:00Z"/>
        <d v="2022-03-25T17:22:46Z"/>
        <d v="2022-03-25T17:15:16Z"/>
        <d v="2022-03-25T17:09:35Z"/>
        <d v="2022-03-25T17:08:05Z"/>
        <d v="2022-03-25T16:55:51Z"/>
        <d v="2022-03-25T16:40:10Z"/>
        <d v="2022-03-25T16:26:28Z"/>
        <d v="2022-03-25T16:21:48Z"/>
        <d v="2022-03-25T16:20:42Z"/>
        <d v="2022-03-25T16:19:33Z"/>
        <d v="2022-03-25T16:18:07Z"/>
        <d v="2022-03-25T15:34:02Z"/>
        <d v="2022-03-25T15:24:48Z"/>
        <d v="2022-03-25T14:59:27Z"/>
        <d v="2022-03-25T14:48:57Z"/>
        <d v="2022-03-25T14:35:42Z"/>
        <d v="2022-03-25T14:27:41Z"/>
        <d v="2022-03-25T14:06:52Z"/>
        <d v="2022-03-25T14:05:19Z"/>
        <d v="2022-03-25T14:04:37Z"/>
        <d v="2022-03-25T13:56:37Z"/>
        <d v="2022-03-25T13:52:03Z"/>
        <d v="2022-03-25T13:35:21Z"/>
        <d v="2022-03-25T13:34:57Z"/>
        <d v="2022-03-25T13:34:49Z"/>
        <d v="2022-03-25T13:33:57Z"/>
        <d v="2022-03-25T13:33:49Z"/>
        <d v="2022-03-25T13:33:38Z"/>
        <d v="2022-03-25T13:33:19Z"/>
        <d v="2022-03-25T12:40:32Z"/>
        <d v="2022-03-25T12:40:13Z"/>
        <d v="2022-03-25T12:31:34Z"/>
        <d v="2022-03-25T12:15:05Z"/>
        <d v="2022-03-25T12:08:39Z"/>
        <d v="2022-03-25T12:06:45Z"/>
        <d v="2022-03-25T12:00:18Z"/>
        <d v="2022-03-25T11:49:07Z"/>
        <d v="2022-03-25T11:42:08Z"/>
        <d v="2022-03-25T11:40:09Z"/>
        <d v="2022-03-25T11:35:11Z"/>
        <d v="2022-03-25T11:25:08Z"/>
        <d v="2022-03-25T11:15:02Z"/>
        <d v="2022-03-25T11:11:22Z"/>
        <d v="2022-03-25T10:52:05Z"/>
        <d v="2022-03-25T10:39:13Z"/>
        <d v="2022-03-25T10:33:10Z"/>
        <d v="2022-03-25T10:07:55Z"/>
        <d v="2022-03-25T10:07:05Z"/>
        <d v="2022-03-25T09:59:24Z"/>
        <d v="2022-03-25T09:56:31Z"/>
        <d v="2022-03-25T09:50:18Z"/>
        <d v="2022-03-25T09:41:20Z"/>
        <d v="2022-03-25T09:26:52Z"/>
        <d v="2022-03-25T09:08:14Z"/>
        <d v="2022-03-25T08:33:56Z"/>
        <d v="2022-03-25T08:21:15Z"/>
        <d v="2022-03-25T08:20:35Z"/>
        <d v="2022-03-25T08:01:15Z"/>
        <d v="2022-03-25T07:59:31Z"/>
        <d v="2022-03-25T07:47:25Z"/>
        <d v="2022-03-25T06:57:14Z"/>
        <d v="2022-03-25T04:14:19Z"/>
        <d v="2022-03-25T04:13:54Z"/>
        <d v="2022-03-25T03:07:28Z"/>
        <d v="2022-03-25T03:03:57Z"/>
        <d v="2022-03-25T01:58:47Z"/>
        <d v="2022-03-25T00:53:21Z"/>
        <d v="2022-03-25T00:43:21Z"/>
        <d v="2022-03-25T00:37:47Z"/>
        <d v="2022-03-25T00:21:21Z"/>
        <d v="2022-03-25T00:11:34Z"/>
        <d v="2022-03-24T23:24:14Z"/>
        <d v="2022-03-24T23:11:09Z"/>
        <d v="2022-03-24T23:00:33Z"/>
        <d v="2022-03-24T22:49:15Z"/>
        <d v="2022-03-24T22:48:48Z"/>
        <d v="2022-03-24T22:48:47Z"/>
        <d v="2022-03-24T22:28:40Z"/>
        <d v="2022-03-24T22:24:43Z"/>
        <d v="2022-03-24T22:23:35Z"/>
        <d v="2022-03-24T22:09:57Z"/>
        <d v="2022-03-24T21:56:16Z"/>
        <d v="2022-03-24T21:53:46Z"/>
        <d v="2022-03-24T21:47:30Z"/>
        <d v="2022-03-24T21:44:46Z"/>
        <d v="2022-03-24T21:42:40Z"/>
        <d v="2022-03-24T21:34:19Z"/>
        <d v="2022-03-24T21:31:23Z"/>
        <d v="2022-03-24T21:30:55Z"/>
        <d v="2022-03-24T21:01:27Z"/>
        <d v="2022-03-24T21:01:19Z"/>
        <d v="2022-03-24T20:43:54Z"/>
        <d v="2022-03-24T20:09:01Z"/>
        <d v="2022-03-24T20:08:48Z"/>
        <d v="2022-03-24T19:58:20Z"/>
        <d v="2022-03-24T19:57:58Z"/>
        <d v="2022-03-24T19:57:22Z"/>
        <d v="2022-03-24T19:53:52Z"/>
        <d v="2022-03-24T19:50:26Z"/>
        <d v="2022-03-24T19:33:29Z"/>
        <d v="2022-03-24T19:32:08Z"/>
        <d v="2022-03-24T19:27:35Z"/>
        <d v="2022-03-24T19:25:23Z"/>
        <d v="2022-03-24T19:17:39Z"/>
        <d v="2022-03-24T19:16:49Z"/>
        <d v="2022-03-24T18:17:26Z"/>
        <d v="2022-03-24T18:01:11Z"/>
        <d v="2022-03-24T17:46:41Z"/>
        <d v="2022-03-24T17:40:26Z"/>
        <d v="2022-03-24T17:27:58Z"/>
        <d v="2022-03-24T17:19:23Z"/>
        <d v="2022-03-24T17:11:21Z"/>
        <d v="2022-03-24T17:09:52Z"/>
        <d v="2022-03-24T17:04:57Z"/>
        <d v="2022-03-24T16:54:32Z"/>
        <d v="2022-03-24T16:52:16Z"/>
        <d v="2022-03-24T16:51:24Z"/>
        <d v="2022-03-24T16:48:30Z"/>
        <d v="2022-03-24T16:41:12Z"/>
        <d v="2022-03-24T16:30:47Z"/>
        <d v="2022-03-24T16:24:59Z"/>
        <d v="2022-03-24T16:16:42Z"/>
        <d v="2022-03-24T16:01:12Z"/>
        <d v="2022-03-24T16:00:09Z"/>
        <d v="2022-03-24T15:57:25Z"/>
        <d v="2022-03-24T15:55:04Z"/>
        <d v="2022-03-24T15:51:10Z"/>
        <d v="2022-03-24T15:47:41Z"/>
        <d v="2022-03-24T15:46:58Z"/>
        <d v="2022-03-24T15:45:42Z"/>
        <d v="2022-03-24T15:43:44Z"/>
        <d v="2022-03-24T15:31:49Z"/>
        <d v="2022-03-24T15:22:46Z"/>
        <d v="2022-03-24T15:22:17Z"/>
        <d v="2022-03-24T14:38:33Z"/>
        <d v="2022-03-24T13:58:12Z"/>
        <d v="2022-03-24T13:55:27Z"/>
        <d v="2022-03-24T13:50:17Z"/>
        <d v="2022-03-24T13:46:50Z"/>
        <d v="2022-03-24T13:46:25Z"/>
        <d v="2022-03-24T13:41:53Z"/>
        <d v="2022-03-24T13:37:48Z"/>
        <d v="2022-03-24T12:47:26Z"/>
        <d v="2022-03-24T12:05:49Z"/>
        <d v="2022-03-24T11:42:02Z"/>
        <d v="2022-03-24T11:37:17Z"/>
        <d v="2022-03-24T11:35:55Z"/>
        <d v="2022-03-24T11:35:17Z"/>
        <d v="2022-03-24T11:16:25Z"/>
        <d v="2022-03-24T11:05:48Z"/>
        <d v="2022-03-24T10:56:49Z"/>
        <d v="2022-03-24T10:22:22Z"/>
        <d v="2022-03-24T10:19:01Z"/>
        <d v="2022-03-24T10:12:15Z"/>
        <d v="2022-03-24T10:10:07Z"/>
        <d v="2022-03-24T09:59:48Z"/>
        <d v="2022-03-24T08:35:10Z"/>
        <d v="2022-03-24T08:26:35Z"/>
        <d v="2022-03-24T08:24:35Z"/>
        <d v="2022-03-24T08:20:14Z"/>
        <d v="2022-03-24T08:20:01Z"/>
        <d v="2022-03-24T06:48:35Z"/>
        <d v="2022-03-24T05:56:18Z"/>
        <d v="2022-03-24T04:36:02Z"/>
        <d v="2022-03-24T04:05:44Z"/>
        <d v="2022-03-24T03:35:37Z"/>
        <d v="2022-03-24T00:45:12Z"/>
        <d v="2022-03-24T00:44:46Z"/>
        <d v="2022-03-24T00:42:29Z"/>
        <d v="2022-03-24T00:39:35Z"/>
        <d v="2022-03-24T00:39:30Z"/>
        <d v="2022-03-24T00:33:32Z"/>
        <d v="2022-03-24T00:04:03Z"/>
        <d v="2022-03-23T22:44:46Z"/>
        <d v="2022-03-23T22:42:32Z"/>
        <d v="2022-03-23T21:53:37Z"/>
        <d v="2022-03-23T20:49:42Z"/>
        <d v="2022-03-23T20:29:31Z"/>
        <d v="2022-03-23T20:26:33Z"/>
        <d v="2022-03-23T20:19:54Z"/>
        <d v="2022-03-23T19:38:51Z"/>
        <d v="2022-03-23T19:37:23Z"/>
        <d v="2022-03-23T19:27:07Z"/>
        <d v="2022-03-23T19:21:03Z"/>
        <d v="2022-03-23T19:20:25Z"/>
        <d v="2022-03-23T18:51:54Z"/>
        <d v="2022-03-23T18:51:11Z"/>
        <d v="2022-03-23T18:41:38Z"/>
        <d v="2022-03-23T18:26:53Z"/>
        <d v="2022-03-23T18:16:28Z"/>
        <d v="2022-03-23T18:10:21Z"/>
        <d v="2022-03-23T17:51:44Z"/>
        <d v="2022-03-23T17:40:35Z"/>
        <d v="2022-03-23T17:25:24Z"/>
        <d v="2022-03-23T17:01:06Z"/>
        <d v="2022-03-23T17:00:29Z"/>
        <d v="2022-03-23T16:31:17Z"/>
        <d v="2022-03-23T16:22:38Z"/>
        <d v="2022-03-23T16:16:25Z"/>
        <d v="2022-03-23T16:12:34Z"/>
        <d v="2022-03-23T15:35:41Z"/>
        <d v="2022-03-23T15:28:26Z"/>
        <d v="2022-03-23T15:02:15Z"/>
        <d v="2022-03-23T14:57:28Z"/>
        <d v="2022-03-23T14:20:43Z"/>
        <d v="2022-03-23T14:17:29Z"/>
        <d v="2022-03-23T14:15:25Z"/>
        <d v="2022-03-23T14:10:37Z"/>
        <d v="2022-03-23T14:08:11Z"/>
        <d v="2022-03-23T14:06:31Z"/>
        <d v="2022-03-23T14:05:03Z"/>
        <d v="2022-03-23T13:30:48Z"/>
        <d v="2022-03-23T13:20:08Z"/>
        <d v="2022-03-23T13:17:42Z"/>
        <d v="2022-03-23T13:13:32Z"/>
        <d v="2022-03-23T12:55:54Z"/>
        <d v="2022-03-23T12:39:53Z"/>
        <d v="2022-03-23T12:32:55Z"/>
        <d v="2022-03-23T12:30:50Z"/>
        <d v="2022-03-23T12:29:47Z"/>
        <d v="2022-03-23T12:18:35Z"/>
        <d v="2022-03-23T12:12:21Z"/>
        <d v="2022-03-23T12:06:47Z"/>
        <d v="2022-03-23T11:38:47Z"/>
        <d v="2022-03-23T11:36:14Z"/>
        <d v="2022-03-23T11:13:39Z"/>
        <d v="2022-03-23T10:23:44Z"/>
        <d v="2022-03-23T10:23:37Z"/>
        <d v="2022-03-23T10:23:35Z"/>
        <d v="2022-03-23T10:23:34Z"/>
        <d v="2022-03-23T10:18:00Z"/>
        <d v="2022-03-23T09:45:19Z"/>
        <d v="2022-03-23T09:42:11Z"/>
        <d v="2022-03-23T09:04:35Z"/>
        <d v="2022-03-23T08:52:23Z"/>
        <d v="2022-03-23T08:50:05Z"/>
        <d v="2022-03-23T08:44:11Z"/>
        <d v="2022-03-23T08:25:39Z"/>
        <d v="2022-03-23T08:11:17Z"/>
        <d v="2022-03-23T08:03:28Z"/>
        <d v="2022-03-23T07:38:02Z"/>
        <d v="2022-03-23T05:52:51Z"/>
        <d v="2022-03-23T05:51:07Z"/>
        <d v="2022-03-23T05:19:57Z"/>
        <d v="2022-03-23T02:37:10Z"/>
        <d v="2022-03-23T02:16:35Z"/>
        <d v="2022-03-23T02:11:17Z"/>
        <d v="2022-03-23T02:09:21Z"/>
        <d v="2022-03-23T02:09:11Z"/>
        <d v="2022-03-23T00:41:21Z"/>
        <d v="2022-03-23T00:23:46Z"/>
        <d v="2022-03-23T00:23:18Z"/>
        <d v="2022-03-23T00:16:56Z"/>
        <d v="2022-03-23T00:07:31Z"/>
        <d v="2022-03-22T23:38:27Z"/>
        <d v="2022-03-22T23:38:26Z"/>
        <d v="2022-03-22T23:33:51Z"/>
        <d v="2022-03-22T23:17:12Z"/>
        <d v="2022-03-22T23:02:24Z"/>
        <d v="2022-03-22T22:56:14Z"/>
        <d v="2022-03-22T22:49:53Z"/>
        <d v="2022-03-22T22:35:51Z"/>
        <d v="2022-03-22T22:18:41Z"/>
        <d v="2022-03-22T21:50:38Z"/>
        <d v="2022-03-22T21:41:54Z"/>
        <d v="2022-03-22T21:29:51Z"/>
        <d v="2022-03-22T21:23:16Z"/>
        <d v="2022-03-22T21:12:22Z"/>
        <d v="2022-03-22T21:09:39Z"/>
        <d v="2022-03-22T20:06:26Z"/>
        <d v="2022-03-22T20:05:17Z"/>
        <d v="2022-03-22T19:12:37Z"/>
        <d v="2022-03-22T19:10:33Z"/>
        <d v="2022-03-22T19:01:58Z"/>
        <d v="2022-03-22T18:16:49Z"/>
        <d v="2022-03-22T17:39:16Z"/>
        <d v="2022-03-22T17:35:11Z"/>
        <d v="2022-03-22T17:22:26Z"/>
        <d v="2022-03-22T16:31:28Z"/>
        <d v="2022-03-22T16:04:32Z"/>
        <d v="2022-03-22T15:51:17Z"/>
        <d v="2022-03-22T15:46:33Z"/>
        <d v="2022-03-22T15:15:31Z"/>
        <d v="2022-03-22T15:15:18Z"/>
        <d v="2022-03-22T15:12:45Z"/>
        <d v="2022-03-22T14:46:53Z"/>
        <d v="2022-03-22T14:41:41Z"/>
        <d v="2022-03-22T13:53:04Z"/>
        <d v="2022-03-22T13:51:59Z"/>
        <d v="2022-03-22T13:30:17Z"/>
        <d v="2022-03-22T13:24:51Z"/>
        <d v="2022-03-22T13:21:22Z"/>
        <d v="2022-03-22T12:35:24Z"/>
        <d v="2022-03-22T12:19:27Z"/>
        <d v="2022-03-22T11:41:18Z"/>
        <d v="2022-03-22T11:34:43Z"/>
        <d v="2022-03-22T11:33:57Z"/>
        <d v="2022-03-22T11:07:00Z"/>
        <d v="2022-03-22T10:48:03Z"/>
        <d v="2022-03-22T10:33:48Z"/>
        <d v="2022-03-22T09:54:08Z"/>
        <d v="2022-03-22T09:16:57Z"/>
        <d v="2022-03-22T09:06:38Z"/>
        <d v="2022-03-22T08:57:31Z"/>
        <d v="2022-03-22T08:37:03Z"/>
        <d v="2022-03-22T08:16:46Z"/>
        <d v="2022-03-22T08:13:02Z"/>
        <d v="2022-03-22T08:06:30Z"/>
        <d v="2022-03-22T07:54:34Z"/>
        <d v="2022-03-22T06:52:38Z"/>
        <d v="2022-03-22T06:19:00Z"/>
        <d v="2022-03-22T04:38:38Z"/>
        <d v="2022-03-22T04:36:09Z"/>
        <d v="2022-03-22T02:54:28Z"/>
        <d v="2022-03-22T02:32:05Z"/>
        <d v="2022-03-22T02:23:46Z"/>
        <d v="2022-03-22T02:20:41Z"/>
        <d v="2022-03-22T02:06:23Z"/>
        <d v="2022-03-22T01:17:51Z"/>
        <d v="2022-03-22T01:10:09Z"/>
        <d v="2022-03-22T01:05:20Z"/>
        <d v="2022-03-22T01:04:23Z"/>
        <d v="2022-03-22T00:48:37Z"/>
        <d v="2022-03-22T00:48:25Z"/>
        <d v="2022-03-21T23:52:53Z"/>
        <d v="2022-03-21T23:38:23Z"/>
        <d v="2022-03-21T23:20:13Z"/>
        <d v="2022-03-21T23:14:57Z"/>
        <d v="2022-03-21T23:14:33Z"/>
        <d v="2022-03-21T23:13:50Z"/>
        <d v="2022-03-21T21:54:25Z"/>
        <d v="2022-03-21T21:50:41Z"/>
        <d v="2022-03-21T21:50:34Z"/>
        <d v="2022-03-21T21:49:45Z"/>
        <d v="2022-03-21T21:49:11Z"/>
        <d v="2022-03-21T21:46:46Z"/>
        <d v="2022-03-21T21:45:38Z"/>
        <d v="2022-03-21T21:40:07Z"/>
        <d v="2022-03-21T21:37:38Z"/>
        <d v="2022-03-21T21:37:14Z"/>
        <d v="2022-03-21T21:37:01Z"/>
        <d v="2022-03-21T21:26:39Z"/>
        <d v="2022-03-21T21:24:46Z"/>
        <d v="2022-03-21T21:20:54Z"/>
        <d v="2022-03-21T21:14:52Z"/>
        <d v="2022-03-21T21:05:13Z"/>
        <d v="2022-03-21T21:05:08Z"/>
        <d v="2022-03-21T21:00:59Z"/>
        <d v="2022-03-21T20:59:18Z"/>
        <d v="2022-03-21T20:54:49Z"/>
        <d v="2022-03-21T20:41:46Z"/>
        <d v="2022-03-21T20:10:28Z"/>
        <d v="2022-03-21T19:53:41Z"/>
        <d v="2022-03-21T19:43:09Z"/>
        <d v="2022-03-21T19:42:10Z"/>
        <d v="2022-03-21T19:34:57Z"/>
        <d v="2022-03-21T19:32:39Z"/>
        <d v="2022-03-21T19:31:58Z"/>
        <d v="2022-03-21T19:26:59Z"/>
        <d v="2022-03-21T19:21:34Z"/>
        <d v="2022-03-21T19:21:16Z"/>
        <d v="2022-03-21T18:52:02Z"/>
        <d v="2022-03-21T18:05:54Z"/>
        <d v="2022-03-21T18:04:03Z"/>
        <d v="2022-03-21T18:02:15Z"/>
        <d v="2022-03-21T17:41:51Z"/>
        <d v="2022-03-21T17:41:06Z"/>
        <d v="2022-03-21T17:40:37Z"/>
        <d v="2022-03-21T17:40:14Z"/>
        <d v="2022-03-21T17:34:38Z"/>
        <d v="2022-03-21T17:27:02Z"/>
        <d v="2022-03-21T14:50:48Z"/>
        <d v="2022-03-21T13:35:16Z"/>
        <d v="2022-03-21T13:29:31Z"/>
        <d v="2022-03-21T12:46:30Z"/>
        <d v="2022-03-21T12:46:14Z"/>
        <d v="2022-03-21T12:28:41Z"/>
        <d v="2022-03-21T12:10:13Z"/>
        <d v="2022-03-21T12:09:41Z"/>
        <d v="2022-03-21T11:52:50Z"/>
        <d v="2022-03-21T11:52:36Z"/>
        <d v="2022-03-21T11:39:52Z"/>
        <d v="2022-03-21T11:38:44Z"/>
        <d v="2022-03-21T11:31:33Z"/>
        <d v="2022-03-21T11:28:32Z"/>
        <d v="2022-03-21T10:59:44Z"/>
        <d v="2022-03-21T10:56:55Z"/>
        <d v="2022-03-21T10:23:17Z"/>
        <d v="2022-03-21T10:18:53Z"/>
        <d v="2022-03-21T10:16:45Z"/>
        <d v="2022-03-21T09:52:14Z"/>
        <d v="2022-03-21T09:41:56Z"/>
        <d v="2022-03-21T08:50:35Z"/>
        <d v="2022-03-21T08:50:00Z"/>
        <d v="2022-03-21T08:07:12Z"/>
        <d v="2022-03-21T07:52:34Z"/>
        <d v="2022-03-21T07:50:39Z"/>
        <d v="2022-03-21T07:45:20Z"/>
        <d v="2022-03-21T07:16:02Z"/>
        <d v="2022-03-21T07:14:34Z"/>
        <d v="2022-03-21T07:07:23Z"/>
        <d v="2022-03-21T07:06:29Z"/>
        <d v="2022-03-21T07:02:50Z"/>
        <d v="2022-03-21T07:00:09Z"/>
        <d v="2022-03-21T06:58:40Z"/>
        <d v="2022-03-21T06:24:22Z"/>
        <d v="2022-03-21T06:15:29Z"/>
        <d v="2022-03-21T03:22:44Z"/>
        <d v="2022-03-21T03:21:42Z"/>
        <d v="2022-03-21T03:10:49Z"/>
        <d v="2022-03-21T02:55:19Z"/>
        <d v="2022-03-21T02:38:20Z"/>
        <d v="2022-03-21T02:09:45Z"/>
        <d v="2022-03-21T01:06:57Z"/>
        <d v="2022-03-21T00:44:44Z"/>
        <d v="2022-03-21T00:34:51Z"/>
        <d v="2022-03-21T00:32:15Z"/>
        <d v="2022-03-21T00:28:16Z"/>
        <d v="2022-03-20T23:33:47Z"/>
        <d v="2022-03-20T23:33:37Z"/>
        <d v="2022-03-20T23:12:09Z"/>
        <d v="2022-03-20T22:37:57Z"/>
        <d v="2022-03-20T22:37:16Z"/>
        <d v="2022-03-20T22:25:16Z"/>
        <d v="2022-03-20T21:44:35Z"/>
        <d v="2022-03-20T21:34:40Z"/>
        <d v="2022-03-20T21:21:58Z"/>
        <d v="2022-03-20T21:17:44Z"/>
        <d v="2022-03-20T21:07:58Z"/>
        <d v="2022-03-20T21:01:35Z"/>
        <d v="2022-03-20T20:55:08Z"/>
        <d v="2022-03-20T20:54:30Z"/>
        <d v="2022-03-20T20:48:56Z"/>
        <d v="2022-03-20T20:48:18Z"/>
        <d v="2022-03-20T20:46:03Z"/>
        <d v="2022-03-20T20:41:47Z"/>
        <d v="2022-03-20T20:33:45Z"/>
        <d v="2022-03-20T20:31:56Z"/>
        <d v="2022-03-20T20:27:27Z"/>
        <d v="2022-03-20T20:23:11Z"/>
        <d v="2022-03-20T20:18:31Z"/>
        <d v="2022-03-20T20:17:02Z"/>
        <d v="2022-03-20T20:12:58Z"/>
        <d v="2022-03-20T20:12:23Z"/>
        <d v="2022-03-20T20:04:21Z"/>
        <d v="2022-03-20T20:03:39Z"/>
        <d v="2022-03-20T20:03:31Z"/>
        <d v="2022-03-20T19:36:46Z"/>
        <d v="2022-03-20T19:14:14Z"/>
        <d v="2022-03-20T19:12:54Z"/>
        <d v="2022-03-20T18:07:30Z"/>
        <d v="2022-03-20T17:20:16Z"/>
        <d v="2022-03-20T17:03:47Z"/>
        <d v="2022-03-20T17:00:28Z"/>
        <d v="2022-03-20T15:53:10Z"/>
        <d v="2022-03-20T15:51:42Z"/>
        <d v="2022-03-20T15:20:35Z"/>
        <d v="2022-03-20T15:15:53Z"/>
        <d v="2022-03-20T15:09:42Z"/>
        <d v="2022-03-20T15:04:09Z"/>
        <d v="2022-03-20T15:03:14Z"/>
        <d v="2022-03-20T14:36:13Z"/>
        <d v="2022-03-20T14:35:57Z"/>
        <d v="2022-03-20T14:08:12Z"/>
        <d v="2022-03-20T13:44:22Z"/>
        <d v="2022-03-20T13:22:41Z"/>
        <d v="2022-03-20T12:33:42Z"/>
        <d v="2022-03-20T12:22:16Z"/>
        <d v="2022-03-20T12:10:22Z"/>
        <d v="2022-03-20T11:39:38Z"/>
        <d v="2022-03-20T10:35:28Z"/>
        <d v="2022-03-20T10:21:11Z"/>
        <d v="2022-03-20T10:02:31Z"/>
        <d v="2022-03-20T09:42:33Z"/>
        <d v="2022-03-20T09:21:39Z"/>
        <d v="2022-03-20T09:06:18Z"/>
        <d v="2022-03-20T09:00:15Z"/>
        <d v="2022-03-20T09:00:00Z"/>
        <d v="2022-03-20T08:46:08Z"/>
        <d v="2022-03-20T08:41:40Z"/>
        <d v="2022-03-20T08:21:10Z"/>
        <d v="2022-03-20T08:02:19Z"/>
        <d v="2022-03-20T07:58:52Z"/>
        <d v="2022-03-20T07:49:02Z"/>
        <d v="2022-03-20T07:47:50Z"/>
        <d v="2022-03-20T07:47:23Z"/>
        <d v="2022-03-20T06:43:28Z"/>
        <d v="2022-03-20T06:40:33Z"/>
        <d v="2022-03-20T05:34:07Z"/>
        <d v="2022-03-20T03:55:46Z"/>
        <d v="2022-03-20T03:50:29Z"/>
        <d v="2022-03-20T03:28:19Z"/>
        <d v="2022-03-20T03:22:54Z"/>
        <d v="2022-03-20T03:22:32Z"/>
        <d v="2022-03-20T03:19:23Z"/>
        <d v="2022-03-20T03:10:52Z"/>
        <d v="2022-03-20T03:00:46Z"/>
        <d v="2022-03-20T02:54:18Z"/>
        <d v="2022-03-20T02:39:34Z"/>
        <d v="2022-03-20T01:31:06Z"/>
        <d v="2022-03-20T00:02:37Z"/>
        <d v="2022-03-19T23:27:59Z"/>
        <d v="2022-03-19T23:21:45Z"/>
        <d v="2022-03-19T23:19:12Z"/>
        <d v="2022-03-19T23:17:12Z"/>
        <d v="2022-03-19T23:08:38Z"/>
        <d v="2022-03-19T22:38:56Z"/>
        <d v="2022-03-19T22:09:28Z"/>
        <d v="2022-03-19T21:51:36Z"/>
        <d v="2022-03-19T21:23:32Z"/>
        <d v="2022-03-19T21:06:00Z"/>
        <d v="2022-03-19T21:05:27Z"/>
        <d v="2022-03-19T20:08:18Z"/>
        <d v="2022-03-19T20:05:39Z"/>
        <d v="2022-03-19T19:46:20Z"/>
        <d v="2022-03-19T19:32:03Z"/>
        <d v="2022-03-19T19:29:07Z"/>
        <d v="2022-03-19T18:34:43Z"/>
        <d v="2022-03-19T18:11:45Z"/>
        <d v="2022-03-19T18:01:57Z"/>
        <d v="2022-03-19T17:53:31Z"/>
        <d v="2022-03-19T17:44:36Z"/>
        <d v="2022-03-19T17:44:04Z"/>
        <d v="2022-03-19T17:12:04Z"/>
        <d v="2022-03-19T17:11:51Z"/>
        <d v="2022-03-19T17:01:24Z"/>
        <d v="2022-03-19T16:46:12Z"/>
        <d v="2022-03-19T16:16:10Z"/>
        <d v="2022-03-19T15:31:10Z"/>
        <d v="2022-03-19T15:25:23Z"/>
        <d v="2022-03-19T15:19:48Z"/>
        <d v="2022-03-19T15:14:58Z"/>
        <d v="2022-03-19T15:14:01Z"/>
        <d v="2022-03-19T12:30:32Z"/>
        <d v="2022-03-19T12:28:43Z"/>
        <d v="2022-03-19T12:16:32Z"/>
        <d v="2022-03-19T12:02:51Z"/>
        <d v="2022-03-19T12:02:30Z"/>
        <d v="2022-03-19T11:55:44Z"/>
        <d v="2022-03-19T11:51:08Z"/>
        <d v="2022-03-19T11:26:27Z"/>
        <d v="2022-03-19T10:49:58Z"/>
        <d v="2022-03-19T10:49:50Z"/>
        <d v="2022-03-19T10:48:41Z"/>
        <d v="2022-03-19T10:06:09Z"/>
        <d v="2022-03-19T10:05:36Z"/>
        <d v="2022-03-19T10:01:51Z"/>
        <d v="2022-03-19T09:39:27Z"/>
        <d v="2022-03-19T09:24:54Z"/>
        <d v="2022-03-19T09:22:35Z"/>
        <d v="2022-03-19T09:21:18Z"/>
        <d v="2022-03-19T09:16:38Z"/>
        <d v="2022-03-19T09:02:27Z"/>
        <d v="2022-03-19T08:30:44Z"/>
        <d v="2022-03-19T07:58:54Z"/>
        <d v="2022-03-19T07:58:16Z"/>
        <d v="2022-03-19T07:56:09Z"/>
        <d v="2022-03-19T07:53:59Z"/>
        <d v="2022-03-19T07:53:47Z"/>
        <d v="2022-03-19T07:27:27Z"/>
        <d v="2022-03-19T02:01:44Z"/>
        <d v="2022-03-19T01:32:07Z"/>
        <d v="2022-03-19T01:30:25Z"/>
        <d v="2022-03-19T01:27:02Z"/>
        <d v="2022-03-19T01:19:28Z"/>
        <d v="2022-03-19T01:18:57Z"/>
        <d v="2022-03-19T00:53:38Z"/>
        <d v="2022-03-19T00:42:52Z"/>
        <d v="2022-03-19T00:34:38Z"/>
        <d v="2022-03-18T23:34:09Z"/>
        <d v="2022-03-18T23:06:45Z"/>
        <d v="2022-03-18T23:06:03Z"/>
        <d v="2022-03-18T23:03:04Z"/>
        <d v="2022-03-18T23:01:24Z"/>
        <d v="2022-03-18T22:57:32Z"/>
        <d v="2022-03-18T21:58:38Z"/>
        <d v="2022-03-18T21:47:00Z"/>
        <d v="2022-03-18T21:46:56Z"/>
        <d v="2022-03-18T21:42:29Z"/>
        <d v="2022-03-18T21:41:04Z"/>
        <d v="2022-03-18T21:34:20Z"/>
        <d v="2022-03-18T20:50:25Z"/>
        <d v="2022-03-18T20:50:07Z"/>
        <d v="2022-03-18T20:46:25Z"/>
        <d v="2022-03-18T20:37:37Z"/>
        <d v="2022-03-18T20:32:11Z"/>
        <d v="2022-03-18T20:24:56Z"/>
        <d v="2022-03-18T20:06:21Z"/>
        <d v="2022-03-18T20:01:53Z"/>
        <d v="2022-03-18T19:55:06Z"/>
        <d v="2022-03-18T19:47:20Z"/>
        <d v="2022-03-18T17:51:04Z"/>
        <d v="2022-03-18T16:36:12Z"/>
        <d v="2022-03-18T15:21:08Z"/>
        <d v="2022-03-18T14:39:58Z"/>
        <d v="2022-03-18T14:38:14Z"/>
        <d v="2022-03-18T14:35:06Z"/>
        <d v="2022-03-18T14:30:59Z"/>
        <d v="2022-03-18T14:25:41Z"/>
        <d v="2022-03-18T14:24:37Z"/>
        <d v="2022-03-18T14:17:58Z"/>
        <d v="2022-03-18T14:08:00Z"/>
        <d v="2022-03-18T14:07:10Z"/>
        <d v="2022-03-18T13:47:35Z"/>
        <d v="2022-03-18T13:37:04Z"/>
        <d v="2022-03-18T13:35:14Z"/>
        <d v="2022-03-18T13:23:36Z"/>
        <d v="2022-03-18T13:00:33Z"/>
        <d v="2022-03-18T12:51:41Z"/>
        <d v="2022-03-18T12:51:18Z"/>
        <d v="2022-03-18T11:08:39Z"/>
        <d v="2022-03-18T11:06:04Z"/>
        <d v="2022-03-18T10:30:16Z"/>
        <d v="2022-03-18T10:29:37Z"/>
        <d v="2022-03-18T07:50:04Z"/>
        <d v="2022-03-18T07:48:40Z"/>
        <d v="2022-03-18T00:19:46Z"/>
        <d v="2022-03-17T23:58:33Z"/>
        <d v="2022-03-17T23:54:56Z"/>
        <d v="2022-03-17T23:34:16Z"/>
        <d v="2022-03-17T23:27:20Z"/>
        <d v="2022-03-17T23:18:16Z"/>
        <d v="2022-03-17T21:52:25Z"/>
        <d v="2022-03-17T21:11:56Z"/>
        <d v="2022-03-17T21:07:13Z"/>
        <d v="2022-03-17T21:06:30Z"/>
        <d v="2022-03-17T21:05:09Z"/>
        <d v="2022-03-17T21:04:44Z"/>
        <d v="2022-03-17T21:02:15Z"/>
        <d v="2022-03-17T21:01:03Z"/>
        <d v="2022-03-17T20:59:21Z"/>
        <d v="2022-03-17T20:53:40Z"/>
        <d v="2022-03-17T20:18:08Z"/>
        <d v="2022-03-17T20:02:47Z"/>
        <d v="2022-03-17T20:00:58Z"/>
        <d v="2022-03-17T19:55:19Z"/>
        <d v="2022-03-17T19:38:37Z"/>
        <d v="2022-03-17T19:35:46Z"/>
        <d v="2022-03-17T19:32:02Z"/>
        <d v="2022-03-17T19:30:45Z"/>
        <d v="2022-03-17T19:00:29Z"/>
        <d v="2022-03-17T18:52:18Z"/>
        <d v="2022-03-17T18:36:42Z"/>
        <d v="2022-03-17T18:22:18Z"/>
        <d v="2022-03-17T17:20:15Z"/>
        <d v="2022-03-17T16:59:30Z"/>
        <d v="2022-03-17T16:35:25Z"/>
        <d v="2022-03-17T16:34:49Z"/>
        <d v="2022-03-17T16:23:42Z"/>
        <d v="2022-03-17T16:12:49Z"/>
        <d v="2022-03-17T16:10:43Z"/>
        <d v="2022-03-17T16:08:51Z"/>
        <d v="2022-03-17T15:21:57Z"/>
        <d v="2022-03-17T15:21:46Z"/>
        <d v="2022-03-17T15:06:30Z"/>
        <d v="2022-03-17T15:02:53Z"/>
        <d v="2022-03-17T14:48:34Z"/>
        <d v="2022-03-17T14:42:21Z"/>
        <d v="2022-03-17T14:40:19Z"/>
        <d v="2022-03-17T14:40:03Z"/>
        <d v="2022-03-17T14:39:50Z"/>
        <d v="2022-03-17T14:39:31Z"/>
        <d v="2022-03-17T14:39:21Z"/>
        <d v="2022-03-17T14:12:23Z"/>
        <d v="2022-03-17T14:04:17Z"/>
        <d v="2022-03-17T13:55:23Z"/>
        <d v="2022-03-17T13:40:50Z"/>
        <d v="2022-03-17T13:04:49Z"/>
        <d v="2022-03-17T12:58:02Z"/>
        <d v="2022-03-17T12:48:03Z"/>
        <d v="2022-03-17T12:41:05Z"/>
        <d v="2022-03-17T12:27:22Z"/>
        <d v="2022-03-17T12:26:53Z"/>
        <d v="2022-03-17T12:23:44Z"/>
        <d v="2022-03-17T12:21:57Z"/>
        <d v="2022-03-17T12:19:55Z"/>
        <d v="2022-03-17T11:11:48Z"/>
        <d v="2022-03-17T11:08:54Z"/>
        <d v="2022-03-17T11:08:12Z"/>
        <d v="2022-03-17T10:52:03Z"/>
        <d v="2022-03-17T10:45:20Z"/>
        <d v="2022-03-17T10:30:10Z"/>
        <d v="2022-03-17T10:29:41Z"/>
        <d v="2022-03-17T10:12:50Z"/>
        <d v="2022-03-17T09:56:42Z"/>
        <d v="2022-03-17T09:53:49Z"/>
        <d v="2022-03-17T09:52:39Z"/>
        <d v="2022-03-17T09:41:19Z"/>
        <d v="2022-03-17T09:00:17Z"/>
        <d v="2022-03-17T08:59:41Z"/>
        <d v="2022-03-17T07:56:20Z"/>
        <d v="2022-03-17T07:46:54Z"/>
        <d v="2022-03-17T07:44:48Z"/>
        <d v="2022-03-17T07:41:53Z"/>
        <d v="2022-03-17T07:41:23Z"/>
        <d v="2022-03-17T07:20:53Z"/>
        <d v="2022-03-17T07:15:37Z"/>
        <d v="2022-03-17T07:05:15Z"/>
        <d v="2022-03-17T06:24:54Z"/>
        <d v="2022-03-17T06:13:36Z"/>
        <d v="2022-03-17T05:44:56Z"/>
        <d v="2022-03-17T05:40:33Z"/>
        <d v="2022-03-17T01:32:06Z"/>
        <d v="2022-03-16T22:57:06Z"/>
        <d v="2022-03-16T22:52:23Z"/>
        <d v="2022-03-16T22:50:06Z"/>
        <d v="2022-03-16T22:49:32Z"/>
        <d v="2022-03-16T22:45:27Z"/>
        <d v="2022-03-16T22:37:07Z"/>
        <d v="2022-03-16T21:52:40Z"/>
        <d v="2022-03-16T21:35:54Z"/>
        <d v="2022-03-16T21:14:18Z"/>
        <d v="2022-03-16T20:32:40Z"/>
        <d v="2022-03-16T20:19:04Z"/>
        <d v="2022-03-16T20:11:55Z"/>
        <d v="2022-03-16T20:11:25Z"/>
        <d v="2022-03-16T20:05:48Z"/>
        <d v="2022-03-16T20:03:19Z"/>
        <d v="2022-03-16T19:57:18Z"/>
        <d v="2022-03-16T19:38:10Z"/>
        <d v="2022-03-16T19:37:18Z"/>
        <d v="2022-03-16T19:34:50Z"/>
        <d v="2022-03-16T19:30:49Z"/>
        <d v="2022-03-16T19:08:12Z"/>
        <d v="2022-03-16T19:07:20Z"/>
        <d v="2022-03-16T18:54:20Z"/>
        <d v="2022-03-16T18:40:57Z"/>
        <d v="2022-03-16T18:36:38Z"/>
        <d v="2022-03-16T18:20:33Z"/>
        <d v="2022-03-16T17:45:12Z"/>
        <d v="2022-03-16T17:41:15Z"/>
        <d v="2022-03-16T17:41:13Z"/>
        <d v="2022-03-16T17:38:29Z"/>
        <d v="2022-03-16T17:14:24Z"/>
        <d v="2022-03-16T17:02:20Z"/>
        <d v="2022-03-16T16:32:34Z"/>
        <d v="2022-03-16T16:12:27Z"/>
        <d v="2022-03-16T16:12:25Z"/>
        <d v="2022-03-16T16:10:14Z"/>
        <d v="2022-03-16T16:10:09Z"/>
        <d v="2022-03-16T16:09:19Z"/>
        <d v="2022-03-16T16:09:17Z"/>
        <d v="2022-03-16T16:07:20Z"/>
        <d v="2022-03-16T16:05:00Z"/>
        <d v="2022-03-16T15:49:05Z"/>
        <d v="2022-03-16T15:49:01Z"/>
        <d v="2022-03-16T15:45:39Z"/>
        <d v="2022-03-16T15:45:02Z"/>
        <d v="2022-03-16T15:40:53Z"/>
        <d v="2022-03-16T15:09:02Z"/>
        <d v="2022-03-16T14:42:41Z"/>
        <d v="2022-03-16T14:42:22Z"/>
        <d v="2022-03-16T14:39:53Z"/>
        <d v="2022-03-16T14:39:34Z"/>
        <d v="2022-03-16T13:14:04Z"/>
        <d v="2022-03-16T12:49:36Z"/>
        <d v="2022-03-16T12:46:57Z"/>
        <d v="2022-03-16T11:47:40Z"/>
        <d v="2022-03-16T11:33:25Z"/>
        <d v="2022-03-16T11:25:11Z"/>
        <d v="2022-03-16T11:05:16Z"/>
        <d v="2022-03-16T10:58:55Z"/>
        <d v="2022-03-16T10:58:47Z"/>
        <d v="2022-03-16T10:58:24Z"/>
        <d v="2022-03-16T08:33:17Z"/>
        <d v="2022-03-16T08:01:30Z"/>
        <d v="2022-03-16T07:14:25Z"/>
        <d v="2022-03-16T02:19:41Z"/>
        <d v="2022-03-16T01:33:50Z"/>
        <d v="2022-03-16T01:25:18Z"/>
        <d v="2022-03-16T01:21:52Z"/>
        <d v="2022-03-16T01:21:37Z"/>
        <d v="2022-03-16T01:20:21Z"/>
        <d v="2022-03-16T01:08:24Z"/>
        <d v="2022-03-16T01:01:42Z"/>
        <d v="2022-03-16T00:57:02Z"/>
        <d v="2022-03-16T00:47:42Z"/>
        <d v="2022-03-16T00:40:36Z"/>
        <d v="2022-03-16T00:39:45Z"/>
        <d v="2022-03-16T00:34:41Z"/>
        <d v="2022-03-15T22:56:11Z"/>
        <d v="2022-03-15T22:50:27Z"/>
        <d v="2022-03-15T22:30:01Z"/>
        <d v="2022-03-15T22:05:35Z"/>
        <d v="2022-03-15T21:45:50Z"/>
        <d v="2022-03-15T21:09:56Z"/>
        <d v="2022-03-15T20:51:04Z"/>
        <d v="2022-03-15T20:35:41Z"/>
        <d v="2022-03-15T20:12:31Z"/>
        <d v="2022-03-15T20:11:02Z"/>
        <d v="2022-03-15T20:04:39Z"/>
        <d v="2022-03-15T20:00:27Z"/>
        <d v="2022-03-15T19:04:09Z"/>
        <d v="2022-03-15T19:02:44Z"/>
        <d v="2022-03-15T18:44:42Z"/>
        <d v="2022-03-15T18:34:06Z"/>
        <d v="2022-03-15T18:33:09Z"/>
        <d v="2022-03-15T18:27:33Z"/>
        <d v="2022-03-15T17:22:46Z"/>
        <d v="2022-03-15T17:04:34Z"/>
        <d v="2022-03-15T17:00:05Z"/>
        <d v="2022-03-15T16:49:50Z"/>
        <d v="2022-03-15T16:45:36Z"/>
        <d v="2022-03-15T16:22:43Z"/>
        <d v="2022-03-15T16:04:17Z"/>
        <d v="2022-03-15T16:00:22Z"/>
        <d v="2022-03-15T15:57:57Z"/>
        <d v="2022-03-15T15:39:33Z"/>
        <d v="2022-03-15T15:36:45Z"/>
        <d v="2022-03-15T15:24:17Z"/>
        <d v="2022-03-15T15:16:34Z"/>
        <d v="2022-03-15T15:05:53Z"/>
        <d v="2022-03-15T15:05:38Z"/>
        <d v="2022-03-15T14:51:25Z"/>
        <d v="2022-03-15T14:34:09Z"/>
        <d v="2022-03-15T14:27:15Z"/>
        <d v="2022-03-15T14:25:54Z"/>
        <d v="2022-03-15T14:19:20Z"/>
        <d v="2022-03-15T14:12:50Z"/>
        <d v="2022-03-15T14:01:45Z"/>
        <d v="2022-03-15T13:32:36Z"/>
        <d v="2022-03-15T13:27:37Z"/>
        <d v="2022-03-15T13:10:47Z"/>
        <d v="2022-03-15T13:05:07Z"/>
        <d v="2022-03-15T12:48:13Z"/>
        <d v="2022-03-15T12:21:21Z"/>
        <d v="2022-03-15T12:16:42Z"/>
        <d v="2022-03-15T12:07:05Z"/>
        <d v="2022-03-15T12:03:41Z"/>
        <d v="2022-03-15T11:58:42Z"/>
        <d v="2022-03-15T11:39:42Z"/>
        <d v="2022-03-15T11:39:01Z"/>
        <d v="2022-03-15T11:35:34Z"/>
        <d v="2022-03-15T11:31:47Z"/>
        <d v="2022-03-15T11:23:29Z"/>
        <d v="2022-03-15T11:22:48Z"/>
        <d v="2022-03-15T10:47:12Z"/>
        <d v="2022-03-15T10:45:15Z"/>
        <d v="2022-03-15T10:36:46Z"/>
        <d v="2022-03-15T10:33:49Z"/>
        <d v="2022-03-15T10:33:17Z"/>
        <d v="2022-03-15T10:31:38Z"/>
        <d v="2022-03-15T10:08:31Z"/>
        <d v="2022-03-15T09:37:05Z"/>
        <d v="2022-03-15T09:36:53Z"/>
        <d v="2022-03-15T09:36:39Z"/>
        <d v="2022-03-15T09:34:56Z"/>
        <d v="2022-03-15T09:20:33Z"/>
        <d v="2022-03-15T09:09:39Z"/>
        <d v="2022-03-15T08:13:25Z"/>
        <d v="2022-03-15T07:43:07Z"/>
        <d v="2022-03-15T07:27:08Z"/>
        <d v="2022-03-15T07:05:01Z"/>
        <d v="2022-03-15T01:09:11Z"/>
        <d v="2022-03-15T00:21:32Z"/>
        <d v="2022-03-15T00:08:56Z"/>
        <d v="2022-03-15T00:07:00Z"/>
        <d v="2022-03-15T00:03:42Z"/>
        <d v="2022-03-14T23:55:35Z"/>
        <d v="2022-03-14T23:36:47Z"/>
        <d v="2022-03-14T23:17:14Z"/>
        <d v="2022-03-14T23:11:17Z"/>
        <d v="2022-03-14T22:44:43Z"/>
        <d v="2022-03-14T22:25:18Z"/>
        <d v="2022-03-14T21:12:28Z"/>
        <d v="2022-03-14T20:56:39Z"/>
        <d v="2022-03-14T20:44:58Z"/>
        <d v="2022-03-14T20:12:17Z"/>
        <d v="2022-03-14T18:05:36Z"/>
        <d v="2022-03-14T17:34:42Z"/>
        <d v="2022-03-14T17:30:53Z"/>
        <d v="2022-03-14T17:29:37Z"/>
        <d v="2022-03-14T17:10:03Z"/>
        <d v="2022-03-14T17:04:13Z"/>
        <d v="2022-03-14T16:57:52Z"/>
        <d v="2022-03-14T16:45:36Z"/>
        <d v="2022-03-14T16:31:43Z"/>
        <d v="2022-03-14T15:50:31Z"/>
        <d v="2022-03-14T15:27:46Z"/>
        <d v="2022-03-14T15:06:49Z"/>
        <d v="2022-03-14T14:49:10Z"/>
        <d v="2022-03-14T14:47:39Z"/>
        <d v="2022-03-14T14:47:36Z"/>
        <d v="2022-03-14T14:21:11Z"/>
        <d v="2022-03-14T14:18:59Z"/>
        <d v="2022-03-14T14:18:02Z"/>
        <d v="2022-03-14T14:11:40Z"/>
        <d v="2022-03-14T13:48:57Z"/>
        <d v="2022-03-14T13:47:23Z"/>
        <d v="2022-03-14T13:42:02Z"/>
        <d v="2022-03-14T13:09:38Z"/>
        <d v="2022-03-14T13:03:56Z"/>
        <d v="2022-03-14T12:33:05Z"/>
        <d v="2022-03-14T12:08:05Z"/>
        <d v="2022-03-14T12:04:31Z"/>
        <d v="2022-03-14T12:04:07Z"/>
        <d v="2022-03-14T11:55:55Z"/>
        <d v="2022-03-14T11:44:12Z"/>
        <d v="2022-03-14T11:13:04Z"/>
        <d v="2022-03-14T11:09:29Z"/>
        <d v="2022-03-14T11:03:57Z"/>
        <d v="2022-03-14T10:02:56Z"/>
        <d v="2022-03-14T10:02:47Z"/>
        <d v="2022-03-14T10:00:52Z"/>
        <d v="2022-03-14T09:01:30Z"/>
        <d v="2022-03-14T09:01:19Z"/>
        <d v="2022-03-14T08:47:56Z"/>
        <d v="2022-03-14T07:50:50Z"/>
        <d v="2022-03-14T07:21:03Z"/>
        <d v="2022-03-14T06:51:39Z"/>
        <d v="2022-03-14T02:03:46Z"/>
        <d v="2022-03-14T00:27:47Z"/>
        <d v="2022-03-13T22:33:04Z"/>
        <d v="2022-03-13T21:22:10Z"/>
        <d v="2022-03-13T21:08:58Z"/>
        <d v="2022-03-13T21:05:45Z"/>
        <d v="2022-03-13T20:46:16Z"/>
        <d v="2022-03-13T20:45:30Z"/>
        <d v="2022-03-13T20:10:34Z"/>
        <d v="2022-03-13T19:59:20Z"/>
        <d v="2022-03-13T19:03:50Z"/>
        <d v="2022-03-13T18:48:43Z"/>
        <d v="2022-03-13T18:10:55Z"/>
        <d v="2022-03-13T17:28:09Z"/>
        <d v="2022-03-13T16:14:46Z"/>
        <d v="2022-03-13T16:07:40Z"/>
        <d v="2022-03-13T16:05:44Z"/>
        <d v="2022-03-13T16:04:38Z"/>
        <d v="2022-03-13T15:53:49Z"/>
        <d v="2022-03-13T15:39:10Z"/>
        <d v="2022-03-13T15:17:42Z"/>
        <d v="2022-03-13T15:09:30Z"/>
        <d v="2022-03-13T14:50:52Z"/>
        <d v="2022-03-13T14:43:56Z"/>
        <d v="2022-03-13T14:24:53Z"/>
        <d v="2022-03-13T14:14:08Z"/>
        <d v="2022-03-13T13:50:31Z"/>
        <d v="2022-03-13T12:55:59Z"/>
        <d v="2022-03-13T12:43:48Z"/>
        <d v="2022-03-13T12:37:11Z"/>
        <d v="2022-03-13T12:33:39Z"/>
        <d v="2022-03-13T12:33:36Z"/>
        <d v="2022-03-13T12:23:44Z"/>
        <d v="2022-03-13T12:19:45Z"/>
        <d v="2022-03-13T12:18:38Z"/>
        <d v="2022-03-13T12:13:33Z"/>
        <d v="2022-03-13T12:02:00Z"/>
        <d v="2022-03-13T11:36:55Z"/>
        <d v="2022-03-13T11:32:23Z"/>
        <d v="2022-03-13T10:58:31Z"/>
        <d v="2022-03-13T10:49:56Z"/>
        <d v="2022-03-13T10:37:17Z"/>
        <d v="2022-03-13T10:14:44Z"/>
        <d v="2022-03-13T10:05:20Z"/>
        <d v="2022-03-13T08:24:23Z"/>
        <d v="2022-03-13T08:08:44Z"/>
        <d v="2022-03-13T07:40:32Z"/>
        <d v="2022-03-13T07:39:42Z"/>
        <d v="2022-03-13T07:31:17Z"/>
        <d v="2022-03-13T07:28:42Z"/>
        <d v="2022-03-13T07:22:12Z"/>
        <d v="2022-03-13T07:10:22Z"/>
        <d v="2022-03-13T03:32:36Z"/>
        <d v="2022-03-13T02:43:05Z"/>
        <d v="2022-03-13T00:45:39Z"/>
        <d v="2022-03-13T00:36:22Z"/>
        <d v="2022-03-13T00:31:09Z"/>
        <d v="2022-03-12T23:29:41Z"/>
        <d v="2022-03-12T23:17:27Z"/>
        <d v="2022-03-12T22:57:38Z"/>
        <d v="2022-03-12T22:56:20Z"/>
        <d v="2022-03-12T22:39:16Z"/>
        <d v="2022-03-12T22:39:11Z"/>
        <d v="2022-03-12T22:29:43Z"/>
        <d v="2022-03-12T22:26:57Z"/>
        <d v="2022-03-12T22:14:09Z"/>
        <d v="2022-03-12T21:59:47Z"/>
        <d v="2022-03-12T21:52:41Z"/>
        <d v="2022-03-12T21:39:02Z"/>
        <d v="2022-03-12T21:26:09Z"/>
        <d v="2022-03-12T21:22:20Z"/>
        <d v="2022-03-12T21:21:35Z"/>
        <d v="2022-03-12T21:10:51Z"/>
        <d v="2022-03-12T21:09:27Z"/>
        <d v="2022-03-12T21:09:15Z"/>
        <d v="2022-03-12T21:07:50Z"/>
        <d v="2022-03-12T21:07:28Z"/>
        <d v="2022-03-12T21:06:53Z"/>
        <d v="2022-03-12T21:06:36Z"/>
        <d v="2022-03-12T21:05:34Z"/>
        <d v="2022-03-12T20:43:10Z"/>
        <d v="2022-03-12T20:34:05Z"/>
        <d v="2022-03-12T20:33:24Z"/>
        <d v="2022-03-12T20:26:57Z"/>
        <d v="2022-03-12T20:12:56Z"/>
        <d v="2022-03-12T19:26:33Z"/>
        <d v="2022-03-12T19:17:55Z"/>
        <d v="2022-03-12T19:11:18Z"/>
        <d v="2022-03-12T18:59:53Z"/>
        <d v="2022-03-12T18:48:13Z"/>
        <d v="2022-03-12T18:18:41Z"/>
        <d v="2022-03-12T17:49:13Z"/>
        <d v="2022-03-12T17:45:44Z"/>
        <d v="2022-03-12T17:45:30Z"/>
        <d v="2022-03-12T17:43:56Z"/>
        <d v="2022-03-12T17:41:14Z"/>
        <d v="2022-03-12T17:40:48Z"/>
        <d v="2022-03-12T17:40:08Z"/>
        <d v="2022-03-12T17:09:57Z"/>
        <d v="2022-03-12T16:40:07Z"/>
        <d v="2022-03-12T16:17:15Z"/>
        <d v="2022-03-12T15:57:31Z"/>
        <d v="2022-03-12T15:41:20Z"/>
        <d v="2022-03-12T15:36:03Z"/>
        <d v="2022-03-12T13:40:40Z"/>
        <d v="2022-03-12T12:53:55Z"/>
        <d v="2022-03-12T12:49:13Z"/>
        <d v="2022-03-12T12:45:47Z"/>
        <d v="2022-03-12T12:43:22Z"/>
        <d v="2022-03-12T12:40:59Z"/>
        <d v="2022-03-12T12:25:45Z"/>
        <d v="2022-03-12T12:21:21Z"/>
        <d v="2022-03-12T12:20:59Z"/>
        <d v="2022-03-12T12:20:27Z"/>
        <d v="2022-03-12T10:57:02Z"/>
        <d v="2022-03-12T10:44:06Z"/>
        <d v="2022-03-12T10:43:11Z"/>
        <d v="2022-03-12T10:31:51Z"/>
        <d v="2022-03-12T10:19:40Z"/>
        <d v="2022-03-12T10:15:38Z"/>
        <d v="2022-03-12T10:14:33Z"/>
        <d v="2022-03-12T10:09:32Z"/>
        <d v="2022-03-12T09:48:51Z"/>
        <d v="2022-03-12T07:54:27Z"/>
        <d v="2022-03-12T07:50:34Z"/>
        <d v="2022-03-12T07:50:12Z"/>
        <d v="2022-03-12T07:25:18Z"/>
        <d v="2022-03-12T07:24:22Z"/>
        <d v="2022-03-12T07:03:27Z"/>
        <d v="2022-03-11T23:03:44Z"/>
        <d v="2022-03-11T22:40:34Z"/>
        <d v="2022-03-11T22:33:44Z"/>
        <d v="2022-03-11T22:22:08Z"/>
        <d v="2022-03-11T22:13:57Z"/>
        <d v="2022-03-11T22:11:23Z"/>
        <d v="2022-03-11T22:10:38Z"/>
        <d v="2022-03-11T22:00:16Z"/>
        <d v="2022-03-11T21:56:31Z"/>
        <d v="2022-03-11T21:50:56Z"/>
        <d v="2022-03-11T21:48:51Z"/>
        <d v="2022-03-11T21:35:36Z"/>
        <d v="2022-03-11T21:29:56Z"/>
        <d v="2022-03-11T21:29:02Z"/>
        <d v="2022-03-11T21:28:16Z"/>
        <d v="2022-03-11T21:21:41Z"/>
        <d v="2022-03-11T21:10:43Z"/>
        <d v="2022-03-11T20:59:02Z"/>
        <d v="2022-03-11T20:55:46Z"/>
        <d v="2022-03-11T20:38:49Z"/>
        <d v="2022-03-11T20:32:23Z"/>
        <d v="2022-03-11T20:27:22Z"/>
        <d v="2022-03-11T20:13:54Z"/>
        <d v="2022-03-11T20:12:18Z"/>
        <d v="2022-03-11T20:08:26Z"/>
        <d v="2022-03-11T20:08:14Z"/>
        <d v="2022-03-11T20:07:56Z"/>
        <d v="2022-03-11T20:06:50Z"/>
        <d v="2022-03-11T20:06:32Z"/>
        <d v="2022-03-11T20:00:47Z"/>
        <d v="2022-03-11T19:59:22Z"/>
        <d v="2022-03-11T19:58:42Z"/>
        <d v="2022-03-11T19:57:57Z"/>
        <d v="2022-03-11T19:42:48Z"/>
        <d v="2022-03-11T19:04:12Z"/>
        <d v="2022-03-11T18:47:41Z"/>
        <d v="2022-03-11T18:30:42Z"/>
        <d v="2022-03-11T17:42:34Z"/>
        <d v="2022-03-11T17:39:56Z"/>
        <d v="2022-03-11T16:50:07Z"/>
        <d v="2022-03-11T16:32:25Z"/>
        <d v="2022-03-11T16:08:47Z"/>
        <d v="2022-03-11T15:47:08Z"/>
        <d v="2022-03-11T15:45:16Z"/>
        <d v="2022-03-11T15:00:48Z"/>
        <d v="2022-03-11T14:50:57Z"/>
        <d v="2022-03-11T14:39:54Z"/>
        <d v="2022-03-11T14:32:27Z"/>
        <d v="2022-03-11T14:17:58Z"/>
        <d v="2022-03-11T14:17:17Z"/>
        <d v="2022-03-11T14:15:07Z"/>
        <d v="2022-03-11T14:13:40Z"/>
        <d v="2022-03-11T14:06:54Z"/>
        <d v="2022-03-11T14:04:09Z"/>
        <d v="2022-03-11T14:02:49Z"/>
        <d v="2022-03-11T13:58:36Z"/>
        <d v="2022-03-11T13:58:21Z"/>
        <d v="2022-03-11T13:57:41Z"/>
        <d v="2022-03-11T13:32:10Z"/>
        <d v="2022-03-11T13:26:56Z"/>
        <d v="2022-03-11T13:25:38Z"/>
        <d v="2022-03-11T13:24:52Z"/>
        <d v="2022-03-11T13:19:07Z"/>
        <d v="2022-03-11T13:18:44Z"/>
        <d v="2022-03-11T13:17:57Z"/>
        <d v="2022-03-11T13:15:25Z"/>
        <d v="2022-03-11T13:15:01Z"/>
        <d v="2022-03-11T13:13:53Z"/>
        <d v="2022-03-11T13:02:51Z"/>
        <d v="2022-03-11T12:57:44Z"/>
        <d v="2022-03-11T12:57:17Z"/>
        <d v="2022-03-11T12:47:47Z"/>
        <d v="2022-03-11T12:40:57Z"/>
        <d v="2022-03-11T12:40:37Z"/>
        <d v="2022-03-11T12:38:20Z"/>
        <d v="2022-03-11T12:12:41Z"/>
        <d v="2022-03-11T11:47:20Z"/>
        <d v="2022-03-11T11:45:03Z"/>
        <d v="2022-03-11T11:41:16Z"/>
        <d v="2022-03-11T11:27:59Z"/>
        <d v="2022-03-11T10:53:40Z"/>
        <d v="2022-03-11T10:51:27Z"/>
        <d v="2022-03-11T10:51:06Z"/>
        <d v="2022-03-11T10:50:12Z"/>
        <d v="2022-03-11T10:50:02Z"/>
        <d v="2022-03-11T09:43:19Z"/>
        <d v="2022-03-11T09:28:18Z"/>
        <d v="2022-03-11T08:38:21Z"/>
        <d v="2022-03-11T07:17:09Z"/>
        <d v="2022-03-11T07:15:38Z"/>
        <d v="2022-03-11T07:15:18Z"/>
        <d v="2022-03-11T06:39:17Z"/>
        <d v="2022-03-11T06:34:03Z"/>
        <d v="2022-03-11T06:30:08Z"/>
        <d v="2022-03-11T06:29:04Z"/>
        <d v="2022-03-11T02:33:21Z"/>
        <d v="2022-03-11T01:28:59Z"/>
        <d v="2022-03-11T00:12:40Z"/>
        <d v="2022-03-11T00:05:05Z"/>
        <d v="2022-03-10T23:44:24Z"/>
        <d v="2022-03-10T23:40:29Z"/>
        <d v="2022-03-10T23:26:42Z"/>
        <d v="2022-03-10T23:14:12Z"/>
        <d v="2022-03-10T22:52:18Z"/>
        <d v="2022-03-10T22:50:16Z"/>
        <d v="2022-03-10T21:56:30Z"/>
        <d v="2022-03-10T21:49:25Z"/>
        <d v="2022-03-10T21:46:11Z"/>
        <d v="2022-03-10T21:46:09Z"/>
        <d v="2022-03-10T21:24:29Z"/>
        <d v="2022-03-10T21:18:30Z"/>
        <d v="2022-03-10T21:18:02Z"/>
        <d v="2022-03-10T21:16:13Z"/>
        <d v="2022-03-10T20:52:16Z"/>
        <d v="2022-03-10T20:35:25Z"/>
        <d v="2022-03-10T19:58:13Z"/>
        <d v="2022-03-10T19:10:50Z"/>
        <d v="2022-03-10T19:09:23Z"/>
        <d v="2022-03-10T19:05:47Z"/>
        <d v="2022-03-10T18:50:46Z"/>
        <d v="2022-03-10T18:25:50Z"/>
        <d v="2022-03-10T18:06:21Z"/>
        <d v="2022-03-10T17:53:01Z"/>
        <d v="2022-03-10T17:52:34Z"/>
        <d v="2022-03-10T17:51:13Z"/>
        <d v="2022-03-10T17:51:04Z"/>
        <d v="2022-03-10T17:37:32Z"/>
        <d v="2022-03-10T17:34:13Z"/>
        <d v="2022-03-10T17:26:12Z"/>
        <d v="2022-03-10T17:10:39Z"/>
        <d v="2022-03-10T17:02:02Z"/>
        <d v="2022-03-10T17:01:51Z"/>
        <d v="2022-03-10T17:00:54Z"/>
        <d v="2022-03-10T16:55:54Z"/>
        <d v="2022-03-10T16:52:32Z"/>
        <d v="2022-03-10T16:51:11Z"/>
        <d v="2022-03-10T16:23:30Z"/>
        <d v="2022-03-10T16:18:25Z"/>
        <d v="2022-03-10T16:15:40Z"/>
        <d v="2022-03-10T16:14:41Z"/>
        <d v="2022-03-10T16:02:53Z"/>
        <d v="2022-03-10T15:40:08Z"/>
        <d v="2022-03-10T14:53:47Z"/>
        <d v="2022-03-10T14:46:37Z"/>
        <d v="2022-03-10T14:44:48Z"/>
        <d v="2022-03-10T14:24:51Z"/>
        <d v="2022-03-10T13:53:18Z"/>
        <d v="2022-03-10T13:36:57Z"/>
        <d v="2022-03-10T13:02:34Z"/>
        <d v="2022-03-10T12:55:10Z"/>
        <d v="2022-03-10T12:50:07Z"/>
        <d v="2022-03-10T12:49:33Z"/>
        <d v="2022-03-10T12:43:10Z"/>
        <d v="2022-03-10T12:31:01Z"/>
        <d v="2022-03-10T12:30:39Z"/>
        <d v="2022-03-10T12:22:30Z"/>
        <d v="2022-03-10T12:10:38Z"/>
        <d v="2022-03-10T12:10:15Z"/>
        <d v="2022-03-10T12:02:58Z"/>
        <d v="2022-03-10T11:30:39Z"/>
        <d v="2022-03-10T11:28:07Z"/>
        <d v="2022-03-10T10:41:55Z"/>
        <d v="2022-03-10T10:23:02Z"/>
        <d v="2022-03-10T10:19:47Z"/>
        <d v="2022-03-10T09:46:07Z"/>
        <d v="2022-03-10T09:26:25Z"/>
        <d v="2022-03-10T09:16:51Z"/>
        <d v="2022-03-10T09:03:39Z"/>
        <d v="2022-03-10T08:58:38Z"/>
        <d v="2022-03-10T08:44:08Z"/>
        <d v="2022-03-10T07:38:44Z"/>
        <d v="2022-03-10T03:44:52Z"/>
        <d v="2022-03-10T03:38:45Z"/>
        <d v="2022-03-10T03:16:40Z"/>
        <d v="2022-03-10T01:55:02Z"/>
        <d v="2022-03-10T00:07:59Z"/>
        <d v="2022-03-09T23:56:36Z"/>
        <d v="2022-03-09T23:12:34Z"/>
        <d v="2022-03-09T23:01:24Z"/>
        <d v="2022-03-09T22:37:58Z"/>
        <d v="2022-03-09T21:42:53Z"/>
        <d v="2022-03-09T21:39:42Z"/>
        <d v="2022-03-09T21:38:31Z"/>
        <d v="2022-03-09T21:36:12Z"/>
        <d v="2022-03-09T21:36:09Z"/>
        <d v="2022-03-09T21:34:29Z"/>
        <d v="2022-03-09T21:32:09Z"/>
        <d v="2022-03-09T21:30:41Z"/>
        <d v="2022-03-09T21:30:19Z"/>
        <d v="2022-03-09T21:21:08Z"/>
        <d v="2022-03-09T21:19:30Z"/>
        <d v="2022-03-09T21:17:20Z"/>
        <d v="2022-03-09T21:09:18Z"/>
        <d v="2022-03-09T20:12:52Z"/>
        <d v="2022-03-09T19:31:47Z"/>
        <d v="2022-03-09T19:27:16Z"/>
        <d v="2022-03-09T18:58:54Z"/>
        <d v="2022-03-09T18:40:51Z"/>
        <d v="2022-03-09T18:34:20Z"/>
        <d v="2022-03-09T18:32:37Z"/>
        <d v="2022-03-09T18:06:17Z"/>
        <d v="2022-03-09T18:02:10Z"/>
        <d v="2022-03-09T17:51:47Z"/>
        <d v="2022-03-09T17:36:17Z"/>
        <d v="2022-03-09T17:31:47Z"/>
        <d v="2022-03-09T17:23:58Z"/>
        <d v="2022-03-09T16:33:24Z"/>
        <d v="2022-03-09T16:33:20Z"/>
        <d v="2022-03-09T15:54:39Z"/>
        <d v="2022-03-09T15:50:13Z"/>
        <d v="2022-03-09T15:28:11Z"/>
        <d v="2022-03-09T14:33:08Z"/>
        <d v="2022-03-09T14:30:39Z"/>
        <d v="2022-03-09T14:22:31Z"/>
        <d v="2022-03-09T14:18:36Z"/>
        <d v="2022-03-09T14:14:32Z"/>
        <d v="2022-03-09T14:13:46Z"/>
        <d v="2022-03-09T13:56:57Z"/>
        <d v="2022-03-09T13:49:09Z"/>
        <d v="2022-03-09T13:06:42Z"/>
        <d v="2022-03-09T13:01:57Z"/>
        <d v="2022-03-09T12:53:59Z"/>
        <d v="2022-03-09T12:45:09Z"/>
        <d v="2022-03-09T11:55:55Z"/>
        <d v="2022-03-09T11:22:19Z"/>
        <d v="2022-03-09T10:54:33Z"/>
        <d v="2022-03-09T10:52:42Z"/>
        <d v="2022-03-09T10:40:19Z"/>
        <d v="2022-03-09T09:52:50Z"/>
        <d v="2022-03-09T09:47:56Z"/>
        <d v="2022-03-09T09:23:59Z"/>
        <d v="2022-03-09T07:51:19Z"/>
        <d v="2022-03-09T01:59:01Z"/>
        <d v="2022-03-09T01:55:44Z"/>
        <d v="2022-03-09T00:51:46Z"/>
        <d v="2022-03-08T23:53:19Z"/>
        <d v="2022-03-08T23:50:45Z"/>
        <d v="2022-03-08T23:47:03Z"/>
        <d v="2022-03-08T23:38:39Z"/>
        <d v="2022-03-08T23:32:52Z"/>
        <d v="2022-03-08T23:30:40Z"/>
        <d v="2022-03-08T23:02:54Z"/>
        <d v="2022-03-08T22:41:54Z"/>
        <d v="2022-03-08T22:15:27Z"/>
        <d v="2022-03-08T21:29:37Z"/>
        <d v="2022-03-08T21:25:52Z"/>
        <d v="2022-03-08T21:24:12Z"/>
        <d v="2022-03-08T21:07:09Z"/>
        <d v="2022-03-08T21:06:53Z"/>
        <d v="2022-03-08T20:46:47Z"/>
        <d v="2022-03-08T20:45:35Z"/>
        <d v="2022-03-08T20:43:40Z"/>
        <d v="2022-03-08T20:40:06Z"/>
        <d v="2022-03-08T19:54:26Z"/>
        <d v="2022-03-08T19:39:53Z"/>
        <d v="2022-03-08T19:39:30Z"/>
        <d v="2022-03-08T18:49:56Z"/>
        <d v="2022-03-08T18:13:54Z"/>
        <d v="2022-03-08T17:41:26Z"/>
        <d v="2022-03-08T17:38:54Z"/>
        <d v="2022-03-08T17:32:25Z"/>
        <d v="2022-03-08T17:24:13Z"/>
        <d v="2022-03-08T17:19:02Z"/>
        <d v="2022-03-08T17:17:51Z"/>
        <d v="2022-03-08T17:17:45Z"/>
        <d v="2022-03-08T17:17:33Z"/>
        <d v="2022-03-08T17:16:59Z"/>
        <d v="2022-03-08T17:14:20Z"/>
        <d v="2022-03-08T17:13:40Z"/>
        <d v="2022-03-08T17:12:17Z"/>
        <d v="2022-03-08T17:04:11Z"/>
        <d v="2022-03-08T16:55:06Z"/>
        <d v="2022-03-08T16:54:44Z"/>
        <d v="2022-03-08T16:51:59Z"/>
        <d v="2022-03-08T15:59:11Z"/>
        <d v="2022-03-08T15:43:13Z"/>
        <d v="2022-03-08T15:28:26Z"/>
        <d v="2022-03-08T15:18:55Z"/>
        <d v="2022-03-08T15:05:14Z"/>
        <d v="2022-03-08T13:44:18Z"/>
        <d v="2022-03-08T12:31:03Z"/>
        <d v="2022-03-08T11:47:21Z"/>
        <d v="2022-03-08T11:46:03Z"/>
        <d v="2022-03-08T11:38:26Z"/>
        <d v="2022-03-08T11:37:56Z"/>
        <d v="2022-03-08T10:16:00Z"/>
        <d v="2022-03-08T08:57:47Z"/>
        <d v="2022-03-08T08:56:55Z"/>
        <d v="2022-03-08T08:50:25Z"/>
        <d v="2022-03-08T08:14:12Z"/>
        <d v="2022-03-08T07:33:20Z"/>
        <d v="2022-03-08T07:33:09Z"/>
        <d v="2022-03-08T06:45:57Z"/>
        <d v="2022-03-08T04:55:35Z"/>
        <d v="2022-03-07T23:16:36Z"/>
        <d v="2022-03-07T22:27:31Z"/>
        <d v="2022-03-07T20:41:28Z"/>
        <d v="2022-03-07T19:33:44Z"/>
        <d v="2022-03-07T18:45:09Z"/>
        <d v="2022-03-07T18:14:20Z"/>
        <d v="2022-03-07T18:05:02Z"/>
        <d v="2022-03-07T17:40:45Z"/>
        <d v="2022-03-07T17:17:02Z"/>
        <d v="2022-03-07T14:55:36Z"/>
        <d v="2022-03-07T14:41:28Z"/>
        <d v="2022-03-07T13:15:01Z"/>
        <d v="2022-03-07T12:57:35Z"/>
        <d v="2022-03-07T12:38:58Z"/>
        <d v="2022-03-07T11:56:58Z"/>
        <d v="2022-03-07T10:59:23Z"/>
        <d v="2022-03-07T10:53:24Z"/>
        <d v="2022-03-07T10:50:52Z"/>
        <d v="2022-03-07T09:05:24Z"/>
        <d v="2022-03-07T08:50:59Z"/>
        <d v="2022-03-07T07:38:36Z"/>
        <d v="2022-03-07T07:21:18Z"/>
        <d v="2022-03-07T07:16:38Z"/>
        <d v="2022-03-07T07:14:58Z"/>
        <d v="2022-03-07T07:13:30Z"/>
        <d v="2022-03-07T07:09:40Z"/>
        <d v="2022-03-07T07:08:33Z"/>
        <d v="2022-03-07T07:07:47Z"/>
        <d v="2022-03-06T23:00:29Z"/>
        <d v="2022-03-06T22:18:38Z"/>
        <d v="2022-03-06T22:18:14Z"/>
        <d v="2022-03-06T22:14:44Z"/>
        <d v="2022-03-06T22:14:30Z"/>
        <d v="2022-03-06T22:06:06Z"/>
        <d v="2022-03-06T21:49:26Z"/>
        <d v="2022-03-06T21:36:18Z"/>
        <d v="2022-03-06T21:20:14Z"/>
        <d v="2022-03-06T20:38:14Z"/>
        <d v="2022-03-06T20:26:54Z"/>
        <d v="2022-03-06T20:23:21Z"/>
        <d v="2022-03-06T20:02:56Z"/>
        <d v="2022-03-06T19:50:42Z"/>
        <d v="2022-03-06T19:46:36Z"/>
        <d v="2022-03-06T19:46:09Z"/>
        <d v="2022-03-06T19:15:15Z"/>
        <d v="2022-03-06T18:26:00Z"/>
        <d v="2022-03-06T17:42:38Z"/>
        <d v="2022-03-06T17:12:26Z"/>
        <d v="2022-03-06T17:10:35Z"/>
        <d v="2022-03-06T16:40:50Z"/>
        <d v="2022-03-06T16:40:18Z"/>
        <d v="2022-03-06T15:39:17Z"/>
        <d v="2022-03-06T15:38:39Z"/>
        <d v="2022-03-06T15:36:18Z"/>
        <d v="2022-03-06T15:35:09Z"/>
        <d v="2022-03-06T15:32:47Z"/>
        <d v="2022-03-06T15:31:30Z"/>
        <d v="2022-03-06T15:30:57Z"/>
        <d v="2022-03-06T15:30:43Z"/>
        <d v="2022-03-06T15:29:54Z"/>
        <d v="2022-03-06T15:29:25Z"/>
        <d v="2022-03-06T15:29:12Z"/>
        <d v="2022-03-06T15:28:29Z"/>
        <d v="2022-03-06T15:28:15Z"/>
        <d v="2022-03-06T15:19:55Z"/>
        <d v="2022-03-06T14:00:36Z"/>
        <d v="2022-03-06T13:46:12Z"/>
        <d v="2022-03-06T10:12:16Z"/>
        <d v="2022-03-06T09:48:39Z"/>
        <d v="2022-03-06T09:23:18Z"/>
        <d v="2022-03-06T09:22:54Z"/>
        <d v="2022-03-06T09:22:23Z"/>
        <d v="2022-03-06T09:21:23Z"/>
        <d v="2022-03-06T09:12:02Z"/>
        <d v="2022-03-06T09:07:55Z"/>
        <d v="2022-03-06T08:45:56Z"/>
        <d v="2022-03-06T08:28:13Z"/>
        <d v="2022-03-06T08:14:05Z"/>
        <d v="2022-03-06T07:45:03Z"/>
        <d v="2022-03-06T07:15:42Z"/>
        <d v="2022-03-05T22:19:09Z"/>
        <d v="2022-03-05T21:55:01Z"/>
        <d v="2022-03-05T20:05:58Z"/>
        <d v="2022-03-05T19:35:49Z"/>
        <d v="2022-03-05T19:31:16Z"/>
        <d v="2022-03-05T19:30:41Z"/>
        <d v="2022-03-05T19:19:45Z"/>
        <d v="2022-03-05T19:19:26Z"/>
        <d v="2022-03-05T19:16:10Z"/>
        <d v="2022-03-05T19:15:41Z"/>
        <d v="2022-03-05T19:12:30Z"/>
        <d v="2022-03-05T18:32:53Z"/>
        <d v="2022-03-05T18:28:10Z"/>
        <d v="2022-03-05T18:19:06Z"/>
        <d v="2022-03-05T17:34:13Z"/>
        <d v="2022-03-05T16:08:51Z"/>
        <d v="2022-03-05T15:46:15Z"/>
        <d v="2022-03-05T15:45:40Z"/>
        <d v="2022-03-05T15:14:11Z"/>
        <d v="2022-03-05T14:13:51Z"/>
        <d v="2022-03-05T14:13:20Z"/>
        <d v="2022-03-05T13:30:46Z"/>
        <d v="2022-03-05T13:23:50Z"/>
        <d v="2022-03-05T13:04:06Z"/>
        <d v="2022-03-05T13:01:27Z"/>
        <d v="2022-03-05T12:59:33Z"/>
        <d v="2022-03-05T12:46:16Z"/>
        <d v="2022-03-05T12:32:44Z"/>
        <d v="2022-03-05T12:22:00Z"/>
        <d v="2022-03-05T12:20:34Z"/>
        <d v="2022-03-05T12:03:13Z"/>
        <d v="2022-03-05T12:02:30Z"/>
        <d v="2022-03-05T10:40:07Z"/>
        <d v="2022-03-05T10:31:26Z"/>
        <d v="2022-03-05T10:09:10Z"/>
        <d v="2022-03-05T09:47:10Z"/>
        <d v="2022-03-05T09:47:02Z"/>
        <d v="2022-03-05T09:21:43Z"/>
        <d v="2022-03-05T08:41:01Z"/>
        <d v="2022-03-05T08:39:11Z"/>
        <d v="2022-03-05T08:13:15Z"/>
        <d v="2022-03-05T08:10:45Z"/>
        <d v="2022-03-05T08:04:52Z"/>
        <d v="2022-03-05T07:59:07Z"/>
        <d v="2022-03-05T07:27:53Z"/>
        <d v="2022-03-05T07:26:26Z"/>
        <d v="2022-03-05T07:17:43Z"/>
        <d v="2022-03-05T06:50:13Z"/>
        <d v="2022-03-05T01:46:06Z"/>
        <d v="2022-03-05T00:24:19Z"/>
        <d v="2022-03-04T23:36:37Z"/>
        <d v="2022-03-04T22:18:50Z"/>
        <d v="2022-03-04T21:59:50Z"/>
        <d v="2022-03-04T21:47:38Z"/>
        <d v="2022-03-04T21:45:31Z"/>
        <d v="2022-03-04T21:40:28Z"/>
        <d v="2022-03-04T21:15:30Z"/>
        <d v="2022-03-04T20:58:31Z"/>
        <d v="2022-03-04T20:36:43Z"/>
        <d v="2022-03-04T20:20:02Z"/>
        <d v="2022-03-04T20:15:02Z"/>
        <d v="2022-03-04T20:10:20Z"/>
        <d v="2022-03-04T20:06:16Z"/>
        <d v="2022-03-04T20:05:08Z"/>
        <d v="2022-03-04T18:26:52Z"/>
        <d v="2022-03-04T18:11:42Z"/>
        <d v="2022-03-04T17:58:44Z"/>
        <d v="2022-03-04T17:05:09Z"/>
        <d v="2022-03-04T17:03:44Z"/>
        <d v="2022-03-04T17:03:27Z"/>
        <d v="2022-03-04T15:46:52Z"/>
        <d v="2022-03-04T15:22:49Z"/>
        <d v="2022-03-04T15:18:44Z"/>
        <d v="2022-03-04T15:13:00Z"/>
        <d v="2022-03-04T14:10:26Z"/>
        <d v="2022-03-04T13:37:00Z"/>
        <d v="2022-03-04T13:28:45Z"/>
        <d v="2022-03-04T11:44:04Z"/>
        <d v="2022-03-04T11:15:29Z"/>
        <d v="2022-03-04T10:25:22Z"/>
        <d v="2022-03-04T10:24:15Z"/>
        <d v="2022-03-04T10:21:42Z"/>
        <d v="2022-03-04T10:18:51Z"/>
        <d v="2022-03-04T10:12:07Z"/>
        <d v="2022-03-04T10:11:43Z"/>
        <d v="2022-03-04T10:08:32Z"/>
        <d v="2022-03-04T09:57:52Z"/>
        <d v="2022-03-04T09:31:06Z"/>
        <d v="2022-03-04T09:22:46Z"/>
        <d v="2022-03-04T09:18:27Z"/>
        <d v="2022-03-04T09:14:00Z"/>
        <d v="2022-03-04T09:06:48Z"/>
        <d v="2022-03-04T08:57:17Z"/>
        <d v="2022-03-04T08:04:06Z"/>
        <d v="2022-03-04T00:39:37Z"/>
        <d v="2022-03-04T00:39:13Z"/>
        <d v="2022-03-03T23:51:54Z"/>
        <d v="2022-03-03T23:29:29Z"/>
        <d v="2022-03-03T23:18:49Z"/>
        <d v="2022-03-03T22:40:47Z"/>
        <d v="2022-03-03T22:11:46Z"/>
        <d v="2022-03-03T22:09:42Z"/>
        <d v="2022-03-03T22:07:22Z"/>
        <d v="2022-03-03T21:50:56Z"/>
        <d v="2022-03-03T21:49:44Z"/>
        <d v="2022-03-03T20:33:09Z"/>
        <d v="2022-03-03T20:32:28Z"/>
        <d v="2022-03-03T20:26:12Z"/>
        <d v="2022-03-03T20:25:37Z"/>
        <d v="2022-03-03T20:23:07Z"/>
        <d v="2022-03-03T20:22:45Z"/>
        <d v="2022-03-03T20:18:59Z"/>
        <d v="2022-03-03T20:17:33Z"/>
        <d v="2022-03-03T20:14:23Z"/>
        <d v="2022-03-03T20:08:23Z"/>
        <d v="2022-03-03T20:06:20Z"/>
        <d v="2022-03-03T20:02:33Z"/>
        <d v="2022-03-03T19:46:07Z"/>
        <d v="2022-03-03T19:12:07Z"/>
        <d v="2022-03-03T18:44:50Z"/>
        <d v="2022-03-03T18:37:38Z"/>
        <d v="2022-03-03T18:18:15Z"/>
        <d v="2022-03-03T17:56:13Z"/>
        <d v="2022-03-03T17:42:30Z"/>
        <d v="2022-03-03T17:28:20Z"/>
        <d v="2022-03-03T17:22:32Z"/>
        <d v="2022-03-03T17:03:03Z"/>
        <d v="2022-03-03T17:01:16Z"/>
        <d v="2022-03-03T16:56:27Z"/>
        <d v="2022-03-03T16:55:51Z"/>
        <d v="2022-03-03T16:52:35Z"/>
        <d v="2022-03-03T16:50:54Z"/>
        <d v="2022-03-03T16:44:41Z"/>
        <d v="2022-03-03T16:41:11Z"/>
        <d v="2022-03-03T16:26:00Z"/>
        <d v="2022-03-03T16:21:15Z"/>
        <d v="2022-03-03T15:28:50Z"/>
        <d v="2022-03-03T14:37:30Z"/>
        <d v="2022-03-03T14:37:24Z"/>
        <d v="2022-03-03T14:28:44Z"/>
        <d v="2022-03-03T14:22:37Z"/>
        <d v="2022-03-03T14:16:09Z"/>
        <d v="2022-03-03T14:12:26Z"/>
        <d v="2022-03-03T13:38:30Z"/>
        <d v="2022-03-03T13:37:55Z"/>
        <d v="2022-03-03T13:12:48Z"/>
        <d v="2022-03-03T13:05:02Z"/>
        <d v="2022-03-03T12:50:25Z"/>
        <d v="2022-03-03T12:40:04Z"/>
        <d v="2022-03-03T12:21:58Z"/>
        <d v="2022-03-03T12:18:59Z"/>
        <d v="2022-03-03T11:41:32Z"/>
        <d v="2022-03-03T11:19:20Z"/>
        <d v="2022-03-03T11:14:27Z"/>
        <d v="2022-03-03T10:36:49Z"/>
        <d v="2022-03-03T10:04:11Z"/>
        <d v="2022-03-03T09:54:38Z"/>
        <d v="2022-03-03T09:47:23Z"/>
        <d v="2022-03-03T09:44:20Z"/>
        <d v="2022-03-03T09:35:39Z"/>
        <d v="2022-03-03T09:32:02Z"/>
        <d v="2022-03-03T09:28:22Z"/>
        <d v="2022-03-03T09:23:29Z"/>
        <d v="2022-03-03T09:21:40Z"/>
        <d v="2022-03-03T09:21:10Z"/>
        <d v="2022-03-03T09:09:50Z"/>
        <d v="2022-03-03T09:01:29Z"/>
        <d v="2022-03-03T08:29:23Z"/>
        <d v="2022-03-03T08:07:32Z"/>
        <d v="2022-03-03T07:50:12Z"/>
        <d v="2022-03-03T06:39:58Z"/>
        <d v="2022-03-03T05:57:41Z"/>
        <d v="2022-03-03T05:55:10Z"/>
        <d v="2022-03-03T05:51:16Z"/>
        <d v="2022-03-03T04:33:44Z"/>
        <d v="2022-03-03T03:55:44Z"/>
        <d v="2022-03-03T02:00:43Z"/>
        <d v="2022-03-03T01:24:11Z"/>
        <d v="2022-03-03T00:42:00Z"/>
        <d v="2022-03-03T00:30:43Z"/>
        <d v="2022-03-02T23:42:08Z"/>
        <d v="2022-03-02T23:35:51Z"/>
        <d v="2022-03-02T23:16:47Z"/>
        <d v="2022-03-02T23:14:30Z"/>
        <d v="2022-03-02T23:12:45Z"/>
        <d v="2022-03-02T22:35:14Z"/>
        <d v="2022-03-02T21:59:32Z"/>
        <d v="2022-03-02T21:59:01Z"/>
        <d v="2022-03-02T21:58:44Z"/>
        <d v="2022-03-02T21:55:18Z"/>
        <d v="2022-03-02T21:54:00Z"/>
        <d v="2022-03-02T21:51:41Z"/>
        <d v="2022-03-02T21:31:05Z"/>
        <d v="2022-03-02T21:28:11Z"/>
        <d v="2022-03-02T21:09:57Z"/>
        <d v="2022-03-02T21:08:56Z"/>
        <d v="2022-03-02T21:03:26Z"/>
        <d v="2022-03-02T20:51:46Z"/>
        <d v="2022-03-02T20:27:16Z"/>
        <d v="2022-03-02T20:19:16Z"/>
        <d v="2022-03-02T20:18:23Z"/>
        <d v="2022-03-02T20:18:00Z"/>
        <d v="2022-03-02T20:11:12Z"/>
        <d v="2022-03-02T19:57:30Z"/>
        <d v="2022-03-02T19:56:52Z"/>
        <d v="2022-03-02T19:44:01Z"/>
        <d v="2022-03-02T19:30:44Z"/>
        <d v="2022-03-02T19:19:29Z"/>
        <d v="2022-03-02T19:03:39Z"/>
        <d v="2022-03-02T18:51:02Z"/>
        <d v="2022-03-02T18:34:51Z"/>
        <d v="2022-03-02T18:12:03Z"/>
        <d v="2022-03-02T17:36:21Z"/>
        <d v="2022-03-02T17:28:53Z"/>
        <d v="2022-03-02T17:07:22Z"/>
        <d v="2022-03-02T16:55:05Z"/>
        <d v="2022-03-02T16:50:35Z"/>
        <d v="2022-03-02T16:10:24Z"/>
        <d v="2022-03-02T16:00:32Z"/>
        <d v="2022-03-02T15:37:21Z"/>
        <d v="2022-03-02T15:33:20Z"/>
        <d v="2022-03-02T15:02:25Z"/>
        <d v="2022-03-02T14:54:36Z"/>
        <d v="2022-03-02T14:51:38Z"/>
        <d v="2022-03-02T13:47:15Z"/>
        <d v="2022-03-02T13:45:40Z"/>
        <d v="2022-03-02T13:41:44Z"/>
        <d v="2022-03-02T13:02:38Z"/>
        <d v="2022-03-02T13:02:07Z"/>
        <d v="2022-03-02T12:38:13Z"/>
        <d v="2022-03-02T12:13:04Z"/>
        <d v="2022-03-02T11:46:41Z"/>
        <d v="2022-03-02T10:59:37Z"/>
        <d v="2022-03-02T09:19:04Z"/>
        <d v="2022-03-02T07:02:23Z"/>
        <d v="2022-03-02T07:00:29Z"/>
        <d v="2022-03-02T06:18:31Z"/>
        <d v="2022-03-02T02:07:37Z"/>
        <d v="2022-03-02T00:28:48Z"/>
        <d v="2022-03-02T00:22:05Z"/>
        <d v="2022-03-01T23:53:52Z"/>
        <d v="2022-03-01T21:58:15Z"/>
        <d v="2022-03-01T21:51:45Z"/>
        <d v="2022-03-01T21:27:46Z"/>
        <d v="2022-03-01T21:01:48Z"/>
        <d v="2022-03-01T20:40:29Z"/>
        <d v="2022-03-01T20:40:14Z"/>
        <d v="2022-03-01T18:22:01Z"/>
        <d v="2022-03-01T18:18:30Z"/>
        <d v="2022-03-01T18:17:32Z"/>
        <d v="2022-03-01T18:16:28Z"/>
        <d v="2022-03-01T18:15:55Z"/>
        <d v="2022-03-01T18:11:07Z"/>
        <d v="2022-03-01T17:53:58Z"/>
        <d v="2022-03-01T17:53:57Z"/>
        <d v="2022-03-01T17:49:35Z"/>
        <d v="2022-03-01T17:49:21Z"/>
        <d v="2022-03-01T17:47:57Z"/>
        <d v="2022-03-01T17:45:32Z"/>
        <d v="2022-03-01T17:45:21Z"/>
        <d v="2022-03-01T17:45:09Z"/>
        <d v="2022-03-01T17:44:54Z"/>
        <d v="2022-03-01T17:44:41Z"/>
        <d v="2022-03-01T17:40:42Z"/>
        <d v="2022-03-01T17:14:57Z"/>
        <d v="2022-03-01T16:42:55Z"/>
        <d v="2022-03-01T16:26:12Z"/>
        <d v="2022-03-01T16:23:11Z"/>
        <d v="2022-03-01T16:14:16Z"/>
        <d v="2022-03-01T15:20:23Z"/>
        <d v="2022-03-01T14:28:48Z"/>
        <d v="2022-03-01T14:03:28Z"/>
        <d v="2022-03-01T13:36:56Z"/>
        <d v="2022-03-01T13:35:17Z"/>
        <d v="2022-03-01T13:33:42Z"/>
        <d v="2022-03-01T13:18:01Z"/>
        <d v="2022-03-01T13:16:37Z"/>
        <d v="2022-03-01T12:59:17Z"/>
        <d v="2022-03-01T12:57:26Z"/>
        <d v="2022-03-01T12:56:35Z"/>
        <d v="2022-03-01T12:47:02Z"/>
        <d v="2022-03-01T12:46:09Z"/>
        <d v="2022-03-01T12:44:18Z"/>
        <d v="2022-03-01T12:43:13Z"/>
        <d v="2022-03-01T12:39:07Z"/>
        <d v="2022-03-01T12:37:57Z"/>
        <d v="2022-03-01T12:33:44Z"/>
        <d v="2022-03-01T12:11:45Z"/>
        <d v="2022-03-01T12:10:46Z"/>
        <d v="2022-03-01T12:10:18Z"/>
        <d v="2022-03-01T12:09:40Z"/>
        <d v="2022-03-01T11:59:22Z"/>
        <d v="2022-03-01T11:57:03Z"/>
        <d v="2022-03-01T11:52:55Z"/>
        <d v="2022-03-01T11:16:58Z"/>
        <d v="2022-03-01T11:16:48Z"/>
        <d v="2022-03-01T11:14:57Z"/>
        <d v="2022-03-01T11:10:36Z"/>
        <d v="2022-03-01T10:49:49Z"/>
        <d v="2022-03-01T10:47:33Z"/>
        <d v="2022-03-01T10:41:11Z"/>
        <d v="2022-03-01T10:24:46Z"/>
        <d v="2022-03-01T10:22:18Z"/>
        <d v="2022-03-01T10:10:17Z"/>
        <d v="2022-03-01T10:05:07Z"/>
        <d v="2022-03-01T10:01:45Z"/>
        <d v="2022-03-01T09:59:48Z"/>
        <d v="2022-03-01T09:56:56Z"/>
        <d v="2022-03-01T09:38:25Z"/>
        <d v="2022-03-01T09:27:01Z"/>
        <d v="2022-03-01T09:00:11Z"/>
        <d v="2022-03-01T08:59:42Z"/>
        <d v="2022-03-01T08:58:58Z"/>
        <d v="2022-03-01T08:48:05Z"/>
        <d v="2022-03-01T08:06:28Z"/>
        <d v="2022-03-01T08:00:27Z"/>
        <d v="2022-03-01T07:55:40Z"/>
        <d v="2022-03-01T07:51:20Z"/>
        <d v="2022-03-01T07:50:23Z"/>
        <d v="2022-03-01T07:08:30Z"/>
        <d v="2022-03-01T07:02:34Z"/>
        <d v="2022-03-01T05:35:00Z"/>
        <d v="2022-03-01T03:11:39Z"/>
        <d v="2022-03-01T01:18:26Z"/>
        <d v="2022-02-28T23:25:24Z"/>
        <d v="2022-02-28T22:27:47Z"/>
        <d v="2022-02-28T22:25:48Z"/>
        <d v="2022-02-28T21:50:53Z"/>
        <d v="2022-02-28T21:32:37Z"/>
        <d v="2022-02-28T21:32:22Z"/>
        <d v="2022-02-28T21:29:50Z"/>
        <d v="2022-02-28T21:27:06Z"/>
        <d v="2022-02-28T21:26:55Z"/>
        <d v="2022-02-28T21:26:29Z"/>
        <d v="2022-02-28T21:22:46Z"/>
        <d v="2022-02-28T20:44:26Z"/>
        <d v="2022-02-28T20:35:28Z"/>
        <d v="2022-02-28T20:20:13Z"/>
        <d v="2022-02-28T20:02:19Z"/>
        <d v="2022-02-28T20:01:19Z"/>
        <d v="2022-02-28T19:33:52Z"/>
        <d v="2022-02-28T19:32:53Z"/>
        <d v="2022-02-28T18:44:55Z"/>
        <d v="2022-02-28T18:39:35Z"/>
        <d v="2022-02-28T18:17:14Z"/>
        <d v="2022-02-28T18:07:58Z"/>
        <d v="2022-02-28T18:05:05Z"/>
        <d v="2022-02-28T17:30:36Z"/>
        <d v="2022-02-28T17:29:04Z"/>
        <d v="2022-02-28T17:08:53Z"/>
        <d v="2022-02-28T17:07:46Z"/>
        <d v="2022-02-28T17:00:27Z"/>
        <d v="2022-02-28T16:37:20Z"/>
        <d v="2022-02-28T16:36:35Z"/>
        <d v="2022-02-28T16:36:27Z"/>
        <d v="2022-02-28T15:56:01Z"/>
        <d v="2022-02-28T15:31:39Z"/>
        <d v="2022-02-28T15:24:17Z"/>
        <d v="2022-02-28T15:05:11Z"/>
        <d v="2022-02-28T14:52:38Z"/>
        <d v="2022-02-28T14:51:19Z"/>
        <d v="2022-02-28T14:33:20Z"/>
        <d v="2022-02-28T14:15:48Z"/>
        <d v="2022-02-28T14:06:12Z"/>
        <d v="2022-02-28T13:53:07Z"/>
        <d v="2022-02-28T13:46:07Z"/>
        <d v="2022-02-28T13:44:11Z"/>
        <d v="2022-02-28T13:33:22Z"/>
        <d v="2022-02-28T13:21:24Z"/>
        <d v="2022-02-28T12:25:33Z"/>
        <d v="2022-02-28T12:19:09Z"/>
        <d v="2022-02-28T12:18:24Z"/>
        <d v="2022-02-28T11:51:05Z"/>
        <d v="2022-02-28T10:55:54Z"/>
        <d v="2022-02-28T10:32:32Z"/>
        <d v="2022-02-28T10:09:26Z"/>
        <d v="2022-02-28T09:22:24Z"/>
        <d v="2022-02-28T09:09:25Z"/>
        <d v="2022-02-28T07:27:04Z"/>
        <d v="2022-02-28T07:21:06Z"/>
        <d v="2022-02-28T05:53:14Z"/>
        <d v="2022-02-28T05:46:41Z"/>
        <d v="2022-02-28T03:35:20Z"/>
        <d v="2022-02-28T00:19:28Z"/>
        <d v="2022-02-27T22:57:05Z"/>
        <d v="2022-02-27T21:55:57Z"/>
        <d v="2022-02-27T21:53:59Z"/>
        <d v="2022-02-27T21:48:46Z"/>
        <d v="2022-02-27T21:46:59Z"/>
        <d v="2022-02-27T21:42:03Z"/>
        <d v="2022-02-27T21:41:28Z"/>
        <d v="2022-02-27T21:41:15Z"/>
        <d v="2022-02-27T21:40:21Z"/>
        <d v="2022-02-27T21:39:50Z"/>
        <d v="2022-02-27T21:35:45Z"/>
        <d v="2022-02-27T21:35:10Z"/>
        <d v="2022-02-27T21:32:48Z"/>
        <d v="2022-02-27T21:28:29Z"/>
        <d v="2022-02-27T20:55:49Z"/>
        <d v="2022-02-27T20:47:33Z"/>
        <d v="2022-02-27T20:46:01Z"/>
        <d v="2022-02-27T20:43:31Z"/>
        <d v="2022-02-27T20:39:51Z"/>
        <d v="2022-02-27T20:21:01Z"/>
        <d v="2022-02-27T19:53:39Z"/>
        <d v="2022-02-27T19:24:06Z"/>
        <d v="2022-02-27T19:14:53Z"/>
        <d v="2022-02-27T19:13:21Z"/>
        <d v="2022-02-27T19:05:24Z"/>
        <d v="2022-02-27T18:08:27Z"/>
        <d v="2022-02-27T18:08:20Z"/>
        <d v="2022-02-27T17:58:12Z"/>
        <d v="2022-02-27T17:32:16Z"/>
        <d v="2022-02-27T16:29:10Z"/>
        <d v="2022-02-27T16:10:46Z"/>
        <d v="2022-02-27T16:07:59Z"/>
        <d v="2022-02-27T16:01:30Z"/>
        <d v="2022-02-27T15:59:07Z"/>
        <d v="2022-02-27T15:48:22Z"/>
        <d v="2022-02-27T15:37:54Z"/>
        <d v="2022-02-27T14:41:43Z"/>
        <d v="2022-02-27T14:41:10Z"/>
        <d v="2022-02-27T13:33:03Z"/>
        <d v="2022-02-27T13:31:18Z"/>
        <d v="2022-02-27T12:48:10Z"/>
        <d v="2022-02-27T12:48:05Z"/>
        <d v="2022-02-27T12:21:19Z"/>
        <d v="2022-02-27T11:55:59Z"/>
        <d v="2022-02-27T11:52:41Z"/>
        <d v="2022-02-27T11:22:01Z"/>
        <d v="2022-02-27T11:09:46Z"/>
        <d v="2022-02-27T11:04:30Z"/>
        <d v="2022-02-27T10:57:12Z"/>
        <d v="2022-02-27T10:52:57Z"/>
        <d v="2022-02-27T10:34:30Z"/>
        <d v="2022-02-27T10:31:53Z"/>
        <d v="2022-02-27T10:28:35Z"/>
        <d v="2022-02-27T10:25:14Z"/>
        <d v="2022-02-27T10:22:20Z"/>
        <d v="2022-02-27T10:05:07Z"/>
        <d v="2022-02-27T10:05:03Z"/>
        <d v="2022-02-27T10:05:01Z"/>
        <d v="2022-02-27T10:04:59Z"/>
        <d v="2022-02-27T09:50:05Z"/>
        <d v="2022-02-27T09:35:52Z"/>
        <d v="2022-02-27T09:28:13Z"/>
        <d v="2022-02-27T09:22:22Z"/>
        <d v="2022-02-27T09:07:37Z"/>
        <d v="2022-02-27T09:02:11Z"/>
        <d v="2022-02-27T08:46:24Z"/>
        <d v="2022-02-27T08:46:11Z"/>
        <d v="2022-02-27T08:29:41Z"/>
        <d v="2022-02-27T08:27:43Z"/>
        <d v="2022-02-27T07:43:03Z"/>
        <d v="2022-02-27T07:22:56Z"/>
        <d v="2022-02-27T06:07:52Z"/>
        <d v="2022-02-27T01:21:10Z"/>
        <d v="2022-02-27T00:29:34Z"/>
        <d v="2022-02-27T00:08:09Z"/>
        <d v="2022-02-26T23:37:11Z"/>
        <d v="2022-02-26T23:22:38Z"/>
        <d v="2022-02-26T22:36:44Z"/>
        <d v="2022-02-26T22:34:24Z"/>
        <d v="2022-02-26T22:32:51Z"/>
        <d v="2022-02-26T22:31:36Z"/>
        <d v="2022-02-26T22:25:52Z"/>
        <d v="2022-02-26T22:20:42Z"/>
        <d v="2022-02-26T22:19:28Z"/>
        <d v="2022-02-26T22:18:49Z"/>
        <d v="2022-02-26T22:18:06Z"/>
        <d v="2022-02-26T22:16:46Z"/>
        <d v="2022-02-26T22:15:19Z"/>
        <d v="2022-02-26T22:05:38Z"/>
        <d v="2022-02-26T22:04:14Z"/>
        <d v="2022-02-26T22:03:03Z"/>
        <d v="2022-02-26T21:47:35Z"/>
        <d v="2022-02-26T21:42:09Z"/>
        <d v="2022-02-26T21:37:56Z"/>
        <d v="2022-02-26T21:37:24Z"/>
        <d v="2022-02-26T21:34:23Z"/>
        <d v="2022-02-26T21:09:27Z"/>
        <d v="2022-02-26T20:32:35Z"/>
        <d v="2022-02-26T20:06:15Z"/>
        <d v="2022-02-26T20:02:30Z"/>
        <d v="2022-02-26T19:57:02Z"/>
        <d v="2022-02-26T19:54:37Z"/>
        <d v="2022-02-26T19:54:04Z"/>
        <d v="2022-02-26T19:36:49Z"/>
        <d v="2022-02-26T19:33:50Z"/>
        <d v="2022-02-26T19:33:32Z"/>
        <d v="2022-02-26T19:05:41Z"/>
        <d v="2022-02-26T19:04:48Z"/>
        <d v="2022-02-26T19:01:14Z"/>
        <d v="2022-02-26T18:31:26Z"/>
        <d v="2022-02-26T18:09:22Z"/>
        <d v="2022-02-26T17:58:18Z"/>
        <d v="2022-02-26T17:47:30Z"/>
        <d v="2022-02-26T17:20:46Z"/>
        <d v="2022-02-26T17:06:34Z"/>
        <d v="2022-02-26T16:31:57Z"/>
        <d v="2022-02-26T16:25:00Z"/>
        <d v="2022-02-26T16:06:38Z"/>
        <d v="2022-02-26T16:05:56Z"/>
        <d v="2022-02-26T15:49:45Z"/>
        <d v="2022-02-26T15:47:39Z"/>
        <d v="2022-02-26T15:42:57Z"/>
        <d v="2022-02-26T15:39:23Z"/>
        <d v="2022-02-26T15:32:33Z"/>
        <d v="2022-02-26T15:17:29Z"/>
        <d v="2022-02-26T15:17:19Z"/>
        <d v="2022-02-26T15:17:18Z"/>
        <d v="2022-02-26T15:17:17Z"/>
        <d v="2022-02-26T15:12:10Z"/>
        <d v="2022-02-26T13:50:21Z"/>
        <d v="2022-02-26T12:32:19Z"/>
        <d v="2022-02-26T12:30:29Z"/>
        <d v="2022-02-26T12:25:17Z"/>
        <d v="2022-02-26T11:28:08Z"/>
        <d v="2022-02-26T11:18:43Z"/>
        <d v="2022-02-26T10:40:48Z"/>
        <d v="2022-02-26T09:30:00Z"/>
        <d v="2022-02-26T08:24:25Z"/>
        <d v="2022-02-26T08:18:08Z"/>
        <d v="2022-02-26T07:50:31Z"/>
        <d v="2022-02-26T07:30:48Z"/>
        <d v="2022-02-26T07:28:12Z"/>
        <d v="2022-02-26T06:24:43Z"/>
        <d v="2022-02-26T05:09:00Z"/>
        <d v="2022-02-26T04:27:23Z"/>
        <d v="2022-02-26T01:12:33Z"/>
        <d v="2022-02-26T01:09:16Z"/>
        <d v="2022-02-26T01:03:30Z"/>
        <d v="2022-02-25T21:56:08Z"/>
        <d v="2022-02-25T21:47:51Z"/>
        <d v="2022-02-25T21:44:43Z"/>
        <d v="2022-02-25T21:34:54Z"/>
        <d v="2022-02-25T21:16:11Z"/>
        <d v="2022-02-25T20:57:54Z"/>
        <d v="2022-02-25T20:53:33Z"/>
        <d v="2022-02-25T20:49:17Z"/>
        <d v="2022-02-25T20:42:12Z"/>
        <d v="2022-02-25T20:38:12Z"/>
        <d v="2022-02-25T20:33:55Z"/>
        <d v="2022-02-25T20:32:01Z"/>
        <d v="2022-02-25T20:08:18Z"/>
        <d v="2022-02-25T19:59:20Z"/>
        <d v="2022-02-25T19:52:09Z"/>
        <d v="2022-02-25T19:46:10Z"/>
        <d v="2022-02-25T19:34:54Z"/>
        <d v="2022-02-25T19:13:12Z"/>
        <d v="2022-02-25T19:08:57Z"/>
        <d v="2022-02-25T19:00:57Z"/>
        <d v="2022-02-25T18:58:13Z"/>
        <d v="2022-02-25T18:17:50Z"/>
        <d v="2022-02-25T17:31:38Z"/>
        <d v="2022-02-25T17:21:17Z"/>
        <d v="2022-02-25T17:09:13Z"/>
        <d v="2022-02-25T16:43:43Z"/>
        <d v="2022-02-25T16:38:22Z"/>
        <d v="2022-02-25T15:06:53Z"/>
        <d v="2022-02-25T14:53:23Z"/>
        <d v="2022-02-25T13:20:12Z"/>
        <d v="2022-02-25T12:49:15Z"/>
        <d v="2022-02-25T12:35:57Z"/>
        <d v="2022-02-25T12:33:42Z"/>
        <d v="2022-02-25T12:10:13Z"/>
        <d v="2022-02-25T11:18:17Z"/>
        <d v="2022-02-25T11:14:33Z"/>
        <d v="2022-02-25T09:49:25Z"/>
        <d v="2022-02-25T08:04:35Z"/>
        <d v="2022-02-25T06:19:16Z"/>
        <d v="2022-02-25T03:24:44Z"/>
        <d v="2022-02-25T01:32:11Z"/>
        <d v="2022-02-24T22:17:40Z"/>
        <d v="2022-02-24T21:18:22Z"/>
        <d v="2022-02-24T21:15:54Z"/>
        <d v="2022-02-24T20:35:11Z"/>
        <d v="2022-02-24T20:32:15Z"/>
        <d v="2022-02-24T20:26:48Z"/>
        <d v="2022-02-24T17:04:39Z"/>
        <d v="2022-02-24T16:53:42Z"/>
        <d v="2022-02-24T16:23:45Z"/>
        <d v="2022-02-24T15:32:33Z"/>
        <d v="2022-02-24T15:23:28Z"/>
        <d v="2022-02-24T14:16:07Z"/>
        <d v="2022-02-24T13:50:18Z"/>
        <d v="2022-02-24T13:41:04Z"/>
        <d v="2022-02-24T12:04:07Z"/>
        <d v="2022-02-24T11:59:01Z"/>
        <d v="2022-02-24T11:34:10Z"/>
        <d v="2022-02-24T11:18:36Z"/>
        <d v="2022-02-24T09:57:00Z"/>
        <d v="2022-02-24T08:25:56Z"/>
        <d v="2022-02-24T08:25:40Z"/>
        <d v="2022-02-24T08:08:09Z"/>
        <d v="2022-02-24T07:14:44Z"/>
        <d v="2022-02-24T04:43:56Z"/>
        <d v="2022-02-24T01:51:35Z"/>
        <d v="2022-02-24T00:06:59Z"/>
        <d v="2022-02-24T00:05:17Z"/>
        <d v="2022-02-24T00:01:42Z"/>
        <d v="2022-02-23T23:58:29Z"/>
        <d v="2022-02-23T22:33:04Z"/>
        <d v="2022-02-23T22:19:21Z"/>
        <d v="2022-02-23T22:19:11Z"/>
        <d v="2022-02-23T20:03:51Z"/>
        <d v="2022-02-23T19:41:23Z"/>
        <d v="2022-02-23T18:19:05Z"/>
        <d v="2022-02-23T17:56:09Z"/>
        <d v="2022-02-23T17:37:17Z"/>
        <d v="2022-02-23T15:17:46Z"/>
        <d v="2022-02-23T15:09:26Z"/>
        <d v="2022-02-23T15:03:51Z"/>
        <d v="2022-02-23T15:01:06Z"/>
        <d v="2022-02-23T15:00:35Z"/>
        <d v="2022-02-23T14:30:41Z"/>
        <d v="2022-02-23T14:00:28Z"/>
        <d v="2022-02-23T12:52:12Z"/>
        <d v="2022-02-23T11:41:37Z"/>
        <d v="2022-02-23T08:38:23Z"/>
        <d v="2022-02-23T08:38:13Z"/>
        <d v="2022-02-23T08:05:34Z"/>
        <d v="2022-02-23T07:49:08Z"/>
        <d v="2022-02-23T06:22:51Z"/>
        <d v="2022-02-23T05:57:55Z"/>
        <d v="2022-02-23T05:04:45Z"/>
        <d v="2022-02-23T04:36:16Z"/>
        <d v="2022-02-22T22:15:16Z"/>
        <d v="2022-02-22T21:59:35Z"/>
        <d v="2022-02-22T21:02:43Z"/>
        <d v="2022-02-22T20:52:30Z"/>
        <d v="2022-02-22T20:17:39Z"/>
        <d v="2022-02-22T19:04:39Z"/>
        <d v="2022-02-22T18:10:15Z"/>
        <d v="2022-02-22T15:40:07Z"/>
        <d v="2022-02-22T15:36:02Z"/>
        <d v="2022-02-22T15:30:47Z"/>
        <d v="2022-02-22T14:00:12Z"/>
        <d v="2022-02-22T12:47:16Z"/>
        <d v="2022-02-22T12:31:31Z"/>
        <d v="2022-02-22T12:29:16Z"/>
        <d v="2022-02-22T10:56:40Z"/>
        <d v="2022-02-22T10:37:27Z"/>
        <d v="2022-02-22T09:15:10Z"/>
        <d v="2022-02-21T19:31:54Z"/>
        <d v="2022-02-21T18:29:47Z"/>
        <d v="2022-02-21T14:21:00Z"/>
        <d v="2022-02-21T11:57:25Z"/>
        <d v="2022-02-21T09:42:49Z"/>
        <d v="2022-02-21T09:42:20Z"/>
        <d v="2022-02-21T09:12:08Z"/>
        <d v="2022-02-21T08:15:29Z"/>
        <d v="2022-02-20T23:46:59Z"/>
        <d v="2022-02-20T22:58:31Z"/>
        <d v="2022-02-20T21:57:42Z"/>
        <d v="2022-02-20T21:56:48Z"/>
        <d v="2022-02-20T20:49:57Z"/>
        <d v="2022-02-20T19:16:52Z"/>
        <d v="2022-02-20T19:16:17Z"/>
        <d v="2022-02-20T16:43:38Z"/>
        <d v="2022-02-20T16:35:05Z"/>
        <d v="2022-02-20T13:40:35Z"/>
        <d v="2022-02-20T12:03:16Z"/>
        <d v="2022-02-20T11:38:58Z"/>
        <d v="2022-02-20T09:58:44Z"/>
        <d v="2022-02-20T09:22:52Z"/>
        <d v="2022-02-19T21:27:28Z"/>
        <d v="2022-02-19T20:21:55Z"/>
        <d v="2022-02-19T20:21:52Z"/>
        <d v="2022-02-19T20:19:51Z"/>
        <d v="2022-02-19T20:17:56Z"/>
        <d v="2022-02-19T20:09:29Z"/>
        <d v="2022-02-19T14:58:37Z"/>
        <d v="2022-02-19T11:41:04Z"/>
        <d v="2022-02-19T11:01:45Z"/>
        <d v="2022-02-19T10:24:00Z"/>
        <d v="2022-02-19T09:44:56Z"/>
        <d v="2022-02-19T09:38:00Z"/>
        <d v="2022-02-18T22:31:23Z"/>
        <d v="2022-02-18T22:15:24Z"/>
        <d v="2022-02-18T21:38:18Z"/>
        <d v="2022-02-18T21:00:52Z"/>
        <d v="2022-02-18T19:50:24Z"/>
        <d v="2022-02-18T18:36:43Z"/>
        <d v="2022-02-18T17:27:46Z"/>
        <d v="2022-02-18T17:01:31Z"/>
        <d v="2022-02-18T16:30:20Z"/>
        <d v="2022-02-18T16:04:06Z"/>
        <d v="2022-02-18T15:54:30Z"/>
        <d v="2022-02-18T15:38:13Z"/>
        <d v="2022-02-18T15:21:21Z"/>
        <d v="2022-02-18T14:59:36Z"/>
        <d v="2022-02-18T14:51:16Z"/>
        <d v="2022-02-18T14:44:47Z"/>
        <d v="2022-02-18T14:44:28Z"/>
        <d v="2022-02-18T14:41:35Z"/>
        <d v="2022-02-18T14:41:10Z"/>
        <d v="2022-02-18T14:14:50Z"/>
        <d v="2022-02-18T14:11:42Z"/>
        <d v="2022-02-18T11:26:40Z"/>
        <d v="2022-02-18T11:26:17Z"/>
        <d v="2022-02-18T11:24:21Z"/>
        <d v="2022-02-18T07:08:03Z"/>
        <d v="2022-02-18T06:21:53Z"/>
        <d v="2022-02-18T05:20:31Z"/>
        <d v="2022-02-18T00:53:09Z"/>
        <d v="2022-02-18T00:42:50Z"/>
        <d v="2022-02-17T21:52:19Z"/>
        <d v="2022-02-17T21:25:49Z"/>
        <d v="2022-02-17T19:47:46Z"/>
        <d v="2022-02-17T19:00:09Z"/>
        <d v="2022-02-17T18:51:24Z"/>
        <d v="2022-02-17T17:14:22Z"/>
        <d v="2022-02-17T13:38:24Z"/>
        <d v="2022-02-17T11:59:08Z"/>
        <d v="2022-02-17T11:52:41Z"/>
        <d v="2022-02-17T11:51:21Z"/>
        <d v="2022-02-17T11:43:14Z"/>
        <d v="2022-02-17T11:43:12Z"/>
        <d v="2022-02-17T11:22:25Z"/>
        <d v="2022-02-17T11:14:54Z"/>
        <d v="2022-02-17T11:10:16Z"/>
        <d v="2022-02-17T11:04:18Z"/>
        <d v="2022-02-17T11:03:39Z"/>
        <d v="2022-02-17T10:42:41Z"/>
        <d v="2022-02-17T10:25:33Z"/>
        <d v="2022-02-17T10:19:00Z"/>
        <d v="2022-02-17T08:52:58Z"/>
        <d v="2022-02-17T08:29:47Z"/>
        <d v="2022-02-17T07:22:28Z"/>
        <d v="2022-02-16T22:47:04Z"/>
        <d v="2022-02-16T21:46:06Z"/>
        <d v="2022-02-16T21:40:20Z"/>
        <d v="2022-02-16T19:18:37Z"/>
        <d v="2022-02-16T18:45:27Z"/>
        <d v="2022-02-16T18:33:43Z"/>
        <d v="2022-02-16T17:47:57Z"/>
        <d v="2022-02-16T17:28:50Z"/>
        <d v="2022-02-16T17:23:10Z"/>
        <d v="2022-02-16T15:46:06Z"/>
        <d v="2022-02-16T15:33:59Z"/>
        <d v="2022-02-16T14:53:16Z"/>
        <d v="2022-02-16T11:51:27Z"/>
        <d v="2022-02-16T11:46:54Z"/>
        <d v="2022-02-16T11:17:01Z"/>
        <d v="2022-02-16T11:15:13Z"/>
        <d v="2022-02-16T11:14:32Z"/>
        <d v="2022-02-16T11:00:49Z"/>
        <d v="2022-02-16T09:37:16Z"/>
        <d v="2022-02-16T09:33:19Z"/>
        <d v="2022-02-16T00:10:37Z"/>
        <d v="2022-02-15T23:58:03Z"/>
        <d v="2022-02-15T22:20:14Z"/>
        <d v="2022-02-15T21:20:11Z"/>
        <d v="2022-02-15T21:14:25Z"/>
        <d v="2022-02-15T20:30:30Z"/>
        <d v="2022-02-15T19:38:12Z"/>
        <d v="2022-02-15T19:37:29Z"/>
        <d v="2022-02-15T17:27:27Z"/>
        <d v="2022-02-15T16:50:37Z"/>
        <d v="2022-02-15T13:55:32Z"/>
        <d v="2022-02-15T13:53:52Z"/>
        <d v="2022-02-15T12:26:14Z"/>
        <d v="2022-02-15T11:51:37Z"/>
        <d v="2022-02-15T10:15:03Z"/>
        <d v="2022-02-15T08:59:55Z"/>
        <d v="2022-02-15T08:40:15Z"/>
        <d v="2022-02-15T08:34:51Z"/>
        <d v="2022-02-14T23:18:02Z"/>
        <d v="2022-02-14T21:34:14Z"/>
        <d v="2022-02-14T21:22:21Z"/>
        <d v="2022-02-14T21:18:52Z"/>
        <d v="2022-02-14T20:12:09Z"/>
        <d v="2022-02-14T18:30:52Z"/>
        <d v="2022-02-14T18:30:18Z"/>
        <d v="2022-02-14T18:27:45Z"/>
        <d v="2022-02-14T17:45:26Z"/>
        <d v="2022-02-14T17:26:24Z"/>
        <d v="2022-02-14T16:56:06Z"/>
        <d v="2022-02-14T16:35:16Z"/>
        <d v="2022-02-14T15:57:30Z"/>
        <d v="2022-02-14T14:53:09Z"/>
        <d v="2022-02-14T14:08:54Z"/>
        <d v="2022-02-14T13:19:54Z"/>
        <d v="2022-02-14T11:35:38Z"/>
        <d v="2022-02-14T11:18:57Z"/>
        <d v="2022-02-14T11:18:43Z"/>
        <d v="2022-02-14T11:10:10Z"/>
        <d v="2022-02-14T10:24:09Z"/>
        <d v="2022-02-14T10:20:41Z"/>
        <d v="2022-02-14T10:11:21Z"/>
        <d v="2022-02-14T10:11:19Z"/>
        <d v="2022-02-14T10:01:36Z"/>
        <d v="2022-02-14T09:46:41Z"/>
        <d v="2022-02-14T09:46:38Z"/>
        <d v="2022-02-13T23:38:13Z"/>
        <d v="2022-02-13T21:36:13Z"/>
        <d v="2022-02-13T21:35:19Z"/>
        <d v="2022-02-13T21:06:38Z"/>
        <d v="2022-02-13T21:06:18Z"/>
        <d v="2022-02-13T20:11:46Z"/>
        <d v="2022-02-13T17:16:45Z"/>
        <d v="2022-02-13T16:30:02Z"/>
        <d v="2022-02-13T16:02:02Z"/>
        <d v="2022-02-13T14:47:53Z"/>
        <d v="2022-02-13T14:18:10Z"/>
        <d v="2022-02-13T13:58:02Z"/>
        <d v="2022-02-13T13:45:36Z"/>
        <d v="2022-02-13T13:30:16Z"/>
        <d v="2022-02-13T13:29:05Z"/>
        <d v="2022-02-13T12:35:05Z"/>
        <d v="2022-02-13T11:49:12Z"/>
        <d v="2022-02-13T10:57:08Z"/>
        <d v="2022-02-13T10:03:27Z"/>
        <d v="2022-02-13T10:01:22Z"/>
        <d v="2022-02-13T09:57:53Z"/>
        <d v="2022-02-13T06:12:44Z"/>
        <d v="2022-02-12T23:28:55Z"/>
        <d v="2022-02-12T22:30:38Z"/>
        <d v="2022-02-12T21:06:59Z"/>
        <d v="2022-02-12T21:06:56Z"/>
        <d v="2022-02-12T21:06:40Z"/>
        <d v="2022-02-12T20:50:46Z"/>
        <d v="2022-02-12T20:22:53Z"/>
        <d v="2022-02-12T20:06:34Z"/>
        <d v="2022-02-12T19:10:01Z"/>
        <d v="2022-02-12T18:57:59Z"/>
        <d v="2022-02-12T18:29:23Z"/>
        <d v="2022-02-12T18:23:11Z"/>
        <d v="2022-02-12T18:19:47Z"/>
        <d v="2022-02-12T13:54:16Z"/>
        <d v="2022-02-12T12:52:40Z"/>
        <d v="2022-02-12T11:41:35Z"/>
        <d v="2022-02-12T11:31:44Z"/>
        <d v="2022-02-12T11:25:57Z"/>
        <d v="2022-02-12T09:49:22Z"/>
        <d v="2022-02-12T09:47:36Z"/>
        <d v="2022-02-12T09:47:04Z"/>
        <d v="2022-02-12T08:39:15Z"/>
        <d v="2022-02-12T08:28:16Z"/>
        <d v="2022-02-12T07:26:36Z"/>
      </sharedItems>
    </cacheField>
    <cacheField name="Day" numFmtId="0">
      <sharedItems containsSemiMixedTypes="0" containsString="0" containsNumber="1" containsInteger="1">
        <n v="12.0"/>
        <n v="11.0"/>
        <n v="10.0"/>
        <n v="9.0"/>
        <n v="8.0"/>
        <n v="7.0"/>
        <n v="6.0"/>
        <n v="5.0"/>
        <n v="4.0"/>
        <n v="3.0"/>
        <n v="2.0"/>
        <n v="1.0"/>
        <n v="31.0"/>
        <n v="30.0"/>
        <n v="29.0"/>
        <n v="28.0"/>
        <n v="27.0"/>
        <n v="26.0"/>
        <n v="25.0"/>
        <n v="24.0"/>
        <n v="23.0"/>
        <n v="22.0"/>
        <n v="21.0"/>
        <n v="20.0"/>
        <n v="19.0"/>
        <n v="18.0"/>
        <n v="17.0"/>
        <n v="16.0"/>
        <n v="15.0"/>
        <n v="14.0"/>
        <n v="13.0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E9371" sheet="solution_2"/>
  </cacheSource>
  <cacheFields>
    <cacheField name="date_time" numFmtId="0">
      <sharedItems>
        <s v="2022-04-12 07:09:10 UTC"/>
        <s v="2022-04-12 07:07:59 UTC"/>
        <s v="2022-04-12 07:07:50 UTC"/>
        <s v="2022-04-12 07:04:32 UTC"/>
        <s v="2022-04-12 07:01:56 UTC"/>
        <s v="2022-04-12 07:01:53 UTC"/>
        <s v="2022-04-12 07:01:50 UTC"/>
        <s v="2022-04-12 07:01:22 UTC"/>
        <s v="2022-04-12 07:01:17 UTC"/>
        <s v="2022-04-12 07:01:00 UTC"/>
        <s v="2022-04-12 07:00:27 UTC"/>
        <s v="2022-04-12 06:59:15 UTC"/>
        <s v="2022-04-12 06:58:53 UTC"/>
        <s v="2022-04-12 06:58:47 UTC"/>
        <s v="2022-04-12 06:58:36 UTC"/>
        <s v="2022-04-12 06:58:25 UTC"/>
        <s v="2022-04-12 06:57:32 UTC"/>
        <s v="2022-04-12 06:57:30 UTC"/>
        <s v="2022-04-12 06:56:49 UTC"/>
        <s v="2022-04-12 06:56:43 UTC"/>
        <s v="2022-04-12 06:56:39 UTC"/>
        <s v="2022-04-12 06:56:37 UTC"/>
        <s v="2022-04-12 06:56:33 UTC"/>
        <s v="2022-04-12 06:54:49 UTC"/>
        <s v="2022-04-12 06:52:53 UTC"/>
        <s v="2022-04-12 06:52:38 UTC"/>
        <s v="2022-04-12 06:51:33 UTC"/>
        <s v="2022-04-12 06:51:26 UTC"/>
        <s v="2022-04-12 06:50:27 UTC"/>
        <s v="2022-04-12 06:47:18 UTC"/>
        <s v="2022-04-12 06:46:58 UTC"/>
        <s v="2022-04-12 06:45:38 UTC"/>
        <s v="2022-04-12 06:44:30 UTC"/>
        <s v="2022-04-12 06:37:59 UTC"/>
        <s v="2022-04-12 06:36:53 UTC"/>
        <s v="2022-04-12 06:35:19 UTC"/>
        <s v="2022-04-12 06:32:19 UTC"/>
        <s v="2022-04-12 06:31:56 UTC"/>
        <s v="2022-04-12 06:31:34 UTC"/>
        <s v="2022-04-12 06:26:41 UTC"/>
        <s v="2022-04-12 06:25:34 UTC"/>
        <s v="2022-04-12 06:25:15 UTC"/>
        <s v="2022-04-12 06:25:01 UTC"/>
        <s v="2022-04-12 06:22:34 UTC"/>
        <s v="2022-04-12 06:22:30 UTC"/>
        <s v="2022-04-12 06:22:27 UTC"/>
        <s v="2022-04-12 06:20:53 UTC"/>
        <s v="2022-04-12 06:20:42 UTC"/>
        <s v="2022-04-12 06:20:36 UTC"/>
        <s v="2022-04-12 06:20:22 UTC"/>
        <s v="2022-04-12 06:20:17 UTC"/>
        <s v="2022-04-12 06:18:51 UTC"/>
        <s v="2022-04-12 06:18:23 UTC"/>
        <s v="2022-04-12 06:18:13 UTC"/>
        <s v="2022-04-12 06:17:56 UTC"/>
        <s v="2022-04-12 06:17:46 UTC"/>
        <s v="2022-04-12 06:17:07 UTC"/>
        <s v="2022-04-12 06:17:02 UTC"/>
        <s v="2022-04-12 06:16:56 UTC"/>
        <s v="2022-04-12 06:16:37 UTC"/>
        <s v="2022-04-12 06:16:33 UTC"/>
        <s v="2022-04-12 06:16:27 UTC"/>
        <s v="2022-04-12 06:16:23 UTC"/>
        <s v="2022-04-12 06:16:19 UTC"/>
        <s v="2022-04-12 06:16:10 UTC"/>
        <s v="2022-04-12 06:16:06 UTC"/>
        <s v="2022-04-12 06:16:03 UTC"/>
        <s v="2022-04-12 06:15:55 UTC"/>
        <s v="2022-04-12 06:15:21 UTC"/>
        <s v="2022-04-12 06:14:42 UTC"/>
        <s v="2022-04-12 06:13:37 UTC"/>
        <s v="2022-04-12 06:12:56 UTC"/>
        <s v="2022-04-12 06:12:13 UTC"/>
        <s v="2022-04-12 06:11:54 UTC"/>
        <s v="2022-04-12 06:11:44 UTC"/>
        <s v="2022-04-12 06:10:56 UTC"/>
        <s v="2022-04-12 06:10:06 UTC"/>
        <s v="2022-04-12 06:09:53 UTC"/>
        <s v="2022-04-12 06:09:47 UTC"/>
        <s v="2022-04-12 06:09:40 UTC"/>
        <s v="2022-04-12 06:08:23 UTC"/>
        <s v="2022-04-12 06:06:51 UTC"/>
        <s v="2022-04-12 06:04:35 UTC"/>
        <s v="2022-04-12 06:04:27 UTC"/>
        <s v="2022-04-12 06:04:22 UTC"/>
        <s v="2022-04-12 06:04:15 UTC"/>
        <s v="2022-04-12 06:02:11 UTC"/>
        <s v="2022-04-12 06:01:26 UTC"/>
        <s v="2022-04-12 06:01:23 UTC"/>
        <s v="2022-04-12 06:00:25 UTC"/>
        <s v="2022-04-12 06:00:21 UTC"/>
        <s v="2022-04-12 06:00:19 UTC"/>
        <s v="2022-04-12 05:58:49 UTC"/>
        <s v="2022-04-12 05:58:37 UTC"/>
        <s v="2022-04-12 05:57:45 UTC"/>
        <s v="2022-04-12 05:57:18 UTC"/>
        <s v="2022-04-12 05:57:12 UTC"/>
        <s v="2022-04-12 05:57:08 UTC"/>
        <s v="2022-04-12 05:57:05 UTC"/>
        <s v="2022-04-12 05:57:01 UTC"/>
        <s v="2022-04-12 05:56:58 UTC"/>
        <s v="2022-04-12 05:56:55 UTC"/>
        <s v="2022-04-12 05:56:50 UTC"/>
        <s v="2022-04-12 05:56:04 UTC"/>
        <s v="2022-04-12 05:56:03 UTC"/>
        <s v="2022-04-12 05:55:57 UTC"/>
        <s v="2022-04-12 05:54:55 UTC"/>
        <s v="2022-04-12 05:54:38 UTC"/>
        <s v="2022-04-12 05:53:36 UTC"/>
        <s v="2022-04-12 05:52:58 UTC"/>
        <s v="2022-04-12 05:52:01 UTC"/>
        <s v="2022-04-12 05:48:12 UTC"/>
        <s v="2022-04-12 05:47:48 UTC"/>
        <s v="2022-04-12 05:46:53 UTC"/>
        <s v="2022-04-12 05:46:39 UTC"/>
        <s v="2022-04-12 05:46:27 UTC"/>
        <s v="2022-04-12 05:45:49 UTC"/>
        <s v="2022-04-12 05:43:32 UTC"/>
        <s v="2022-04-12 05:43:14 UTC"/>
        <s v="2022-04-12 05:40:40 UTC"/>
        <s v="2022-04-12 05:39:58 UTC"/>
        <s v="2022-04-12 05:39:34 UTC"/>
        <s v="2022-04-12 05:39:12 UTC"/>
        <s v="2022-04-12 05:37:01 UTC"/>
        <s v="2022-04-12 05:35:41 UTC"/>
        <s v="2022-04-12 05:33:34 UTC"/>
        <s v="2022-04-12 05:33:31 UTC"/>
        <s v="2022-04-12 05:33:27 UTC"/>
        <s v="2022-04-12 05:33:16 UTC"/>
        <s v="2022-04-12 05:33:13 UTC"/>
        <s v="2022-04-12 05:33:01 UTC"/>
        <s v="2022-04-12 05:32:58 UTC"/>
        <s v="2022-04-12 05:32:56 UTC"/>
        <s v="2022-04-12 05:32:36 UTC"/>
        <s v="2022-04-12 05:32:30 UTC"/>
        <s v="2022-04-12 05:32:11 UTC"/>
        <s v="2022-04-12 05:30:38 UTC"/>
        <s v="2022-04-12 05:30:37 UTC"/>
        <s v="2022-04-12 05:30:33 UTC"/>
        <s v="2022-04-12 05:30:04 UTC"/>
        <s v="2022-04-12 05:30:01 UTC"/>
        <s v="2022-04-12 05:29:56 UTC"/>
        <s v="2022-04-12 05:29:54 UTC"/>
        <s v="2022-04-12 05:28:30 UTC"/>
        <s v="2022-04-12 05:28:27 UTC"/>
        <s v="2022-04-12 05:28:24 UTC"/>
        <s v="2022-04-12 05:28:19 UTC"/>
        <s v="2022-04-12 05:28:17 UTC"/>
        <s v="2022-04-12 05:28:03 UTC"/>
        <s v="2022-04-12 05:27:43 UTC"/>
        <s v="2022-04-12 05:27:22 UTC"/>
        <s v="2022-04-12 05:27:19 UTC"/>
        <s v="2022-04-12 05:27:13 UTC"/>
        <s v="2022-04-12 05:27:10 UTC"/>
        <s v="2022-04-12 05:27:04 UTC"/>
        <s v="2022-04-12 05:27:01 UTC"/>
        <s v="2022-04-12 05:26:57 UTC"/>
        <s v="2022-04-12 05:26:43 UTC"/>
        <s v="2022-04-12 05:26:40 UTC"/>
        <s v="2022-04-12 05:26:33 UTC"/>
        <s v="2022-04-12 05:23:58 UTC"/>
        <s v="2022-04-12 05:22:25 UTC"/>
        <s v="2022-04-12 05:20:12 UTC"/>
        <s v="2022-04-12 05:19:33 UTC"/>
        <s v="2022-04-12 05:19:27 UTC"/>
        <s v="2022-04-12 05:19:24 UTC"/>
        <s v="2022-04-12 05:18:58 UTC"/>
        <s v="2022-04-12 05:17:33 UTC"/>
        <s v="2022-04-12 05:17:20 UTC"/>
        <s v="2022-04-12 05:17:16 UTC"/>
        <s v="2022-04-12 05:12:08 UTC"/>
        <s v="2022-04-12 05:09:25 UTC"/>
        <s v="2022-04-12 05:08:41 UTC"/>
        <s v="2022-04-12 05:06:16 UTC"/>
        <s v="2022-04-12 05:02:31 UTC"/>
        <s v="2022-04-12 05:02:23 UTC"/>
        <s v="2022-04-12 05:02:17 UTC"/>
        <s v="2022-04-12 05:00:19 UTC"/>
        <s v="2022-04-12 05:00:12 UTC"/>
        <s v="2022-04-12 04:59:55 UTC"/>
        <s v="2022-04-12 04:59:02 UTC"/>
        <s v="2022-04-12 04:55:37 UTC"/>
        <s v="2022-04-12 04:48:57 UTC"/>
        <s v="2022-04-12 04:48:22 UTC"/>
        <s v="2022-04-12 04:47:36 UTC"/>
        <s v="2022-04-12 04:47:35 UTC"/>
        <s v="2022-04-12 04:47:31 UTC"/>
        <s v="2022-04-12 04:47:28 UTC"/>
        <s v="2022-04-12 04:47:25 UTC"/>
        <s v="2022-04-12 04:47:22 UTC"/>
        <s v="2022-04-12 04:46:56 UTC"/>
        <s v="2022-04-12 04:46:18 UTC"/>
        <s v="2022-04-12 04:43:21 UTC"/>
        <s v="2022-04-12 04:43:14 UTC"/>
        <s v="2022-04-12 04:43:05 UTC"/>
        <s v="2022-04-12 04:40:28 UTC"/>
        <s v="2022-04-12 04:38:52 UTC"/>
        <s v="2022-04-12 04:38:03 UTC"/>
        <s v="2022-04-12 04:34:47 UTC"/>
        <s v="2022-04-12 04:33:21 UTC"/>
        <s v="2022-04-12 04:33:09 UTC"/>
        <s v="2022-04-12 04:32:37 UTC"/>
        <s v="2022-04-12 04:32:32 UTC"/>
        <s v="2022-04-12 04:30:34 UTC"/>
        <s v="2022-04-12 04:30:08 UTC"/>
        <s v="2022-04-12 04:29:12 UTC"/>
        <s v="2022-04-12 04:25:44 UTC"/>
        <s v="2022-04-12 04:24:40 UTC"/>
        <s v="2022-04-12 04:20:52 UTC"/>
        <s v="2022-04-12 04:17:35 UTC"/>
        <s v="2022-04-12 04:13:58 UTC"/>
        <s v="2022-04-12 04:13:50 UTC"/>
        <s v="2022-04-12 04:13:45 UTC"/>
        <s v="2022-04-12 04:12:46 UTC"/>
        <s v="2022-04-12 04:12:28 UTC"/>
        <s v="2022-04-12 04:12:26 UTC"/>
        <s v="2022-04-12 04:12:23 UTC"/>
        <s v="2022-04-12 04:12:19 UTC"/>
        <s v="2022-04-12 04:10:58 UTC"/>
        <s v="2022-04-12 04:09:27 UTC"/>
        <s v="2022-04-12 04:09:17 UTC"/>
        <s v="2022-04-12 04:08:26 UTC"/>
        <s v="2022-04-12 04:08:24 UTC"/>
        <s v="2022-04-12 04:08:22 UTC"/>
        <s v="2022-04-12 04:07:32 UTC"/>
        <s v="2022-04-12 04:06:28 UTC"/>
        <s v="2022-04-12 04:06:12 UTC"/>
        <s v="2022-04-12 04:06:06 UTC"/>
        <s v="2022-04-12 04:03:10 UTC"/>
        <s v="2022-04-12 03:59:45 UTC"/>
        <s v="2022-04-12 03:59:42 UTC"/>
        <s v="2022-04-12 03:58:39 UTC"/>
        <s v="2022-04-12 03:57:42 UTC"/>
        <s v="2022-04-12 03:55:45 UTC"/>
        <s v="2022-04-12 03:55:42 UTC"/>
        <s v="2022-04-12 03:55:11 UTC"/>
        <s v="2022-04-12 03:54:30 UTC"/>
        <s v="2022-04-12 03:54:27 UTC"/>
        <s v="2022-04-12 03:54:06 UTC"/>
        <s v="2022-04-12 03:53:58 UTC"/>
        <s v="2022-04-12 03:53:55 UTC"/>
        <s v="2022-04-12 03:52:29 UTC"/>
        <s v="2022-04-12 03:52:19 UTC"/>
        <s v="2022-04-12 03:51:30 UTC"/>
        <s v="2022-04-12 03:50:34 UTC"/>
        <s v="2022-04-12 03:50:05 UTC"/>
        <s v="2022-04-12 03:49:54 UTC"/>
        <s v="2022-04-12 03:49:25 UTC"/>
        <s v="2022-04-12 03:49:17 UTC"/>
        <s v="2022-04-12 03:48:55 UTC"/>
        <s v="2022-04-12 03:48:28 UTC"/>
        <s v="2022-04-12 03:48:19 UTC"/>
        <s v="2022-04-12 03:48:17 UTC"/>
        <s v="2022-04-12 03:48:15 UTC"/>
        <s v="2022-04-12 03:48:11 UTC"/>
        <s v="2022-04-12 03:48:10 UTC"/>
        <s v="2022-04-12 03:48:09 UTC"/>
        <s v="2022-04-12 03:48:05 UTC"/>
        <s v="2022-04-12 03:47:47 UTC"/>
        <s v="2022-04-12 03:47:45 UTC"/>
        <s v="2022-04-12 03:47:28 UTC"/>
        <s v="2022-04-12 03:47:26 UTC"/>
        <s v="2022-04-12 03:47:24 UTC"/>
        <s v="2022-04-12 03:47:23 UTC"/>
        <s v="2022-04-12 03:47:21 UTC"/>
        <s v="2022-04-12 03:47:14 UTC"/>
        <s v="2022-04-12 03:47:12 UTC"/>
        <s v="2022-04-12 03:47:10 UTC"/>
        <s v="2022-04-12 03:47:09 UTC"/>
        <s v="2022-04-12 03:47:06 UTC"/>
        <s v="2022-04-12 03:47:04 UTC"/>
        <s v="2022-04-12 03:47:03 UTC"/>
        <s v="2022-04-12 03:47:00 UTC"/>
        <s v="2022-04-12 03:46:55 UTC"/>
        <s v="2022-04-12 03:42:35 UTC"/>
        <s v="2022-04-12 03:42:29 UTC"/>
        <s v="2022-04-12 03:42:28 UTC"/>
        <s v="2022-04-12 03:42:16 UTC"/>
        <s v="2022-04-12 03:42:01 UTC"/>
        <s v="2022-04-12 03:41:57 UTC"/>
        <s v="2022-04-12 03:41:54 UTC"/>
        <s v="2022-04-12 03:41:50 UTC"/>
        <s v="2022-04-12 03:41:33 UTC"/>
        <s v="2022-04-12 03:40:45 UTC"/>
        <s v="2022-04-12 03:39:39 UTC"/>
        <s v="2022-04-12 03:39:03 UTC"/>
        <s v="2022-04-12 03:39:00 UTC"/>
        <s v="2022-04-12 03:38:54 UTC"/>
        <s v="2022-04-12 03:38:53 UTC"/>
        <s v="2022-04-12 03:38:48 UTC"/>
        <s v="2022-04-12 03:38:17 UTC"/>
        <s v="2022-04-12 03:37:54 UTC"/>
        <s v="2022-04-12 03:37:17 UTC"/>
        <s v="2022-04-12 03:37:01 UTC"/>
        <s v="2022-04-12 03:35:45 UTC"/>
        <s v="2022-04-12 03:35:42 UTC"/>
        <s v="2022-04-12 03:35:30 UTC"/>
        <s v="2022-04-12 03:35:19 UTC"/>
        <s v="2022-04-12 03:35:18 UTC"/>
        <s v="2022-04-12 03:35:17 UTC"/>
        <s v="2022-04-12 03:35:16 UTC"/>
        <s v="2022-04-12 03:35:15 UTC"/>
        <s v="2022-04-12 03:35:14 UTC"/>
        <s v="2022-04-12 03:35:13 UTC"/>
        <s v="2022-04-12 03:35:12 UTC"/>
        <s v="2022-04-12 03:35:11 UTC"/>
        <s v="2022-04-12 03:35:10 UTC"/>
        <s v="2022-04-12 03:35:09 UTC"/>
        <s v="2022-04-12 03:35:08 UTC"/>
        <s v="2022-04-12 03:35:07 UTC"/>
        <s v="2022-04-12 03:35:06 UTC"/>
        <s v="2022-04-12 03:35:05 UTC"/>
        <s v="2022-04-12 03:35:04 UTC"/>
        <s v="2022-04-12 03:35:03 UTC"/>
        <s v="2022-04-12 03:35:02 UTC"/>
        <s v="2022-04-12 03:35:01 UTC"/>
        <s v="2022-04-12 03:35:00 UTC"/>
        <s v="2022-04-12 03:34:59 UTC"/>
        <s v="2022-04-12 03:34:58 UTC"/>
        <s v="2022-04-12 03:34:57 UTC"/>
        <s v="2022-04-12 03:34:56 UTC"/>
        <s v="2022-04-12 03:34:55 UTC"/>
        <s v="2022-04-12 03:34:54 UTC"/>
        <s v="2022-04-12 03:34:53 UTC"/>
        <s v="2022-04-12 03:34:52 UTC"/>
        <s v="2022-04-12 03:34:51 UTC"/>
        <s v="2022-04-12 03:34:50 UTC"/>
        <s v="2022-04-12 03:34:49 UTC"/>
        <s v="2022-04-12 03:34:48 UTC"/>
        <s v="2022-04-12 03:34:47 UTC"/>
        <s v="2022-04-12 03:34:46 UTC"/>
        <s v="2022-04-12 03:34:45 UTC"/>
        <s v="2022-04-12 03:34:44 UTC"/>
        <s v="2022-04-12 03:34:43 UTC"/>
        <s v="2022-04-12 03:34:42 UTC"/>
        <s v="2022-04-12 03:34:41 UTC"/>
        <s v="2022-04-12 03:34:40 UTC"/>
        <s v="2022-04-12 03:34:39 UTC"/>
        <s v="2022-04-12 03:34:38 UTC"/>
        <s v="2022-04-12 03:34:37 UTC"/>
        <s v="2022-04-12 03:34:36 UTC"/>
        <s v="2022-04-12 03:34:35 UTC"/>
        <s v="2022-04-12 03:34:34 UTC"/>
        <s v="2022-04-12 03:34:33 UTC"/>
        <s v="2022-04-12 03:34:32 UTC"/>
        <s v="2022-04-12 03:34:31 UTC"/>
        <s v="2022-04-12 03:34:30 UTC"/>
        <s v="2022-04-12 03:34:29 UTC"/>
        <s v="2022-04-12 03:34:28 UTC"/>
        <s v="2022-04-12 03:34:27 UTC"/>
        <s v="2022-04-12 03:34:26 UTC"/>
        <s v="2022-04-12 03:34:25 UTC"/>
        <s v="2022-04-12 03:34:24 UTC"/>
        <s v="2022-04-12 03:34:23 UTC"/>
        <s v="2022-04-12 03:34:22 UTC"/>
        <s v="2022-04-12 03:34:21 UTC"/>
        <s v="2022-04-12 03:34:20 UTC"/>
        <s v="2022-04-12 03:34:19 UTC"/>
        <s v="2022-04-12 03:34:18 UTC"/>
        <s v="2022-04-12 03:34:17 UTC"/>
        <s v="2022-04-12 03:34:16 UTC"/>
        <s v="2022-04-12 03:34:15 UTC"/>
        <s v="2022-04-12 03:34:14 UTC"/>
        <s v="2022-04-12 03:34:13 UTC"/>
        <s v="2022-04-12 03:34:12 UTC"/>
        <s v="2022-04-12 03:34:11 UTC"/>
        <s v="2022-04-12 03:34:10 UTC"/>
        <s v="2022-04-12 03:34:09 UTC"/>
        <s v="2022-04-12 03:34:08 UTC"/>
        <s v="2022-04-12 03:34:07 UTC"/>
        <s v="2022-04-12 03:34:06 UTC"/>
        <s v="2022-04-12 03:34:05 UTC"/>
        <s v="2022-04-12 03:34:04 UTC"/>
        <s v="2022-04-12 03:34:03 UTC"/>
        <s v="2022-04-12 03:34:02 UTC"/>
        <s v="2022-04-12 03:34:01 UTC"/>
        <s v="2022-04-12 03:34:00 UTC"/>
        <s v="2022-04-12 03:33:59 UTC"/>
        <s v="2022-04-12 03:33:58 UTC"/>
        <s v="2022-04-12 03:33:57 UTC"/>
        <s v="2022-04-12 03:33:56 UTC"/>
        <s v="2022-04-12 03:33:55 UTC"/>
        <s v="2022-04-12 03:33:54 UTC"/>
        <s v="2022-04-12 03:33:53 UTC"/>
        <s v="2022-04-12 03:33:52 UTC"/>
        <s v="2022-04-12 03:33:51 UTC"/>
        <s v="2022-04-12 03:33:50 UTC"/>
        <s v="2022-04-12 03:33:49 UTC"/>
        <s v="2022-04-12 03:33:48 UTC"/>
        <s v="2022-04-12 03:33:47 UTC"/>
        <s v="2022-04-12 03:33:46 UTC"/>
        <s v="2022-04-12 03:33:45 UTC"/>
        <s v="2022-04-12 03:33:44 UTC"/>
        <s v="2022-04-12 03:33:43 UTC"/>
        <s v="2022-04-12 03:33:42 UTC"/>
        <s v="2022-04-12 03:33:41 UTC"/>
        <s v="2022-04-12 03:33:40 UTC"/>
        <s v="2022-04-12 03:33:39 UTC"/>
        <s v="2022-04-12 03:33:38 UTC"/>
        <s v="2022-04-12 03:33:37 UTC"/>
        <s v="2022-04-12 03:33:36 UTC"/>
        <s v="2022-04-12 03:33:35 UTC"/>
        <s v="2022-04-12 03:33:34 UTC"/>
        <s v="2022-04-12 03:33:33 UTC"/>
        <s v="2022-04-12 03:33:32 UTC"/>
        <s v="2022-04-12 03:33:31 UTC"/>
        <s v="2022-04-12 03:33:30 UTC"/>
        <s v="2022-04-12 03:33:29 UTC"/>
        <s v="2022-04-12 03:33:28 UTC"/>
        <s v="2022-04-12 03:33:27 UTC"/>
        <s v="2022-04-12 03:33:26 UTC"/>
        <s v="2022-04-12 03:33:25 UTC"/>
        <s v="2022-04-12 03:33:24 UTC"/>
        <s v="2022-04-12 03:33:23 UTC"/>
        <s v="2022-04-12 03:33:22 UTC"/>
        <s v="2022-04-12 03:33:21 UTC"/>
        <s v="2022-04-12 03:33:20 UTC"/>
        <s v="2022-04-12 03:33:15 UTC"/>
        <s v="2022-04-12 03:33:14 UTC"/>
        <s v="2022-04-12 03:33:13 UTC"/>
        <s v="2022-04-12 03:33:12 UTC"/>
        <s v="2022-04-12 03:33:11 UTC"/>
        <s v="2022-04-12 03:33:10 UTC"/>
        <s v="2022-04-12 03:33:09 UTC"/>
        <s v="2022-04-12 03:33:08 UTC"/>
        <s v="2022-04-12 03:33:07 UTC"/>
        <s v="2022-04-12 03:33:06 UTC"/>
        <s v="2022-04-12 03:33:05 UTC"/>
        <s v="2022-04-12 03:33:04 UTC"/>
        <s v="2022-04-12 03:33:03 UTC"/>
        <s v="2022-04-12 03:33:02 UTC"/>
        <s v="2022-04-12 03:33:01 UTC"/>
        <s v="2022-04-12 03:33:00 UTC"/>
        <s v="2022-04-12 03:32:59 UTC"/>
        <s v="2022-04-12 03:32:58 UTC"/>
        <s v="2022-04-12 03:32:57 UTC"/>
        <s v="2022-04-12 03:32:56 UTC"/>
        <s v="2022-04-12 03:32:55 UTC"/>
        <s v="2022-04-12 03:32:54 UTC"/>
        <s v="2022-04-12 03:32:53 UTC"/>
        <s v="2022-04-12 03:32:52 UTC"/>
        <s v="2022-04-12 03:32:51 UTC"/>
        <s v="2022-04-12 03:32:50 UTC"/>
        <s v="2022-04-12 03:32:49 UTC"/>
        <s v="2022-04-12 03:32:48 UTC"/>
        <s v="2022-04-12 03:32:47 UTC"/>
        <s v="2022-04-12 03:32:46 UTC"/>
        <s v="2022-04-12 03:32:45 UTC"/>
        <s v="2022-04-12 03:32:44 UTC"/>
        <s v="2022-04-12 03:32:43 UTC"/>
        <s v="2022-04-12 03:32:42 UTC"/>
        <s v="2022-04-12 03:32:41 UTC"/>
        <s v="2022-04-12 03:32:40 UTC"/>
        <s v="2022-04-12 03:32:39 UTC"/>
        <s v="2022-04-12 03:32:38 UTC"/>
        <s v="2022-04-12 03:32:37 UTC"/>
        <s v="2022-04-12 03:32:36 UTC"/>
        <s v="2022-04-12 03:32:35 UTC"/>
        <s v="2022-04-12 03:32:34 UTC"/>
        <s v="2022-04-12 03:32:33 UTC"/>
        <s v="2022-04-12 03:32:32 UTC"/>
        <s v="2022-04-12 03:32:31 UTC"/>
        <s v="2022-04-12 03:32:30 UTC"/>
        <s v="2022-04-12 03:32:29 UTC"/>
        <s v="2022-04-12 03:32:28 UTC"/>
        <s v="2022-04-12 03:32:27 UTC"/>
        <s v="2022-04-12 03:32:26 UTC"/>
        <s v="2022-04-12 03:32:25 UTC"/>
        <s v="2022-04-12 03:32:24 UTC"/>
        <s v="2022-04-12 03:32:23 UTC"/>
        <s v="2022-04-12 03:32:22 UTC"/>
        <s v="2022-04-12 03:32:21 UTC"/>
        <s v="2022-04-12 03:32:20 UTC"/>
        <s v="2022-04-12 03:32:19 UTC"/>
        <s v="2022-04-12 03:32:18 UTC"/>
        <s v="2022-04-12 03:32:17 UTC"/>
        <s v="2022-04-12 03:32:16 UTC"/>
        <s v="2022-04-12 03:32:11 UTC"/>
        <s v="2022-04-12 03:32:10 UTC"/>
        <s v="2022-04-12 03:32:09 UTC"/>
        <s v="2022-04-12 03:32:08 UTC"/>
        <s v="2022-04-12 03:32:07 UTC"/>
        <s v="2022-04-12 03:32:06 UTC"/>
        <s v="2022-04-12 03:32:05 UTC"/>
        <s v="2022-04-12 03:32:04 UTC"/>
        <s v="2022-04-12 03:32:03 UTC"/>
        <s v="2022-04-12 03:32:02 UTC"/>
        <s v="2022-04-12 03:32:01 UTC"/>
        <s v="2022-04-12 03:32:00 UTC"/>
        <s v="2022-04-12 03:31:59 UTC"/>
        <s v="2022-04-12 03:31:58 UTC"/>
        <s v="2022-04-12 03:31:57 UTC"/>
        <s v="2022-04-12 03:31:56 UTC"/>
        <s v="2022-04-12 03:31:55 UTC"/>
        <s v="2022-04-12 03:31:54 UTC"/>
        <s v="2022-04-12 03:31:53 UTC"/>
        <s v="2022-04-12 03:31:52 UTC"/>
        <s v="2022-04-12 03:31:51 UTC"/>
        <s v="2022-04-12 03:31:50 UTC"/>
        <s v="2022-04-12 03:31:49 UTC"/>
        <s v="2022-04-12 03:31:48 UTC"/>
        <s v="2022-04-12 03:31:47 UTC"/>
        <s v="2022-04-12 03:31:46 UTC"/>
        <s v="2022-04-12 03:31:45 UTC"/>
        <s v="2022-04-12 03:31:44 UTC"/>
        <s v="2022-04-12 03:31:43 UTC"/>
        <s v="2022-04-12 03:31:42 UTC"/>
        <s v="2022-04-12 03:31:41 UTC"/>
        <s v="2022-04-12 03:31:36 UTC"/>
        <s v="2022-04-12 03:31:35 UTC"/>
        <s v="2022-04-12 03:31:34 UTC"/>
        <s v="2022-04-12 03:31:33 UTC"/>
        <s v="2022-04-12 03:31:32 UTC"/>
        <s v="2022-04-12 03:31:31 UTC"/>
        <s v="2022-04-12 03:31:30 UTC"/>
        <s v="2022-04-12 03:31:29 UTC"/>
        <s v="2022-04-12 03:31:28 UTC"/>
        <s v="2022-04-12 03:31:27 UTC"/>
        <s v="2022-04-12 03:31:26 UTC"/>
        <s v="2022-04-12 03:31:25 UTC"/>
        <s v="2022-04-12 03:31:24 UTC"/>
        <s v="2022-04-12 03:31:23 UTC"/>
        <s v="2022-04-12 03:31:22 UTC"/>
        <s v="2022-04-12 03:31:21 UTC"/>
        <s v="2022-04-12 03:31:20 UTC"/>
        <s v="2022-04-12 03:31:19 UTC"/>
        <s v="2022-04-12 03:31:18 UTC"/>
        <s v="2022-04-12 03:31:17 UTC"/>
        <s v="2022-04-12 03:31:16 UTC"/>
        <s v="2022-04-12 03:31:15 UTC"/>
        <s v="2022-04-12 03:31:02 UTC"/>
        <s v="2022-04-12 03:29:42 UTC"/>
        <s v="2022-04-12 03:28:41 UTC"/>
        <s v="2022-04-12 03:26:39 UTC"/>
        <s v="2022-04-12 03:26:38 UTC"/>
        <s v="2022-04-12 03:25:48 UTC"/>
        <s v="2022-04-12 03:25:42 UTC"/>
        <s v="2022-04-12 03:25:37 UTC"/>
        <s v="2022-04-12 03:25:05 UTC"/>
        <s v="2022-04-12 03:25:03 UTC"/>
        <s v="2022-04-12 03:23:12 UTC"/>
        <s v="2022-04-12 03:23:11 UTC"/>
        <s v="2022-04-12 03:23:10 UTC"/>
        <s v="2022-04-12 03:23:08 UTC"/>
        <s v="2022-04-12 03:23:07 UTC"/>
        <s v="2022-04-12 03:23:06 UTC"/>
        <s v="2022-04-12 03:23:05 UTC"/>
        <s v="2022-04-12 03:23:03 UTC"/>
        <s v="2022-04-12 03:23:01 UTC"/>
        <s v="2022-04-12 03:23:00 UTC"/>
        <s v="2022-04-12 03:22:13 UTC"/>
        <s v="2022-04-12 03:21:18 UTC"/>
        <s v="2022-04-12 03:21:03 UTC"/>
        <s v="2022-04-12 03:18:42 UTC"/>
        <s v="2022-04-12 03:17:47 UTC"/>
        <s v="2022-04-12 03:16:37 UTC"/>
        <s v="2022-04-12 03:16:27 UTC"/>
        <s v="2022-04-12 03:15:20 UTC"/>
        <s v="2022-04-12 03:15:15 UTC"/>
        <s v="2022-04-12 03:15:07 UTC"/>
        <s v="2022-04-12 03:14:54 UTC"/>
        <s v="2022-04-12 03:14:26 UTC"/>
        <s v="2022-04-12 03:14:16 UTC"/>
        <s v="2022-04-12 03:13:39 UTC"/>
        <s v="2022-04-12 03:13:37 UTC"/>
        <s v="2022-04-12 03:12:20 UTC"/>
        <s v="2022-04-12 03:11:38 UTC"/>
        <s v="2022-04-12 03:11:25 UTC"/>
        <s v="2022-04-12 03:10:33 UTC"/>
        <s v="2022-04-12 03:09:59 UTC"/>
        <s v="2022-04-12 03:09:56 UTC"/>
        <s v="2022-04-12 03:08:55 UTC"/>
        <s v="2022-04-12 03:08:11 UTC"/>
        <s v="2022-04-12 03:06:34 UTC"/>
        <s v="2022-04-12 03:06:26 UTC"/>
        <s v="2022-04-12 03:06:16 UTC"/>
        <s v="2022-04-12 03:06:07 UTC"/>
        <s v="2022-04-12 03:06:03 UTC"/>
        <s v="2022-04-12 03:05:59 UTC"/>
        <s v="2022-04-12 03:05:56 UTC"/>
        <s v="2022-04-12 03:05:50 UTC"/>
        <s v="2022-04-12 03:05:45 UTC"/>
        <s v="2022-04-12 03:05:41 UTC"/>
        <s v="2022-04-12 03:04:35 UTC"/>
        <s v="2022-04-12 03:04:34 UTC"/>
        <s v="2022-04-12 03:04:32 UTC"/>
        <s v="2022-04-12 03:04:30 UTC"/>
        <s v="2022-04-12 03:04:29 UTC"/>
        <s v="2022-04-12 03:04:27 UTC"/>
        <s v="2022-04-12 03:04:25 UTC"/>
        <s v="2022-04-12 03:04:21 UTC"/>
        <s v="2022-04-12 03:04:06 UTC"/>
        <s v="2022-04-12 03:04:04 UTC"/>
        <s v="2022-04-12 03:03:59 UTC"/>
        <s v="2022-04-12 03:02:46 UTC"/>
        <s v="2022-04-12 03:02:25 UTC"/>
        <s v="2022-04-12 03:02:08 UTC"/>
        <s v="2022-04-12 03:02:05 UTC"/>
        <s v="2022-04-12 03:01:54 UTC"/>
        <s v="2022-04-12 03:01:45 UTC"/>
        <s v="2022-04-12 03:01:33 UTC"/>
        <s v="2022-04-12 03:01:16 UTC"/>
        <s v="2022-04-12 03:00:51 UTC"/>
        <s v="2022-04-12 03:00:34 UTC"/>
        <s v="2022-04-12 03:00:32 UTC"/>
        <s v="2022-04-12 03:00:30 UTC"/>
        <s v="2022-04-12 03:00:22 UTC"/>
        <s v="2022-04-12 03:00:11 UTC"/>
        <s v="2022-04-12 02:59:57 UTC"/>
        <s v="2022-04-12 02:59:19 UTC"/>
        <s v="2022-04-12 02:59:12 UTC"/>
        <s v="2022-04-12 02:58:57 UTC"/>
        <s v="2022-04-12 02:58:19 UTC"/>
        <s v="2022-04-12 02:58:11 UTC"/>
        <s v="2022-04-12 02:53:15 UTC"/>
        <s v="2022-04-12 02:52:23 UTC"/>
        <s v="2022-04-12 02:48:35 UTC"/>
        <s v="2022-04-12 02:45:19 UTC"/>
        <s v="2022-04-12 02:39:16 UTC"/>
        <s v="2022-04-12 02:32:28 UTC"/>
        <s v="2022-04-12 02:31:49 UTC"/>
        <s v="2022-04-12 02:30:54 UTC"/>
        <s v="2022-04-12 02:30:30 UTC"/>
        <s v="2022-04-12 02:30:25 UTC"/>
        <s v="2022-04-12 02:30:04 UTC"/>
        <s v="2022-04-12 02:28:49 UTC"/>
        <s v="2022-04-12 02:27:19 UTC"/>
        <s v="2022-04-12 02:24:26 UTC"/>
        <s v="2022-04-12 02:23:45 UTC"/>
        <s v="2022-04-12 02:22:28 UTC"/>
        <s v="2022-04-12 02:19:49 UTC"/>
        <s v="2022-04-12 02:19:47 UTC"/>
        <s v="2022-04-12 02:18:26 UTC"/>
        <s v="2022-04-12 02:17:54 UTC"/>
        <s v="2022-04-12 02:17:47 UTC"/>
        <s v="2022-04-12 02:16:49 UTC"/>
        <s v="2022-04-12 02:15:19 UTC"/>
        <s v="2022-04-12 02:13:12 UTC"/>
        <s v="2022-04-12 02:11:57 UTC"/>
        <s v="2022-04-12 02:08:58 UTC"/>
        <s v="2022-04-12 02:08:26 UTC"/>
        <s v="2022-04-12 02:08:24 UTC"/>
        <s v="2022-04-12 02:05:13 UTC"/>
        <s v="2022-04-12 02:05:11 UTC"/>
        <s v="2022-04-12 02:05:04 UTC"/>
        <s v="2022-04-12 02:05:01 UTC"/>
        <s v="2022-04-12 02:02:03 UTC"/>
        <s v="2022-04-12 01:59:17 UTC"/>
        <s v="2022-04-12 01:56:02 UTC"/>
        <s v="2022-04-12 01:56:00 UTC"/>
        <s v="2022-04-12 01:55:26 UTC"/>
        <s v="2022-04-12 01:54:34 UTC"/>
        <s v="2022-04-12 01:54:32 UTC"/>
        <s v="2022-04-12 01:53:43 UTC"/>
        <s v="2022-04-12 01:52:47 UTC"/>
        <s v="2022-04-12 01:52:22 UTC"/>
        <s v="2022-04-12 01:52:16 UTC"/>
        <s v="2022-04-12 01:45:01 UTC"/>
        <s v="2022-04-12 01:44:58 UTC"/>
        <s v="2022-04-12 01:44:51 UTC"/>
        <s v="2022-04-12 01:44:47 UTC"/>
        <s v="2022-04-12 01:44:35 UTC"/>
        <s v="2022-04-12 01:44:33 UTC"/>
        <s v="2022-04-12 01:44:31 UTC"/>
        <s v="2022-04-12 01:44:29 UTC"/>
        <s v="2022-04-12 01:44:25 UTC"/>
        <s v="2022-04-12 01:44:13 UTC"/>
        <s v="2022-04-12 01:42:52 UTC"/>
        <s v="2022-04-12 01:42:17 UTC"/>
        <s v="2022-04-12 01:42:15 UTC"/>
        <s v="2022-04-12 01:39:33 UTC"/>
        <s v="2022-04-12 01:39:14 UTC"/>
        <s v="2022-04-12 01:39:00 UTC"/>
        <s v="2022-04-12 01:38:54 UTC"/>
        <s v="2022-04-12 01:38:52 UTC"/>
        <s v="2022-04-12 01:33:53 UTC"/>
        <s v="2022-04-12 01:32:51 UTC"/>
        <s v="2022-04-12 01:32:07 UTC"/>
        <s v="2022-04-12 01:32:03 UTC"/>
        <s v="2022-04-12 01:31:28 UTC"/>
        <s v="2022-04-12 01:31:27 UTC"/>
        <s v="2022-04-12 01:31:24 UTC"/>
        <s v="2022-04-12 01:31:21 UTC"/>
        <s v="2022-04-12 01:31:20 UTC"/>
        <s v="2022-04-12 01:28:39 UTC"/>
        <s v="2022-04-12 01:28:37 UTC"/>
        <s v="2022-04-12 01:28:34 UTC"/>
        <s v="2022-04-12 01:28:31 UTC"/>
        <s v="2022-04-12 01:28:29 UTC"/>
        <s v="2022-04-12 01:26:35 UTC"/>
        <s v="2022-04-12 01:25:35 UTC"/>
        <s v="2022-04-12 01:24:46 UTC"/>
        <s v="2022-04-12 01:23:55 UTC"/>
        <s v="2022-04-12 01:23:53 UTC"/>
        <s v="2022-04-12 01:21:51 UTC"/>
        <s v="2022-04-12 01:21:05 UTC"/>
        <s v="2022-04-12 01:20:08 UTC"/>
        <s v="2022-04-12 01:19:44 UTC"/>
        <s v="2022-04-12 01:19:23 UTC"/>
        <s v="2022-04-12 01:17:24 UTC"/>
        <s v="2022-04-12 01:17:00 UTC"/>
        <s v="2022-04-12 01:10:18 UTC"/>
        <s v="2022-04-12 01:10:16 UTC"/>
        <s v="2022-04-12 01:09:24 UTC"/>
        <s v="2022-04-12 01:08:21 UTC"/>
        <s v="2022-04-12 01:07:13 UTC"/>
        <s v="2022-04-12 01:07:10 UTC"/>
        <s v="2022-04-12 01:07:08 UTC"/>
        <s v="2022-04-12 01:07:05 UTC"/>
        <s v="2022-04-12 01:05:45 UTC"/>
        <s v="2022-04-12 01:05:27 UTC"/>
        <s v="2022-04-12 01:04:12 UTC"/>
        <s v="2022-04-12 01:04:05 UTC"/>
        <s v="2022-04-12 01:03:56 UTC"/>
        <s v="2022-04-12 01:03:02 UTC"/>
        <s v="2022-04-12 01:01:23 UTC"/>
        <s v="2022-04-12 00:58:56 UTC"/>
        <s v="2022-04-12 00:58:03 UTC"/>
        <s v="2022-04-12 00:53:37 UTC"/>
        <s v="2022-04-12 00:52:23 UTC"/>
        <s v="2022-04-12 00:40:12 UTC"/>
        <s v="2022-04-12 00:38:55 UTC"/>
        <s v="2022-04-12 00:38:11 UTC"/>
        <s v="2022-04-12 00:38:08 UTC"/>
        <s v="2022-04-12 00:35:53 UTC"/>
        <s v="2022-04-12 00:33:03 UTC"/>
        <s v="2022-04-12 00:32:59 UTC"/>
        <s v="2022-04-12 00:32:56 UTC"/>
        <s v="2022-04-12 00:28:09 UTC"/>
        <s v="2022-04-12 00:27:56 UTC"/>
        <s v="2022-04-12 00:27:52 UTC"/>
        <s v="2022-04-12 00:27:49 UTC"/>
        <s v="2022-04-12 00:27:44 UTC"/>
        <s v="2022-04-12 00:27:16 UTC"/>
        <s v="2022-04-12 00:27:12 UTC"/>
        <s v="2022-04-12 00:26:46 UTC"/>
        <s v="2022-04-12 00:26:43 UTC"/>
        <s v="2022-04-12 00:26:30 UTC"/>
        <s v="2022-04-12 00:26:27 UTC"/>
        <s v="2022-04-12 00:26:12 UTC"/>
        <s v="2022-04-12 00:26:08 UTC"/>
        <s v="2022-04-12 00:26:03 UTC"/>
        <s v="2022-04-12 00:26:00 UTC"/>
        <s v="2022-04-12 00:25:55 UTC"/>
        <s v="2022-04-12 00:25:48 UTC"/>
        <s v="2022-04-12 00:25:14 UTC"/>
        <s v="2022-04-12 00:23:12 UTC"/>
        <s v="2022-04-12 00:23:06 UTC"/>
        <s v="2022-04-12 00:19:09 UTC"/>
        <s v="2022-04-12 00:19:08 UTC"/>
        <s v="2022-04-12 00:19:06 UTC"/>
        <s v="2022-04-12 00:17:00 UTC"/>
        <s v="2022-04-12 00:16:55 UTC"/>
        <s v="2022-04-12 00:16:44 UTC"/>
        <s v="2022-04-12 00:16:36 UTC"/>
        <s v="2022-04-12 00:16:32 UTC"/>
        <s v="2022-04-12 00:16:30 UTC"/>
        <s v="2022-04-12 00:16:27 UTC"/>
        <s v="2022-04-12 00:16:06 UTC"/>
        <s v="2022-04-12 00:15:59 UTC"/>
        <s v="2022-04-12 00:15:53 UTC"/>
        <s v="2022-04-12 00:15:50 UTC"/>
        <s v="2022-04-12 00:15:47 UTC"/>
        <s v="2022-04-12 00:15:44 UTC"/>
        <s v="2022-04-12 00:10:30 UTC"/>
        <s v="2022-04-12 00:09:22 UTC"/>
        <s v="2022-04-12 00:01:49 UTC"/>
        <s v="2022-04-12 00:01:48 UTC"/>
        <s v="2022-04-12 00:01:46 UTC"/>
        <s v="2022-04-12 00:01:44 UTC"/>
        <s v="2022-04-12 00:01:40 UTC"/>
        <s v="2022-04-12 00:01:37 UTC"/>
        <s v="2022-04-12 00:01:16 UTC"/>
        <s v="2022-04-12 00:00:55 UTC"/>
        <s v="2022-04-12 00:00:54 UTC"/>
        <s v="2022-04-12 00:00:52 UTC"/>
        <s v="2022-04-11 23:53:26 UTC"/>
        <s v="2022-04-11 23:50:10 UTC"/>
        <s v="2022-04-11 23:50:08 UTC"/>
        <s v="2022-04-11 23:47:55 UTC"/>
        <s v="2022-04-11 23:47:52 UTC"/>
        <s v="2022-04-11 23:43:52 UTC"/>
        <s v="2022-04-11 23:35:52 UTC"/>
        <s v="2022-04-11 23:35:49 UTC"/>
        <s v="2022-04-11 23:35:23 UTC"/>
        <s v="2022-04-11 23:35:22 UTC"/>
        <s v="2022-04-11 23:35:18 UTC"/>
        <s v="2022-04-11 23:35:14 UTC"/>
        <s v="2022-04-11 23:34:34 UTC"/>
        <s v="2022-04-11 23:31:06 UTC"/>
        <s v="2022-04-11 23:31:03 UTC"/>
        <s v="2022-04-11 23:26:59 UTC"/>
        <s v="2022-04-11 23:26:39 UTC"/>
        <s v="2022-04-11 23:24:23 UTC"/>
        <s v="2022-04-11 23:24:10 UTC"/>
        <s v="2022-04-11 23:18:31 UTC"/>
        <s v="2022-04-11 23:18:27 UTC"/>
        <s v="2022-04-11 23:17:40 UTC"/>
        <s v="2022-04-11 23:15:47 UTC"/>
        <s v="2022-04-11 23:15:30 UTC"/>
        <s v="2022-04-11 23:07:37 UTC"/>
        <s v="2022-04-11 23:03:39 UTC"/>
        <s v="2022-04-11 22:45:45 UTC"/>
        <s v="2022-04-11 22:26:37 UTC"/>
        <s v="2022-04-11 22:00:06 UTC"/>
        <s v="2022-04-11 21:58:11 UTC"/>
        <s v="2022-04-11 21:51:33 UTC"/>
        <s v="2022-04-11 21:51:15 UTC"/>
        <s v="2022-04-11 21:51:08 UTC"/>
        <s v="2022-04-11 21:49:16 UTC"/>
        <s v="2022-04-11 21:44:23 UTC"/>
        <s v="2022-04-11 20:49:09 UTC"/>
        <s v="2022-04-11 20:09:01 UTC"/>
        <s v="2022-04-11 20:06:32 UTC"/>
        <s v="2022-04-11 20:03:46 UTC"/>
        <s v="2022-04-11 20:01:04 UTC"/>
        <s v="2022-04-11 19:50:24 UTC"/>
        <s v="2022-04-11 19:47:58 UTC"/>
        <s v="2022-04-11 19:47:53 UTC"/>
        <s v="2022-04-11 19:29:31 UTC"/>
        <s v="2022-04-11 19:24:05 UTC"/>
        <s v="2022-04-11 19:21:53 UTC"/>
        <s v="2022-04-11 19:21:51 UTC"/>
        <s v="2022-04-11 19:21:48 UTC"/>
        <s v="2022-04-11 19:21:37 UTC"/>
        <s v="2022-04-11 19:19:27 UTC"/>
        <s v="2022-04-11 19:19:20 UTC"/>
        <s v="2022-04-11 19:07:12 UTC"/>
        <s v="2022-04-11 19:07:09 UTC"/>
        <s v="2022-04-11 19:03:42 UTC"/>
        <s v="2022-04-11 19:02:41 UTC"/>
        <s v="2022-04-11 19:02:08 UTC"/>
        <s v="2022-04-11 19:00:26 UTC"/>
        <s v="2022-04-11 18:59:50 UTC"/>
        <s v="2022-04-11 18:59:48 UTC"/>
        <s v="2022-04-11 18:59:45 UTC"/>
        <s v="2022-04-11 18:59:42 UTC"/>
        <s v="2022-04-11 18:59:09 UTC"/>
        <s v="2022-04-11 18:58:29 UTC"/>
        <s v="2022-04-11 18:58:27 UTC"/>
        <s v="2022-04-11 18:58:25 UTC"/>
        <s v="2022-04-11 18:58:21 UTC"/>
        <s v="2022-04-11 18:58:12 UTC"/>
        <s v="2022-04-11 18:57:59 UTC"/>
        <s v="2022-04-11 18:57:51 UTC"/>
        <s v="2022-04-11 18:57:39 UTC"/>
        <s v="2022-04-11 18:51:13 UTC"/>
        <s v="2022-04-11 18:49:11 UTC"/>
        <s v="2022-04-11 18:49:09 UTC"/>
        <s v="2022-04-11 18:49:07 UTC"/>
        <s v="2022-04-11 18:48:59 UTC"/>
        <s v="2022-04-11 18:48:46 UTC"/>
        <s v="2022-04-11 18:48:40 UTC"/>
        <s v="2022-04-11 18:48:37 UTC"/>
        <s v="2022-04-11 18:45:05 UTC"/>
        <s v="2022-04-11 18:44:18 UTC"/>
        <s v="2022-04-11 18:39:39 UTC"/>
        <s v="2022-04-11 18:39:15 UTC"/>
        <s v="2022-04-11 18:38:10 UTC"/>
        <s v="2022-04-11 18:37:01 UTC"/>
        <s v="2022-04-11 18:36:42 UTC"/>
        <s v="2022-04-11 18:36:40 UTC"/>
        <s v="2022-04-11 18:36:38 UTC"/>
        <s v="2022-04-11 18:32:18 UTC"/>
        <s v="2022-04-11 18:29:27 UTC"/>
        <s v="2022-04-11 18:29:23 UTC"/>
        <s v="2022-04-11 18:29:17 UTC"/>
        <s v="2022-04-11 18:29:12 UTC"/>
        <s v="2022-04-11 18:29:08 UTC"/>
        <s v="2022-04-11 18:29:04 UTC"/>
        <s v="2022-04-11 18:25:34 UTC"/>
        <s v="2022-04-11 18:22:30 UTC"/>
        <s v="2022-04-11 18:18:40 UTC"/>
        <s v="2022-04-11 18:01:45 UTC"/>
        <s v="2022-04-11 18:00:34 UTC"/>
        <s v="2022-04-11 17:57:20 UTC"/>
        <s v="2022-04-11 17:55:00 UTC"/>
        <s v="2022-04-11 17:48:50 UTC"/>
        <s v="2022-04-11 17:46:29 UTC"/>
        <s v="2022-04-11 17:44:20 UTC"/>
        <s v="2022-04-11 17:44:09 UTC"/>
        <s v="2022-04-11 17:42:27 UTC"/>
        <s v="2022-04-11 17:40:40 UTC"/>
        <s v="2022-04-11 17:40:17 UTC"/>
        <s v="2022-04-11 17:38:58 UTC"/>
        <s v="2022-04-11 17:38:50 UTC"/>
        <s v="2022-04-11 17:38:20 UTC"/>
        <s v="2022-04-11 17:36:39 UTC"/>
        <s v="2022-04-11 17:34:40 UTC"/>
        <s v="2022-04-11 17:34:37 UTC"/>
        <s v="2022-04-11 17:34:33 UTC"/>
        <s v="2022-04-11 17:33:46 UTC"/>
        <s v="2022-04-11 17:33:23 UTC"/>
        <s v="2022-04-11 17:33:19 UTC"/>
        <s v="2022-04-11 17:32:29 UTC"/>
        <s v="2022-04-11 17:32:13 UTC"/>
        <s v="2022-04-11 17:32:09 UTC"/>
        <s v="2022-04-11 17:31:57 UTC"/>
        <s v="2022-04-11 17:30:27 UTC"/>
        <s v="2022-04-11 17:29:54 UTC"/>
        <s v="2022-04-11 17:29:41 UTC"/>
        <s v="2022-04-11 17:29:34 UTC"/>
        <s v="2022-04-11 17:29:29 UTC"/>
        <s v="2022-04-11 17:29:25 UTC"/>
        <s v="2022-04-11 17:29:24 UTC"/>
        <s v="2022-04-11 17:29:04 UTC"/>
        <s v="2022-04-11 17:29:00 UTC"/>
        <s v="2022-04-11 17:28:34 UTC"/>
        <s v="2022-04-11 17:28:18 UTC"/>
        <s v="2022-04-11 17:28:17 UTC"/>
        <s v="2022-04-11 17:28:16 UTC"/>
        <s v="2022-04-11 17:28:13 UTC"/>
        <s v="2022-04-11 17:28:10 UTC"/>
        <s v="2022-04-11 17:28:07 UTC"/>
        <s v="2022-04-11 17:28:06 UTC"/>
        <s v="2022-04-11 17:28:04 UTC"/>
        <s v="2022-04-11 17:28:02 UTC"/>
        <s v="2022-04-11 17:28:00 UTC"/>
        <s v="2022-04-11 17:27:55 UTC"/>
        <s v="2022-04-11 17:27:53 UTC"/>
        <s v="2022-04-11 17:27:51 UTC"/>
        <s v="2022-04-11 17:27:49 UTC"/>
        <s v="2022-04-11 17:27:45 UTC"/>
        <s v="2022-04-11 17:27:44 UTC"/>
        <s v="2022-04-11 17:27:42 UTC"/>
        <s v="2022-04-11 17:27:39 UTC"/>
        <s v="2022-04-11 17:27:33 UTC"/>
        <s v="2022-04-11 17:27:32 UTC"/>
        <s v="2022-04-11 17:27:24 UTC"/>
        <s v="2022-04-11 17:27:21 UTC"/>
        <s v="2022-04-11 17:27:20 UTC"/>
        <s v="2022-04-11 17:27:17 UTC"/>
        <s v="2022-04-11 17:27:16 UTC"/>
        <s v="2022-04-11 17:27:15 UTC"/>
        <s v="2022-04-11 17:27:13 UTC"/>
        <s v="2022-04-11 17:27:11 UTC"/>
        <s v="2022-04-11 17:27:08 UTC"/>
        <s v="2022-04-11 17:27:01 UTC"/>
        <s v="2022-04-11 17:26:59 UTC"/>
        <s v="2022-04-11 17:26:57 UTC"/>
        <s v="2022-04-11 17:26:54 UTC"/>
        <s v="2022-04-11 17:26:53 UTC"/>
        <s v="2022-04-11 17:26:51 UTC"/>
        <s v="2022-04-11 17:26:50 UTC"/>
        <s v="2022-04-11 17:26:49 UTC"/>
        <s v="2022-04-11 17:26:47 UTC"/>
        <s v="2022-04-11 17:26:46 UTC"/>
        <s v="2022-04-11 17:26:45 UTC"/>
        <s v="2022-04-11 17:26:39 UTC"/>
        <s v="2022-04-11 17:26:37 UTC"/>
        <s v="2022-04-11 17:25:39 UTC"/>
        <s v="2022-04-11 17:25:35 UTC"/>
        <s v="2022-04-11 17:25:31 UTC"/>
        <s v="2022-04-11 17:25:18 UTC"/>
        <s v="2022-04-11 17:25:07 UTC"/>
        <s v="2022-04-11 17:24:45 UTC"/>
        <s v="2022-04-11 17:23:18 UTC"/>
        <s v="2022-04-11 17:23:14 UTC"/>
        <s v="2022-04-11 17:23:12 UTC"/>
        <s v="2022-04-11 17:23:10 UTC"/>
        <s v="2022-04-11 17:23:01 UTC"/>
        <s v="2022-04-11 17:22:47 UTC"/>
        <s v="2022-04-11 17:22:43 UTC"/>
        <s v="2022-04-11 17:22:41 UTC"/>
        <s v="2022-04-11 17:22:38 UTC"/>
        <s v="2022-04-11 17:22:29 UTC"/>
        <s v="2022-04-11 17:22:26 UTC"/>
        <s v="2022-04-11 17:22:20 UTC"/>
        <s v="2022-04-11 17:22:18 UTC"/>
        <s v="2022-04-11 17:22:04 UTC"/>
        <s v="2022-04-11 17:21:35 UTC"/>
        <s v="2022-04-11 17:21:28 UTC"/>
        <s v="2022-04-11 17:21:27 UTC"/>
        <s v="2022-04-11 17:21:00 UTC"/>
        <s v="2022-04-11 17:20:05 UTC"/>
        <s v="2022-04-11 17:19:56 UTC"/>
        <s v="2022-04-11 17:16:47 UTC"/>
        <s v="2022-04-11 17:16:42 UTC"/>
        <s v="2022-04-11 17:16:38 UTC"/>
        <s v="2022-04-11 17:16:34 UTC"/>
        <s v="2022-04-11 17:16:28 UTC"/>
        <s v="2022-04-11 17:16:26 UTC"/>
        <s v="2022-04-11 17:16:25 UTC"/>
        <s v="2022-04-11 17:16:21 UTC"/>
        <s v="2022-04-11 17:16:16 UTC"/>
        <s v="2022-04-11 17:16:08 UTC"/>
        <s v="2022-04-11 17:16:05 UTC"/>
        <s v="2022-04-11 17:15:51 UTC"/>
        <s v="2022-04-11 17:12:55 UTC"/>
        <s v="2022-04-11 17:12:02 UTC"/>
        <s v="2022-04-11 17:11:59 UTC"/>
        <s v="2022-04-11 17:11:54 UTC"/>
        <s v="2022-04-11 17:11:52 UTC"/>
        <s v="2022-04-11 17:11:48 UTC"/>
        <s v="2022-04-11 17:11:41 UTC"/>
        <s v="2022-04-11 17:11:27 UTC"/>
        <s v="2022-04-11 17:10:57 UTC"/>
        <s v="2022-04-11 17:10:39 UTC"/>
        <s v="2022-04-11 17:10:36 UTC"/>
        <s v="2022-04-11 17:09:49 UTC"/>
        <s v="2022-04-11 17:09:48 UTC"/>
        <s v="2022-04-11 17:08:53 UTC"/>
        <s v="2022-04-11 17:08:31 UTC"/>
        <s v="2022-04-11 17:07:48 UTC"/>
        <s v="2022-04-11 17:07:43 UTC"/>
        <s v="2022-04-11 17:07:24 UTC"/>
        <s v="2022-04-11 17:05:31 UTC"/>
        <s v="2022-04-11 17:05:24 UTC"/>
        <s v="2022-04-11 17:05:12 UTC"/>
        <s v="2022-04-11 17:04:35 UTC"/>
        <s v="2022-04-11 17:03:59 UTC"/>
        <s v="2022-04-11 17:03:56 UTC"/>
        <s v="2022-04-11 17:03:54 UTC"/>
        <s v="2022-04-11 17:01:20 UTC"/>
        <s v="2022-04-11 17:01:17 UTC"/>
        <s v="2022-04-11 16:59:10 UTC"/>
        <s v="2022-04-11 16:58:16 UTC"/>
        <s v="2022-04-11 16:57:45 UTC"/>
        <s v="2022-04-11 16:57:04 UTC"/>
        <s v="2022-04-11 16:56:21 UTC"/>
        <s v="2022-04-11 16:56:18 UTC"/>
        <s v="2022-04-11 16:54:55 UTC"/>
        <s v="2022-04-11 16:54:49 UTC"/>
        <s v="2022-04-11 16:54:46 UTC"/>
        <s v="2022-04-11 16:54:39 UTC"/>
        <s v="2022-04-11 16:52:28 UTC"/>
        <s v="2022-04-11 16:51:52 UTC"/>
        <s v="2022-04-11 16:51:48 UTC"/>
        <s v="2022-04-11 16:50:08 UTC"/>
        <s v="2022-04-11 16:49:41 UTC"/>
        <s v="2022-04-11 16:48:46 UTC"/>
        <s v="2022-04-11 16:46:57 UTC"/>
        <s v="2022-04-11 16:46:52 UTC"/>
        <s v="2022-04-11 16:46:14 UTC"/>
        <s v="2022-04-11 16:44:15 UTC"/>
        <s v="2022-04-11 16:42:01 UTC"/>
        <s v="2022-04-11 16:41:59 UTC"/>
        <s v="2022-04-11 16:41:54 UTC"/>
        <s v="2022-04-11 16:41:27 UTC"/>
        <s v="2022-04-11 16:41:21 UTC"/>
        <s v="2022-04-11 16:40:03 UTC"/>
        <s v="2022-04-11 16:39:41 UTC"/>
        <s v="2022-04-11 16:39:39 UTC"/>
        <s v="2022-04-11 16:39:35 UTC"/>
        <s v="2022-04-11 16:39:33 UTC"/>
        <s v="2022-04-11 16:39:11 UTC"/>
        <s v="2022-04-11 16:39:08 UTC"/>
        <s v="2022-04-11 16:37:52 UTC"/>
        <s v="2022-04-11 16:37:43 UTC"/>
        <s v="2022-04-11 16:37:41 UTC"/>
        <s v="2022-04-11 16:35:53 UTC"/>
        <s v="2022-04-11 16:35:50 UTC"/>
        <s v="2022-04-11 16:35:25 UTC"/>
        <s v="2022-04-11 16:35:22 UTC"/>
        <s v="2022-04-11 16:33:55 UTC"/>
        <s v="2022-04-11 16:33:42 UTC"/>
        <s v="2022-04-11 16:33:36 UTC"/>
        <s v="2022-04-11 16:33:32 UTC"/>
        <s v="2022-04-11 16:33:29 UTC"/>
        <s v="2022-04-11 16:33:27 UTC"/>
        <s v="2022-04-11 16:33:08 UTC"/>
        <s v="2022-04-11 16:32:57 UTC"/>
        <s v="2022-04-11 16:32:55 UTC"/>
        <s v="2022-04-11 16:32:53 UTC"/>
        <s v="2022-04-11 16:32:51 UTC"/>
        <s v="2022-04-11 16:32:50 UTC"/>
        <s v="2022-04-11 16:32:35 UTC"/>
        <s v="2022-04-11 16:32:24 UTC"/>
        <s v="2022-04-11 16:31:32 UTC"/>
        <s v="2022-04-11 16:31:26 UTC"/>
        <s v="2022-04-11 16:31:15 UTC"/>
        <s v="2022-04-11 16:31:11 UTC"/>
        <s v="2022-04-11 16:31:10 UTC"/>
        <s v="2022-04-11 16:30:58 UTC"/>
        <s v="2022-04-11 16:30:56 UTC"/>
        <s v="2022-04-11 16:30:47 UTC"/>
        <s v="2022-04-11 16:29:54 UTC"/>
        <s v="2022-04-11 16:29:31 UTC"/>
        <s v="2022-04-11 16:29:29 UTC"/>
        <s v="2022-04-11 16:26:21 UTC"/>
        <s v="2022-04-11 16:24:53 UTC"/>
        <s v="2022-04-11 16:23:33 UTC"/>
        <s v="2022-04-11 16:22:51 UTC"/>
        <s v="2022-04-11 16:22:23 UTC"/>
        <s v="2022-04-11 16:22:20 UTC"/>
        <s v="2022-04-11 16:22:17 UTC"/>
        <s v="2022-04-11 16:22:12 UTC"/>
        <s v="2022-04-11 16:22:09 UTC"/>
        <s v="2022-04-11 16:22:04 UTC"/>
        <s v="2022-04-11 16:22:00 UTC"/>
        <s v="2022-04-11 16:21:50 UTC"/>
        <s v="2022-04-11 16:21:46 UTC"/>
        <s v="2022-04-11 16:21:22 UTC"/>
        <s v="2022-04-11 16:18:50 UTC"/>
        <s v="2022-04-11 16:18:47 UTC"/>
        <s v="2022-04-11 16:18:04 UTC"/>
        <s v="2022-04-11 16:17:58 UTC"/>
        <s v="2022-04-11 16:17:54 UTC"/>
        <s v="2022-04-11 16:17:53 UTC"/>
        <s v="2022-04-11 16:17:52 UTC"/>
        <s v="2022-04-11 16:17:49 UTC"/>
        <s v="2022-04-11 16:17:37 UTC"/>
        <s v="2022-04-11 16:17:34 UTC"/>
        <s v="2022-04-11 16:17:30 UTC"/>
        <s v="2022-04-11 16:17:10 UTC"/>
        <s v="2022-04-11 16:17:08 UTC"/>
        <s v="2022-04-11 16:17:04 UTC"/>
        <s v="2022-04-11 16:16:35 UTC"/>
        <s v="2022-04-11 16:14:48 UTC"/>
        <s v="2022-04-11 16:14:39 UTC"/>
        <s v="2022-04-11 16:14:37 UTC"/>
        <s v="2022-04-11 16:14:03 UTC"/>
        <s v="2022-04-11 16:13:56 UTC"/>
        <s v="2022-04-11 16:13:21 UTC"/>
        <s v="2022-04-11 16:13:19 UTC"/>
        <s v="2022-04-11 16:13:18 UTC"/>
        <s v="2022-04-11 16:13:13 UTC"/>
        <s v="2022-04-11 16:11:29 UTC"/>
        <s v="2022-04-11 16:11:16 UTC"/>
        <s v="2022-04-11 16:10:07 UTC"/>
        <s v="2022-04-11 16:09:36 UTC"/>
        <s v="2022-04-11 16:09:31 UTC"/>
        <s v="2022-04-11 16:09:26 UTC"/>
        <s v="2022-04-11 16:09:11 UTC"/>
        <s v="2022-04-11 16:09:10 UTC"/>
        <s v="2022-04-11 16:09:08 UTC"/>
        <s v="2022-04-11 16:09:07 UTC"/>
        <s v="2022-04-11 16:09:05 UTC"/>
        <s v="2022-04-11 16:09:04 UTC"/>
        <s v="2022-04-11 16:09:01 UTC"/>
        <s v="2022-04-11 16:08:55 UTC"/>
        <s v="2022-04-11 16:08:54 UTC"/>
        <s v="2022-04-11 16:08:52 UTC"/>
        <s v="2022-04-11 16:08:47 UTC"/>
        <s v="2022-04-11 16:08:44 UTC"/>
        <s v="2022-04-11 16:08:27 UTC"/>
        <s v="2022-04-11 16:07:47 UTC"/>
        <s v="2022-04-11 16:07:29 UTC"/>
        <s v="2022-04-11 16:07:27 UTC"/>
        <s v="2022-04-11 16:07:26 UTC"/>
        <s v="2022-04-11 16:07:24 UTC"/>
        <s v="2022-04-11 16:07:22 UTC"/>
        <s v="2022-04-11 16:07:21 UTC"/>
        <s v="2022-04-11 16:07:19 UTC"/>
        <s v="2022-04-11 16:07:10 UTC"/>
        <s v="2022-04-11 16:07:03 UTC"/>
        <s v="2022-04-11 16:05:21 UTC"/>
        <s v="2022-04-11 16:05:19 UTC"/>
        <s v="2022-04-11 16:05:17 UTC"/>
        <s v="2022-04-11 16:05:15 UTC"/>
        <s v="2022-04-11 16:05:12 UTC"/>
        <s v="2022-04-11 16:05:10 UTC"/>
        <s v="2022-04-11 16:05:08 UTC"/>
        <s v="2022-04-11 16:05:01 UTC"/>
        <s v="2022-04-11 16:04:57 UTC"/>
        <s v="2022-04-11 16:04:55 UTC"/>
        <s v="2022-04-11 16:04:53 UTC"/>
        <s v="2022-04-11 16:04:49 UTC"/>
        <s v="2022-04-11 16:04:48 UTC"/>
        <s v="2022-04-11 16:04:45 UTC"/>
        <s v="2022-04-11 16:04:38 UTC"/>
        <s v="2022-04-11 16:04:27 UTC"/>
        <s v="2022-04-11 16:04:26 UTC"/>
        <s v="2022-04-11 16:04:25 UTC"/>
        <s v="2022-04-11 16:04:23 UTC"/>
        <s v="2022-04-11 16:04:22 UTC"/>
        <s v="2022-04-11 16:04:21 UTC"/>
        <s v="2022-04-11 16:04:19 UTC"/>
        <s v="2022-04-11 16:04:18 UTC"/>
        <s v="2022-04-11 16:04:17 UTC"/>
        <s v="2022-04-11 16:04:15 UTC"/>
        <s v="2022-04-11 16:04:14 UTC"/>
        <s v="2022-04-11 16:04:12 UTC"/>
        <s v="2022-04-11 16:04:08 UTC"/>
        <s v="2022-04-11 16:04:06 UTC"/>
        <s v="2022-04-11 16:03:15 UTC"/>
        <s v="2022-04-11 16:02:40 UTC"/>
        <s v="2022-04-11 16:02:34 UTC"/>
        <s v="2022-04-11 16:01:58 UTC"/>
        <s v="2022-04-11 16:01:35 UTC"/>
        <s v="2022-04-11 16:01:33 UTC"/>
        <s v="2022-04-11 16:01:32 UTC"/>
        <s v="2022-04-11 16:01:30 UTC"/>
        <s v="2022-04-11 16:01:27 UTC"/>
        <s v="2022-04-11 16:01:25 UTC"/>
        <s v="2022-04-11 16:01:21 UTC"/>
        <s v="2022-04-11 16:00:35 UTC"/>
        <s v="2022-04-11 16:00:10 UTC"/>
        <s v="2022-04-11 15:58:05 UTC"/>
        <s v="2022-04-11 15:57:57 UTC"/>
        <s v="2022-04-11 15:56:28 UTC"/>
        <s v="2022-04-11 15:56:25 UTC"/>
        <s v="2022-04-11 15:55:18 UTC"/>
        <s v="2022-04-11 15:52:53 UTC"/>
        <s v="2022-04-11 15:51:26 UTC"/>
        <s v="2022-04-11 15:49:23 UTC"/>
        <s v="2022-04-11 15:49:20 UTC"/>
        <s v="2022-04-11 15:48:59 UTC"/>
        <s v="2022-04-11 15:48:36 UTC"/>
        <s v="2022-04-11 15:45:22 UTC"/>
        <s v="2022-04-11 15:45:04 UTC"/>
        <s v="2022-04-11 15:44:07 UTC"/>
        <s v="2022-04-11 15:44:04 UTC"/>
        <s v="2022-04-11 15:44:02 UTC"/>
        <s v="2022-04-11 15:44:01 UTC"/>
        <s v="2022-04-11 15:43:59 UTC"/>
        <s v="2022-04-11 15:43:57 UTC"/>
        <s v="2022-04-11 15:43:54 UTC"/>
        <s v="2022-04-11 15:40:27 UTC"/>
        <s v="2022-04-11 15:40:23 UTC"/>
        <s v="2022-04-11 15:40:22 UTC"/>
        <s v="2022-04-11 15:40:20 UTC"/>
        <s v="2022-04-11 15:40:18 UTC"/>
        <s v="2022-04-11 15:40:12 UTC"/>
        <s v="2022-04-11 15:40:08 UTC"/>
        <s v="2022-04-11 15:40:06 UTC"/>
        <s v="2022-04-11 15:40:04 UTC"/>
        <s v="2022-04-11 15:40:02 UTC"/>
        <s v="2022-04-11 15:40:00 UTC"/>
        <s v="2022-04-11 15:39:58 UTC"/>
        <s v="2022-04-11 15:39:56 UTC"/>
        <s v="2022-04-11 15:39:50 UTC"/>
        <s v="2022-04-11 15:39:46 UTC"/>
        <s v="2022-04-11 15:39:45 UTC"/>
        <s v="2022-04-11 15:39:41 UTC"/>
        <s v="2022-04-11 15:39:35 UTC"/>
        <s v="2022-04-11 15:39:31 UTC"/>
        <s v="2022-04-11 15:36:26 UTC"/>
        <s v="2022-04-11 15:36:04 UTC"/>
        <s v="2022-04-11 15:35:42 UTC"/>
        <s v="2022-04-11 15:35:33 UTC"/>
        <s v="2022-04-11 15:35:31 UTC"/>
        <s v="2022-04-11 15:35:16 UTC"/>
        <s v="2022-04-11 15:35:12 UTC"/>
        <s v="2022-04-11 15:35:05 UTC"/>
        <s v="2022-04-11 15:35:02 UTC"/>
        <s v="2022-04-11 15:34:49 UTC"/>
        <s v="2022-04-11 15:33:30 UTC"/>
        <s v="2022-04-11 15:32:53 UTC"/>
        <s v="2022-04-11 15:31:46 UTC"/>
        <s v="2022-04-11 15:31:40 UTC"/>
        <s v="2022-04-11 15:31:37 UTC"/>
        <s v="2022-04-11 15:31:36 UTC"/>
        <s v="2022-04-11 15:31:33 UTC"/>
        <s v="2022-04-11 15:31:27 UTC"/>
        <s v="2022-04-11 15:31:22 UTC"/>
        <s v="2022-04-11 15:31:12 UTC"/>
        <s v="2022-04-11 15:30:58 UTC"/>
        <s v="2022-04-11 15:30:57 UTC"/>
        <s v="2022-04-11 15:30:56 UTC"/>
        <s v="2022-04-11 15:30:55 UTC"/>
        <s v="2022-04-11 15:30:54 UTC"/>
        <s v="2022-04-11 15:30:53 UTC"/>
        <s v="2022-04-11 15:30:45 UTC"/>
        <s v="2022-04-11 15:30:41 UTC"/>
        <s v="2022-04-11 15:30:09 UTC"/>
        <s v="2022-04-11 15:29:59 UTC"/>
        <s v="2022-04-11 15:29:57 UTC"/>
        <s v="2022-04-11 15:29:56 UTC"/>
        <s v="2022-04-11 15:29:51 UTC"/>
        <s v="2022-04-11 15:29:37 UTC"/>
        <s v="2022-04-11 15:29:34 UTC"/>
        <s v="2022-04-11 15:29:32 UTC"/>
        <s v="2022-04-11 15:29:30 UTC"/>
        <s v="2022-04-11 15:29:29 UTC"/>
        <s v="2022-04-11 15:29:26 UTC"/>
        <s v="2022-04-11 15:29:21 UTC"/>
        <s v="2022-04-11 15:29:19 UTC"/>
        <s v="2022-04-11 15:29:15 UTC"/>
        <s v="2022-04-11 15:29:12 UTC"/>
        <s v="2022-04-11 15:29:08 UTC"/>
        <s v="2022-04-11 15:29:04 UTC"/>
        <s v="2022-04-11 15:27:24 UTC"/>
        <s v="2022-04-11 15:27:21 UTC"/>
        <s v="2022-04-11 15:23:17 UTC"/>
        <s v="2022-04-11 15:21:13 UTC"/>
        <s v="2022-04-11 15:20:08 UTC"/>
        <s v="2022-04-11 15:19:06 UTC"/>
        <s v="2022-04-11 15:19:00 UTC"/>
        <s v="2022-04-11 15:18:42 UTC"/>
        <s v="2022-04-11 15:18:06 UTC"/>
        <s v="2022-04-11 15:17:46 UTC"/>
        <s v="2022-04-11 15:17:04 UTC"/>
        <s v="2022-04-11 15:16:49 UTC"/>
        <s v="2022-04-11 15:16:47 UTC"/>
        <s v="2022-04-11 15:14:23 UTC"/>
        <s v="2022-04-11 15:14:19 UTC"/>
        <s v="2022-04-11 15:12:27 UTC"/>
        <s v="2022-04-11 15:10:41 UTC"/>
        <s v="2022-04-11 15:09:04 UTC"/>
        <s v="2022-04-11 15:09:02 UTC"/>
        <s v="2022-04-11 15:09:01 UTC"/>
        <s v="2022-04-11 15:08:59 UTC"/>
        <s v="2022-04-11 15:08:54 UTC"/>
        <s v="2022-04-11 15:08:34 UTC"/>
        <s v="2022-04-11 15:08:17 UTC"/>
        <s v="2022-04-11 15:06:35 UTC"/>
        <s v="2022-04-11 15:06:33 UTC"/>
        <s v="2022-04-11 15:06:07 UTC"/>
        <s v="2022-04-11 15:05:50 UTC"/>
        <s v="2022-04-11 15:04:02 UTC"/>
        <s v="2022-04-11 15:03:27 UTC"/>
        <s v="2022-04-11 15:02:59 UTC"/>
        <s v="2022-04-11 15:02:45 UTC"/>
        <s v="2022-04-11 15:02:43 UTC"/>
        <s v="2022-04-11 15:02:39 UTC"/>
        <s v="2022-04-11 15:02:28 UTC"/>
        <s v="2022-04-11 15:02:26 UTC"/>
        <s v="2022-04-11 15:02:25 UTC"/>
        <s v="2022-04-11 15:02:08 UTC"/>
        <s v="2022-04-11 15:01:58 UTC"/>
        <s v="2022-04-11 15:01:26 UTC"/>
        <s v="2022-04-11 15:01:19 UTC"/>
        <s v="2022-04-11 15:01:08 UTC"/>
        <s v="2022-04-11 15:01:03 UTC"/>
        <s v="2022-04-11 15:00:47 UTC"/>
        <s v="2022-04-11 15:00:40 UTC"/>
        <s v="2022-04-11 15:00:22 UTC"/>
        <s v="2022-04-11 15:00:18 UTC"/>
        <s v="2022-04-11 15:00:15 UTC"/>
        <s v="2022-04-11 15:00:14 UTC"/>
        <s v="2022-04-11 15:00:04 UTC"/>
        <s v="2022-04-11 15:00:02 UTC"/>
        <s v="2022-04-11 14:59:59 UTC"/>
        <s v="2022-04-11 14:59:58 UTC"/>
        <s v="2022-04-11 14:59:56 UTC"/>
        <s v="2022-04-11 14:59:53 UTC"/>
        <s v="2022-04-11 14:59:49 UTC"/>
        <s v="2022-04-11 14:59:29 UTC"/>
        <s v="2022-04-11 14:59:26 UTC"/>
        <s v="2022-04-11 14:59:03 UTC"/>
        <s v="2022-04-11 14:57:34 UTC"/>
        <s v="2022-04-11 14:57:16 UTC"/>
        <s v="2022-04-11 14:56:44 UTC"/>
        <s v="2022-04-11 14:56:30 UTC"/>
        <s v="2022-04-11 14:56:20 UTC"/>
        <s v="2022-04-11 14:55:02 UTC"/>
        <s v="2022-04-11 14:54:54 UTC"/>
        <s v="2022-04-11 14:54:19 UTC"/>
        <s v="2022-04-11 14:54:18 UTC"/>
        <s v="2022-04-11 14:54:16 UTC"/>
        <s v="2022-04-11 14:52:20 UTC"/>
        <s v="2022-04-11 14:52:18 UTC"/>
        <s v="2022-04-11 14:52:16 UTC"/>
        <s v="2022-04-11 14:52:13 UTC"/>
        <s v="2022-04-11 14:52:11 UTC"/>
        <s v="2022-04-11 14:52:04 UTC"/>
        <s v="2022-04-11 14:51:59 UTC"/>
        <s v="2022-04-11 14:51:51 UTC"/>
        <s v="2022-04-11 14:51:47 UTC"/>
        <s v="2022-04-11 14:51:20 UTC"/>
        <s v="2022-04-11 14:51:10 UTC"/>
        <s v="2022-04-11 14:51:06 UTC"/>
        <s v="2022-04-11 14:49:43 UTC"/>
        <s v="2022-04-11 14:49:39 UTC"/>
        <s v="2022-04-11 14:48:48 UTC"/>
        <s v="2022-04-11 14:48:45 UTC"/>
        <s v="2022-04-11 14:48:40 UTC"/>
        <s v="2022-04-11 14:48:38 UTC"/>
        <s v="2022-04-11 14:48:17 UTC"/>
        <s v="2022-04-11 14:47:10 UTC"/>
        <s v="2022-04-11 14:46:53 UTC"/>
        <s v="2022-04-11 14:45:46 UTC"/>
        <s v="2022-04-11 14:45:41 UTC"/>
        <s v="2022-04-11 14:45:37 UTC"/>
        <s v="2022-04-11 14:45:31 UTC"/>
        <s v="2022-04-11 14:45:12 UTC"/>
        <s v="2022-04-11 14:43:53 UTC"/>
        <s v="2022-04-11 14:43:17 UTC"/>
        <s v="2022-04-11 14:43:11 UTC"/>
        <s v="2022-04-11 14:42:56 UTC"/>
        <s v="2022-04-11 14:41:13 UTC"/>
        <s v="2022-04-11 14:39:54 UTC"/>
        <s v="2022-04-11 14:39:18 UTC"/>
        <s v="2022-04-11 14:39:14 UTC"/>
        <s v="2022-04-11 14:36:32 UTC"/>
        <s v="2022-04-11 14:35:48 UTC"/>
        <s v="2022-04-11 14:34:30 UTC"/>
        <s v="2022-04-11 14:33:32 UTC"/>
        <s v="2022-04-11 14:32:24 UTC"/>
        <s v="2022-04-11 14:32:22 UTC"/>
        <s v="2022-04-11 14:32:21 UTC"/>
        <s v="2022-04-11 14:32:20 UTC"/>
        <s v="2022-04-11 14:32:12 UTC"/>
        <s v="2022-04-11 14:32:09 UTC"/>
        <s v="2022-04-11 14:31:38 UTC"/>
        <s v="2022-04-11 14:30:38 UTC"/>
        <s v="2022-04-11 14:29:59 UTC"/>
        <s v="2022-04-11 14:29:54 UTC"/>
        <s v="2022-04-11 14:29:45 UTC"/>
        <s v="2022-04-11 14:28:39 UTC"/>
        <s v="2022-04-11 14:26:04 UTC"/>
        <s v="2022-04-11 14:26:00 UTC"/>
        <s v="2022-04-11 14:25:50 UTC"/>
        <s v="2022-04-11 14:25:25 UTC"/>
        <s v="2022-04-11 14:24:38 UTC"/>
        <s v="2022-04-11 14:24:35 UTC"/>
        <s v="2022-04-11 14:24:32 UTC"/>
        <s v="2022-04-11 14:24:30 UTC"/>
        <s v="2022-04-11 14:24:25 UTC"/>
        <s v="2022-04-11 14:24:06 UTC"/>
        <s v="2022-04-11 14:24:01 UTC"/>
        <s v="2022-04-11 14:23:40 UTC"/>
        <s v="2022-04-11 14:23:24 UTC"/>
        <s v="2022-04-11 14:23:15 UTC"/>
        <s v="2022-04-11 14:22:34 UTC"/>
        <s v="2022-04-11 14:20:34 UTC"/>
        <s v="2022-04-11 14:18:08 UTC"/>
        <s v="2022-04-11 14:17:52 UTC"/>
        <s v="2022-04-11 14:17:40 UTC"/>
        <s v="2022-04-11 14:17:26 UTC"/>
        <s v="2022-04-11 14:17:25 UTC"/>
        <s v="2022-04-11 14:17:24 UTC"/>
        <s v="2022-04-11 14:17:21 UTC"/>
        <s v="2022-04-11 14:16:51 UTC"/>
        <s v="2022-04-11 14:16:25 UTC"/>
        <s v="2022-04-11 14:16:12 UTC"/>
        <s v="2022-04-11 14:16:03 UTC"/>
        <s v="2022-04-11 14:14:54 UTC"/>
        <s v="2022-04-11 14:14:51 UTC"/>
        <s v="2022-04-11 14:14:49 UTC"/>
        <s v="2022-04-11 14:14:48 UTC"/>
        <s v="2022-04-11 14:12:38 UTC"/>
        <s v="2022-04-11 14:10:51 UTC"/>
        <s v="2022-04-11 14:10:50 UTC"/>
        <s v="2022-04-11 14:10:49 UTC"/>
        <s v="2022-04-11 14:10:19 UTC"/>
        <s v="2022-04-11 14:08:29 UTC"/>
        <s v="2022-04-11 14:07:41 UTC"/>
        <s v="2022-04-11 14:07:28 UTC"/>
        <s v="2022-04-11 14:07:01 UTC"/>
        <s v="2022-04-11 14:06:48 UTC"/>
        <s v="2022-04-11 14:06:46 UTC"/>
        <s v="2022-04-11 14:06:30 UTC"/>
        <s v="2022-04-11 14:05:26 UTC"/>
        <s v="2022-04-11 14:05:23 UTC"/>
        <s v="2022-04-11 14:04:51 UTC"/>
        <s v="2022-04-11 14:04:47 UTC"/>
        <s v="2022-04-11 14:04:38 UTC"/>
        <s v="2022-04-11 14:04:22 UTC"/>
        <s v="2022-04-11 14:04:06 UTC"/>
        <s v="2022-04-11 14:02:42 UTC"/>
        <s v="2022-04-11 14:02:39 UTC"/>
        <s v="2022-04-11 13:59:11 UTC"/>
        <s v="2022-04-11 13:58:35 UTC"/>
        <s v="2022-04-11 13:58:21 UTC"/>
        <s v="2022-04-11 13:58:18 UTC"/>
        <s v="2022-04-11 13:58:16 UTC"/>
        <s v="2022-04-11 13:58:13 UTC"/>
        <s v="2022-04-11 13:58:12 UTC"/>
        <s v="2022-04-11 13:58:11 UTC"/>
        <s v="2022-04-11 13:58:10 UTC"/>
        <s v="2022-04-11 13:58:08 UTC"/>
        <s v="2022-04-11 13:58:01 UTC"/>
        <s v="2022-04-11 13:58:00 UTC"/>
        <s v="2022-04-11 13:57:59 UTC"/>
        <s v="2022-04-11 13:57:57 UTC"/>
        <s v="2022-04-11 13:57:56 UTC"/>
        <s v="2022-04-11 13:57:45 UTC"/>
        <s v="2022-04-11 13:57:40 UTC"/>
        <s v="2022-04-11 13:57:19 UTC"/>
        <s v="2022-04-11 13:57:13 UTC"/>
        <s v="2022-04-11 13:57:12 UTC"/>
        <s v="2022-04-11 13:57:11 UTC"/>
        <s v="2022-04-11 13:57:10 UTC"/>
        <s v="2022-04-11 13:57:09 UTC"/>
        <s v="2022-04-11 13:57:07 UTC"/>
        <s v="2022-04-11 13:57:06 UTC"/>
        <s v="2022-04-11 13:57:05 UTC"/>
        <s v="2022-04-11 13:57:04 UTC"/>
        <s v="2022-04-11 13:57:03 UTC"/>
        <s v="2022-04-11 13:57:02 UTC"/>
        <s v="2022-04-11 13:57:01 UTC"/>
        <s v="2022-04-11 13:57:00 UTC"/>
        <s v="2022-04-11 13:56:59 UTC"/>
        <s v="2022-04-11 13:56:57 UTC"/>
        <s v="2022-04-11 13:56:56 UTC"/>
        <s v="2022-04-11 13:56:55 UTC"/>
        <s v="2022-04-11 13:56:53 UTC"/>
        <s v="2022-04-11 13:56:51 UTC"/>
        <s v="2022-04-11 13:56:33 UTC"/>
        <s v="2022-04-11 13:55:16 UTC"/>
        <s v="2022-04-11 13:55:13 UTC"/>
        <s v="2022-04-11 13:54:26 UTC"/>
        <s v="2022-04-11 13:53:58 UTC"/>
        <s v="2022-04-11 13:53:50 UTC"/>
        <s v="2022-04-11 13:53:42 UTC"/>
        <s v="2022-04-11 13:53:21 UTC"/>
        <s v="2022-04-11 13:53:11 UTC"/>
        <s v="2022-04-11 13:52:22 UTC"/>
        <s v="2022-04-11 13:52:21 UTC"/>
        <s v="2022-04-11 13:52:19 UTC"/>
        <s v="2022-04-11 13:52:18 UTC"/>
        <s v="2022-04-11 13:52:16 UTC"/>
        <s v="2022-04-11 13:52:15 UTC"/>
        <s v="2022-04-11 13:52:13 UTC"/>
        <s v="2022-04-11 13:52:02 UTC"/>
        <s v="2022-04-11 13:52:00 UTC"/>
        <s v="2022-04-11 13:51:59 UTC"/>
        <s v="2022-04-11 13:51:56 UTC"/>
        <s v="2022-04-11 13:51:54 UTC"/>
        <s v="2022-04-11 13:51:52 UTC"/>
        <s v="2022-04-11 13:51:39 UTC"/>
        <s v="2022-04-11 13:51:08 UTC"/>
        <s v="2022-04-11 13:50:00 UTC"/>
        <s v="2022-04-11 13:49:58 UTC"/>
        <s v="2022-04-11 13:49:44 UTC"/>
        <s v="2022-04-11 13:49:40 UTC"/>
        <s v="2022-04-11 13:49:35 UTC"/>
        <s v="2022-04-11 13:49:33 UTC"/>
        <s v="2022-04-11 13:49:31 UTC"/>
        <s v="2022-04-11 13:49:27 UTC"/>
        <s v="2022-04-11 13:49:25 UTC"/>
        <s v="2022-04-11 13:48:32 UTC"/>
        <s v="2022-04-11 13:47:59 UTC"/>
        <s v="2022-04-11 13:47:58 UTC"/>
        <s v="2022-04-11 13:47:39 UTC"/>
        <s v="2022-04-11 13:47:34 UTC"/>
        <s v="2022-04-11 13:47:31 UTC"/>
        <s v="2022-04-11 13:47:29 UTC"/>
        <s v="2022-04-11 13:47:17 UTC"/>
        <s v="2022-04-11 13:47:14 UTC"/>
        <s v="2022-04-11 13:46:51 UTC"/>
        <s v="2022-04-11 13:46:46 UTC"/>
        <s v="2022-04-11 13:46:25 UTC"/>
        <s v="2022-04-11 13:46:23 UTC"/>
        <s v="2022-04-11 13:45:33 UTC"/>
        <s v="2022-04-11 13:45:21 UTC"/>
        <s v="2022-04-11 13:45:04 UTC"/>
        <s v="2022-04-11 13:44:29 UTC"/>
        <s v="2022-04-11 13:44:20 UTC"/>
        <s v="2022-04-11 13:42:52 UTC"/>
        <s v="2022-04-11 13:41:58 UTC"/>
        <s v="2022-04-11 13:40:27 UTC"/>
        <s v="2022-04-11 13:38:09 UTC"/>
        <s v="2022-04-11 13:38:06 UTC"/>
        <s v="2022-04-11 13:38:04 UTC"/>
        <s v="2022-04-11 13:37:52 UTC"/>
        <s v="2022-04-11 13:36:50 UTC"/>
        <s v="2022-04-11 13:35:07 UTC"/>
        <s v="2022-04-11 13:33:57 UTC"/>
        <s v="2022-04-11 13:33:45 UTC"/>
        <s v="2022-04-11 13:33:43 UTC"/>
        <s v="2022-04-11 13:33:42 UTC"/>
        <s v="2022-04-11 13:33:40 UTC"/>
        <s v="2022-04-11 13:33:37 UTC"/>
        <s v="2022-04-11 13:33:34 UTC"/>
        <s v="2022-04-11 13:32:25 UTC"/>
        <s v="2022-04-11 13:32:03 UTC"/>
        <s v="2022-04-11 13:31:29 UTC"/>
        <s v="2022-04-11 13:31:23 UTC"/>
        <s v="2022-04-11 13:31:09 UTC"/>
        <s v="2022-04-11 13:30:39 UTC"/>
        <s v="2022-04-11 13:30:33 UTC"/>
        <s v="2022-04-11 13:30:18 UTC"/>
        <s v="2022-04-11 13:29:54 UTC"/>
        <s v="2022-04-11 13:28:57 UTC"/>
        <s v="2022-04-11 13:28:54 UTC"/>
        <s v="2022-04-11 13:28:47 UTC"/>
        <s v="2022-04-11 13:28:01 UTC"/>
        <s v="2022-04-11 13:27:54 UTC"/>
        <s v="2022-04-11 13:27:52 UTC"/>
        <s v="2022-04-11 13:26:49 UTC"/>
        <s v="2022-04-11 13:26:39 UTC"/>
        <s v="2022-04-11 13:26:34 UTC"/>
        <s v="2022-04-11 13:25:25 UTC"/>
        <s v="2022-04-11 13:25:17 UTC"/>
        <s v="2022-04-11 13:24:57 UTC"/>
        <s v="2022-04-11 13:24:50 UTC"/>
        <s v="2022-04-11 13:24:17 UTC"/>
        <s v="2022-04-11 13:24:13 UTC"/>
        <s v="2022-04-11 13:24:07 UTC"/>
        <s v="2022-04-11 13:23:21 UTC"/>
        <s v="2022-04-11 13:23:05 UTC"/>
        <s v="2022-04-11 13:22:55 UTC"/>
        <s v="2022-04-11 13:22:53 UTC"/>
        <s v="2022-04-11 13:22:51 UTC"/>
        <s v="2022-04-11 13:21:57 UTC"/>
        <s v="2022-04-11 13:20:56 UTC"/>
        <s v="2022-04-11 13:20:46 UTC"/>
        <s v="2022-04-11 13:20:43 UTC"/>
        <s v="2022-04-11 13:18:39 UTC"/>
        <s v="2022-04-11 13:18:17 UTC"/>
        <s v="2022-04-11 13:18:07 UTC"/>
        <s v="2022-04-11 13:18:04 UTC"/>
        <s v="2022-04-11 13:17:57 UTC"/>
        <s v="2022-04-11 13:17:47 UTC"/>
        <s v="2022-04-11 13:17:42 UTC"/>
        <s v="2022-04-11 13:17:40 UTC"/>
        <s v="2022-04-11 13:17:34 UTC"/>
        <s v="2022-04-11 13:17:12 UTC"/>
        <s v="2022-04-11 13:17:08 UTC"/>
        <s v="2022-04-11 13:17:06 UTC"/>
        <s v="2022-04-11 13:15:45 UTC"/>
        <s v="2022-04-11 13:15:43 UTC"/>
        <s v="2022-04-11 13:15:42 UTC"/>
        <s v="2022-04-11 13:15:39 UTC"/>
        <s v="2022-04-11 13:15:36 UTC"/>
        <s v="2022-04-11 13:15:34 UTC"/>
        <s v="2022-04-11 13:15:27 UTC"/>
        <s v="2022-04-11 13:15:23 UTC"/>
        <s v="2022-04-11 13:15:20 UTC"/>
        <s v="2022-04-11 13:15:15 UTC"/>
        <s v="2022-04-11 13:15:13 UTC"/>
        <s v="2022-04-11 13:15:11 UTC"/>
        <s v="2022-04-11 13:15:09 UTC"/>
        <s v="2022-04-11 13:15:07 UTC"/>
        <s v="2022-04-11 13:15:05 UTC"/>
        <s v="2022-04-11 13:15:01 UTC"/>
        <s v="2022-04-11 13:14:52 UTC"/>
        <s v="2022-04-11 13:14:32 UTC"/>
        <s v="2022-04-11 13:14:29 UTC"/>
        <s v="2022-04-11 13:14:28 UTC"/>
        <s v="2022-04-11 13:14:26 UTC"/>
        <s v="2022-04-11 13:13:42 UTC"/>
        <s v="2022-04-11 13:13:19 UTC"/>
        <s v="2022-04-11 13:12:45 UTC"/>
        <s v="2022-04-11 13:12:20 UTC"/>
        <s v="2022-04-11 13:12:16 UTC"/>
        <s v="2022-04-11 13:11:30 UTC"/>
        <s v="2022-04-11 13:10:59 UTC"/>
        <s v="2022-04-11 13:10:43 UTC"/>
        <s v="2022-04-11 13:10:41 UTC"/>
        <s v="2022-04-11 13:10:30 UTC"/>
        <s v="2022-04-11 13:10:26 UTC"/>
        <s v="2022-04-11 13:10:24 UTC"/>
        <s v="2022-04-11 13:10:23 UTC"/>
        <s v="2022-04-11 13:09:58 UTC"/>
        <s v="2022-04-11 13:09:00 UTC"/>
        <s v="2022-04-11 13:08:53 UTC"/>
        <s v="2022-04-11 13:08:41 UTC"/>
        <s v="2022-04-11 13:08:22 UTC"/>
        <s v="2022-04-11 13:08:11 UTC"/>
        <s v="2022-04-11 13:08:03 UTC"/>
        <s v="2022-04-11 13:07:48 UTC"/>
        <s v="2022-04-11 13:07:46 UTC"/>
        <s v="2022-04-11 13:07:43 UTC"/>
        <s v="2022-04-11 13:07:41 UTC"/>
        <s v="2022-04-11 13:07:37 UTC"/>
        <s v="2022-04-11 13:07:34 UTC"/>
        <s v="2022-04-11 13:07:31 UTC"/>
        <s v="2022-04-11 13:06:54 UTC"/>
        <s v="2022-04-11 13:06:52 UTC"/>
        <s v="2022-04-11 13:05:38 UTC"/>
        <s v="2022-04-11 13:05:04 UTC"/>
        <s v="2022-04-11 13:04:42 UTC"/>
        <s v="2022-04-11 13:04:40 UTC"/>
        <s v="2022-04-11 13:02:51 UTC"/>
        <s v="2022-04-11 13:02:23 UTC"/>
        <s v="2022-04-11 13:01:02 UTC"/>
        <s v="2022-04-11 13:00:52 UTC"/>
        <s v="2022-04-11 13:00:49 UTC"/>
        <s v="2022-04-11 13:00:47 UTC"/>
        <s v="2022-04-11 13:00:45 UTC"/>
        <s v="2022-04-11 12:59:08 UTC"/>
        <s v="2022-04-11 12:59:02 UTC"/>
        <s v="2022-04-11 12:58:16 UTC"/>
        <s v="2022-04-11 12:58:04 UTC"/>
        <s v="2022-04-11 12:58:02 UTC"/>
        <s v="2022-04-11 12:58:01 UTC"/>
        <s v="2022-04-11 12:57:59 UTC"/>
        <s v="2022-04-11 12:57:57 UTC"/>
        <s v="2022-04-11 12:57:42 UTC"/>
        <s v="2022-04-11 12:57:38 UTC"/>
        <s v="2022-04-11 12:57:08 UTC"/>
        <s v="2022-04-11 12:56:47 UTC"/>
        <s v="2022-04-11 12:56:45 UTC"/>
        <s v="2022-04-11 12:56:34 UTC"/>
        <s v="2022-04-11 12:56:26 UTC"/>
        <s v="2022-04-11 12:54:41 UTC"/>
        <s v="2022-04-11 12:52:39 UTC"/>
        <s v="2022-04-11 12:51:36 UTC"/>
        <s v="2022-04-11 12:51:29 UTC"/>
        <s v="2022-04-11 12:51:26 UTC"/>
        <s v="2022-04-11 12:51:22 UTC"/>
        <s v="2022-04-11 12:50:00 UTC"/>
        <s v="2022-04-11 12:48:21 UTC"/>
        <s v="2022-04-11 12:48:17 UTC"/>
        <s v="2022-04-11 12:47:55 UTC"/>
        <s v="2022-04-11 12:47:45 UTC"/>
        <s v="2022-04-11 12:47:24 UTC"/>
        <s v="2022-04-11 12:47:10 UTC"/>
        <s v="2022-04-11 12:46:57 UTC"/>
        <s v="2022-04-11 12:46:55 UTC"/>
        <s v="2022-04-11 12:46:52 UTC"/>
        <s v="2022-04-11 12:46:50 UTC"/>
        <s v="2022-04-11 12:46:46 UTC"/>
        <s v="2022-04-11 12:46:44 UTC"/>
        <s v="2022-04-11 12:46:40 UTC"/>
        <s v="2022-04-11 12:46:32 UTC"/>
        <s v="2022-04-11 12:46:05 UTC"/>
        <s v="2022-04-11 12:45:03 UTC"/>
        <s v="2022-04-11 12:45:01 UTC"/>
        <s v="2022-04-11 12:43:56 UTC"/>
        <s v="2022-04-11 12:43:33 UTC"/>
        <s v="2022-04-11 12:43:28 UTC"/>
        <s v="2022-04-11 12:43:23 UTC"/>
        <s v="2022-04-11 12:42:58 UTC"/>
        <s v="2022-04-11 12:41:17 UTC"/>
        <s v="2022-04-11 12:40:52 UTC"/>
        <s v="2022-04-11 12:40:39 UTC"/>
        <s v="2022-04-11 12:40:35 UTC"/>
        <s v="2022-04-11 12:40:34 UTC"/>
        <s v="2022-04-11 12:40:29 UTC"/>
        <s v="2022-04-11 12:40:10 UTC"/>
        <s v="2022-04-11 12:39:48 UTC"/>
        <s v="2022-04-11 12:38:59 UTC"/>
        <s v="2022-04-11 12:38:42 UTC"/>
        <s v="2022-04-11 12:37:26 UTC"/>
        <s v="2022-04-11 12:36:37 UTC"/>
        <s v="2022-04-11 12:36:31 UTC"/>
        <s v="2022-04-11 12:36:28 UTC"/>
        <s v="2022-04-11 12:36:08 UTC"/>
        <s v="2022-04-11 12:36:02 UTC"/>
        <s v="2022-04-11 12:35:57 UTC"/>
        <s v="2022-04-11 12:35:07 UTC"/>
        <s v="2022-04-11 12:34:57 UTC"/>
        <s v="2022-04-11 12:34:51 UTC"/>
        <s v="2022-04-11 12:34:46 UTC"/>
        <s v="2022-04-11 12:34:44 UTC"/>
        <s v="2022-04-11 12:34:42 UTC"/>
        <s v="2022-04-11 12:34:41 UTC"/>
        <s v="2022-04-11 12:34:36 UTC"/>
        <s v="2022-04-11 12:34:34 UTC"/>
        <s v="2022-04-11 12:34:08 UTC"/>
        <s v="2022-04-11 12:33:41 UTC"/>
        <s v="2022-04-11 12:33:02 UTC"/>
        <s v="2022-04-11 12:33:01 UTC"/>
        <s v="2022-04-11 12:32:44 UTC"/>
        <s v="2022-04-11 12:32:40 UTC"/>
        <s v="2022-04-11 12:32:35 UTC"/>
        <s v="2022-04-11 12:32:27 UTC"/>
        <s v="2022-04-11 12:32:18 UTC"/>
        <s v="2022-04-11 12:32:14 UTC"/>
        <s v="2022-04-11 12:32:08 UTC"/>
        <s v="2022-04-11 12:32:02 UTC"/>
        <s v="2022-04-11 12:31:57 UTC"/>
        <s v="2022-04-11 12:31:55 UTC"/>
        <s v="2022-04-11 12:31:51 UTC"/>
        <s v="2022-04-11 12:31:35 UTC"/>
        <s v="2022-04-11 12:31:20 UTC"/>
        <s v="2022-04-11 12:31:06 UTC"/>
        <s v="2022-04-11 12:30:56 UTC"/>
        <s v="2022-04-11 12:30:53 UTC"/>
        <s v="2022-04-11 12:30:47 UTC"/>
        <s v="2022-04-11 12:30:45 UTC"/>
        <s v="2022-04-11 12:30:44 UTC"/>
        <s v="2022-04-11 12:30:41 UTC"/>
        <s v="2022-04-11 12:30:10 UTC"/>
        <s v="2022-04-11 12:30:01 UTC"/>
        <s v="2022-04-11 12:29:12 UTC"/>
        <s v="2022-04-11 12:29:07 UTC"/>
        <s v="2022-04-11 12:29:03 UTC"/>
        <s v="2022-04-11 12:29:01 UTC"/>
        <s v="2022-04-11 12:28:58 UTC"/>
        <s v="2022-04-11 12:28:52 UTC"/>
        <s v="2022-04-11 12:28:20 UTC"/>
        <s v="2022-04-11 12:27:29 UTC"/>
        <s v="2022-04-11 12:27:27 UTC"/>
        <s v="2022-04-11 12:27:04 UTC"/>
        <s v="2022-04-11 12:26:51 UTC"/>
        <s v="2022-04-11 12:26:46 UTC"/>
        <s v="2022-04-11 12:26:24 UTC"/>
        <s v="2022-04-11 12:26:20 UTC"/>
        <s v="2022-04-11 12:26:01 UTC"/>
        <s v="2022-04-11 12:24:56 UTC"/>
        <s v="2022-04-11 12:24:54 UTC"/>
        <s v="2022-04-11 12:24:52 UTC"/>
        <s v="2022-04-11 12:24:48 UTC"/>
        <s v="2022-04-11 12:24:44 UTC"/>
        <s v="2022-04-11 12:24:42 UTC"/>
        <s v="2022-04-11 12:24:40 UTC"/>
        <s v="2022-04-11 12:24:37 UTC"/>
        <s v="2022-04-11 12:24:32 UTC"/>
        <s v="2022-04-11 12:24:27 UTC"/>
        <s v="2022-04-11 12:24:22 UTC"/>
        <s v="2022-04-11 12:24:18 UTC"/>
        <s v="2022-04-11 12:23:55 UTC"/>
        <s v="2022-04-11 12:22:54 UTC"/>
        <s v="2022-04-11 12:22:52 UTC"/>
        <s v="2022-04-11 12:22:51 UTC"/>
        <s v="2022-04-11 12:22:49 UTC"/>
        <s v="2022-04-11 12:22:46 UTC"/>
        <s v="2022-04-11 12:22:44 UTC"/>
        <s v="2022-04-11 12:21:42 UTC"/>
        <s v="2022-04-11 12:21:35 UTC"/>
        <s v="2022-04-11 12:20:57 UTC"/>
        <s v="2022-04-11 12:20:50 UTC"/>
        <s v="2022-04-11 12:20:04 UTC"/>
        <s v="2022-04-11 12:20:00 UTC"/>
        <s v="2022-04-11 12:19:36 UTC"/>
        <s v="2022-04-11 12:18:58 UTC"/>
        <s v="2022-04-11 12:18:32 UTC"/>
        <s v="2022-04-11 12:17:16 UTC"/>
        <s v="2022-04-11 12:16:19 UTC"/>
        <s v="2022-04-11 12:16:17 UTC"/>
        <s v="2022-04-11 12:16:14 UTC"/>
        <s v="2022-04-11 12:16:12 UTC"/>
        <s v="2022-04-11 12:15:52 UTC"/>
        <s v="2022-04-11 12:15:10 UTC"/>
        <s v="2022-04-11 12:14:44 UTC"/>
        <s v="2022-04-11 12:14:35 UTC"/>
        <s v="2022-04-11 12:14:27 UTC"/>
        <s v="2022-04-11 12:14:19 UTC"/>
        <s v="2022-04-11 12:13:55 UTC"/>
        <s v="2022-04-11 12:13:51 UTC"/>
        <s v="2022-04-11 12:12:49 UTC"/>
        <s v="2022-04-11 12:11:50 UTC"/>
        <s v="2022-04-11 12:11:16 UTC"/>
        <s v="2022-04-11 12:09:39 UTC"/>
        <s v="2022-04-11 12:07:28 UTC"/>
        <s v="2022-04-11 12:07:03 UTC"/>
        <s v="2022-04-11 12:05:51 UTC"/>
        <s v="2022-04-11 12:05:40 UTC"/>
        <s v="2022-04-11 12:05:38 UTC"/>
        <s v="2022-04-11 12:05:28 UTC"/>
        <s v="2022-04-11 12:05:21 UTC"/>
        <s v="2022-04-11 12:05:16 UTC"/>
        <s v="2022-04-11 12:05:07 UTC"/>
        <s v="2022-04-11 12:05:05 UTC"/>
        <s v="2022-04-11 12:03:49 UTC"/>
        <s v="2022-04-11 12:03:24 UTC"/>
        <s v="2022-04-11 12:02:22 UTC"/>
        <s v="2022-04-11 12:02:09 UTC"/>
        <s v="2022-04-11 12:01:30 UTC"/>
        <s v="2022-04-11 11:59:56 UTC"/>
        <s v="2022-04-11 11:59:38 UTC"/>
        <s v="2022-04-11 11:58:51 UTC"/>
        <s v="2022-04-11 11:58:21 UTC"/>
        <s v="2022-04-11 11:58:18 UTC"/>
        <s v="2022-04-11 11:57:54 UTC"/>
        <s v="2022-04-11 11:57:29 UTC"/>
        <s v="2022-04-11 11:57:28 UTC"/>
        <s v="2022-04-11 11:57:26 UTC"/>
        <s v="2022-04-11 11:57:25 UTC"/>
        <s v="2022-04-11 11:57:24 UTC"/>
        <s v="2022-04-11 11:57:23 UTC"/>
        <s v="2022-04-11 11:57:22 UTC"/>
        <s v="2022-04-11 11:57:20 UTC"/>
        <s v="2022-04-11 11:57:19 UTC"/>
        <s v="2022-04-11 11:57:18 UTC"/>
        <s v="2022-04-11 11:57:17 UTC"/>
        <s v="2022-04-11 11:57:15 UTC"/>
        <s v="2022-04-11 11:57:14 UTC"/>
        <s v="2022-04-11 11:57:13 UTC"/>
        <s v="2022-04-11 11:57:11 UTC"/>
        <s v="2022-04-11 11:57:10 UTC"/>
        <s v="2022-04-11 11:57:09 UTC"/>
        <s v="2022-04-11 11:57:07 UTC"/>
        <s v="2022-04-11 11:57:06 UTC"/>
        <s v="2022-04-11 11:57:04 UTC"/>
        <s v="2022-04-11 11:56:22 UTC"/>
        <s v="2022-04-11 11:56:20 UTC"/>
        <s v="2022-04-11 11:56:09 UTC"/>
        <s v="2022-04-11 11:55:45 UTC"/>
        <s v="2022-04-11 11:55:23 UTC"/>
        <s v="2022-04-11 11:54:04 UTC"/>
        <s v="2022-04-11 11:52:09 UTC"/>
        <s v="2022-04-11 11:52:07 UTC"/>
        <s v="2022-04-11 11:51:08 UTC"/>
        <s v="2022-04-11 11:50:21 UTC"/>
        <s v="2022-04-11 11:47:57 UTC"/>
        <s v="2022-04-11 11:47:53 UTC"/>
        <s v="2022-04-11 11:47:51 UTC"/>
        <s v="2022-04-11 11:47:50 UTC"/>
        <s v="2022-04-11 11:47:48 UTC"/>
        <s v="2022-04-11 11:47:42 UTC"/>
        <s v="2022-04-11 11:47:40 UTC"/>
        <s v="2022-04-11 11:46:39 UTC"/>
        <s v="2022-04-11 11:46:35 UTC"/>
        <s v="2022-04-11 11:46:33 UTC"/>
        <s v="2022-04-11 11:46:28 UTC"/>
        <s v="2022-04-11 11:45:06 UTC"/>
        <s v="2022-04-11 11:45:05 UTC"/>
        <s v="2022-04-11 11:43:34 UTC"/>
        <s v="2022-04-11 11:43:11 UTC"/>
        <s v="2022-04-11 11:42:24 UTC"/>
        <s v="2022-04-11 11:42:18 UTC"/>
        <s v="2022-04-11 11:42:14 UTC"/>
        <s v="2022-04-11 11:42:09 UTC"/>
        <s v="2022-04-11 11:42:00 UTC"/>
        <s v="2022-04-11 11:41:54 UTC"/>
        <s v="2022-04-11 11:41:49 UTC"/>
        <s v="2022-04-11 11:41:11 UTC"/>
        <s v="2022-04-11 11:41:01 UTC"/>
        <s v="2022-04-11 11:40:52 UTC"/>
        <s v="2022-04-11 11:40:50 UTC"/>
        <s v="2022-04-11 11:40:48 UTC"/>
        <s v="2022-04-11 11:40:43 UTC"/>
        <s v="2022-04-11 11:40:35 UTC"/>
        <s v="2022-04-11 11:40:02 UTC"/>
        <s v="2022-04-11 11:39:35 UTC"/>
        <s v="2022-04-11 11:38:58 UTC"/>
        <s v="2022-04-11 11:38:49 UTC"/>
        <s v="2022-04-11 11:38:45 UTC"/>
        <s v="2022-04-11 11:38:40 UTC"/>
        <s v="2022-04-11 11:38:28 UTC"/>
        <s v="2022-04-11 11:38:26 UTC"/>
        <s v="2022-04-11 11:38:07 UTC"/>
        <s v="2022-04-11 11:37:08 UTC"/>
        <s v="2022-04-11 11:36:04 UTC"/>
        <s v="2022-04-11 11:36:02 UTC"/>
        <s v="2022-04-11 11:34:22 UTC"/>
        <s v="2022-04-11 11:32:36 UTC"/>
        <s v="2022-04-11 11:32:21 UTC"/>
        <s v="2022-04-11 11:32:13 UTC"/>
        <s v="2022-04-11 11:31:42 UTC"/>
        <s v="2022-04-11 11:31:34 UTC"/>
        <s v="2022-04-11 11:31:10 UTC"/>
        <s v="2022-04-11 11:31:07 UTC"/>
        <s v="2022-04-11 11:31:03 UTC"/>
        <s v="2022-04-11 11:30:54 UTC"/>
        <s v="2022-04-11 11:30:52 UTC"/>
        <s v="2022-04-11 11:29:19 UTC"/>
        <s v="2022-04-11 11:28:59 UTC"/>
        <s v="2022-04-11 11:28:55 UTC"/>
        <s v="2022-04-11 11:28:52 UTC"/>
        <s v="2022-04-11 11:28:36 UTC"/>
        <s v="2022-04-11 11:27:13 UTC"/>
        <s v="2022-04-11 11:26:22 UTC"/>
        <s v="2022-04-11 11:26:19 UTC"/>
        <s v="2022-04-11 11:26:08 UTC"/>
        <s v="2022-04-11 11:25:57 UTC"/>
        <s v="2022-04-11 11:25:50 UTC"/>
        <s v="2022-04-11 11:25:48 UTC"/>
        <s v="2022-04-11 11:25:44 UTC"/>
        <s v="2022-04-11 11:25:43 UTC"/>
        <s v="2022-04-11 11:25:31 UTC"/>
        <s v="2022-04-11 11:25:12 UTC"/>
        <s v="2022-04-11 11:25:10 UTC"/>
        <s v="2022-04-11 11:24:25 UTC"/>
        <s v="2022-04-11 11:23:55 UTC"/>
        <s v="2022-04-11 11:23:49 UTC"/>
        <s v="2022-04-11 11:23:48 UTC"/>
        <s v="2022-04-11 11:23:46 UTC"/>
        <s v="2022-04-11 11:23:43 UTC"/>
        <s v="2022-04-11 11:23:41 UTC"/>
        <s v="2022-04-11 11:23:37 UTC"/>
        <s v="2022-04-11 11:23:35 UTC"/>
        <s v="2022-04-11 11:23:00 UTC"/>
        <s v="2022-04-11 11:22:56 UTC"/>
        <s v="2022-04-11 11:22:55 UTC"/>
        <s v="2022-04-11 11:22:53 UTC"/>
        <s v="2022-04-11 11:22:50 UTC"/>
        <s v="2022-04-11 11:22:49 UTC"/>
        <s v="2022-04-11 11:22:47 UTC"/>
        <s v="2022-04-11 11:22:45 UTC"/>
        <s v="2022-04-11 11:22:43 UTC"/>
        <s v="2022-04-11 11:22:39 UTC"/>
        <s v="2022-04-11 11:22:23 UTC"/>
        <s v="2022-04-11 11:22:22 UTC"/>
        <s v="2022-04-11 11:22:15 UTC"/>
        <s v="2022-04-11 11:22:14 UTC"/>
        <s v="2022-04-11 11:22:07 UTC"/>
        <s v="2022-04-11 11:22:05 UTC"/>
        <s v="2022-04-11 11:22:03 UTC"/>
        <s v="2022-04-11 11:21:41 UTC"/>
        <s v="2022-04-11 11:21:17 UTC"/>
        <s v="2022-04-11 11:21:15 UTC"/>
        <s v="2022-04-11 11:20:52 UTC"/>
        <s v="2022-04-11 11:20:22 UTC"/>
        <s v="2022-04-11 11:20:21 UTC"/>
        <s v="2022-04-11 11:20:20 UTC"/>
        <s v="2022-04-11 11:20:19 UTC"/>
        <s v="2022-04-11 11:20:18 UTC"/>
        <s v="2022-04-11 11:20:17 UTC"/>
        <s v="2022-04-11 11:20:16 UTC"/>
        <s v="2022-04-11 11:20:15 UTC"/>
        <s v="2022-04-11 11:20:14 UTC"/>
        <s v="2022-04-11 11:20:12 UTC"/>
        <s v="2022-04-11 11:20:11 UTC"/>
        <s v="2022-04-11 11:20:10 UTC"/>
        <s v="2022-04-11 11:20:09 UTC"/>
        <s v="2022-04-11 11:20:08 UTC"/>
        <s v="2022-04-11 11:20:07 UTC"/>
        <s v="2022-04-11 11:20:06 UTC"/>
        <s v="2022-04-11 11:20:05 UTC"/>
        <s v="2022-04-11 11:20:04 UTC"/>
        <s v="2022-04-11 11:20:03 UTC"/>
        <s v="2022-04-11 11:20:02 UTC"/>
        <s v="2022-04-11 11:20:01 UTC"/>
        <s v="2022-04-11 11:20:00 UTC"/>
        <s v="2022-04-11 11:19:59 UTC"/>
        <s v="2022-04-11 11:19:58 UTC"/>
        <s v="2022-04-11 11:19:57 UTC"/>
        <s v="2022-04-11 11:19:56 UTC"/>
        <s v="2022-04-11 11:19:55 UTC"/>
        <s v="2022-04-11 11:19:54 UTC"/>
        <s v="2022-04-11 11:19:53 UTC"/>
        <s v="2022-04-11 11:19:51 UTC"/>
        <s v="2022-04-11 11:19:50 UTC"/>
        <s v="2022-04-11 11:19:49 UTC"/>
        <s v="2022-04-11 11:19:48 UTC"/>
        <s v="2022-04-11 11:19:47 UTC"/>
        <s v="2022-04-11 11:19:46 UTC"/>
        <s v="2022-04-11 11:19:45 UTC"/>
        <s v="2022-04-11 11:19:44 UTC"/>
        <s v="2022-04-11 11:19:43 UTC"/>
        <s v="2022-04-11 11:19:42 UTC"/>
        <s v="2022-04-11 11:19:41 UTC"/>
        <s v="2022-04-11 11:19:40 UTC"/>
        <s v="2022-04-11 11:19:39 UTC"/>
        <s v="2022-04-11 11:19:22 UTC"/>
        <s v="2022-04-11 11:19:19 UTC"/>
        <s v="2022-04-11 11:19:15 UTC"/>
        <s v="2022-04-11 11:17:58 UTC"/>
        <s v="2022-04-11 11:17:39 UTC"/>
        <s v="2022-04-11 11:16:44 UTC"/>
        <s v="2022-04-11 11:16:37 UTC"/>
        <s v="2022-04-11 11:16:35 UTC"/>
        <s v="2022-04-11 11:16:04 UTC"/>
        <s v="2022-04-11 11:15:59 UTC"/>
        <s v="2022-04-11 11:15:13 UTC"/>
        <s v="2022-04-11 11:15:10 UTC"/>
        <s v="2022-04-11 11:15:06 UTC"/>
        <s v="2022-04-11 11:14:19 UTC"/>
        <s v="2022-04-11 11:14:17 UTC"/>
        <s v="2022-04-11 11:14:08 UTC"/>
        <s v="2022-04-11 11:13:46 UTC"/>
        <s v="2022-04-11 11:13:26 UTC"/>
        <s v="2022-04-11 11:13:00 UTC"/>
        <s v="2022-04-11 11:12:57 UTC"/>
        <s v="2022-04-11 11:12:55 UTC"/>
        <s v="2022-04-11 11:12:53 UTC"/>
        <s v="2022-04-11 11:12:51 UTC"/>
        <s v="2022-04-11 11:12:42 UTC"/>
        <s v="2022-04-11 11:12:39 UTC"/>
        <s v="2022-04-11 11:12:37 UTC"/>
        <s v="2022-04-11 11:12:34 UTC"/>
        <s v="2022-04-11 11:11:58 UTC"/>
        <s v="2022-04-11 11:11:53 UTC"/>
        <s v="2022-04-11 11:11:49 UTC"/>
        <s v="2022-04-11 11:11:45 UTC"/>
        <s v="2022-04-11 11:11:41 UTC"/>
        <s v="2022-04-11 11:11:38 UTC"/>
        <s v="2022-04-11 11:11:36 UTC"/>
        <s v="2022-04-11 11:11:35 UTC"/>
        <s v="2022-04-11 11:11:33 UTC"/>
        <s v="2022-04-11 11:11:31 UTC"/>
        <s v="2022-04-11 11:11:29 UTC"/>
        <s v="2022-04-11 11:11:28 UTC"/>
        <s v="2022-04-11 11:11:26 UTC"/>
        <s v="2022-04-11 11:11:24 UTC"/>
        <s v="2022-04-11 11:11:23 UTC"/>
        <s v="2022-04-11 11:11:21 UTC"/>
        <s v="2022-04-11 11:11:20 UTC"/>
        <s v="2022-04-11 11:11:15 UTC"/>
        <s v="2022-04-11 11:11:13 UTC"/>
        <s v="2022-04-11 11:11:10 UTC"/>
        <s v="2022-04-11 11:11:09 UTC"/>
        <s v="2022-04-11 11:11:07 UTC"/>
        <s v="2022-04-11 11:11:05 UTC"/>
        <s v="2022-04-11 11:11:04 UTC"/>
        <s v="2022-04-11 11:11:02 UTC"/>
        <s v="2022-04-11 11:11:01 UTC"/>
        <s v="2022-04-11 11:11:00 UTC"/>
        <s v="2022-04-11 11:10:58 UTC"/>
        <s v="2022-04-11 11:10:54 UTC"/>
        <s v="2022-04-11 11:10:49 UTC"/>
        <s v="2022-04-11 11:08:28 UTC"/>
        <s v="2022-04-11 11:08:22 UTC"/>
        <s v="2022-04-11 11:08:14 UTC"/>
        <s v="2022-04-11 11:08:12 UTC"/>
        <s v="2022-04-11 11:08:07 UTC"/>
        <s v="2022-04-11 11:08:01 UTC"/>
        <s v="2022-04-11 11:07:50 UTC"/>
        <s v="2022-04-11 11:07:45 UTC"/>
        <s v="2022-04-11 11:07:42 UTC"/>
        <s v="2022-04-11 11:07:13 UTC"/>
        <s v="2022-04-11 11:06:51 UTC"/>
        <s v="2022-04-11 11:06:47 UTC"/>
        <s v="2022-04-11 11:06:35 UTC"/>
        <s v="2022-04-11 11:06:30 UTC"/>
        <s v="2022-04-11 11:06:26 UTC"/>
        <s v="2022-04-11 11:06:13 UTC"/>
        <s v="2022-04-11 11:04:51 UTC"/>
        <s v="2022-04-11 11:04:41 UTC"/>
        <s v="2022-04-11 11:04:37 UTC"/>
        <s v="2022-04-11 11:04:32 UTC"/>
        <s v="2022-04-11 11:04:28 UTC"/>
        <s v="2022-04-11 11:04:20 UTC"/>
        <s v="2022-04-11 11:04:19 UTC"/>
        <s v="2022-04-11 11:04:17 UTC"/>
        <s v="2022-04-11 11:04:16 UTC"/>
        <s v="2022-04-11 11:04:14 UTC"/>
        <s v="2022-04-11 11:04:13 UTC"/>
        <s v="2022-04-11 11:04:11 UTC"/>
        <s v="2022-04-11 11:04:03 UTC"/>
        <s v="2022-04-11 11:03:48 UTC"/>
        <s v="2022-04-11 11:03:45 UTC"/>
        <s v="2022-04-11 11:03:42 UTC"/>
        <s v="2022-04-11 11:03:35 UTC"/>
        <s v="2022-04-11 11:03:29 UTC"/>
        <s v="2022-04-11 11:03:26 UTC"/>
        <s v="2022-04-11 11:03:23 UTC"/>
        <s v="2022-04-11 11:03:20 UTC"/>
        <s v="2022-04-11 11:03:18 UTC"/>
        <s v="2022-04-11 11:03:17 UTC"/>
        <s v="2022-04-11 11:03:13 UTC"/>
        <s v="2022-04-11 11:02:33 UTC"/>
        <s v="2022-04-11 11:02:31 UTC"/>
        <s v="2022-04-11 11:02:11 UTC"/>
        <s v="2022-04-11 11:02:08 UTC"/>
        <s v="2022-04-11 11:02:05 UTC"/>
        <s v="2022-04-11 11:01:57 UTC"/>
        <s v="2022-04-11 11:00:44 UTC"/>
        <s v="2022-04-11 10:59:46 UTC"/>
        <s v="2022-04-11 10:58:41 UTC"/>
        <s v="2022-04-11 10:54:10 UTC"/>
        <s v="2022-04-11 10:53:57 UTC"/>
        <s v="2022-04-11 10:53:50 UTC"/>
        <s v="2022-04-11 10:53:43 UTC"/>
        <s v="2022-04-11 10:53:41 UTC"/>
        <s v="2022-04-11 10:53:40 UTC"/>
        <s v="2022-04-11 10:53:31 UTC"/>
        <s v="2022-04-11 10:53:14 UTC"/>
        <s v="2022-04-11 10:52:25 UTC"/>
        <s v="2022-04-11 10:52:16 UTC"/>
        <s v="2022-04-11 10:52:11 UTC"/>
        <s v="2022-04-11 10:51:45 UTC"/>
        <s v="2022-04-11 10:51:29 UTC"/>
        <s v="2022-04-11 10:51:04 UTC"/>
        <s v="2022-04-11 10:50:37 UTC"/>
        <s v="2022-04-11 10:50:34 UTC"/>
        <s v="2022-04-11 10:50:31 UTC"/>
        <s v="2022-04-11 10:49:26 UTC"/>
        <s v="2022-04-11 10:49:20 UTC"/>
        <s v="2022-04-11 10:48:39 UTC"/>
        <s v="2022-04-11 10:48:12 UTC"/>
        <s v="2022-04-11 10:47:29 UTC"/>
        <s v="2022-04-11 10:47:04 UTC"/>
        <s v="2022-04-11 10:46:49 UTC"/>
        <s v="2022-04-11 10:45:50 UTC"/>
        <s v="2022-04-11 10:45:49 UTC"/>
        <s v="2022-04-11 10:45:47 UTC"/>
        <s v="2022-04-11 10:45:44 UTC"/>
        <s v="2022-04-11 10:45:38 UTC"/>
        <s v="2022-04-11 10:45:32 UTC"/>
        <s v="2022-04-11 10:45:27 UTC"/>
        <s v="2022-04-11 10:45:26 UTC"/>
        <s v="2022-04-11 10:45:16 UTC"/>
        <s v="2022-04-11 10:45:10 UTC"/>
        <s v="2022-04-11 10:45:08 UTC"/>
        <s v="2022-04-11 10:45:06 UTC"/>
        <s v="2022-04-11 10:45:04 UTC"/>
        <s v="2022-04-11 10:44:20 UTC"/>
        <s v="2022-04-11 10:44:19 UTC"/>
        <s v="2022-04-11 10:44:09 UTC"/>
        <s v="2022-04-11 10:43:50 UTC"/>
        <s v="2022-04-11 10:43:23 UTC"/>
        <s v="2022-04-11 10:43:07 UTC"/>
        <s v="2022-04-11 10:43:05 UTC"/>
        <s v="2022-04-11 10:42:43 UTC"/>
        <s v="2022-04-11 10:42:39 UTC"/>
        <s v="2022-04-11 10:42:22 UTC"/>
        <s v="2022-04-11 10:41:45 UTC"/>
        <s v="2022-04-11 10:41:42 UTC"/>
        <s v="2022-04-11 10:41:41 UTC"/>
        <s v="2022-04-11 10:41:31 UTC"/>
        <s v="2022-04-11 10:41:30 UTC"/>
        <s v="2022-04-11 10:41:29 UTC"/>
        <s v="2022-04-11 10:41:28 UTC"/>
        <s v="2022-04-11 10:41:26 UTC"/>
        <s v="2022-04-11 10:41:25 UTC"/>
        <s v="2022-04-11 10:41:09 UTC"/>
        <s v="2022-04-11 10:41:06 UTC"/>
        <s v="2022-04-11 10:40:58 UTC"/>
        <s v="2022-04-11 10:40:52 UTC"/>
        <s v="2022-04-11 10:40:51 UTC"/>
        <s v="2022-04-11 10:40:49 UTC"/>
        <s v="2022-04-11 10:40:48 UTC"/>
        <s v="2022-04-11 10:40:42 UTC"/>
        <s v="2022-04-11 10:40:40 UTC"/>
        <s v="2022-04-11 10:40:39 UTC"/>
        <s v="2022-04-11 10:40:37 UTC"/>
        <s v="2022-04-11 10:40:34 UTC"/>
        <s v="2022-04-11 10:40:26 UTC"/>
        <s v="2022-04-11 10:39:55 UTC"/>
        <s v="2022-04-11 10:39:25 UTC"/>
        <s v="2022-04-11 10:39:17 UTC"/>
        <s v="2022-04-11 10:38:56 UTC"/>
        <s v="2022-04-11 10:38:27 UTC"/>
        <s v="2022-04-11 10:38:25 UTC"/>
        <s v="2022-04-11 10:37:46 UTC"/>
        <s v="2022-04-11 10:37:44 UTC"/>
        <s v="2022-04-11 10:37:43 UTC"/>
        <s v="2022-04-11 10:37:41 UTC"/>
        <s v="2022-04-11 10:37:37 UTC"/>
        <s v="2022-04-11 10:37:36 UTC"/>
        <s v="2022-04-11 10:37:34 UTC"/>
        <s v="2022-04-11 10:37:33 UTC"/>
        <s v="2022-04-11 10:37:29 UTC"/>
        <s v="2022-04-11 10:37:27 UTC"/>
        <s v="2022-04-11 10:37:25 UTC"/>
        <s v="2022-04-11 10:37:16 UTC"/>
        <s v="2022-04-11 10:37:10 UTC"/>
        <s v="2022-04-11 10:36:14 UTC"/>
        <s v="2022-04-11 10:36:09 UTC"/>
        <s v="2022-04-11 10:35:43 UTC"/>
        <s v="2022-04-11 10:35:36 UTC"/>
        <s v="2022-04-11 10:34:25 UTC"/>
        <s v="2022-04-11 10:34:23 UTC"/>
        <s v="2022-04-11 10:34:20 UTC"/>
        <s v="2022-04-11 10:34:18 UTC"/>
        <s v="2022-04-11 10:34:15 UTC"/>
        <s v="2022-04-11 10:33:49 UTC"/>
        <s v="2022-04-11 10:33:40 UTC"/>
        <s v="2022-04-11 10:33:37 UTC"/>
        <s v="2022-04-11 10:33:07 UTC"/>
        <s v="2022-04-11 10:33:01 UTC"/>
        <s v="2022-04-11 10:33:00 UTC"/>
        <s v="2022-04-11 10:32:57 UTC"/>
        <s v="2022-04-11 10:32:54 UTC"/>
        <s v="2022-04-11 10:32:52 UTC"/>
        <s v="2022-04-11 10:32:47 UTC"/>
        <s v="2022-04-11 10:32:45 UTC"/>
        <s v="2022-04-11 10:32:38 UTC"/>
        <s v="2022-04-11 10:32:34 UTC"/>
        <s v="2022-04-11 10:32:31 UTC"/>
        <s v="2022-04-11 10:32:28 UTC"/>
        <s v="2022-04-11 10:32:25 UTC"/>
        <s v="2022-04-11 10:32:13 UTC"/>
        <s v="2022-04-11 10:31:25 UTC"/>
        <s v="2022-04-11 10:31:24 UTC"/>
        <s v="2022-04-11 10:31:03 UTC"/>
        <s v="2022-04-11 10:30:14 UTC"/>
        <s v="2022-04-11 10:30:11 UTC"/>
        <s v="2022-04-11 10:30:07 UTC"/>
        <s v="2022-04-11 10:30:04 UTC"/>
        <s v="2022-04-11 10:30:02 UTC"/>
        <s v="2022-04-11 10:29:56 UTC"/>
        <s v="2022-04-11 10:29:51 UTC"/>
        <s v="2022-04-11 10:29:45 UTC"/>
        <s v="2022-04-11 10:29:41 UTC"/>
        <s v="2022-04-11 10:29:37 UTC"/>
        <s v="2022-04-11 10:29:31 UTC"/>
        <s v="2022-04-11 10:29:30 UTC"/>
        <s v="2022-04-11 10:28:45 UTC"/>
        <s v="2022-04-11 10:28:27 UTC"/>
        <s v="2022-04-11 10:28:22 UTC"/>
        <s v="2022-04-11 10:28:19 UTC"/>
        <s v="2022-04-11 10:28:01 UTC"/>
        <s v="2022-04-11 10:27:32 UTC"/>
        <s v="2022-04-11 10:27:20 UTC"/>
        <s v="2022-04-11 10:27:02 UTC"/>
        <s v="2022-04-11 10:27:00 UTC"/>
        <s v="2022-04-11 10:26:53 UTC"/>
        <s v="2022-04-11 10:26:50 UTC"/>
        <s v="2022-04-11 10:26:42 UTC"/>
        <s v="2022-04-11 10:26:12 UTC"/>
        <s v="2022-04-11 10:26:10 UTC"/>
        <s v="2022-04-11 10:25:58 UTC"/>
        <s v="2022-04-11 10:25:31 UTC"/>
        <s v="2022-04-11 10:25:18 UTC"/>
        <s v="2022-04-11 10:25:14 UTC"/>
        <s v="2022-04-11 10:24:48 UTC"/>
        <s v="2022-04-11 10:24:41 UTC"/>
        <s v="2022-04-11 10:24:37 UTC"/>
        <s v="2022-04-11 10:24:29 UTC"/>
        <s v="2022-04-11 10:24:27 UTC"/>
        <s v="2022-04-11 10:24:26 UTC"/>
        <s v="2022-04-11 10:24:22 UTC"/>
        <s v="2022-04-11 10:24:17 UTC"/>
        <s v="2022-04-11 10:24:11 UTC"/>
        <s v="2022-04-11 10:23:58 UTC"/>
        <s v="2022-04-11 10:23:55 UTC"/>
        <s v="2022-04-11 10:23:52 UTC"/>
        <s v="2022-04-11 10:22:39 UTC"/>
        <s v="2022-04-11 10:22:13 UTC"/>
        <s v="2022-04-11 10:22:12 UTC"/>
        <s v="2022-04-11 10:22:08 UTC"/>
        <s v="2022-04-11 10:22:07 UTC"/>
        <s v="2022-04-11 10:22:06 UTC"/>
        <s v="2022-04-11 10:22:05 UTC"/>
        <s v="2022-04-11 10:22:02 UTC"/>
        <s v="2022-04-11 10:22:01 UTC"/>
        <s v="2022-04-11 10:21:56 UTC"/>
        <s v="2022-04-11 10:21:34 UTC"/>
        <s v="2022-04-11 10:21:30 UTC"/>
        <s v="2022-04-11 10:21:28 UTC"/>
        <s v="2022-04-11 10:21:19 UTC"/>
        <s v="2022-04-11 10:21:16 UTC"/>
        <s v="2022-04-11 10:21:14 UTC"/>
        <s v="2022-04-11 10:21:05 UTC"/>
        <s v="2022-04-11 10:21:03 UTC"/>
        <s v="2022-04-11 10:20:50 UTC"/>
        <s v="2022-04-11 10:20:47 UTC"/>
        <s v="2022-04-11 10:20:32 UTC"/>
        <s v="2022-04-11 10:20:29 UTC"/>
        <s v="2022-04-11 10:20:25 UTC"/>
        <s v="2022-04-11 10:20:23 UTC"/>
        <s v="2022-04-11 10:20:21 UTC"/>
        <s v="2022-04-11 10:20:19 UTC"/>
        <s v="2022-04-11 10:20:15 UTC"/>
        <s v="2022-04-11 10:20:02 UTC"/>
        <s v="2022-04-11 10:19:57 UTC"/>
        <s v="2022-04-11 10:19:56 UTC"/>
        <s v="2022-04-11 10:19:55 UTC"/>
        <s v="2022-04-11 10:19:53 UTC"/>
        <s v="2022-04-11 10:19:52 UTC"/>
        <s v="2022-04-11 10:19:51 UTC"/>
        <s v="2022-04-11 10:19:43 UTC"/>
        <s v="2022-04-11 10:19:42 UTC"/>
        <s v="2022-04-11 10:19:40 UTC"/>
        <s v="2022-04-11 10:19:38 UTC"/>
        <s v="2022-04-11 10:19:34 UTC"/>
        <s v="2022-04-11 10:19:32 UTC"/>
        <s v="2022-04-11 10:19:30 UTC"/>
        <s v="2022-04-11 10:19:28 UTC"/>
        <s v="2022-04-11 10:18:57 UTC"/>
        <s v="2022-04-11 10:18:49 UTC"/>
        <s v="2022-04-11 10:18:44 UTC"/>
        <s v="2022-04-11 10:18:38 UTC"/>
        <s v="2022-04-11 10:18:36 UTC"/>
        <s v="2022-04-11 10:18:32 UTC"/>
        <s v="2022-04-11 10:18:30 UTC"/>
        <s v="2022-04-11 10:18:28 UTC"/>
        <s v="2022-04-11 10:18:27 UTC"/>
        <s v="2022-04-11 10:18:24 UTC"/>
        <s v="2022-04-11 10:18:23 UTC"/>
        <s v="2022-04-11 10:18:22 UTC"/>
        <s v="2022-04-11 10:18:18 UTC"/>
        <s v="2022-04-11 10:18:09 UTC"/>
        <s v="2022-04-11 10:17:31 UTC"/>
        <s v="2022-04-11 10:17:26 UTC"/>
        <s v="2022-04-11 10:17:25 UTC"/>
        <s v="2022-04-11 10:16:49 UTC"/>
        <s v="2022-04-11 10:16:40 UTC"/>
        <s v="2022-04-11 10:16:38 UTC"/>
        <s v="2022-04-11 10:16:37 UTC"/>
        <s v="2022-04-11 10:16:33 UTC"/>
        <s v="2022-04-11 10:16:32 UTC"/>
        <s v="2022-04-11 10:16:19 UTC"/>
        <s v="2022-04-11 10:16:18 UTC"/>
        <s v="2022-04-11 10:16:16 UTC"/>
        <s v="2022-04-11 10:16:13 UTC"/>
        <s v="2022-04-11 10:16:11 UTC"/>
        <s v="2022-04-11 10:16:09 UTC"/>
        <s v="2022-04-11 10:16:06 UTC"/>
        <s v="2022-04-11 10:16:05 UTC"/>
        <s v="2022-04-11 10:16:04 UTC"/>
        <s v="2022-04-11 10:16:00 UTC"/>
        <s v="2022-04-11 10:15:52 UTC"/>
        <s v="2022-04-11 10:15:44 UTC"/>
        <s v="2022-04-11 10:15:25 UTC"/>
        <s v="2022-04-11 10:14:36 UTC"/>
        <s v="2022-04-11 10:14:30 UTC"/>
        <s v="2022-04-11 10:14:26 UTC"/>
        <s v="2022-04-11 10:14:25 UTC"/>
        <s v="2022-04-11 10:14:24 UTC"/>
        <s v="2022-04-11 10:14:08 UTC"/>
        <s v="2022-04-11 10:13:33 UTC"/>
        <s v="2022-04-11 10:11:42 UTC"/>
        <s v="2022-04-11 10:11:05 UTC"/>
        <s v="2022-04-11 10:11:00 UTC"/>
        <s v="2022-04-11 10:10:53 UTC"/>
        <s v="2022-04-11 10:10:45 UTC"/>
        <s v="2022-04-11 10:10:39 UTC"/>
        <s v="2022-04-11 10:10:28 UTC"/>
        <s v="2022-04-11 10:10:26 UTC"/>
        <s v="2022-04-11 10:10:20 UTC"/>
        <s v="2022-04-11 10:10:18 UTC"/>
        <s v="2022-04-11 10:10:17 UTC"/>
        <s v="2022-04-11 10:10:14 UTC"/>
        <s v="2022-04-11 10:10:08 UTC"/>
        <s v="2022-04-11 10:10:04 UTC"/>
        <s v="2022-04-11 10:10:02 UTC"/>
        <s v="2022-04-11 10:09:59 UTC"/>
        <s v="2022-04-11 10:09:55 UTC"/>
        <s v="2022-04-11 10:09:31 UTC"/>
        <s v="2022-04-11 10:08:43 UTC"/>
        <s v="2022-04-11 10:08:37 UTC"/>
        <s v="2022-04-11 10:08:28 UTC"/>
        <s v="2022-04-11 10:08:24 UTC"/>
        <s v="2022-04-11 10:08:11 UTC"/>
        <s v="2022-04-11 10:06:38 UTC"/>
        <s v="2022-04-11 10:06:36 UTC"/>
        <s v="2022-04-11 10:06:31 UTC"/>
        <s v="2022-04-11 10:06:29 UTC"/>
        <s v="2022-04-11 10:06:06 UTC"/>
        <s v="2022-04-11 10:05:33 UTC"/>
        <s v="2022-04-11 10:05:03 UTC"/>
        <s v="2022-04-11 10:05:00 UTC"/>
        <s v="2022-04-11 10:04:58 UTC"/>
        <s v="2022-04-11 10:04:30 UTC"/>
        <s v="2022-04-11 10:04:27 UTC"/>
        <s v="2022-04-11 10:04:25 UTC"/>
        <s v="2022-04-11 10:04:22 UTC"/>
        <s v="2022-04-11 10:04:10 UTC"/>
        <s v="2022-04-11 10:04:06 UTC"/>
        <s v="2022-04-11 10:03:34 UTC"/>
        <s v="2022-04-11 10:03:02 UTC"/>
        <s v="2022-04-11 10:02:59 UTC"/>
        <s v="2022-04-11 10:02:56 UTC"/>
        <s v="2022-04-11 10:02:53 UTC"/>
        <s v="2022-04-11 10:02:51 UTC"/>
        <s v="2022-04-11 10:02:49 UTC"/>
        <s v="2022-04-11 10:02:43 UTC"/>
        <s v="2022-04-11 10:02:22 UTC"/>
        <s v="2022-04-11 10:02:21 UTC"/>
        <s v="2022-04-11 10:02:20 UTC"/>
        <s v="2022-04-11 10:02:19 UTC"/>
        <s v="2022-04-11 10:02:17 UTC"/>
        <s v="2022-04-11 10:02:16 UTC"/>
        <s v="2022-04-11 10:02:15 UTC"/>
        <s v="2022-04-11 10:02:13 UTC"/>
        <s v="2022-04-11 10:02:08 UTC"/>
        <s v="2022-04-11 10:02:06 UTC"/>
        <s v="2022-04-11 10:01:29 UTC"/>
        <s v="2022-04-11 10:01:11 UTC"/>
        <s v="2022-04-11 10:01:08 UTC"/>
        <s v="2022-04-11 10:01:02 UTC"/>
        <s v="2022-04-11 10:00:58 UTC"/>
        <s v="2022-04-11 10:00:54 UTC"/>
        <s v="2022-04-11 10:00:49 UTC"/>
        <s v="2022-04-11 10:00:46 UTC"/>
        <s v="2022-04-11 09:58:06 UTC"/>
        <s v="2022-04-11 09:57:15 UTC"/>
        <s v="2022-04-11 09:56:51 UTC"/>
        <s v="2022-04-11 09:56:45 UTC"/>
        <s v="2022-04-11 09:56:18 UTC"/>
        <s v="2022-04-11 09:56:05 UTC"/>
        <s v="2022-04-11 09:53:00 UTC"/>
        <s v="2022-04-11 09:52:08 UTC"/>
        <s v="2022-04-11 09:52:06 UTC"/>
        <s v="2022-04-11 09:52:02 UTC"/>
        <s v="2022-04-11 09:51:28 UTC"/>
        <s v="2022-04-11 09:51:07 UTC"/>
        <s v="2022-04-11 09:51:02 UTC"/>
        <s v="2022-04-11 09:50:48 UTC"/>
        <s v="2022-04-11 09:50:40 UTC"/>
        <s v="2022-04-11 09:50:04 UTC"/>
        <s v="2022-04-11 09:49:54 UTC"/>
        <s v="2022-04-11 09:49:46 UTC"/>
        <s v="2022-04-11 09:49:38 UTC"/>
        <s v="2022-04-11 09:49:29 UTC"/>
        <s v="2022-04-11 09:49:08 UTC"/>
        <s v="2022-04-11 09:48:47 UTC"/>
        <s v="2022-04-11 09:48:45 UTC"/>
        <s v="2022-04-11 09:48:44 UTC"/>
        <s v="2022-04-11 09:48:41 UTC"/>
        <s v="2022-04-11 09:48:39 UTC"/>
        <s v="2022-04-11 09:48:32 UTC"/>
        <s v="2022-04-11 09:48:10 UTC"/>
        <s v="2022-04-11 09:48:06 UTC"/>
        <s v="2022-04-11 09:48:05 UTC"/>
        <s v="2022-04-11 09:48:00 UTC"/>
        <s v="2022-04-11 09:47:46 UTC"/>
        <s v="2022-04-11 09:47:44 UTC"/>
        <s v="2022-04-11 09:47:43 UTC"/>
        <s v="2022-04-11 09:47:41 UTC"/>
        <s v="2022-04-11 09:47:30 UTC"/>
        <s v="2022-04-11 09:47:28 UTC"/>
        <s v="2022-04-11 09:47:27 UTC"/>
        <s v="2022-04-11 09:47:26 UTC"/>
        <s v="2022-04-11 09:47:24 UTC"/>
        <s v="2022-04-11 09:47:22 UTC"/>
        <s v="2022-04-11 09:47:20 UTC"/>
        <s v="2022-04-11 09:47:19 UTC"/>
        <s v="2022-04-11 09:47:18 UTC"/>
        <s v="2022-04-11 09:47:17 UTC"/>
        <s v="2022-04-11 09:47:13 UTC"/>
        <s v="2022-04-11 09:47:11 UTC"/>
        <s v="2022-04-11 09:47:09 UTC"/>
        <s v="2022-04-11 09:47:07 UTC"/>
        <s v="2022-04-11 09:46:49 UTC"/>
        <s v="2022-04-11 09:46:47 UTC"/>
        <s v="2022-04-11 09:46:46 UTC"/>
        <s v="2022-04-11 09:46:45 UTC"/>
        <s v="2022-04-11 09:46:43 UTC"/>
        <s v="2022-04-11 09:46:42 UTC"/>
        <s v="2022-04-11 09:46:40 UTC"/>
        <s v="2022-04-11 09:46:36 UTC"/>
        <s v="2022-04-11 09:46:08 UTC"/>
        <s v="2022-04-11 09:46:06 UTC"/>
        <s v="2022-04-11 09:46:02 UTC"/>
        <s v="2022-04-11 09:45:39 UTC"/>
        <s v="2022-04-11 09:45:34 UTC"/>
        <s v="2022-04-11 09:43:23 UTC"/>
        <s v="2022-04-11 09:42:33 UTC"/>
        <s v="2022-04-11 09:41:45 UTC"/>
        <s v="2022-04-11 09:41:37 UTC"/>
        <s v="2022-04-11 09:41:35 UTC"/>
        <s v="2022-04-11 09:41:32 UTC"/>
        <s v="2022-04-11 09:41:28 UTC"/>
        <s v="2022-04-11 09:41:27 UTC"/>
        <s v="2022-04-11 09:41:22 UTC"/>
        <s v="2022-04-11 09:41:20 UTC"/>
        <s v="2022-04-11 09:41:17 UTC"/>
        <s v="2022-04-11 09:41:16 UTC"/>
        <s v="2022-04-11 09:41:11 UTC"/>
        <s v="2022-04-11 09:41:08 UTC"/>
        <s v="2022-04-11 09:41:06 UTC"/>
        <s v="2022-04-11 09:41:05 UTC"/>
        <s v="2022-04-11 09:41:01 UTC"/>
        <s v="2022-04-11 09:40:55 UTC"/>
        <s v="2022-04-11 09:40:53 UTC"/>
        <s v="2022-04-11 09:40:51 UTC"/>
        <s v="2022-04-11 09:40:50 UTC"/>
        <s v="2022-04-11 09:40:46 UTC"/>
        <s v="2022-04-11 09:40:38 UTC"/>
        <s v="2022-04-11 09:40:33 UTC"/>
        <s v="2022-04-11 09:40:30 UTC"/>
        <s v="2022-04-11 09:40:06 UTC"/>
        <s v="2022-04-11 09:40:05 UTC"/>
        <s v="2022-04-11 09:39:59 UTC"/>
        <s v="2022-04-11 09:39:32 UTC"/>
        <s v="2022-04-11 09:39:28 UTC"/>
        <s v="2022-04-11 09:38:59 UTC"/>
        <s v="2022-04-11 09:38:29 UTC"/>
        <s v="2022-04-11 09:38:24 UTC"/>
        <s v="2022-04-11 09:36:09 UTC"/>
        <s v="2022-04-11 09:35:58 UTC"/>
        <s v="2022-04-11 09:35:49 UTC"/>
        <s v="2022-04-11 09:35:41 UTC"/>
        <s v="2022-04-11 09:35:21 UTC"/>
        <s v="2022-04-11 09:35:07 UTC"/>
        <s v="2022-04-11 09:35:05 UTC"/>
        <s v="2022-04-11 09:34:35 UTC"/>
        <s v="2022-04-11 09:34:29 UTC"/>
        <s v="2022-04-11 09:34:26 UTC"/>
        <s v="2022-04-11 09:34:07 UTC"/>
        <s v="2022-04-11 09:34:05 UTC"/>
        <s v="2022-04-11 09:34:04 UTC"/>
        <s v="2022-04-11 09:34:02 UTC"/>
        <s v="2022-04-11 09:34:00 UTC"/>
        <s v="2022-04-11 09:33:58 UTC"/>
        <s v="2022-04-11 09:33:56 UTC"/>
        <s v="2022-04-11 09:33:52 UTC"/>
        <s v="2022-04-11 09:33:50 UTC"/>
        <s v="2022-04-11 09:33:47 UTC"/>
        <s v="2022-04-11 09:33:37 UTC"/>
        <s v="2022-04-11 09:33:30 UTC"/>
        <s v="2022-04-11 09:33:27 UTC"/>
        <s v="2022-04-11 09:33:26 UTC"/>
        <s v="2022-04-11 09:33:15 UTC"/>
        <s v="2022-04-11 09:31:44 UTC"/>
        <s v="2022-04-11 09:31:25 UTC"/>
        <s v="2022-04-11 09:31:20 UTC"/>
        <s v="2022-04-11 09:30:50 UTC"/>
        <s v="2022-04-11 09:30:46 UTC"/>
        <s v="2022-04-11 09:30:41 UTC"/>
        <s v="2022-04-11 09:30:39 UTC"/>
        <s v="2022-04-11 09:30:31 UTC"/>
        <s v="2022-04-11 09:30:28 UTC"/>
        <s v="2022-04-11 09:30:25 UTC"/>
        <s v="2022-04-11 09:29:32 UTC"/>
        <s v="2022-04-11 09:29:26 UTC"/>
        <s v="2022-04-11 09:29:07 UTC"/>
        <s v="2022-04-11 09:29:02 UTC"/>
        <s v="2022-04-11 09:29:01 UTC"/>
        <s v="2022-04-11 09:29:00 UTC"/>
        <s v="2022-04-11 09:28:59 UTC"/>
        <s v="2022-04-11 09:28:58 UTC"/>
        <s v="2022-04-11 09:28:57 UTC"/>
        <s v="2022-04-11 09:28:56 UTC"/>
        <s v="2022-04-11 09:28:55 UTC"/>
        <s v="2022-04-11 09:28:53 UTC"/>
        <s v="2022-04-11 09:28:49 UTC"/>
        <s v="2022-04-11 09:28:43 UTC"/>
        <s v="2022-04-11 09:28:42 UTC"/>
        <s v="2022-04-11 09:28:38 UTC"/>
        <s v="2022-04-11 09:28:24 UTC"/>
        <s v="2022-04-11 09:28:22 UTC"/>
        <s v="2022-04-11 09:28:20 UTC"/>
        <s v="2022-04-11 09:28:19 UTC"/>
        <s v="2022-04-11 09:28:12 UTC"/>
        <s v="2022-04-11 09:28:10 UTC"/>
        <s v="2022-04-11 09:28:07 UTC"/>
        <s v="2022-04-11 09:28:06 UTC"/>
        <s v="2022-04-11 09:28:04 UTC"/>
        <s v="2022-04-11 09:28:01 UTC"/>
        <s v="2022-04-11 09:27:58 UTC"/>
        <s v="2022-04-11 09:27:54 UTC"/>
        <s v="2022-04-11 09:27:48 UTC"/>
        <s v="2022-04-11 09:27:46 UTC"/>
        <s v="2022-04-11 09:27:42 UTC"/>
        <s v="2022-04-11 09:27:38 UTC"/>
        <s v="2022-04-11 09:27:34 UTC"/>
        <s v="2022-04-11 09:27:28 UTC"/>
        <s v="2022-04-11 09:26:55 UTC"/>
        <s v="2022-04-11 09:26:53 UTC"/>
        <s v="2022-04-11 09:26:50 UTC"/>
        <s v="2022-04-11 09:26:48 UTC"/>
        <s v="2022-04-11 09:26:41 UTC"/>
        <s v="2022-04-11 09:26:38 UTC"/>
        <s v="2022-04-11 09:26:35 UTC"/>
        <s v="2022-04-11 09:26:19 UTC"/>
        <s v="2022-04-11 09:26:02 UTC"/>
        <s v="2022-04-11 09:25:09 UTC"/>
        <s v="2022-04-11 09:24:27 UTC"/>
        <s v="2022-04-11 09:23:55 UTC"/>
        <s v="2022-04-11 09:23:43 UTC"/>
        <s v="2022-04-11 09:23:42 UTC"/>
        <s v="2022-04-11 09:23:40 UTC"/>
        <s v="2022-04-11 09:23:39 UTC"/>
        <s v="2022-04-11 09:23:38 UTC"/>
        <s v="2022-04-11 09:23:34 UTC"/>
        <s v="2022-04-11 09:23:26 UTC"/>
        <s v="2022-04-11 09:22:43 UTC"/>
        <s v="2022-04-11 09:22:41 UTC"/>
        <s v="2022-04-11 09:22:40 UTC"/>
        <s v="2022-04-11 09:22:38 UTC"/>
        <s v="2022-04-11 09:22:37 UTC"/>
        <s v="2022-04-11 09:22:36 UTC"/>
        <s v="2022-04-11 09:22:34 UTC"/>
        <s v="2022-04-11 09:22:33 UTC"/>
        <s v="2022-04-11 09:22:32 UTC"/>
        <s v="2022-04-11 09:22:30 UTC"/>
        <s v="2022-04-11 09:22:29 UTC"/>
        <s v="2022-04-11 09:22:28 UTC"/>
        <s v="2022-04-11 09:22:26 UTC"/>
        <s v="2022-04-11 09:22:25 UTC"/>
        <s v="2022-04-11 09:22:24 UTC"/>
        <s v="2022-04-11 09:22:22 UTC"/>
        <s v="2022-04-11 09:22:20 UTC"/>
        <s v="2022-04-11 09:22:18 UTC"/>
        <s v="2022-04-11 09:22:17 UTC"/>
        <s v="2022-04-11 09:22:13 UTC"/>
        <s v="2022-04-11 09:22:12 UTC"/>
        <s v="2022-04-11 09:22:11 UTC"/>
        <s v="2022-04-11 09:22:10 UTC"/>
        <s v="2022-04-11 09:21:52 UTC"/>
        <s v="2022-04-11 09:21:20 UTC"/>
        <s v="2022-04-11 09:20:10 UTC"/>
        <s v="2022-04-11 09:20:08 UTC"/>
        <s v="2022-04-11 09:19:45 UTC"/>
        <s v="2022-04-11 09:18:38 UTC"/>
        <s v="2022-04-11 09:18:27 UTC"/>
        <s v="2022-04-11 09:18:24 UTC"/>
        <s v="2022-04-11 09:18:16 UTC"/>
        <s v="2022-04-11 09:18:10 UTC"/>
        <s v="2022-04-11 09:17:50 UTC"/>
        <s v="2022-04-11 09:16:54 UTC"/>
        <s v="2022-04-11 09:15:07 UTC"/>
        <s v="2022-04-11 09:15:05 UTC"/>
        <s v="2022-04-11 09:15:03 UTC"/>
        <s v="2022-04-11 09:15:01 UTC"/>
        <s v="2022-04-11 09:14:59 UTC"/>
        <s v="2022-04-11 09:14:57 UTC"/>
        <s v="2022-04-11 09:14:53 UTC"/>
        <s v="2022-04-11 09:14:50 UTC"/>
        <s v="2022-04-11 09:14:46 UTC"/>
        <s v="2022-04-11 09:14:41 UTC"/>
        <s v="2022-04-11 09:14:37 UTC"/>
        <s v="2022-04-11 09:14:28 UTC"/>
        <s v="2022-04-11 09:13:43 UTC"/>
        <s v="2022-04-11 09:13:21 UTC"/>
        <s v="2022-04-11 09:13:17 UTC"/>
        <s v="2022-04-11 09:11:29 UTC"/>
        <s v="2022-04-11 09:11:09 UTC"/>
        <s v="2022-04-11 09:10:54 UTC"/>
        <s v="2022-04-11 09:10:40 UTC"/>
        <s v="2022-04-11 09:10:37 UTC"/>
        <s v="2022-04-11 09:10:19 UTC"/>
        <s v="2022-04-11 09:10:13 UTC"/>
        <s v="2022-04-11 09:10:11 UTC"/>
        <s v="2022-04-11 09:10:07 UTC"/>
        <s v="2022-04-11 09:09:32 UTC"/>
        <s v="2022-04-11 09:09:23 UTC"/>
        <s v="2022-04-11 09:08:33 UTC"/>
        <s v="2022-04-11 09:07:54 UTC"/>
        <s v="2022-04-11 09:07:46 UTC"/>
        <s v="2022-04-11 09:07:24 UTC"/>
        <s v="2022-04-11 09:07:21 UTC"/>
        <s v="2022-04-11 09:07:18 UTC"/>
        <s v="2022-04-11 09:07:16 UTC"/>
        <s v="2022-04-11 09:07:12 UTC"/>
        <s v="2022-04-11 09:07:06 UTC"/>
        <s v="2022-04-11 09:07:01 UTC"/>
        <s v="2022-04-11 09:06:56 UTC"/>
        <s v="2022-04-11 09:06:51 UTC"/>
        <s v="2022-04-11 09:06:48 UTC"/>
        <s v="2022-04-11 09:06:46 UTC"/>
        <s v="2022-04-11 09:06:45 UTC"/>
        <s v="2022-04-11 09:06:44 UTC"/>
        <s v="2022-04-11 09:06:43 UTC"/>
        <s v="2022-04-11 09:06:42 UTC"/>
        <s v="2022-04-11 09:06:41 UTC"/>
        <s v="2022-04-11 09:06:40 UTC"/>
        <s v="2022-04-11 09:06:34 UTC"/>
        <s v="2022-04-11 09:06:11 UTC"/>
        <s v="2022-04-11 09:05:00 UTC"/>
        <s v="2022-04-11 09:04:57 UTC"/>
        <s v="2022-04-11 09:04:56 UTC"/>
        <s v="2022-04-11 09:04:54 UTC"/>
        <s v="2022-04-11 09:04:06 UTC"/>
        <s v="2022-04-11 09:03:40 UTC"/>
        <s v="2022-04-11 09:03:20 UTC"/>
        <s v="2022-04-11 09:03:17 UTC"/>
        <s v="2022-04-11 09:02:36 UTC"/>
        <s v="2022-04-11 09:02:26 UTC"/>
        <s v="2022-04-11 09:02:18 UTC"/>
        <s v="2022-04-11 09:02:11 UTC"/>
        <s v="2022-04-11 09:02:05 UTC"/>
        <s v="2022-04-11 09:02:02 UTC"/>
        <s v="2022-04-11 09:01:54 UTC"/>
        <s v="2022-04-11 09:01:41 UTC"/>
        <s v="2022-04-11 09:00:52 UTC"/>
        <s v="2022-04-11 09:00:40 UTC"/>
        <s v="2022-04-11 09:00:37 UTC"/>
        <s v="2022-04-11 09:00:15 UTC"/>
        <s v="2022-04-11 09:00:09 UTC"/>
        <s v="2022-04-11 08:59:59 UTC"/>
        <s v="2022-04-11 08:59:43 UTC"/>
        <s v="2022-04-11 08:59:41 UTC"/>
        <s v="2022-04-11 08:59:38 UTC"/>
        <s v="2022-04-11 08:59:35 UTC"/>
        <s v="2022-04-11 08:59:33 UTC"/>
        <s v="2022-04-11 08:59:31 UTC"/>
        <s v="2022-04-11 08:59:29 UTC"/>
        <s v="2022-04-11 08:59:23 UTC"/>
        <s v="2022-04-11 08:59:20 UTC"/>
        <s v="2022-04-11 08:59:17 UTC"/>
        <s v="2022-04-11 08:59:15 UTC"/>
        <s v="2022-04-11 08:59:11 UTC"/>
        <s v="2022-04-11 08:59:09 UTC"/>
        <s v="2022-04-11 08:59:05 UTC"/>
        <s v="2022-04-11 08:59:02 UTC"/>
        <s v="2022-04-11 08:59:00 UTC"/>
        <s v="2022-04-11 08:58:59 UTC"/>
        <s v="2022-04-11 08:58:56 UTC"/>
        <s v="2022-04-11 08:58:53 UTC"/>
        <s v="2022-04-11 08:58:50 UTC"/>
        <s v="2022-04-11 08:58:17 UTC"/>
        <s v="2022-04-11 08:57:57 UTC"/>
        <s v="2022-04-11 08:57:35 UTC"/>
        <s v="2022-04-11 08:57:33 UTC"/>
        <s v="2022-04-11 08:57:29 UTC"/>
        <s v="2022-04-11 08:57:26 UTC"/>
        <s v="2022-04-11 08:57:21 UTC"/>
        <s v="2022-04-11 08:57:08 UTC"/>
        <s v="2022-04-11 08:56:03 UTC"/>
        <s v="2022-04-11 08:55:59 UTC"/>
        <s v="2022-04-11 08:55:28 UTC"/>
        <s v="2022-04-11 08:55:26 UTC"/>
        <s v="2022-04-11 08:55:24 UTC"/>
        <s v="2022-04-11 08:55:23 UTC"/>
        <s v="2022-04-11 08:54:46 UTC"/>
        <s v="2022-04-11 08:53:49 UTC"/>
        <s v="2022-04-11 08:53:43 UTC"/>
        <s v="2022-04-11 08:53:23 UTC"/>
        <s v="2022-04-11 08:53:14 UTC"/>
        <s v="2022-04-11 08:52:51 UTC"/>
        <s v="2022-04-11 08:52:45 UTC"/>
        <s v="2022-04-11 08:52:24 UTC"/>
        <s v="2022-04-11 08:52:03 UTC"/>
        <s v="2022-04-11 08:52:02 UTC"/>
        <s v="2022-04-11 08:51:59 UTC"/>
        <s v="2022-04-11 08:51:14 UTC"/>
        <s v="2022-04-11 08:51:12 UTC"/>
        <s v="2022-04-11 08:51:03 UTC"/>
        <s v="2022-04-11 08:51:00 UTC"/>
        <s v="2022-04-11 08:50:58 UTC"/>
        <s v="2022-04-11 08:50:52 UTC"/>
        <s v="2022-04-11 08:49:40 UTC"/>
        <s v="2022-04-11 08:49:36 UTC"/>
        <s v="2022-04-11 08:49:34 UTC"/>
        <s v="2022-04-11 08:49:30 UTC"/>
        <s v="2022-04-11 08:49:27 UTC"/>
        <s v="2022-04-11 08:49:24 UTC"/>
        <s v="2022-04-11 08:49:23 UTC"/>
        <s v="2022-04-11 08:49:20 UTC"/>
        <s v="2022-04-11 08:49:13 UTC"/>
        <s v="2022-04-11 08:49:11 UTC"/>
        <s v="2022-04-11 08:49:03 UTC"/>
        <s v="2022-04-11 08:49:00 UTC"/>
        <s v="2022-04-11 08:48:58 UTC"/>
        <s v="2022-04-11 08:48:56 UTC"/>
        <s v="2022-04-11 08:48:51 UTC"/>
        <s v="2022-04-11 08:48:40 UTC"/>
        <s v="2022-04-11 08:48:35 UTC"/>
        <s v="2022-04-11 08:48:09 UTC"/>
        <s v="2022-04-11 08:47:59 UTC"/>
        <s v="2022-04-11 08:47:48 UTC"/>
        <s v="2022-04-11 08:47:44 UTC"/>
        <s v="2022-04-11 08:47:40 UTC"/>
        <s v="2022-04-11 08:47:39 UTC"/>
        <s v="2022-04-11 08:47:22 UTC"/>
        <s v="2022-04-11 08:47:17 UTC"/>
        <s v="2022-04-11 08:47:12 UTC"/>
        <s v="2022-04-11 08:47:07 UTC"/>
        <s v="2022-04-11 08:46:56 UTC"/>
        <s v="2022-04-11 08:46:46 UTC"/>
        <s v="2022-04-11 08:46:41 UTC"/>
        <s v="2022-04-11 08:46:09 UTC"/>
        <s v="2022-04-11 08:45:48 UTC"/>
        <s v="2022-04-11 08:45:46 UTC"/>
        <s v="2022-04-11 08:45:41 UTC"/>
        <s v="2022-04-11 08:45:37 UTC"/>
        <s v="2022-04-11 08:45:33 UTC"/>
        <s v="2022-04-11 08:45:32 UTC"/>
        <s v="2022-04-11 08:45:30 UTC"/>
        <s v="2022-04-11 08:45:06 UTC"/>
        <s v="2022-04-11 08:45:04 UTC"/>
        <s v="2022-04-11 08:45:03 UTC"/>
        <s v="2022-04-11 08:44:49 UTC"/>
        <s v="2022-04-11 08:44:07 UTC"/>
        <s v="2022-04-11 08:43:57 UTC"/>
        <s v="2022-04-11 08:43:37 UTC"/>
        <s v="2022-04-11 08:43:02 UTC"/>
        <s v="2022-04-11 08:42:58 UTC"/>
        <s v="2022-04-11 08:42:57 UTC"/>
        <s v="2022-04-11 08:42:49 UTC"/>
        <s v="2022-04-11 08:42:43 UTC"/>
        <s v="2022-04-11 08:41:05 UTC"/>
        <s v="2022-04-11 08:41:02 UTC"/>
        <s v="2022-04-11 08:40:57 UTC"/>
        <s v="2022-04-11 08:40:54 UTC"/>
        <s v="2022-04-11 08:40:41 UTC"/>
        <s v="2022-04-11 08:40:40 UTC"/>
        <s v="2022-04-11 08:40:29 UTC"/>
        <s v="2022-04-11 08:40:08 UTC"/>
        <s v="2022-04-11 08:40:06 UTC"/>
        <s v="2022-04-11 08:39:56 UTC"/>
        <s v="2022-04-11 08:39:53 UTC"/>
        <s v="2022-04-11 08:39:51 UTC"/>
        <s v="2022-04-11 08:39:48 UTC"/>
        <s v="2022-04-11 08:39:43 UTC"/>
        <s v="2022-04-11 08:39:40 UTC"/>
        <s v="2022-04-11 08:39:37 UTC"/>
        <s v="2022-04-11 08:39:31 UTC"/>
        <s v="2022-04-11 08:39:21 UTC"/>
        <s v="2022-04-11 08:39:18 UTC"/>
        <s v="2022-04-11 08:39:13 UTC"/>
        <s v="2022-04-11 08:39:09 UTC"/>
        <s v="2022-04-11 08:38:58 UTC"/>
        <s v="2022-04-11 08:38:48 UTC"/>
        <s v="2022-04-11 08:38:42 UTC"/>
        <s v="2022-04-11 08:38:36 UTC"/>
        <s v="2022-04-11 08:37:56 UTC"/>
        <s v="2022-04-11 08:37:55 UTC"/>
        <s v="2022-04-11 08:37:52 UTC"/>
        <s v="2022-04-11 08:37:48 UTC"/>
        <s v="2022-04-11 08:37:47 UTC"/>
        <s v="2022-04-11 08:37:44 UTC"/>
        <s v="2022-04-11 08:37:35 UTC"/>
        <s v="2022-04-11 08:37:32 UTC"/>
        <s v="2022-04-11 08:37:28 UTC"/>
        <s v="2022-04-11 08:37:24 UTC"/>
        <s v="2022-04-11 08:37:18 UTC"/>
        <s v="2022-04-11 08:37:16 UTC"/>
        <s v="2022-04-11 08:37:13 UTC"/>
        <s v="2022-04-11 08:36:58 UTC"/>
        <s v="2022-04-11 08:36:57 UTC"/>
        <s v="2022-04-11 08:36:54 UTC"/>
        <s v="2022-04-11 08:36:50 UTC"/>
        <s v="2022-04-11 08:36:48 UTC"/>
        <s v="2022-04-11 08:36:46 UTC"/>
        <s v="2022-04-11 08:36:45 UTC"/>
        <s v="2022-04-11 08:36:41 UTC"/>
        <s v="2022-04-11 08:36:37 UTC"/>
        <s v="2022-04-11 08:36:31 UTC"/>
        <s v="2022-04-11 08:36:28 UTC"/>
        <s v="2022-04-11 08:36:27 UTC"/>
        <s v="2022-04-11 08:36:25 UTC"/>
        <s v="2022-04-11 08:36:24 UTC"/>
        <s v="2022-04-11 08:36:22 UTC"/>
        <s v="2022-04-11 08:36:21 UTC"/>
        <s v="2022-04-11 08:36:17 UTC"/>
        <s v="2022-04-11 08:36:16 UTC"/>
        <s v="2022-04-11 08:36:14 UTC"/>
        <s v="2022-04-11 08:36:13 UTC"/>
        <s v="2022-04-11 08:36:11 UTC"/>
        <s v="2022-04-11 08:36:10 UTC"/>
        <s v="2022-04-11 08:36:08 UTC"/>
        <s v="2022-04-11 08:36:07 UTC"/>
        <s v="2022-04-11 08:36:05 UTC"/>
        <s v="2022-04-11 08:35:55 UTC"/>
        <s v="2022-04-11 08:35:51 UTC"/>
        <s v="2022-04-11 08:35:49 UTC"/>
        <s v="2022-04-11 08:35:40 UTC"/>
        <s v="2022-04-11 08:35:21 UTC"/>
        <s v="2022-04-11 08:35:19 UTC"/>
        <s v="2022-04-11 08:35:18 UTC"/>
        <s v="2022-04-11 08:35:17 UTC"/>
        <s v="2022-04-11 08:35:15 UTC"/>
        <s v="2022-04-11 08:35:13 UTC"/>
        <s v="2022-04-11 08:35:11 UTC"/>
        <s v="2022-04-11 08:35:06 UTC"/>
        <s v="2022-04-11 08:34:34 UTC"/>
        <s v="2022-04-11 08:34:32 UTC"/>
        <s v="2022-04-11 08:34:27 UTC"/>
        <s v="2022-04-11 08:34:24 UTC"/>
        <s v="2022-04-11 08:34:13 UTC"/>
        <s v="2022-04-11 08:33:55 UTC"/>
        <s v="2022-04-11 08:33:35 UTC"/>
        <s v="2022-04-11 08:32:14 UTC"/>
        <s v="2022-04-11 08:32:13 UTC"/>
        <s v="2022-04-11 08:32:11 UTC"/>
        <s v="2022-04-11 08:32:10 UTC"/>
        <s v="2022-04-11 08:32:08 UTC"/>
        <s v="2022-04-11 08:32:07 UTC"/>
        <s v="2022-04-11 08:32:06 UTC"/>
        <s v="2022-04-11 08:32:05 UTC"/>
        <s v="2022-04-11 08:32:04 UTC"/>
        <s v="2022-04-11 08:32:03 UTC"/>
        <s v="2022-04-11 08:32:02 UTC"/>
        <s v="2022-04-11 08:32:00 UTC"/>
        <s v="2022-04-11 08:31:56 UTC"/>
        <s v="2022-04-11 08:31:54 UTC"/>
        <s v="2022-04-11 08:31:52 UTC"/>
        <s v="2022-04-11 08:31:45 UTC"/>
        <s v="2022-04-11 08:31:43 UTC"/>
        <s v="2022-04-11 08:31:35 UTC"/>
        <s v="2022-04-11 08:31:19 UTC"/>
        <s v="2022-04-11 08:31:09 UTC"/>
        <s v="2022-04-11 08:31:08 UTC"/>
        <s v="2022-04-11 08:31:06 UTC"/>
        <s v="2022-04-11 08:31:05 UTC"/>
        <s v="2022-04-11 08:31:04 UTC"/>
        <s v="2022-04-11 08:31:03 UTC"/>
        <s v="2022-04-11 08:31:02 UTC"/>
        <s v="2022-04-11 08:31:00 UTC"/>
        <s v="2022-04-11 08:30:59 UTC"/>
        <s v="2022-04-11 08:30:58 UTC"/>
        <s v="2022-04-11 08:30:57 UTC"/>
        <s v="2022-04-11 08:30:55 UTC"/>
        <s v="2022-04-11 08:30:54 UTC"/>
        <s v="2022-04-11 08:30:52 UTC"/>
        <s v="2022-04-11 08:30:49 UTC"/>
        <s v="2022-04-11 08:30:47 UTC"/>
        <s v="2022-04-11 08:30:27 UTC"/>
        <s v="2022-04-11 08:30:14 UTC"/>
        <s v="2022-04-11 08:30:10 UTC"/>
        <s v="2022-04-11 08:30:00 UTC"/>
        <s v="2022-04-11 08:29:53 UTC"/>
        <s v="2022-04-11 08:29:47 UTC"/>
        <s v="2022-04-11 08:29:46 UTC"/>
        <s v="2022-04-11 08:29:42 UTC"/>
        <s v="2022-04-11 08:29:40 UTC"/>
        <s v="2022-04-11 08:29:35 UTC"/>
        <s v="2022-04-11 08:29:29 UTC"/>
        <s v="2022-04-11 08:29:21 UTC"/>
        <s v="2022-04-11 08:28:02 UTC"/>
        <s v="2022-04-11 08:27:58 UTC"/>
        <s v="2022-04-11 08:27:49 UTC"/>
        <s v="2022-04-11 08:27:45 UTC"/>
        <s v="2022-04-11 08:27:43 UTC"/>
        <s v="2022-04-11 08:27:41 UTC"/>
        <s v="2022-04-11 08:27:40 UTC"/>
        <s v="2022-04-11 08:27:38 UTC"/>
        <s v="2022-04-11 08:27:37 UTC"/>
        <s v="2022-04-11 08:27:33 UTC"/>
        <s v="2022-04-11 08:27:31 UTC"/>
        <s v="2022-04-11 08:27:27 UTC"/>
        <s v="2022-04-11 08:27:25 UTC"/>
        <s v="2022-04-11 08:27:23 UTC"/>
        <s v="2022-04-11 08:27:15 UTC"/>
        <s v="2022-04-11 08:26:49 UTC"/>
        <s v="2022-04-11 08:26:47 UTC"/>
        <s v="2022-04-11 08:26:46 UTC"/>
        <s v="2022-04-11 08:26:44 UTC"/>
        <s v="2022-04-11 08:26:43 UTC"/>
        <s v="2022-04-11 08:26:40 UTC"/>
        <s v="2022-04-11 08:26:14 UTC"/>
        <s v="2022-04-11 08:26:06 UTC"/>
        <s v="2022-04-11 08:26:04 UTC"/>
        <s v="2022-04-11 08:26:03 UTC"/>
        <s v="2022-04-11 08:26:01 UTC"/>
        <s v="2022-04-11 08:25:46 UTC"/>
        <s v="2022-04-11 08:25:42 UTC"/>
        <s v="2022-04-11 08:25:36 UTC"/>
        <s v="2022-04-11 08:25:32 UTC"/>
        <s v="2022-04-11 08:25:27 UTC"/>
        <s v="2022-04-11 08:25:19 UTC"/>
        <s v="2022-04-11 08:25:15 UTC"/>
        <s v="2022-04-11 08:25:11 UTC"/>
        <s v="2022-04-11 08:25:09 UTC"/>
        <s v="2022-04-11 08:25:08 UTC"/>
        <s v="2022-04-11 08:25:06 UTC"/>
        <s v="2022-04-11 08:25:05 UTC"/>
        <s v="2022-04-11 08:25:01 UTC"/>
        <s v="2022-04-11 08:25:00 UTC"/>
        <s v="2022-04-11 08:24:59 UTC"/>
        <s v="2022-04-11 08:24:57 UTC"/>
        <s v="2022-04-11 08:24:55 UTC"/>
        <s v="2022-04-11 08:24:53 UTC"/>
        <s v="2022-04-11 08:24:50 UTC"/>
        <s v="2022-04-11 08:24:48 UTC"/>
        <s v="2022-04-11 08:24:46 UTC"/>
        <s v="2022-04-11 08:24:43 UTC"/>
        <s v="2022-04-11 08:24:40 UTC"/>
        <s v="2022-04-11 08:24:37 UTC"/>
        <s v="2022-04-11 08:24:28 UTC"/>
        <s v="2022-04-11 08:24:25 UTC"/>
        <s v="2022-04-11 08:24:22 UTC"/>
        <s v="2022-04-11 08:24:18 UTC"/>
        <s v="2022-04-11 08:24:16 UTC"/>
        <s v="2022-04-11 08:24:11 UTC"/>
        <s v="2022-04-11 08:24:09 UTC"/>
        <s v="2022-04-11 08:24:04 UTC"/>
        <s v="2022-04-11 08:23:43 UTC"/>
        <s v="2022-04-11 08:23:25 UTC"/>
        <s v="2022-04-11 08:23:03 UTC"/>
        <s v="2022-04-11 08:23:02 UTC"/>
        <s v="2022-04-11 08:22:57 UTC"/>
        <s v="2022-04-11 08:22:47 UTC"/>
        <s v="2022-04-11 08:22:46 UTC"/>
        <s v="2022-04-11 08:22:45 UTC"/>
        <s v="2022-04-11 08:22:41 UTC"/>
        <s v="2022-04-11 08:22:38 UTC"/>
        <s v="2022-04-11 08:22:37 UTC"/>
        <s v="2022-04-11 08:22:32 UTC"/>
        <s v="2022-04-11 08:22:30 UTC"/>
        <s v="2022-04-11 08:22:29 UTC"/>
        <s v="2022-04-11 08:22:26 UTC"/>
        <s v="2022-04-11 08:22:24 UTC"/>
        <s v="2022-04-11 08:22:22 UTC"/>
        <s v="2022-04-11 08:22:14 UTC"/>
        <s v="2022-04-11 08:22:09 UTC"/>
        <s v="2022-04-11 08:22:07 UTC"/>
        <s v="2022-04-11 08:22:02 UTC"/>
        <s v="2022-04-11 08:22:00 UTC"/>
        <s v="2022-04-11 08:21:58 UTC"/>
        <s v="2022-04-11 08:21:45 UTC"/>
        <s v="2022-04-11 08:21:21 UTC"/>
        <s v="2022-04-11 08:20:43 UTC"/>
        <s v="2022-04-11 08:20:38 UTC"/>
        <s v="2022-04-11 08:20:37 UTC"/>
        <s v="2022-04-11 08:20:34 UTC"/>
        <s v="2022-04-11 08:20:33 UTC"/>
        <s v="2022-04-11 08:20:30 UTC"/>
        <s v="2022-04-11 08:20:29 UTC"/>
        <s v="2022-04-11 08:20:27 UTC"/>
        <s v="2022-04-11 08:20:24 UTC"/>
        <s v="2022-04-11 08:20:22 UTC"/>
        <s v="2022-04-11 08:20:20 UTC"/>
        <s v="2022-04-11 08:20:13 UTC"/>
        <s v="2022-04-11 08:20:11 UTC"/>
        <s v="2022-04-11 08:20:10 UTC"/>
        <s v="2022-04-11 08:19:29 UTC"/>
        <s v="2022-04-11 08:19:14 UTC"/>
        <s v="2022-04-11 08:19:12 UTC"/>
        <s v="2022-04-11 08:19:08 UTC"/>
        <s v="2022-04-11 08:19:00 UTC"/>
        <s v="2022-04-11 08:18:51 UTC"/>
        <s v="2022-04-11 08:18:48 UTC"/>
        <s v="2022-04-11 08:18:45 UTC"/>
        <s v="2022-04-11 08:18:44 UTC"/>
        <s v="2022-04-11 08:18:22 UTC"/>
        <s v="2022-04-11 08:18:21 UTC"/>
        <s v="2022-04-11 08:18:19 UTC"/>
        <s v="2022-04-11 08:18:14 UTC"/>
        <s v="2022-04-11 08:17:43 UTC"/>
        <s v="2022-04-11 08:17:32 UTC"/>
        <s v="2022-04-11 08:17:29 UTC"/>
        <s v="2022-04-11 08:17:22 UTC"/>
        <s v="2022-04-11 08:17:21 UTC"/>
        <s v="2022-04-11 08:17:17 UTC"/>
        <s v="2022-04-11 08:17:15 UTC"/>
        <s v="2022-04-11 08:17:09 UTC"/>
        <s v="2022-04-11 08:17:07 UTC"/>
        <s v="2022-04-11 08:17:02 UTC"/>
        <s v="2022-04-11 08:17:01 UTC"/>
        <s v="2022-04-11 08:16:59 UTC"/>
        <s v="2022-04-11 08:16:58 UTC"/>
        <s v="2022-04-11 08:16:53 UTC"/>
        <s v="2022-04-11 08:16:52 UTC"/>
        <s v="2022-04-11 08:16:45 UTC"/>
        <s v="2022-04-11 08:16:41 UTC"/>
        <s v="2022-04-11 08:16:36 UTC"/>
        <s v="2022-04-11 08:15:43 UTC"/>
        <s v="2022-04-11 08:15:36 UTC"/>
        <s v="2022-04-11 08:15:33 UTC"/>
        <s v="2022-04-11 08:15:30 UTC"/>
        <s v="2022-04-11 08:15:26 UTC"/>
        <s v="2022-04-11 08:15:25 UTC"/>
        <s v="2022-04-11 08:15:23 UTC"/>
        <s v="2022-04-11 08:15:20 UTC"/>
        <s v="2022-04-11 08:15:16 UTC"/>
        <s v="2022-04-11 08:15:15 UTC"/>
        <s v="2022-04-11 08:15:14 UTC"/>
        <s v="2022-04-11 08:15:10 UTC"/>
        <s v="2022-04-11 08:15:08 UTC"/>
        <s v="2022-04-11 08:15:04 UTC"/>
        <s v="2022-04-11 08:15:01 UTC"/>
        <s v="2022-04-11 08:14:59 UTC"/>
        <s v="2022-04-11 08:14:57 UTC"/>
        <s v="2022-04-11 08:14:55 UTC"/>
        <s v="2022-04-11 08:14:51 UTC"/>
        <s v="2022-04-11 08:14:50 UTC"/>
        <s v="2022-04-11 08:14:48 UTC"/>
        <s v="2022-04-11 08:14:44 UTC"/>
        <s v="2022-04-11 08:14:41 UTC"/>
        <s v="2022-04-11 08:14:39 UTC"/>
        <s v="2022-04-11 08:14:37 UTC"/>
        <s v="2022-04-11 08:14:30 UTC"/>
        <s v="2022-04-11 08:14:23 UTC"/>
        <s v="2022-04-11 08:14:20 UTC"/>
        <s v="2022-04-11 08:14:15 UTC"/>
        <s v="2022-04-11 08:14:13 UTC"/>
        <s v="2022-04-11 08:14:08 UTC"/>
        <s v="2022-04-11 08:14:03 UTC"/>
        <s v="2022-04-11 08:14:02 UTC"/>
        <s v="2022-04-11 08:13:59 UTC"/>
        <s v="2022-04-11 08:13:53 UTC"/>
        <s v="2022-04-11 08:13:43 UTC"/>
        <s v="2022-04-11 08:13:39 UTC"/>
        <s v="2022-04-11 08:13:32 UTC"/>
        <s v="2022-04-11 08:13:30 UTC"/>
        <s v="2022-04-11 08:13:28 UTC"/>
        <s v="2022-04-11 08:13:27 UTC"/>
        <s v="2022-04-11 08:13:24 UTC"/>
        <s v="2022-04-11 08:13:18 UTC"/>
        <s v="2022-04-11 08:13:10 UTC"/>
        <s v="2022-04-11 08:13:07 UTC"/>
        <s v="2022-04-11 08:13:05 UTC"/>
        <s v="2022-04-11 08:13:04 UTC"/>
        <s v="2022-04-11 08:13:02 UTC"/>
        <s v="2022-04-11 08:13:01 UTC"/>
        <s v="2022-04-11 08:12:58 UTC"/>
        <s v="2022-04-11 08:12:57 UTC"/>
        <s v="2022-04-11 08:12:51 UTC"/>
        <s v="2022-04-11 08:12:42 UTC"/>
        <s v="2022-04-11 08:12:41 UTC"/>
        <s v="2022-04-11 08:12:40 UTC"/>
        <s v="2022-04-11 08:12:37 UTC"/>
        <s v="2022-04-11 08:12:36 UTC"/>
        <s v="2022-04-11 08:12:25 UTC"/>
        <s v="2022-04-11 08:12:09 UTC"/>
        <s v="2022-04-11 08:11:50 UTC"/>
        <s v="2022-04-11 08:11:48 UTC"/>
        <s v="2022-04-11 08:11:43 UTC"/>
        <s v="2022-04-11 08:11:39 UTC"/>
        <s v="2022-04-11 08:11:36 UTC"/>
        <s v="2022-04-11 08:11:34 UTC"/>
        <s v="2022-04-11 08:11:32 UTC"/>
        <s v="2022-04-11 08:11:29 UTC"/>
        <s v="2022-04-11 08:11:25 UTC"/>
        <s v="2022-04-11 08:10:55 UTC"/>
        <s v="2022-04-11 08:10:46 UTC"/>
        <s v="2022-04-11 08:10:38 UTC"/>
        <s v="2022-04-11 08:10:34 UTC"/>
        <s v="2022-04-11 08:10:31 UTC"/>
        <s v="2022-04-11 08:10:30 UTC"/>
        <s v="2022-04-11 08:10:26 UTC"/>
        <s v="2022-04-11 08:10:25 UTC"/>
        <s v="2022-04-11 08:10:19 UTC"/>
        <s v="2022-04-11 08:10:17 UTC"/>
        <s v="2022-04-11 08:10:15 UTC"/>
        <s v="2022-04-11 08:10:13 UTC"/>
        <s v="2022-04-11 08:10:08 UTC"/>
        <s v="2022-04-11 08:10:05 UTC"/>
        <s v="2022-04-11 08:09:53 UTC"/>
        <s v="2022-04-11 08:09:51 UTC"/>
        <s v="2022-04-11 08:09:39 UTC"/>
        <s v="2022-04-11 08:09:38 UTC"/>
        <s v="2022-04-11 08:09:37 UTC"/>
        <s v="2022-04-11 08:09:34 UTC"/>
        <s v="2022-04-11 08:09:33 UTC"/>
        <s v="2022-04-11 08:09:32 UTC"/>
        <s v="2022-04-11 08:09:20 UTC"/>
        <s v="2022-04-11 08:09:13 UTC"/>
        <s v="2022-04-11 08:09:08 UTC"/>
        <s v="2022-04-11 08:09:06 UTC"/>
        <s v="2022-04-11 08:09:04 UTC"/>
        <s v="2022-04-11 08:09:02 UTC"/>
        <s v="2022-04-11 08:09:01 UTC"/>
        <s v="2022-04-11 08:08:57 UTC"/>
        <s v="2022-04-11 08:08:55 UTC"/>
        <s v="2022-04-11 08:08:52 UTC"/>
        <s v="2022-04-11 08:08:51 UTC"/>
        <s v="2022-04-11 08:08:49 UTC"/>
        <s v="2022-04-11 08:08:47 UTC"/>
        <s v="2022-04-11 08:08:46 UTC"/>
        <s v="2022-04-11 08:08:45 UTC"/>
        <s v="2022-04-11 08:08:43 UTC"/>
        <s v="2022-04-11 08:08:39 UTC"/>
        <s v="2022-04-11 08:08:30 UTC"/>
        <s v="2022-04-11 08:08:17 UTC"/>
        <s v="2022-04-11 08:08:10 UTC"/>
        <s v="2022-04-11 08:08:07 UTC"/>
        <s v="2022-04-11 08:08:05 UTC"/>
        <s v="2022-04-11 08:08:03 UTC"/>
        <s v="2022-04-11 08:08:01 UTC"/>
        <s v="2022-04-11 08:07:58 UTC"/>
        <s v="2022-04-11 08:07:57 UTC"/>
        <s v="2022-04-11 08:07:41 UTC"/>
        <s v="2022-04-11 08:07:24 UTC"/>
        <s v="2022-04-11 08:07:22 UTC"/>
        <s v="2022-04-11 08:07:20 UTC"/>
        <s v="2022-04-11 08:07:17 UTC"/>
        <s v="2022-04-11 08:07:06 UTC"/>
        <s v="2022-04-11 08:07:05 UTC"/>
        <s v="2022-04-11 08:07:04 UTC"/>
        <s v="2022-04-11 08:07:02 UTC"/>
        <s v="2022-04-11 08:07:01 UTC"/>
        <s v="2022-04-11 08:07:00 UTC"/>
        <s v="2022-04-11 08:06:59 UTC"/>
        <s v="2022-04-11 08:06:48 UTC"/>
        <s v="2022-04-11 08:06:45 UTC"/>
        <s v="2022-04-11 08:06:23 UTC"/>
        <s v="2022-04-11 08:06:21 UTC"/>
        <s v="2022-04-11 08:06:19 UTC"/>
        <s v="2022-04-11 08:06:15 UTC"/>
        <s v="2022-04-11 08:06:11 UTC"/>
        <s v="2022-04-11 08:06:04 UTC"/>
        <s v="2022-04-11 08:06:00 UTC"/>
        <s v="2022-04-11 08:05:56 UTC"/>
        <s v="2022-04-11 08:05:55 UTC"/>
        <s v="2022-04-11 08:05:51 UTC"/>
        <s v="2022-04-11 08:05:44 UTC"/>
        <s v="2022-04-11 08:05:30 UTC"/>
        <s v="2022-04-11 08:05:02 UTC"/>
        <s v="2022-04-11 08:04:55 UTC"/>
        <s v="2022-04-11 08:04:54 UTC"/>
        <s v="2022-04-11 08:04:50 UTC"/>
        <s v="2022-04-11 08:04:49 UTC"/>
        <s v="2022-04-11 08:04:47 UTC"/>
        <s v="2022-04-11 08:04:46 UTC"/>
        <s v="2022-04-11 08:04:44 UTC"/>
        <s v="2022-04-11 08:04:40 UTC"/>
        <s v="2022-04-11 08:04:25 UTC"/>
        <s v="2022-04-11 08:04:04 UTC"/>
        <s v="2022-04-11 08:03:56 UTC"/>
        <s v="2022-04-11 08:03:54 UTC"/>
        <s v="2022-04-11 08:03:36 UTC"/>
        <s v="2022-04-11 08:03:34 UTC"/>
        <s v="2022-04-11 08:03:32 UTC"/>
        <s v="2022-04-11 08:03:27 UTC"/>
        <s v="2022-04-11 08:03:26 UTC"/>
        <s v="2022-04-11 08:03:25 UTC"/>
        <s v="2022-04-11 08:03:24 UTC"/>
        <s v="2022-04-11 08:03:20 UTC"/>
        <s v="2022-04-11 08:03:18 UTC"/>
        <s v="2022-04-11 08:03:13 UTC"/>
        <s v="2022-04-11 08:03:01 UTC"/>
        <s v="2022-04-11 08:02:59 UTC"/>
        <s v="2022-04-11 08:02:55 UTC"/>
        <s v="2022-04-11 08:02:49 UTC"/>
        <s v="2022-04-11 08:02:31 UTC"/>
        <s v="2022-04-11 08:02:19 UTC"/>
        <s v="2022-04-11 08:02:18 UTC"/>
        <s v="2022-04-11 08:02:16 UTC"/>
        <s v="2022-04-11 08:02:13 UTC"/>
        <s v="2022-04-11 08:01:56 UTC"/>
        <s v="2022-04-11 08:01:54 UTC"/>
        <s v="2022-04-11 08:01:52 UTC"/>
        <s v="2022-04-11 08:01:50 UTC"/>
        <s v="2022-04-11 08:01:35 UTC"/>
        <s v="2022-04-11 08:01:33 UTC"/>
        <s v="2022-04-11 08:01:27 UTC"/>
        <s v="2022-04-11 08:00:51 UTC"/>
        <s v="2022-04-11 08:00:49 UTC"/>
        <s v="2022-04-11 08:00:46 UTC"/>
        <s v="2022-04-11 08:00:43 UTC"/>
        <s v="2022-04-11 08:00:36 UTC"/>
        <s v="2022-04-11 08:00:05 UTC"/>
        <s v="2022-04-11 08:00:00 UTC"/>
        <s v="2022-04-11 07:59:55 UTC"/>
        <s v="2022-04-11 07:59:50 UTC"/>
        <s v="2022-04-11 07:59:49 UTC"/>
        <s v="2022-04-11 07:59:44 UTC"/>
        <s v="2022-04-11 07:59:40 UTC"/>
        <s v="2022-04-11 07:59:09 UTC"/>
        <s v="2022-04-11 07:58:13 UTC"/>
        <s v="2022-04-11 07:58:04 UTC"/>
        <s v="2022-04-11 07:58:02 UTC"/>
        <s v="2022-04-11 07:58:00 UTC"/>
        <s v="2022-04-11 07:57:57 UTC"/>
        <s v="2022-04-11 07:57:50 UTC"/>
        <s v="2022-04-11 07:57:03 UTC"/>
        <s v="2022-04-11 07:56:57 UTC"/>
        <s v="2022-04-11 07:56:50 UTC"/>
        <s v="2022-04-11 07:56:49 UTC"/>
        <s v="2022-04-11 07:56:47 UTC"/>
        <s v="2022-04-11 07:56:46 UTC"/>
        <s v="2022-04-11 07:56:42 UTC"/>
        <s v="2022-04-11 07:56:38 UTC"/>
        <s v="2022-04-11 07:56:37 UTC"/>
        <s v="2022-04-11 07:56:34 UTC"/>
        <s v="2022-04-11 07:56:26 UTC"/>
        <s v="2022-04-11 07:56:24 UTC"/>
        <s v="2022-04-11 07:55:55 UTC"/>
        <s v="2022-04-11 07:55:44 UTC"/>
        <s v="2022-04-11 07:55:24 UTC"/>
        <s v="2022-04-11 07:55:16 UTC"/>
        <s v="2022-04-11 07:55:14 UTC"/>
        <s v="2022-04-11 07:55:03 UTC"/>
        <s v="2022-04-11 07:54:59 UTC"/>
        <s v="2022-04-11 07:54:54 UTC"/>
        <s v="2022-04-11 07:54:38 UTC"/>
        <s v="2022-04-11 07:54:32 UTC"/>
        <s v="2022-04-11 07:54:13 UTC"/>
        <s v="2022-04-11 07:54:12 UTC"/>
        <s v="2022-04-11 07:54:09 UTC"/>
        <s v="2022-04-11 07:54:04 UTC"/>
        <s v="2022-04-11 07:53:59 UTC"/>
        <s v="2022-04-11 07:53:55 UTC"/>
        <s v="2022-04-11 07:53:53 UTC"/>
        <s v="2022-04-11 07:53:50 UTC"/>
        <s v="2022-04-11 07:53:48 UTC"/>
        <s v="2022-04-11 07:53:42 UTC"/>
        <s v="2022-04-11 07:53:41 UTC"/>
        <s v="2022-04-11 07:53:15 UTC"/>
        <s v="2022-04-11 07:53:10 UTC"/>
        <s v="2022-04-11 07:52:46 UTC"/>
        <s v="2022-04-11 07:52:44 UTC"/>
        <s v="2022-04-11 07:52:30 UTC"/>
        <s v="2022-04-11 07:52:28 UTC"/>
        <s v="2022-04-11 07:52:25 UTC"/>
        <s v="2022-04-11 07:52:23 UTC"/>
        <s v="2022-04-11 07:51:41 UTC"/>
        <s v="2022-04-11 07:51:39 UTC"/>
        <s v="2022-04-11 07:51:36 UTC"/>
        <s v="2022-04-11 07:51:20 UTC"/>
        <s v="2022-04-11 07:51:01 UTC"/>
        <s v="2022-04-11 07:50:20 UTC"/>
        <s v="2022-04-11 07:50:16 UTC"/>
        <s v="2022-04-11 07:50:14 UTC"/>
        <s v="2022-04-11 07:50:12 UTC"/>
        <s v="2022-04-11 07:50:11 UTC"/>
        <s v="2022-04-11 07:50:10 UTC"/>
        <s v="2022-04-11 07:50:09 UTC"/>
        <s v="2022-04-11 07:50:08 UTC"/>
        <s v="2022-04-11 07:50:07 UTC"/>
        <s v="2022-04-11 07:50:06 UTC"/>
        <s v="2022-04-11 07:50:05 UTC"/>
        <s v="2022-04-11 07:50:04 UTC"/>
        <s v="2022-04-11 07:50:03 UTC"/>
        <s v="2022-04-11 07:50:02 UTC"/>
        <s v="2022-04-11 07:50:01 UTC"/>
        <s v="2022-04-11 07:50:00 UTC"/>
        <s v="2022-04-11 07:49:59 UTC"/>
        <s v="2022-04-11 07:49:58 UTC"/>
        <s v="2022-04-11 07:49:57 UTC"/>
        <s v="2022-04-11 07:49:56 UTC"/>
        <s v="2022-04-11 07:49:55 UTC"/>
        <s v="2022-04-11 07:49:54 UTC"/>
        <s v="2022-04-11 07:49:53 UTC"/>
        <s v="2022-04-11 07:49:49 UTC"/>
        <s v="2022-04-11 07:49:47 UTC"/>
        <s v="2022-04-11 07:49:44 UTC"/>
        <s v="2022-04-11 07:49:42 UTC"/>
        <s v="2022-04-11 07:49:40 UTC"/>
        <s v="2022-04-11 07:49:37 UTC"/>
        <s v="2022-04-11 07:49:35 UTC"/>
        <s v="2022-04-11 07:49:34 UTC"/>
        <s v="2022-04-11 07:49:33 UTC"/>
        <s v="2022-04-11 07:49:29 UTC"/>
        <s v="2022-04-11 07:49:23 UTC"/>
        <s v="2022-04-11 07:49:17 UTC"/>
        <s v="2022-04-11 07:48:56 UTC"/>
        <s v="2022-04-11 07:48:46 UTC"/>
        <s v="2022-04-11 07:48:45 UTC"/>
        <s v="2022-04-11 07:48:44 UTC"/>
        <s v="2022-04-11 07:48:43 UTC"/>
        <s v="2022-04-11 07:48:42 UTC"/>
        <s v="2022-04-11 07:48:40 UTC"/>
        <s v="2022-04-11 07:48:39 UTC"/>
        <s v="2022-04-11 07:48:38 UTC"/>
        <s v="2022-04-11 07:48:36 UTC"/>
        <s v="2022-04-11 07:48:35 UTC"/>
        <s v="2022-04-11 07:48:33 UTC"/>
        <s v="2022-04-11 07:48:32 UTC"/>
        <s v="2022-04-11 07:48:31 UTC"/>
        <s v="2022-04-11 07:48:30 UTC"/>
        <s v="2022-04-11 07:48:22 UTC"/>
        <s v="2022-04-11 07:48:21 UTC"/>
        <s v="2022-04-11 07:48:14 UTC"/>
        <s v="2022-04-11 07:47:56 UTC"/>
        <s v="2022-04-11 07:47:44 UTC"/>
        <s v="2022-04-11 07:47:37 UTC"/>
        <s v="2022-04-11 07:47:02 UTC"/>
        <s v="2022-04-11 07:47:00 UTC"/>
        <s v="2022-04-11 07:46:58 UTC"/>
        <s v="2022-04-11 07:46:46 UTC"/>
        <s v="2022-04-11 07:46:45 UTC"/>
        <s v="2022-04-11 07:45:59 UTC"/>
        <s v="2022-04-11 07:45:51 UTC"/>
        <s v="2022-04-11 07:45:44 UTC"/>
        <s v="2022-04-11 07:45:38 UTC"/>
        <s v="2022-04-11 07:45:16 UTC"/>
        <s v="2022-04-11 07:45:14 UTC"/>
        <s v="2022-04-11 07:45:13 UTC"/>
        <s v="2022-04-11 07:45:12 UTC"/>
        <s v="2022-04-11 07:45:11 UTC"/>
        <s v="2022-04-11 07:45:10 UTC"/>
        <s v="2022-04-11 07:45:08 UTC"/>
        <s v="2022-04-11 07:45:07 UTC"/>
        <s v="2022-04-11 07:45:05 UTC"/>
        <s v="2022-04-11 07:45:04 UTC"/>
        <s v="2022-04-11 07:45:03 UTC"/>
        <s v="2022-04-11 07:45:02 UTC"/>
        <s v="2022-04-11 07:45:01 UTC"/>
        <s v="2022-04-11 07:45:00 UTC"/>
        <s v="2022-04-11 07:44:59 UTC"/>
        <s v="2022-04-11 07:44:57 UTC"/>
        <s v="2022-04-11 07:44:55 UTC"/>
        <s v="2022-04-11 07:44:53 UTC"/>
        <s v="2022-04-11 07:44:50 UTC"/>
        <s v="2022-04-11 07:44:49 UTC"/>
        <s v="2022-04-11 07:44:47 UTC"/>
        <s v="2022-04-11 07:44:46 UTC"/>
        <s v="2022-04-11 07:44:43 UTC"/>
        <s v="2022-04-11 07:44:40 UTC"/>
        <s v="2022-04-11 07:44:30 UTC"/>
        <s v="2022-04-11 07:43:28 UTC"/>
        <s v="2022-04-11 07:43:20 UTC"/>
        <s v="2022-04-11 07:43:13 UTC"/>
        <s v="2022-04-11 07:42:53 UTC"/>
        <s v="2022-04-11 07:42:51 UTC"/>
        <s v="2022-04-11 07:42:50 UTC"/>
        <s v="2022-04-11 07:42:13 UTC"/>
        <s v="2022-04-11 07:42:06 UTC"/>
        <s v="2022-04-11 07:41:59 UTC"/>
        <s v="2022-04-11 07:41:56 UTC"/>
        <s v="2022-04-11 07:41:54 UTC"/>
        <s v="2022-04-11 07:41:51 UTC"/>
        <s v="2022-04-11 07:41:50 UTC"/>
        <s v="2022-04-11 07:41:46 UTC"/>
        <s v="2022-04-11 07:41:43 UTC"/>
        <s v="2022-04-11 07:41:29 UTC"/>
        <s v="2022-04-11 07:41:27 UTC"/>
        <s v="2022-04-11 07:41:26 UTC"/>
        <s v="2022-04-11 07:41:23 UTC"/>
        <s v="2022-04-11 07:41:21 UTC"/>
        <s v="2022-04-11 07:41:10 UTC"/>
        <s v="2022-04-11 07:41:07 UTC"/>
        <s v="2022-04-11 07:41:05 UTC"/>
        <s v="2022-04-11 07:41:04 UTC"/>
        <s v="2022-04-11 07:41:02 UTC"/>
        <s v="2022-04-11 07:40:59 UTC"/>
        <s v="2022-04-11 07:40:56 UTC"/>
        <s v="2022-04-11 07:40:45 UTC"/>
        <s v="2022-04-11 07:40:31 UTC"/>
        <s v="2022-04-11 07:40:28 UTC"/>
        <s v="2022-04-11 07:40:23 UTC"/>
        <s v="2022-04-11 07:40:19 UTC"/>
        <s v="2022-04-11 07:40:14 UTC"/>
        <s v="2022-04-11 07:40:12 UTC"/>
        <s v="2022-04-11 07:40:10 UTC"/>
        <s v="2022-04-11 07:40:08 UTC"/>
        <s v="2022-04-11 07:40:05 UTC"/>
        <s v="2022-04-11 07:40:02 UTC"/>
        <s v="2022-04-11 07:40:01 UTC"/>
        <s v="2022-04-11 07:40:00 UTC"/>
        <s v="2022-04-11 07:39:59 UTC"/>
        <s v="2022-04-11 07:39:58 UTC"/>
        <s v="2022-04-11 07:39:55 UTC"/>
        <s v="2022-04-11 07:39:50 UTC"/>
        <s v="2022-04-11 07:39:48 UTC"/>
        <s v="2022-04-11 07:39:45 UTC"/>
        <s v="2022-04-11 07:39:44 UTC"/>
        <s v="2022-04-11 07:39:41 UTC"/>
        <s v="2022-04-11 07:39:39 UTC"/>
        <s v="2022-04-11 07:39:38 UTC"/>
        <s v="2022-04-11 07:39:31 UTC"/>
        <s v="2022-04-11 07:39:16 UTC"/>
        <s v="2022-04-11 07:38:58 UTC"/>
        <s v="2022-04-11 07:38:35 UTC"/>
        <s v="2022-04-11 07:38:33 UTC"/>
        <s v="2022-04-11 07:38:25 UTC"/>
        <s v="2022-04-11 07:38:22 UTC"/>
        <s v="2022-04-11 07:38:20 UTC"/>
        <s v="2022-04-11 07:38:14 UTC"/>
        <s v="2022-04-11 07:38:11 UTC"/>
        <s v="2022-04-11 07:38:10 UTC"/>
        <s v="2022-04-11 07:38:09 UTC"/>
        <s v="2022-04-11 07:38:08 UTC"/>
        <s v="2022-04-11 07:38:06 UTC"/>
        <s v="2022-04-11 07:38:05 UTC"/>
        <s v="2022-04-11 07:38:04 UTC"/>
        <s v="2022-04-11 07:38:03 UTC"/>
        <s v="2022-04-11 07:37:59 UTC"/>
        <s v="2022-04-11 07:37:56 UTC"/>
        <s v="2022-04-11 07:37:55 UTC"/>
        <s v="2022-04-11 07:37:54 UTC"/>
        <s v="2022-04-11 07:37:52 UTC"/>
        <s v="2022-04-11 07:37:47 UTC"/>
        <s v="2022-04-11 07:37:45 UTC"/>
        <s v="2022-04-11 07:37:42 UTC"/>
        <s v="2022-04-11 07:37:41 UTC"/>
        <s v="2022-04-11 07:37:40 UTC"/>
        <s v="2022-04-11 07:37:37 UTC"/>
        <s v="2022-04-11 07:37:36 UTC"/>
        <s v="2022-04-11 07:37:35 UTC"/>
        <s v="2022-04-11 07:37:34 UTC"/>
        <s v="2022-04-11 07:37:33 UTC"/>
        <s v="2022-04-11 07:37:30 UTC"/>
        <s v="2022-04-11 07:37:29 UTC"/>
        <s v="2022-04-11 07:37:26 UTC"/>
        <s v="2022-04-11 07:37:24 UTC"/>
        <s v="2022-04-11 07:37:22 UTC"/>
        <s v="2022-04-11 07:37:19 UTC"/>
        <s v="2022-04-11 07:37:18 UTC"/>
        <s v="2022-04-11 07:37:17 UTC"/>
        <s v="2022-04-11 07:37:16 UTC"/>
        <s v="2022-04-11 07:37:15 UTC"/>
        <s v="2022-04-11 07:37:14 UTC"/>
        <s v="2022-04-11 07:37:13 UTC"/>
        <s v="2022-04-11 07:37:12 UTC"/>
        <s v="2022-04-11 07:37:11 UTC"/>
        <s v="2022-04-11 07:37:10 UTC"/>
        <s v="2022-04-11 07:37:09 UTC"/>
        <s v="2022-04-11 07:37:07 UTC"/>
        <s v="2022-04-11 07:37:06 UTC"/>
        <s v="2022-04-11 07:37:05 UTC"/>
        <s v="2022-04-11 07:37:04 UTC"/>
        <s v="2022-04-11 07:37:03 UTC"/>
        <s v="2022-04-11 07:36:59 UTC"/>
        <s v="2022-04-11 07:36:33 UTC"/>
        <s v="2022-04-11 07:36:20 UTC"/>
        <s v="2022-04-11 07:36:19 UTC"/>
        <s v="2022-04-11 07:36:18 UTC"/>
        <s v="2022-04-11 07:36:15 UTC"/>
        <s v="2022-04-11 07:36:09 UTC"/>
        <s v="2022-04-11 07:36:03 UTC"/>
        <s v="2022-04-11 07:36:00 UTC"/>
        <s v="2022-04-11 07:35:56 UTC"/>
        <s v="2022-04-11 07:35:39 UTC"/>
        <s v="2022-04-11 07:35:19 UTC"/>
        <s v="2022-04-11 07:34:18 UTC"/>
        <s v="2022-04-11 07:34:10 UTC"/>
        <s v="2022-04-11 07:34:07 UTC"/>
        <s v="2022-04-11 07:33:59 UTC"/>
        <s v="2022-04-11 07:33:49 UTC"/>
        <s v="2022-04-11 07:33:48 UTC"/>
        <s v="2022-04-11 07:33:44 UTC"/>
        <s v="2022-04-11 07:33:41 UTC"/>
        <s v="2022-04-11 07:33:21 UTC"/>
        <s v="2022-04-11 07:32:35 UTC"/>
        <s v="2022-04-11 07:32:34 UTC"/>
        <s v="2022-04-11 07:32:29 UTC"/>
        <s v="2022-04-11 07:32:23 UTC"/>
        <s v="2022-04-11 07:32:22 UTC"/>
        <s v="2022-04-11 07:32:18 UTC"/>
        <s v="2022-04-11 07:31:53 UTC"/>
        <s v="2022-04-11 07:31:37 UTC"/>
        <s v="2022-04-11 07:31:35 UTC"/>
        <s v="2022-04-11 07:31:32 UTC"/>
        <s v="2022-04-11 07:31:30 UTC"/>
        <s v="2022-04-11 07:31:25 UTC"/>
        <s v="2022-04-11 07:31:17 UTC"/>
        <s v="2022-04-11 07:31:14 UTC"/>
        <s v="2022-04-11 07:30:55 UTC"/>
        <s v="2022-04-11 07:30:50 UTC"/>
        <s v="2022-04-11 07:30:48 UTC"/>
        <s v="2022-04-11 07:30:37 UTC"/>
        <s v="2022-04-11 07:30:35 UTC"/>
        <s v="2022-04-11 07:30:32 UTC"/>
        <s v="2022-04-11 07:30:31 UTC"/>
        <s v="2022-04-11 07:30:04 UTC"/>
        <s v="2022-04-11 07:29:59 UTC"/>
        <s v="2022-04-11 07:29:47 UTC"/>
        <s v="2022-04-11 07:28:14 UTC"/>
        <s v="2022-04-11 07:28:12 UTC"/>
        <s v="2022-04-11 07:27:57 UTC"/>
        <s v="2022-04-11 07:26:42 UTC"/>
        <s v="2022-04-11 07:26:39 UTC"/>
        <s v="2022-04-11 07:26:38 UTC"/>
        <s v="2022-04-11 07:26:36 UTC"/>
        <s v="2022-04-11 07:26:35 UTC"/>
        <s v="2022-04-11 07:26:34 UTC"/>
        <s v="2022-04-11 07:26:33 UTC"/>
        <s v="2022-04-11 07:26:32 UTC"/>
        <s v="2022-04-11 07:26:30 UTC"/>
        <s v="2022-04-11 07:26:29 UTC"/>
        <s v="2022-04-11 07:26:27 UTC"/>
        <s v="2022-04-11 07:26:26 UTC"/>
        <s v="2022-04-11 07:26:25 UTC"/>
        <s v="2022-04-11 07:26:24 UTC"/>
        <s v="2022-04-11 07:26:23 UTC"/>
        <s v="2022-04-11 07:26:22 UTC"/>
        <s v="2022-04-11 07:26:21 UTC"/>
        <s v="2022-04-11 07:26:15 UTC"/>
        <s v="2022-04-11 07:26:07 UTC"/>
        <s v="2022-04-11 07:26:05 UTC"/>
        <s v="2022-04-11 07:25:59 UTC"/>
        <s v="2022-04-11 07:25:49 UTC"/>
        <s v="2022-04-11 07:25:30 UTC"/>
        <s v="2022-04-11 07:25:26 UTC"/>
        <s v="2022-04-11 07:25:19 UTC"/>
        <s v="2022-04-11 07:24:43 UTC"/>
        <s v="2022-04-11 07:24:33 UTC"/>
        <s v="2022-04-11 07:24:32 UTC"/>
        <s v="2022-04-11 07:24:31 UTC"/>
        <s v="2022-04-11 07:24:29 UTC"/>
        <s v="2022-04-11 07:24:27 UTC"/>
        <s v="2022-04-11 07:24:26 UTC"/>
        <s v="2022-04-11 07:24:25 UTC"/>
        <s v="2022-04-11 07:24:23 UTC"/>
        <s v="2022-04-11 07:24:22 UTC"/>
        <s v="2022-04-11 07:24:20 UTC"/>
        <s v="2022-04-11 07:24:19 UTC"/>
        <s v="2022-04-11 07:24:16 UTC"/>
        <s v="2022-04-11 07:24:15 UTC"/>
        <s v="2022-04-11 07:24:12 UTC"/>
        <s v="2022-04-11 07:24:10 UTC"/>
        <s v="2022-04-11 07:24:08 UTC"/>
        <s v="2022-04-11 07:24:06 UTC"/>
        <s v="2022-04-11 07:24:05 UTC"/>
        <s v="2022-04-11 07:24:04 UTC"/>
        <s v="2022-04-11 07:24:03 UTC"/>
        <s v="2022-04-11 07:24:00 UTC"/>
        <s v="2022-04-11 07:23:59 UTC"/>
        <s v="2022-04-11 07:23:57 UTC"/>
        <s v="2022-04-11 07:23:54 UTC"/>
        <s v="2022-04-11 07:23:51 UTC"/>
        <s v="2022-04-11 07:23:49 UTC"/>
        <s v="2022-04-11 07:23:33 UTC"/>
        <s v="2022-04-11 07:23:31 UTC"/>
        <s v="2022-04-11 07:23:30 UTC"/>
        <s v="2022-04-11 07:23:29 UTC"/>
        <s v="2022-04-11 07:23:22 UTC"/>
        <s v="2022-04-11 07:23:17 UTC"/>
        <s v="2022-04-11 07:23:06 UTC"/>
        <s v="2022-04-11 07:23:05 UTC"/>
        <s v="2022-04-11 07:23:02 UTC"/>
        <s v="2022-04-11 07:23:01 UTC"/>
        <s v="2022-04-11 07:22:57 UTC"/>
        <s v="2022-04-11 07:22:56 UTC"/>
        <s v="2022-04-11 07:22:53 UTC"/>
        <s v="2022-04-11 07:22:52 UTC"/>
        <s v="2022-04-11 07:22:51 UTC"/>
        <s v="2022-04-11 07:22:50 UTC"/>
        <s v="2022-04-11 07:22:49 UTC"/>
        <s v="2022-04-11 07:22:28 UTC"/>
        <s v="2022-04-11 07:22:24 UTC"/>
        <s v="2022-04-11 07:22:18 UTC"/>
        <s v="2022-04-11 07:22:11 UTC"/>
        <s v="2022-04-11 07:22:00 UTC"/>
        <s v="2022-04-11 07:21:59 UTC"/>
        <s v="2022-04-11 07:21:57 UTC"/>
        <s v="2022-04-11 07:21:55 UTC"/>
        <s v="2022-04-11 07:21:53 UTC"/>
        <s v="2022-04-11 07:21:49 UTC"/>
        <s v="2022-04-11 07:21:46 UTC"/>
        <s v="2022-04-11 07:21:41 UTC"/>
        <s v="2022-04-11 07:21:37 UTC"/>
        <s v="2022-04-11 07:21:33 UTC"/>
        <s v="2022-04-11 07:21:32 UTC"/>
        <s v="2022-04-11 07:21:31 UTC"/>
        <s v="2022-04-11 07:21:30 UTC"/>
        <s v="2022-04-11 07:21:28 UTC"/>
        <s v="2022-04-11 07:21:27 UTC"/>
        <s v="2022-04-11 07:21:26 UTC"/>
        <s v="2022-04-11 07:21:25 UTC"/>
        <s v="2022-04-11 07:21:24 UTC"/>
        <s v="2022-04-11 07:21:23 UTC"/>
        <s v="2022-04-11 07:21:22 UTC"/>
        <s v="2022-04-11 07:21:21 UTC"/>
        <s v="2022-04-11 07:21:19 UTC"/>
        <s v="2022-04-11 07:21:18 UTC"/>
        <s v="2022-04-11 07:21:17 UTC"/>
        <s v="2022-04-11 07:21:15 UTC"/>
        <s v="2022-04-11 07:21:14 UTC"/>
        <s v="2022-04-11 07:21:13 UTC"/>
        <s v="2022-04-11 07:21:09 UTC"/>
        <s v="2022-04-11 07:21:07 UTC"/>
        <s v="2022-04-11 07:20:58 UTC"/>
        <s v="2022-04-11 07:20:45 UTC"/>
        <s v="2022-04-11 07:19:47 UTC"/>
        <s v="2022-04-11 07:19:22 UTC"/>
        <s v="2022-04-11 07:19:20 UTC"/>
        <s v="2022-04-11 07:19:03 UTC"/>
        <s v="2022-04-11 07:19:00 UTC"/>
        <s v="2022-04-11 07:18:59 UTC"/>
        <s v="2022-04-11 07:18:55 UTC"/>
        <s v="2022-04-11 07:18:53 UTC"/>
        <s v="2022-04-11 07:18:50 UTC"/>
        <s v="2022-04-11 07:18:48 UTC"/>
        <s v="2022-04-11 07:18:46 UTC"/>
        <s v="2022-04-11 07:18:43 UTC"/>
        <s v="2022-04-11 07:18:41 UTC"/>
        <s v="2022-04-11 07:18:39 UTC"/>
        <s v="2022-04-11 07:18:38 UTC"/>
        <s v="2022-04-11 07:18:36 UTC"/>
        <s v="2022-04-11 07:18:34 UTC"/>
        <s v="2022-04-11 07:18:31 UTC"/>
        <s v="2022-04-11 07:18:29 UTC"/>
        <s v="2022-04-11 07:18:26 UTC"/>
        <s v="2022-04-11 07:18:22 UTC"/>
        <s v="2022-04-11 07:18:19 UTC"/>
        <s v="2022-04-11 07:18:13 UTC"/>
        <s v="2022-04-11 07:18:10 UTC"/>
        <s v="2022-04-11 07:17:46 UTC"/>
        <s v="2022-04-11 07:17:34 UTC"/>
        <s v="2022-04-11 07:17:16 UTC"/>
        <s v="2022-04-11 07:17:14 UTC"/>
        <s v="2022-04-11 07:17:13 UTC"/>
        <s v="2022-04-11 07:16:39 UTC"/>
        <s v="2022-04-11 07:16:35 UTC"/>
        <s v="2022-04-11 07:16:34 UTC"/>
        <s v="2022-04-11 07:16:23 UTC"/>
        <s v="2022-04-11 07:15:25 UTC"/>
        <s v="2022-04-11 07:15:18 UTC"/>
        <s v="2022-04-11 07:15:16 UTC"/>
        <s v="2022-04-11 07:15:03 UTC"/>
        <s v="2022-04-11 07:15:00 UTC"/>
        <s v="2022-04-11 07:14:59 UTC"/>
        <s v="2022-04-11 07:14:54 UTC"/>
        <s v="2022-04-11 07:14:53 UTC"/>
        <s v="2022-04-11 07:14:51 UTC"/>
        <s v="2022-04-11 07:14:48 UTC"/>
        <s v="2022-04-11 07:14:45 UTC"/>
        <s v="2022-04-11 07:14:41 UTC"/>
        <s v="2022-04-11 07:14:39 UTC"/>
        <s v="2022-04-11 07:14:37 UTC"/>
        <s v="2022-04-11 07:14:31 UTC"/>
        <s v="2022-04-11 07:14:19 UTC"/>
        <s v="2022-04-11 07:14:16 UTC"/>
        <s v="2022-04-11 07:14:14 UTC"/>
        <s v="2022-04-11 07:14:11 UTC"/>
        <s v="2022-04-11 07:14:08 UTC"/>
        <s v="2022-04-11 07:13:56 UTC"/>
        <s v="2022-04-11 07:13:24 UTC"/>
        <s v="2022-04-11 07:12:56 UTC"/>
        <s v="2022-04-11 07:12:04 UTC"/>
        <s v="2022-04-11 07:12:03 UTC"/>
        <s v="2022-04-11 07:12:00 UTC"/>
        <s v="2022-04-11 07:11:55 UTC"/>
        <s v="2022-04-11 07:11:53 UTC"/>
        <s v="2022-04-11 07:11:52 UTC"/>
        <s v="2022-04-11 07:11:44 UTC"/>
        <s v="2022-04-11 07:11:39 UTC"/>
        <s v="2022-04-11 07:11:36 UTC"/>
        <s v="2022-04-11 07:11:27 UTC"/>
        <s v="2022-04-11 07:11:23 UTC"/>
        <s v="2022-04-11 07:11:16 UTC"/>
        <s v="2022-04-11 07:11:12 UTC"/>
        <s v="2022-04-11 07:11:01 UTC"/>
        <s v="2022-04-11 07:10:58 UTC"/>
        <s v="2022-04-11 07:10:52 UTC"/>
        <s v="2022-04-11 07:10:50 UTC"/>
        <s v="2022-04-11 07:10:45 UTC"/>
        <s v="2022-04-11 07:10:42 UTC"/>
        <s v="2022-04-11 07:10:39 UTC"/>
        <s v="2022-04-11 07:10:38 UTC"/>
        <s v="2022-04-11 07:10:31 UTC"/>
        <s v="2022-04-11 07:10:24 UTC"/>
        <s v="2022-04-11 07:10:12 UTC"/>
        <s v="2022-04-11 07:10:09 UTC"/>
        <s v="2022-04-11 07:10:07 UTC"/>
        <s v="2022-04-11 07:10:04 UTC"/>
        <s v="2022-04-11 07:09:47 UTC"/>
        <s v="2022-04-11 07:09:44 UTC"/>
        <s v="2022-04-11 07:09:13 UTC"/>
        <s v="2022-04-11 07:09:06 UTC"/>
        <s v="2022-04-11 07:09:05 UTC"/>
        <s v="2022-04-11 07:09:03 UTC"/>
        <s v="2022-04-11 07:08:38 UTC"/>
        <s v="2022-04-11 07:08:19 UTC"/>
        <s v="2022-04-11 07:07:57 UTC"/>
        <s v="2022-04-11 07:07:56 UTC"/>
        <s v="2022-04-11 07:07:54 UTC"/>
        <s v="2022-04-11 07:07:53 UTC"/>
        <s v="2022-04-11 07:07:44 UTC"/>
        <s v="2022-04-11 07:07:43 UTC"/>
        <s v="2022-04-11 07:07:37 UTC"/>
        <s v="2022-04-11 07:07:34 UTC"/>
        <s v="2022-04-11 07:07:33 UTC"/>
        <s v="2022-04-11 07:07:29 UTC"/>
        <s v="2022-04-11 07:07:28 UTC"/>
        <s v="2022-04-11 07:07:27 UTC"/>
        <s v="2022-04-11 07:07:26 UTC"/>
        <s v="2022-04-11 07:07:25 UTC"/>
        <s v="2022-04-11 07:07:23 UTC"/>
        <s v="2022-04-11 07:07:17 UTC"/>
        <s v="2022-04-11 07:07:15 UTC"/>
        <s v="2022-04-11 07:07:14 UTC"/>
        <s v="2022-04-11 07:07:12 UTC"/>
        <s v="2022-04-11 07:07:11 UTC"/>
        <s v="2022-04-11 07:07:10 UTC"/>
        <s v="2022-04-11 07:07:07 UTC"/>
        <s v="2022-04-11 07:07:05 UTC"/>
        <s v="2022-04-11 07:07:03 UTC"/>
        <s v="2022-04-11 07:06:59 UTC"/>
        <s v="2022-04-11 07:06:56 UTC"/>
        <s v="2022-04-11 07:06:55 UTC"/>
        <s v="2022-04-11 07:06:53 UTC"/>
        <s v="2022-04-11 07:06:50 UTC"/>
        <s v="2022-04-11 07:06:48 UTC"/>
        <s v="2022-04-11 07:06:47 UTC"/>
        <s v="2022-04-11 07:06:45 UTC"/>
        <s v="2022-04-11 07:06:44 UTC"/>
        <s v="2022-04-11 07:06:42 UTC"/>
        <s v="2022-04-11 07:06:40 UTC"/>
        <s v="2022-04-11 07:06:32 UTC"/>
        <s v="2022-04-11 07:06:18 UTC"/>
        <s v="2022-04-11 07:06:01 UTC"/>
        <s v="2022-04-11 07:05:55 UTC"/>
        <s v="2022-04-11 07:05:53 UTC"/>
        <s v="2022-04-11 07:05:44 UTC"/>
        <s v="2022-04-11 07:05:41 UTC"/>
        <s v="2022-04-11 07:05:29 UTC"/>
        <s v="2022-04-11 07:05:25 UTC"/>
        <s v="2022-04-11 07:05:21 UTC"/>
        <s v="2022-04-11 07:05:14 UTC"/>
        <s v="2022-04-11 07:04:55 UTC"/>
        <s v="2022-04-11 07:04:54 UTC"/>
        <s v="2022-04-11 07:04:46 UTC"/>
        <s v="2022-04-11 07:04:44 UTC"/>
        <s v="2022-04-11 07:04:23 UTC"/>
        <s v="2022-04-11 07:04:19 UTC"/>
        <s v="2022-04-11 07:04:15 UTC"/>
        <s v="2022-04-11 07:04:12 UTC"/>
        <s v="2022-04-11 07:04:10 UTC"/>
        <s v="2022-04-11 07:03:52 UTC"/>
        <s v="2022-04-11 07:03:48 UTC"/>
        <s v="2022-04-11 07:03:37 UTC"/>
        <s v="2022-04-11 07:03:19 UTC"/>
        <s v="2022-04-11 07:03:15 UTC"/>
        <s v="2022-04-11 07:03:10 UTC"/>
        <s v="2022-04-11 07:02:53 UTC"/>
        <s v="2022-04-11 07:02:17 UTC"/>
        <s v="2022-04-11 07:02:15 UTC"/>
        <s v="2022-04-11 07:02:12 UTC"/>
        <s v="2022-04-11 07:02:09 UTC"/>
        <s v="2022-04-11 07:01:59 UTC"/>
        <s v="2022-04-11 07:01:53 UTC"/>
        <s v="2022-04-11 07:01:52 UTC"/>
        <s v="2022-04-11 07:01:51 UTC"/>
        <s v="2022-04-11 07:01:50 UTC"/>
        <s v="2022-04-11 07:01:48 UTC"/>
        <s v="2022-04-11 07:01:47 UTC"/>
        <s v="2022-04-11 07:01:45 UTC"/>
        <s v="2022-04-11 07:01:38 UTC"/>
        <s v="2022-04-11 07:01:32 UTC"/>
        <s v="2022-04-11 07:01:29 UTC"/>
        <s v="2022-04-11 07:01:27 UTC"/>
        <s v="2022-04-11 07:01:21 UTC"/>
        <s v="2022-04-11 07:01:15 UTC"/>
        <s v="2022-04-11 07:01:11 UTC"/>
        <s v="2022-04-11 07:01:08 UTC"/>
        <s v="2022-04-11 07:01:05 UTC"/>
        <s v="2022-04-11 07:01:04 UTC"/>
        <s v="2022-04-11 07:00:57 UTC"/>
        <s v="2022-04-11 07:00:54 UTC"/>
        <s v="2022-04-11 07:00:53 UTC"/>
        <s v="2022-04-11 07:00:49 UTC"/>
        <s v="2022-04-11 07:00:45 UTC"/>
        <s v="2022-04-11 07:00:43 UTC"/>
        <s v="2022-04-11 07:00:42 UTC"/>
        <s v="2022-04-11 07:00:41 UTC"/>
        <s v="2022-04-11 07:00:39 UTC"/>
        <s v="2022-04-11 07:00:38 UTC"/>
        <s v="2022-04-11 07:00:37 UTC"/>
        <s v="2022-04-11 07:00:35 UTC"/>
        <s v="2022-04-11 07:00:34 UTC"/>
        <s v="2022-04-11 07:00:32 UTC"/>
        <s v="2022-04-11 07:00:24 UTC"/>
        <s v="2022-04-11 07:00:23 UTC"/>
        <s v="2022-04-11 07:00:20 UTC"/>
        <s v="2022-04-11 07:00:19 UTC"/>
        <s v="2022-04-11 07:00:18 UTC"/>
        <s v="2022-04-11 07:00:16 UTC"/>
        <s v="2022-04-11 07:00:15 UTC"/>
        <s v="2022-04-11 07:00:14 UTC"/>
        <s v="2022-04-11 07:00:13 UTC"/>
        <s v="2022-04-11 07:00:12 UTC"/>
        <s v="2022-04-11 07:00:11 UTC"/>
        <s v="2022-04-11 07:00:09 UTC"/>
        <s v="2022-04-11 07:00:08 UTC"/>
        <s v="2022-04-11 07:00:07 UTC"/>
        <s v="2022-04-11 07:00:06 UTC"/>
        <s v="2022-04-11 07:00:05 UTC"/>
        <s v="2022-04-11 07:00:03 UTC"/>
        <s v="2022-04-11 07:00:02 UTC"/>
        <s v="2022-04-11 07:00:00 UTC"/>
        <s v="2022-04-11 06:59:58 UTC"/>
        <s v="2022-04-11 06:59:57 UTC"/>
        <s v="2022-04-11 06:59:54 UTC"/>
        <s v="2022-04-11 06:59:51 UTC"/>
        <s v="2022-04-11 06:59:48 UTC"/>
        <s v="2022-04-11 06:59:47 UTC"/>
        <s v="2022-04-11 06:59:45 UTC"/>
        <s v="2022-04-11 06:59:44 UTC"/>
        <s v="2022-04-11 06:59:43 UTC"/>
        <s v="2022-04-11 06:59:42 UTC"/>
        <s v="2022-04-11 06:59:41 UTC"/>
        <s v="2022-04-11 06:59:40 UTC"/>
        <s v="2022-04-11 06:59:39 UTC"/>
        <s v="2022-04-11 06:59:36 UTC"/>
        <s v="2022-04-11 06:59:35 UTC"/>
        <s v="2022-04-11 06:59:30 UTC"/>
        <s v="2022-04-11 06:59:28 UTC"/>
        <s v="2022-04-11 06:59:24 UTC"/>
        <s v="2022-04-11 06:59:23 UTC"/>
        <s v="2022-04-11 06:59:22 UTC"/>
        <s v="2022-04-11 06:59:19 UTC"/>
        <s v="2022-04-11 06:59:18 UTC"/>
        <s v="2022-04-11 06:59:10 UTC"/>
        <s v="2022-04-11 06:59:03 UTC"/>
        <s v="2022-04-11 06:58:59 UTC"/>
        <s v="2022-04-11 06:58:52 UTC"/>
        <s v="2022-04-11 06:58:48 UTC"/>
        <s v="2022-04-11 06:58:46 UTC"/>
        <s v="2022-04-11 06:58:44 UTC"/>
        <s v="2022-04-11 06:58:42 UTC"/>
        <s v="2022-04-11 06:58:41 UTC"/>
        <s v="2022-04-11 06:58:40 UTC"/>
        <s v="2022-04-11 06:58:39 UTC"/>
        <s v="2022-04-11 06:58:37 UTC"/>
        <s v="2022-04-11 06:58:36 UTC"/>
        <s v="2022-04-11 06:58:34 UTC"/>
        <s v="2022-04-11 06:58:33 UTC"/>
        <s v="2022-04-11 06:58:32 UTC"/>
        <s v="2022-04-11 06:58:30 UTC"/>
        <s v="2022-04-11 06:58:28 UTC"/>
        <s v="2022-04-11 06:58:26 UTC"/>
        <s v="2022-04-11 06:58:25 UTC"/>
        <s v="2022-04-11 06:58:23 UTC"/>
        <s v="2022-04-11 06:58:22 UTC"/>
        <s v="2022-04-11 06:58:20 UTC"/>
        <s v="2022-04-11 06:58:19 UTC"/>
        <s v="2022-04-11 06:58:18 UTC"/>
        <s v="2022-04-11 06:58:16 UTC"/>
        <s v="2022-04-11 06:58:14 UTC"/>
        <s v="2022-04-11 06:58:13 UTC"/>
        <s v="2022-04-11 06:58:08 UTC"/>
        <s v="2022-04-11 06:58:06 UTC"/>
        <s v="2022-04-11 06:58:04 UTC"/>
        <s v="2022-04-11 06:58:02 UTC"/>
        <s v="2022-04-11 06:58:00 UTC"/>
        <s v="2022-04-11 06:57:58 UTC"/>
        <s v="2022-04-11 06:57:54 UTC"/>
        <s v="2022-04-11 06:57:53 UTC"/>
        <s v="2022-04-11 06:57:51 UTC"/>
        <s v="2022-04-11 06:57:49 UTC"/>
        <s v="2022-04-11 06:57:47 UTC"/>
        <s v="2022-04-11 06:57:44 UTC"/>
        <s v="2022-04-11 06:57:41 UTC"/>
        <s v="2022-04-11 06:57:40 UTC"/>
        <s v="2022-04-11 06:57:38 UTC"/>
        <s v="2022-04-11 06:57:37 UTC"/>
        <s v="2022-04-11 06:57:35 UTC"/>
        <s v="2022-04-11 06:57:30 UTC"/>
        <s v="2022-04-11 06:57:28 UTC"/>
        <s v="2022-04-11 06:57:26 UTC"/>
        <s v="2022-04-11 06:57:24 UTC"/>
        <s v="2022-04-11 06:57:12 UTC"/>
        <s v="2022-04-11 06:57:07 UTC"/>
        <s v="2022-04-11 06:57:01 UTC"/>
        <s v="2022-04-11 06:56:52 UTC"/>
        <s v="2022-04-11 06:56:46 UTC"/>
        <s v="2022-04-11 06:56:42 UTC"/>
        <s v="2022-04-11 06:56:38 UTC"/>
        <s v="2022-04-11 06:56:24 UTC"/>
        <s v="2022-04-11 06:56:18 UTC"/>
        <s v="2022-04-11 06:56:10 UTC"/>
        <s v="2022-04-11 06:56:09 UTC"/>
        <s v="2022-04-11 06:56:06 UTC"/>
        <s v="2022-04-11 06:56:03 UTC"/>
        <s v="2022-04-11 06:56:01 UTC"/>
        <s v="2022-04-11 06:55:59 UTC"/>
        <s v="2022-04-11 06:55:55 UTC"/>
        <s v="2022-04-11 06:55:54 UTC"/>
        <s v="2022-04-11 06:55:50 UTC"/>
        <s v="2022-04-11 06:55:41 UTC"/>
        <s v="2022-04-11 06:55:40 UTC"/>
        <s v="2022-04-11 06:55:31 UTC"/>
        <s v="2022-04-11 06:55:29 UTC"/>
        <s v="2022-04-11 06:55:27 UTC"/>
        <s v="2022-04-11 06:55:22 UTC"/>
        <s v="2022-04-11 06:55:20 UTC"/>
        <s v="2022-04-11 06:55:01 UTC"/>
        <s v="2022-04-11 06:54:46 UTC"/>
        <s v="2022-04-11 06:54:25 UTC"/>
        <s v="2022-04-11 06:54:21 UTC"/>
        <s v="2022-04-11 06:54:06 UTC"/>
        <s v="2022-04-11 06:54:03 UTC"/>
        <s v="2022-04-11 06:54:00 UTC"/>
        <s v="2022-04-11 06:53:58 UTC"/>
        <s v="2022-04-11 06:53:54 UTC"/>
        <s v="2022-04-11 06:53:53 UTC"/>
        <s v="2022-04-11 06:53:50 UTC"/>
        <s v="2022-04-11 06:53:49 UTC"/>
        <s v="2022-04-11 06:53:47 UTC"/>
        <s v="2022-04-11 06:53:43 UTC"/>
        <s v="2022-04-11 06:53:40 UTC"/>
        <s v="2022-04-11 06:53:35 UTC"/>
        <s v="2022-04-11 06:53:31 UTC"/>
        <s v="2022-04-11 06:53:30 UTC"/>
        <s v="2022-04-11 06:53:29 UTC"/>
        <s v="2022-04-11 06:53:28 UTC"/>
        <s v="2022-04-11 06:53:27 UTC"/>
        <s v="2022-04-11 06:53:25 UTC"/>
        <s v="2022-04-11 06:53:24 UTC"/>
        <s v="2022-04-11 06:53:23 UTC"/>
        <s v="2022-04-11 06:53:22 UTC"/>
        <s v="2022-04-11 06:53:21 UTC"/>
        <s v="2022-04-11 06:53:20 UTC"/>
        <s v="2022-04-11 06:53:19 UTC"/>
        <s v="2022-04-11 06:53:18 UTC"/>
        <s v="2022-04-11 06:53:17 UTC"/>
        <s v="2022-04-11 06:53:16 UTC"/>
        <s v="2022-04-11 06:53:15 UTC"/>
        <s v="2022-04-11 06:53:13 UTC"/>
        <s v="2022-04-11 06:53:07 UTC"/>
        <s v="2022-04-11 06:53:05 UTC"/>
        <s v="2022-04-11 06:53:04 UTC"/>
        <s v="2022-04-11 06:53:02 UTC"/>
        <s v="2022-04-11 06:52:56 UTC"/>
        <s v="2022-04-11 06:52:54 UTC"/>
        <s v="2022-04-11 06:52:53 UTC"/>
        <s v="2022-04-11 06:52:51 UTC"/>
        <s v="2022-04-11 06:52:49 UTC"/>
        <s v="2022-04-11 06:52:47 UTC"/>
        <s v="2022-04-11 06:52:46 UTC"/>
        <s v="2022-04-11 06:52:44 UTC"/>
        <s v="2022-04-11 06:52:43 UTC"/>
        <s v="2022-04-11 06:52:42 UTC"/>
        <s v="2022-04-11 06:52:41 UTC"/>
        <s v="2022-04-11 06:52:40 UTC"/>
        <s v="2022-04-11 06:52:39 UTC"/>
        <s v="2022-04-11 06:52:38 UTC"/>
        <s v="2022-04-11 06:52:34 UTC"/>
        <s v="2022-04-11 06:52:27 UTC"/>
        <s v="2022-04-11 06:52:17 UTC"/>
        <s v="2022-04-11 06:52:11 UTC"/>
        <s v="2022-04-11 06:51:57 UTC"/>
        <s v="2022-04-11 06:51:56 UTC"/>
        <s v="2022-04-11 06:51:55 UTC"/>
        <s v="2022-04-11 06:51:54 UTC"/>
        <s v="2022-04-11 06:51:53 UTC"/>
        <s v="2022-04-11 06:51:52 UTC"/>
        <s v="2022-04-11 06:51:51 UTC"/>
        <s v="2022-04-11 06:51:50 UTC"/>
        <s v="2022-04-11 06:51:49 UTC"/>
        <s v="2022-04-11 06:51:48 UTC"/>
        <s v="2022-04-11 06:51:44 UTC"/>
        <s v="2022-04-11 06:51:42 UTC"/>
        <s v="2022-04-11 06:51:39 UTC"/>
        <s v="2022-04-11 06:51:37 UTC"/>
        <s v="2022-04-11 06:51:34 UTC"/>
        <s v="2022-04-11 06:51:29 UTC"/>
        <s v="2022-04-11 06:51:26 UTC"/>
        <s v="2022-04-11 06:51:19 UTC"/>
        <s v="2022-04-11 06:51:18 UTC"/>
        <s v="2022-04-11 06:51:13 UTC"/>
        <s v="2022-04-11 06:51:11 UTC"/>
        <s v="2022-04-11 06:51:09 UTC"/>
        <s v="2022-04-11 06:51:08 UTC"/>
        <s v="2022-04-11 06:51:07 UTC"/>
        <s v="2022-04-11 06:51:05 UTC"/>
        <s v="2022-04-11 06:51:03 UTC"/>
        <s v="2022-04-11 06:51:01 UTC"/>
        <s v="2022-04-11 06:50:59 UTC"/>
        <s v="2022-04-11 06:50:58 UTC"/>
        <s v="2022-04-11 06:50:55 UTC"/>
        <s v="2022-04-11 06:50:54 UTC"/>
        <s v="2022-04-11 06:50:53 UTC"/>
        <s v="2022-04-11 06:50:52 UTC"/>
        <s v="2022-04-11 06:50:50 UTC"/>
        <s v="2022-04-11 06:50:46 UTC"/>
        <s v="2022-04-11 06:50:45 UTC"/>
        <s v="2022-04-11 06:50:43 UTC"/>
        <s v="2022-04-11 06:50:41 UTC"/>
        <s v="2022-04-11 06:50:39 UTC"/>
        <s v="2022-04-11 06:50:38 UTC"/>
        <s v="2022-04-11 06:50:37 UTC"/>
        <s v="2022-04-11 06:50:36 UTC"/>
        <s v="2022-04-11 06:50:35 UTC"/>
        <s v="2022-04-11 06:50:34 UTC"/>
        <s v="2022-04-11 06:50:33 UTC"/>
        <s v="2022-04-11 06:50:32 UTC"/>
        <s v="2022-04-11 06:50:31 UTC"/>
        <s v="2022-04-11 06:50:30 UTC"/>
        <s v="2022-04-11 06:50:29 UTC"/>
        <s v="2022-04-11 06:50:27 UTC"/>
        <s v="2022-04-11 06:50:25 UTC"/>
        <s v="2022-04-11 06:50:22 UTC"/>
        <s v="2022-04-11 06:50:21 UTC"/>
        <s v="2022-04-11 06:50:19 UTC"/>
        <s v="2022-04-11 06:50:18 UTC"/>
        <s v="2022-04-11 06:50:17 UTC"/>
        <s v="2022-04-11 06:50:15 UTC"/>
        <s v="2022-04-11 06:50:14 UTC"/>
        <s v="2022-04-11 06:50:13 UTC"/>
        <s v="2022-04-11 06:50:11 UTC"/>
        <s v="2022-04-11 06:50:07 UTC"/>
        <s v="2022-04-11 06:50:06 UTC"/>
        <s v="2022-04-11 06:50:05 UTC"/>
        <s v="2022-04-11 06:50:04 UTC"/>
        <s v="2022-04-11 06:50:03 UTC"/>
        <s v="2022-04-11 06:50:02 UTC"/>
        <s v="2022-04-11 06:50:01 UTC"/>
        <s v="2022-04-11 06:50:00 UTC"/>
        <s v="2022-04-11 06:49:59 UTC"/>
        <s v="2022-04-11 06:49:58 UTC"/>
        <s v="2022-04-11 06:49:57 UTC"/>
        <s v="2022-04-11 06:49:56 UTC"/>
        <s v="2022-04-11 06:49:55 UTC"/>
        <s v="2022-04-11 06:49:54 UTC"/>
        <s v="2022-04-11 06:49:53 UTC"/>
        <s v="2022-04-11 06:49:52 UTC"/>
        <s v="2022-04-11 06:49:51 UTC"/>
        <s v="2022-04-11 06:49:50 UTC"/>
        <s v="2022-04-11 06:49:49 UTC"/>
        <s v="2022-04-11 06:49:48 UTC"/>
        <s v="2022-04-11 06:49:47 UTC"/>
        <s v="2022-04-11 06:49:46 UTC"/>
        <s v="2022-04-11 06:49:45 UTC"/>
        <s v="2022-04-11 06:49:44 UTC"/>
        <s v="2022-04-11 06:49:43 UTC"/>
        <s v="2022-04-11 06:49:42 UTC"/>
        <s v="2022-04-11 06:49:41 UTC"/>
        <s v="2022-04-11 06:49:40 UTC"/>
        <s v="2022-04-11 06:49:39 UTC"/>
        <s v="2022-04-11 06:49:38 UTC"/>
        <s v="2022-04-11 06:49:37 UTC"/>
        <s v="2022-04-11 06:49:36 UTC"/>
        <s v="2022-04-11 06:49:35 UTC"/>
        <s v="2022-04-11 06:49:33 UTC"/>
        <s v="2022-04-11 06:49:28 UTC"/>
        <s v="2022-04-11 06:49:27 UTC"/>
        <s v="2022-04-11 06:49:26 UTC"/>
        <s v="2022-04-11 06:49:24 UTC"/>
        <s v="2022-04-11 06:49:23 UTC"/>
        <s v="2022-04-11 06:49:22 UTC"/>
        <s v="2022-04-11 06:49:20 UTC"/>
        <s v="2022-04-11 06:49:18 UTC"/>
        <s v="2022-04-11 06:49:17 UTC"/>
        <s v="2022-04-11 06:49:15 UTC"/>
        <s v="2022-04-11 06:49:14 UTC"/>
        <s v="2022-04-11 06:49:13 UTC"/>
        <s v="2022-04-11 06:49:12 UTC"/>
        <s v="2022-04-11 06:49:11 UTC"/>
        <s v="2022-04-11 06:49:10 UTC"/>
        <s v="2022-04-11 06:49:09 UTC"/>
        <s v="2022-04-11 06:49:07 UTC"/>
        <s v="2022-04-11 06:49:06 UTC"/>
        <s v="2022-04-11 06:49:05 UTC"/>
        <s v="2022-04-11 06:49:04 UTC"/>
        <s v="2022-04-11 06:49:03 UTC"/>
        <s v="2022-04-11 06:49:02 UTC"/>
        <s v="2022-04-11 06:49:01 UTC"/>
        <s v="2022-04-11 06:48:59 UTC"/>
        <s v="2022-04-11 06:48:57 UTC"/>
        <s v="2022-04-11 06:48:54 UTC"/>
        <s v="2022-04-11 06:48:53 UTC"/>
        <s v="2022-04-11 06:48:52 UTC"/>
        <s v="2022-04-11 06:48:51 UTC"/>
        <s v="2022-04-11 06:48:49 UTC"/>
        <s v="2022-04-11 06:48:47 UTC"/>
        <s v="2022-04-11 06:48:46 UTC"/>
        <s v="2022-04-11 06:48:45 UTC"/>
        <s v="2022-04-11 06:48:44 UTC"/>
        <s v="2022-04-11 06:48:43 UTC"/>
        <s v="2022-04-11 06:48:42 UTC"/>
        <s v="2022-04-11 06:48:41 UTC"/>
        <s v="2022-04-11 06:48:40 UTC"/>
        <s v="2022-04-11 06:48:38 UTC"/>
        <s v="2022-04-11 06:48:37 UTC"/>
        <s v="2022-04-11 06:48:33 UTC"/>
        <s v="2022-04-11 06:48:31 UTC"/>
        <s v="2022-04-11 06:48:27 UTC"/>
        <s v="2022-04-11 06:48:23 UTC"/>
        <s v="2022-04-11 06:48:22 UTC"/>
        <s v="2022-04-11 06:48:20 UTC"/>
        <s v="2022-04-11 06:48:18 UTC"/>
        <s v="2022-04-11 06:48:09 UTC"/>
        <s v="2022-04-11 06:48:07 UTC"/>
        <s v="2022-04-11 06:48:06 UTC"/>
        <s v="2022-04-11 06:48:04 UTC"/>
        <s v="2022-04-11 06:48:03 UTC"/>
        <s v="2022-04-11 06:48:02 UTC"/>
        <s v="2022-04-11 06:48:00 UTC"/>
        <s v="2022-04-11 06:47:58 UTC"/>
        <s v="2022-04-11 06:47:57 UTC"/>
        <s v="2022-04-11 06:47:54 UTC"/>
        <s v="2022-04-11 06:47:52 UTC"/>
        <s v="2022-04-11 06:47:51 UTC"/>
        <s v="2022-04-11 06:47:49 UTC"/>
        <s v="2022-04-11 06:47:48 UTC"/>
        <s v="2022-04-11 06:47:46 UTC"/>
        <s v="2022-04-11 06:47:44 UTC"/>
        <s v="2022-04-11 06:47:41 UTC"/>
        <s v="2022-04-11 06:47:40 UTC"/>
        <s v="2022-04-11 06:47:39 UTC"/>
        <s v="2022-04-11 06:47:35 UTC"/>
        <s v="2022-04-11 06:47:32 UTC"/>
        <s v="2022-04-11 06:47:31 UTC"/>
        <s v="2022-04-11 06:47:27 UTC"/>
        <s v="2022-04-11 06:47:26 UTC"/>
        <s v="2022-04-11 06:47:24 UTC"/>
        <s v="2022-04-11 06:47:22 UTC"/>
        <s v="2022-04-11 06:47:20 UTC"/>
        <s v="2022-04-11 06:47:19 UTC"/>
        <s v="2022-04-11 06:47:18 UTC"/>
        <s v="2022-04-11 06:47:15 UTC"/>
        <s v="2022-04-11 06:47:11 UTC"/>
        <s v="2022-04-11 06:47:09 UTC"/>
        <s v="2022-04-11 06:47:05 UTC"/>
        <s v="2022-04-11 06:47:03 UTC"/>
        <s v="2022-04-11 06:47:00 UTC"/>
        <s v="2022-04-11 06:46:59 UTC"/>
        <s v="2022-04-11 06:46:58 UTC"/>
        <s v="2022-04-11 06:46:56 UTC"/>
        <s v="2022-04-11 06:46:54 UTC"/>
        <s v="2022-04-11 06:46:52 UTC"/>
        <s v="2022-04-11 06:46:48 UTC"/>
        <s v="2022-04-11 06:46:47 UTC"/>
        <s v="2022-04-11 06:46:44 UTC"/>
        <s v="2022-04-11 06:46:42 UTC"/>
        <s v="2022-04-11 06:46:40 UTC"/>
        <s v="2022-04-11 06:46:39 UTC"/>
        <s v="2022-04-11 06:46:36 UTC"/>
        <s v="2022-04-11 06:46:33 UTC"/>
        <s v="2022-04-11 06:46:27 UTC"/>
        <s v="2022-04-11 06:46:25 UTC"/>
        <s v="2022-04-11 06:46:24 UTC"/>
        <s v="2022-04-11 06:46:18 UTC"/>
        <s v="2022-04-11 06:46:17 UTC"/>
        <s v="2022-04-11 06:46:13 UTC"/>
        <s v="2022-04-11 06:46:11 UTC"/>
        <s v="2022-04-11 06:46:08 UTC"/>
        <s v="2022-04-11 06:46:07 UTC"/>
        <s v="2022-04-11 06:46:06 UTC"/>
        <s v="2022-04-11 06:46:04 UTC"/>
        <s v="2022-04-11 06:46:03 UTC"/>
        <s v="2022-04-11 06:46:01 UTC"/>
        <s v="2022-04-11 06:45:59 UTC"/>
        <s v="2022-04-11 06:45:57 UTC"/>
        <s v="2022-04-11 06:45:55 UTC"/>
        <s v="2022-04-11 06:45:33 UTC"/>
        <s v="2022-04-11 06:45:19 UTC"/>
        <s v="2022-04-11 06:45:17 UTC"/>
        <s v="2022-04-11 06:45:16 UTC"/>
        <s v="2022-04-11 06:45:15 UTC"/>
        <s v="2022-04-11 06:45:14 UTC"/>
        <s v="2022-04-11 06:45:13 UTC"/>
        <s v="2022-04-11 06:45:11 UTC"/>
        <s v="2022-04-11 06:45:08 UTC"/>
        <s v="2022-04-11 06:45:01 UTC"/>
        <s v="2022-04-11 06:45:00 UTC"/>
        <s v="2022-04-11 06:44:58 UTC"/>
        <s v="2022-04-11 06:44:47 UTC"/>
        <s v="2022-04-11 06:44:32 UTC"/>
        <s v="2022-04-11 06:43:45 UTC"/>
        <s v="2022-04-11 06:43:43 UTC"/>
        <s v="2022-04-11 06:43:37 UTC"/>
        <s v="2022-04-11 06:43:29 UTC"/>
        <s v="2022-04-11 06:43:27 UTC"/>
        <s v="2022-04-11 06:43:23 UTC"/>
        <s v="2022-04-11 06:43:18 UTC"/>
        <s v="2022-04-11 06:43:14 UTC"/>
        <s v="2022-04-11 06:43:03 UTC"/>
        <s v="2022-04-11 06:42:57 UTC"/>
        <s v="2022-04-11 06:42:54 UTC"/>
        <s v="2022-04-11 06:42:47 UTC"/>
        <s v="2022-04-11 06:42:07 UTC"/>
        <s v="2022-04-11 06:41:56 UTC"/>
        <s v="2022-04-11 06:41:40 UTC"/>
        <s v="2022-04-11 06:41:31 UTC"/>
        <s v="2022-04-11 06:41:19 UTC"/>
        <s v="2022-04-11 06:41:01 UTC"/>
        <s v="2022-04-11 06:40:57 UTC"/>
        <s v="2022-04-11 06:40:55 UTC"/>
        <s v="2022-04-11 06:40:53 UTC"/>
        <s v="2022-04-11 06:40:47 UTC"/>
        <s v="2022-04-11 06:40:22 UTC"/>
        <s v="2022-04-11 06:40:16 UTC"/>
        <s v="2022-04-11 06:40:14 UTC"/>
        <s v="2022-04-11 06:40:09 UTC"/>
        <s v="2022-04-11 06:40:04 UTC"/>
        <s v="2022-04-11 06:39:52 UTC"/>
        <s v="2022-04-11 06:39:45 UTC"/>
        <s v="2022-04-11 06:39:42 UTC"/>
        <s v="2022-04-11 06:39:36 UTC"/>
        <s v="2022-04-11 06:39:31 UTC"/>
        <s v="2022-04-11 06:39:26 UTC"/>
        <s v="2022-04-11 06:39:23 UTC"/>
        <s v="2022-04-11 06:39:18 UTC"/>
        <s v="2022-04-11 06:39:08 UTC"/>
        <s v="2022-04-11 06:39:06 UTC"/>
        <s v="2022-04-11 06:38:57 UTC"/>
        <s v="2022-04-11 06:38:52 UTC"/>
        <s v="2022-04-11 06:38:26 UTC"/>
        <s v="2022-04-11 06:37:57 UTC"/>
        <s v="2022-04-11 06:37:48 UTC"/>
        <s v="2022-04-11 06:37:45 UTC"/>
        <s v="2022-04-11 06:37:44 UTC"/>
        <s v="2022-04-11 06:37:35 UTC"/>
        <s v="2022-04-11 06:34:04 UTC"/>
        <s v="2022-04-11 06:33:46 UTC"/>
        <s v="2022-04-11 06:32:35 UTC"/>
        <s v="2022-04-11 06:29:30 UTC"/>
        <s v="2022-04-11 06:28:43 UTC"/>
        <s v="2022-04-11 06:28:09 UTC"/>
        <s v="2022-04-11 06:27:54 UTC"/>
        <s v="2022-04-11 06:27:49 UTC"/>
        <s v="2022-04-11 06:27:35 UTC"/>
        <s v="2022-04-11 06:27:32 UTC"/>
        <s v="2022-04-11 06:27:27 UTC"/>
        <s v="2022-04-11 06:27:12 UTC"/>
        <s v="2022-04-11 06:27:10 UTC"/>
        <s v="2022-04-11 06:26:51 UTC"/>
        <s v="2022-04-11 06:26:45 UTC"/>
        <s v="2022-04-11 06:26:44 UTC"/>
        <s v="2022-04-11 06:25:58 UTC"/>
        <s v="2022-04-11 06:25:51 UTC"/>
        <s v="2022-04-11 06:25:46 UTC"/>
        <s v="2022-04-11 06:25:42 UTC"/>
        <s v="2022-04-11 06:22:16 UTC"/>
        <s v="2022-04-11 06:16:21 UTC"/>
        <s v="2022-04-11 06:16:15 UTC"/>
        <s v="2022-04-11 06:15:29 UTC"/>
        <s v="2022-04-11 06:15:24 UTC"/>
        <s v="2022-04-11 06:15:01 UTC"/>
        <s v="2022-04-11 06:14:54 UTC"/>
        <s v="2022-04-11 06:14:51 UTC"/>
        <s v="2022-04-11 06:14:04 UTC"/>
        <s v="2022-04-11 06:14:02 UTC"/>
        <s v="2022-04-11 06:14:00 UTC"/>
        <s v="2022-04-11 06:13:54 UTC"/>
        <s v="2022-04-11 06:13:52 UTC"/>
        <s v="2022-04-11 06:13:39 UTC"/>
        <s v="2022-04-11 06:13:28 UTC"/>
        <s v="2022-04-11 06:11:59 UTC"/>
        <s v="2022-04-11 06:05:28 UTC"/>
        <s v="2022-04-11 06:02:16 UTC"/>
        <s v="2022-04-11 05:57:20 UTC"/>
        <s v="2022-04-11 05:56:46 UTC"/>
        <s v="2022-04-11 05:54:46 UTC"/>
        <s v="2022-04-11 05:54:43 UTC"/>
        <s v="2022-04-11 05:53:22 UTC"/>
        <s v="2022-04-11 05:51:35 UTC"/>
        <s v="2022-04-11 05:49:47 UTC"/>
        <s v="2022-04-11 05:49:38 UTC"/>
        <s v="2022-04-11 05:49:17 UTC"/>
        <s v="2022-04-11 05:48:46 UTC"/>
        <s v="2022-04-11 05:48:20 UTC"/>
        <s v="2022-04-11 05:48:14 UTC"/>
        <s v="2022-04-11 05:48:09 UTC"/>
        <s v="2022-04-11 05:46:22 UTC"/>
        <s v="2022-04-11 05:46:16 UTC"/>
        <s v="2022-04-11 05:46:15 UTC"/>
        <s v="2022-04-11 05:45:36 UTC"/>
        <s v="2022-04-11 05:45:20 UTC"/>
        <s v="2022-04-11 05:44:59 UTC"/>
        <s v="2022-04-11 05:44:57 UTC"/>
        <s v="2022-04-11 05:44:54 UTC"/>
        <s v="2022-04-11 05:44:44 UTC"/>
        <s v="2022-04-11 05:43:24 UTC"/>
        <s v="2022-04-11 05:43:18 UTC"/>
        <s v="2022-04-11 05:43:10 UTC"/>
        <s v="2022-04-11 05:41:40 UTC"/>
        <s v="2022-04-11 05:41:31 UTC"/>
        <s v="2022-04-11 05:41:29 UTC"/>
        <s v="2022-04-11 05:41:27 UTC"/>
        <s v="2022-04-11 05:41:25 UTC"/>
        <s v="2022-04-11 05:41:24 UTC"/>
        <s v="2022-04-11 05:41:22 UTC"/>
        <s v="2022-04-11 05:41:15 UTC"/>
        <s v="2022-04-11 05:41:12 UTC"/>
        <s v="2022-04-11 05:39:50 UTC"/>
        <s v="2022-04-11 05:39:37 UTC"/>
        <s v="2022-04-11 05:37:19 UTC"/>
        <s v="2022-04-11 05:36:31 UTC"/>
        <s v="2022-04-11 05:36:29 UTC"/>
        <s v="2022-04-11 05:36:28 UTC"/>
        <s v="2022-04-11 05:36:26 UTC"/>
        <s v="2022-04-11 05:36:24 UTC"/>
        <s v="2022-04-11 05:36:23 UTC"/>
        <s v="2022-04-11 05:36:20 UTC"/>
        <s v="2022-04-11 05:36:14 UTC"/>
        <s v="2022-04-11 05:34:55 UTC"/>
        <s v="2022-04-11 05:34:28 UTC"/>
        <s v="2022-04-11 05:33:17 UTC"/>
        <s v="2022-04-11 05:32:37 UTC"/>
        <s v="2022-04-11 05:30:27 UTC"/>
        <s v="2022-04-11 05:29:52 UTC"/>
        <s v="2022-04-11 05:29:35 UTC"/>
        <s v="2022-04-11 05:28:50 UTC"/>
        <s v="2022-04-11 05:28:06 UTC"/>
        <s v="2022-04-11 05:27:04 UTC"/>
        <s v="2022-04-11 05:23:53 UTC"/>
        <s v="2022-04-11 05:23:50 UTC"/>
        <s v="2022-04-11 05:23:44 UTC"/>
        <s v="2022-04-11 05:23:06 UTC"/>
        <s v="2022-04-11 05:23:01 UTC"/>
        <s v="2022-04-11 05:22:55 UTC"/>
        <s v="2022-04-11 05:22:39 UTC"/>
        <s v="2022-04-11 05:18:31 UTC"/>
        <s v="2022-04-11 05:08:50 UTC"/>
        <s v="2022-04-11 05:07:25 UTC"/>
        <s v="2022-04-11 05:06:06 UTC"/>
        <s v="2022-04-11 05:05:11 UTC"/>
        <s v="2022-04-11 05:04:56 UTC"/>
        <s v="2022-04-11 05:04:05 UTC"/>
        <s v="2022-04-11 05:03:36 UTC"/>
        <s v="2022-04-11 05:02:08 UTC"/>
        <s v="2022-04-11 05:01:53 UTC"/>
        <s v="2022-04-11 04:56:08 UTC"/>
        <s v="2022-04-11 04:56:06 UTC"/>
        <s v="2022-04-11 04:55:53 UTC"/>
        <s v="2022-04-11 04:55:12 UTC"/>
        <s v="2022-04-11 04:54:56 UTC"/>
        <s v="2022-04-11 04:53:46 UTC"/>
        <s v="2022-04-11 04:51:17 UTC"/>
        <s v="2022-04-11 04:50:51 UTC"/>
        <s v="2022-04-11 04:50:36 UTC"/>
        <s v="2022-04-11 04:50:35 UTC"/>
        <s v="2022-04-11 04:49:22 UTC"/>
        <s v="2022-04-11 04:49:18 UTC"/>
        <s v="2022-04-11 04:49:16 UTC"/>
        <s v="2022-04-11 04:49:07 UTC"/>
        <s v="2022-04-11 04:47:32 UTC"/>
        <s v="2022-04-11 04:46:36 UTC"/>
        <s v="2022-04-11 04:46:32 UTC"/>
        <s v="2022-04-11 04:46:21 UTC"/>
        <s v="2022-04-11 04:45:01 UTC"/>
        <s v="2022-04-11 04:43:35 UTC"/>
        <s v="2022-04-11 04:42:48 UTC"/>
        <s v="2022-04-11 04:42:45 UTC"/>
        <s v="2022-04-11 04:40:22 UTC"/>
        <s v="2022-04-11 04:39:10 UTC"/>
        <s v="2022-04-11 04:37:40 UTC"/>
        <s v="2022-04-11 04:36:39 UTC"/>
        <s v="2022-04-11 04:36:26 UTC"/>
        <s v="2022-04-11 04:36:04 UTC"/>
        <s v="2022-04-11 04:35:58 UTC"/>
        <s v="2022-04-11 04:35:40 UTC"/>
        <s v="2022-04-11 04:34:30 UTC"/>
        <s v="2022-04-11 04:34:12 UTC"/>
        <s v="2022-04-11 04:33:17 UTC"/>
        <s v="2022-04-11 04:31:35 UTC"/>
        <s v="2022-04-11 04:31:03 UTC"/>
        <s v="2022-04-11 04:29:56 UTC"/>
        <s v="2022-04-11 04:27:53 UTC"/>
        <s v="2022-04-11 04:27:21 UTC"/>
        <s v="2022-04-11 04:26:08 UTC"/>
        <s v="2022-04-11 04:26:06 UTC"/>
        <s v="2022-04-11 04:25:23 UTC"/>
        <s v="2022-04-11 04:25:10 UTC"/>
        <s v="2022-04-11 04:25:08 UTC"/>
        <s v="2022-04-11 04:24:53 UTC"/>
        <s v="2022-04-11 04:24:47 UTC"/>
        <s v="2022-04-11 04:23:46 UTC"/>
        <s v="2022-04-11 04:23:43 UTC"/>
        <s v="2022-04-11 04:23:40 UTC"/>
        <s v="2022-04-11 04:23:37 UTC"/>
        <s v="2022-04-11 04:23:35 UTC"/>
        <s v="2022-04-11 04:23:33 UTC"/>
        <s v="2022-04-11 04:23:31 UTC"/>
        <s v="2022-04-11 04:23:29 UTC"/>
        <s v="2022-04-11 04:23:00 UTC"/>
        <s v="2022-04-11 04:21:49 UTC"/>
        <s v="2022-04-11 04:21:29 UTC"/>
        <s v="2022-04-11 04:19:44 UTC"/>
        <s v="2022-04-11 04:19:38 UTC"/>
        <s v="2022-04-11 04:19:36 UTC"/>
        <s v="2022-04-11 04:19:03 UTC"/>
        <s v="2022-04-11 04:18:59 UTC"/>
        <s v="2022-04-11 04:18:57 UTC"/>
        <s v="2022-04-11 04:18:55 UTC"/>
        <s v="2022-04-11 04:18:54 UTC"/>
        <s v="2022-04-11 04:18:53 UTC"/>
        <s v="2022-04-11 04:18:51 UTC"/>
        <s v="2022-04-11 04:18:50 UTC"/>
        <s v="2022-04-11 04:18:49 UTC"/>
        <s v="2022-04-11 04:18:47 UTC"/>
        <s v="2022-04-11 04:18:46 UTC"/>
        <s v="2022-04-11 04:18:44 UTC"/>
        <s v="2022-04-11 04:18:43 UTC"/>
        <s v="2022-04-11 04:18:42 UTC"/>
        <s v="2022-04-11 04:18:41 UTC"/>
        <s v="2022-04-11 04:18:39 UTC"/>
        <s v="2022-04-11 04:18:38 UTC"/>
        <s v="2022-04-11 04:18:37 UTC"/>
        <s v="2022-04-11 04:18:36 UTC"/>
        <s v="2022-04-11 04:18:35 UTC"/>
        <s v="2022-04-11 04:18:33 UTC"/>
        <s v="2022-04-11 04:18:30 UTC"/>
        <s v="2022-04-11 04:18:23 UTC"/>
        <s v="2022-04-11 04:17:57 UTC"/>
        <s v="2022-04-11 04:17:44 UTC"/>
        <s v="2022-04-11 04:14:49 UTC"/>
        <s v="2022-04-11 04:14:25 UTC"/>
        <s v="2022-04-11 04:14:11 UTC"/>
        <s v="2022-04-11 04:14:00 UTC"/>
        <s v="2022-04-11 04:12:47 UTC"/>
        <s v="2022-04-11 04:11:51 UTC"/>
        <s v="2022-04-11 04:09:54 UTC"/>
        <s v="2022-04-11 04:09:52 UTC"/>
        <s v="2022-04-11 04:09:42 UTC"/>
        <s v="2022-04-11 04:09:39 UTC"/>
        <s v="2022-04-11 04:08:55 UTC"/>
        <s v="2022-04-11 04:08:42 UTC"/>
        <s v="2022-04-11 04:08:39 UTC"/>
        <s v="2022-04-11 04:08:33 UTC"/>
        <s v="2022-04-11 04:08:20 UTC"/>
        <s v="2022-04-11 04:08:08 UTC"/>
        <s v="2022-04-11 04:08:06 UTC"/>
        <s v="2022-04-11 04:08:03 UTC"/>
        <s v="2022-04-11 04:07:59 UTC"/>
        <s v="2022-04-11 04:07:51 UTC"/>
        <s v="2022-04-11 04:07:12 UTC"/>
        <s v="2022-04-11 04:06:48 UTC"/>
        <s v="2022-04-11 04:06:43 UTC"/>
        <s v="2022-04-11 04:06:18 UTC"/>
        <s v="2022-04-11 04:05:39 UTC"/>
        <s v="2022-04-11 04:05:33 UTC"/>
        <s v="2022-04-11 04:05:27 UTC"/>
        <s v="2022-04-11 04:05:18 UTC"/>
        <s v="2022-04-11 04:00:31 UTC"/>
        <s v="2022-04-11 04:00:16 UTC"/>
        <s v="2022-04-11 03:59:35 UTC"/>
        <s v="2022-04-11 03:59:15 UTC"/>
        <s v="2022-04-11 03:58:55 UTC"/>
        <s v="2022-04-11 03:56:54 UTC"/>
        <s v="2022-04-11 03:56:07 UTC"/>
        <s v="2022-04-11 03:56:05 UTC"/>
        <s v="2022-04-11 03:56:00 UTC"/>
        <s v="2022-04-11 03:55:43 UTC"/>
        <s v="2022-04-11 03:54:51 UTC"/>
        <s v="2022-04-11 03:54:49 UTC"/>
        <s v="2022-04-11 03:54:30 UTC"/>
        <s v="2022-04-11 03:54:23 UTC"/>
        <s v="2022-04-11 03:50:09 UTC"/>
        <s v="2022-04-11 03:50:05 UTC"/>
        <s v="2022-04-11 03:49:59 UTC"/>
        <s v="2022-04-11 03:49:16 UTC"/>
        <s v="2022-04-11 03:46:17 UTC"/>
        <s v="2022-04-11 03:46:04 UTC"/>
        <s v="2022-04-11 03:46:03 UTC"/>
        <s v="2022-04-11 03:46:00 UTC"/>
        <s v="2022-04-11 03:45:58 UTC"/>
        <s v="2022-04-11 03:45:46 UTC"/>
        <s v="2022-04-11 03:44:59 UTC"/>
        <s v="2022-04-11 03:41:25 UTC"/>
        <s v="2022-04-11 03:41:23 UTC"/>
        <s v="2022-04-11 03:39:47 UTC"/>
        <s v="2022-04-11 03:38:39 UTC"/>
        <s v="2022-04-11 03:38:23 UTC"/>
        <s v="2022-04-11 03:37:31 UTC"/>
        <s v="2022-04-11 03:37:25 UTC"/>
        <s v="2022-04-11 03:37:23 UTC"/>
        <s v="2022-04-11 03:37:22 UTC"/>
        <s v="2022-04-11 03:37:21 UTC"/>
        <s v="2022-04-11 03:37:12 UTC"/>
        <s v="2022-04-11 03:37:04 UTC"/>
        <s v="2022-04-11 03:36:03 UTC"/>
        <s v="2022-04-11 03:33:38 UTC"/>
        <s v="2022-04-11 03:33:35 UTC"/>
        <s v="2022-04-11 03:33:11 UTC"/>
        <s v="2022-04-11 03:33:06 UTC"/>
        <s v="2022-04-11 03:33:04 UTC"/>
        <s v="2022-04-11 03:33:02 UTC"/>
        <s v="2022-04-11 03:32:57 UTC"/>
        <s v="2022-04-11 03:32:33 UTC"/>
        <s v="2022-04-11 03:32:32 UTC"/>
        <s v="2022-04-11 03:32:26 UTC"/>
        <s v="2022-04-11 03:32:24 UTC"/>
        <s v="2022-04-11 03:32:20 UTC"/>
        <s v="2022-04-11 03:31:57 UTC"/>
        <s v="2022-04-11 03:30:44 UTC"/>
        <s v="2022-04-11 03:28:50 UTC"/>
        <s v="2022-04-11 03:28:34 UTC"/>
        <s v="2022-04-11 03:27:31 UTC"/>
        <s v="2022-04-11 03:27:24 UTC"/>
        <s v="2022-04-11 03:27:23 UTC"/>
        <s v="2022-04-11 03:27:21 UTC"/>
        <s v="2022-04-11 03:27:14 UTC"/>
        <s v="2022-04-11 03:23:40 UTC"/>
        <s v="2022-04-11 03:23:38 UTC"/>
        <s v="2022-04-11 03:22:43 UTC"/>
        <s v="2022-04-11 03:22:41 UTC"/>
        <s v="2022-04-11 03:22:39 UTC"/>
        <s v="2022-04-11 03:22:37 UTC"/>
        <s v="2022-04-11 03:22:18 UTC"/>
        <s v="2022-04-11 03:22:16 UTC"/>
        <s v="2022-04-11 03:21:28 UTC"/>
        <s v="2022-04-11 03:21:26 UTC"/>
        <s v="2022-04-11 03:21:17 UTC"/>
        <s v="2022-04-11 03:21:15 UTC"/>
        <s v="2022-04-11 03:20:20 UTC"/>
        <s v="2022-04-11 03:20:06 UTC"/>
        <s v="2022-04-11 03:18:44 UTC"/>
        <s v="2022-04-11 03:18:13 UTC"/>
        <s v="2022-04-11 03:01:54 UTC"/>
        <s v="2022-04-11 03:01:38 UTC"/>
        <s v="2022-04-11 02:55:23 UTC"/>
        <s v="2022-04-11 02:54:45 UTC"/>
        <s v="2022-04-11 02:54:10 UTC"/>
        <s v="2022-04-11 02:53:39 UTC"/>
        <s v="2022-04-11 02:48:43 UTC"/>
        <s v="2022-04-11 02:48:38 UTC"/>
        <s v="2022-04-11 02:45:24 UTC"/>
        <s v="2022-04-11 02:45:22 UTC"/>
        <s v="2022-04-11 02:45:12 UTC"/>
        <s v="2022-04-11 02:45:09 UTC"/>
        <s v="2022-04-11 02:45:07 UTC"/>
        <s v="2022-04-11 02:45:02 UTC"/>
        <s v="2022-04-11 02:44:44 UTC"/>
        <s v="2022-04-11 02:44:29 UTC"/>
        <s v="2022-04-11 02:43:12 UTC"/>
        <s v="2022-04-11 02:43:10 UTC"/>
        <s v="2022-04-11 02:43:08 UTC"/>
        <s v="2022-04-11 02:42:49 UTC"/>
        <s v="2022-04-11 02:42:44 UTC"/>
        <s v="2022-04-11 02:42:33 UTC"/>
        <s v="2022-04-11 02:41:31 UTC"/>
        <s v="2022-04-11 02:41:13 UTC"/>
        <s v="2022-04-11 02:40:29 UTC"/>
        <s v="2022-04-11 02:40:27 UTC"/>
        <s v="2022-04-11 02:40:22 UTC"/>
        <s v="2022-04-11 02:40:15 UTC"/>
        <s v="2022-04-11 02:40:11 UTC"/>
        <s v="2022-04-11 02:40:06 UTC"/>
        <s v="2022-04-11 02:23:01 UTC"/>
        <s v="2022-04-11 02:22:59 UTC"/>
        <s v="2022-04-11 02:22:57 UTC"/>
        <s v="2022-04-11 02:22:50 UTC"/>
        <s v="2022-04-11 02:20:50 UTC"/>
        <s v="2022-04-11 02:20:00 UTC"/>
        <s v="2022-04-11 02:18:27 UTC"/>
        <s v="2022-04-11 02:16:47 UTC"/>
        <s v="2022-04-11 02:11:28 UTC"/>
        <s v="2022-04-11 02:08:15 UTC"/>
        <s v="2022-04-11 02:08:03 UTC"/>
        <s v="2022-04-11 02:06:44 UTC"/>
        <s v="2022-04-11 02:06:39 UTC"/>
        <s v="2022-04-11 02:06:35 UTC"/>
        <s v="2022-04-11 01:52:35 UTC"/>
        <s v="2022-04-11 01:50:46 UTC"/>
        <s v="2022-04-11 01:22:02 UTC"/>
        <s v="2022-04-11 01:21:06 UTC"/>
        <s v="2022-04-11 01:13:50 UTC"/>
        <s v="2022-04-11 01:13:43 UTC"/>
        <s v="2022-04-11 01:11:44 UTC"/>
        <s v="2022-04-11 01:11:33 UTC"/>
        <s v="2022-04-11 01:10:17 UTC"/>
        <s v="2022-04-11 01:09:57 UTC"/>
        <s v="2022-04-11 00:49:22 UTC"/>
        <s v="2022-04-11 00:49:20 UTC"/>
        <s v="2022-04-11 00:49:11 UTC"/>
        <s v="2022-04-11 00:47:50 UTC"/>
        <s v="2022-04-11 00:39:54 UTC"/>
        <s v="2022-04-11 00:39:52 UTC"/>
        <s v="2022-04-11 00:39:48 UTC"/>
        <s v="2022-04-11 00:39:34 UTC"/>
        <s v="2022-04-11 00:35:04 UTC"/>
        <s v="2022-04-11 00:33:32 UTC"/>
        <s v="2022-04-11 00:32:06 UTC"/>
        <s v="2022-04-11 00:32:04 UTC"/>
        <s v="2022-04-11 00:32:01 UTC"/>
        <s v="2022-04-11 00:28:38 UTC"/>
        <s v="2022-04-11 00:24:06 UTC"/>
        <s v="2022-04-11 00:14:01 UTC"/>
        <s v="2022-04-11 00:13:59 UTC"/>
        <s v="2022-04-11 00:12:31 UTC"/>
        <s v="2022-04-11 00:12:26 UTC"/>
        <s v="2022-04-11 00:12:06 UTC"/>
        <s v="2022-04-11 00:08:35 UTC"/>
        <s v="2022-04-10 23:26:56 UTC"/>
        <s v="2022-04-10 23:26:54 UTC"/>
        <s v="2022-04-10 23:26:13 UTC"/>
        <s v="2022-04-10 23:26:09 UTC"/>
        <s v="2022-04-10 23:26:01 UTC"/>
        <s v="2022-04-10 23:25:35 UTC"/>
        <s v="2022-04-10 23:25:05 UTC"/>
        <s v="2022-04-10 23:24:48 UTC"/>
        <s v="2022-04-10 23:24:44 UTC"/>
        <s v="2022-04-10 23:24:12 UTC"/>
        <s v="2022-04-10 23:23:56 UTC"/>
        <s v="2022-04-10 23:12:05 UTC"/>
        <s v="2022-04-10 23:12:02 UTC"/>
        <s v="2022-04-10 21:21:27 UTC"/>
        <s v="2022-04-10 20:53:49 UTC"/>
        <s v="2022-04-10 19:56:25 UTC"/>
        <s v="2022-04-10 19:27:10 UTC"/>
        <s v="2022-04-10 19:15:31 UTC"/>
        <s v="2022-04-10 19:15:03 UTC"/>
        <s v="2022-04-10 19:13:19 UTC"/>
        <s v="2022-04-10 19:13:12 UTC"/>
        <s v="2022-04-10 18:52:36 UTC"/>
        <s v="2022-04-10 18:52:33 UTC"/>
        <s v="2022-04-10 18:52:31 UTC"/>
        <s v="2022-04-10 18:22:28 UTC"/>
        <s v="2022-04-10 18:22:17 UTC"/>
        <s v="2022-04-10 18:18:29 UTC"/>
        <s v="2022-04-10 18:14:32 UTC"/>
        <s v="2022-04-10 18:09:34 UTC"/>
        <s v="2022-04-10 18:07:17 UTC"/>
        <s v="2022-04-10 18:07:14 UTC"/>
        <s v="2022-04-10 18:07:12 UTC"/>
        <s v="2022-04-10 18:07:10 UTC"/>
        <s v="2022-04-10 18:07:04 UTC"/>
        <s v="2022-04-10 18:07:01 UTC"/>
        <s v="2022-04-10 18:06:54 UTC"/>
        <s v="2022-04-10 18:06:49 UTC"/>
        <s v="2022-04-10 18:03:38 UTC"/>
        <s v="2022-04-10 18:03:22 UTC"/>
        <s v="2022-04-10 17:56:57 UTC"/>
        <s v="2022-04-10 17:56:07 UTC"/>
        <s v="2022-04-10 17:56:05 UTC"/>
        <s v="2022-04-10 17:56:01 UTC"/>
        <s v="2022-04-10 17:55:59 UTC"/>
        <s v="2022-04-10 17:54:18 UTC"/>
        <s v="2022-04-10 17:54:16 UTC"/>
        <s v="2022-04-10 17:38:02 UTC"/>
        <s v="2022-04-10 17:37:53 UTC"/>
        <s v="2022-04-10 17:21:56 UTC"/>
        <s v="2022-04-10 17:17:15 UTC"/>
        <s v="2022-04-10 17:16:44 UTC"/>
        <s v="2022-04-10 17:15:35 UTC"/>
        <s v="2022-04-10 17:12:39 UTC"/>
        <s v="2022-04-10 17:01:45 UTC"/>
        <s v="2022-04-10 16:55:07 UTC"/>
        <s v="2022-04-10 16:47:46 UTC"/>
        <s v="2022-04-10 16:45:47 UTC"/>
        <s v="2022-04-10 16:35:46 UTC"/>
        <s v="2022-04-10 16:34:29 UTC"/>
        <s v="2022-04-10 16:34:01 UTC"/>
        <s v="2022-04-10 16:29:39 UTC"/>
        <s v="2022-04-10 16:29:15 UTC"/>
        <s v="2022-04-10 16:24:53 UTC"/>
        <s v="2022-04-10 16:22:44 UTC"/>
        <s v="2022-04-10 16:22:41 UTC"/>
        <s v="2022-04-10 16:18:58 UTC"/>
        <s v="2022-04-10 16:11:33 UTC"/>
        <s v="2022-04-10 16:11:31 UTC"/>
        <s v="2022-04-10 16:06:05 UTC"/>
        <s v="2022-04-10 16:03:16 UTC"/>
        <s v="2022-04-10 16:01:58 UTC"/>
        <s v="2022-04-10 16:00:49 UTC"/>
        <s v="2022-04-10 16:00:47 UTC"/>
        <s v="2022-04-10 16:00:42 UTC"/>
        <s v="2022-04-10 16:00:40 UTC"/>
        <s v="2022-04-10 16:00:32 UTC"/>
        <s v="2022-04-10 15:58:54 UTC"/>
        <s v="2022-04-10 15:58:32 UTC"/>
        <s v="2022-04-10 15:54:47 UTC"/>
        <s v="2022-04-10 15:54:39 UTC"/>
        <s v="2022-04-10 15:52:10 UTC"/>
        <s v="2022-04-10 15:52:04 UTC"/>
        <s v="2022-04-10 15:50:56 UTC"/>
        <s v="2022-04-10 15:50:37 UTC"/>
        <s v="2022-04-10 15:50:02 UTC"/>
        <s v="2022-04-10 15:44:15 UTC"/>
        <s v="2022-04-10 15:40:46 UTC"/>
        <s v="2022-04-10 15:39:18 UTC"/>
        <s v="2022-04-10 15:31:09 UTC"/>
        <s v="2022-04-10 15:31:05 UTC"/>
        <s v="2022-04-10 15:31:04 UTC"/>
        <s v="2022-04-10 15:31:02 UTC"/>
        <s v="2022-04-10 15:31:01 UTC"/>
        <s v="2022-04-10 15:31:00 UTC"/>
        <s v="2022-04-10 15:30:58 UTC"/>
        <s v="2022-04-10 15:30:56 UTC"/>
        <s v="2022-04-10 15:30:53 UTC"/>
        <s v="2022-04-10 15:30:13 UTC"/>
        <s v="2022-04-10 15:30:11 UTC"/>
        <s v="2022-04-10 15:30:03 UTC"/>
        <s v="2022-04-10 15:29:36 UTC"/>
        <s v="2022-04-10 15:25:36 UTC"/>
        <s v="2022-04-10 15:25:06 UTC"/>
        <s v="2022-04-10 15:25:03 UTC"/>
        <s v="2022-04-10 15:23:32 UTC"/>
        <s v="2022-04-10 15:18:22 UTC"/>
        <s v="2022-04-10 15:14:52 UTC"/>
        <s v="2022-04-10 15:14:19 UTC"/>
        <s v="2022-04-10 15:13:36 UTC"/>
        <s v="2022-04-10 15:13:21 UTC"/>
        <s v="2022-04-10 15:13:16 UTC"/>
        <s v="2022-04-10 15:13:13 UTC"/>
        <s v="2022-04-10 15:13:01 UTC"/>
        <s v="2022-04-10 15:11:33 UTC"/>
        <s v="2022-04-10 14:59:57 UTC"/>
        <s v="2022-04-10 14:53:10 UTC"/>
        <s v="2022-04-10 14:52:48 UTC"/>
        <s v="2022-04-10 14:50:14 UTC"/>
        <s v="2022-04-10 14:48:53 UTC"/>
        <s v="2022-04-10 14:48:35 UTC"/>
        <s v="2022-04-10 14:43:52 UTC"/>
        <s v="2022-04-10 14:42:38 UTC"/>
        <s v="2022-04-10 14:39:45 UTC"/>
        <s v="2022-04-10 14:39:43 UTC"/>
        <s v="2022-04-10 14:39:35 UTC"/>
        <s v="2022-04-10 14:38:40 UTC"/>
        <s v="2022-04-10 14:38:36 UTC"/>
        <s v="2022-04-10 14:38:25 UTC"/>
        <s v="2022-04-10 14:38:15 UTC"/>
        <s v="2022-04-10 14:37:13 UTC"/>
        <s v="2022-04-10 14:34:53 UTC"/>
        <s v="2022-04-10 14:34:44 UTC"/>
        <s v="2022-04-10 14:33:40 UTC"/>
        <s v="2022-04-10 14:28:40 UTC"/>
        <s v="2022-04-10 14:28:38 UTC"/>
        <s v="2022-04-10 14:28:16 UTC"/>
        <s v="2022-04-10 14:27:35 UTC"/>
        <s v="2022-04-10 14:26:50 UTC"/>
        <s v="2022-04-10 14:26:40 UTC"/>
        <s v="2022-04-10 14:26:37 UTC"/>
        <s v="2022-04-10 14:26:27 UTC"/>
        <s v="2022-04-10 14:23:30 UTC"/>
        <s v="2022-04-10 14:23:25 UTC"/>
        <s v="2022-04-10 14:23:07 UTC"/>
        <s v="2022-04-10 14:22:59 UTC"/>
        <s v="2022-04-10 14:22:47 UTC"/>
        <s v="2022-04-10 14:22:41 UTC"/>
        <s v="2022-04-10 14:22:37 UTC"/>
        <s v="2022-04-10 14:22:33 UTC"/>
        <s v="2022-04-10 14:22:28 UTC"/>
        <s v="2022-04-10 14:22:24 UTC"/>
        <s v="2022-04-10 14:22:12 UTC"/>
        <s v="2022-04-10 14:22:06 UTC"/>
        <s v="2022-04-10 14:21:59 UTC"/>
        <s v="2022-04-10 14:21:52 UTC"/>
        <s v="2022-04-10 14:21:48 UTC"/>
        <s v="2022-04-10 14:21:43 UTC"/>
        <s v="2022-04-10 14:21:11 UTC"/>
        <s v="2022-04-10 14:21:06 UTC"/>
        <s v="2022-04-10 14:21:02 UTC"/>
        <s v="2022-04-10 14:20:58 UTC"/>
        <s v="2022-04-10 14:20:55 UTC"/>
        <s v="2022-04-10 14:20:53 UTC"/>
        <s v="2022-04-10 14:20:33 UTC"/>
        <s v="2022-04-10 14:17:14 UTC"/>
        <s v="2022-04-10 14:17:04 UTC"/>
        <s v="2022-04-10 14:16:34 UTC"/>
        <s v="2022-04-10 14:16:32 UTC"/>
        <s v="2022-04-10 14:16:30 UTC"/>
        <s v="2022-04-10 14:16:29 UTC"/>
        <s v="2022-04-10 14:16:28 UTC"/>
        <s v="2022-04-10 14:16:27 UTC"/>
        <s v="2022-04-10 14:16:25 UTC"/>
        <s v="2022-04-10 14:16:24 UTC"/>
        <s v="2022-04-10 14:16:23 UTC"/>
        <s v="2022-04-10 14:16:22 UTC"/>
        <s v="2022-04-10 14:16:21 UTC"/>
        <s v="2022-04-10 14:16:18 UTC"/>
        <s v="2022-04-10 14:16:17 UTC"/>
        <s v="2022-04-10 14:16:15 UTC"/>
        <s v="2022-04-10 14:16:14 UTC"/>
        <s v="2022-04-10 14:16:12 UTC"/>
        <s v="2022-04-10 14:16:10 UTC"/>
        <s v="2022-04-10 14:16:09 UTC"/>
        <s v="2022-04-10 14:16:07 UTC"/>
        <s v="2022-04-10 14:16:04 UTC"/>
        <s v="2022-04-10 14:16:00 UTC"/>
        <s v="2022-04-10 14:15:58 UTC"/>
        <s v="2022-04-10 14:15:56 UTC"/>
        <s v="2022-04-10 14:15:54 UTC"/>
        <s v="2022-04-10 14:15:49 UTC"/>
        <s v="2022-04-10 14:15:46 UTC"/>
        <s v="2022-04-10 14:15:44 UTC"/>
        <s v="2022-04-10 14:14:38 UTC"/>
        <s v="2022-04-10 14:14:02 UTC"/>
        <s v="2022-04-10 14:14:00 UTC"/>
        <s v="2022-04-10 14:13:58 UTC"/>
        <s v="2022-04-10 14:13:56 UTC"/>
        <s v="2022-04-10 14:13:43 UTC"/>
        <s v="2022-04-10 14:13:36 UTC"/>
        <s v="2022-04-10 14:13:34 UTC"/>
        <s v="2022-04-10 14:13:32 UTC"/>
        <s v="2022-04-10 14:13:28 UTC"/>
        <s v="2022-04-10 14:13:26 UTC"/>
        <s v="2022-04-10 14:13:07 UTC"/>
        <s v="2022-04-10 14:13:05 UTC"/>
        <s v="2022-04-10 14:13:02 UTC"/>
        <s v="2022-04-10 14:12:54 UTC"/>
        <s v="2022-04-10 14:12:40 UTC"/>
        <s v="2022-04-10 14:08:35 UTC"/>
        <s v="2022-04-10 14:07:29 UTC"/>
        <s v="2022-04-10 14:06:21 UTC"/>
        <s v="2022-04-10 14:06:18 UTC"/>
        <s v="2022-04-10 14:04:23 UTC"/>
        <s v="2022-04-10 14:02:54 UTC"/>
        <s v="2022-04-10 14:02:48 UTC"/>
        <s v="2022-04-10 14:02:27 UTC"/>
        <s v="2022-04-10 14:02:22 UTC"/>
        <s v="2022-04-10 14:01:39 UTC"/>
        <s v="2022-04-10 14:01:30 UTC"/>
        <s v="2022-04-10 14:01:22 UTC"/>
        <s v="2022-04-10 14:01:20 UTC"/>
        <s v="2022-04-10 14:00:55 UTC"/>
        <s v="2022-04-10 13:59:28 UTC"/>
        <s v="2022-04-10 13:58:57 UTC"/>
        <s v="2022-04-10 13:58:38 UTC"/>
        <s v="2022-04-10 13:57:58 UTC"/>
        <s v="2022-04-10 13:57:53 UTC"/>
        <s v="2022-04-10 13:57:50 UTC"/>
        <s v="2022-04-10 13:57:49 UTC"/>
        <s v="2022-04-10 13:57:48 UTC"/>
        <s v="2022-04-10 13:57:47 UTC"/>
        <s v="2022-04-10 13:57:46 UTC"/>
        <s v="2022-04-10 13:57:45 UTC"/>
        <s v="2022-04-10 13:57:44 UTC"/>
        <s v="2022-04-10 13:57:42 UTC"/>
        <s v="2022-04-10 13:57:41 UTC"/>
        <s v="2022-04-10 13:57:39 UTC"/>
        <s v="2022-04-10 13:57:37 UTC"/>
        <s v="2022-04-10 13:57:36 UTC"/>
        <s v="2022-04-10 13:57:34 UTC"/>
        <s v="2022-04-10 13:57:29 UTC"/>
        <s v="2022-04-10 13:57:27 UTC"/>
        <s v="2022-04-10 13:57:26 UTC"/>
        <s v="2022-04-10 13:57:17 UTC"/>
        <s v="2022-04-10 13:57:02 UTC"/>
        <s v="2022-04-10 13:56:47 UTC"/>
        <s v="2022-04-10 13:56:43 UTC"/>
        <s v="2022-04-10 13:56:25 UTC"/>
        <s v="2022-04-10 13:56:17 UTC"/>
        <s v="2022-04-10 13:56:13 UTC"/>
        <s v="2022-04-10 13:56:08 UTC"/>
        <s v="2022-04-10 13:55:57 UTC"/>
        <s v="2022-04-10 13:55:10 UTC"/>
        <s v="2022-04-10 13:55:07 UTC"/>
        <s v="2022-04-10 13:55:03 UTC"/>
        <s v="2022-04-10 13:54:56 UTC"/>
        <s v="2022-04-10 13:54:48 UTC"/>
        <s v="2022-04-10 13:53:07 UTC"/>
        <s v="2022-04-10 13:51:25 UTC"/>
        <s v="2022-04-10 13:50:57 UTC"/>
        <s v="2022-04-10 13:48:46 UTC"/>
        <s v="2022-04-10 13:42:02 UTC"/>
        <s v="2022-04-10 13:41:14 UTC"/>
        <s v="2022-04-10 13:41:02 UTC"/>
        <s v="2022-04-10 13:39:21 UTC"/>
        <s v="2022-04-10 13:39:17 UTC"/>
        <s v="2022-04-10 13:39:15 UTC"/>
        <s v="2022-04-10 13:39:09 UTC"/>
        <s v="2022-04-10 13:33:21 UTC"/>
        <s v="2022-04-10 13:31:17 UTC"/>
        <s v="2022-04-10 13:25:53 UTC"/>
        <s v="2022-04-10 13:25:08 UTC"/>
        <s v="2022-04-10 13:24:46 UTC"/>
        <s v="2022-04-10 13:24:35 UTC"/>
        <s v="2022-04-10 13:23:58 UTC"/>
        <s v="2022-04-10 13:23:56 UTC"/>
        <s v="2022-04-10 13:23:50 UTC"/>
        <s v="2022-04-10 13:22:07 UTC"/>
        <s v="2022-04-10 13:21:59 UTC"/>
        <s v="2022-04-10 13:21:57 UTC"/>
        <s v="2022-04-10 13:21:47 UTC"/>
        <s v="2022-04-10 13:07:29 UTC"/>
        <s v="2022-04-10 13:07:09 UTC"/>
        <s v="2022-04-10 13:07:07 UTC"/>
        <s v="2022-04-10 13:06:24 UTC"/>
        <s v="2022-04-10 13:05:13 UTC"/>
        <s v="2022-04-10 13:05:08 UTC"/>
        <s v="2022-04-10 13:04:57 UTC"/>
        <s v="2022-04-10 12:58:23 UTC"/>
        <s v="2022-04-10 12:55:58 UTC"/>
        <s v="2022-04-10 12:50:02 UTC"/>
        <s v="2022-04-10 12:43:17 UTC"/>
        <s v="2022-04-10 12:41:10 UTC"/>
        <s v="2022-04-10 12:30:09 UTC"/>
        <s v="2022-04-10 12:28:56 UTC"/>
        <s v="2022-04-10 12:28:39 UTC"/>
        <s v="2022-04-10 12:18:53 UTC"/>
        <s v="2022-04-10 12:07:33 UTC"/>
        <s v="2022-04-10 12:06:28 UTC"/>
        <s v="2022-04-10 12:05:27 UTC"/>
        <s v="2022-04-10 12:05:03 UTC"/>
        <s v="2022-04-10 12:04:47 UTC"/>
        <s v="2022-04-10 12:04:43 UTC"/>
        <s v="2022-04-10 12:04:13 UTC"/>
        <s v="2022-04-10 11:52:58 UTC"/>
        <s v="2022-04-10 11:52:27 UTC"/>
        <s v="2022-04-10 11:41:32 UTC"/>
        <s v="2022-04-10 11:41:29 UTC"/>
        <s v="2022-04-10 11:41:27 UTC"/>
        <s v="2022-04-10 11:40:17 UTC"/>
        <s v="2022-04-10 11:38:44 UTC"/>
        <s v="2022-04-10 11:38:19 UTC"/>
        <s v="2022-04-10 11:37:54 UTC"/>
        <s v="2022-04-10 11:37:51 UTC"/>
        <s v="2022-04-10 11:35:24 UTC"/>
        <s v="2022-04-10 11:35:23 UTC"/>
        <s v="2022-04-10 11:35:21 UTC"/>
        <s v="2022-04-10 11:35:12 UTC"/>
        <s v="2022-04-10 11:34:12 UTC"/>
        <s v="2022-04-10 11:32:44 UTC"/>
        <s v="2022-04-10 11:32:42 UTC"/>
        <s v="2022-04-10 11:28:56 UTC"/>
        <s v="2022-04-10 11:28:51 UTC"/>
        <s v="2022-04-10 11:27:59 UTC"/>
        <s v="2022-04-10 11:27:55 UTC"/>
        <s v="2022-04-10 11:27:53 UTC"/>
        <s v="2022-04-10 11:26:28 UTC"/>
        <s v="2022-04-10 11:17:14 UTC"/>
        <s v="2022-04-10 11:15:08 UTC"/>
        <s v="2022-04-10 11:14:39 UTC"/>
        <s v="2022-04-10 11:14:31 UTC"/>
        <s v="2022-04-10 11:12:03 UTC"/>
        <s v="2022-04-10 11:12:00 UTC"/>
        <s v="2022-04-10 11:08:12 UTC"/>
        <s v="2022-04-10 11:06:31 UTC"/>
        <s v="2022-04-10 11:06:15 UTC"/>
        <s v="2022-04-10 11:04:20 UTC"/>
        <s v="2022-04-10 10:47:30 UTC"/>
        <s v="2022-04-10 10:45:54 UTC"/>
        <s v="2022-04-10 10:36:28 UTC"/>
        <s v="2022-04-10 10:19:23 UTC"/>
        <s v="2022-04-10 10:18:41 UTC"/>
        <s v="2022-04-10 10:18:38 UTC"/>
        <s v="2022-04-10 10:18:34 UTC"/>
        <s v="2022-04-10 10:18:27 UTC"/>
        <s v="2022-04-10 10:18:25 UTC"/>
        <s v="2022-04-10 10:18:22 UTC"/>
        <s v="2022-04-10 10:18:18 UTC"/>
        <s v="2022-04-10 10:18:13 UTC"/>
        <s v="2022-04-10 10:18:11 UTC"/>
        <s v="2022-04-10 10:18:08 UTC"/>
        <s v="2022-04-10 10:18:05 UTC"/>
        <s v="2022-04-10 10:17:58 UTC"/>
        <s v="2022-04-10 10:17:38 UTC"/>
        <s v="2022-04-10 10:17:33 UTC"/>
        <s v="2022-04-10 10:16:53 UTC"/>
        <s v="2022-04-10 10:12:56 UTC"/>
        <s v="2022-04-10 10:12:24 UTC"/>
        <s v="2022-04-10 10:12:16 UTC"/>
        <s v="2022-04-10 10:07:28 UTC"/>
        <s v="2022-04-10 10:06:35 UTC"/>
        <s v="2022-04-10 10:06:33 UTC"/>
        <s v="2022-04-10 10:06:31 UTC"/>
        <s v="2022-04-10 10:06:22 UTC"/>
        <s v="2022-04-10 10:06:21 UTC"/>
        <s v="2022-04-10 10:02:09 UTC"/>
        <s v="2022-04-10 10:01:39 UTC"/>
        <s v="2022-04-10 09:53:39 UTC"/>
        <s v="2022-04-10 09:53:37 UTC"/>
        <s v="2022-04-10 09:53:32 UTC"/>
        <s v="2022-04-10 09:53:27 UTC"/>
        <s v="2022-04-10 09:53:25 UTC"/>
        <s v="2022-04-10 09:53:21 UTC"/>
        <s v="2022-04-10 09:51:02 UTC"/>
        <s v="2022-04-10 09:50:12 UTC"/>
        <s v="2022-04-10 09:47:33 UTC"/>
        <s v="2022-04-10 09:47:28 UTC"/>
        <s v="2022-04-10 09:47:24 UTC"/>
        <s v="2022-04-10 09:44:49 UTC"/>
        <s v="2022-04-10 09:44:48 UTC"/>
        <s v="2022-04-10 09:38:48 UTC"/>
        <s v="2022-04-10 09:38:44 UTC"/>
        <s v="2022-04-10 09:36:06 UTC"/>
        <s v="2022-04-10 09:34:10 UTC"/>
        <s v="2022-04-10 09:32:16 UTC"/>
        <s v="2022-04-10 09:31:04 UTC"/>
        <s v="2022-04-10 09:30:00 UTC"/>
        <s v="2022-04-10 09:29:49 UTC"/>
        <s v="2022-04-10 09:29:11 UTC"/>
        <s v="2022-04-10 09:28:41 UTC"/>
        <s v="2022-04-10 09:26:49 UTC"/>
        <s v="2022-04-10 09:25:18 UTC"/>
        <s v="2022-04-10 09:24:15 UTC"/>
        <s v="2022-04-10 09:24:09 UTC"/>
        <s v="2022-04-10 09:20:12 UTC"/>
        <s v="2022-04-10 09:20:09 UTC"/>
        <s v="2022-04-10 09:19:56 UTC"/>
        <s v="2022-04-10 09:19:40 UTC"/>
        <s v="2022-04-10 09:13:06 UTC"/>
        <s v="2022-04-10 09:12:46 UTC"/>
        <s v="2022-04-10 09:11:46 UTC"/>
        <s v="2022-04-10 09:11:16 UTC"/>
        <s v="2022-04-10 09:00:43 UTC"/>
        <s v="2022-04-10 08:59:31 UTC"/>
        <s v="2022-04-10 08:59:05 UTC"/>
        <s v="2022-04-10 08:50:55 UTC"/>
        <s v="2022-04-10 08:50:45 UTC"/>
        <s v="2022-04-10 08:50:34 UTC"/>
        <s v="2022-04-10 08:50:27 UTC"/>
        <s v="2022-04-10 08:50:24 UTC"/>
        <s v="2022-04-10 08:49:47 UTC"/>
        <s v="2022-04-10 08:49:34 UTC"/>
        <s v="2022-04-10 08:49:32 UTC"/>
        <s v="2022-04-10 08:49:31 UTC"/>
        <s v="2022-04-10 08:49:30 UTC"/>
        <s v="2022-04-10 08:49:29 UTC"/>
        <s v="2022-04-10 08:49:27 UTC"/>
        <s v="2022-04-10 08:49:25 UTC"/>
        <s v="2022-04-10 08:49:24 UTC"/>
        <s v="2022-04-10 08:49:18 UTC"/>
        <s v="2022-04-10 08:49:14 UTC"/>
        <s v="2022-04-10 08:49:10 UTC"/>
        <s v="2022-04-10 08:49:07 UTC"/>
        <s v="2022-04-10 08:48:58 UTC"/>
        <s v="2022-04-10 08:48:46 UTC"/>
        <s v="2022-04-10 08:48:38 UTC"/>
        <s v="2022-04-10 08:41:25 UTC"/>
        <s v="2022-04-10 08:36:40 UTC"/>
        <s v="2022-04-10 08:27:16 UTC"/>
        <s v="2022-04-10 08:25:36 UTC"/>
        <s v="2022-04-10 08:20:25 UTC"/>
        <s v="2022-04-10 08:18:53 UTC"/>
        <s v="2022-04-10 08:17:52 UTC"/>
        <s v="2022-04-10 08:16:51 UTC"/>
        <s v="2022-04-10 08:16:47 UTC"/>
        <s v="2022-04-10 08:09:44 UTC"/>
        <s v="2022-04-10 08:09:29 UTC"/>
        <s v="2022-04-10 08:09:27 UTC"/>
        <s v="2022-04-10 08:09:26 UTC"/>
        <s v="2022-04-10 08:05:46 UTC"/>
        <s v="2022-04-10 08:05:35 UTC"/>
        <s v="2022-04-10 08:05:33 UTC"/>
        <s v="2022-04-10 08:02:59 UTC"/>
        <s v="2022-04-10 08:02:55 UTC"/>
        <s v="2022-04-10 08:02:46 UTC"/>
        <s v="2022-04-10 08:02:35 UTC"/>
        <s v="2022-04-10 08:01:48 UTC"/>
        <s v="2022-04-10 08:01:43 UTC"/>
        <s v="2022-04-10 08:01:21 UTC"/>
        <s v="2022-04-10 07:59:27 UTC"/>
        <s v="2022-04-10 07:59:20 UTC"/>
        <s v="2022-04-10 07:58:46 UTC"/>
        <s v="2022-04-10 07:58:36 UTC"/>
        <s v="2022-04-10 07:52:25 UTC"/>
        <s v="2022-04-10 07:36:57 UTC"/>
        <s v="2022-04-10 07:30:00 UTC"/>
        <s v="2022-04-10 07:29:36 UTC"/>
        <s v="2022-04-10 07:24:39 UTC"/>
        <s v="2022-04-10 07:22:54 UTC"/>
        <s v="2022-04-10 07:17:47 UTC"/>
        <s v="2022-04-10 07:17:42 UTC"/>
        <s v="2022-04-10 07:17:33 UTC"/>
        <s v="2022-04-10 07:17:26 UTC"/>
        <s v="2022-04-10 07:14:08 UTC"/>
        <s v="2022-04-10 07:12:20 UTC"/>
        <s v="2022-04-10 07:08:16 UTC"/>
        <s v="2022-04-10 06:48:52 UTC"/>
        <s v="2022-04-10 06:48:46 UTC"/>
        <s v="2022-04-10 06:48:11 UTC"/>
        <s v="2022-04-10 06:38:50 UTC"/>
        <s v="2022-04-10 06:38:38 UTC"/>
        <s v="2022-04-10 06:38:18 UTC"/>
        <s v="2022-04-10 06:38:10 UTC"/>
        <s v="2022-04-10 06:37:56 UTC"/>
        <s v="2022-04-10 06:36:32 UTC"/>
        <s v="2022-04-10 06:36:13 UTC"/>
        <s v="2022-04-10 06:35:20 UTC"/>
        <s v="2022-04-10 06:31:05 UTC"/>
        <s v="2022-04-10 06:26:55 UTC"/>
        <s v="2022-04-10 06:24:59 UTC"/>
        <s v="2022-04-10 06:15:59 UTC"/>
        <s v="2022-04-10 06:04:48 UTC"/>
        <s v="2022-04-10 06:04:44 UTC"/>
        <s v="2022-04-10 06:04:18 UTC"/>
        <s v="2022-04-10 06:02:34 UTC"/>
        <s v="2022-04-10 06:01:31 UTC"/>
        <s v="2022-04-10 06:00:42 UTC"/>
        <s v="2022-04-10 06:00:37 UTC"/>
        <s v="2022-04-10 06:00:33 UTC"/>
        <s v="2022-04-10 05:56:26 UTC"/>
        <s v="2022-04-10 05:54:11 UTC"/>
        <s v="2022-04-10 05:37:03 UTC"/>
        <s v="2022-04-10 05:33:08 UTC"/>
        <s v="2022-04-10 05:32:45 UTC"/>
        <s v="2022-04-10 05:29:27 UTC"/>
        <s v="2022-04-10 05:25:22 UTC"/>
        <s v="2022-04-10 05:22:39 UTC"/>
        <s v="2022-04-10 05:22:06 UTC"/>
        <s v="2022-04-10 05:22:00 UTC"/>
        <s v="2022-04-10 05:21:33 UTC"/>
        <s v="2022-04-10 05:15:46 UTC"/>
        <s v="2022-04-10 05:15:08 UTC"/>
        <s v="2022-04-10 05:12:08 UTC"/>
        <s v="2022-04-10 05:12:05 UTC"/>
        <s v="2022-04-10 05:11:49 UTC"/>
        <s v="2022-04-10 05:11:37 UTC"/>
        <s v="2022-04-10 05:11:13 UTC"/>
        <s v="2022-04-10 05:11:11 UTC"/>
        <s v="2022-04-10 05:11:08 UTC"/>
        <s v="2022-04-10 05:11:06 UTC"/>
        <s v="2022-04-10 05:11:02 UTC"/>
        <s v="2022-04-10 05:10:59 UTC"/>
        <s v="2022-04-10 05:10:56 UTC"/>
        <s v="2022-04-10 05:10:54 UTC"/>
        <s v="2022-04-10 05:10:52 UTC"/>
        <s v="2022-04-10 05:10:49 UTC"/>
        <s v="2022-04-10 05:10:46 UTC"/>
        <s v="2022-04-10 05:10:44 UTC"/>
        <s v="2022-04-10 05:10:41 UTC"/>
        <s v="2022-04-10 05:10:39 UTC"/>
        <s v="2022-04-10 05:10:36 UTC"/>
        <s v="2022-04-10 05:10:33 UTC"/>
        <s v="2022-04-10 05:10:24 UTC"/>
        <s v="2022-04-10 05:10:15 UTC"/>
        <s v="2022-04-10 05:10:13 UTC"/>
        <s v="2022-04-10 05:10:07 UTC"/>
        <s v="2022-04-10 05:10:03 UTC"/>
        <s v="2022-04-10 05:09:54 UTC"/>
        <s v="2022-04-10 05:09:53 UTC"/>
        <s v="2022-04-10 05:09:50 UTC"/>
        <s v="2022-04-10 05:09:45 UTC"/>
        <s v="2022-04-10 05:09:34 UTC"/>
        <s v="2022-04-10 05:09:32 UTC"/>
        <s v="2022-04-10 05:09:06 UTC"/>
        <s v="2022-04-10 05:08:49 UTC"/>
        <s v="2022-04-10 05:08:47 UTC"/>
        <s v="2022-04-10 05:08:38 UTC"/>
        <s v="2022-04-10 05:08:36 UTC"/>
        <s v="2022-04-10 05:08:25 UTC"/>
        <s v="2022-04-10 05:08:17 UTC"/>
        <s v="2022-04-10 05:08:16 UTC"/>
        <s v="2022-04-10 05:07:59 UTC"/>
        <s v="2022-04-10 05:07:29 UTC"/>
        <s v="2022-04-10 05:07:27 UTC"/>
        <s v="2022-04-10 05:07:24 UTC"/>
        <s v="2022-04-10 05:07:20 UTC"/>
        <s v="2022-04-10 05:07:17 UTC"/>
        <s v="2022-04-10 05:06:46 UTC"/>
        <s v="2022-04-10 05:06:39 UTC"/>
        <s v="2022-04-10 05:06:25 UTC"/>
        <s v="2022-04-10 05:06:21 UTC"/>
        <s v="2022-04-10 05:06:19 UTC"/>
        <s v="2022-04-10 05:04:53 UTC"/>
        <s v="2022-04-10 04:55:44 UTC"/>
        <s v="2022-04-10 04:46:49 UTC"/>
        <s v="2022-04-10 04:46:29 UTC"/>
        <s v="2022-04-10 04:46:00 UTC"/>
        <s v="2022-04-10 04:45:10 UTC"/>
        <s v="2022-04-10 04:45:03 UTC"/>
        <s v="2022-04-10 04:44:04 UTC"/>
        <s v="2022-04-10 04:44:02 UTC"/>
        <s v="2022-04-10 04:40:41 UTC"/>
        <s v="2022-04-10 04:35:18 UTC"/>
        <s v="2022-04-10 04:34:27 UTC"/>
        <s v="2022-04-10 04:32:37 UTC"/>
        <s v="2022-04-10 04:32:10 UTC"/>
        <s v="2022-04-10 04:23:20 UTC"/>
        <s v="2022-04-10 04:22:46 UTC"/>
        <s v="2022-04-10 04:22:28 UTC"/>
        <s v="2022-04-10 04:21:37 UTC"/>
        <s v="2022-04-10 04:20:35 UTC"/>
        <s v="2022-04-10 04:20:32 UTC"/>
        <s v="2022-04-10 04:15:21 UTC"/>
        <s v="2022-04-10 04:13:56 UTC"/>
        <s v="2022-04-10 04:13:12 UTC"/>
        <s v="2022-04-10 04:13:08 UTC"/>
        <s v="2022-04-10 04:13:06 UTC"/>
        <s v="2022-04-10 04:12:43 UTC"/>
        <s v="2022-04-10 04:12:41 UTC"/>
        <s v="2022-04-10 04:12:39 UTC"/>
        <s v="2022-04-10 04:12:36 UTC"/>
        <s v="2022-04-10 04:12:34 UTC"/>
        <s v="2022-04-10 04:12:32 UTC"/>
        <s v="2022-04-10 04:09:03 UTC"/>
        <s v="2022-04-10 04:09:01 UTC"/>
        <s v="2022-04-10 04:08:55 UTC"/>
        <s v="2022-04-10 04:08:51 UTC"/>
        <s v="2022-04-10 04:08:49 UTC"/>
        <s v="2022-04-10 04:08:48 UTC"/>
        <s v="2022-04-10 04:08:46 UTC"/>
        <s v="2022-04-10 04:08:44 UTC"/>
        <s v="2022-04-10 04:08:35 UTC"/>
        <s v="2022-04-10 04:08:19 UTC"/>
        <s v="2022-04-10 04:07:15 UTC"/>
        <s v="2022-04-10 04:03:06 UTC"/>
        <s v="2022-04-10 04:00:15 UTC"/>
        <s v="2022-04-10 03:58:28 UTC"/>
        <s v="2022-04-10 03:57:02 UTC"/>
        <s v="2022-04-10 03:56:30 UTC"/>
        <s v="2022-04-10 03:55:31 UTC"/>
        <s v="2022-04-10 03:51:55 UTC"/>
        <s v="2022-04-10 03:50:24 UTC"/>
        <s v="2022-04-10 03:47:43 UTC"/>
        <s v="2022-04-10 03:47:42 UTC"/>
        <s v="2022-04-10 03:47:41 UTC"/>
        <s v="2022-04-10 03:47:33 UTC"/>
        <s v="2022-04-10 03:47:28 UTC"/>
        <s v="2022-04-10 03:45:18 UTC"/>
        <s v="2022-04-10 03:45:01 UTC"/>
        <s v="2022-04-10 03:44:58 UTC"/>
        <s v="2022-04-10 03:44:25 UTC"/>
        <s v="2022-04-10 03:41:45 UTC"/>
        <s v="2022-04-10 03:41:04 UTC"/>
        <s v="2022-04-10 03:40:57 UTC"/>
        <s v="2022-04-10 03:40:54 UTC"/>
        <s v="2022-04-10 03:32:23 UTC"/>
        <s v="2022-04-10 03:31:17 UTC"/>
        <s v="2022-04-10 03:30:23 UTC"/>
        <s v="2022-04-10 03:30:18 UTC"/>
        <s v="2022-04-10 03:30:14 UTC"/>
        <s v="2022-04-10 03:30:10 UTC"/>
        <s v="2022-04-10 03:28:37 UTC"/>
        <s v="2022-04-10 03:28:34 UTC"/>
        <s v="2022-04-10 03:28:29 UTC"/>
        <s v="2022-04-10 03:11:01 UTC"/>
        <s v="2022-04-10 03:08:38 UTC"/>
        <s v="2022-04-10 02:50:50 UTC"/>
        <s v="2022-04-10 02:09:10 UTC"/>
        <s v="2022-04-10 00:07:42 UTC"/>
        <s v="2022-04-09 23:44:57 UTC"/>
        <s v="2022-04-09 22:26:12 UTC"/>
        <s v="2022-04-09 22:25:37 UTC"/>
        <s v="2022-04-09 19:42:07 UTC"/>
        <s v="2022-04-09 19:26:41 UTC"/>
        <s v="2022-04-09 19:20:20 UTC"/>
        <s v="2022-04-09 19:00:48 UTC"/>
        <s v="2022-04-09 18:46:54 UTC"/>
        <s v="2022-04-09 18:33:48 UTC"/>
        <s v="2022-04-09 18:17:43 UTC"/>
        <s v="2022-04-09 18:09:57 UTC"/>
        <s v="2022-04-09 17:52:42 UTC"/>
        <s v="2022-04-09 17:11:01 UTC"/>
        <s v="2022-04-09 16:01:02 UTC"/>
        <s v="2022-04-09 15:49:31 UTC"/>
        <s v="2022-04-09 15:48:53 UTC"/>
        <s v="2022-04-09 15:33:35 UTC"/>
        <s v="2022-04-09 15:14:47 UTC"/>
        <s v="2022-04-09 15:03:31 UTC"/>
        <s v="2022-04-09 14:13:52 UTC"/>
        <s v="2022-04-09 13:40:31 UTC"/>
        <s v="2022-04-09 13:30:19 UTC"/>
        <s v="2022-04-09 13:00:55 UTC"/>
        <s v="2022-04-09 12:59:55 UTC"/>
        <s v="2022-04-09 12:53:37 UTC"/>
        <s v="2022-04-09 12:40:41 UTC"/>
        <s v="2022-04-09 12:40:39 UTC"/>
        <s v="2022-04-09 12:22:08 UTC"/>
        <s v="2022-04-09 12:07:02 UTC"/>
        <s v="2022-04-09 11:34:47 UTC"/>
        <s v="2022-04-09 11:30:58 UTC"/>
        <s v="2022-04-09 11:25:10 UTC"/>
        <s v="2022-04-09 11:21:04 UTC"/>
        <s v="2022-04-09 10:45:29 UTC"/>
        <s v="2022-04-09 10:25:02 UTC"/>
        <s v="2022-04-09 10:22:24 UTC"/>
        <s v="2022-04-09 10:20:59 UTC"/>
        <s v="2022-04-09 09:59:43 UTC"/>
        <s v="2022-04-09 09:59:13 UTC"/>
        <s v="2022-04-09 09:31:08 UTC"/>
        <s v="2022-04-09 09:19:20 UTC"/>
        <s v="2022-04-09 09:19:15 UTC"/>
        <s v="2022-04-09 09:19:08 UTC"/>
        <s v="2022-04-09 08:38:34 UTC"/>
        <s v="2022-04-09 08:35:46 UTC"/>
        <s v="2022-04-09 08:35:10 UTC"/>
        <s v="2022-04-09 08:08:10 UTC"/>
        <s v="2022-04-09 08:07:58 UTC"/>
        <s v="2022-04-09 08:07:54 UTC"/>
        <s v="2022-04-09 08:07:40 UTC"/>
        <s v="2022-04-09 08:07:04 UTC"/>
        <s v="2022-04-09 07:35:53 UTC"/>
        <s v="2022-04-09 07:13:52 UTC"/>
        <s v="2022-04-09 07:07:00 UTC"/>
        <s v="2022-04-09 06:54:38 UTC"/>
        <s v="2022-04-09 06:54:05 UTC"/>
        <s v="2022-04-09 06:54:03 UTC"/>
        <s v="2022-04-09 06:53:59 UTC"/>
        <s v="2022-04-09 06:53:56 UTC"/>
        <s v="2022-04-09 06:53:55 UTC"/>
        <s v="2022-04-09 06:21:33 UTC"/>
        <s v="2022-04-09 06:04:11 UTC"/>
        <s v="2022-04-09 05:54:17 UTC"/>
        <s v="2022-04-09 05:46:28 UTC"/>
        <s v="2022-04-09 05:45:34 UTC"/>
        <s v="2022-04-09 05:44:49 UTC"/>
        <s v="2022-04-09 05:44:14 UTC"/>
        <s v="2022-04-09 05:42:05 UTC"/>
        <s v="2022-04-09 05:39:42 UTC"/>
        <s v="2022-04-09 05:38:51 UTC"/>
        <s v="2022-04-09 05:35:22 UTC"/>
        <s v="2022-04-09 05:28:52 UTC"/>
        <s v="2022-04-09 05:15:01 UTC"/>
        <s v="2022-04-09 04:47:38 UTC"/>
        <s v="2022-04-09 04:43:22 UTC"/>
        <s v="2022-04-09 04:32:41 UTC"/>
        <s v="2022-04-09 04:24:12 UTC"/>
        <s v="2022-04-09 04:20:39 UTC"/>
        <s v="2022-04-09 04:10:01 UTC"/>
        <s v="2022-04-09 03:55:38 UTC"/>
        <s v="2022-04-09 02:56:08 UTC"/>
        <s v="2022-04-09 02:04:48 UTC"/>
        <s v="2022-04-09 02:00:10 UTC"/>
        <s v="2022-04-09 00:56:58 UTC"/>
        <s v="2022-04-09 00:53:42 UTC"/>
        <s v="2022-04-09 00:52:02 UTC"/>
        <s v="2022-04-09 00:50:29 UTC"/>
        <s v="2022-04-09 00:47:41 UTC"/>
        <s v="2022-04-09 00:43:44 UTC"/>
        <s v="2022-04-09 00:41:32 UTC"/>
        <s v="2022-04-09 00:41:27 UTC"/>
        <s v="2022-04-09 00:33:49 UTC"/>
        <s v="2022-04-09 00:28:22 UTC"/>
        <s v="2022-04-09 00:23:21 UTC"/>
        <s v="2022-04-09 00:18:09 UTC"/>
        <s v="2022-04-09 00:13:26 UTC"/>
        <s v="2022-04-09 00:09:17 UTC"/>
        <s v="2022-04-09 00:09:13 UTC"/>
        <s v="2022-04-09 00:06:40 UTC"/>
        <s v="2022-04-09 00:06:35 UTC"/>
        <s v="2022-04-09 00:02:48 UTC"/>
        <s v="2022-04-09 00:02:42 UTC"/>
        <s v="2022-04-08 23:58:08 UTC"/>
        <s v="2022-04-08 23:58:04 UTC"/>
        <s v="2022-04-08 23:37:49 UTC"/>
        <s v="2022-04-08 21:36:41 UTC"/>
        <s v="2022-04-08 20:58:56 UTC"/>
        <s v="2022-04-08 18:28:57 UTC"/>
        <s v="2022-04-08 18:27:11 UTC"/>
        <s v="2022-04-08 17:21:41 UTC"/>
        <s v="2022-04-08 17:21:38 UTC"/>
        <s v="2022-04-08 16:45:43 UTC"/>
        <s v="2022-04-08 16:17:29 UTC"/>
        <s v="2022-04-08 14:41:35 UTC"/>
        <s v="2022-04-08 14:05:10 UTC"/>
        <s v="2022-04-08 13:51:24 UTC"/>
        <s v="2022-04-08 13:51:19 UTC"/>
        <s v="2022-04-08 11:48:32 UTC"/>
        <s v="2022-04-08 11:21:27 UTC"/>
        <s v="2022-04-08 11:08:41 UTC"/>
        <s v="2022-04-08 10:45:46 UTC"/>
        <s v="2022-04-08 10:31:42 UTC"/>
        <s v="2022-04-08 10:31:14 UTC"/>
        <s v="2022-04-08 10:15:28 UTC"/>
        <s v="2022-04-08 10:14:18 UTC"/>
        <s v="2022-04-08 10:13:39 UTC"/>
        <s v="2022-04-08 10:06:23 UTC"/>
        <s v="2022-04-08 10:06:13 UTC"/>
        <s v="2022-04-08 09:59:42 UTC"/>
        <s v="2022-04-08 09:59:14 UTC"/>
        <s v="2022-04-08 09:58:19 UTC"/>
        <s v="2022-04-08 09:53:31 UTC"/>
        <s v="2022-04-08 09:52:06 UTC"/>
        <s v="2022-04-08 09:52:03 UTC"/>
        <s v="2022-04-08 09:51:50 UTC"/>
        <s v="2022-04-08 09:51:49 UTC"/>
        <s v="2022-04-08 09:47:23 UTC"/>
        <s v="2022-04-08 09:41:40 UTC"/>
        <s v="2022-04-08 09:31:40 UTC"/>
        <s v="2022-04-08 09:24:09 UTC"/>
        <s v="2022-04-08 09:24:03 UTC"/>
        <s v="2022-04-08 09:13:20 UTC"/>
        <s v="2022-04-08 09:05:28 UTC"/>
        <s v="2022-04-08 08:59:23 UTC"/>
        <s v="2022-04-08 08:59:16 UTC"/>
        <s v="2022-04-08 08:52:51 UTC"/>
        <s v="2022-04-08 08:49:25 UTC"/>
        <s v="2022-04-08 08:43:07 UTC"/>
        <s v="2022-04-08 08:37:07 UTC"/>
        <s v="2022-04-08 08:23:58 UTC"/>
        <s v="2022-04-08 08:23:49 UTC"/>
        <s v="2022-04-08 08:23:37 UTC"/>
        <s v="2022-04-08 08:06:00 UTC"/>
        <s v="2022-04-08 07:46:13 UTC"/>
        <s v="2022-04-08 07:45:59 UTC"/>
        <s v="2022-04-08 07:44:40 UTC"/>
        <s v="2022-04-08 07:44:23 UTC"/>
        <s v="2022-04-08 07:40:30 UTC"/>
        <s v="2022-04-08 07:40:23 UTC"/>
        <s v="2022-04-08 07:36:30 UTC"/>
        <s v="2022-04-08 07:36:10 UTC"/>
        <s v="2022-04-08 07:36:03 UTC"/>
        <s v="2022-04-08 07:35:53 UTC"/>
        <s v="2022-04-08 07:15:13 UTC"/>
        <s v="2022-04-08 07:15:11 UTC"/>
        <s v="2022-04-08 07:15:04 UTC"/>
        <s v="2022-04-08 07:15:02 UTC"/>
        <s v="2022-04-08 07:15:00 UTC"/>
        <s v="2022-04-08 07:14:52 UTC"/>
        <s v="2022-04-08 07:14:50 UTC"/>
        <s v="2022-04-08 07:11:06 UTC"/>
        <s v="2022-04-08 07:10:57 UTC"/>
        <s v="2022-04-08 07:10:40 UTC"/>
        <s v="2022-04-08 07:01:59 UTC"/>
        <s v="2022-04-08 06:29:58 UTC"/>
        <s v="2022-04-08 06:19:31 UTC"/>
        <s v="2022-04-08 06:19:20 UTC"/>
        <s v="2022-04-08 06:13:57 UTC"/>
        <s v="2022-04-08 06:05:48 UTC"/>
        <s v="2022-04-08 06:01:45 UTC"/>
        <s v="2022-04-08 05:59:42 UTC"/>
        <s v="2022-04-08 05:58:31 UTC"/>
        <s v="2022-04-08 05:57:59 UTC"/>
        <s v="2022-04-08 05:57:49 UTC"/>
        <s v="2022-04-08 05:40:04 UTC"/>
        <s v="2022-04-08 05:40:02 UTC"/>
        <s v="2022-04-08 05:26:23 UTC"/>
        <s v="2022-04-08 05:13:42 UTC"/>
        <s v="2022-04-08 04:55:08 UTC"/>
        <s v="2022-04-08 04:51:02 UTC"/>
        <s v="2022-04-08 04:50:31 UTC"/>
        <s v="2022-04-08 04:50:21 UTC"/>
        <s v="2022-04-08 04:35:38 UTC"/>
        <s v="2022-04-08 03:58:40 UTC"/>
        <s v="2022-04-08 03:58:35 UTC"/>
        <s v="2022-04-08 03:58:21 UTC"/>
        <s v="2022-04-08 03:58:10 UTC"/>
        <s v="2022-04-08 03:47:37 UTC"/>
        <s v="2022-04-08 03:43:32 UTC"/>
        <s v="2022-04-08 03:41:09 UTC"/>
        <s v="2022-04-08 01:42:42 UTC"/>
        <s v="2022-04-08 01:29:01 UTC"/>
        <s v="2022-04-08 01:26:15 UTC"/>
        <s v="2022-04-08 01:21:21 UTC"/>
        <s v="2022-04-08 01:13:58 UTC"/>
        <s v="2022-04-08 01:13:53 UTC"/>
        <s v="2022-04-08 01:11:33 UTC"/>
        <s v="2022-04-08 01:05:41 UTC"/>
        <s v="2022-04-08 01:05:36 UTC"/>
        <s v="2022-04-08 00:55:15 UTC"/>
        <s v="2022-04-08 00:46:10 UTC"/>
        <s v="2022-04-08 00:45:28 UTC"/>
        <s v="2022-04-08 00:45:20 UTC"/>
        <s v="2022-04-08 00:34:40 UTC"/>
        <s v="2022-04-08 00:30:42 UTC"/>
        <s v="2022-04-07 23:24:44 UTC"/>
        <s v="2022-04-07 21:36:21 UTC"/>
        <s v="2022-04-07 16:38:16 UTC"/>
        <s v="2022-04-07 16:25:04 UTC"/>
        <s v="2022-04-07 14:56:49 UTC"/>
        <s v="2022-04-07 14:43:12 UTC"/>
        <s v="2022-04-07 14:43:09 UTC"/>
        <s v="2022-04-07 14:07:56 UTC"/>
        <s v="2022-04-07 14:00:09 UTC"/>
        <s v="2022-04-07 14:00:06 UTC"/>
        <s v="2022-04-07 13:47:31 UTC"/>
        <s v="2022-04-07 13:38:27 UTC"/>
        <s v="2022-04-07 13:38:25 UTC"/>
        <s v="2022-04-07 13:35:14 UTC"/>
        <s v="2022-04-07 13:35:11 UTC"/>
        <s v="2022-04-07 13:24:46 UTC"/>
        <s v="2022-04-07 12:19:16 UTC"/>
        <s v="2022-04-07 12:08:07 UTC"/>
        <s v="2022-04-07 12:02:34 UTC"/>
        <s v="2022-04-07 11:54:14 UTC"/>
        <s v="2022-04-07 11:21:15 UTC"/>
        <s v="2022-04-07 11:21:13 UTC"/>
        <s v="2022-04-07 11:19:15 UTC"/>
        <s v="2022-04-07 11:06:26 UTC"/>
        <s v="2022-04-07 11:06:24 UTC"/>
        <s v="2022-04-07 10:54:31 UTC"/>
        <s v="2022-04-07 10:53:50 UTC"/>
        <s v="2022-04-07 10:22:54 UTC"/>
        <s v="2022-04-07 10:20:32 UTC"/>
        <s v="2022-04-07 10:20:29 UTC"/>
        <s v="2022-04-07 10:14:54 UTC"/>
        <s v="2022-04-07 10:12:20 UTC"/>
        <s v="2022-04-07 10:12:17 UTC"/>
        <s v="2022-04-07 10:10:58 UTC"/>
        <s v="2022-04-07 10:10:56 UTC"/>
        <s v="2022-04-07 09:32:31 UTC"/>
        <s v="2022-04-07 09:28:46 UTC"/>
        <s v="2022-04-07 09:22:25 UTC"/>
        <s v="2022-04-07 09:22:14 UTC"/>
        <s v="2022-04-07 09:12:40 UTC"/>
        <s v="2022-04-07 09:09:35 UTC"/>
        <s v="2022-04-07 09:09:17 UTC"/>
        <s v="2022-04-07 09:04:15 UTC"/>
        <s v="2022-04-07 09:04:07 UTC"/>
        <s v="2022-04-07 09:01:51 UTC"/>
        <s v="2022-04-07 08:43:15 UTC"/>
        <s v="2022-04-07 08:42:25 UTC"/>
        <s v="2022-04-07 08:42:22 UTC"/>
        <s v="2022-04-07 07:38:16 UTC"/>
        <s v="2022-04-07 07:09:19 UTC"/>
        <s v="2022-04-07 06:31:40 UTC"/>
        <s v="2022-04-07 05:28:11 UTC"/>
        <s v="2022-04-07 05:20:04 UTC"/>
        <s v="2022-04-07 05:10:58 UTC"/>
        <s v="2022-04-07 05:06:44 UTC"/>
        <s v="2022-04-07 05:06:15 UTC"/>
        <s v="2022-04-07 05:06:13 UTC"/>
        <s v="2022-04-07 05:05:54 UTC"/>
        <s v="2022-04-07 05:05:52 UTC"/>
        <s v="2022-04-07 05:05:49 UTC"/>
        <s v="2022-04-07 05:05:47 UTC"/>
        <s v="2022-04-07 05:05:41 UTC"/>
        <s v="2022-04-07 05:05:39 UTC"/>
        <s v="2022-04-07 05:04:58 UTC"/>
        <s v="2022-04-07 04:36:40 UTC"/>
        <s v="2022-04-07 04:30:35 UTC"/>
        <s v="2022-04-07 04:15:57 UTC"/>
        <s v="2022-04-07 04:13:57 UTC"/>
        <s v="2022-04-07 04:11:48 UTC"/>
        <s v="2022-04-07 03:41:38 UTC"/>
        <s v="2022-04-07 03:25:28 UTC"/>
        <s v="2022-04-07 03:16:43 UTC"/>
        <s v="2022-04-07 03:12:41 UTC"/>
        <s v="2022-04-07 03:10:40 UTC"/>
        <s v="2022-04-07 03:09:39 UTC"/>
        <s v="2022-04-07 03:08:46 UTC"/>
        <s v="2022-04-07 03:08:41 UTC"/>
        <s v="2022-04-07 03:00:42 UTC"/>
        <s v="2022-04-07 03:00:09 UTC"/>
        <s v="2022-04-07 03:00:03 UTC"/>
        <s v="2022-04-07 02:57:52 UTC"/>
        <s v="2022-04-07 02:57:44 UTC"/>
        <s v="2022-04-07 02:57:02 UTC"/>
        <s v="2022-04-07 02:56:57 UTC"/>
        <s v="2022-04-07 02:56:51 UTC"/>
        <s v="2022-04-07 02:55:27 UTC"/>
        <s v="2022-04-07 02:54:37 UTC"/>
        <s v="2022-04-07 02:54:34 UTC"/>
        <s v="2022-04-07 02:24:48 UTC"/>
        <s v="2022-04-07 01:14:49 UTC"/>
        <s v="2022-04-07 01:14:29 UTC"/>
        <s v="2022-04-07 01:14:09 UTC"/>
        <s v="2022-04-07 01:13:49 UTC"/>
        <s v="2022-04-07 01:13:29 UTC"/>
        <s v="2022-04-07 01:13:09 UTC"/>
        <s v="2022-04-07 01:12:49 UTC"/>
        <s v="2022-04-07 01:12:30 UTC"/>
        <s v="2022-04-07 01:12:09 UTC"/>
        <s v="2022-04-07 01:11:49 UTC"/>
        <s v="2022-04-07 01:11:29 UTC"/>
        <s v="2022-04-07 01:11:09 UTC"/>
        <s v="2022-04-07 01:10:39 UTC"/>
        <s v="2022-04-07 01:10:19 UTC"/>
        <s v="2022-04-07 01:09:59 UTC"/>
        <s v="2022-04-07 01:09:40 UTC"/>
        <s v="2022-04-07 01:09:19 UTC"/>
        <s v="2022-04-07 01:08:59 UTC"/>
        <s v="2022-04-07 01:08:39 UTC"/>
        <s v="2022-04-07 01:08:19 UTC"/>
        <s v="2022-04-07 01:07:49 UTC"/>
        <s v="2022-04-07 01:07:29 UTC"/>
        <s v="2022-04-07 01:07:09 UTC"/>
        <s v="2022-04-07 01:06:49 UTC"/>
        <s v="2022-04-07 01:06:29 UTC"/>
        <s v="2022-04-07 01:06:09 UTC"/>
        <s v="2022-04-07 01:05:49 UTC"/>
        <s v="2022-04-07 01:05:29 UTC"/>
        <s v="2022-04-07 01:05:09 UTC"/>
        <s v="2022-04-07 01:04:09 UTC"/>
        <s v="2022-04-07 01:03:49 UTC"/>
        <s v="2022-04-07 01:03:29 UTC"/>
        <s v="2022-04-07 01:03:09 UTC"/>
        <s v="2022-04-07 01:02:49 UTC"/>
        <s v="2022-04-07 01:02:29 UTC"/>
        <s v="2022-04-07 01:02:09 UTC"/>
        <s v="2022-04-07 01:01:49 UTC"/>
        <s v="2022-04-07 01:01:29 UTC"/>
        <s v="2022-04-07 01:01:09 UTC"/>
        <s v="2022-04-07 01:00:50 UTC"/>
        <s v="2022-04-07 01:00:30 UTC"/>
        <s v="2022-04-07 01:00:12 UTC"/>
        <s v="2022-04-07 00:59:50 UTC"/>
        <s v="2022-04-07 00:59:36 UTC"/>
        <s v="2022-04-07 00:59:23 UTC"/>
        <s v="2022-04-07 00:59:02 UTC"/>
        <s v="2022-04-07 00:58:38 UTC"/>
        <s v="2022-04-07 00:58:36 UTC"/>
        <s v="2022-04-07 00:58:33 UTC"/>
        <s v="2022-04-07 00:58:31 UTC"/>
        <s v="2022-04-07 00:58:29 UTC"/>
        <s v="2022-04-07 00:58:25 UTC"/>
        <s v="2022-04-07 00:58:22 UTC"/>
        <s v="2022-04-07 00:58:19 UTC"/>
        <s v="2022-04-07 00:58:13 UTC"/>
        <s v="2022-04-07 00:58:10 UTC"/>
        <s v="2022-04-07 00:58:08 UTC"/>
        <s v="2022-04-07 00:58:05 UTC"/>
        <s v="2022-04-07 00:58:03 UTC"/>
        <s v="2022-04-07 00:58:00 UTC"/>
        <s v="2022-04-07 00:57:58 UTC"/>
        <s v="2022-04-07 00:57:56 UTC"/>
        <s v="2022-04-07 00:57:53 UTC"/>
        <s v="2022-04-07 00:57:50 UTC"/>
        <s v="2022-04-07 00:57:46 UTC"/>
        <s v="2022-04-07 00:57:40 UTC"/>
        <s v="2022-04-07 00:45:47 UTC"/>
        <s v="2022-04-07 00:43:19 UTC"/>
        <s v="2022-04-07 00:02:12 UTC"/>
        <s v="2022-04-06 21:22:53 UTC"/>
        <s v="2022-04-06 21:04:10 UTC"/>
        <s v="2022-04-06 21:00:13 UTC"/>
        <s v="2022-04-06 21:00:09 UTC"/>
        <s v="2022-04-06 21:00:06 UTC"/>
        <s v="2022-04-06 20:59:59 UTC"/>
        <s v="2022-04-06 19:27:30 UTC"/>
        <s v="2022-04-06 18:11:36 UTC"/>
        <s v="2022-04-06 17:15:35 UTC"/>
        <s v="2022-04-06 17:15:06 UTC"/>
        <s v="2022-04-06 17:15:01 UTC"/>
        <s v="2022-04-06 17:14:28 UTC"/>
        <s v="2022-04-06 17:09:07 UTC"/>
        <s v="2022-04-06 17:09:05 UTC"/>
        <s v="2022-04-06 16:23:04 UTC"/>
        <s v="2022-04-06 16:18:14 UTC"/>
        <s v="2022-04-06 16:18:11 UTC"/>
        <s v="2022-04-06 16:06:10 UTC"/>
        <s v="2022-04-06 16:05:23 UTC"/>
        <s v="2022-04-06 16:05:19 UTC"/>
        <s v="2022-04-06 15:58:33 UTC"/>
        <s v="2022-04-06 15:50:59 UTC"/>
        <s v="2022-04-06 15:50:44 UTC"/>
        <s v="2022-04-06 14:41:54 UTC"/>
        <s v="2022-04-06 12:56:01 UTC"/>
        <s v="2022-04-06 12:07:58 UTC"/>
        <s v="2022-04-06 11:46:49 UTC"/>
        <s v="2022-04-06 11:37:26 UTC"/>
        <s v="2022-04-06 11:20:41 UTC"/>
        <s v="2022-04-06 11:00:59 UTC"/>
        <s v="2022-04-06 09:30:57 UTC"/>
        <s v="2022-04-06 09:28:56 UTC"/>
        <s v="2022-04-06 09:28:55 UTC"/>
        <s v="2022-04-06 09:28:50 UTC"/>
        <s v="2022-04-06 09:28:46 UTC"/>
        <s v="2022-04-06 09:16:28 UTC"/>
        <s v="2022-04-06 09:16:23 UTC"/>
        <s v="2022-04-06 09:16:15 UTC"/>
        <s v="2022-04-06 09:14:29 UTC"/>
        <s v="2022-04-06 09:13:12 UTC"/>
        <s v="2022-04-06 08:04:34 UTC"/>
        <s v="2022-04-06 07:27:18 UTC"/>
        <s v="2022-04-06 06:57:35 UTC"/>
        <s v="2022-04-06 06:38:47 UTC"/>
        <s v="2022-04-06 06:21:31 UTC"/>
        <s v="2022-04-06 06:05:06 UTC"/>
        <s v="2022-04-06 05:56:49 UTC"/>
        <s v="2022-04-06 05:33:34 UTC"/>
        <s v="2022-04-06 04:09:27 UTC"/>
        <s v="2022-04-06 04:09:23 UTC"/>
        <s v="2022-04-06 04:09:18 UTC"/>
        <s v="2022-04-06 04:09:15 UTC"/>
        <s v="2022-04-06 03:40:48 UTC"/>
        <s v="2022-04-06 03:40:29 UTC"/>
        <s v="2022-04-06 02:20:44 UTC"/>
        <s v="2022-04-06 02:04:18 UTC"/>
        <s v="2022-04-05 16:53:30 UTC"/>
        <s v="2022-04-05 16:53:08 UTC"/>
        <s v="2022-04-05 16:53:04 UTC"/>
        <s v="2022-04-05 16:52:56 UTC"/>
        <s v="2022-04-05 16:52:40 UTC"/>
        <s v="2022-04-05 16:51:38 UTC"/>
        <s v="2022-04-05 16:51:06 UTC"/>
        <s v="2022-04-05 16:51:04 UTC"/>
        <s v="2022-04-05 16:50:57 UTC"/>
        <s v="2022-04-05 16:41:10 UTC"/>
        <s v="2022-04-05 15:32:57 UTC"/>
        <s v="2022-04-05 15:02:01 UTC"/>
        <s v="2022-04-05 15:01:26 UTC"/>
        <s v="2022-04-05 15:01:23 UTC"/>
        <s v="2022-04-05 15:00:52 UTC"/>
        <s v="2022-04-05 14:59:25 UTC"/>
        <s v="2022-04-05 14:58:56 UTC"/>
        <s v="2022-04-05 14:58:24 UTC"/>
        <s v="2022-04-05 12:07:51 UTC"/>
        <s v="2022-04-05 11:11:32 UTC"/>
        <s v="2022-04-05 10:06:29 UTC"/>
        <s v="2022-04-05 10:06:13 UTC"/>
        <s v="2022-04-05 10:06:07 UTC"/>
        <s v="2022-04-05 10:03:31 UTC"/>
        <s v="2022-04-05 08:48:04 UTC"/>
        <s v="2022-04-05 07:51:18 UTC"/>
        <s v="2022-04-05 07:44:05 UTC"/>
        <s v="2022-04-05 07:33:44 UTC"/>
        <s v="2022-04-05 07:33:17 UTC"/>
        <s v="2022-04-05 07:28:55 UTC"/>
        <s v="2022-04-05 07:28:43 UTC"/>
        <s v="2022-04-05 07:21:40 UTC"/>
        <s v="2022-04-05 07:00:29 UTC"/>
        <s v="2022-04-05 05:40:40 UTC"/>
        <s v="2022-04-05 05:39:51 UTC"/>
        <s v="2022-04-05 05:38:54 UTC"/>
        <s v="2022-04-05 05:36:19 UTC"/>
        <s v="2022-04-05 05:22:20 UTC"/>
        <s v="2022-04-05 05:21:39 UTC"/>
        <s v="2022-04-05 05:15:55 UTC"/>
        <s v="2022-04-05 05:12:02 UTC"/>
        <s v="2022-04-05 04:26:42 UTC"/>
        <s v="2022-04-05 04:26:20 UTC"/>
        <s v="2022-04-05 04:26:11 UTC"/>
        <s v="2022-04-05 04:24:47 UTC"/>
        <s v="2022-04-05 03:41:53 UTC"/>
        <s v="2022-04-05 03:41:50 UTC"/>
        <s v="2022-04-05 03:41:47 UTC"/>
        <s v="2022-04-05 03:41:45 UTC"/>
        <s v="2022-04-05 03:41:27 UTC"/>
        <s v="2022-04-05 03:41:26 UTC"/>
        <s v="2022-04-05 03:41:24 UTC"/>
        <s v="2022-04-05 03:41:22 UTC"/>
        <s v="2022-04-05 03:41:20 UTC"/>
        <s v="2022-04-05 03:41:18 UTC"/>
        <s v="2022-04-05 03:41:17 UTC"/>
        <s v="2022-04-05 03:41:10 UTC"/>
        <s v="2022-04-05 03:41:08 UTC"/>
        <s v="2022-04-05 03:41:03 UTC"/>
        <s v="2022-04-05 03:41:00 UTC"/>
        <s v="2022-04-05 03:40:53 UTC"/>
        <s v="2022-04-05 03:40:52 UTC"/>
        <s v="2022-04-05 03:40:50 UTC"/>
        <s v="2022-04-05 03:40:48 UTC"/>
        <s v="2022-04-05 03:40:46 UTC"/>
        <s v="2022-04-05 03:40:44 UTC"/>
        <s v="2022-04-05 03:40:43 UTC"/>
        <s v="2022-04-05 03:40:41 UTC"/>
        <s v="2022-04-05 03:40:38 UTC"/>
        <s v="2022-04-05 03:40:16 UTC"/>
        <s v="2022-04-05 03:40:14 UTC"/>
        <s v="2022-04-05 03:40:12 UTC"/>
        <s v="2022-04-05 03:40:10 UTC"/>
        <s v="2022-04-05 03:40:08 UTC"/>
        <s v="2022-04-04 19:13:04 UTC"/>
        <s v="2022-04-04 16:55:10 UTC"/>
        <s v="2022-04-04 16:47:06 UTC"/>
        <s v="2022-04-04 16:40:40 UTC"/>
        <s v="2022-04-04 16:10:25 UTC"/>
        <s v="2022-04-04 16:01:12 UTC"/>
        <s v="2022-04-04 15:45:02 UTC"/>
        <s v="2022-04-04 15:03:22 UTC"/>
        <s v="2022-04-04 15:02:53 UTC"/>
        <s v="2022-04-04 15:02:50 UTC"/>
        <s v="2022-04-04 15:02:49 UTC"/>
        <s v="2022-04-04 14:28:06 UTC"/>
        <s v="2022-04-04 13:53:30 UTC"/>
        <s v="2022-04-04 12:52:52 UTC"/>
        <s v="2022-04-04 12:52:44 UTC"/>
        <s v="2022-04-04 12:52:33 UTC"/>
        <s v="2022-04-04 12:52:03 UTC"/>
        <s v="2022-04-04 12:45:50 UTC"/>
        <s v="2022-04-04 12:45:28 UTC"/>
        <s v="2022-04-04 12:45:10 UTC"/>
        <s v="2022-04-04 12:41:14 UTC"/>
        <s v="2022-04-04 12:40:42 UTC"/>
        <s v="2022-04-04 12:31:09 UTC"/>
        <s v="2022-04-04 11:43:21 UTC"/>
        <s v="2022-04-04 11:43:18 UTC"/>
        <s v="2022-04-04 11:43:15 UTC"/>
        <s v="2022-04-04 11:43:12 UTC"/>
        <s v="2022-04-04 11:43:10 UTC"/>
        <s v="2022-04-04 11:43:07 UTC"/>
        <s v="2022-04-04 11:43:00 UTC"/>
        <s v="2022-04-04 11:42:57 UTC"/>
        <s v="2022-04-04 11:42:54 UTC"/>
        <s v="2022-04-04 11:42:50 UTC"/>
        <s v="2022-04-04 11:42:47 UTC"/>
        <s v="2022-04-04 11:42:18 UTC"/>
        <s v="2022-04-04 11:42:16 UTC"/>
        <s v="2022-04-04 11:39:20 UTC"/>
        <s v="2022-04-04 10:29:41 UTC"/>
        <s v="2022-04-04 10:19:40 UTC"/>
        <s v="2022-04-04 10:19:38 UTC"/>
        <s v="2022-04-04 10:19:37 UTC"/>
        <s v="2022-04-04 10:19:34 UTC"/>
        <s v="2022-04-04 10:19:32 UTC"/>
        <s v="2022-04-04 10:19:08 UTC"/>
        <s v="2022-04-04 08:49:16 UTC"/>
        <s v="2022-04-04 08:49:13 UTC"/>
        <s v="2022-04-04 08:48:35 UTC"/>
        <s v="2022-04-04 08:48:33 UTC"/>
        <s v="2022-04-04 08:45:55 UTC"/>
        <s v="2022-04-04 08:10:00 UTC"/>
        <s v="2022-04-04 07:46:09 UTC"/>
        <s v="2022-04-04 07:46:03 UTC"/>
        <s v="2022-04-04 07:45:59 UTC"/>
        <s v="2022-04-04 07:03:51 UTC"/>
        <s v="2022-04-04 06:54:46 UTC"/>
        <s v="2022-04-04 06:33:47 UTC"/>
        <s v="2022-04-04 06:33:30 UTC"/>
        <s v="2022-04-04 06:32:41 UTC"/>
        <s v="2022-04-04 06:32:38 UTC"/>
        <s v="2022-04-04 06:32:31 UTC"/>
        <s v="2022-04-04 06:32:28 UTC"/>
        <s v="2022-04-04 06:32:26 UTC"/>
        <s v="2022-04-04 06:32:21 UTC"/>
        <s v="2022-04-04 06:32:19 UTC"/>
        <s v="2022-04-04 06:05:24 UTC"/>
        <s v="2022-04-04 06:03:23 UTC"/>
        <s v="2022-04-04 06:02:19 UTC"/>
        <s v="2022-04-04 06:01:42 UTC"/>
        <s v="2022-04-04 06:01:37 UTC"/>
        <s v="2022-04-04 05:43:59 UTC"/>
        <s v="2022-04-04 05:43:46 UTC"/>
        <s v="2022-04-04 05:26:42 UTC"/>
        <s v="2022-04-04 05:15:45 UTC"/>
        <s v="2022-04-04 04:58:59 UTC"/>
        <s v="2022-04-04 04:57:55 UTC"/>
        <s v="2022-04-04 04:57:48 UTC"/>
        <s v="2022-04-04 04:57:27 UTC"/>
        <s v="2022-04-04 03:26:18 UTC"/>
        <s v="2022-04-04 02:07:38 UTC"/>
        <s v="2022-04-04 01:55:41 UTC"/>
        <s v="2022-04-03 21:47:26 UTC"/>
        <s v="2022-04-03 18:02:48 UTC"/>
        <s v="2022-04-03 18:01:48 UTC"/>
        <s v="2022-04-03 18:01:13 UTC"/>
        <s v="2022-04-03 18:00:28 UTC"/>
        <s v="2022-04-03 17:59:19 UTC"/>
        <s v="2022-04-03 17:57:58 UTC"/>
        <s v="2022-04-03 17:57:49 UTC"/>
        <s v="2022-04-03 17:53:20 UTC"/>
        <s v="2022-04-03 16:52:22 UTC"/>
        <s v="2022-04-03 16:46:18 UTC"/>
        <s v="2022-04-03 16:26:26 UTC"/>
        <s v="2022-04-03 16:20:37 UTC"/>
        <s v="2022-04-03 16:11:37 UTC"/>
        <s v="2022-04-03 16:03:02 UTC"/>
        <s v="2022-04-03 15:23:59 UTC"/>
        <s v="2022-04-03 14:59:53 UTC"/>
        <s v="2022-04-03 14:53:27 UTC"/>
        <s v="2022-04-03 14:53:24 UTC"/>
        <s v="2022-04-03 14:53:22 UTC"/>
        <s v="2022-04-03 14:53:16 UTC"/>
        <s v="2022-04-03 14:53:08 UTC"/>
        <s v="2022-04-03 14:35:25 UTC"/>
        <s v="2022-04-03 14:35:23 UTC"/>
        <s v="2022-04-03 14:35:21 UTC"/>
        <s v="2022-04-03 14:35:18 UTC"/>
        <s v="2022-04-03 14:35:17 UTC"/>
        <s v="2022-04-03 14:35:14 UTC"/>
        <s v="2022-04-03 14:35:13 UTC"/>
        <s v="2022-04-03 14:35:11 UTC"/>
        <s v="2022-04-03 14:35:09 UTC"/>
        <s v="2022-04-03 14:35:06 UTC"/>
        <s v="2022-04-03 14:35:04 UTC"/>
        <s v="2022-04-03 14:35:01 UTC"/>
        <s v="2022-04-03 14:34:58 UTC"/>
        <s v="2022-04-03 14:34:55 UTC"/>
        <s v="2022-04-03 14:34:50 UTC"/>
        <s v="2022-04-03 14:34:47 UTC"/>
        <s v="2022-04-03 14:34:45 UTC"/>
        <s v="2022-04-03 14:34:42 UTC"/>
        <s v="2022-04-03 14:34:39 UTC"/>
        <s v="2022-04-03 14:34:36 UTC"/>
        <s v="2022-04-03 14:34:33 UTC"/>
        <s v="2022-04-03 14:34:30 UTC"/>
        <s v="2022-04-03 14:34:27 UTC"/>
        <s v="2022-04-03 14:34:24 UTC"/>
        <s v="2022-04-03 14:34:21 UTC"/>
        <s v="2022-04-03 14:34:19 UTC"/>
        <s v="2022-04-03 14:34:15 UTC"/>
        <s v="2022-04-03 14:34:12 UTC"/>
        <s v="2022-04-03 14:34:10 UTC"/>
        <s v="2022-04-03 14:34:08 UTC"/>
        <s v="2022-04-03 14:34:06 UTC"/>
        <s v="2022-04-03 14:34:04 UTC"/>
        <s v="2022-04-03 14:34:02 UTC"/>
        <s v="2022-04-03 14:33:59 UTC"/>
        <s v="2022-04-03 14:33:57 UTC"/>
        <s v="2022-04-03 14:33:55 UTC"/>
        <s v="2022-04-03 14:33:53 UTC"/>
        <s v="2022-04-03 14:33:51 UTC"/>
        <s v="2022-04-03 14:33:49 UTC"/>
        <s v="2022-04-03 14:33:47 UTC"/>
        <s v="2022-04-03 14:33:45 UTC"/>
        <s v="2022-04-03 14:33:42 UTC"/>
        <s v="2022-04-03 14:33:40 UTC"/>
        <s v="2022-04-03 14:33:38 UTC"/>
        <s v="2022-04-03 14:33:36 UTC"/>
        <s v="2022-04-03 14:33:34 UTC"/>
        <s v="2022-04-03 14:33:32 UTC"/>
        <s v="2022-04-03 14:33:29 UTC"/>
        <s v="2022-04-03 14:33:26 UTC"/>
        <s v="2022-04-03 14:33:23 UTC"/>
        <s v="2022-04-03 14:33:20 UTC"/>
        <s v="2022-04-03 14:33:18 UTC"/>
        <s v="2022-04-03 14:33:15 UTC"/>
        <s v="2022-04-03 14:33:12 UTC"/>
        <s v="2022-04-03 14:33:10 UTC"/>
        <s v="2022-04-03 14:33:08 UTC"/>
        <s v="2022-04-03 14:33:06 UTC"/>
        <s v="2022-04-03 14:33:03 UTC"/>
        <s v="2022-04-03 14:33:01 UTC"/>
        <s v="2022-04-03 14:32:59 UTC"/>
        <s v="2022-04-03 14:32:56 UTC"/>
        <s v="2022-04-03 14:32:54 UTC"/>
        <s v="2022-04-03 14:32:51 UTC"/>
        <s v="2022-04-03 14:32:49 UTC"/>
        <s v="2022-04-03 14:32:46 UTC"/>
        <s v="2022-04-03 14:32:42 UTC"/>
        <s v="2022-04-03 14:32:39 UTC"/>
        <s v="2022-04-03 14:32:36 UTC"/>
        <s v="2022-04-03 14:28:18 UTC"/>
        <s v="2022-04-03 14:03:25 UTC"/>
        <s v="2022-04-03 14:00:52 UTC"/>
        <s v="2022-04-03 14:00:18 UTC"/>
        <s v="2022-04-03 13:28:03 UTC"/>
        <s v="2022-04-03 13:17:53 UTC"/>
        <s v="2022-04-03 13:17:42 UTC"/>
        <s v="2022-04-03 13:17:28 UTC"/>
        <s v="2022-04-03 12:49:40 UTC"/>
        <s v="2022-04-03 12:42:53 UTC"/>
        <s v="2022-04-03 12:28:49 UTC"/>
        <s v="2022-04-03 12:27:31 UTC"/>
        <s v="2022-04-03 12:27:23 UTC"/>
        <s v="2022-04-03 12:27:20 UTC"/>
        <s v="2022-04-03 12:27:05 UTC"/>
        <s v="2022-04-03 12:26:59 UTC"/>
        <s v="2022-04-03 12:26:52 UTC"/>
        <s v="2022-04-03 12:26:44 UTC"/>
        <s v="2022-04-03 12:26:38 UTC"/>
        <s v="2022-04-03 12:26:34 UTC"/>
        <s v="2022-04-03 12:26:29 UTC"/>
        <s v="2022-04-03 12:01:23 UTC"/>
        <s v="2022-04-03 11:59:47 UTC"/>
        <s v="2022-04-03 11:58:35 UTC"/>
        <s v="2022-04-03 11:58:21 UTC"/>
        <s v="2022-04-03 11:47:58 UTC"/>
        <s v="2022-04-03 11:33:37 UTC"/>
        <s v="2022-04-03 11:18:48 UTC"/>
        <s v="2022-04-03 11:16:42 UTC"/>
        <s v="2022-04-03 11:16:40 UTC"/>
        <s v="2022-04-03 11:16:35 UTC"/>
        <s v="2022-04-03 11:16:34 UTC"/>
        <s v="2022-04-03 11:16:32 UTC"/>
        <s v="2022-04-03 11:16:26 UTC"/>
        <s v="2022-04-03 11:15:41 UTC"/>
        <s v="2022-04-03 11:15:34 UTC"/>
        <s v="2022-04-03 11:15:27 UTC"/>
        <s v="2022-04-03 11:15:13 UTC"/>
        <s v="2022-04-03 11:09:09 UTC"/>
        <s v="2022-04-03 10:25:29 UTC"/>
        <s v="2022-04-03 09:50:02 UTC"/>
        <s v="2022-04-03 07:17:35 UTC"/>
        <s v="2022-04-03 07:02:55 UTC"/>
        <s v="2022-04-03 07:01:07 UTC"/>
        <s v="2022-04-03 06:55:37 UTC"/>
        <s v="2022-04-03 06:55:29 UTC"/>
        <s v="2022-04-03 06:47:37 UTC"/>
        <s v="2022-04-03 06:33:28 UTC"/>
        <s v="2022-04-03 06:33:24 UTC"/>
        <s v="2022-04-03 05:59:29 UTC"/>
        <s v="2022-04-03 05:59:21 UTC"/>
        <s v="2022-04-03 05:49:24 UTC"/>
        <s v="2022-04-03 05:20:01 UTC"/>
        <s v="2022-04-03 05:00:21 UTC"/>
        <s v="2022-04-03 04:59:38 UTC"/>
        <s v="2022-04-03 04:59:30 UTC"/>
        <s v="2022-04-03 04:59:14 UTC"/>
        <s v="2022-04-03 04:58:03 UTC"/>
        <s v="2022-04-03 04:56:49 UTC"/>
        <s v="2022-04-03 04:56:11 UTC"/>
        <s v="2022-04-03 04:56:05 UTC"/>
        <s v="2022-04-03 04:54:59 UTC"/>
        <s v="2022-04-03 04:18:22 UTC"/>
        <s v="2022-04-03 04:18:08 UTC"/>
        <s v="2022-04-03 04:17:44 UTC"/>
        <s v="2022-04-03 04:17:40 UTC"/>
        <s v="2022-04-03 04:17:33 UTC"/>
        <s v="2022-04-03 04:17:17 UTC"/>
        <s v="2022-04-03 04:17:15 UTC"/>
        <s v="2022-04-03 04:07:58 UTC"/>
        <s v="2022-04-03 04:07:52 UTC"/>
        <s v="2022-04-03 04:03:07 UTC"/>
        <s v="2022-04-03 02:16:13 UTC"/>
        <s v="2022-04-03 02:13:57 UTC"/>
        <s v="2022-04-03 02:13:52 UTC"/>
        <s v="2022-04-03 02:07:23 UTC"/>
        <s v="2022-04-03 02:07:21 UTC"/>
        <s v="2022-04-03 02:07:19 UTC"/>
        <s v="2022-04-03 02:07:18 UTC"/>
        <s v="2022-04-03 02:07:16 UTC"/>
        <s v="2022-04-03 02:07:15 UTC"/>
        <s v="2022-04-03 02:07:13 UTC"/>
        <s v="2022-04-03 02:07:09 UTC"/>
        <s v="2022-04-03 02:07:08 UTC"/>
        <s v="2022-04-03 02:07:02 UTC"/>
        <s v="2022-04-03 02:05:46 UTC"/>
        <s v="2022-04-03 02:04:51 UTC"/>
        <s v="2022-04-03 01:59:36 UTC"/>
        <s v="2022-04-03 01:59:34 UTC"/>
        <s v="2022-04-03 01:59:32 UTC"/>
        <s v="2022-04-03 01:59:26 UTC"/>
        <s v="2022-04-02 17:28:23 UTC"/>
        <s v="2022-04-02 16:09:07 UTC"/>
        <s v="2022-04-02 15:45:26 UTC"/>
        <s v="2022-04-02 13:24:48 UTC"/>
        <s v="2022-04-02 13:24:46 UTC"/>
        <s v="2022-04-02 13:24:44 UTC"/>
        <s v="2022-04-02 13:24:42 UTC"/>
        <s v="2022-04-02 13:24:32 UTC"/>
        <s v="2022-04-02 13:15:35 UTC"/>
        <s v="2022-04-02 13:09:52 UTC"/>
        <s v="2022-04-02 12:25:37 UTC"/>
        <s v="2022-04-02 11:28:42 UTC"/>
        <s v="2022-04-02 11:28:40 UTC"/>
        <s v="2022-04-02 11:00:54 UTC"/>
        <s v="2022-04-02 10:21:15 UTC"/>
        <s v="2022-04-02 10:15:43 UTC"/>
        <s v="2022-04-02 10:15:38 UTC"/>
        <s v="2022-04-02 06:37:59 UTC"/>
        <s v="2022-04-02 06:35:28 UTC"/>
        <s v="2022-04-02 06:35:25 UTC"/>
        <s v="2022-04-02 06:35:23 UTC"/>
        <s v="2022-04-02 06:35:21 UTC"/>
        <s v="2022-04-02 06:35:10 UTC"/>
        <s v="2022-04-02 06:35:08 UTC"/>
        <s v="2022-04-02 04:20:49 UTC"/>
        <s v="2022-04-02 04:18:13 UTC"/>
        <s v="2022-04-02 04:14:02 UTC"/>
        <s v="2022-04-02 04:13:49 UTC"/>
        <s v="2022-04-02 03:55:37 UTC"/>
        <s v="2022-04-02 03:33:47 UTC"/>
        <s v="2022-04-02 02:13:00 UTC"/>
        <s v="2022-04-02 01:35:33 UTC"/>
        <s v="2022-04-01 19:50:34 UTC"/>
        <s v="2022-04-01 19:15:52 UTC"/>
        <s v="2022-04-01 17:24:51 UTC"/>
        <s v="2022-04-01 13:19:08 UTC"/>
        <s v="2022-04-01 13:19:05 UTC"/>
        <s v="2022-04-01 13:18:59 UTC"/>
        <s v="2022-04-01 13:15:03 UTC"/>
        <s v="2022-04-01 13:02:34 UTC"/>
        <s v="2022-04-01 10:37:51 UTC"/>
        <s v="2022-04-01 10:22:20 UTC"/>
        <s v="2022-04-01 06:19:02 UTC"/>
        <s v="2022-04-01 06:18:39 UTC"/>
        <s v="2022-04-01 05:57:52 UTC"/>
        <s v="2022-04-01 05:56:31 UTC"/>
        <s v="2022-04-01 05:55:35 UTC"/>
        <s v="2022-04-01 05:54:59 UTC"/>
        <s v="2022-04-01 05:54:24 UTC"/>
        <s v="2022-04-01 05:53:42 UTC"/>
        <s v="2022-04-01 05:53:30 UTC"/>
        <s v="2022-04-01 05:52:55 UTC"/>
        <s v="2022-04-01 05:52:48 UTC"/>
        <s v="2022-04-01 05:52:05 UTC"/>
        <s v="2022-04-01 05:51:29 UTC"/>
        <s v="2022-04-01 05:50:56 UTC"/>
        <s v="2022-04-01 05:50:54 UTC"/>
        <s v="2022-04-01 05:25:06 UTC"/>
        <s v="2022-04-01 05:24:18 UTC"/>
        <s v="2022-04-01 05:23:19 UTC"/>
        <s v="2022-04-01 05:22:46 UTC"/>
        <s v="2022-04-01 05:22:11 UTC"/>
        <s v="2022-04-01 05:21:35 UTC"/>
        <s v="2022-04-01 05:21:24 UTC"/>
        <s v="2022-04-01 05:11:46 UTC"/>
        <s v="2022-04-01 04:44:33 UTC"/>
        <s v="2022-04-01 04:31:22 UTC"/>
        <s v="2022-04-01 04:29:41 UTC"/>
        <s v="2022-04-01 04:29:06 UTC"/>
        <s v="2022-04-01 04:28:34 UTC"/>
        <s v="2022-04-01 04:27:43 UTC"/>
        <s v="2022-04-01 04:27:10 UTC"/>
        <s v="2022-04-01 04:26:33 UTC"/>
        <s v="2022-04-01 04:26:24 UTC"/>
        <s v="2022-04-01 04:26:23 UTC"/>
        <s v="2022-04-01 04:26:22 UTC"/>
        <s v="2022-04-01 04:26:01 UTC"/>
        <s v="2022-04-01 04:25:20 UTC"/>
        <s v="2022-04-01 04:25:18 UTC"/>
        <s v="2022-04-01 04:25:08 UTC"/>
        <s v="2022-04-01 04:25:07 UTC"/>
        <s v="2022-04-01 04:16:59 UTC"/>
        <s v="2022-04-01 04:16:57 UTC"/>
        <s v="2022-04-01 01:39:41 UTC"/>
        <s v="2022-04-01 01:39:02 UTC"/>
        <s v="2022-04-01 01:38:00 UTC"/>
        <s v="2022-04-01 01:37:16 UTC"/>
        <s v="2022-04-01 01:36:16 UTC"/>
        <s v="2022-04-01 01:35:01 UTC"/>
        <s v="2022-04-01 01:34:01 UTC"/>
        <s v="2022-04-01 01:33:00 UTC"/>
        <s v="2022-04-01 01:32:26 UTC"/>
        <s v="2022-04-01 01:31:55 UTC"/>
        <s v="2022-04-01 01:31:26 UTC"/>
        <s v="2022-04-01 01:30:49 UTC"/>
        <s v="2022-04-01 01:29:53 UTC"/>
        <s v="2022-04-01 01:29:10 UTC"/>
        <s v="2022-04-01 01:04:23 UTC"/>
        <s v="2022-03-31 22:49:22 UTC"/>
        <s v="2022-03-31 20:09:54 UTC"/>
        <s v="2022-03-31 19:21:23 UTC"/>
        <s v="2022-03-31 19:07:46 UTC"/>
        <s v="2022-03-31 18:17:46 UTC"/>
        <s v="2022-03-31 17:01:42 UTC"/>
        <s v="2022-03-31 16:45:56 UTC"/>
        <s v="2022-03-31 16:45:31 UTC"/>
        <s v="2022-03-31 16:13:02 UTC"/>
        <s v="2022-03-31 16:11:20 UTC"/>
        <s v="2022-03-31 16:10:48 UTC"/>
        <s v="2022-03-31 16:10:17 UTC"/>
        <s v="2022-03-31 16:09:44 UTC"/>
        <s v="2022-03-31 16:09:11 UTC"/>
        <s v="2022-03-31 16:08:11 UTC"/>
        <s v="2022-03-31 16:07:11 UTC"/>
        <s v="2022-03-31 16:06:38 UTC"/>
        <s v="2022-03-31 16:06:05 UTC"/>
        <s v="2022-03-31 16:05:33 UTC"/>
        <s v="2022-03-31 16:05:00 UTC"/>
        <s v="2022-03-31 16:04:27 UTC"/>
        <s v="2022-03-31 16:04:02 UTC"/>
        <s v="2022-03-31 16:04:00 UTC"/>
        <s v="2022-03-31 16:03:56 UTC"/>
        <s v="2022-03-31 16:03:44 UTC"/>
        <s v="2022-03-31 16:03:42 UTC"/>
        <s v="2022-03-31 16:02:53 UTC"/>
        <s v="2022-03-31 16:02:19 UTC"/>
        <s v="2022-03-31 16:01:44 UTC"/>
        <s v="2022-03-31 16:01:37 UTC"/>
        <s v="2022-03-31 16:01:10 UTC"/>
        <s v="2022-03-31 16:00:39 UTC"/>
        <s v="2022-03-31 16:00:34 UTC"/>
        <s v="2022-03-31 16:00:25 UTC"/>
        <s v="2022-03-31 16:00:24 UTC"/>
        <s v="2022-03-31 16:00:12 UTC"/>
        <s v="2022-03-31 16:00:10 UTC"/>
        <s v="2022-03-31 16:00:07 UTC"/>
        <s v="2022-03-31 15:59:45 UTC"/>
        <s v="2022-03-31 15:59:34 UTC"/>
        <s v="2022-03-31 15:59:33 UTC"/>
        <s v="2022-03-31 15:59:31 UTC"/>
        <s v="2022-03-31 15:59:23 UTC"/>
        <s v="2022-03-31 15:59:17 UTC"/>
        <s v="2022-03-31 15:58:43 UTC"/>
        <s v="2022-03-31 15:58:10 UTC"/>
        <s v="2022-03-31 15:58:00 UTC"/>
        <s v="2022-03-31 15:57:27 UTC"/>
        <s v="2022-03-31 15:57:26 UTC"/>
        <s v="2022-03-31 15:57:11 UTC"/>
        <s v="2022-03-31 15:56:29 UTC"/>
        <s v="2022-03-31 15:55:54 UTC"/>
        <s v="2022-03-31 15:55:21 UTC"/>
        <s v="2022-03-31 15:55:01 UTC"/>
        <s v="2022-03-31 15:54:56 UTC"/>
        <s v="2022-03-31 15:54:51 UTC"/>
        <s v="2022-03-31 15:54:43 UTC"/>
        <s v="2022-03-31 15:54:42 UTC"/>
        <s v="2022-03-31 15:53:32 UTC"/>
        <s v="2022-03-31 15:52:57 UTC"/>
        <s v="2022-03-31 15:52:06 UTC"/>
        <s v="2022-03-31 15:51:32 UTC"/>
        <s v="2022-03-31 15:50:32 UTC"/>
        <s v="2022-03-31 15:50:17 UTC"/>
        <s v="2022-03-31 15:50:11 UTC"/>
        <s v="2022-03-31 15:49:59 UTC"/>
        <s v="2022-03-31 15:49:11 UTC"/>
        <s v="2022-03-31 15:49:09 UTC"/>
        <s v="2022-03-31 15:40:40 UTC"/>
        <s v="2022-03-31 14:04:33 UTC"/>
        <s v="2022-03-31 14:04:30 UTC"/>
        <s v="2022-03-31 13:40:01 UTC"/>
        <s v="2022-03-31 13:36:27 UTC"/>
        <s v="2022-03-31 13:28:25 UTC"/>
        <s v="2022-03-31 13:25:32 UTC"/>
        <s v="2022-03-31 13:05:51 UTC"/>
        <s v="2022-03-31 12:44:03 UTC"/>
        <s v="2022-03-31 12:19:45 UTC"/>
        <s v="2022-03-31 12:09:03 UTC"/>
        <s v="2022-03-31 12:08:28 UTC"/>
        <s v="2022-03-31 12:07:59 UTC"/>
        <s v="2022-03-31 12:07:34 UTC"/>
        <s v="2022-03-31 12:07:26 UTC"/>
        <s v="2022-03-31 12:06:56 UTC"/>
        <s v="2022-03-31 12:06:26 UTC"/>
        <s v="2022-03-31 12:06:21 UTC"/>
        <s v="2022-03-31 12:05:54 UTC"/>
        <s v="2022-03-31 12:05:53 UTC"/>
        <s v="2022-03-31 12:05:43 UTC"/>
        <s v="2022-03-31 12:05:33 UTC"/>
        <s v="2022-03-31 12:05:27 UTC"/>
        <s v="2022-03-31 12:05:08 UTC"/>
        <s v="2022-03-31 12:04:32 UTC"/>
        <s v="2022-03-31 12:03:57 UTC"/>
        <s v="2022-03-31 12:03:15 UTC"/>
        <s v="2022-03-31 12:03:11 UTC"/>
        <s v="2022-03-31 12:02:55 UTC"/>
        <s v="2022-03-31 12:02:50 UTC"/>
        <s v="2022-03-31 12:02:36 UTC"/>
        <s v="2022-03-31 12:01:15 UTC"/>
        <s v="2022-03-31 12:00:15 UTC"/>
        <s v="2022-03-31 11:54:06 UTC"/>
        <s v="2022-03-31 11:50:39 UTC"/>
        <s v="2022-03-31 11:49:27 UTC"/>
        <s v="2022-03-31 11:48:53 UTC"/>
        <s v="2022-03-31 11:48:21 UTC"/>
        <s v="2022-03-31 11:47:48 UTC"/>
        <s v="2022-03-31 11:47:11 UTC"/>
        <s v="2022-03-31 11:46:22 UTC"/>
        <s v="2022-03-31 11:45:51 UTC"/>
        <s v="2022-03-31 11:45:18 UTC"/>
        <s v="2022-03-31 11:44:46 UTC"/>
        <s v="2022-03-31 11:44:05 UTC"/>
        <s v="2022-03-31 11:43:33 UTC"/>
        <s v="2022-03-31 11:43:01 UTC"/>
        <s v="2022-03-31 11:42:13 UTC"/>
        <s v="2022-03-31 11:41:41 UTC"/>
        <s v="2022-03-31 11:41:00 UTC"/>
        <s v="2022-03-31 11:40:27 UTC"/>
        <s v="2022-03-31 11:39:54 UTC"/>
        <s v="2022-03-31 11:39:21 UTC"/>
        <s v="2022-03-31 11:38:48 UTC"/>
        <s v="2022-03-31 10:23:09 UTC"/>
        <s v="2022-03-31 10:23:08 UTC"/>
        <s v="2022-03-31 10:22:39 UTC"/>
        <s v="2022-03-31 10:21:57 UTC"/>
        <s v="2022-03-31 10:21:24 UTC"/>
        <s v="2022-03-31 10:20:53 UTC"/>
        <s v="2022-03-31 10:20:18 UTC"/>
        <s v="2022-03-31 10:19:45 UTC"/>
        <s v="2022-03-31 10:19:05 UTC"/>
        <s v="2022-03-31 10:18:33 UTC"/>
        <s v="2022-03-31 10:17:33 UTC"/>
        <s v="2022-03-31 10:16:46 UTC"/>
        <s v="2022-03-31 10:16:35 UTC"/>
        <s v="2022-03-31 10:16:31 UTC"/>
        <s v="2022-03-31 09:46:01 UTC"/>
        <s v="2022-03-31 09:45:01 UTC"/>
        <s v="2022-03-31 09:44:04 UTC"/>
        <s v="2022-03-31 08:47:59 UTC"/>
        <s v="2022-03-31 08:44:44 UTC"/>
        <s v="2022-03-31 08:43:36 UTC"/>
        <s v="2022-03-31 08:42:58 UTC"/>
        <s v="2022-03-31 08:42:10 UTC"/>
        <s v="2022-03-31 08:41:08 UTC"/>
        <s v="2022-03-31 08:40:19 UTC"/>
        <s v="2022-03-31 08:39:42 UTC"/>
        <s v="2022-03-31 08:27:14 UTC"/>
        <s v="2022-03-31 08:13:39 UTC"/>
        <s v="2022-03-31 08:02:25 UTC"/>
        <s v="2022-03-31 08:01:55 UTC"/>
        <s v="2022-03-31 08:00:51 UTC"/>
        <s v="2022-03-31 08:00:05 UTC"/>
        <s v="2022-03-31 07:59:26 UTC"/>
        <s v="2022-03-31 07:58:44 UTC"/>
        <s v="2022-03-31 07:58:09 UTC"/>
        <s v="2022-03-31 07:53:11 UTC"/>
        <s v="2022-03-31 07:47:30 UTC"/>
        <s v="2022-03-31 07:46:57 UTC"/>
        <s v="2022-03-31 07:45:47 UTC"/>
        <s v="2022-03-31 07:45:22 UTC"/>
        <s v="2022-03-31 07:45:20 UTC"/>
        <s v="2022-03-31 07:45:14 UTC"/>
        <s v="2022-03-31 07:45:11 UTC"/>
        <s v="2022-03-31 07:42:39 UTC"/>
        <s v="2022-03-31 07:34:47 UTC"/>
        <s v="2022-03-31 07:33:26 UTC"/>
        <s v="2022-03-31 07:32:43 UTC"/>
        <s v="2022-03-31 07:32:08 UTC"/>
        <s v="2022-03-31 07:31:21 UTC"/>
        <s v="2022-03-31 07:30:49 UTC"/>
        <s v="2022-03-31 07:30:16 UTC"/>
        <s v="2022-03-31 07:29:43 UTC"/>
        <s v="2022-03-31 07:29:03 UTC"/>
        <s v="2022-03-31 07:28:31 UTC"/>
        <s v="2022-03-31 07:27:58 UTC"/>
        <s v="2022-03-31 07:26:44 UTC"/>
        <s v="2022-03-31 07:25:52 UTC"/>
        <s v="2022-03-31 07:13:11 UTC"/>
        <s v="2022-03-31 07:06:46 UTC"/>
        <s v="2022-03-31 06:47:03 UTC"/>
        <s v="2022-03-31 06:46:22 UTC"/>
        <s v="2022-03-31 06:45:16 UTC"/>
        <s v="2022-03-31 06:44:37 UTC"/>
        <s v="2022-03-31 06:43:35 UTC"/>
        <s v="2022-03-31 06:42:06 UTC"/>
        <s v="2022-03-31 06:41:21 UTC"/>
        <s v="2022-03-31 06:40:35 UTC"/>
        <s v="2022-03-31 06:40:02 UTC"/>
        <s v="2022-03-31 06:39:28 UTC"/>
        <s v="2022-03-31 06:38:55 UTC"/>
        <s v="2022-03-31 06:38:22 UTC"/>
        <s v="2022-03-31 06:37:43 UTC"/>
        <s v="2022-03-31 06:37:36 UTC"/>
        <s v="2022-03-31 06:37:10 UTC"/>
        <s v="2022-03-31 06:36:19 UTC"/>
        <s v="2022-03-31 06:35:45 UTC"/>
        <s v="2022-03-31 06:34:51 UTC"/>
        <s v="2022-03-31 06:34:04 UTC"/>
        <s v="2022-03-31 06:33:17 UTC"/>
        <s v="2022-03-31 06:32:44 UTC"/>
        <s v="2022-03-31 06:32:11 UTC"/>
        <s v="2022-03-31 06:31:34 UTC"/>
        <s v="2022-03-31 06:30:57 UTC"/>
        <s v="2022-03-31 06:30:54 UTC"/>
        <s v="2022-03-31 06:30:42 UTC"/>
        <s v="2022-03-31 06:30:01 UTC"/>
        <s v="2022-03-31 06:28:45 UTC"/>
        <s v="2022-03-31 06:28:36 UTC"/>
        <s v="2022-03-31 06:27:51 UTC"/>
        <s v="2022-03-31 06:27:19 UTC"/>
        <s v="2022-03-31 06:26:47 UTC"/>
        <s v="2022-03-31 06:26:14 UTC"/>
        <s v="2022-03-31 06:25:39 UTC"/>
        <s v="2022-03-31 06:25:06 UTC"/>
        <s v="2022-03-31 06:24:28 UTC"/>
        <s v="2022-03-31 06:23:55 UTC"/>
        <s v="2022-03-31 06:23:21 UTC"/>
        <s v="2022-03-31 06:22:41 UTC"/>
        <s v="2022-03-31 06:22:00 UTC"/>
        <s v="2022-03-31 06:21:18 UTC"/>
        <s v="2022-03-31 06:20:44 UTC"/>
        <s v="2022-03-31 06:20:11 UTC"/>
        <s v="2022-03-31 06:19:34 UTC"/>
        <s v="2022-03-31 06:19:00 UTC"/>
        <s v="2022-03-31 06:18:28 UTC"/>
        <s v="2022-03-31 06:17:54 UTC"/>
        <s v="2022-03-31 06:17:13 UTC"/>
        <s v="2022-03-31 06:16:38 UTC"/>
        <s v="2022-03-31 06:15:51 UTC"/>
        <s v="2022-03-31 06:15:17 UTC"/>
        <s v="2022-03-31 06:14:45 UTC"/>
        <s v="2022-03-31 06:14:05 UTC"/>
        <s v="2022-03-31 06:13:10 UTC"/>
        <s v="2022-03-31 06:12:23 UTC"/>
        <s v="2022-03-31 06:08:44 UTC"/>
        <s v="2022-03-31 06:08:07 UTC"/>
        <s v="2022-03-31 06:06:16 UTC"/>
        <s v="2022-03-31 06:03:57 UTC"/>
        <s v="2022-03-31 05:57:54 UTC"/>
        <s v="2022-03-31 05:56:52 UTC"/>
        <s v="2022-03-31 05:56:51 UTC"/>
        <s v="2022-03-31 05:48:11 UTC"/>
        <s v="2022-03-31 05:25:57 UTC"/>
        <s v="2022-03-31 05:21:37 UTC"/>
        <s v="2022-03-31 05:14:12 UTC"/>
        <s v="2022-03-31 05:14:11 UTC"/>
        <s v="2022-03-31 05:13:26 UTC"/>
        <s v="2022-03-31 05:13:25 UTC"/>
        <s v="2022-03-31 05:12:08 UTC"/>
        <s v="2022-03-31 05:11:41 UTC"/>
        <s v="2022-03-31 05:11:40 UTC"/>
        <s v="2022-03-31 05:09:08 UTC"/>
        <s v="2022-03-31 05:04:11 UTC"/>
        <s v="2022-03-31 04:48:40 UTC"/>
        <s v="2022-03-31 04:47:17 UTC"/>
        <s v="2022-03-31 04:47:15 UTC"/>
        <s v="2022-03-31 04:44:12 UTC"/>
        <s v="2022-03-31 04:43:36 UTC"/>
        <s v="2022-03-31 04:43:06 UTC"/>
        <s v="2022-03-31 04:42:58 UTC"/>
        <s v="2022-03-31 04:42:33 UTC"/>
        <s v="2022-03-31 04:42:03 UTC"/>
        <s v="2022-03-31 04:41:59 UTC"/>
        <s v="2022-03-31 04:41:31 UTC"/>
        <s v="2022-03-31 04:41:15 UTC"/>
        <s v="2022-03-31 04:40:58 UTC"/>
        <s v="2022-03-31 04:40:28 UTC"/>
        <s v="2022-03-31 04:39:56 UTC"/>
        <s v="2022-03-31 04:39:18 UTC"/>
        <s v="2022-03-31 04:38:59 UTC"/>
        <s v="2022-03-31 04:38:45 UTC"/>
        <s v="2022-03-31 04:38:15 UTC"/>
        <s v="2022-03-31 04:38:11 UTC"/>
        <s v="2022-03-31 04:37:44 UTC"/>
        <s v="2022-03-31 04:37:39 UTC"/>
        <s v="2022-03-31 04:37:11 UTC"/>
        <s v="2022-03-31 04:36:40 UTC"/>
        <s v="2022-03-31 04:36:07 UTC"/>
        <s v="2022-03-31 04:35:32 UTC"/>
        <s v="2022-03-31 04:34:59 UTC"/>
        <s v="2022-03-31 04:34:15 UTC"/>
        <s v="2022-03-31 04:34:10 UTC"/>
        <s v="2022-03-31 04:33:43 UTC"/>
        <s v="2022-03-31 04:33:19 UTC"/>
        <s v="2022-03-31 04:33:01 UTC"/>
        <s v="2022-03-31 04:32:29 UTC"/>
        <s v="2022-03-31 04:31:45 UTC"/>
        <s v="2022-03-31 04:31:03 UTC"/>
        <s v="2022-03-31 04:30:30 UTC"/>
        <s v="2022-03-31 04:29:53 UTC"/>
        <s v="2022-03-31 04:29:14 UTC"/>
        <s v="2022-03-31 04:28:44 UTC"/>
        <s v="2022-03-31 04:28:14 UTC"/>
        <s v="2022-03-31 04:27:44 UTC"/>
        <s v="2022-03-31 04:27:14 UTC"/>
        <s v="2022-03-31 04:26:44 UTC"/>
        <s v="2022-03-31 04:26:14 UTC"/>
        <s v="2022-03-31 04:25:44 UTC"/>
        <s v="2022-03-31 04:25:14 UTC"/>
        <s v="2022-03-31 04:24:44 UTC"/>
        <s v="2022-03-31 04:24:14 UTC"/>
        <s v="2022-03-31 04:23:43 UTC"/>
        <s v="2022-03-31 04:22:59 UTC"/>
        <s v="2022-03-31 04:22:28 UTC"/>
        <s v="2022-03-31 04:21:44 UTC"/>
        <s v="2022-03-31 04:21:02 UTC"/>
        <s v="2022-03-31 04:20:32 UTC"/>
        <s v="2022-03-31 04:19:59 UTC"/>
        <s v="2022-03-31 04:19:25 UTC"/>
        <s v="2022-03-31 04:18:53 UTC"/>
        <s v="2022-03-31 04:18:15 UTC"/>
        <s v="2022-03-31 04:17:43 UTC"/>
        <s v="2022-03-31 04:16:54 UTC"/>
        <s v="2022-03-31 04:16:51 UTC"/>
        <s v="2022-03-31 04:16:19 UTC"/>
        <s v="2022-03-31 04:15:49 UTC"/>
        <s v="2022-03-31 04:15:19 UTC"/>
        <s v="2022-03-31 04:14:49 UTC"/>
        <s v="2022-03-31 04:14:19 UTC"/>
        <s v="2022-03-31 04:13:49 UTC"/>
        <s v="2022-03-31 04:13:19 UTC"/>
        <s v="2022-03-31 04:12:49 UTC"/>
        <s v="2022-03-31 04:12:35 UTC"/>
        <s v="2022-03-31 04:12:17 UTC"/>
        <s v="2022-03-31 04:11:47 UTC"/>
        <s v="2022-03-31 04:11:34 UTC"/>
        <s v="2022-03-31 04:11:16 UTC"/>
        <s v="2022-03-31 04:10:58 UTC"/>
        <s v="2022-03-31 04:10:43 UTC"/>
        <s v="2022-03-31 04:10:19 UTC"/>
        <s v="2022-03-31 04:10:04 UTC"/>
        <s v="2022-03-31 04:09:34 UTC"/>
        <s v="2022-03-31 04:09:02 UTC"/>
        <s v="2022-03-31 04:08:50 UTC"/>
        <s v="2022-03-31 04:08:46 UTC"/>
        <s v="2022-03-31 04:08:40 UTC"/>
        <s v="2022-03-31 04:08:28 UTC"/>
        <s v="2022-03-31 04:07:40 UTC"/>
        <s v="2022-03-31 04:00:47 UTC"/>
        <s v="2022-03-31 03:58:31 UTC"/>
        <s v="2022-03-31 03:50:43 UTC"/>
        <s v="2022-03-31 03:50:42 UTC"/>
        <s v="2022-03-31 03:48:52 UTC"/>
        <s v="2022-03-31 03:48:09 UTC"/>
        <s v="2022-03-31 03:47:36 UTC"/>
        <s v="2022-03-31 03:40:52 UTC"/>
        <s v="2022-03-31 03:36:13 UTC"/>
        <s v="2022-03-31 03:08:12 UTC"/>
        <s v="2022-03-31 03:06:10 UTC"/>
        <s v="2022-03-31 03:01:37 UTC"/>
        <s v="2022-03-31 03:00:53 UTC"/>
        <s v="2022-03-31 03:00:19 UTC"/>
        <s v="2022-03-31 02:59:32 UTC"/>
        <s v="2022-03-31 02:59:14 UTC"/>
        <s v="2022-03-31 02:58:59 UTC"/>
        <s v="2022-03-31 02:58:29 UTC"/>
        <s v="2022-03-31 02:58:14 UTC"/>
        <s v="2022-03-31 02:57:55 UTC"/>
        <s v="2022-03-31 02:57:29 UTC"/>
        <s v="2022-03-31 02:57:09 UTC"/>
        <s v="2022-03-31 02:56:52 UTC"/>
        <s v="2022-03-31 02:56:35 UTC"/>
        <s v="2022-03-31 02:56:19 UTC"/>
        <s v="2022-03-31 02:55:49 UTC"/>
        <s v="2022-03-31 02:55:45 UTC"/>
        <s v="2022-03-31 02:54:59 UTC"/>
        <s v="2022-03-31 02:54:22 UTC"/>
        <s v="2022-03-31 02:54:12 UTC"/>
        <s v="2022-03-31 02:53:45 UTC"/>
        <s v="2022-03-31 02:53:39 UTC"/>
        <s v="2022-03-31 02:53:07 UTC"/>
        <s v="2022-03-31 02:52:29 UTC"/>
        <s v="2022-03-31 02:51:58 UTC"/>
        <s v="2022-03-31 02:47:19 UTC"/>
        <s v="2022-03-31 02:46:31 UTC"/>
        <s v="2022-03-31 02:45:31 UTC"/>
        <s v="2022-03-31 02:43:50 UTC"/>
        <s v="2022-03-31 02:42:42 UTC"/>
        <s v="2022-03-31 02:42:11 UTC"/>
        <s v="2022-03-31 02:41:33 UTC"/>
        <s v="2022-03-31 02:38:33 UTC"/>
        <s v="2022-03-31 02:37:55 UTC"/>
        <s v="2022-03-31 02:35:53 UTC"/>
        <s v="2022-03-31 02:34:33 UTC"/>
        <s v="2022-03-31 02:33:59 UTC"/>
        <s v="2022-03-31 02:33:10 UTC"/>
        <s v="2022-03-31 02:31:29 UTC"/>
        <s v="2022-03-31 02:29:58 UTC"/>
        <s v="2022-03-31 02:29:55 UTC"/>
        <s v="2022-03-31 02:29:01 UTC"/>
        <s v="2022-03-31 02:27:59 UTC"/>
        <s v="2022-03-31 02:27:25 UTC"/>
        <s v="2022-03-31 02:26:49 UTC"/>
        <s v="2022-03-31 02:26:48 UTC"/>
        <s v="2022-03-31 01:35:46 UTC"/>
        <s v="2022-03-31 00:45:26 UTC"/>
        <s v="2022-03-31 00:31:36 UTC"/>
        <s v="2022-03-30 23:44:59 UTC"/>
        <s v="2022-03-30 23:02:32 UTC"/>
        <s v="2022-03-30 19:22:20 UTC"/>
        <s v="2022-03-30 19:21:47 UTC"/>
        <s v="2022-03-30 19:21:00 UTC"/>
        <s v="2022-03-30 19:20:49 UTC"/>
        <s v="2022-03-30 18:39:01 UTC"/>
        <s v="2022-03-30 17:33:42 UTC"/>
        <s v="2022-03-30 16:49:58 UTC"/>
        <s v="2022-03-30 16:49:42 UTC"/>
        <s v="2022-03-30 16:47:23 UTC"/>
        <s v="2022-03-30 16:47:20 UTC"/>
        <s v="2022-03-30 16:47:19 UTC"/>
        <s v="2022-03-30 16:47:18 UTC"/>
        <s v="2022-03-30 16:47:17 UTC"/>
        <s v="2022-03-30 16:47:15 UTC"/>
        <s v="2022-03-30 16:47:10 UTC"/>
        <s v="2022-03-30 16:47:09 UTC"/>
        <s v="2022-03-30 16:47:08 UTC"/>
        <s v="2022-03-30 16:47:06 UTC"/>
        <s v="2022-03-30 16:47:00 UTC"/>
        <s v="2022-03-30 16:20:48 UTC"/>
        <s v="2022-03-30 16:06:53 UTC"/>
        <s v="2022-03-30 15:36:27 UTC"/>
        <s v="2022-03-30 15:22:58 UTC"/>
        <s v="2022-03-30 15:02:45 UTC"/>
        <s v="2022-03-30 14:34:53 UTC"/>
        <s v="2022-03-30 14:31:39 UTC"/>
        <s v="2022-03-30 14:30:56 UTC"/>
        <s v="2022-03-30 14:20:53 UTC"/>
        <s v="2022-03-30 10:44:21 UTC"/>
        <s v="2022-03-30 10:21:19 UTC"/>
        <s v="2022-03-30 10:19:30 UTC"/>
        <s v="2022-03-30 07:22:08 UTC"/>
        <s v="2022-03-30 07:20:22 UTC"/>
        <s v="2022-03-30 03:54:28 UTC"/>
        <s v="2022-03-30 03:50:02 UTC"/>
        <s v="2022-03-30 03:17:28 UTC"/>
        <s v="2022-03-30 01:29:41 UTC"/>
        <s v="2022-03-29 18:13:45 UTC"/>
        <s v="2022-03-29 16:56:56 UTC"/>
        <s v="2022-03-29 16:33:50 UTC"/>
        <s v="2022-03-29 16:33:27 UTC"/>
        <s v="2022-03-29 16:30:49 UTC"/>
        <s v="2022-03-29 16:28:39 UTC"/>
        <s v="2022-03-29 16:24:31 UTC"/>
        <s v="2022-03-29 12:00:36 UTC"/>
        <s v="2022-03-29 11:52:28 UTC"/>
        <s v="2022-03-29 07:45:40 UTC"/>
        <s v="2022-03-29 04:58:26 UTC"/>
        <s v="2022-03-29 04:35:29 UTC"/>
        <s v="2022-03-29 03:46:49 UTC"/>
        <s v="2022-03-29 00:57:29 UTC"/>
        <s v="2022-03-28 13:40:05 UTC"/>
        <s v="2022-03-28 12:47:44 UTC"/>
        <s v="2022-03-28 12:20:15 UTC"/>
        <s v="2022-03-28 09:48:46 UTC"/>
        <s v="2022-03-28 09:44:46 UTC"/>
        <s v="2022-03-28 08:41:43 UTC"/>
        <s v="2022-03-28 08:13:22 UTC"/>
        <s v="2022-03-28 07:59:15 UTC"/>
        <s v="2022-03-28 07:56:26 UTC"/>
        <s v="2022-03-28 07:25:46 UTC"/>
        <s v="2022-03-28 07:22:18 UTC"/>
        <s v="2022-03-28 07:18:24 UTC"/>
        <s v="2022-03-28 06:05:57 UTC"/>
        <s v="2022-03-28 06:00:31 UTC"/>
        <s v="2022-03-28 06:00:21 UTC"/>
        <s v="2022-03-28 04:09:30 UTC"/>
        <s v="2022-03-28 04:09:29 UTC"/>
        <s v="2022-03-28 04:04:09 UTC"/>
        <s v="2022-03-28 02:14:20 UTC"/>
        <s v="2022-03-27 20:32:04 UTC"/>
        <s v="2022-03-27 20:31:20 UTC"/>
        <s v="2022-03-27 17:24:57 UTC"/>
        <s v="2022-03-27 17:07:25 UTC"/>
        <s v="2022-03-27 16:05:23 UTC"/>
        <s v="2022-03-27 15:29:48 UTC"/>
        <s v="2022-03-27 12:55:10 UTC"/>
        <s v="2022-03-27 12:19:58 UTC"/>
        <s v="2022-03-27 12:19:19 UTC"/>
        <s v="2022-03-27 12:18:14 UTC"/>
        <s v="2022-03-27 08:48:48 UTC"/>
        <s v="2022-03-27 08:44:31 UTC"/>
        <s v="2022-03-27 07:10:35 UTC"/>
        <s v="2022-03-27 06:18:43 UTC"/>
        <s v="2022-03-27 05:50:52 UTC"/>
        <s v="2022-03-27 05:44:06 UTC"/>
        <s v="2022-03-27 05:32:38 UTC"/>
        <s v="2022-03-27 05:29:18 UTC"/>
        <s v="2022-03-27 04:29:30 UTC"/>
        <s v="2022-03-27 04:23:09 UTC"/>
        <s v="2022-03-27 03:55:00 UTC"/>
        <s v="2022-03-27 03:30:45 UTC"/>
        <s v="2022-03-27 02:41:03 UTC"/>
        <s v="2022-03-27 02:32:54 UTC"/>
        <s v="2022-03-27 02:14:52 UTC"/>
        <s v="2022-03-26 21:20:43 UTC"/>
        <s v="2022-03-26 12:06:38 UTC"/>
        <s v="2022-03-26 12:04:36 UTC"/>
        <s v="2022-03-26 11:52:46 UTC"/>
        <s v="2022-03-26 11:38:05 UTC"/>
        <s v="2022-03-26 11:36:26 UTC"/>
        <s v="2022-03-26 10:29:51 UTC"/>
        <s v="2022-03-26 09:07:11 UTC"/>
        <s v="2022-03-26 08:44:58 UTC"/>
        <s v="2022-03-26 07:43:59 UTC"/>
        <s v="2022-03-26 07:41:40 UTC"/>
        <s v="2022-03-26 07:38:49 UTC"/>
        <s v="2022-03-26 06:39:08 UTC"/>
        <s v="2022-03-26 05:44:30 UTC"/>
        <s v="2022-03-26 05:34:33 UTC"/>
        <s v="2022-03-26 05:00:54 UTC"/>
        <s v="2022-03-26 04:55:49 UTC"/>
        <s v="2022-03-26 04:39:22 UTC"/>
        <s v="2022-03-26 04:27:35 UTC"/>
        <s v="2022-03-26 03:42:22 UTC"/>
        <s v="2022-03-26 03:42:20 UTC"/>
        <s v="2022-03-26 03:42:18 UTC"/>
        <s v="2022-03-26 03:28:21 UTC"/>
        <s v="2022-03-26 03:26:18 UTC"/>
        <s v="2022-03-26 01:58:20 UTC"/>
        <s v="2022-03-26 01:57:36 UTC"/>
        <s v="2022-03-26 01:34:36 UTC"/>
        <s v="2022-03-26 01:15:59 UTC"/>
        <s v="2022-03-26 00:24:50 UTC"/>
        <s v="2022-03-25 22:24:28 UTC"/>
        <s v="2022-03-25 20:17:37 UTC"/>
        <s v="2022-03-25 19:15:24 UTC"/>
        <s v="2022-03-25 19:14:56 UTC"/>
        <s v="2022-03-25 19:12:11 UTC"/>
        <s v="2022-03-25 18:59:51 UTC"/>
        <s v="2022-03-25 18:34:22 UTC"/>
        <s v="2022-03-25 18:31:48 UTC"/>
        <s v="2022-03-25 17:52:48 UTC"/>
        <s v="2022-03-25 17:20:23 UTC"/>
        <s v="2022-03-25 17:17:36 UTC"/>
        <s v="2022-03-25 16:09:48 UTC"/>
        <s v="2022-03-25 15:02:49 UTC"/>
        <s v="2022-03-25 14:55:30 UTC"/>
        <s v="2022-03-25 14:47:34 UTC"/>
        <s v="2022-03-25 14:42:08 UTC"/>
        <s v="2022-03-25 14:34:29 UTC"/>
        <s v="2022-03-25 14:28:58 UTC"/>
        <s v="2022-03-25 14:28:56 UTC"/>
        <s v="2022-03-25 14:27:06 UTC"/>
        <s v="2022-03-25 14:21:01 UTC"/>
        <s v="2022-03-25 13:40:56 UTC"/>
        <s v="2022-03-25 13:21:24 UTC"/>
        <s v="2022-03-25 13:09:41 UTC"/>
        <s v="2022-03-25 12:55:10 UTC"/>
        <s v="2022-03-25 12:47:54 UTC"/>
        <s v="2022-03-25 12:45:31 UTC"/>
        <s v="2022-03-25 12:39:39 UTC"/>
        <s v="2022-03-25 12:39:00 UTC"/>
        <s v="2022-03-25 11:52:46 UTC"/>
        <s v="2022-03-25 11:45:16 UTC"/>
        <s v="2022-03-25 11:39:35 UTC"/>
        <s v="2022-03-25 11:38:05 UTC"/>
        <s v="2022-03-25 11:25:51 UTC"/>
        <s v="2022-03-25 11:10:10 UTC"/>
        <s v="2022-03-25 10:56:28 UTC"/>
        <s v="2022-03-25 10:51:48 UTC"/>
        <s v="2022-03-25 10:50:42 UTC"/>
        <s v="2022-03-25 10:49:33 UTC"/>
        <s v="2022-03-25 10:48:07 UTC"/>
        <s v="2022-03-25 10:04:02 UTC"/>
        <s v="2022-03-25 09:54:48 UTC"/>
        <s v="2022-03-25 09:29:27 UTC"/>
        <s v="2022-03-25 09:18:57 UTC"/>
        <s v="2022-03-25 09:05:42 UTC"/>
        <s v="2022-03-25 08:57:41 UTC"/>
        <s v="2022-03-25 08:36:52 UTC"/>
        <s v="2022-03-25 08:35:19 UTC"/>
        <s v="2022-03-25 08:34:37 UTC"/>
        <s v="2022-03-25 08:26:37 UTC"/>
        <s v="2022-03-25 08:22:03 UTC"/>
        <s v="2022-03-25 08:05:21 UTC"/>
        <s v="2022-03-25 08:04:57 UTC"/>
        <s v="2022-03-25 08:04:49 UTC"/>
        <s v="2022-03-25 08:03:57 UTC"/>
        <s v="2022-03-25 08:03:49 UTC"/>
        <s v="2022-03-25 08:03:38 UTC"/>
        <s v="2022-03-25 08:03:19 UTC"/>
        <s v="2022-03-25 07:10:32 UTC"/>
        <s v="2022-03-25 07:10:13 UTC"/>
        <s v="2022-03-25 07:01:34 UTC"/>
        <s v="2022-03-25 06:45:05 UTC"/>
        <s v="2022-03-25 06:38:39 UTC"/>
        <s v="2022-03-25 06:36:45 UTC"/>
        <s v="2022-03-25 06:30:18 UTC"/>
        <s v="2022-03-25 06:19:07 UTC"/>
        <s v="2022-03-25 06:12:08 UTC"/>
        <s v="2022-03-25 06:10:09 UTC"/>
        <s v="2022-03-25 06:05:11 UTC"/>
        <s v="2022-03-25 05:55:08 UTC"/>
        <s v="2022-03-25 05:45:02 UTC"/>
        <s v="2022-03-25 05:41:22 UTC"/>
        <s v="2022-03-25 05:22:05 UTC"/>
        <s v="2022-03-25 05:09:13 UTC"/>
        <s v="2022-03-25 05:03:10 UTC"/>
        <s v="2022-03-25 04:37:55 UTC"/>
        <s v="2022-03-25 04:37:05 UTC"/>
        <s v="2022-03-25 04:29:24 UTC"/>
        <s v="2022-03-25 04:26:31 UTC"/>
        <s v="2022-03-25 04:20:18 UTC"/>
        <s v="2022-03-25 04:11:20 UTC"/>
        <s v="2022-03-25 03:56:52 UTC"/>
        <s v="2022-03-25 03:38:14 UTC"/>
        <s v="2022-03-25 03:03:56 UTC"/>
        <s v="2022-03-25 02:51:15 UTC"/>
        <s v="2022-03-25 02:50:35 UTC"/>
        <s v="2022-03-25 02:31:15 UTC"/>
        <s v="2022-03-25 02:29:31 UTC"/>
        <s v="2022-03-25 02:17:25 UTC"/>
        <s v="2022-03-25 01:27:14 UTC"/>
        <s v="2022-03-24 22:44:19 UTC"/>
        <s v="2022-03-24 22:43:54 UTC"/>
        <s v="2022-03-24 21:37:28 UTC"/>
        <s v="2022-03-24 21:33:57 UTC"/>
        <s v="2022-03-24 20:28:47 UTC"/>
        <s v="2022-03-24 19:23:21 UTC"/>
        <s v="2022-03-24 19:13:21 UTC"/>
        <s v="2022-03-24 19:07:47 UTC"/>
        <s v="2022-03-24 18:51:21 UTC"/>
        <s v="2022-03-24 18:41:34 UTC"/>
        <s v="2022-03-24 17:54:14 UTC"/>
        <s v="2022-03-24 17:41:09 UTC"/>
        <s v="2022-03-24 17:30:33 UTC"/>
        <s v="2022-03-24 17:19:15 UTC"/>
        <s v="2022-03-24 17:18:48 UTC"/>
        <s v="2022-03-24 17:18:47 UTC"/>
        <s v="2022-03-24 16:58:40 UTC"/>
        <s v="2022-03-24 16:54:43 UTC"/>
        <s v="2022-03-24 16:53:35 UTC"/>
        <s v="2022-03-24 16:39:57 UTC"/>
        <s v="2022-03-24 16:26:16 UTC"/>
        <s v="2022-03-24 16:23:46 UTC"/>
        <s v="2022-03-24 16:17:30 UTC"/>
        <s v="2022-03-24 16:14:46 UTC"/>
        <s v="2022-03-24 16:12:40 UTC"/>
        <s v="2022-03-24 16:04:19 UTC"/>
        <s v="2022-03-24 16:01:23 UTC"/>
        <s v="2022-03-24 16:00:55 UTC"/>
        <s v="2022-03-24 15:31:27 UTC"/>
        <s v="2022-03-24 15:31:19 UTC"/>
        <s v="2022-03-24 15:13:54 UTC"/>
        <s v="2022-03-24 14:39:01 UTC"/>
        <s v="2022-03-24 14:38:48 UTC"/>
        <s v="2022-03-24 14:28:20 UTC"/>
        <s v="2022-03-24 14:27:58 UTC"/>
        <s v="2022-03-24 14:27:22 UTC"/>
        <s v="2022-03-24 14:23:52 UTC"/>
        <s v="2022-03-24 14:20:26 UTC"/>
        <s v="2022-03-24 14:03:29 UTC"/>
        <s v="2022-03-24 14:02:08 UTC"/>
        <s v="2022-03-24 13:57:35 UTC"/>
        <s v="2022-03-24 13:55:23 UTC"/>
        <s v="2022-03-24 13:47:39 UTC"/>
        <s v="2022-03-24 13:46:49 UTC"/>
        <s v="2022-03-24 12:47:26 UTC"/>
        <s v="2022-03-24 12:31:11 UTC"/>
        <s v="2022-03-24 12:16:41 UTC"/>
        <s v="2022-03-24 12:10:26 UTC"/>
        <s v="2022-03-24 11:57:58 UTC"/>
        <s v="2022-03-24 11:49:23 UTC"/>
        <s v="2022-03-24 11:41:21 UTC"/>
        <s v="2022-03-24 11:39:52 UTC"/>
        <s v="2022-03-24 11:34:57 UTC"/>
        <s v="2022-03-24 11:24:32 UTC"/>
        <s v="2022-03-24 11:22:16 UTC"/>
        <s v="2022-03-24 11:21:24 UTC"/>
        <s v="2022-03-24 11:18:30 UTC"/>
        <s v="2022-03-24 11:11:12 UTC"/>
        <s v="2022-03-24 11:00:47 UTC"/>
        <s v="2022-03-24 10:54:59 UTC"/>
        <s v="2022-03-24 10:46:42 UTC"/>
        <s v="2022-03-24 10:31:12 UTC"/>
        <s v="2022-03-24 10:30:09 UTC"/>
        <s v="2022-03-24 10:27:25 UTC"/>
        <s v="2022-03-24 10:25:04 UTC"/>
        <s v="2022-03-24 10:21:10 UTC"/>
        <s v="2022-03-24 10:17:41 UTC"/>
        <s v="2022-03-24 10:16:58 UTC"/>
        <s v="2022-03-24 10:15:42 UTC"/>
        <s v="2022-03-24 10:13:44 UTC"/>
        <s v="2022-03-24 10:01:49 UTC"/>
        <s v="2022-03-24 09:52:46 UTC"/>
        <s v="2022-03-24 09:52:17 UTC"/>
        <s v="2022-03-24 09:08:33 UTC"/>
        <s v="2022-03-24 08:28:12 UTC"/>
        <s v="2022-03-24 08:25:27 UTC"/>
        <s v="2022-03-24 08:20:17 UTC"/>
        <s v="2022-03-24 08:16:50 UTC"/>
        <s v="2022-03-24 08:16:25 UTC"/>
        <s v="2022-03-24 08:11:53 UTC"/>
        <s v="2022-03-24 08:07:48 UTC"/>
        <s v="2022-03-24 07:17:26 UTC"/>
        <s v="2022-03-24 06:35:49 UTC"/>
        <s v="2022-03-24 06:12:02 UTC"/>
        <s v="2022-03-24 06:07:17 UTC"/>
        <s v="2022-03-24 06:05:55 UTC"/>
        <s v="2022-03-24 06:05:17 UTC"/>
        <s v="2022-03-24 05:46:25 UTC"/>
        <s v="2022-03-24 05:35:48 UTC"/>
        <s v="2022-03-24 05:26:49 UTC"/>
        <s v="2022-03-24 04:52:22 UTC"/>
        <s v="2022-03-24 04:49:01 UTC"/>
        <s v="2022-03-24 04:42:15 UTC"/>
        <s v="2022-03-24 04:40:07 UTC"/>
        <s v="2022-03-24 04:29:48 UTC"/>
        <s v="2022-03-24 03:05:10 UTC"/>
        <s v="2022-03-24 02:56:35 UTC"/>
        <s v="2022-03-24 02:54:35 UTC"/>
        <s v="2022-03-24 02:50:14 UTC"/>
        <s v="2022-03-24 02:50:01 UTC"/>
        <s v="2022-03-24 01:18:35 UTC"/>
        <s v="2022-03-24 00:26:18 UTC"/>
        <s v="2022-03-23 23:06:02 UTC"/>
        <s v="2022-03-23 22:35:44 UTC"/>
        <s v="2022-03-23 22:05:37 UTC"/>
        <s v="2022-03-23 19:15:12 UTC"/>
        <s v="2022-03-23 19:14:46 UTC"/>
        <s v="2022-03-23 19:12:29 UTC"/>
        <s v="2022-03-23 19:09:35 UTC"/>
        <s v="2022-03-23 19:09:30 UTC"/>
        <s v="2022-03-23 19:03:32 UTC"/>
        <s v="2022-03-23 18:34:03 UTC"/>
        <s v="2022-03-23 17:14:46 UTC"/>
        <s v="2022-03-23 17:12:32 UTC"/>
        <s v="2022-03-23 16:23:37 UTC"/>
        <s v="2022-03-23 15:19:42 UTC"/>
        <s v="2022-03-23 14:59:31 UTC"/>
        <s v="2022-03-23 14:56:33 UTC"/>
        <s v="2022-03-23 14:49:54 UTC"/>
        <s v="2022-03-23 14:08:51 UTC"/>
        <s v="2022-03-23 14:07:23 UTC"/>
        <s v="2022-03-23 13:57:07 UTC"/>
        <s v="2022-03-23 13:51:03 UTC"/>
        <s v="2022-03-23 13:50:25 UTC"/>
        <s v="2022-03-23 13:21:54 UTC"/>
        <s v="2022-03-23 13:21:11 UTC"/>
        <s v="2022-03-23 13:11:38 UTC"/>
        <s v="2022-03-23 12:56:53 UTC"/>
        <s v="2022-03-23 12:46:28 UTC"/>
        <s v="2022-03-23 12:40:21 UTC"/>
        <s v="2022-03-23 12:21:44 UTC"/>
        <s v="2022-03-23 12:10:35 UTC"/>
        <s v="2022-03-23 11:55:24 UTC"/>
        <s v="2022-03-23 11:31:06 UTC"/>
        <s v="2022-03-23 11:30:29 UTC"/>
        <s v="2022-03-23 11:01:17 UTC"/>
        <s v="2022-03-23 10:52:38 UTC"/>
        <s v="2022-03-23 10:46:25 UTC"/>
        <s v="2022-03-23 10:42:34 UTC"/>
        <s v="2022-03-23 10:05:41 UTC"/>
        <s v="2022-03-23 09:58:26 UTC"/>
        <s v="2022-03-23 09:32:15 UTC"/>
        <s v="2022-03-23 09:27:28 UTC"/>
        <s v="2022-03-23 08:50:43 UTC"/>
        <s v="2022-03-23 08:47:29 UTC"/>
        <s v="2022-03-23 08:45:25 UTC"/>
        <s v="2022-03-23 08:40:37 UTC"/>
        <s v="2022-03-23 08:38:11 UTC"/>
        <s v="2022-03-23 08:36:31 UTC"/>
        <s v="2022-03-23 08:35:03 UTC"/>
        <s v="2022-03-23 08:00:48 UTC"/>
        <s v="2022-03-23 07:50:08 UTC"/>
        <s v="2022-03-23 07:47:42 UTC"/>
        <s v="2022-03-23 07:43:32 UTC"/>
        <s v="2022-03-23 07:25:54 UTC"/>
        <s v="2022-03-23 07:09:53 UTC"/>
        <s v="2022-03-23 07:02:55 UTC"/>
        <s v="2022-03-23 07:00:50 UTC"/>
        <s v="2022-03-23 06:59:47 UTC"/>
        <s v="2022-03-23 06:48:35 UTC"/>
        <s v="2022-03-23 06:42:21 UTC"/>
        <s v="2022-03-23 06:36:47 UTC"/>
        <s v="2022-03-23 06:08:47 UTC"/>
        <s v="2022-03-23 06:06:14 UTC"/>
        <s v="2022-03-23 05:43:39 UTC"/>
        <s v="2022-03-23 04:53:44 UTC"/>
        <s v="2022-03-23 04:53:37 UTC"/>
        <s v="2022-03-23 04:53:35 UTC"/>
        <s v="2022-03-23 04:53:34 UTC"/>
        <s v="2022-03-23 04:48:00 UTC"/>
        <s v="2022-03-23 04:15:19 UTC"/>
        <s v="2022-03-23 04:12:11 UTC"/>
        <s v="2022-03-23 03:34:35 UTC"/>
        <s v="2022-03-23 03:22:23 UTC"/>
        <s v="2022-03-23 03:20:05 UTC"/>
        <s v="2022-03-23 03:14:11 UTC"/>
        <s v="2022-03-23 02:55:39 UTC"/>
        <s v="2022-03-23 02:41:17 UTC"/>
        <s v="2022-03-23 02:33:28 UTC"/>
        <s v="2022-03-23 02:08:02 UTC"/>
        <s v="2022-03-23 00:22:51 UTC"/>
        <s v="2022-03-23 00:21:07 UTC"/>
        <s v="2022-03-22 23:49:57 UTC"/>
        <s v="2022-03-22 21:07:10 UTC"/>
        <s v="2022-03-22 20:46:35 UTC"/>
        <s v="2022-03-22 20:41:17 UTC"/>
        <s v="2022-03-22 20:39:21 UTC"/>
        <s v="2022-03-22 20:39:11 UTC"/>
        <s v="2022-03-22 19:11:21 UTC"/>
        <s v="2022-03-22 18:53:46 UTC"/>
        <s v="2022-03-22 18:53:18 UTC"/>
        <s v="2022-03-22 18:46:56 UTC"/>
        <s v="2022-03-22 18:37:31 UTC"/>
        <s v="2022-03-22 18:08:27 UTC"/>
        <s v="2022-03-22 18:08:26 UTC"/>
        <s v="2022-03-22 18:03:51 UTC"/>
        <s v="2022-03-22 17:47:12 UTC"/>
        <s v="2022-03-22 17:32:24 UTC"/>
        <s v="2022-03-22 17:26:14 UTC"/>
        <s v="2022-03-22 17:19:53 UTC"/>
        <s v="2022-03-22 17:05:51 UTC"/>
        <s v="2022-03-22 16:48:41 UTC"/>
        <s v="2022-03-22 16:20:38 UTC"/>
        <s v="2022-03-22 16:11:54 UTC"/>
        <s v="2022-03-22 15:59:51 UTC"/>
        <s v="2022-03-22 15:53:16 UTC"/>
        <s v="2022-03-22 15:42:22 UTC"/>
        <s v="2022-03-22 15:39:39 UTC"/>
        <s v="2022-03-22 14:36:26 UTC"/>
        <s v="2022-03-22 14:35:17 UTC"/>
        <s v="2022-03-22 13:42:37 UTC"/>
        <s v="2022-03-22 13:40:33 UTC"/>
        <s v="2022-03-22 13:31:58 UTC"/>
        <s v="2022-03-22 12:46:49 UTC"/>
        <s v="2022-03-22 12:09:16 UTC"/>
        <s v="2022-03-22 12:05:11 UTC"/>
        <s v="2022-03-22 11:52:26 UTC"/>
        <s v="2022-03-22 11:01:28 UTC"/>
        <s v="2022-03-22 10:34:32 UTC"/>
        <s v="2022-03-22 10:21:17 UTC"/>
        <s v="2022-03-22 10:16:33 UTC"/>
        <s v="2022-03-22 09:45:31 UTC"/>
        <s v="2022-03-22 09:45:18 UTC"/>
        <s v="2022-03-22 09:42:45 UTC"/>
        <s v="2022-03-22 09:16:53 UTC"/>
        <s v="2022-03-22 09:11:41 UTC"/>
        <s v="2022-03-22 08:23:04 UTC"/>
        <s v="2022-03-22 08:21:59 UTC"/>
        <s v="2022-03-22 08:00:17 UTC"/>
        <s v="2022-03-22 07:54:51 UTC"/>
        <s v="2022-03-22 07:51:22 UTC"/>
        <s v="2022-03-22 07:05:24 UTC"/>
        <s v="2022-03-22 06:49:27 UTC"/>
        <s v="2022-03-22 06:11:18 UTC"/>
        <s v="2022-03-22 06:04:43 UTC"/>
        <s v="2022-03-22 06:03:57 UTC"/>
        <s v="2022-03-22 05:37:00 UTC"/>
        <s v="2022-03-22 05:18:03 UTC"/>
        <s v="2022-03-22 05:03:48 UTC"/>
        <s v="2022-03-22 04:24:08 UTC"/>
        <s v="2022-03-22 03:46:57 UTC"/>
        <s v="2022-03-22 03:36:38 UTC"/>
        <s v="2022-03-22 03:27:31 UTC"/>
        <s v="2022-03-22 03:07:03 UTC"/>
        <s v="2022-03-22 02:46:46 UTC"/>
        <s v="2022-03-22 02:43:02 UTC"/>
        <s v="2022-03-22 02:36:30 UTC"/>
        <s v="2022-03-22 02:24:34 UTC"/>
        <s v="2022-03-22 01:22:38 UTC"/>
        <s v="2022-03-22 00:49:00 UTC"/>
        <s v="2022-03-21 23:08:38 UTC"/>
        <s v="2022-03-21 23:06:09 UTC"/>
        <s v="2022-03-21 21:24:28 UTC"/>
        <s v="2022-03-21 21:02:05 UTC"/>
        <s v="2022-03-21 20:53:46 UTC"/>
        <s v="2022-03-21 20:50:41 UTC"/>
        <s v="2022-03-21 20:36:23 UTC"/>
        <s v="2022-03-21 19:47:51 UTC"/>
        <s v="2022-03-21 19:40:09 UTC"/>
        <s v="2022-03-21 19:35:20 UTC"/>
        <s v="2022-03-21 19:34:23 UTC"/>
        <s v="2022-03-21 19:18:37 UTC"/>
        <s v="2022-03-21 19:18:25 UTC"/>
        <s v="2022-03-21 18:22:53 UTC"/>
        <s v="2022-03-21 18:08:23 UTC"/>
        <s v="2022-03-21 17:50:13 UTC"/>
        <s v="2022-03-21 17:44:57 UTC"/>
        <s v="2022-03-21 17:44:33 UTC"/>
        <s v="2022-03-21 17:43:50 UTC"/>
        <s v="2022-03-21 16:24:25 UTC"/>
        <s v="2022-03-21 16:20:41 UTC"/>
        <s v="2022-03-21 16:20:34 UTC"/>
        <s v="2022-03-21 16:19:45 UTC"/>
        <s v="2022-03-21 16:19:11 UTC"/>
        <s v="2022-03-21 16:16:46 UTC"/>
        <s v="2022-03-21 16:15:38 UTC"/>
        <s v="2022-03-21 16:10:07 UTC"/>
        <s v="2022-03-21 16:07:38 UTC"/>
        <s v="2022-03-21 16:07:14 UTC"/>
        <s v="2022-03-21 16:07:01 UTC"/>
        <s v="2022-03-21 15:56:39 UTC"/>
        <s v="2022-03-21 15:54:46 UTC"/>
        <s v="2022-03-21 15:50:54 UTC"/>
        <s v="2022-03-21 15:44:52 UTC"/>
        <s v="2022-03-21 15:35:13 UTC"/>
        <s v="2022-03-21 15:35:08 UTC"/>
        <s v="2022-03-21 15:30:59 UTC"/>
        <s v="2022-03-21 15:29:18 UTC"/>
        <s v="2022-03-21 15:24:49 UTC"/>
        <s v="2022-03-21 15:11:46 UTC"/>
        <s v="2022-03-21 14:40:28 UTC"/>
        <s v="2022-03-21 14:23:41 UTC"/>
        <s v="2022-03-21 14:13:09 UTC"/>
        <s v="2022-03-21 14:12:10 UTC"/>
        <s v="2022-03-21 14:04:57 UTC"/>
        <s v="2022-03-21 14:02:39 UTC"/>
        <s v="2022-03-21 14:01:58 UTC"/>
        <s v="2022-03-21 13:56:59 UTC"/>
        <s v="2022-03-21 13:51:34 UTC"/>
        <s v="2022-03-21 13:51:16 UTC"/>
        <s v="2022-03-21 13:22:02 UTC"/>
        <s v="2022-03-21 12:35:54 UTC"/>
        <s v="2022-03-21 12:34:03 UTC"/>
        <s v="2022-03-21 12:32:15 UTC"/>
        <s v="2022-03-21 12:11:51 UTC"/>
        <s v="2022-03-21 12:11:06 UTC"/>
        <s v="2022-03-21 12:10:37 UTC"/>
        <s v="2022-03-21 12:10:14 UTC"/>
        <s v="2022-03-21 12:04:38 UTC"/>
        <s v="2022-03-21 11:57:02 UTC"/>
        <s v="2022-03-21 09:20:48 UTC"/>
        <s v="2022-03-21 08:05:16 UTC"/>
        <s v="2022-03-21 07:59:31 UTC"/>
        <s v="2022-03-21 07:16:30 UTC"/>
        <s v="2022-03-21 07:16:14 UTC"/>
        <s v="2022-03-21 06:58:41 UTC"/>
        <s v="2022-03-21 06:40:13 UTC"/>
        <s v="2022-03-21 06:39:41 UTC"/>
        <s v="2022-03-21 06:22:50 UTC"/>
        <s v="2022-03-21 06:22:36 UTC"/>
        <s v="2022-03-21 06:09:52 UTC"/>
        <s v="2022-03-21 06:08:44 UTC"/>
        <s v="2022-03-21 06:01:33 UTC"/>
        <s v="2022-03-21 05:58:32 UTC"/>
        <s v="2022-03-21 05:29:44 UTC"/>
        <s v="2022-03-21 05:26:55 UTC"/>
        <s v="2022-03-21 04:53:17 UTC"/>
        <s v="2022-03-21 04:48:53 UTC"/>
        <s v="2022-03-21 04:46:45 UTC"/>
        <s v="2022-03-21 04:22:14 UTC"/>
        <s v="2022-03-21 04:11:56 UTC"/>
        <s v="2022-03-21 03:20:35 UTC"/>
        <s v="2022-03-21 03:20:00 UTC"/>
        <s v="2022-03-21 02:37:12 UTC"/>
        <s v="2022-03-21 02:22:34 UTC"/>
        <s v="2022-03-21 02:20:39 UTC"/>
        <s v="2022-03-21 02:15:20 UTC"/>
        <s v="2022-03-21 01:46:02 UTC"/>
        <s v="2022-03-21 01:44:34 UTC"/>
        <s v="2022-03-21 01:37:23 UTC"/>
        <s v="2022-03-21 01:36:29 UTC"/>
        <s v="2022-03-21 01:32:50 UTC"/>
        <s v="2022-03-21 01:30:09 UTC"/>
        <s v="2022-03-21 01:28:40 UTC"/>
        <s v="2022-03-21 00:54:22 UTC"/>
        <s v="2022-03-21 00:45:29 UTC"/>
        <s v="2022-03-20 21:52:44 UTC"/>
        <s v="2022-03-20 21:51:42 UTC"/>
        <s v="2022-03-20 21:40:49 UTC"/>
        <s v="2022-03-20 21:25:19 UTC"/>
        <s v="2022-03-20 21:08:20 UTC"/>
        <s v="2022-03-20 20:39:45 UTC"/>
        <s v="2022-03-20 19:36:57 UTC"/>
        <s v="2022-03-20 19:14:44 UTC"/>
        <s v="2022-03-20 19:04:51 UTC"/>
        <s v="2022-03-20 19:02:15 UTC"/>
        <s v="2022-03-20 18:58:16 UTC"/>
        <s v="2022-03-20 18:03:47 UTC"/>
        <s v="2022-03-20 18:03:37 UTC"/>
        <s v="2022-03-20 17:42:09 UTC"/>
        <s v="2022-03-20 17:07:57 UTC"/>
        <s v="2022-03-20 17:07:16 UTC"/>
        <s v="2022-03-20 16:55:16 UTC"/>
        <s v="2022-03-20 16:14:35 UTC"/>
        <s v="2022-03-20 16:04:40 UTC"/>
        <s v="2022-03-20 15:51:58 UTC"/>
        <s v="2022-03-20 15:47:44 UTC"/>
        <s v="2022-03-20 15:37:58 UTC"/>
        <s v="2022-03-20 15:31:35 UTC"/>
        <s v="2022-03-20 15:25:08 UTC"/>
        <s v="2022-03-20 15:24:30 UTC"/>
        <s v="2022-03-20 15:18:56 UTC"/>
        <s v="2022-03-20 15:18:18 UTC"/>
        <s v="2022-03-20 15:16:03 UTC"/>
        <s v="2022-03-20 15:11:47 UTC"/>
        <s v="2022-03-20 15:03:45 UTC"/>
        <s v="2022-03-20 15:01:56 UTC"/>
        <s v="2022-03-20 14:57:27 UTC"/>
        <s v="2022-03-20 14:53:11 UTC"/>
        <s v="2022-03-20 14:48:31 UTC"/>
        <s v="2022-03-20 14:47:02 UTC"/>
        <s v="2022-03-20 14:42:58 UTC"/>
        <s v="2022-03-20 14:42:23 UTC"/>
        <s v="2022-03-20 14:34:21 UTC"/>
        <s v="2022-03-20 14:33:39 UTC"/>
        <s v="2022-03-20 14:33:31 UTC"/>
        <s v="2022-03-20 14:06:46 UTC"/>
        <s v="2022-03-20 13:44:14 UTC"/>
        <s v="2022-03-20 13:42:54 UTC"/>
        <s v="2022-03-20 12:37:30 UTC"/>
        <s v="2022-03-20 11:50:16 UTC"/>
        <s v="2022-03-20 11:33:47 UTC"/>
        <s v="2022-03-20 11:30:28 UTC"/>
        <s v="2022-03-20 10:23:10 UTC"/>
        <s v="2022-03-20 10:21:42 UTC"/>
        <s v="2022-03-20 09:50:35 UTC"/>
        <s v="2022-03-20 09:45:53 UTC"/>
        <s v="2022-03-20 09:39:42 UTC"/>
        <s v="2022-03-20 09:34:09 UTC"/>
        <s v="2022-03-20 09:33:14 UTC"/>
        <s v="2022-03-20 09:06:13 UTC"/>
        <s v="2022-03-20 09:05:57 UTC"/>
        <s v="2022-03-20 08:38:12 UTC"/>
        <s v="2022-03-20 08:14:22 UTC"/>
        <s v="2022-03-20 07:52:41 UTC"/>
        <s v="2022-03-20 07:03:42 UTC"/>
        <s v="2022-03-20 06:52:16 UTC"/>
        <s v="2022-03-20 06:40:22 UTC"/>
        <s v="2022-03-20 06:09:38 UTC"/>
        <s v="2022-03-20 05:05:28 UTC"/>
        <s v="2022-03-20 04:51:11 UTC"/>
        <s v="2022-03-20 04:32:31 UTC"/>
        <s v="2022-03-20 04:12:33 UTC"/>
        <s v="2022-03-20 03:51:39 UTC"/>
        <s v="2022-03-20 03:36:18 UTC"/>
        <s v="2022-03-20 03:30:15 UTC"/>
        <s v="2022-03-20 03:30:00 UTC"/>
        <s v="2022-03-20 03:16:08 UTC"/>
        <s v="2022-03-20 03:11:40 UTC"/>
        <s v="2022-03-20 02:51:10 UTC"/>
        <s v="2022-03-20 02:32:19 UTC"/>
        <s v="2022-03-20 02:28:52 UTC"/>
        <s v="2022-03-20 02:19:02 UTC"/>
        <s v="2022-03-20 02:17:50 UTC"/>
        <s v="2022-03-20 02:17:23 UTC"/>
        <s v="2022-03-20 01:13:28 UTC"/>
        <s v="2022-03-20 01:10:33 UTC"/>
        <s v="2022-03-20 00:04:07 UTC"/>
        <s v="2022-03-19 22:25:46 UTC"/>
        <s v="2022-03-19 22:20:29 UTC"/>
        <s v="2022-03-19 21:58:19 UTC"/>
        <s v="2022-03-19 21:52:54 UTC"/>
        <s v="2022-03-19 21:52:32 UTC"/>
        <s v="2022-03-19 21:49:23 UTC"/>
        <s v="2022-03-19 21:40:52 UTC"/>
        <s v="2022-03-19 21:30:46 UTC"/>
        <s v="2022-03-19 21:24:18 UTC"/>
        <s v="2022-03-19 21:09:34 UTC"/>
        <s v="2022-03-19 20:01:06 UTC"/>
        <s v="2022-03-19 18:32:37 UTC"/>
        <s v="2022-03-19 17:57:59 UTC"/>
        <s v="2022-03-19 17:51:45 UTC"/>
        <s v="2022-03-19 17:49:12 UTC"/>
        <s v="2022-03-19 17:47:12 UTC"/>
        <s v="2022-03-19 17:38:38 UTC"/>
        <s v="2022-03-19 17:08:56 UTC"/>
        <s v="2022-03-19 16:39:28 UTC"/>
        <s v="2022-03-19 16:21:36 UTC"/>
        <s v="2022-03-19 15:53:32 UTC"/>
        <s v="2022-03-19 15:36:00 UTC"/>
        <s v="2022-03-19 15:35:27 UTC"/>
        <s v="2022-03-19 14:38:18 UTC"/>
        <s v="2022-03-19 14:35:39 UTC"/>
        <s v="2022-03-19 14:16:20 UTC"/>
        <s v="2022-03-19 14:02:03 UTC"/>
        <s v="2022-03-19 13:59:07 UTC"/>
        <s v="2022-03-19 13:04:43 UTC"/>
        <s v="2022-03-19 12:41:45 UTC"/>
        <s v="2022-03-19 12:31:57 UTC"/>
        <s v="2022-03-19 12:23:31 UTC"/>
        <s v="2022-03-19 12:14:36 UTC"/>
        <s v="2022-03-19 12:14:04 UTC"/>
        <s v="2022-03-19 11:42:04 UTC"/>
        <s v="2022-03-19 11:41:51 UTC"/>
        <s v="2022-03-19 11:31:24 UTC"/>
        <s v="2022-03-19 11:16:12 UTC"/>
        <s v="2022-03-19 10:46:10 UTC"/>
        <s v="2022-03-19 10:01:10 UTC"/>
        <s v="2022-03-19 09:55:23 UTC"/>
        <s v="2022-03-19 09:49:48 UTC"/>
        <s v="2022-03-19 09:44:58 UTC"/>
        <s v="2022-03-19 09:44:01 UTC"/>
        <s v="2022-03-19 07:00:32 UTC"/>
        <s v="2022-03-19 06:58:43 UTC"/>
        <s v="2022-03-19 06:46:32 UTC"/>
        <s v="2022-03-19 06:32:51 UTC"/>
        <s v="2022-03-19 06:32:30 UTC"/>
        <s v="2022-03-19 06:25:44 UTC"/>
        <s v="2022-03-19 06:21:08 UTC"/>
        <s v="2022-03-19 05:56:27 UTC"/>
        <s v="2022-03-19 05:19:58 UTC"/>
        <s v="2022-03-19 05:19:50 UTC"/>
        <s v="2022-03-19 05:18:41 UTC"/>
        <s v="2022-03-19 04:36:09 UTC"/>
        <s v="2022-03-19 04:35:36 UTC"/>
        <s v="2022-03-19 04:31:51 UTC"/>
        <s v="2022-03-19 04:09:27 UTC"/>
        <s v="2022-03-19 03:54:54 UTC"/>
        <s v="2022-03-19 03:52:35 UTC"/>
        <s v="2022-03-19 03:51:18 UTC"/>
        <s v="2022-03-19 03:46:38 UTC"/>
        <s v="2022-03-19 03:32:27 UTC"/>
        <s v="2022-03-19 03:00:44 UTC"/>
        <s v="2022-03-19 02:28:54 UTC"/>
        <s v="2022-03-19 02:28:16 UTC"/>
        <s v="2022-03-19 02:26:09 UTC"/>
        <s v="2022-03-19 02:23:59 UTC"/>
        <s v="2022-03-19 02:23:47 UTC"/>
        <s v="2022-03-19 01:57:27 UTC"/>
        <s v="2022-03-18 20:31:44 UTC"/>
        <s v="2022-03-18 20:02:07 UTC"/>
        <s v="2022-03-18 20:00:25 UTC"/>
        <s v="2022-03-18 19:57:02 UTC"/>
        <s v="2022-03-18 19:49:28 UTC"/>
        <s v="2022-03-18 19:48:57 UTC"/>
        <s v="2022-03-18 19:23:38 UTC"/>
        <s v="2022-03-18 19:12:52 UTC"/>
        <s v="2022-03-18 19:04:38 UTC"/>
        <s v="2022-03-18 18:04:09 UTC"/>
        <s v="2022-03-18 17:36:45 UTC"/>
        <s v="2022-03-18 17:36:03 UTC"/>
        <s v="2022-03-18 17:33:04 UTC"/>
        <s v="2022-03-18 17:31:24 UTC"/>
        <s v="2022-03-18 17:27:32 UTC"/>
        <s v="2022-03-18 16:28:38 UTC"/>
        <s v="2022-03-18 16:17:00 UTC"/>
        <s v="2022-03-18 16:16:56 UTC"/>
        <s v="2022-03-18 16:12:29 UTC"/>
        <s v="2022-03-18 16:11:04 UTC"/>
        <s v="2022-03-18 16:04:20 UTC"/>
        <s v="2022-03-18 15:20:25 UTC"/>
        <s v="2022-03-18 15:20:07 UTC"/>
        <s v="2022-03-18 15:16:25 UTC"/>
        <s v="2022-03-18 15:07:37 UTC"/>
        <s v="2022-03-18 15:02:11 UTC"/>
        <s v="2022-03-18 14:54:56 UTC"/>
        <s v="2022-03-18 14:36:21 UTC"/>
        <s v="2022-03-18 14:31:53 UTC"/>
        <s v="2022-03-18 14:25:06 UTC"/>
        <s v="2022-03-18 14:17:20 UTC"/>
        <s v="2022-03-18 12:21:04 UTC"/>
        <s v="2022-03-18 11:06:12 UTC"/>
        <s v="2022-03-18 09:51:08 UTC"/>
        <s v="2022-03-18 09:09:58 UTC"/>
        <s v="2022-03-18 09:08:14 UTC"/>
        <s v="2022-03-18 09:05:06 UTC"/>
        <s v="2022-03-18 09:00:59 UTC"/>
        <s v="2022-03-18 08:55:41 UTC"/>
        <s v="2022-03-18 08:54:37 UTC"/>
        <s v="2022-03-18 08:47:58 UTC"/>
        <s v="2022-03-18 08:38:00 UTC"/>
        <s v="2022-03-18 08:37:10 UTC"/>
        <s v="2022-03-18 08:17:35 UTC"/>
        <s v="2022-03-18 08:07:04 UTC"/>
        <s v="2022-03-18 08:05:14 UTC"/>
        <s v="2022-03-18 07:53:36 UTC"/>
        <s v="2022-03-18 07:30:33 UTC"/>
        <s v="2022-03-18 07:21:41 UTC"/>
        <s v="2022-03-18 07:21:18 UTC"/>
        <s v="2022-03-18 05:38:39 UTC"/>
        <s v="2022-03-18 05:36:04 UTC"/>
        <s v="2022-03-18 05:00:16 UTC"/>
        <s v="2022-03-18 04:59:37 UTC"/>
        <s v="2022-03-18 02:20:04 UTC"/>
        <s v="2022-03-18 02:18:40 UTC"/>
        <s v="2022-03-17 18:49:46 UTC"/>
        <s v="2022-03-17 18:28:33 UTC"/>
        <s v="2022-03-17 18:24:56 UTC"/>
        <s v="2022-03-17 18:04:16 UTC"/>
        <s v="2022-03-17 17:57:20 UTC"/>
        <s v="2022-03-17 17:48:16 UTC"/>
        <s v="2022-03-17 16:22:25 UTC"/>
        <s v="2022-03-17 15:41:56 UTC"/>
        <s v="2022-03-17 15:37:13 UTC"/>
        <s v="2022-03-17 15:36:30 UTC"/>
        <s v="2022-03-17 15:35:09 UTC"/>
        <s v="2022-03-17 15:34:44 UTC"/>
        <s v="2022-03-17 15:32:15 UTC"/>
        <s v="2022-03-17 15:31:03 UTC"/>
        <s v="2022-03-17 15:29:21 UTC"/>
        <s v="2022-03-17 15:23:40 UTC"/>
        <s v="2022-03-17 14:48:08 UTC"/>
        <s v="2022-03-17 14:32:47 UTC"/>
        <s v="2022-03-17 14:30:58 UTC"/>
        <s v="2022-03-17 14:25:19 UTC"/>
        <s v="2022-03-17 14:08:37 UTC"/>
        <s v="2022-03-17 14:05:46 UTC"/>
        <s v="2022-03-17 14:02:02 UTC"/>
        <s v="2022-03-17 14:00:45 UTC"/>
        <s v="2022-03-17 13:30:29 UTC"/>
        <s v="2022-03-17 13:22:18 UTC"/>
        <s v="2022-03-17 13:06:42 UTC"/>
        <s v="2022-03-17 12:52:18 UTC"/>
        <s v="2022-03-17 11:50:15 UTC"/>
        <s v="2022-03-17 11:29:30 UTC"/>
        <s v="2022-03-17 11:05:25 UTC"/>
        <s v="2022-03-17 11:04:49 UTC"/>
        <s v="2022-03-17 10:53:42 UTC"/>
        <s v="2022-03-17 10:42:49 UTC"/>
        <s v="2022-03-17 10:40:43 UTC"/>
        <s v="2022-03-17 10:38:51 UTC"/>
        <s v="2022-03-17 09:51:57 UTC"/>
        <s v="2022-03-17 09:51:46 UTC"/>
        <s v="2022-03-17 09:36:30 UTC"/>
        <s v="2022-03-17 09:32:53 UTC"/>
        <s v="2022-03-17 09:18:34 UTC"/>
        <s v="2022-03-17 09:12:21 UTC"/>
        <s v="2022-03-17 09:10:19 UTC"/>
        <s v="2022-03-17 09:10:03 UTC"/>
        <s v="2022-03-17 09:09:50 UTC"/>
        <s v="2022-03-17 09:09:31 UTC"/>
        <s v="2022-03-17 09:09:21 UTC"/>
        <s v="2022-03-17 08:42:23 UTC"/>
        <s v="2022-03-17 08:34:17 UTC"/>
        <s v="2022-03-17 08:25:23 UTC"/>
        <s v="2022-03-17 08:10:50 UTC"/>
        <s v="2022-03-17 07:34:49 UTC"/>
        <s v="2022-03-17 07:28:02 UTC"/>
        <s v="2022-03-17 07:18:03 UTC"/>
        <s v="2022-03-17 07:11:05 UTC"/>
        <s v="2022-03-17 06:57:22 UTC"/>
        <s v="2022-03-17 06:56:53 UTC"/>
        <s v="2022-03-17 06:53:44 UTC"/>
        <s v="2022-03-17 06:51:57 UTC"/>
        <s v="2022-03-17 06:49:55 UTC"/>
        <s v="2022-03-17 05:41:48 UTC"/>
        <s v="2022-03-17 05:38:54 UTC"/>
        <s v="2022-03-17 05:38:12 UTC"/>
        <s v="2022-03-17 05:22:03 UTC"/>
        <s v="2022-03-17 05:15:20 UTC"/>
        <s v="2022-03-17 05:00:10 UTC"/>
        <s v="2022-03-17 04:59:41 UTC"/>
        <s v="2022-03-17 04:42:50 UTC"/>
        <s v="2022-03-17 04:26:42 UTC"/>
        <s v="2022-03-17 04:23:49 UTC"/>
        <s v="2022-03-17 04:22:39 UTC"/>
        <s v="2022-03-17 04:11:19 UTC"/>
        <s v="2022-03-17 03:30:17 UTC"/>
        <s v="2022-03-17 03:29:41 UTC"/>
        <s v="2022-03-17 02:26:20 UTC"/>
        <s v="2022-03-17 02:16:54 UTC"/>
        <s v="2022-03-17 02:14:48 UTC"/>
        <s v="2022-03-17 02:11:53 UTC"/>
        <s v="2022-03-17 02:11:23 UTC"/>
        <s v="2022-03-17 01:50:53 UTC"/>
        <s v="2022-03-17 01:45:37 UTC"/>
        <s v="2022-03-17 01:35:15 UTC"/>
        <s v="2022-03-17 00:54:54 UTC"/>
        <s v="2022-03-17 00:43:36 UTC"/>
        <s v="2022-03-17 00:14:56 UTC"/>
        <s v="2022-03-17 00:10:33 UTC"/>
        <s v="2022-03-16 20:02:06 UTC"/>
        <s v="2022-03-16 17:27:06 UTC"/>
        <s v="2022-03-16 17:22:23 UTC"/>
        <s v="2022-03-16 17:20:06 UTC"/>
        <s v="2022-03-16 17:19:32 UTC"/>
        <s v="2022-03-16 17:15:27 UTC"/>
        <s v="2022-03-16 17:07:07 UTC"/>
        <s v="2022-03-16 16:22:40 UTC"/>
        <s v="2022-03-16 16:05:54 UTC"/>
        <s v="2022-03-16 15:44:18 UTC"/>
        <s v="2022-03-16 15:02:40 UTC"/>
        <s v="2022-03-16 14:49:04 UTC"/>
        <s v="2022-03-16 14:41:55 UTC"/>
        <s v="2022-03-16 14:41:25 UTC"/>
        <s v="2022-03-16 14:35:48 UTC"/>
        <s v="2022-03-16 14:33:19 UTC"/>
        <s v="2022-03-16 14:27:18 UTC"/>
        <s v="2022-03-16 14:08:10 UTC"/>
        <s v="2022-03-16 14:07:18 UTC"/>
        <s v="2022-03-16 14:04:50 UTC"/>
        <s v="2022-03-16 14:00:49 UTC"/>
        <s v="2022-03-16 13:38:12 UTC"/>
        <s v="2022-03-16 13:37:20 UTC"/>
        <s v="2022-03-16 13:24:20 UTC"/>
        <s v="2022-03-16 13:10:57 UTC"/>
        <s v="2022-03-16 13:06:38 UTC"/>
        <s v="2022-03-16 12:50:33 UTC"/>
        <s v="2022-03-16 12:15:12 UTC"/>
        <s v="2022-03-16 12:11:15 UTC"/>
        <s v="2022-03-16 12:11:13 UTC"/>
        <s v="2022-03-16 12:08:29 UTC"/>
        <s v="2022-03-16 11:44:24 UTC"/>
        <s v="2022-03-16 11:32:20 UTC"/>
        <s v="2022-03-16 11:02:34 UTC"/>
        <s v="2022-03-16 10:42:27 UTC"/>
        <s v="2022-03-16 10:42:25 UTC"/>
        <s v="2022-03-16 10:40:14 UTC"/>
        <s v="2022-03-16 10:40:09 UTC"/>
        <s v="2022-03-16 10:39:19 UTC"/>
        <s v="2022-03-16 10:39:17 UTC"/>
        <s v="2022-03-16 10:37:20 UTC"/>
        <s v="2022-03-16 10:35:00 UTC"/>
        <s v="2022-03-16 10:19:05 UTC"/>
        <s v="2022-03-16 10:19:01 UTC"/>
        <s v="2022-03-16 10:15:39 UTC"/>
        <s v="2022-03-16 10:15:02 UTC"/>
        <s v="2022-03-16 10:10:53 UTC"/>
        <s v="2022-03-16 09:39:02 UTC"/>
        <s v="2022-03-16 09:12:41 UTC"/>
        <s v="2022-03-16 09:12:22 UTC"/>
        <s v="2022-03-16 09:09:53 UTC"/>
        <s v="2022-03-16 09:09:34 UTC"/>
        <s v="2022-03-16 07:44:04 UTC"/>
        <s v="2022-03-16 07:19:36 UTC"/>
        <s v="2022-03-16 07:16:57 UTC"/>
        <s v="2022-03-16 06:17:40 UTC"/>
        <s v="2022-03-16 06:03:25 UTC"/>
        <s v="2022-03-16 05:55:11 UTC"/>
        <s v="2022-03-16 05:35:16 UTC"/>
        <s v="2022-03-16 05:28:55 UTC"/>
        <s v="2022-03-16 05:28:47 UTC"/>
        <s v="2022-03-16 05:28:24 UTC"/>
        <s v="2022-03-16 03:03:17 UTC"/>
        <s v="2022-03-16 02:31:30 UTC"/>
        <s v="2022-03-16 01:44:25 UTC"/>
        <s v="2022-03-15 20:49:41 UTC"/>
        <s v="2022-03-15 20:03:50 UTC"/>
        <s v="2022-03-15 19:55:18 UTC"/>
        <s v="2022-03-15 19:51:52 UTC"/>
        <s v="2022-03-15 19:51:37 UTC"/>
        <s v="2022-03-15 19:50:21 UTC"/>
        <s v="2022-03-15 19:38:24 UTC"/>
        <s v="2022-03-15 19:31:42 UTC"/>
        <s v="2022-03-15 19:27:02 UTC"/>
        <s v="2022-03-15 19:17:42 UTC"/>
        <s v="2022-03-15 19:10:36 UTC"/>
        <s v="2022-03-15 19:09:45 UTC"/>
        <s v="2022-03-15 19:04:41 UTC"/>
        <s v="2022-03-15 17:26:11 UTC"/>
        <s v="2022-03-15 17:20:27 UTC"/>
        <s v="2022-03-15 17:00:01 UTC"/>
        <s v="2022-03-15 16:35:35 UTC"/>
        <s v="2022-03-15 16:15:50 UTC"/>
        <s v="2022-03-15 15:39:56 UTC"/>
        <s v="2022-03-15 15:21:04 UTC"/>
        <s v="2022-03-15 15:05:41 UTC"/>
        <s v="2022-03-15 14:42:31 UTC"/>
        <s v="2022-03-15 14:41:02 UTC"/>
        <s v="2022-03-15 14:34:39 UTC"/>
        <s v="2022-03-15 14:30:27 UTC"/>
        <s v="2022-03-15 13:34:09 UTC"/>
        <s v="2022-03-15 13:32:44 UTC"/>
        <s v="2022-03-15 13:14:42 UTC"/>
        <s v="2022-03-15 13:04:06 UTC"/>
        <s v="2022-03-15 13:03:09 UTC"/>
        <s v="2022-03-15 12:57:33 UTC"/>
        <s v="2022-03-15 11:52:46 UTC"/>
        <s v="2022-03-15 11:34:34 UTC"/>
        <s v="2022-03-15 11:30:05 UTC"/>
        <s v="2022-03-15 11:19:50 UTC"/>
        <s v="2022-03-15 11:15:36 UTC"/>
        <s v="2022-03-15 10:52:43 UTC"/>
        <s v="2022-03-15 10:34:17 UTC"/>
        <s v="2022-03-15 10:30:22 UTC"/>
        <s v="2022-03-15 10:27:57 UTC"/>
        <s v="2022-03-15 10:09:33 UTC"/>
        <s v="2022-03-15 10:06:45 UTC"/>
        <s v="2022-03-15 09:54:17 UTC"/>
        <s v="2022-03-15 09:46:34 UTC"/>
        <s v="2022-03-15 09:35:53 UTC"/>
        <s v="2022-03-15 09:35:38 UTC"/>
        <s v="2022-03-15 09:21:25 UTC"/>
        <s v="2022-03-15 09:04:09 UTC"/>
        <s v="2022-03-15 08:57:15 UTC"/>
        <s v="2022-03-15 08:55:54 UTC"/>
        <s v="2022-03-15 08:49:20 UTC"/>
        <s v="2022-03-15 08:42:50 UTC"/>
        <s v="2022-03-15 08:31:45 UTC"/>
        <s v="2022-03-15 08:02:36 UTC"/>
        <s v="2022-03-15 07:57:37 UTC"/>
        <s v="2022-03-15 07:40:47 UTC"/>
        <s v="2022-03-15 07:35:07 UTC"/>
        <s v="2022-03-15 07:18:13 UTC"/>
        <s v="2022-03-15 06:51:21 UTC"/>
        <s v="2022-03-15 06:46:42 UTC"/>
        <s v="2022-03-15 06:37:05 UTC"/>
        <s v="2022-03-15 06:33:41 UTC"/>
        <s v="2022-03-15 06:28:42 UTC"/>
        <s v="2022-03-15 06:09:42 UTC"/>
        <s v="2022-03-15 06:09:01 UTC"/>
        <s v="2022-03-15 06:05:34 UTC"/>
        <s v="2022-03-15 06:01:47 UTC"/>
        <s v="2022-03-15 05:53:29 UTC"/>
        <s v="2022-03-15 05:52:48 UTC"/>
        <s v="2022-03-15 05:17:12 UTC"/>
        <s v="2022-03-15 05:15:15 UTC"/>
        <s v="2022-03-15 05:06:46 UTC"/>
        <s v="2022-03-15 05:03:49 UTC"/>
        <s v="2022-03-15 05:03:17 UTC"/>
        <s v="2022-03-15 05:01:38 UTC"/>
        <s v="2022-03-15 04:38:31 UTC"/>
        <s v="2022-03-15 04:07:05 UTC"/>
        <s v="2022-03-15 04:06:53 UTC"/>
        <s v="2022-03-15 04:06:39 UTC"/>
        <s v="2022-03-15 04:04:56 UTC"/>
        <s v="2022-03-15 03:50:33 UTC"/>
        <s v="2022-03-15 03:39:39 UTC"/>
        <s v="2022-03-15 02:43:25 UTC"/>
        <s v="2022-03-15 02:13:07 UTC"/>
        <s v="2022-03-15 01:57:08 UTC"/>
        <s v="2022-03-15 01:35:01 UTC"/>
        <s v="2022-03-14 19:39:11 UTC"/>
        <s v="2022-03-14 18:51:32 UTC"/>
        <s v="2022-03-14 18:38:56 UTC"/>
        <s v="2022-03-14 18:37:00 UTC"/>
        <s v="2022-03-14 18:33:42 UTC"/>
        <s v="2022-03-14 18:25:35 UTC"/>
        <s v="2022-03-14 18:06:47 UTC"/>
        <s v="2022-03-14 17:47:14 UTC"/>
        <s v="2022-03-14 17:41:17 UTC"/>
        <s v="2022-03-14 17:14:43 UTC"/>
        <s v="2022-03-14 16:55:18 UTC"/>
        <s v="2022-03-14 15:42:28 UTC"/>
        <s v="2022-03-14 15:26:39 UTC"/>
        <s v="2022-03-14 15:14:58 UTC"/>
        <s v="2022-03-14 14:42:17 UTC"/>
        <s v="2022-03-14 12:35:36 UTC"/>
        <s v="2022-03-14 12:04:42 UTC"/>
        <s v="2022-03-14 12:00:53 UTC"/>
        <s v="2022-03-14 11:59:37 UTC"/>
        <s v="2022-03-14 11:40:03 UTC"/>
        <s v="2022-03-14 11:34:13 UTC"/>
        <s v="2022-03-14 11:27:52 UTC"/>
        <s v="2022-03-14 11:15:36 UTC"/>
        <s v="2022-03-14 11:01:43 UTC"/>
        <s v="2022-03-14 10:20:31 UTC"/>
        <s v="2022-03-14 09:57:46 UTC"/>
        <s v="2022-03-14 09:36:49 UTC"/>
        <s v="2022-03-14 09:19:10 UTC"/>
        <s v="2022-03-14 09:17:39 UTC"/>
        <s v="2022-03-14 09:17:36 UTC"/>
        <s v="2022-03-14 08:51:11 UTC"/>
        <s v="2022-03-14 08:48:59 UTC"/>
        <s v="2022-03-14 08:48:02 UTC"/>
        <s v="2022-03-14 08:41:40 UTC"/>
        <s v="2022-03-14 08:18:57 UTC"/>
        <s v="2022-03-14 08:17:23 UTC"/>
        <s v="2022-03-14 08:12:02 UTC"/>
        <s v="2022-03-14 07:39:38 UTC"/>
        <s v="2022-03-14 07:33:56 UTC"/>
        <s v="2022-03-14 07:03:05 UTC"/>
        <s v="2022-03-14 06:38:05 UTC"/>
        <s v="2022-03-14 06:34:31 UTC"/>
        <s v="2022-03-14 06:34:07 UTC"/>
        <s v="2022-03-14 06:25:55 UTC"/>
        <s v="2022-03-14 06:14:12 UTC"/>
        <s v="2022-03-14 05:43:04 UTC"/>
        <s v="2022-03-14 05:39:29 UTC"/>
        <s v="2022-03-14 05:33:57 UTC"/>
        <s v="2022-03-14 04:32:56 UTC"/>
        <s v="2022-03-14 04:32:47 UTC"/>
        <s v="2022-03-14 04:30:52 UTC"/>
        <s v="2022-03-14 03:31:30 UTC"/>
        <s v="2022-03-14 03:31:19 UTC"/>
        <s v="2022-03-14 03:17:56 UTC"/>
        <s v="2022-03-14 02:20:50 UTC"/>
        <s v="2022-03-14 01:51:03 UTC"/>
        <s v="2022-03-14 01:21:39 UTC"/>
        <s v="2022-03-13 20:33:46 UTC"/>
        <s v="2022-03-13 18:57:47 UTC"/>
        <s v="2022-03-13 17:03:04 UTC"/>
        <s v="2022-03-13 15:52:10 UTC"/>
        <s v="2022-03-13 15:38:58 UTC"/>
        <s v="2022-03-13 15:35:45 UTC"/>
        <s v="2022-03-13 15:16:16 UTC"/>
        <s v="2022-03-13 15:15:30 UTC"/>
        <s v="2022-03-13 14:40:34 UTC"/>
        <s v="2022-03-13 14:29:20 UTC"/>
        <s v="2022-03-13 13:33:50 UTC"/>
        <s v="2022-03-13 13:18:43 UTC"/>
        <s v="2022-03-13 12:40:55 UTC"/>
        <s v="2022-03-13 11:58:09 UTC"/>
        <s v="2022-03-13 10:44:46 UTC"/>
        <s v="2022-03-13 10:37:40 UTC"/>
        <s v="2022-03-13 10:35:44 UTC"/>
        <s v="2022-03-13 10:34:38 UTC"/>
        <s v="2022-03-13 10:23:49 UTC"/>
        <s v="2022-03-13 10:09:10 UTC"/>
        <s v="2022-03-13 09:47:42 UTC"/>
        <s v="2022-03-13 09:39:30 UTC"/>
        <s v="2022-03-13 09:20:52 UTC"/>
        <s v="2022-03-13 09:13:56 UTC"/>
        <s v="2022-03-13 08:54:53 UTC"/>
        <s v="2022-03-13 08:44:08 UTC"/>
        <s v="2022-03-13 08:20:31 UTC"/>
        <s v="2022-03-13 07:25:59 UTC"/>
        <s v="2022-03-13 07:13:48 UTC"/>
        <s v="2022-03-13 07:07:11 UTC"/>
        <s v="2022-03-13 07:03:39 UTC"/>
        <s v="2022-03-13 07:03:36 UTC"/>
        <s v="2022-03-13 06:53:44 UTC"/>
        <s v="2022-03-13 06:49:45 UTC"/>
        <s v="2022-03-13 06:48:38 UTC"/>
        <s v="2022-03-13 06:43:33 UTC"/>
        <s v="2022-03-13 06:32:00 UTC"/>
        <s v="2022-03-13 06:06:55 UTC"/>
        <s v="2022-03-13 06:02:23 UTC"/>
        <s v="2022-03-13 05:28:31 UTC"/>
        <s v="2022-03-13 05:19:56 UTC"/>
        <s v="2022-03-13 05:07:17 UTC"/>
        <s v="2022-03-13 04:44:44 UTC"/>
        <s v="2022-03-13 04:35:20 UTC"/>
        <s v="2022-03-13 02:54:23 UTC"/>
        <s v="2022-03-13 02:38:44 UTC"/>
        <s v="2022-03-13 02:10:32 UTC"/>
        <s v="2022-03-13 02:09:42 UTC"/>
        <s v="2022-03-13 02:01:17 UTC"/>
        <s v="2022-03-13 01:58:42 UTC"/>
        <s v="2022-03-13 01:52:12 UTC"/>
        <s v="2022-03-13 01:40:22 UTC"/>
        <s v="2022-03-12 22:02:36 UTC"/>
        <s v="2022-03-12 21:13:05 UTC"/>
        <s v="2022-03-12 19:15:39 UTC"/>
        <s v="2022-03-12 19:06:22 UTC"/>
        <s v="2022-03-12 19:01:09 UTC"/>
        <s v="2022-03-12 17:59:41 UTC"/>
        <s v="2022-03-12 17:47:27 UTC"/>
        <s v="2022-03-12 17:27:38 UTC"/>
        <s v="2022-03-12 17:26:20 UTC"/>
        <s v="2022-03-12 17:09:16 UTC"/>
        <s v="2022-03-12 17:09:11 UTC"/>
        <s v="2022-03-12 16:59:43 UTC"/>
        <s v="2022-03-12 16:56:57 UTC"/>
        <s v="2022-03-12 16:44:09 UTC"/>
        <s v="2022-03-12 16:29:47 UTC"/>
        <s v="2022-03-12 16:22:41 UTC"/>
        <s v="2022-03-12 16:09:02 UTC"/>
        <s v="2022-03-12 15:56:09 UTC"/>
        <s v="2022-03-12 15:52:20 UTC"/>
        <s v="2022-03-12 15:51:35 UTC"/>
        <s v="2022-03-12 15:40:51 UTC"/>
        <s v="2022-03-12 15:39:27 UTC"/>
        <s v="2022-03-12 15:39:15 UTC"/>
        <s v="2022-03-12 15:37:50 UTC"/>
        <s v="2022-03-12 15:37:28 UTC"/>
        <s v="2022-03-12 15:36:53 UTC"/>
        <s v="2022-03-12 15:36:36 UTC"/>
        <s v="2022-03-12 15:35:34 UTC"/>
        <s v="2022-03-12 15:13:10 UTC"/>
        <s v="2022-03-12 15:04:05 UTC"/>
        <s v="2022-03-12 15:03:24 UTC"/>
        <s v="2022-03-12 14:56:57 UTC"/>
        <s v="2022-03-12 14:42:56 UTC"/>
        <s v="2022-03-12 13:56:33 UTC"/>
        <s v="2022-03-12 13:47:55 UTC"/>
        <s v="2022-03-12 13:41:18 UTC"/>
        <s v="2022-03-12 13:29:53 UTC"/>
        <s v="2022-03-12 13:18:13 UTC"/>
        <s v="2022-03-12 12:48:41 UTC"/>
        <s v="2022-03-12 12:19:13 UTC"/>
        <s v="2022-03-12 12:15:44 UTC"/>
        <s v="2022-03-12 12:15:30 UTC"/>
        <s v="2022-03-12 12:13:56 UTC"/>
        <s v="2022-03-12 12:11:14 UTC"/>
        <s v="2022-03-12 12:10:48 UTC"/>
        <s v="2022-03-12 12:10:08 UTC"/>
        <s v="2022-03-12 11:39:57 UTC"/>
        <s v="2022-03-12 11:10:07 UTC"/>
        <s v="2022-03-12 10:47:15 UTC"/>
        <s v="2022-03-12 10:27:31 UTC"/>
        <s v="2022-03-12 10:11:20 UTC"/>
        <s v="2022-03-12 10:06:03 UTC"/>
        <s v="2022-03-12 08:10:40 UTC"/>
        <s v="2022-03-12 07:23:55 UTC"/>
        <s v="2022-03-12 07:19:13 UTC"/>
        <s v="2022-03-12 07:15:47 UTC"/>
        <s v="2022-03-12 07:13:22 UTC"/>
        <s v="2022-03-12 07:10:59 UTC"/>
        <s v="2022-03-12 06:55:45 UTC"/>
        <s v="2022-03-12 06:51:21 UTC"/>
        <s v="2022-03-12 06:50:59 UTC"/>
        <s v="2022-03-12 06:50:27 UTC"/>
        <s v="2022-03-12 05:27:02 UTC"/>
        <s v="2022-03-12 05:14:06 UTC"/>
        <s v="2022-03-12 05:13:11 UTC"/>
        <s v="2022-03-12 05:01:51 UTC"/>
        <s v="2022-03-12 04:49:40 UTC"/>
        <s v="2022-03-12 04:45:38 UTC"/>
        <s v="2022-03-12 04:44:33 UTC"/>
        <s v="2022-03-12 04:39:32 UTC"/>
        <s v="2022-03-12 04:18:51 UTC"/>
        <s v="2022-03-12 02:24:27 UTC"/>
        <s v="2022-03-12 02:20:34 UTC"/>
        <s v="2022-03-12 02:20:12 UTC"/>
        <s v="2022-03-12 01:55:18 UTC"/>
        <s v="2022-03-12 01:54:22 UTC"/>
        <s v="2022-03-12 01:33:27 UTC"/>
        <s v="2022-03-11 17:33:44 UTC"/>
        <s v="2022-03-11 17:10:34 UTC"/>
        <s v="2022-03-11 17:03:44 UTC"/>
        <s v="2022-03-11 16:52:08 UTC"/>
        <s v="2022-03-11 16:43:57 UTC"/>
        <s v="2022-03-11 16:41:23 UTC"/>
        <s v="2022-03-11 16:40:38 UTC"/>
        <s v="2022-03-11 16:30:16 UTC"/>
        <s v="2022-03-11 16:26:31 UTC"/>
        <s v="2022-03-11 16:20:56 UTC"/>
        <s v="2022-03-11 16:18:51 UTC"/>
        <s v="2022-03-11 16:05:36 UTC"/>
        <s v="2022-03-11 15:59:56 UTC"/>
        <s v="2022-03-11 15:59:02 UTC"/>
        <s v="2022-03-11 15:58:16 UTC"/>
        <s v="2022-03-11 15:51:41 UTC"/>
        <s v="2022-03-11 15:40:43 UTC"/>
        <s v="2022-03-11 15:29:02 UTC"/>
        <s v="2022-03-11 15:25:46 UTC"/>
        <s v="2022-03-11 15:08:49 UTC"/>
        <s v="2022-03-11 15:02:23 UTC"/>
        <s v="2022-03-11 14:57:22 UTC"/>
        <s v="2022-03-11 14:43:54 UTC"/>
        <s v="2022-03-11 14:42:18 UTC"/>
        <s v="2022-03-11 14:38:26 UTC"/>
        <s v="2022-03-11 14:38:14 UTC"/>
        <s v="2022-03-11 14:37:56 UTC"/>
        <s v="2022-03-11 14:36:50 UTC"/>
        <s v="2022-03-11 14:36:32 UTC"/>
        <s v="2022-03-11 14:30:47 UTC"/>
        <s v="2022-03-11 14:29:22 UTC"/>
        <s v="2022-03-11 14:28:42 UTC"/>
        <s v="2022-03-11 14:27:57 UTC"/>
        <s v="2022-03-11 14:12:48 UTC"/>
        <s v="2022-03-11 13:34:12 UTC"/>
        <s v="2022-03-11 13:17:41 UTC"/>
        <s v="2022-03-11 13:00:42 UTC"/>
        <s v="2022-03-11 12:12:34 UTC"/>
        <s v="2022-03-11 12:09:56 UTC"/>
        <s v="2022-03-11 11:20:07 UTC"/>
        <s v="2022-03-11 11:02:25 UTC"/>
        <s v="2022-03-11 10:38:47 UTC"/>
        <s v="2022-03-11 10:17:08 UTC"/>
        <s v="2022-03-11 10:15:16 UTC"/>
        <s v="2022-03-11 09:30:48 UTC"/>
        <s v="2022-03-11 09:20:57 UTC"/>
        <s v="2022-03-11 09:09:54 UTC"/>
        <s v="2022-03-11 09:02:27 UTC"/>
        <s v="2022-03-11 08:47:58 UTC"/>
        <s v="2022-03-11 08:47:17 UTC"/>
        <s v="2022-03-11 08:45:07 UTC"/>
        <s v="2022-03-11 08:43:40 UTC"/>
        <s v="2022-03-11 08:36:54 UTC"/>
        <s v="2022-03-11 08:34:09 UTC"/>
        <s v="2022-03-11 08:32:49 UTC"/>
        <s v="2022-03-11 08:28:36 UTC"/>
        <s v="2022-03-11 08:28:21 UTC"/>
        <s v="2022-03-11 08:27:41 UTC"/>
        <s v="2022-03-11 08:02:10 UTC"/>
        <s v="2022-03-11 07:56:56 UTC"/>
        <s v="2022-03-11 07:55:38 UTC"/>
        <s v="2022-03-11 07:54:52 UTC"/>
        <s v="2022-03-11 07:49:07 UTC"/>
        <s v="2022-03-11 07:48:44 UTC"/>
        <s v="2022-03-11 07:47:57 UTC"/>
        <s v="2022-03-11 07:45:25 UTC"/>
        <s v="2022-03-11 07:45:01 UTC"/>
        <s v="2022-03-11 07:43:53 UTC"/>
        <s v="2022-03-11 07:32:51 UTC"/>
        <s v="2022-03-11 07:27:44 UTC"/>
        <s v="2022-03-11 07:27:17 UTC"/>
        <s v="2022-03-11 07:17:47 UTC"/>
        <s v="2022-03-11 07:10:57 UTC"/>
        <s v="2022-03-11 07:10:37 UTC"/>
        <s v="2022-03-11 07:08:20 UTC"/>
        <s v="2022-03-11 06:42:41 UTC"/>
        <s v="2022-03-11 06:17:20 UTC"/>
        <s v="2022-03-11 06:15:03 UTC"/>
        <s v="2022-03-11 06:11:16 UTC"/>
        <s v="2022-03-11 05:57:59 UTC"/>
        <s v="2022-03-11 05:23:40 UTC"/>
        <s v="2022-03-11 05:21:27 UTC"/>
        <s v="2022-03-11 05:21:06 UTC"/>
        <s v="2022-03-11 05:20:12 UTC"/>
        <s v="2022-03-11 05:20:02 UTC"/>
        <s v="2022-03-11 04:13:19 UTC"/>
        <s v="2022-03-11 03:58:18 UTC"/>
        <s v="2022-03-11 03:08:21 UTC"/>
        <s v="2022-03-11 01:47:09 UTC"/>
        <s v="2022-03-11 01:45:38 UTC"/>
        <s v="2022-03-11 01:45:18 UTC"/>
        <s v="2022-03-11 01:09:17 UTC"/>
        <s v="2022-03-11 01:04:03 UTC"/>
        <s v="2022-03-11 01:00:08 UTC"/>
        <s v="2022-03-11 00:59:04 UTC"/>
        <s v="2022-03-10 21:03:21 UTC"/>
        <s v="2022-03-10 19:58:59 UTC"/>
        <s v="2022-03-10 18:42:40 UTC"/>
        <s v="2022-03-10 18:35:05 UTC"/>
        <s v="2022-03-10 18:14:24 UTC"/>
        <s v="2022-03-10 18:10:29 UTC"/>
        <s v="2022-03-10 17:56:42 UTC"/>
        <s v="2022-03-10 17:44:12 UTC"/>
        <s v="2022-03-10 17:22:18 UTC"/>
        <s v="2022-03-10 17:20:16 UTC"/>
        <s v="2022-03-10 16:26:30 UTC"/>
        <s v="2022-03-10 16:19:25 UTC"/>
        <s v="2022-03-10 16:16:11 UTC"/>
        <s v="2022-03-10 16:16:09 UTC"/>
        <s v="2022-03-10 15:54:29 UTC"/>
        <s v="2022-03-10 15:48:30 UTC"/>
        <s v="2022-03-10 15:48:02 UTC"/>
        <s v="2022-03-10 15:46:13 UTC"/>
        <s v="2022-03-10 15:22:16 UTC"/>
        <s v="2022-03-10 15:05:25 UTC"/>
        <s v="2022-03-10 14:28:13 UTC"/>
        <s v="2022-03-10 13:40:50 UTC"/>
        <s v="2022-03-10 13:39:23 UTC"/>
        <s v="2022-03-10 13:35:47 UTC"/>
        <s v="2022-03-10 13:20:46 UTC"/>
        <s v="2022-03-10 12:55:50 UTC"/>
        <s v="2022-03-10 12:36:21 UTC"/>
        <s v="2022-03-10 12:23:01 UTC"/>
        <s v="2022-03-10 12:22:34 UTC"/>
        <s v="2022-03-10 12:21:13 UTC"/>
        <s v="2022-03-10 12:21:04 UTC"/>
        <s v="2022-03-10 12:07:32 UTC"/>
        <s v="2022-03-10 12:04:13 UTC"/>
        <s v="2022-03-10 11:56:12 UTC"/>
        <s v="2022-03-10 11:40:39 UTC"/>
        <s v="2022-03-10 11:32:02 UTC"/>
        <s v="2022-03-10 11:31:51 UTC"/>
        <s v="2022-03-10 11:30:54 UTC"/>
        <s v="2022-03-10 11:25:54 UTC"/>
        <s v="2022-03-10 11:22:32 UTC"/>
        <s v="2022-03-10 11:21:11 UTC"/>
        <s v="2022-03-10 10:53:30 UTC"/>
        <s v="2022-03-10 10:48:25 UTC"/>
        <s v="2022-03-10 10:45:40 UTC"/>
        <s v="2022-03-10 10:44:41 UTC"/>
        <s v="2022-03-10 10:32:53 UTC"/>
        <s v="2022-03-10 10:10:08 UTC"/>
        <s v="2022-03-10 09:23:47 UTC"/>
        <s v="2022-03-10 09:16:37 UTC"/>
        <s v="2022-03-10 09:14:48 UTC"/>
        <s v="2022-03-10 08:54:51 UTC"/>
        <s v="2022-03-10 08:23:18 UTC"/>
        <s v="2022-03-10 08:06:57 UTC"/>
        <s v="2022-03-10 07:32:34 UTC"/>
        <s v="2022-03-10 07:25:10 UTC"/>
        <s v="2022-03-10 07:20:07 UTC"/>
        <s v="2022-03-10 07:19:33 UTC"/>
        <s v="2022-03-10 07:13:10 UTC"/>
        <s v="2022-03-10 07:01:01 UTC"/>
        <s v="2022-03-10 07:00:39 UTC"/>
        <s v="2022-03-10 06:52:30 UTC"/>
        <s v="2022-03-10 06:40:38 UTC"/>
        <s v="2022-03-10 06:40:15 UTC"/>
        <s v="2022-03-10 06:32:58 UTC"/>
        <s v="2022-03-10 06:00:39 UTC"/>
        <s v="2022-03-10 05:58:07 UTC"/>
        <s v="2022-03-10 05:11:55 UTC"/>
        <s v="2022-03-10 04:53:02 UTC"/>
        <s v="2022-03-10 04:49:47 UTC"/>
        <s v="2022-03-10 04:16:07 UTC"/>
        <s v="2022-03-10 03:56:25 UTC"/>
        <s v="2022-03-10 03:46:51 UTC"/>
        <s v="2022-03-10 03:33:39 UTC"/>
        <s v="2022-03-10 03:28:38 UTC"/>
        <s v="2022-03-10 03:14:08 UTC"/>
        <s v="2022-03-10 02:08:44 UTC"/>
        <s v="2022-03-09 22:14:52 UTC"/>
        <s v="2022-03-09 22:08:45 UTC"/>
        <s v="2022-03-09 21:46:40 UTC"/>
        <s v="2022-03-09 20:25:02 UTC"/>
        <s v="2022-03-09 18:37:59 UTC"/>
        <s v="2022-03-09 18:26:36 UTC"/>
        <s v="2022-03-09 17:42:34 UTC"/>
        <s v="2022-03-09 17:31:24 UTC"/>
        <s v="2022-03-09 17:07:58 UTC"/>
        <s v="2022-03-09 16:12:53 UTC"/>
        <s v="2022-03-09 16:09:42 UTC"/>
        <s v="2022-03-09 16:08:31 UTC"/>
        <s v="2022-03-09 16:06:12 UTC"/>
        <s v="2022-03-09 16:06:09 UTC"/>
        <s v="2022-03-09 16:04:29 UTC"/>
        <s v="2022-03-09 16:02:09 UTC"/>
        <s v="2022-03-09 16:00:41 UTC"/>
        <s v="2022-03-09 16:00:19 UTC"/>
        <s v="2022-03-09 15:51:08 UTC"/>
        <s v="2022-03-09 15:49:30 UTC"/>
        <s v="2022-03-09 15:47:20 UTC"/>
        <s v="2022-03-09 15:39:18 UTC"/>
        <s v="2022-03-09 14:42:52 UTC"/>
        <s v="2022-03-09 14:01:47 UTC"/>
        <s v="2022-03-09 13:57:16 UTC"/>
        <s v="2022-03-09 13:28:54 UTC"/>
        <s v="2022-03-09 13:10:51 UTC"/>
        <s v="2022-03-09 13:04:20 UTC"/>
        <s v="2022-03-09 13:02:37 UTC"/>
        <s v="2022-03-09 12:36:17 UTC"/>
        <s v="2022-03-09 12:32:10 UTC"/>
        <s v="2022-03-09 12:21:47 UTC"/>
        <s v="2022-03-09 12:06:17 UTC"/>
        <s v="2022-03-09 12:01:47 UTC"/>
        <s v="2022-03-09 11:53:58 UTC"/>
        <s v="2022-03-09 11:03:24 UTC"/>
        <s v="2022-03-09 11:03:20 UTC"/>
        <s v="2022-03-09 10:24:39 UTC"/>
        <s v="2022-03-09 10:20:13 UTC"/>
        <s v="2022-03-09 09:58:11 UTC"/>
        <s v="2022-03-09 09:03:08 UTC"/>
        <s v="2022-03-09 09:00:39 UTC"/>
        <s v="2022-03-09 08:52:31 UTC"/>
        <s v="2022-03-09 08:48:36 UTC"/>
        <s v="2022-03-09 08:44:32 UTC"/>
        <s v="2022-03-09 08:43:46 UTC"/>
        <s v="2022-03-09 08:26:57 UTC"/>
        <s v="2022-03-09 08:19:09 UTC"/>
        <s v="2022-03-09 07:36:42 UTC"/>
        <s v="2022-03-09 07:31:57 UTC"/>
        <s v="2022-03-09 07:23:59 UTC"/>
        <s v="2022-03-09 07:15:09 UTC"/>
        <s v="2022-03-09 06:25:55 UTC"/>
        <s v="2022-03-09 05:52:19 UTC"/>
        <s v="2022-03-09 05:24:33 UTC"/>
        <s v="2022-03-09 05:22:42 UTC"/>
        <s v="2022-03-09 05:10:19 UTC"/>
        <s v="2022-03-09 04:22:50 UTC"/>
        <s v="2022-03-09 04:17:56 UTC"/>
        <s v="2022-03-09 03:53:59 UTC"/>
        <s v="2022-03-09 02:21:19 UTC"/>
        <s v="2022-03-08 20:29:01 UTC"/>
        <s v="2022-03-08 20:25:44 UTC"/>
        <s v="2022-03-08 19:21:46 UTC"/>
        <s v="2022-03-08 18:23:19 UTC"/>
        <s v="2022-03-08 18:20:45 UTC"/>
        <s v="2022-03-08 18:17:03 UTC"/>
        <s v="2022-03-08 18:08:39 UTC"/>
        <s v="2022-03-08 18:02:52 UTC"/>
        <s v="2022-03-08 18:00:40 UTC"/>
        <s v="2022-03-08 17:32:54 UTC"/>
        <s v="2022-03-08 17:11:54 UTC"/>
        <s v="2022-03-08 16:45:27 UTC"/>
        <s v="2022-03-08 15:59:37 UTC"/>
        <s v="2022-03-08 15:55:52 UTC"/>
        <s v="2022-03-08 15:54:12 UTC"/>
        <s v="2022-03-08 15:37:09 UTC"/>
        <s v="2022-03-08 15:36:53 UTC"/>
        <s v="2022-03-08 15:16:47 UTC"/>
        <s v="2022-03-08 15:15:35 UTC"/>
        <s v="2022-03-08 15:13:40 UTC"/>
        <s v="2022-03-08 15:10:06 UTC"/>
        <s v="2022-03-08 14:24:26 UTC"/>
        <s v="2022-03-08 14:09:53 UTC"/>
        <s v="2022-03-08 14:09:30 UTC"/>
        <s v="2022-03-08 13:19:56 UTC"/>
        <s v="2022-03-08 12:43:54 UTC"/>
        <s v="2022-03-08 12:11:26 UTC"/>
        <s v="2022-03-08 12:08:54 UTC"/>
        <s v="2022-03-08 12:02:25 UTC"/>
        <s v="2022-03-08 11:54:13 UTC"/>
        <s v="2022-03-08 11:49:02 UTC"/>
        <s v="2022-03-08 11:47:51 UTC"/>
        <s v="2022-03-08 11:47:45 UTC"/>
        <s v="2022-03-08 11:47:33 UTC"/>
        <s v="2022-03-08 11:46:59 UTC"/>
        <s v="2022-03-08 11:44:20 UTC"/>
        <s v="2022-03-08 11:43:40 UTC"/>
        <s v="2022-03-08 11:42:17 UTC"/>
        <s v="2022-03-08 11:34:11 UTC"/>
        <s v="2022-03-08 11:25:06 UTC"/>
        <s v="2022-03-08 11:24:44 UTC"/>
        <s v="2022-03-08 11:21:59 UTC"/>
        <s v="2022-03-08 10:29:11 UTC"/>
        <s v="2022-03-08 10:13:13 UTC"/>
        <s v="2022-03-08 09:58:26 UTC"/>
        <s v="2022-03-08 09:48:55 UTC"/>
        <s v="2022-03-08 09:35:14 UTC"/>
        <s v="2022-03-08 08:14:18 UTC"/>
        <s v="2022-03-08 07:01:03 UTC"/>
        <s v="2022-03-08 06:17:21 UTC"/>
        <s v="2022-03-08 06:16:03 UTC"/>
        <s v="2022-03-08 06:08:26 UTC"/>
        <s v="2022-03-08 06:07:56 UTC"/>
        <s v="2022-03-08 04:46:00 UTC"/>
        <s v="2022-03-08 03:27:47 UTC"/>
        <s v="2022-03-08 03:26:55 UTC"/>
        <s v="2022-03-08 03:20:25 UTC"/>
        <s v="2022-03-08 02:44:12 UTC"/>
        <s v="2022-03-08 02:03:20 UTC"/>
        <s v="2022-03-08 02:03:09 UTC"/>
        <s v="2022-03-08 01:15:57 UTC"/>
        <s v="2022-03-07 23:25:35 UTC"/>
        <s v="2022-03-07 17:46:36 UTC"/>
        <s v="2022-03-07 16:57:31 UTC"/>
        <s v="2022-03-07 15:11:28 UTC"/>
        <s v="2022-03-07 14:03:44 UTC"/>
        <s v="2022-03-07 13:15:09 UTC"/>
        <s v="2022-03-07 12:44:20 UTC"/>
        <s v="2022-03-07 12:35:02 UTC"/>
        <s v="2022-03-07 12:10:45 UTC"/>
        <s v="2022-03-07 11:47:02 UTC"/>
        <s v="2022-03-07 09:25:36 UTC"/>
        <s v="2022-03-07 09:11:28 UTC"/>
        <s v="2022-03-07 07:45:01 UTC"/>
        <s v="2022-03-07 07:27:35 UTC"/>
        <s v="2022-03-07 07:08:58 UTC"/>
        <s v="2022-03-07 06:26:58 UTC"/>
        <s v="2022-03-07 05:29:23 UTC"/>
        <s v="2022-03-07 05:23:24 UTC"/>
        <s v="2022-03-07 05:20:52 UTC"/>
        <s v="2022-03-07 03:35:24 UTC"/>
        <s v="2022-03-07 03:20:59 UTC"/>
        <s v="2022-03-07 02:08:36 UTC"/>
        <s v="2022-03-07 01:51:18 UTC"/>
        <s v="2022-03-07 01:46:38 UTC"/>
        <s v="2022-03-07 01:44:58 UTC"/>
        <s v="2022-03-07 01:43:30 UTC"/>
        <s v="2022-03-07 01:39:40 UTC"/>
        <s v="2022-03-07 01:38:33 UTC"/>
        <s v="2022-03-07 01:37:47 UTC"/>
        <s v="2022-03-06 17:30:29 UTC"/>
        <s v="2022-03-06 16:48:38 UTC"/>
        <s v="2022-03-06 16:48:14 UTC"/>
        <s v="2022-03-06 16:44:44 UTC"/>
        <s v="2022-03-06 16:44:30 UTC"/>
        <s v="2022-03-06 16:36:06 UTC"/>
        <s v="2022-03-06 16:19:26 UTC"/>
        <s v="2022-03-06 16:06:18 UTC"/>
        <s v="2022-03-06 15:50:14 UTC"/>
        <s v="2022-03-06 15:08:14 UTC"/>
        <s v="2022-03-06 14:56:54 UTC"/>
        <s v="2022-03-06 14:53:21 UTC"/>
        <s v="2022-03-06 14:32:56 UTC"/>
        <s v="2022-03-06 14:20:42 UTC"/>
        <s v="2022-03-06 14:16:36 UTC"/>
        <s v="2022-03-06 14:16:09 UTC"/>
        <s v="2022-03-06 13:45:15 UTC"/>
        <s v="2022-03-06 12:56:00 UTC"/>
        <s v="2022-03-06 12:12:38 UTC"/>
        <s v="2022-03-06 11:42:26 UTC"/>
        <s v="2022-03-06 11:40:35 UTC"/>
        <s v="2022-03-06 11:10:50 UTC"/>
        <s v="2022-03-06 11:10:18 UTC"/>
        <s v="2022-03-06 10:09:17 UTC"/>
        <s v="2022-03-06 10:08:39 UTC"/>
        <s v="2022-03-06 10:06:18 UTC"/>
        <s v="2022-03-06 10:05:09 UTC"/>
        <s v="2022-03-06 10:02:47 UTC"/>
        <s v="2022-03-06 10:01:30 UTC"/>
        <s v="2022-03-06 10:00:57 UTC"/>
        <s v="2022-03-06 10:00:43 UTC"/>
        <s v="2022-03-06 09:59:54 UTC"/>
        <s v="2022-03-06 09:59:25 UTC"/>
        <s v="2022-03-06 09:59:12 UTC"/>
        <s v="2022-03-06 09:58:29 UTC"/>
        <s v="2022-03-06 09:58:15 UTC"/>
        <s v="2022-03-06 09:49:55 UTC"/>
        <s v="2022-03-06 08:30:36 UTC"/>
        <s v="2022-03-06 08:16:12 UTC"/>
        <s v="2022-03-06 04:42:16 UTC"/>
        <s v="2022-03-06 04:18:39 UTC"/>
        <s v="2022-03-06 03:53:18 UTC"/>
        <s v="2022-03-06 03:52:54 UTC"/>
        <s v="2022-03-06 03:52:23 UTC"/>
        <s v="2022-03-06 03:51:23 UTC"/>
        <s v="2022-03-06 03:42:02 UTC"/>
        <s v="2022-03-06 03:37:55 UTC"/>
        <s v="2022-03-06 03:15:56 UTC"/>
        <s v="2022-03-06 02:58:13 UTC"/>
        <s v="2022-03-06 02:44:05 UTC"/>
        <s v="2022-03-06 02:15:03 UTC"/>
        <s v="2022-03-06 01:45:42 UTC"/>
        <s v="2022-03-05 16:49:09 UTC"/>
        <s v="2022-03-05 16:25:01 UTC"/>
        <s v="2022-03-05 14:35:58 UTC"/>
        <s v="2022-03-05 14:05:49 UTC"/>
        <s v="2022-03-05 14:01:16 UTC"/>
        <s v="2022-03-05 14:00:41 UTC"/>
        <s v="2022-03-05 13:49:45 UTC"/>
        <s v="2022-03-05 13:49:26 UTC"/>
        <s v="2022-03-05 13:46:10 UTC"/>
        <s v="2022-03-05 13:45:41 UTC"/>
        <s v="2022-03-05 13:42:30 UTC"/>
        <s v="2022-03-05 13:02:53 UTC"/>
        <s v="2022-03-05 12:58:10 UTC"/>
        <s v="2022-03-05 12:49:06 UTC"/>
        <s v="2022-03-05 12:04:13 UTC"/>
        <s v="2022-03-05 10:38:51 UTC"/>
        <s v="2022-03-05 10:16:15 UTC"/>
        <s v="2022-03-05 10:15:40 UTC"/>
        <s v="2022-03-05 09:44:11 UTC"/>
        <s v="2022-03-05 08:43:51 UTC"/>
        <s v="2022-03-05 08:43:20 UTC"/>
        <s v="2022-03-05 08:00:46 UTC"/>
        <s v="2022-03-05 07:53:50 UTC"/>
        <s v="2022-03-05 07:34:06 UTC"/>
        <s v="2022-03-05 07:31:27 UTC"/>
        <s v="2022-03-05 07:29:33 UTC"/>
        <s v="2022-03-05 07:16:16 UTC"/>
        <s v="2022-03-05 07:02:44 UTC"/>
        <s v="2022-03-05 06:52:00 UTC"/>
        <s v="2022-03-05 06:50:34 UTC"/>
        <s v="2022-03-05 06:33:13 UTC"/>
        <s v="2022-03-05 06:32:30 UTC"/>
        <s v="2022-03-05 05:10:07 UTC"/>
        <s v="2022-03-05 05:01:26 UTC"/>
        <s v="2022-03-05 04:39:10 UTC"/>
        <s v="2022-03-05 04:17:10 UTC"/>
        <s v="2022-03-05 04:17:02 UTC"/>
        <s v="2022-03-05 03:51:43 UTC"/>
        <s v="2022-03-05 03:11:01 UTC"/>
        <s v="2022-03-05 03:09:11 UTC"/>
        <s v="2022-03-05 02:43:15 UTC"/>
        <s v="2022-03-05 02:40:45 UTC"/>
        <s v="2022-03-05 02:34:52 UTC"/>
        <s v="2022-03-05 02:29:07 UTC"/>
        <s v="2022-03-05 01:57:53 UTC"/>
        <s v="2022-03-05 01:56:26 UTC"/>
        <s v="2022-03-05 01:47:43 UTC"/>
        <s v="2022-03-05 01:20:13 UTC"/>
        <s v="2022-03-04 20:16:06 UTC"/>
        <s v="2022-03-04 18:54:19 UTC"/>
        <s v="2022-03-04 18:06:37 UTC"/>
        <s v="2022-03-04 16:48:50 UTC"/>
        <s v="2022-03-04 16:29:50 UTC"/>
        <s v="2022-03-04 16:17:38 UTC"/>
        <s v="2022-03-04 16:15:31 UTC"/>
        <s v="2022-03-04 16:10:28 UTC"/>
        <s v="2022-03-04 15:45:30 UTC"/>
        <s v="2022-03-04 15:28:31 UTC"/>
        <s v="2022-03-04 15:06:43 UTC"/>
        <s v="2022-03-04 14:50:02 UTC"/>
        <s v="2022-03-04 14:45:02 UTC"/>
        <s v="2022-03-04 14:40:20 UTC"/>
        <s v="2022-03-04 14:36:16 UTC"/>
        <s v="2022-03-04 14:35:08 UTC"/>
        <s v="2022-03-04 12:56:52 UTC"/>
        <s v="2022-03-04 12:41:42 UTC"/>
        <s v="2022-03-04 12:28:44 UTC"/>
        <s v="2022-03-04 11:35:09 UTC"/>
        <s v="2022-03-04 11:33:44 UTC"/>
        <s v="2022-03-04 11:33:27 UTC"/>
        <s v="2022-03-04 10:16:52 UTC"/>
        <s v="2022-03-04 09:52:49 UTC"/>
        <s v="2022-03-04 09:48:44 UTC"/>
        <s v="2022-03-04 09:43:00 UTC"/>
        <s v="2022-03-04 08:40:26 UTC"/>
        <s v="2022-03-04 08:07:00 UTC"/>
        <s v="2022-03-04 07:58:45 UTC"/>
        <s v="2022-03-04 06:14:04 UTC"/>
        <s v="2022-03-04 05:45:29 UTC"/>
        <s v="2022-03-04 04:55:22 UTC"/>
        <s v="2022-03-04 04:54:15 UTC"/>
        <s v="2022-03-04 04:51:42 UTC"/>
        <s v="2022-03-04 04:48:51 UTC"/>
        <s v="2022-03-04 04:42:07 UTC"/>
        <s v="2022-03-04 04:41:43 UTC"/>
        <s v="2022-03-04 04:38:32 UTC"/>
        <s v="2022-03-04 04:27:52 UTC"/>
        <s v="2022-03-04 04:01:06 UTC"/>
        <s v="2022-03-04 03:52:46 UTC"/>
        <s v="2022-03-04 03:48:27 UTC"/>
        <s v="2022-03-04 03:44:00 UTC"/>
        <s v="2022-03-04 03:36:48 UTC"/>
        <s v="2022-03-04 03:27:17 UTC"/>
        <s v="2022-03-04 02:34:06 UTC"/>
        <s v="2022-03-03 19:09:37 UTC"/>
        <s v="2022-03-03 19:09:13 UTC"/>
        <s v="2022-03-03 18:21:54 UTC"/>
        <s v="2022-03-03 17:59:29 UTC"/>
        <s v="2022-03-03 17:48:49 UTC"/>
        <s v="2022-03-03 17:10:47 UTC"/>
        <s v="2022-03-03 16:41:46 UTC"/>
        <s v="2022-03-03 16:39:42 UTC"/>
        <s v="2022-03-03 16:37:22 UTC"/>
        <s v="2022-03-03 16:20:56 UTC"/>
        <s v="2022-03-03 16:19:44 UTC"/>
        <s v="2022-03-03 15:03:09 UTC"/>
        <s v="2022-03-03 15:02:28 UTC"/>
        <s v="2022-03-03 14:56:12 UTC"/>
        <s v="2022-03-03 14:55:37 UTC"/>
        <s v="2022-03-03 14:53:07 UTC"/>
        <s v="2022-03-03 14:52:45 UTC"/>
        <s v="2022-03-03 14:48:59 UTC"/>
        <s v="2022-03-03 14:47:33 UTC"/>
        <s v="2022-03-03 14:44:23 UTC"/>
        <s v="2022-03-03 14:38:23 UTC"/>
        <s v="2022-03-03 14:36:20 UTC"/>
        <s v="2022-03-03 14:32:33 UTC"/>
        <s v="2022-03-03 14:16:07 UTC"/>
        <s v="2022-03-03 13:42:07 UTC"/>
        <s v="2022-03-03 13:14:50 UTC"/>
        <s v="2022-03-03 13:07:38 UTC"/>
        <s v="2022-03-03 12:48:15 UTC"/>
        <s v="2022-03-03 12:26:13 UTC"/>
        <s v="2022-03-03 12:12:30 UTC"/>
        <s v="2022-03-03 11:58:20 UTC"/>
        <s v="2022-03-03 11:52:32 UTC"/>
        <s v="2022-03-03 11:33:03 UTC"/>
        <s v="2022-03-03 11:31:16 UTC"/>
        <s v="2022-03-03 11:26:27 UTC"/>
        <s v="2022-03-03 11:25:51 UTC"/>
        <s v="2022-03-03 11:22:35 UTC"/>
        <s v="2022-03-03 11:20:54 UTC"/>
        <s v="2022-03-03 11:14:41 UTC"/>
        <s v="2022-03-03 11:11:11 UTC"/>
        <s v="2022-03-03 10:56:00 UTC"/>
        <s v="2022-03-03 10:51:15 UTC"/>
        <s v="2022-03-03 09:58:50 UTC"/>
        <s v="2022-03-03 09:07:30 UTC"/>
        <s v="2022-03-03 09:07:24 UTC"/>
        <s v="2022-03-03 08:58:44 UTC"/>
        <s v="2022-03-03 08:52:37 UTC"/>
        <s v="2022-03-03 08:46:09 UTC"/>
        <s v="2022-03-03 08:42:26 UTC"/>
        <s v="2022-03-03 08:08:30 UTC"/>
        <s v="2022-03-03 08:07:55 UTC"/>
        <s v="2022-03-03 07:42:48 UTC"/>
        <s v="2022-03-03 07:35:02 UTC"/>
        <s v="2022-03-03 07:20:25 UTC"/>
        <s v="2022-03-03 07:10:04 UTC"/>
        <s v="2022-03-03 06:51:58 UTC"/>
        <s v="2022-03-03 06:48:59 UTC"/>
        <s v="2022-03-03 06:11:32 UTC"/>
        <s v="2022-03-03 05:49:20 UTC"/>
        <s v="2022-03-03 05:44:27 UTC"/>
        <s v="2022-03-03 05:06:49 UTC"/>
        <s v="2022-03-03 04:34:11 UTC"/>
        <s v="2022-03-03 04:24:38 UTC"/>
        <s v="2022-03-03 04:17:23 UTC"/>
        <s v="2022-03-03 04:14:20 UTC"/>
        <s v="2022-03-03 04:05:39 UTC"/>
        <s v="2022-03-03 04:02:02 UTC"/>
        <s v="2022-03-03 03:58:22 UTC"/>
        <s v="2022-03-03 03:53:29 UTC"/>
        <s v="2022-03-03 03:51:40 UTC"/>
        <s v="2022-03-03 03:51:10 UTC"/>
        <s v="2022-03-03 03:39:50 UTC"/>
        <s v="2022-03-03 03:31:29 UTC"/>
        <s v="2022-03-03 02:59:23 UTC"/>
        <s v="2022-03-03 02:37:32 UTC"/>
        <s v="2022-03-03 02:20:12 UTC"/>
        <s v="2022-03-03 01:09:58 UTC"/>
        <s v="2022-03-03 00:27:41 UTC"/>
        <s v="2022-03-03 00:25:10 UTC"/>
        <s v="2022-03-03 00:21:16 UTC"/>
        <s v="2022-03-02 23:03:44 UTC"/>
        <s v="2022-03-02 22:25:44 UTC"/>
        <s v="2022-03-02 20:30:43 UTC"/>
        <s v="2022-03-02 19:54:11 UTC"/>
        <s v="2022-03-02 19:12:00 UTC"/>
        <s v="2022-03-02 19:00:43 UTC"/>
        <s v="2022-03-02 18:12:08 UTC"/>
        <s v="2022-03-02 18:05:51 UTC"/>
        <s v="2022-03-02 17:46:47 UTC"/>
        <s v="2022-03-02 17:44:30 UTC"/>
        <s v="2022-03-02 17:42:45 UTC"/>
        <s v="2022-03-02 17:05:14 UTC"/>
        <s v="2022-03-02 16:29:32 UTC"/>
        <s v="2022-03-02 16:29:01 UTC"/>
        <s v="2022-03-02 16:28:44 UTC"/>
        <s v="2022-03-02 16:25:18 UTC"/>
        <s v="2022-03-02 16:24:00 UTC"/>
        <s v="2022-03-02 16:21:41 UTC"/>
        <s v="2022-03-02 16:01:05 UTC"/>
        <s v="2022-03-02 15:58:11 UTC"/>
        <s v="2022-03-02 15:39:57 UTC"/>
        <s v="2022-03-02 15:38:56 UTC"/>
        <s v="2022-03-02 15:33:26 UTC"/>
        <s v="2022-03-02 15:21:46 UTC"/>
        <s v="2022-03-02 14:57:16 UTC"/>
        <s v="2022-03-02 14:49:16 UTC"/>
        <s v="2022-03-02 14:48:23 UTC"/>
        <s v="2022-03-02 14:48:00 UTC"/>
        <s v="2022-03-02 14:41:12 UTC"/>
        <s v="2022-03-02 14:27:30 UTC"/>
        <s v="2022-03-02 14:26:52 UTC"/>
        <s v="2022-03-02 14:14:01 UTC"/>
        <s v="2022-03-02 14:00:44 UTC"/>
        <s v="2022-03-02 13:49:29 UTC"/>
        <s v="2022-03-02 13:33:39 UTC"/>
        <s v="2022-03-02 13:21:02 UTC"/>
        <s v="2022-03-02 13:04:51 UTC"/>
        <s v="2022-03-02 12:42:03 UTC"/>
        <s v="2022-03-02 12:06:21 UTC"/>
        <s v="2022-03-02 11:58:53 UTC"/>
        <s v="2022-03-02 11:37:22 UTC"/>
        <s v="2022-03-02 11:25:05 UTC"/>
        <s v="2022-03-02 11:20:35 UTC"/>
        <s v="2022-03-02 10:40:24 UTC"/>
        <s v="2022-03-02 10:30:32 UTC"/>
        <s v="2022-03-02 10:07:21 UTC"/>
        <s v="2022-03-02 10:03:20 UTC"/>
        <s v="2022-03-02 09:32:25 UTC"/>
        <s v="2022-03-02 09:24:36 UTC"/>
        <s v="2022-03-02 09:21:38 UTC"/>
        <s v="2022-03-02 08:17:15 UTC"/>
        <s v="2022-03-02 08:15:40 UTC"/>
        <s v="2022-03-02 08:11:44 UTC"/>
        <s v="2022-03-02 07:32:38 UTC"/>
        <s v="2022-03-02 07:32:07 UTC"/>
        <s v="2022-03-02 07:08:13 UTC"/>
        <s v="2022-03-02 06:43:04 UTC"/>
        <s v="2022-03-02 06:16:41 UTC"/>
        <s v="2022-03-02 05:29:37 UTC"/>
        <s v="2022-03-02 03:49:04 UTC"/>
        <s v="2022-03-02 01:32:23 UTC"/>
        <s v="2022-03-02 01:30:29 UTC"/>
        <s v="2022-03-02 00:48:31 UTC"/>
        <s v="2022-03-01 20:37:37 UTC"/>
        <s v="2022-03-01 18:58:48 UTC"/>
        <s v="2022-03-01 18:52:05 UTC"/>
        <s v="2022-03-01 18:23:52 UTC"/>
        <s v="2022-03-01 16:28:15 UTC"/>
        <s v="2022-03-01 16:21:45 UTC"/>
        <s v="2022-03-01 15:57:46 UTC"/>
        <s v="2022-03-01 15:31:48 UTC"/>
        <s v="2022-03-01 15:10:29 UTC"/>
        <s v="2022-03-01 15:10:14 UTC"/>
        <s v="2022-03-01 12:52:01 UTC"/>
        <s v="2022-03-01 12:48:30 UTC"/>
        <s v="2022-03-01 12:47:32 UTC"/>
        <s v="2022-03-01 12:46:28 UTC"/>
        <s v="2022-03-01 12:45:55 UTC"/>
        <s v="2022-03-01 12:41:07 UTC"/>
        <s v="2022-03-01 12:23:58 UTC"/>
        <s v="2022-03-01 12:23:57 UTC"/>
        <s v="2022-03-01 12:19:35 UTC"/>
        <s v="2022-03-01 12:19:21 UTC"/>
        <s v="2022-03-01 12:17:57 UTC"/>
        <s v="2022-03-01 12:15:32 UTC"/>
        <s v="2022-03-01 12:15:21 UTC"/>
        <s v="2022-03-01 12:15:09 UTC"/>
        <s v="2022-03-01 12:14:54 UTC"/>
        <s v="2022-03-01 12:14:41 UTC"/>
        <s v="2022-03-01 12:10:42 UTC"/>
        <s v="2022-03-01 11:44:57 UTC"/>
        <s v="2022-03-01 11:12:55 UTC"/>
        <s v="2022-03-01 10:56:12 UTC"/>
        <s v="2022-03-01 10:53:11 UTC"/>
        <s v="2022-03-01 10:44:16 UTC"/>
        <s v="2022-03-01 09:50:23 UTC"/>
        <s v="2022-03-01 08:58:48 UTC"/>
        <s v="2022-03-01 08:33:28 UTC"/>
        <s v="2022-03-01 08:06:56 UTC"/>
        <s v="2022-03-01 08:05:17 UTC"/>
        <s v="2022-03-01 08:03:42 UTC"/>
        <s v="2022-03-01 07:48:01 UTC"/>
        <s v="2022-03-01 07:46:37 UTC"/>
        <s v="2022-03-01 07:29:17 UTC"/>
        <s v="2022-03-01 07:27:26 UTC"/>
        <s v="2022-03-01 07:26:35 UTC"/>
        <s v="2022-03-01 07:17:02 UTC"/>
        <s v="2022-03-01 07:16:09 UTC"/>
        <s v="2022-03-01 07:14:18 UTC"/>
        <s v="2022-03-01 07:13:13 UTC"/>
        <s v="2022-03-01 07:09:07 UTC"/>
        <s v="2022-03-01 07:07:57 UTC"/>
        <s v="2022-03-01 07:03:44 UTC"/>
        <s v="2022-03-01 06:41:45 UTC"/>
        <s v="2022-03-01 06:40:46 UTC"/>
        <s v="2022-03-01 06:40:18 UTC"/>
        <s v="2022-03-01 06:39:40 UTC"/>
        <s v="2022-03-01 06:29:22 UTC"/>
        <s v="2022-03-01 06:27:03 UTC"/>
        <s v="2022-03-01 06:22:55 UTC"/>
        <s v="2022-03-01 05:46:58 UTC"/>
        <s v="2022-03-01 05:46:48 UTC"/>
        <s v="2022-03-01 05:44:57 UTC"/>
        <s v="2022-03-01 05:40:36 UTC"/>
        <s v="2022-03-01 05:19:49 UTC"/>
        <s v="2022-03-01 05:17:33 UTC"/>
        <s v="2022-03-01 05:11:11 UTC"/>
        <s v="2022-03-01 04:54:46 UTC"/>
        <s v="2022-03-01 04:52:18 UTC"/>
        <s v="2022-03-01 04:40:17 UTC"/>
        <s v="2022-03-01 04:35:07 UTC"/>
        <s v="2022-03-01 04:31:45 UTC"/>
        <s v="2022-03-01 04:29:48 UTC"/>
        <s v="2022-03-01 04:26:56 UTC"/>
        <s v="2022-03-01 04:08:25 UTC"/>
        <s v="2022-03-01 03:57:01 UTC"/>
        <s v="2022-03-01 03:30:11 UTC"/>
        <s v="2022-03-01 03:29:42 UTC"/>
        <s v="2022-03-01 03:28:58 UTC"/>
        <s v="2022-03-01 03:18:05 UTC"/>
        <s v="2022-03-01 02:36:28 UTC"/>
        <s v="2022-03-01 02:30:27 UTC"/>
        <s v="2022-03-01 02:25:40 UTC"/>
        <s v="2022-03-01 02:21:20 UTC"/>
        <s v="2022-03-01 02:20:23 UTC"/>
        <s v="2022-03-01 01:38:30 UTC"/>
        <s v="2022-03-01 01:32:34 UTC"/>
        <s v="2022-03-01 00:05:00 UTC"/>
        <s v="2022-02-28 21:41:39 UTC"/>
        <s v="2022-02-28 19:48:26 UTC"/>
        <s v="2022-02-28 17:55:24 UTC"/>
        <s v="2022-02-28 16:57:47 UTC"/>
        <s v="2022-02-28 16:55:48 UTC"/>
        <s v="2022-02-28 16:20:53 UTC"/>
        <s v="2022-02-28 16:02:37 UTC"/>
        <s v="2022-02-28 16:02:22 UTC"/>
        <s v="2022-02-28 15:59:50 UTC"/>
        <s v="2022-02-28 15:57:06 UTC"/>
        <s v="2022-02-28 15:56:55 UTC"/>
        <s v="2022-02-28 15:56:29 UTC"/>
        <s v="2022-02-28 15:52:46 UTC"/>
        <s v="2022-02-28 15:14:26 UTC"/>
        <s v="2022-02-28 15:05:28 UTC"/>
        <s v="2022-02-28 14:50:13 UTC"/>
        <s v="2022-02-28 14:32:19 UTC"/>
        <s v="2022-02-28 14:31:19 UTC"/>
        <s v="2022-02-28 14:03:52 UTC"/>
        <s v="2022-02-28 14:02:53 UTC"/>
        <s v="2022-02-28 13:14:55 UTC"/>
        <s v="2022-02-28 13:09:35 UTC"/>
        <s v="2022-02-28 12:47:14 UTC"/>
        <s v="2022-02-28 12:37:58 UTC"/>
        <s v="2022-02-28 12:35:05 UTC"/>
        <s v="2022-02-28 12:00:36 UTC"/>
        <s v="2022-02-28 11:59:04 UTC"/>
        <s v="2022-02-28 11:38:53 UTC"/>
        <s v="2022-02-28 11:37:46 UTC"/>
        <s v="2022-02-28 11:30:27 UTC"/>
        <s v="2022-02-28 11:07:20 UTC"/>
        <s v="2022-02-28 11:06:35 UTC"/>
        <s v="2022-02-28 11:06:27 UTC"/>
        <s v="2022-02-28 10:26:01 UTC"/>
        <s v="2022-02-28 10:01:39 UTC"/>
        <s v="2022-02-28 09:54:17 UTC"/>
        <s v="2022-02-28 09:35:11 UTC"/>
        <s v="2022-02-28 09:22:38 UTC"/>
        <s v="2022-02-28 09:21:19 UTC"/>
        <s v="2022-02-28 09:03:20 UTC"/>
        <s v="2022-02-28 08:45:48 UTC"/>
        <s v="2022-02-28 08:36:12 UTC"/>
        <s v="2022-02-28 08:23:07 UTC"/>
        <s v="2022-02-28 08:16:07 UTC"/>
        <s v="2022-02-28 08:14:11 UTC"/>
        <s v="2022-02-28 08:03:22 UTC"/>
        <s v="2022-02-28 07:51:24 UTC"/>
        <s v="2022-02-28 06:55:33 UTC"/>
        <s v="2022-02-28 06:49:09 UTC"/>
        <s v="2022-02-28 06:48:24 UTC"/>
        <s v="2022-02-28 06:21:05 UTC"/>
        <s v="2022-02-28 05:25:54 UTC"/>
        <s v="2022-02-28 05:02:32 UTC"/>
        <s v="2022-02-28 04:39:26 UTC"/>
        <s v="2022-02-28 03:52:24 UTC"/>
        <s v="2022-02-28 03:39:25 UTC"/>
        <s v="2022-02-28 01:57:04 UTC"/>
        <s v="2022-02-28 01:51:06 UTC"/>
        <s v="2022-02-28 00:23:14 UTC"/>
        <s v="2022-02-28 00:16:41 UTC"/>
        <s v="2022-02-27 22:05:20 UTC"/>
        <s v="2022-02-27 18:49:28 UTC"/>
        <s v="2022-02-27 17:27:05 UTC"/>
        <s v="2022-02-27 16:25:57 UTC"/>
        <s v="2022-02-27 16:23:59 UTC"/>
        <s v="2022-02-27 16:18:46 UTC"/>
        <s v="2022-02-27 16:16:59 UTC"/>
        <s v="2022-02-27 16:12:03 UTC"/>
        <s v="2022-02-27 16:11:28 UTC"/>
        <s v="2022-02-27 16:11:15 UTC"/>
        <s v="2022-02-27 16:10:21 UTC"/>
        <s v="2022-02-27 16:09:50 UTC"/>
        <s v="2022-02-27 16:05:45 UTC"/>
        <s v="2022-02-27 16:05:10 UTC"/>
        <s v="2022-02-27 16:02:48 UTC"/>
        <s v="2022-02-27 15:58:29 UTC"/>
        <s v="2022-02-27 15:25:49 UTC"/>
        <s v="2022-02-27 15:17:33 UTC"/>
        <s v="2022-02-27 15:16:01 UTC"/>
        <s v="2022-02-27 15:13:31 UTC"/>
        <s v="2022-02-27 15:09:51 UTC"/>
        <s v="2022-02-27 14:51:01 UTC"/>
        <s v="2022-02-27 14:23:39 UTC"/>
        <s v="2022-02-27 13:54:06 UTC"/>
        <s v="2022-02-27 13:44:53 UTC"/>
        <s v="2022-02-27 13:43:21 UTC"/>
        <s v="2022-02-27 13:35:24 UTC"/>
        <s v="2022-02-27 12:38:27 UTC"/>
        <s v="2022-02-27 12:38:20 UTC"/>
        <s v="2022-02-27 12:28:12 UTC"/>
        <s v="2022-02-27 12:02:16 UTC"/>
        <s v="2022-02-27 10:59:10 UTC"/>
        <s v="2022-02-27 10:40:46 UTC"/>
        <s v="2022-02-27 10:37:59 UTC"/>
        <s v="2022-02-27 10:31:30 UTC"/>
        <s v="2022-02-27 10:29:07 UTC"/>
        <s v="2022-02-27 10:18:22 UTC"/>
        <s v="2022-02-27 10:07:54 UTC"/>
        <s v="2022-02-27 09:11:43 UTC"/>
        <s v="2022-02-27 09:11:10 UTC"/>
        <s v="2022-02-27 08:03:03 UTC"/>
        <s v="2022-02-27 08:01:18 UTC"/>
        <s v="2022-02-27 07:18:10 UTC"/>
        <s v="2022-02-27 07:18:05 UTC"/>
        <s v="2022-02-27 06:51:19 UTC"/>
        <s v="2022-02-27 06:25:59 UTC"/>
        <s v="2022-02-27 06:22:41 UTC"/>
        <s v="2022-02-27 05:52:01 UTC"/>
        <s v="2022-02-27 05:39:46 UTC"/>
        <s v="2022-02-27 05:34:30 UTC"/>
        <s v="2022-02-27 05:27:12 UTC"/>
        <s v="2022-02-27 05:22:57 UTC"/>
        <s v="2022-02-27 05:04:30 UTC"/>
        <s v="2022-02-27 05:01:53 UTC"/>
        <s v="2022-02-27 04:58:35 UTC"/>
        <s v="2022-02-27 04:55:14 UTC"/>
        <s v="2022-02-27 04:52:20 UTC"/>
        <s v="2022-02-27 04:35:07 UTC"/>
        <s v="2022-02-27 04:35:03 UTC"/>
        <s v="2022-02-27 04:35:01 UTC"/>
        <s v="2022-02-27 04:34:59 UTC"/>
        <s v="2022-02-27 04:20:05 UTC"/>
        <s v="2022-02-27 04:05:52 UTC"/>
        <s v="2022-02-27 03:58:13 UTC"/>
        <s v="2022-02-27 03:52:22 UTC"/>
        <s v="2022-02-27 03:37:37 UTC"/>
        <s v="2022-02-27 03:32:11 UTC"/>
        <s v="2022-02-27 03:16:24 UTC"/>
        <s v="2022-02-27 03:16:11 UTC"/>
        <s v="2022-02-27 02:59:41 UTC"/>
        <s v="2022-02-27 02:57:43 UTC"/>
        <s v="2022-02-27 02:13:03 UTC"/>
        <s v="2022-02-27 01:52:56 UTC"/>
        <s v="2022-02-27 00:37:52 UTC"/>
        <s v="2022-02-26 19:51:10 UTC"/>
        <s v="2022-02-26 18:59:34 UTC"/>
        <s v="2022-02-26 18:38:09 UTC"/>
        <s v="2022-02-26 18:07:11 UTC"/>
        <s v="2022-02-26 17:52:38 UTC"/>
        <s v="2022-02-26 17:06:44 UTC"/>
        <s v="2022-02-26 17:04:24 UTC"/>
        <s v="2022-02-26 17:02:51 UTC"/>
        <s v="2022-02-26 17:01:36 UTC"/>
        <s v="2022-02-26 16:55:52 UTC"/>
        <s v="2022-02-26 16:50:42 UTC"/>
        <s v="2022-02-26 16:49:28 UTC"/>
        <s v="2022-02-26 16:48:49 UTC"/>
        <s v="2022-02-26 16:48:06 UTC"/>
        <s v="2022-02-26 16:46:46 UTC"/>
        <s v="2022-02-26 16:45:19 UTC"/>
        <s v="2022-02-26 16:35:38 UTC"/>
        <s v="2022-02-26 16:34:14 UTC"/>
        <s v="2022-02-26 16:33:03 UTC"/>
        <s v="2022-02-26 16:17:35 UTC"/>
        <s v="2022-02-26 16:12:09 UTC"/>
        <s v="2022-02-26 16:07:56 UTC"/>
        <s v="2022-02-26 16:07:24 UTC"/>
        <s v="2022-02-26 16:04:23 UTC"/>
        <s v="2022-02-26 15:39:27 UTC"/>
        <s v="2022-02-26 15:02:35 UTC"/>
        <s v="2022-02-26 14:36:15 UTC"/>
        <s v="2022-02-26 14:32:30 UTC"/>
        <s v="2022-02-26 14:27:02 UTC"/>
        <s v="2022-02-26 14:24:37 UTC"/>
        <s v="2022-02-26 14:24:04 UTC"/>
        <s v="2022-02-26 14:06:49 UTC"/>
        <s v="2022-02-26 14:03:50 UTC"/>
        <s v="2022-02-26 14:03:32 UTC"/>
        <s v="2022-02-26 13:35:41 UTC"/>
        <s v="2022-02-26 13:34:48 UTC"/>
        <s v="2022-02-26 13:31:14 UTC"/>
        <s v="2022-02-26 13:01:26 UTC"/>
        <s v="2022-02-26 12:39:22 UTC"/>
        <s v="2022-02-26 12:28:18 UTC"/>
        <s v="2022-02-26 12:17:30 UTC"/>
        <s v="2022-02-26 11:50:46 UTC"/>
        <s v="2022-02-26 11:36:34 UTC"/>
        <s v="2022-02-26 11:01:57 UTC"/>
        <s v="2022-02-26 10:55:00 UTC"/>
        <s v="2022-02-26 10:36:38 UTC"/>
        <s v="2022-02-26 10:35:56 UTC"/>
        <s v="2022-02-26 10:19:45 UTC"/>
        <s v="2022-02-26 10:17:39 UTC"/>
        <s v="2022-02-26 10:12:57 UTC"/>
        <s v="2022-02-26 10:09:23 UTC"/>
        <s v="2022-02-26 10:02:33 UTC"/>
        <s v="2022-02-26 09:47:29 UTC"/>
        <s v="2022-02-26 09:47:19 UTC"/>
        <s v="2022-02-26 09:47:18 UTC"/>
        <s v="2022-02-26 09:47:17 UTC"/>
        <s v="2022-02-26 09:42:10 UTC"/>
        <s v="2022-02-26 08:20:21 UTC"/>
        <s v="2022-02-26 07:02:19 UTC"/>
        <s v="2022-02-26 07:00:29 UTC"/>
        <s v="2022-02-26 06:55:17 UTC"/>
        <s v="2022-02-26 05:58:08 UTC"/>
        <s v="2022-02-26 05:48:43 UTC"/>
        <s v="2022-02-26 05:10:48 UTC"/>
        <s v="2022-02-26 04:00:00 UTC"/>
        <s v="2022-02-26 02:54:25 UTC"/>
        <s v="2022-02-26 02:48:08 UTC"/>
        <s v="2022-02-26 02:20:31 UTC"/>
        <s v="2022-02-26 02:00:48 UTC"/>
        <s v="2022-02-26 01:58:12 UTC"/>
        <s v="2022-02-26 00:54:43 UTC"/>
        <s v="2022-02-25 23:39:00 UTC"/>
        <s v="2022-02-25 22:57:23 UTC"/>
        <s v="2022-02-25 19:42:33 UTC"/>
        <s v="2022-02-25 19:39:16 UTC"/>
        <s v="2022-02-25 19:33:30 UTC"/>
        <s v="2022-02-25 16:26:08 UTC"/>
        <s v="2022-02-25 16:17:51 UTC"/>
        <s v="2022-02-25 16:14:43 UTC"/>
        <s v="2022-02-25 16:04:54 UTC"/>
        <s v="2022-02-25 15:46:11 UTC"/>
        <s v="2022-02-25 15:27:54 UTC"/>
        <s v="2022-02-25 15:23:33 UTC"/>
        <s v="2022-02-25 15:19:17 UTC"/>
        <s v="2022-02-25 15:12:12 UTC"/>
        <s v="2022-02-25 15:08:12 UTC"/>
        <s v="2022-02-25 15:03:55 UTC"/>
        <s v="2022-02-25 15:02:01 UTC"/>
        <s v="2022-02-25 14:38:18 UTC"/>
        <s v="2022-02-25 14:29:20 UTC"/>
        <s v="2022-02-25 14:22:09 UTC"/>
        <s v="2022-02-25 14:16:10 UTC"/>
        <s v="2022-02-25 14:04:54 UTC"/>
        <s v="2022-02-25 13:43:12 UTC"/>
        <s v="2022-02-25 13:38:57 UTC"/>
        <s v="2022-02-25 13:30:57 UTC"/>
        <s v="2022-02-25 13:28:13 UTC"/>
        <s v="2022-02-25 12:47:50 UTC"/>
        <s v="2022-02-25 12:01:38 UTC"/>
        <s v="2022-02-25 11:51:17 UTC"/>
        <s v="2022-02-25 11:39:13 UTC"/>
        <s v="2022-02-25 11:13:43 UTC"/>
        <s v="2022-02-25 11:08:22 UTC"/>
        <s v="2022-02-25 09:36:53 UTC"/>
        <s v="2022-02-25 09:23:23 UTC"/>
        <s v="2022-02-25 07:50:12 UTC"/>
        <s v="2022-02-25 07:19:15 UTC"/>
        <s v="2022-02-25 07:05:57 UTC"/>
        <s v="2022-02-25 07:03:42 UTC"/>
        <s v="2022-02-25 06:40:13 UTC"/>
        <s v="2022-02-25 05:48:17 UTC"/>
        <s v="2022-02-25 05:44:33 UTC"/>
        <s v="2022-02-25 04:19:25 UTC"/>
        <s v="2022-02-25 02:34:35 UTC"/>
        <s v="2022-02-25 00:49:16 UTC"/>
        <s v="2022-02-24 21:54:44 UTC"/>
        <s v="2022-02-24 20:02:11 UTC"/>
        <s v="2022-02-24 16:47:40 UTC"/>
        <s v="2022-02-24 15:48:22 UTC"/>
        <s v="2022-02-24 15:45:54 UTC"/>
        <s v="2022-02-24 15:05:11 UTC"/>
        <s v="2022-02-24 15:02:15 UTC"/>
        <s v="2022-02-24 14:56:48 UTC"/>
        <s v="2022-02-24 11:34:39 UTC"/>
        <s v="2022-02-24 11:23:42 UTC"/>
        <s v="2022-02-24 10:53:45 UTC"/>
        <s v="2022-02-24 10:02:33 UTC"/>
        <s v="2022-02-24 09:53:28 UTC"/>
        <s v="2022-02-24 08:46:07 UTC"/>
        <s v="2022-02-24 08:20:18 UTC"/>
        <s v="2022-02-24 08:11:04 UTC"/>
        <s v="2022-02-24 06:34:07 UTC"/>
        <s v="2022-02-24 06:29:01 UTC"/>
        <s v="2022-02-24 06:04:10 UTC"/>
        <s v="2022-02-24 05:48:36 UTC"/>
        <s v="2022-02-24 04:27:00 UTC"/>
        <s v="2022-02-24 02:55:56 UTC"/>
        <s v="2022-02-24 02:55:40 UTC"/>
        <s v="2022-02-24 02:38:09 UTC"/>
        <s v="2022-02-24 01:44:44 UTC"/>
        <s v="2022-02-23 23:13:56 UTC"/>
        <s v="2022-02-23 20:21:35 UTC"/>
        <s v="2022-02-23 18:36:59 UTC"/>
        <s v="2022-02-23 18:35:17 UTC"/>
        <s v="2022-02-23 18:31:42 UTC"/>
        <s v="2022-02-23 18:28:29 UTC"/>
        <s v="2022-02-23 17:03:04 UTC"/>
        <s v="2022-02-23 16:49:21 UTC"/>
        <s v="2022-02-23 16:49:11 UTC"/>
        <s v="2022-02-23 14:33:51 UTC"/>
        <s v="2022-02-23 14:11:23 UTC"/>
        <s v="2022-02-23 12:49:05 UTC"/>
        <s v="2022-02-23 12:26:09 UTC"/>
        <s v="2022-02-23 12:07:17 UTC"/>
        <s v="2022-02-23 09:47:46 UTC"/>
        <s v="2022-02-23 09:39:26 UTC"/>
        <s v="2022-02-23 09:33:51 UTC"/>
        <s v="2022-02-23 09:31:06 UTC"/>
        <s v="2022-02-23 09:30:35 UTC"/>
        <s v="2022-02-23 09:00:41 UTC"/>
        <s v="2022-02-23 08:30:28 UTC"/>
        <s v="2022-02-23 07:22:12 UTC"/>
        <s v="2022-02-23 06:11:37 UTC"/>
        <s v="2022-02-23 03:08:23 UTC"/>
        <s v="2022-02-23 03:08:13 UTC"/>
        <s v="2022-02-23 02:35:34 UTC"/>
        <s v="2022-02-23 02:19:08 UTC"/>
        <s v="2022-02-23 00:52:51 UTC"/>
        <s v="2022-02-23 00:27:55 UTC"/>
        <s v="2022-02-22 23:34:45 UTC"/>
        <s v="2022-02-22 23:06:16 UTC"/>
        <s v="2022-02-22 16:45:16 UTC"/>
        <s v="2022-02-22 16:29:35 UTC"/>
        <s v="2022-02-22 15:32:43 UTC"/>
        <s v="2022-02-22 15:22:30 UTC"/>
        <s v="2022-02-22 14:47:39 UTC"/>
        <s v="2022-02-22 13:34:39 UTC"/>
        <s v="2022-02-22 12:40:15 UTC"/>
        <s v="2022-02-22 10:10:07 UTC"/>
        <s v="2022-02-22 10:06:02 UTC"/>
        <s v="2022-02-22 10:00:47 UTC"/>
        <s v="2022-02-22 08:30:12 UTC"/>
        <s v="2022-02-22 07:17:16 UTC"/>
        <s v="2022-02-22 07:01:31 UTC"/>
        <s v="2022-02-22 06:59:16 UTC"/>
        <s v="2022-02-22 05:26:40 UTC"/>
        <s v="2022-02-22 05:07:27 UTC"/>
        <s v="2022-02-22 03:45:10 UTC"/>
        <s v="2022-02-21 14:01:54 UTC"/>
        <s v="2022-02-21 12:59:47 UTC"/>
        <s v="2022-02-21 08:51:00 UTC"/>
        <s v="2022-02-21 06:27:25 UTC"/>
        <s v="2022-02-21 04:12:49 UTC"/>
        <s v="2022-02-21 04:12:20 UTC"/>
        <s v="2022-02-21 03:42:08 UTC"/>
        <s v="2022-02-21 02:45:29 UTC"/>
        <s v="2022-02-20 18:16:59 UTC"/>
        <s v="2022-02-20 17:28:31 UTC"/>
        <s v="2022-02-20 16:27:42 UTC"/>
        <s v="2022-02-20 16:26:48 UTC"/>
        <s v="2022-02-20 15:19:57 UTC"/>
        <s v="2022-02-20 13:46:52 UTC"/>
        <s v="2022-02-20 13:46:17 UTC"/>
        <s v="2022-02-20 11:13:38 UTC"/>
        <s v="2022-02-20 11:05:05 UTC"/>
        <s v="2022-02-20 08:10:35 UTC"/>
        <s v="2022-02-20 06:33:16 UTC"/>
        <s v="2022-02-20 06:08:58 UTC"/>
        <s v="2022-02-20 04:28:44 UTC"/>
        <s v="2022-02-20 03:52:52 UTC"/>
        <s v="2022-02-19 15:57:28 UTC"/>
        <s v="2022-02-19 14:51:55 UTC"/>
        <s v="2022-02-19 14:51:52 UTC"/>
        <s v="2022-02-19 14:49:51 UTC"/>
        <s v="2022-02-19 14:47:56 UTC"/>
        <s v="2022-02-19 14:39:29 UTC"/>
        <s v="2022-02-19 09:28:37 UTC"/>
        <s v="2022-02-19 06:11:04 UTC"/>
        <s v="2022-02-19 05:31:45 UTC"/>
        <s v="2022-02-19 04:54:00 UTC"/>
        <s v="2022-02-19 04:14:56 UTC"/>
        <s v="2022-02-19 04:08:00 UTC"/>
        <s v="2022-02-18 17:01:23 UTC"/>
        <s v="2022-02-18 16:45:24 UTC"/>
        <s v="2022-02-18 16:08:18 UTC"/>
        <s v="2022-02-18 15:30:52 UTC"/>
        <s v="2022-02-18 14:20:24 UTC"/>
        <s v="2022-02-18 13:06:43 UTC"/>
        <s v="2022-02-18 11:57:46 UTC"/>
        <s v="2022-02-18 11:31:31 UTC"/>
        <s v="2022-02-18 11:00:20 UTC"/>
        <s v="2022-02-18 10:34:06 UTC"/>
        <s v="2022-02-18 10:24:30 UTC"/>
        <s v="2022-02-18 10:08:13 UTC"/>
        <s v="2022-02-18 09:51:21 UTC"/>
        <s v="2022-02-18 09:29:36 UTC"/>
        <s v="2022-02-18 09:21:16 UTC"/>
        <s v="2022-02-18 09:14:47 UTC"/>
        <s v="2022-02-18 09:14:28 UTC"/>
        <s v="2022-02-18 09:11:35 UTC"/>
        <s v="2022-02-18 09:11:10 UTC"/>
        <s v="2022-02-18 08:44:50 UTC"/>
        <s v="2022-02-18 08:41:42 UTC"/>
        <s v="2022-02-18 05:56:40 UTC"/>
        <s v="2022-02-18 05:56:17 UTC"/>
        <s v="2022-02-18 05:54:21 UTC"/>
        <s v="2022-02-18 01:38:03 UTC"/>
        <s v="2022-02-18 00:51:53 UTC"/>
        <s v="2022-02-17 23:50:31 UTC"/>
        <s v="2022-02-17 19:23:09 UTC"/>
        <s v="2022-02-17 19:12:50 UTC"/>
        <s v="2022-02-17 16:22:19 UTC"/>
        <s v="2022-02-17 15:55:49 UTC"/>
        <s v="2022-02-17 14:17:46 UTC"/>
        <s v="2022-02-17 13:30:09 UTC"/>
        <s v="2022-02-17 13:21:24 UTC"/>
        <s v="2022-02-17 11:44:22 UTC"/>
        <s v="2022-02-17 08:08:24 UTC"/>
        <s v="2022-02-17 06:29:08 UTC"/>
        <s v="2022-02-17 06:22:41 UTC"/>
        <s v="2022-02-17 06:21:21 UTC"/>
        <s v="2022-02-17 06:13:14 UTC"/>
        <s v="2022-02-17 06:13:12 UTC"/>
        <s v="2022-02-17 05:52:25 UTC"/>
        <s v="2022-02-17 05:44:54 UTC"/>
        <s v="2022-02-17 05:40:16 UTC"/>
        <s v="2022-02-17 05:34:18 UTC"/>
        <s v="2022-02-17 05:33:39 UTC"/>
        <s v="2022-02-17 05:12:41 UTC"/>
        <s v="2022-02-17 04:55:33 UTC"/>
        <s v="2022-02-17 04:49:00 UTC"/>
        <s v="2022-02-17 03:22:58 UTC"/>
        <s v="2022-02-17 02:59:47 UTC"/>
        <s v="2022-02-17 01:52:28 UTC"/>
        <s v="2022-02-16 17:17:04 UTC"/>
        <s v="2022-02-16 16:16:06 UTC"/>
        <s v="2022-02-16 16:10:20 UTC"/>
        <s v="2022-02-16 13:48:37 UTC"/>
        <s v="2022-02-16 13:15:27 UTC"/>
        <s v="2022-02-16 13:03:43 UTC"/>
        <s v="2022-02-16 12:17:57 UTC"/>
        <s v="2022-02-16 11:58:50 UTC"/>
        <s v="2022-02-16 11:53:10 UTC"/>
        <s v="2022-02-16 10:16:06 UTC"/>
        <s v="2022-02-16 10:03:59 UTC"/>
        <s v="2022-02-16 09:23:16 UTC"/>
        <s v="2022-02-16 06:21:27 UTC"/>
        <s v="2022-02-16 06:16:54 UTC"/>
        <s v="2022-02-16 05:47:01 UTC"/>
        <s v="2022-02-16 05:45:13 UTC"/>
        <s v="2022-02-16 05:44:32 UTC"/>
        <s v="2022-02-16 05:30:49 UTC"/>
        <s v="2022-02-16 04:07:16 UTC"/>
        <s v="2022-02-16 04:03:19 UTC"/>
        <s v="2022-02-15 18:40:37 UTC"/>
        <s v="2022-02-15 18:28:03 UTC"/>
        <s v="2022-02-15 16:50:14 UTC"/>
        <s v="2022-02-15 15:50:11 UTC"/>
        <s v="2022-02-15 15:44:25 UTC"/>
        <s v="2022-02-15 15:00:30 UTC"/>
        <s v="2022-02-15 14:08:12 UTC"/>
        <s v="2022-02-15 14:07:29 UTC"/>
        <s v="2022-02-15 11:57:27 UTC"/>
        <s v="2022-02-15 11:20:37 UTC"/>
        <s v="2022-02-15 08:25:32 UTC"/>
        <s v="2022-02-15 08:23:52 UTC"/>
        <s v="2022-02-15 06:56:14 UTC"/>
        <s v="2022-02-15 06:21:37 UTC"/>
        <s v="2022-02-15 04:45:03 UTC"/>
        <s v="2022-02-15 03:29:55 UTC"/>
        <s v="2022-02-15 03:10:15 UTC"/>
        <s v="2022-02-15 03:04:51 UTC"/>
        <s v="2022-02-14 17:48:02 UTC"/>
        <s v="2022-02-14 16:04:14 UTC"/>
        <s v="2022-02-14 15:52:21 UTC"/>
        <s v="2022-02-14 15:48:52 UTC"/>
        <s v="2022-02-14 14:42:09 UTC"/>
        <s v="2022-02-14 13:00:52 UTC"/>
        <s v="2022-02-14 13:00:18 UTC"/>
        <s v="2022-02-14 12:57:45 UTC"/>
        <s v="2022-02-14 12:15:26 UTC"/>
        <s v="2022-02-14 11:56:24 UTC"/>
        <s v="2022-02-14 11:26:06 UTC"/>
        <s v="2022-02-14 11:05:16 UTC"/>
        <s v="2022-02-14 10:27:30 UTC"/>
        <s v="2022-02-14 09:23:09 UTC"/>
        <s v="2022-02-14 08:38:54 UTC"/>
        <s v="2022-02-14 07:49:54 UTC"/>
        <s v="2022-02-14 06:05:38 UTC"/>
        <s v="2022-02-14 05:48:57 UTC"/>
        <s v="2022-02-14 05:48:43 UTC"/>
        <s v="2022-02-14 05:40:10 UTC"/>
        <s v="2022-02-14 04:54:09 UTC"/>
        <s v="2022-02-14 04:50:41 UTC"/>
        <s v="2022-02-14 04:41:21 UTC"/>
        <s v="2022-02-14 04:41:19 UTC"/>
        <s v="2022-02-14 04:31:36 UTC"/>
        <s v="2022-02-14 04:16:41 UTC"/>
        <s v="2022-02-14 04:16:38 UTC"/>
        <s v="2022-02-13 18:08:13 UTC"/>
        <s v="2022-02-13 16:06:13 UTC"/>
        <s v="2022-02-13 16:05:19 UTC"/>
        <s v="2022-02-13 15:36:38 UTC"/>
        <s v="2022-02-13 15:36:18 UTC"/>
        <s v="2022-02-13 14:41:46 UTC"/>
        <s v="2022-02-13 11:46:45 UTC"/>
        <s v="2022-02-13 11:00:02 UTC"/>
        <s v="2022-02-13 10:32:02 UTC"/>
        <s v="2022-02-13 09:17:53 UTC"/>
        <s v="2022-02-13 08:48:10 UTC"/>
        <s v="2022-02-13 08:28:02 UTC"/>
        <s v="2022-02-13 08:15:36 UTC"/>
        <s v="2022-02-13 08:00:16 UTC"/>
        <s v="2022-02-13 07:59:05 UTC"/>
        <s v="2022-02-13 07:05:05 UTC"/>
        <s v="2022-02-13 06:19:12 UTC"/>
        <s v="2022-02-13 05:27:08 UTC"/>
        <s v="2022-02-13 04:33:27 UTC"/>
        <s v="2022-02-13 04:31:22 UTC"/>
        <s v="2022-02-13 04:27:53 UTC"/>
        <s v="2022-02-13 00:42:44 UTC"/>
        <s v="2022-02-12 17:58:55 UTC"/>
        <s v="2022-02-12 17:00:38 UTC"/>
        <s v="2022-02-12 15:36:59 UTC"/>
        <s v="2022-02-12 15:36:56 UTC"/>
        <s v="2022-02-12 15:36:40 UTC"/>
        <s v="2022-02-12 15:20:46 UTC"/>
        <s v="2022-02-12 14:52:53 UTC"/>
        <s v="2022-02-12 14:36:34 UTC"/>
        <s v="2022-02-12 13:40:01 UTC"/>
        <s v="2022-02-12 13:27:59 UTC"/>
        <s v="2022-02-12 12:59:23 UTC"/>
        <s v="2022-02-12 12:53:11 UTC"/>
        <s v="2022-02-12 12:49:47 UTC"/>
        <s v="2022-02-12 08:24:16 UTC"/>
        <s v="2022-02-12 07:22:40 UTC"/>
        <s v="2022-02-12 06:11:35 UTC"/>
        <s v="2022-02-12 06:01:44 UTC"/>
        <s v="2022-02-12 05:55:57 UTC"/>
        <s v="2022-02-12 04:19:22 UTC"/>
        <s v="2022-02-12 04:17:36 UTC"/>
        <s v="2022-02-12 04:17:04 UTC"/>
        <s v="2022-02-12 03:09:15 UTC"/>
        <s v="2022-02-12 02:58:16 UTC"/>
        <s v="2022-02-12 01:56:36 UTC"/>
      </sharedItems>
    </cacheField>
    <cacheField name="instance_id" numFmtId="0">
      <sharedItems containsBlank="1">
        <s v="9e27bf765fdc2986c2f92c6919872380"/>
        <s v="d96f725b82f1c12f177e9d1b9c1bb643"/>
        <s v="f9b959ce7f71a1f92bcbf0a35502a036"/>
        <s v="7d2d079987017cf300ad30d97ddaad84"/>
        <m/>
        <s v="53f113f131c5b49c98714600b95fddb3"/>
        <s v="2a0442055d31f3b75b860cd86aecf4ea"/>
        <s v="188a4318617bae847690254706106891"/>
        <s v="7068d8135b7d792554d60c3046848af7"/>
        <s v="c7696a1b1a3dd8d5ee13cfc7c84378c4"/>
        <s v="2e7e7a6814fe39f6917b1897a89703d7"/>
        <s v="91fba088a6ab6219155727b47cee7be9"/>
        <s v="debfe92260dd64f918c0da86160bdcdc"/>
        <s v="861ad8e9c4142041c0417dd5d5d35363"/>
        <s v="adc11055703b944df7122938251cc957"/>
        <s v="aee4548cea84308b168672fc8a469e23"/>
        <s v="45194919de55628331278d92289f03fa"/>
        <s v="f34af2b1f4385d03dacaae2978766874"/>
        <s v="5c6346228d8010a0929e73ea93585d27"/>
        <s v="8f001089daa8acfe41422878d7cfbab8"/>
        <s v="46ef89cf0faca910c84c33305885545d"/>
        <s v="c8ef09f01b0bb4c6c1b75cf28a48d04a"/>
        <s v="59574b50bc7377d012318c0cc760d3a4"/>
        <s v="1c4795cbe0782fab8d84bd9d524debe1"/>
        <s v="e628bedad49481d7101104b65e367600"/>
        <s v="ac3f0f5c7b8f672c0ac8c609b08c0a23"/>
        <s v="d894024409fcfdce06361793603671b8"/>
        <s v="bf02acce9b9cd8cb81d3f337b033c0ec"/>
        <s v="075cb73e19ebde73477f5c10650fe72b"/>
        <s v="b93d125369c20ceb0ab22949a1735038"/>
        <s v="efc0aac90297fc6b04110b85cfc23c58"/>
        <s v="f665ec6a5680ce71a1b1621958d819dc"/>
        <s v="9672e6958e16659d013d0706b6e4f763"/>
        <s v="1e972bf82016ca11f1d7719672304a78"/>
        <s v="76ea79ec77d657f2a86be6c86c475919"/>
        <s v="c430ff9ec0b3dedd6c2722d550b9506b"/>
        <s v="77a3b42cb272cc37c57583c17c5bff7a"/>
        <s v="ea07517209bf99f68e252d3c74409b5a"/>
        <s v="ff7cc069b4d19c26b6b8137abdfbbec3"/>
        <s v="5efe58e2941d64a18391188f91de66a8"/>
        <s v="94c84423208a64f4dc9b1c41e7f77685"/>
        <s v="219824bbc5a31e5650515041254af176"/>
        <s v="b1e5bbc2859353c6fb2f8e71790169e5"/>
        <s v="e8e6ca2a24efa9b8510ac6cc63ef0994"/>
        <s v="4cb9fbc9a709540db36f7db53ab27243"/>
        <s v="57c87f1300fc325618f8a11d5632cff8"/>
        <s v="16122a494cb26354b608785a1db785c6"/>
        <s v="ffc08c32eaa3145a82f7dd22d93fcdf6"/>
        <s v="ae078b8cbe7739f30344d8cc90cab61e"/>
        <s v="cc6d33fdd4e00f21f99ab32228c8066e"/>
        <s v="e79b71a177655f15a2677f8af305a5b0"/>
        <s v="7fcdf06a462118f9ad40ed8dabb89608"/>
        <s v="c25969056a5e31f7e9d86a792f861b11"/>
        <s v="ea0949be0264de3b43d43814f754e762"/>
        <s v="7985e7456aac883ef0a33b786b5771fa"/>
        <s v="2d10e359633907b90821deda63c7e122"/>
        <s v="f8164938fee04a149d5a0e636061ef83"/>
        <s v="3ec9b677dd89229fdd6c0d778f49be91"/>
        <s v="5c4f5e7f2a2f56ef5938ddcfb123ce0d"/>
        <s v="6fded2275fd1165266cec3a335aba52b"/>
        <s v="35b739047f59bcc186bd3fc6833b9503"/>
        <s v="2384308b31e9b9a7d7d2ecfc3d27d77f"/>
        <s v="9eaa4bc674d6ca7394cff3bcaf5e76ba"/>
        <s v="1a6a8c0206c8a98336d8f0ffc0e17ab8"/>
        <s v="dbea4da031f1640f9ba9a7e64cbf4a74"/>
        <s v="e16ce150747384b5e6b2097e341f5c32"/>
        <s v="6da1681004912416bb0016ab18a2fb2f"/>
        <s v="f1469b1d641a32f06bec7fe703318b7d"/>
        <s v="5716cfc29c81b189ab93fa059c70a01c"/>
        <s v="06bd6ebc6c39eae3d078b9be68ea47fb"/>
        <s v="60b28cc9a90045b62a5a09e3bd2eb6ba"/>
        <s v="56d5764ebc04525ae4dc6a4350d5213f"/>
        <s v="d1de92c3b7fb309ec92b4e7d83eebe13"/>
        <s v="4a4dbd78dba85479929a84ffa0c37efb"/>
        <s v="f25ac214a9fe1cfaf30ce4811279522c"/>
        <s v="ac43069f64fc2b2136dd059097fe5e2e"/>
        <s v="b36eb97aa4435a92dfb2555e73793012"/>
        <s v="fd2a56b78bfb48211929e8cedf39ed75"/>
        <s v="64ef81e5937dc8b2e42f0e950edc5d88"/>
        <s v="3ae556a0dda720509323c9c15c2302fa"/>
        <s v="3b1a3da1f71aef0a96145b38c7f6318a"/>
        <s v="5576a3638b7b941b32debfff8c034e3c"/>
        <s v="f41c65e8925a8c3396b72b6086754130"/>
        <s v="78df32fa3ec68129f96b7917a5f6bd93"/>
        <s v="215625d18101935e74708845377ef394"/>
        <s v="2aaf15aaf43199388554c0b016be459c"/>
        <s v="786e40388417f0e3df59e75fb625cc8c"/>
        <s v="64ff9bd314ae8cb1fed1ba1bc1552883"/>
        <s v="a4f31e79c449132bbc197930a21cc1aa"/>
        <s v="86b5f249f5dcdcd96c7db7b5539ed252"/>
        <s v="17084141e05608128d32fdaf489e419e"/>
        <s v="1695e8b60964da31864b8d53c1aef1dd"/>
        <s v="52835383fd751514bec168f306a2d132"/>
        <s v="2cfc5c1f37f647b2f37d8b2a7a6c7709"/>
        <s v="872c71404db824a8e7cacd56c4178cab"/>
        <s v="cafb4d3c93dd8a3e3eed7b5d3c6345cc"/>
        <s v="d84fad99295e654e7546cb686b4bccd7"/>
        <s v="ec4fd437ffba9c96ba26c911f6e70f6a"/>
        <s v="e193f740b1d8a310d685f27643dba1b3"/>
        <s v="637d4e24a873b5298942f8bc80373e35"/>
        <s v="f7273bd71c83863b43ce78b5c0048aff"/>
        <s v="70167a92951db0dbaf21f1cc76a88efd"/>
        <s v="fd5a7873b856148f0f5810f01a2ee2b6"/>
        <s v="f82bf86507759940821fc4d7c6220a77"/>
        <s v="04820419715d155fc510ca43a6d11c6e"/>
        <s v="59715ce9f5729e4ca8e5abf8a7ec82f8"/>
        <s v="2cb8daa4a94659a5e9a81725fe88399d"/>
        <s v="f2e79034eba8324c2dbd70f6c4700ed1"/>
        <s v="de8401bcb5a8db3cf5fcd291d48a671d"/>
        <s v="d7acc735e404009075afc5523ad4ec38"/>
        <s v="06f11aed2c0d1dcdd779f09942818ef4"/>
        <s v="320664ddca74234dba5fb6e8f0c531b8"/>
        <s v="c2cc57c7eeda68b1777825da50cb3b36"/>
        <s v="cb79c0a05d3622c4a4a3e271b90b142b"/>
        <s v="5fc0cf9f5dedc9eeaf153941f5012a46"/>
        <s v="f6edd7b0525ab754bb9c512e4f9e1366"/>
        <s v="65caf76348fb4d9701860956eebe8162"/>
        <s v="599e8f8d09d8b53f3d344750c8c4df75"/>
        <s v="f5be57efda9ca3a6edcc74b89a529539"/>
        <s v="b1c6d0a7803f17a6b7afe16a74fc5d05"/>
        <s v="d7e19b8a0650f562cb29c6e18b144bf3"/>
        <s v="e44a37ac26c41feb4ba67ff4452fdb90"/>
        <s v="8a1908b96a2ec5c627c8901573fe83ee"/>
        <s v="56a938ed66824f62f5b1f73b6de954c5"/>
        <s v="8f50921470e23e2ed431802fc967d2c1"/>
        <s v="d21bcb1450da3203d407c8d2e2c37eb4"/>
        <s v="f4fa82a0ff44a8837c48d634d38ce9f2"/>
        <s v="35f3afe9986b765356cfcf79c6e3ce82"/>
        <s v="5ac91eed3cd38e58add0abb08c8f2d21"/>
        <s v="055f8ef0770b68004b75bdc635353ab6"/>
        <s v="948b94ed7c8114418a3f834c5142e519"/>
        <s v="9293569896e11a77de62b766331bd51f"/>
        <s v="59abf2e1616319f6acc5388d02fa6337"/>
        <s v="70ece40afe4f6e66116b10d222bc7220"/>
        <s v="f6f620d270e22b5a6cd787207e211dbd"/>
        <s v="2c0410ce1b94fdf7237355095c0cc621"/>
        <s v="d292ff833e0ccec687473cb3fe474ab9"/>
        <s v="ca844af6b01699674d08add814937cbc"/>
        <s v="af123a46f3c24b7da9134d0c493777a5"/>
        <s v="eb0641f4df1b81cb6d08ae5c161c620f"/>
        <s v="db0d481e2417b2fbde67af114d56df66"/>
        <s v="c4f7a60ba10de7e0037e73067f320944"/>
        <s v="de444256221168098379c2825dcadd8e"/>
        <s v="d59c281508d95a8981d071c9870fd84f"/>
        <s v="c4986bb33a5a21d5e4080840bd4a2a0f"/>
        <s v="13572eb3a2530f2fcd4fb5a7a65a9890"/>
        <s v="29b82e8d2441bef315ee888badedc5ca"/>
        <s v="43e0fe3ae18fb5ebb737b9012af49211"/>
        <s v="ab5692084b8f0af4bdd2dece32c8364c"/>
        <s v="2aa8c9df1b3d0122fe5f408f9dd47bfe"/>
        <s v="05f1816c012ae9b3d0c115e72aed1fdc"/>
        <s v="7cdfd0bb095ec9704cf6c7960b74c45a"/>
        <s v="9911237712bde29c346af68637460957"/>
        <s v="b5b0192f0d7a70de204ad4d524ef593f"/>
        <s v="495655bd94544af66ff9fa6500b1bd3f"/>
        <s v="27a8437cdceeee9033348ee6e20dae2c"/>
        <s v="3a524416d729f9e0d7ce7516b5da4877"/>
        <s v="029a52ab51f1aa935e58cedf98217264"/>
        <s v="19383f0251bb430c3d79b806f89e082f"/>
        <s v="5c79921eec5fd6b07d8798037c595993"/>
        <s v="11653b5518262358d36a090693ce1e13"/>
        <s v="4da39fbb39011106ec27e5e6ac4b82ff"/>
        <s v="8f4010646fb6d7814d401c5025a83030"/>
        <s v="eb1f9ca62d9317d8ba25f934c71a0c4e"/>
        <s v="a132a377b04c913c414ca6aa83ef5b66"/>
        <s v="d2967279e277b6ea0e37a20446debbf4"/>
        <s v="cb67deab82f8340b7ce831d5250934dc"/>
        <s v="138ccbdc4e702927a16c5678582d1a01"/>
        <s v="0fc9f7cf4488fcd2b148a0d67ada1905"/>
        <s v="e6ab5edaa69044aa029c14dc5d19795d"/>
        <s v="9a549df106354bf930a46cfc292fc316"/>
        <s v="b7b663269b58fd424835f068d464fe94"/>
        <s v="3a2f42a5b7f023f7e4de81357db2f3cc"/>
        <s v="9d5a9e6686dc5f50ffce300a5ed5c563"/>
        <s v="e604a0491ae239d007253098fda24873"/>
        <s v="622702c2ff489b06631aeeedffadcf80"/>
        <s v="7e0fc33f66231d352366b959665b99ef"/>
        <s v="f0717dca35df182f55219635a2a98d35"/>
        <s v="b067c1c455f7ac8a99c15453c70b4134"/>
        <s v="17e493d77a97a5c0209a101b6a2ece99"/>
        <s v="9d8167ca810d49bd988a85dbe8ce4459"/>
        <s v="a67d0083254cd4179856e0a6a37a0e0b"/>
        <s v="f80bef23c4d5a0abccc515aa6ea35ebe"/>
        <s v="a9fc7839b48713dd34b6decae498cadc"/>
        <s v="54e7d6a149c67a69676c0805371ed986"/>
        <s v="75671f15fb6171e2591032b98a227663"/>
        <s v="ebc03627f22af92b5f6aba1a124c07b9"/>
        <s v="fe0299731b9fc698e09e93e31d5be608"/>
        <s v="6c4a23820c9d10d052dea05cacd198c2"/>
        <s v="121b3b7bc60feb8f2dff4d6a82852d99"/>
        <s v="9f2181a1a7cd3b26742e9e9210f82b4d"/>
        <s v="a0dbd53fc6e40674989076e45838b3b4"/>
        <s v="955544bffb2bba3eda8ab825c099281f"/>
        <s v="adad0cf1f8245f50468eafc8d318b3c1"/>
        <s v="c40342ff3a7cd2d249e95a0a5c939c78"/>
        <s v="fe777632d5236d61ac1e36e40888454f"/>
        <s v="adf61c2fbf60eb9b1804c20c7b7451d2"/>
        <s v="071e01d69b97376bf2fa4bd794198e45"/>
        <s v="23acdc0c15bc76ebaddf92f4d61a6c42"/>
        <s v="817e36ab9f74b588d5280c5a9ecc4d6a"/>
        <s v="b109e55923f4ef85ed6b034a197c3b42"/>
        <s v="ec665ba2d627155996a54ae5d099ce4f"/>
        <s v="977654717fb9d68a27a96509526ca9ed"/>
        <s v="2b00dca67cd16478086bb8570b0b65b5"/>
        <s v="a1c80536f64c52315f3499b8ad6a0449"/>
        <s v="1e7776148bc7e5d724f157a64e28e355"/>
        <s v="a87bb4cde25c7826e9d0f37846da0425"/>
        <s v="02692c221752d14e0333cae93bb7abba"/>
        <s v="e4f01a6eab294cb16d39982ca2519962"/>
        <s v="fafcfd4d3b63a092858b3fa7a05fb0d3"/>
        <s v="d812f903ec6491b3991154b4ceff8d77"/>
        <s v="ab38189b60807949e65a0500217780b2"/>
        <s v="f1e83b4d3e7fc7535fecaf2976b694ae"/>
        <s v="a7f8457aa9de5a639c10347ff374f28a"/>
        <s v="859655292faa1c41d80073134d69e50c"/>
        <s v="085c6da92cade56f5a56a9bb2ddc701f"/>
        <s v="a5a2c26ba961d95946780f9773a9cb7e"/>
        <s v="df414a6313a269f5616d7cbec4852ca4"/>
        <s v="edcf6d87ec4d070aa7a1ac4344fecdf2"/>
        <s v="9f5db8ea1a0ea1b9d13424064888bba2"/>
        <s v="074d7e5be3165a8c74a954e160eec8e8"/>
        <s v="4b492dbbd07dcd39643ceb76f7a65b95"/>
        <s v="fee37a593370e0cc35228f8e08a4d445"/>
        <s v="ab5cdd29661a785cd6ed42e3ea0af2ca"/>
        <s v="0113ac756a546c986922307a4b323b99"/>
        <s v="d517a8439844270e1aade8518c61d334"/>
        <s v="6195ab344898e75fa818d7ae7f11d154"/>
        <s v="0d29131626dfc50e37bd6f5ba821fe7c"/>
        <s v="3a5c788558ee9dad7409e91d6b5d93a1"/>
        <s v="cca85fa0cb8a1b95b92a1b4be73e5957"/>
        <s v="bc096a5a262c371bb7d650d64a58d8aa"/>
        <s v="634a9f82ab76623b57c615778cfcc34d"/>
        <s v="704ebe5cf59d6fa1cbf60e5b319f5e08"/>
        <s v="f3a7586d1215d7ce5923e72e65001216"/>
        <s v="0362be763b4b3e1313f40c91b5659d2d"/>
        <s v="8156a225d13ade6225257f8e105fa247"/>
        <s v="d12b1b5e9abda7a02b83be15bc63ff08"/>
        <s v="10d4cdbf6fa558d618776ad10e94cb3e"/>
        <s v="c121b635b63d9a68ee2a39e2cf1aa387"/>
        <s v="a9166899d527dcd6ba4f3b198955b0c8"/>
        <s v="aeb59b70eecd893aeee031a894de8553"/>
        <s v="a151f9721bed5a27284f165fedf7bc90"/>
        <s v="8870f1d4affca12bd6b9f5e809c9b2c3"/>
        <s v="663f3183901582606756364b871d1004"/>
        <s v="555a56bdd555b356d19655625462b0d6"/>
        <s v="6d33f5d012b6e5db1b48861d4b92cf54"/>
        <s v="cfe125b4fb6061c05c6877db075d51af"/>
        <s v="da383a764c76ca7267d7ae6dccb0db0a"/>
        <s v="cdb79ea53d7154e8436ff6d2e9574443"/>
        <s v="00a54f680484144e18b668cc6abe4a84"/>
        <s v="b11af9dd8413be4eb5b1120fdcda00d8"/>
        <s v="77e1f18061dab9c8bbf28d87e048eb4e"/>
        <s v="1f85cab986b7edf878f386478a8d769e"/>
        <s v="4ab14cb96bdb39bbe4a64211f1025edd"/>
        <s v="587de58e3958031329c6608238e366c1"/>
        <s v="a759771e26cfae486275dfbe0e3c471b"/>
        <s v="8c0212c8cc635d073a3e6bb8f6739400"/>
        <s v="cf1e343db665ff26cf4e6b81c848641a"/>
        <s v="252a2979e08cb590e36da8872c751e79"/>
        <s v="575454d1bc0e37d3b6db8a851605cdfd"/>
        <s v="8eccf4857ef3d46d5ceb971250c2fe7b"/>
        <s v="247a33e0a76fd5f79814f56e7800a306"/>
        <s v="a56d63c70cb16dfea768da9b2fdf86e8"/>
        <s v="13d9cdef245cbe3a0743a2d1a1d47ae7"/>
        <s v="9790bbc4abaa2e7c4715f3aa06a7f5b2"/>
        <s v="a5c004615e29f0097cdfcd828ae539fd"/>
        <s v="812df09c764e167979a0553fb133ca5f"/>
        <s v="c212045c832aa4b27e61b4e4545eb195"/>
        <s v="7c020616c029c2cc4b8a65d665d0989d"/>
        <s v="8ec09395d7ad00b7ce70255c602ce5f3"/>
        <s v="aebdd7a3d29e38915262cd337f920df2"/>
        <s v="eec1d4cb70d2c6c8c8a44e997f3da6c4"/>
        <s v="d9901e1754764c3e09af5c08fc586b1e"/>
        <s v="3cdd820ef03ec8c383286436502cbf18"/>
        <s v="f8cd9f880e09bb30fd555794df3f62c0"/>
        <s v="4a8c76ccf2c17dc8b3900ba9a77c4f82"/>
        <s v="fdd982d1ab12305d0f6c1a4bab23e5bd"/>
        <s v="fd08cdfc5fa6d99dbeae8cb53265691d"/>
        <s v="a5a048e7c7e3173cb1aa98e973b2ebb2"/>
        <s v="1419e44c184a655d2aeefc58a3a96077"/>
        <s v="2498b787e7f74d7df3a3cbc60bd4c087"/>
        <s v="96b0abc53e73be64277ba049190eb19e"/>
        <s v="a81534e2aef5efb30d7361f99c4775b8"/>
        <s v="351bb9b7f21aebcfd70a7420bad4ebfb"/>
        <s v="38fa0021fb93627f48a16f82b47225bd"/>
        <s v="7dfa52af873e8d46ebf995ba2dede498"/>
        <s v="c782ea397a1fd72aa451024304d751ac"/>
        <s v="443923b1a2d7d310cd574ea6badf4a27"/>
        <s v="9e8ed1c2fefd62af58d7a4e08c4ab3b4"/>
        <s v="9e4febddec5a22da1c5ae9103cb45e11"/>
        <s v="2a881119a909bb7900f4f920e3fb4de3"/>
        <s v="39627782d11ffd7b14d5144414eb5b33"/>
        <s v="f7b0a0afd24937813de64a91dfda4e66"/>
        <s v="a1c59601ffa4f914a158bd9ebba87334"/>
        <s v="931466f30307ffb0d434b381bbf23511"/>
        <s v="37f7dbab0cdc2df4251fe526387208dd"/>
        <s v="4003aaaaae89978177857ad0940b572d"/>
        <s v="08168e20598bbd48aabd91449e769553"/>
        <s v="740715fbc7af1317e61bcc3256abd40d"/>
        <s v="2b6ba75d662cf6dee05f77746feef4b1"/>
        <s v="41cef3b347327afa887a85ddd30105a3"/>
        <s v="7b30eb654c7707eb8500bd7847bbcc12"/>
        <s v="042040bbfb1503438e0aec01dbe086c7"/>
        <s v="fab2b41b39a38e60d2b952444d408012"/>
        <s v="e89f974fe6f64682b4c3b9416f5fe561"/>
        <s v="96220c80fa86f054be7e8c6c8db36d22"/>
        <s v="4a14c35dfa6b33f43aa03fbfcb96d7ea"/>
        <s v="2e544b212964b210f391da0c28305cab"/>
        <s v="a31288be0147807fa132df6884216c39"/>
        <s v="ba81cd21203dd284a8d63bfc4d1a1ff5"/>
        <s v="ac680ca93b2d62658ba94648ef46a0f1"/>
        <s v="9d7147baa7e622eacc56f9d251d3b62e"/>
        <s v="7fed71d4d3bf4f2a63e3a25e815aae8a"/>
        <s v="1a9aa32e48fceb17e7e2081c1fb2b59e"/>
        <s v="72bab8600912525ffff7dcf7bcf4e745"/>
        <s v="b68fcd09ae681013153ff1a5856495f0"/>
        <s v="1fa63a387d0a3d19e388aa3b711ce1e6"/>
        <s v="43eb80caf0561a1b961d50d628ae4999"/>
        <s v="f56c1b1d5345147bb6e3afec0469591c"/>
        <s v="3c3146ae3e68a9b926409768c305f3b3"/>
        <s v="e7f635eef59e2e99a970aaac0edfd388"/>
        <s v="f2b63ab260e14ba50050625004967751"/>
        <s v="b597a92697d1a03fac205db4f2e1aec5"/>
        <s v="570c50af0622f188e1750ac2fd06bd53"/>
        <s v="15ae589fc28271ad9c083b0d8eb70490"/>
        <s v="1c6ff46b9f627423f10ef7cb2e1db59b"/>
        <s v="d55bc195c978c4ffc87ecdf3febfe46c"/>
        <s v="a1fc79e04ff594b45f65dfd58d72ae21"/>
        <s v="0ab3afcad7149f025d7e40abedd4eefd"/>
        <s v="f9c5136f614e03293252c55f6dbef195"/>
        <s v="7046c954e8f48028bebb04bd2fea9e49"/>
        <s v="2661afba5914ec3a70c3721ff6e0efd4"/>
        <s v="cc919e69e991210f5efbb52bd9ac6b02"/>
        <s v="50c21ae4df452a58e2be051d163df558"/>
        <s v="e027e08e72f10c1199f49d98bea45791"/>
        <s v="c989ed7d125ce049e968735fe7fb89d1"/>
        <s v="0447ddd9b24376ab4ac7a7f1ab133c42"/>
        <s v="f1f60228d960830e2cce5f3d5a472df2"/>
        <s v="482a7010c5dd6bca5b00254e5c04301d"/>
        <s v="d5305bd69f38beebe90ecfe4ea461e4f"/>
        <s v="f023a7ad49a2d4a9a9be817d5f9029c5"/>
        <s v="41224e4aafed7205d280a4fae214aeeb"/>
        <s v="de1f9b72074eb301f855104cc4295bf4"/>
        <s v="754565f3bf4d35b362a466ab6f90df03"/>
        <s v="87454ce9af063128a6708b23e0e73131"/>
        <s v="6cf63124e28fc0663930588509eb4d6d"/>
        <s v="e4c23b42a18cf72729e974d03d20394f"/>
        <s v="6109d6e45acda52508d0f2c2712b5285"/>
        <s v="6294840eb08f71a99cf92570a0c346d8"/>
        <s v="bc7838c6f0e5c4d6323b5d4ed8d2581e"/>
        <s v="ed12bc975053c4aa41cc908d94e32663"/>
        <s v="de4d96e6e13dea7f85a73277171f0555"/>
        <s v="12d989a0b24bbc1d9729641d4adb4e98"/>
        <s v="243ad3dd29e27cd43c43ab6886b7a3c2"/>
        <s v="bfc940637cb47e392fd4f196f8471a40"/>
        <s v="40de4b217daa489cd0ebcaeccb7e0593"/>
        <s v="6f5fd458b383a6ec7c5bacc3fbe085a4"/>
        <s v="7b82bcb160efc588dd67f9dfbfa19f29"/>
        <s v="b56459ae5106df05704320e0e76f0418"/>
        <s v="defa06c26e1a5e6f2b597f59fa23a290"/>
        <s v="c1e84709b8138a907cf459987fe58b79"/>
        <s v="a037bf6a1079fa6bb8f41e0c6088f3d5"/>
        <s v="0d0e254723f233d755afd80043d7c7ad"/>
        <s v="0c7a7ca6678a3adcdf93304d40054302"/>
        <s v="25aa96d0e4bd8964cfa14aa42fd95d5d"/>
        <s v="630f105100bf6a827277d94e01899211"/>
        <s v="96ec46c91687a0c3c31cdcffc6bbaf6c"/>
        <s v="424c5f63da664017b24cbef5b1555dae"/>
        <s v="fbc05b820dffd7cb1d455760d8696554"/>
        <s v="308f3b5c44b7083ce2e032c5df1ebc02"/>
        <s v="99b6c313eceb70fe6bf0910dd07512ee"/>
        <s v="6092bca40c424ed0ef0bcef816d8d02a"/>
        <s v="679ab3818883ec20821629d88de9357c"/>
        <s v="65cc910d14faa5a05b2ba0d8c6527702"/>
        <s v="2845f29918c4fa3dbe6b4aa642876f4d"/>
        <s v="a6ad26d7a505aff9f1bcbb44bc8d9c7a"/>
        <s v="06c41c83264c2a15709c74cf3c569a6a"/>
        <s v="7a48ec5fb55f3011ad3238f40e07f82b"/>
        <s v="eb4bad2f77a44ee9189d304b4f458280"/>
        <s v="4dc0067eb04e6dd6dccbb5ce385547f2"/>
        <s v="6bac3835d52427e4fbf3ca32bde33b3e"/>
        <s v="8e2c00f0224d2095ef623906c00775e6"/>
        <s v="0e0f5e5810a77c7a046bee5aebaa2675"/>
        <s v="834e7bd1f1dec51daacda92eb1d7b426"/>
        <s v="4cd2b01914c1cc2dd3bac5acd56b89de"/>
        <s v="88fcb6ce2df42be7d2db79fb0b6e8bd0"/>
        <s v="4dfbbebbe0051d0f57669e6ffdf528fd"/>
        <s v="efc7f281275af5aeb62b42382cc413d4"/>
        <s v="fb73c0d84844b548e27d4e8d429ae7d5"/>
        <s v="19c09e9f2b6e35b5dab22dadd44729d0"/>
        <s v="dd656c56b92d5d545120737988e89a16"/>
        <s v="848fd6499cc2ee95f2899e4c310a9937"/>
        <s v="4cf45f5edf3fac63abe5306e85d9a3cb"/>
        <s v="decac8fc1b079c0b21f7b5ac492c5fa7"/>
        <s v="796d93a20f3e937ad2ca346da5c5a4af"/>
        <s v="e4699fe7ae007a745b3c8a9a7a706fff"/>
        <s v="291a5047b23cdc5bca5fcc0138044c41"/>
        <s v="4b3a1747c5f6beac7adde20e317832ee"/>
        <s v="13b5d49f0d86490e864ab049c820be49"/>
        <s v="38ac2e624d35d475c32d755927d2988f"/>
        <s v="25793a2f1ebdde83d4ede695b895d86d"/>
        <s v="9498449afcd4705f424cea2fbfa701f4"/>
        <s v="e56a7b370c90d964348d843adefbb2cc"/>
        <s v="bbd94ab5da8f2525ec20a4ed9ea55a5c"/>
        <s v="a1155ed0e2f3a4edd1f4046980d51e1a"/>
        <s v="ee8d5c7ae9a9531e7e077136b47758c4"/>
        <s v="1f82756933b6ae4560ad8d1726a73093"/>
        <s v="f06accb322f262dc319a7859cf46992d"/>
        <s v="d368c7f4e78f87a621ec011d8ab30101"/>
        <s v="df495ebe85542503fa64472dfd378c77"/>
        <s v="21671509a5c445e1593a5808470bbe3c"/>
        <s v="fd7499ef7bb973474ea1d4128f6a1281"/>
        <s v="60e38c4f99b0ad661d4e847ff5ba698f"/>
        <s v="84f37da968eed0d309ca14b37914d285"/>
        <s v="4ec646eb4f04f100bfa82f566e4b005f"/>
        <s v="f2361ab1c0e6d23215a8bad50ebd9cca"/>
        <s v="741ad222745fa618315457313cb82435"/>
        <s v="24f0e41b13ddd9a1a8b26abf698c8ad4"/>
        <s v="3431ca4a3f86e9f8b9a37f0e845019de"/>
        <s v="085cd98d0376e233e5f75f69cc777e37"/>
        <s v="fe6c301b75f1bbe9244f872c9841bae0"/>
        <s v="6236bb0455a02c42d10d31c2bd6fed36"/>
        <s v="9ca26bc54582903cf7ab5a3508b33054"/>
        <s v="f69c117c8a5e2cc7c583a5f6d0d12aa8"/>
        <s v="372c4432100fe985d6e7f1bb48a8093f"/>
        <s v="0a1714fa1148ad621b4ae50c9fc31bfa"/>
        <s v="9d450ac39e424180bd1501d46a4da2da"/>
        <s v="f4b9e1226ed1383f4bee941182addaca"/>
        <s v="78c5eaec19c940d9cb6d8bab591845bf"/>
        <s v="416cd5e3a7c87183bfa28e6c42cb0fef"/>
        <s v="b459ca494cd19580e6416907a395e6ed"/>
        <s v="fd26132a4d47874d6bb6bd741e2215d1"/>
        <s v="68806c29bcede1c931e0282e19e2e857"/>
        <s v="65797a7251f7284dd14443ba2f2fed45"/>
        <s v="14530b970fc4412769796617147ead46"/>
        <s v="439d8a7ce9b7647705d81600a4e33219"/>
        <s v="f9adc3ea888252f223504a77317f43c9"/>
        <s v="63c691db645157cdedf0fc60a48e6a0d"/>
        <s v="8de053e8dc6867e5709ca75c72665f29"/>
        <s v="247bc44fb7f460dedf60cd5dce73cd48"/>
        <s v="b724c2c6abf9da89c5ca7cbadee7d859"/>
        <s v="794a89b9e70bdebacd20fae4ebeb9b2a"/>
        <s v="7487691c4c2f616a2743139b0cf05aaa"/>
        <s v="0472251747b3736193a5164006e89335"/>
        <s v="45c91319c6d5100942d105f4feaf0e81"/>
        <s v="9c305e5338d05108a3247cfa69bad5ef"/>
        <s v="764e46b5c236fadbdf0fe20e110e1a81"/>
        <s v="fe5738445157dca9c28fabae82e52a55"/>
        <s v="ba6c855d857b632d1c0f6b9a8abfe554"/>
        <s v="9ac3452c4970e2f53962733f67e388fd"/>
        <s v="37a63948dd31866085f0d22d3854b476"/>
        <s v="aa3827e0894de61462b778b94fad4a7c"/>
        <s v="562d151e7821b05f993d5ff9e17fa8d8"/>
        <s v="ef06ce8a8f298570e6a63a0f3fce08e4"/>
        <s v="a9d7915298958b96c6d513cf84992c91"/>
        <s v="24e2b8b3e84515c735274312dcb3dc3b"/>
        <s v="39ad9ae26a1e98d142bf12789c59406b"/>
        <s v="65a9b38cfe392a2ca5a61c8af72cf394"/>
        <s v="a704e2cd0ba85a181f76a439017537b7"/>
        <s v="96da69a436c876052c2dff0b2f467700"/>
        <s v="892ef732118c4d310382a9304e9d7c21"/>
        <s v="66c3bb80aad17f60bc36b36c713677f2"/>
        <s v="7f6fc00df616e7238aab0da79c68622e"/>
        <s v="8f4b9d645dd1245c91c9262eb35d17a5"/>
        <s v="96a8424e483946f68c57cfb49378a85c"/>
        <s v="523bd2abf18d0a727ec3e65fcb061420"/>
        <s v="b466976140a5cd6f0d69aed409ab6aa2"/>
        <s v="83d4437bfa2f13cf23ad803ec6521fa5"/>
        <s v="483608e73e63b75d83ee220f0b12422e"/>
        <s v="811ce2d4d154e7809b72781330468d3e"/>
        <s v="2880b933c0aa1dda68e6354d0ea163c7"/>
        <s v="2fa923284af7337b1bea691a11716730"/>
        <s v="0ec6959be29c8dcf2d53142de79d2c3c"/>
        <s v="8255e1fd94e343a148511904948c06f9"/>
        <s v="aea69d27819a09d601d3167217d714ee"/>
        <s v="f0ac9b61e5241eaca72d563bc5317746"/>
        <s v="91efc5796a7c006887418a5fe825f84e"/>
        <s v="2c74775a0ebd833284aed99c1f90b40d"/>
        <s v="3f5d8376b40b0deabc7ab97b171441ce"/>
        <s v="a11fee13890437a19a35e13c7cd91586"/>
        <s v="659cd1dc7da1d156435f1d88b3eeedeb"/>
        <s v="049972e636b84a1621d9ca326a818a13"/>
        <s v="5ea3a07888561c8dfd8e1afe15af0729"/>
        <s v="3a4985138a4a30a43f23641cd4e877d0"/>
        <s v="fc209441fb86196f3f1ba187dbf5ed91"/>
        <s v="46cb19b26ad78b2c945868e2a79035c6"/>
        <s v="12b0afdb4ce6fbfb36422c84216e27bd"/>
        <s v="dc15d37c60d494c593a364cbc9d3ac98"/>
        <s v="62e2c50c424982c79c1f1ecace3259b2"/>
        <s v="65f22b7274a20e158b4e21f54664ffea"/>
        <s v="33df9a6ab60084972412d9fc44bb40b4"/>
        <s v="ba2391ec28a17ab6e49ee25a57b9a9f8"/>
        <s v="77973531b1dd29d8ae7860daad50a656"/>
        <s v="b0d2bd543b8593c713d8003fa53e22ca"/>
        <s v="3e4d7ed8ff06336ed0046bcf863faae8"/>
        <s v="f24f5ec50e258ee0282f9d77e3679b62"/>
        <s v="031edb3ce43219e204b0e968821cecbc"/>
        <s v="5f29969bbffab212f20b8ac66c8d3029"/>
        <s v="d733bfe1373d8462fceb23c2f6f75ead"/>
        <s v="7309a13e85b3856b06e0093eadc764ca"/>
        <s v="74f605f7da11ab0f4a627d2cd6b5ffb0"/>
        <s v="bcbf4469113aa7699af83467d7ad828a"/>
        <s v="488aeb3d9bbfc67ee20f99779c8784a3"/>
        <s v="061c1c5a59eeaa56a56067076bb76bad"/>
        <s v="8d38a4f0c7ec34a2f7eb74be97a09c25"/>
        <s v="c823131950ef859483ce9faf5472336f"/>
        <s v="4790ffb023ce10926464b10cd876d261"/>
        <s v="35d7c95397ff8ff938e3e44641bb55ce"/>
        <s v="3074aeff0070f4cbe0cd62c4bd4fbe96"/>
        <s v="1b90626f6f21f298cca3f6ed95449177"/>
        <s v="1ff29eddc3256d9871dba96515017973"/>
        <s v="91977a8ccae8be73e637e4a8fbf938a6"/>
        <s v="9a6c33d27e817df9b34d69347f10c173"/>
        <s v="8355f805deb9ad2b6da476745610ebce"/>
        <s v="8d8718536f3a9cfa1a4fbb65ed5a03e5"/>
        <s v="f81f74368bf33fe3ae1c102355fb609f"/>
        <s v="2ad5be2973f18bd2f76bd9ef3b6554ab"/>
        <s v="164565ceaf9201e490df7070dda0b3e2"/>
        <s v="7597544adbe09b527ca16e665c95d6f3"/>
        <s v="dced11daf5eb5662b45c804c9af0727e"/>
        <s v="f6aae3bad756381296b35b0ca35fdf30"/>
        <s v="bb60616ab934529f04a7f442ddbcc1e4"/>
        <s v="f5835c3000849b99a86927b1691c1f9d"/>
        <s v="1971a265c0b55ae411c06c1f29f7ac92"/>
        <s v="625d31150747d4ae8d20c8a489a5d48d"/>
        <s v="f92f75b09b9779e0480ac6bccd67d65d"/>
        <s v="791c79f1612132873b745fa6f611562b"/>
        <s v="a0bd0d61b0f7d9549c3660a588bbbfd4"/>
        <s v="4256c684db92b205fffd85e795bf8deb"/>
        <s v="1d7be0f4c2e59857be929bc77a2c974d"/>
        <s v="f40575b74c26b53daa51d0d3c4756a6a"/>
        <s v="2b8290349518e38774378ffe38b59154"/>
        <s v="ebdb2f54620828e99eead73f1fd7129e"/>
        <s v="eefea0a978d783eee6cafffb62c186d2"/>
        <s v="aa375f80e71f6f3b3d5754836258ae09"/>
        <s v="b9debac4f989506655237a469afe7cd8"/>
        <s v="07b5434393095f28786720534713c2f1"/>
        <s v="cf7859a7805dc837b8a3249e75e32dbf"/>
        <s v="9aac0a9651aa1157821c308216b89b18"/>
        <s v="8357eaf6825cab6c00463d7e6c83045b"/>
        <s v="dfa812272fceebcf836b6670376108be"/>
        <s v="5166b6d6dc85ee34d4f11c787dcf608f"/>
        <s v="30998bd444b498a27ba625065394b9cb"/>
        <s v="48f50f0f8b2250288daa7ecd7d96a8f8"/>
        <s v="c8ed551e9572052fddc7c35c0cfbca3e"/>
        <s v="4a88db073101f6272efb800f4f1f6ec3"/>
        <s v="6e4d9f1096bcf94e73790328d4ab8ff4"/>
        <s v="e5ddb0323b2b5f73ddd430489830ed16"/>
        <s v="6ee3ed3101f1b01390a0977bbc752695"/>
        <s v="d552737980eccce5f27a09dc8c4f51fc"/>
        <s v="ab3e9bd6d0fa8c63275f659b2d7f39b8"/>
        <s v="733ca49c1a8795799e74eb5b76173ec6"/>
        <s v="dce7f8c0f12d71a69dd68fcfa9c21728"/>
        <s v="4d4c3d7e4cf26f5e8d007b95d2cadb74"/>
        <s v="bc977be13bcb4a1a6d2eb73e7f2f03dd"/>
        <s v="36c30c7e8f5cb48dd56fe80307c410a3"/>
        <s v="8c8baac562119adf443d9de29a7d5714"/>
        <s v="0dc7b9fb1da55938c72d7ba38926be1f"/>
        <s v="25a84fcfbb85711575c22f2b4a287a38"/>
        <s v="c24848a14aa1dcda3d83a52bbb809c81"/>
        <s v="738fe94da2786480faf833390f542499"/>
        <s v="f7cb5711f7e696be088551b9fbcc412c"/>
        <s v="7682af9197497dc92940f940e80ea56e"/>
        <s v="2d475bc5422b7ea30e7b3e5e5f786b43"/>
        <s v="1a2c0a1f553e50e171a509a01ae234d6"/>
        <s v="c38cf7d672585e7a9f0ee0a2800a0c04"/>
        <s v="52de8fe3bf3d733688e6b2195a288839"/>
        <s v="7a5fa078140d1eacc3dea3dad59147ae"/>
        <s v="1675e55b6bebc6938e6f0bfa2a796ba1"/>
        <s v="c217fb84d297de2a494df38922661dfe"/>
        <s v="b0619104fae5516dd438df9db24b1ec0"/>
        <s v="f5668c6e4d48bd6ba43f30cd376a0a8c"/>
        <s v="287b3891c76f490605dec6211844d934"/>
        <s v="44a802b9b2519de2be2c50315af9345a"/>
        <s v="7a6e5b62d6ef6635f5e67140d76e8d9b"/>
        <s v="bdaaf968584652e6a8393cb15403c43c"/>
        <s v="2189cd9ae224ceffb931985ddaef3125"/>
        <s v="d52f3aec51f362cfbfe525847e266239"/>
        <s v="8311227abf517ff5e8882b9d5b8a3a53"/>
        <s v="456913b012efbbbc8eda380c7392acec"/>
        <s v="dcd99e010dd832895745d1612b5288f2"/>
        <s v="fb6500dea6221826e348c04d933f3794"/>
        <s v="d4691f15d56d3e5f615cbdbdaf8358ec"/>
        <s v="9eb4b399d7470c46dfe5be6f4cce2f58"/>
        <s v="f55cb9c70fd83fa946f021b8614c31ec"/>
        <s v="b2e5612c8fae2cae025acdec9bfbd780"/>
        <s v="bb7c8a0dc55f10b3f9e0f559e3793c86"/>
        <s v="493d1d81be0820670270687181f436b4"/>
        <s v="9265f97fd2c02664d71e6c39d8cdab7f"/>
        <s v="fd922be4ff448680a1b2545e911f661d"/>
        <s v="1ce92f87ff2e3134079cda0941e239f5"/>
        <s v="e25c90222a8fb87fd415568316644d68"/>
        <s v="6238c3c89df9f61be5e96afe8d4becde"/>
        <s v="d0cc43b03cf4d442e510580142177e00"/>
        <s v="e85dc5c9550f9ea180432cf28e07ff68"/>
        <s v="a7ab8fb9af08b088ab0054cdc27a7c94"/>
        <s v="4cb4d5fe0a56ff62d4a1c267825f5099"/>
        <s v="12c4ec237fd61fd9b12c156db9823e9c"/>
        <s v="cd57780a8cd3880302cd3eb51fcdcb6f"/>
        <s v="c9031c7bc48bfd521d2178d5857a8aa1"/>
        <s v="eb5de40f94f20fa6a9c0502eed8b347d"/>
        <s v="9dc766ae8b50cd6740148dd80ec0085e"/>
        <s v="42f7688a263123903f0ce8b447e74ed9"/>
        <s v="63d4e1f58830b4bd2bdf3abf72f7b9e5"/>
        <s v="fe24886e02edccea1b62c1f99b97f702"/>
        <s v="c0e4da2cc5c486f255e57b062062a269"/>
        <s v="96f90de8a10a54cb608503bb07438184"/>
        <s v="7a48f0da901804419509107991c3b941"/>
        <s v="0a0cbc6e891b46fb3b4eb1f448dac310"/>
        <s v="85ea6a42deab25c868e696710db92204"/>
        <s v="4a6c626729bf11a830190d6defe3ef86"/>
        <s v="e018138f12ffe0a068b3bc0734f5a9ed"/>
        <s v="6c684a6607dfb657c3a91f8be8517522"/>
        <s v="8ef8576d8c88a92a1c9dec5d87129baa"/>
        <s v="a9f4cb50a5ba2d047c29c8dc799aef61"/>
        <s v="2ffe988f63c59b249d44da4d21d5877c"/>
        <s v="a6421acec1e6e9ef4129d99bd232e8c1"/>
        <s v="30139f6bcbbfc44781adb21e0f5b1fee"/>
        <s v="4bc13487c1c6b181dc04f4d32a5263c6"/>
        <s v="db1fe014c4f78c816406bcf6ff5acda7"/>
        <s v="9825ab38e7863eea08a4edeaa8b1d721"/>
        <s v="7b897196a7181bba2475037927178385"/>
        <s v="d6188f2fff864ed4f6c0a74ca9e3c898"/>
        <s v="b274d9a72c570f90a93dab74d228e089"/>
        <s v="3efb7be69ad9fc70a702e9caae23eec0"/>
        <s v="757ee10068698a1b45af10053ad4ce85"/>
        <s v="f9f97e6ff07e9bddff8498136d2fd394"/>
        <s v="471f1eb05fc1343e2bc47a3f30f76dbf"/>
        <s v="4094007a7850797977cc89b6f5a94061"/>
        <s v="06d55157cfc1a1c12dad397707308a0d"/>
        <s v="caaddcbcc542fabd47ee69b1734e0f52"/>
        <s v="88c838f98d3f97512ebf5c2310aa9bc2"/>
        <s v="73f45a47577a6c13a4d0a6862507dac4"/>
        <s v="15be7ce21c528667137c59461e9b1f89"/>
        <s v="3b5ef8271d6ccd065d60d13421a4bc5b"/>
        <s v="1eba489e4410825cbcb55f9d9c2fef86"/>
        <s v="df56e9b6cd21770f36f0b597730e7156"/>
        <s v="fdfc234386b59a2d80cba783691677d7"/>
        <s v="dd4284a6ef69f6beb5b40c9e0182b5c1"/>
        <s v="2142693913896266ebd72e4189dd4b3f"/>
        <s v="a408376bfd08325e70846f2c75ef67c8"/>
        <s v="de58075a69fd1a909056db8983e59e49"/>
        <s v="fcf827825d7e73929b48870591b4ea2d"/>
        <s v="1be09f16fcbbbfd7e88718e57563d7c1"/>
        <s v="f16ddaf2393d4989a3747866a6e00b04"/>
        <s v="167beaeb7453758b48cdbc98e2268317"/>
        <s v="da4f497a72146e638ae8fc9497472782"/>
        <s v="3e35997ae54b9c3d5cadc5169a419fba"/>
        <s v="af795e6a9c500a70d31794e791aeebb3"/>
        <s v="ee600b7d862488a9563a65b796770885"/>
        <s v="6f4696ba1546803def8d9201a4ba0eac"/>
        <s v="cee0caaa4b7e31dece9ca38d8084001a"/>
        <s v="26db91f64c81627c3888eee3b5dd86a6"/>
        <s v="ef2cf18ad1c37119958f34cbafd2de0a"/>
        <s v="1cc5ffc15fcaf3ce6c4a1c81328f12ea"/>
        <s v="e5cba599a78f7724b3b5afe473450f2e"/>
        <s v="facbd4e803aff7e38ba14196da580d5c"/>
        <s v="e7c73faf288c0f879e75257027bf9aa2"/>
        <s v="73da083aa52003c3b100ecf21b794e24"/>
        <s v="61d4bfe489646dd8eedd8ff4c32ded1d"/>
        <s v="3436429e83ea3e89e0c5ad924253061e"/>
        <s v="1e2b3fdba2a1bedd28e0ccd1815a1b92"/>
        <s v="623962241c10cab9dc8c81d768d17b62"/>
        <s v="9f76b542d23a64a53a1133268e6ea6ac"/>
        <s v="b86a33187d802b2c5990ff973725077c"/>
        <s v="0d9214d033e655ca2cb49227460f1cd7"/>
        <s v="76ba82037e9ad4faecb338275cb4f124"/>
        <s v="96e80abf57b486a4af024d6b71de0f0e"/>
        <s v="ec63917ca641bdfab3771486ee510524"/>
        <s v="01696cbebdcf2dfadf53aff55208341f"/>
        <s v="d66b7bb31c2fe3ff27a9d15c6cd76035"/>
        <s v="eccc4dfeb7b99de3b547b3a4230c45a3"/>
        <s v="5c4451e469959206f1b8f02a6c2282d7"/>
        <s v="7fbfda27b28f5030862abeb25fd14453"/>
        <s v="9af225a01f3c3c24ff08d50cc4481717"/>
        <s v="890bbeb68f7dff9c0535a3722b1950ff"/>
        <s v="dbb55196e782d9e11a3ad8a272fa9e6c"/>
        <s v="a4612b41346ae2cc3774705e5796116d"/>
        <s v="8679ac9d8b0a09202ecfe3028e031f23"/>
        <s v="80b6e20d047c4a02d7a4b3ff06010fec"/>
        <s v="fde9cbfba4dbeb774ec0ee7deccb11b4"/>
        <s v="758e2cd96faadb06838ed1a03700648d"/>
        <s v="3c0f012a5201e7cbfee3827fd2dbfe28"/>
        <s v="2c41c507f871040e5b952525a44295b9"/>
        <s v="682b73912b2dee5f450ee6bbb798af48"/>
        <s v="0249e98b228972cd311e7b11a58cbc23"/>
        <s v="4d9bc274ed5aa1e2c25a3672b92de32f"/>
        <s v="a13203a6b82eb2712ff89e7d58e482fb"/>
        <s v="42d5302f888f363baadbf5ca6cad584b"/>
        <s v="242c504cf37d636d828e71cd2e96491e"/>
        <s v="0592040f51c5bac1ceed9b7b04dfc2ba"/>
        <s v="1abc02b0d16ca90e08fd08de743b3ab9"/>
        <s v="720c29f8cc68cd43f4fbab02e55c69b8"/>
        <s v="74f17f6c2dca2932a5666063650fcbd8"/>
        <s v="ff5ad71f2fbfdc9d71ea3cfc39598d41"/>
        <s v="8ee0126a775903128297067424aa2cb0"/>
        <s v="876ddab424dbf4977db7b556309e3040"/>
        <s v="f8268de034a0ebda5766f9647f634fc1"/>
        <s v="4203aaf143232224590ce5d89d54ded5"/>
        <s v="666c61958f24534917486c6a6d658efe"/>
        <s v="6f626ed0ff44a10c16c9dca5127901cc"/>
        <s v="2ee04cecad2ec4426737917831b190de"/>
        <s v="ab2dab905bd841df6ef21dfb01175a30"/>
        <s v="0512e18ded9bd24597d81dc8113ccac2"/>
        <s v="e91126f719894793e7afc68967db7181"/>
        <s v="11d2cef26e8ee6dd67fa41c0cd0b260d"/>
        <s v="8ea81c6cf16644625b9f821f287dc589"/>
        <s v="d86e584755293251a9fdc5fdb1d06237"/>
        <s v="87d043c7d9d2783a45a4008dad26b1bd"/>
        <s v="9db3fe84437530a813cecbbb56c91244"/>
        <s v="bf36391679c914c3b42ee36fa9d18f9d"/>
        <s v="5831c9191d660a920bcf9a0445443296"/>
        <s v="4531c2ac8609eed850faf28a325545af"/>
        <s v="56663c718d0f8315fd1ce968491818e5"/>
        <s v="c487ec455258a2a69f695a6ab492c395"/>
        <s v="a3d267a7848a0fed88d695c3f16d4107"/>
        <s v="aef5d88a079776c3b91064f5929d4f40"/>
        <s v="8b474c7c240501112c75897de5a4c01a"/>
        <s v="65ddd2d8db482a7d90a13a922b646c02"/>
        <s v="82a751bbb28a57e66eccfcce9137d28e"/>
        <s v="6bbb7f5ee61da544b598eac8464b9574"/>
        <s v="88e6a45ae0193b57e2702f1435048c3d"/>
        <s v="06e1a9138fac6ad2203ed00ccc5a395b"/>
        <s v="1ed0400c61b0c9544a26c372d4d98af7"/>
        <s v="172336b380d1c2f25c1eed6f338ad170"/>
        <s v="215e3ef106aa4c473e615da3aa818c97"/>
        <s v="afc2f2b1abc909d88bac8b1389f8ebc6"/>
        <s v="21030d057cf3b6b0f09fb2e0b296bdbd"/>
        <s v="f51798a8fe5b5cfa259bb8978696bb87"/>
        <s v="07737ee50fe3bfdcb348158e52495226"/>
        <s v="a3005e48a7d36fce6ba76822b4d5c609"/>
        <s v="fc148e48a61459b693e4503dd684c76e"/>
        <s v="683c4ea78b90e02c86b2b3ea956d2fa5"/>
        <s v="a1f4b68816260a940528200979d6a455"/>
        <s v="9a626ba9cdd3a4ae6e34cd9b45d637df"/>
        <s v="a316bb908badf89e1622bb51e604e040"/>
        <s v="51ecb0a009bd1ee7acca93212861dfbe"/>
        <s v="20fa88565f410699a1d2c36a91bd3fc4"/>
        <s v="800afe5fe4e1b33d904c25e96247f499"/>
        <s v="1c4f67f840b0aa0f772e7617c0896e79"/>
        <s v="0d727e73d0a99b0c09bb9c597f99c360"/>
        <s v="0800b0de60bdc35a736dedb22b8ba743"/>
        <s v="e42fb18d0287b273160a3415bfe4016f"/>
        <s v="e711860609c3b1cc1acde4c587417c6a"/>
        <s v="734f5392be3c1ee8b05d185e8dc12da5"/>
        <s v="100529865c64d4a1672244ac521dfc53"/>
        <s v="dae9423160a5abe034b61efbe1e815d0"/>
        <s v="aae82555f3a0613e55664ec026148f72"/>
        <s v="01a00aa9d03f0ce8da292f50b62c5868"/>
        <s v="802f64d41e5a4993ed2d9a1747c742bc"/>
        <s v="590dec331d3c848be560dc176f192029"/>
        <s v="dbae897b14374a41defcee8a47a84d4a"/>
        <s v="79060179c1a90e55526a9cd885b02eda"/>
        <s v="bce5f13fe2978c90c370a87a2266fc88"/>
        <s v="a050edc9898812612c999f1a429b4179"/>
        <s v="ea3b22d535fa0c2177817e3c67d6395e"/>
        <s v="b02bfd771ea762144e5a2ef547730528"/>
        <s v="8d18d6a2775886b682b528473e6bbacf"/>
        <s v="d5c429f204cbe1571e8e47e17e164ffc"/>
        <s v="f12dbaca0dc131e787f680b91bb116d9"/>
        <s v="742f2f2dc8e322356f849f66aafb127f"/>
        <s v="aecba6929a99eb0cacc3e8c1b9f01989"/>
        <s v="c27280c400d8a475eab83dee0b245603"/>
        <s v="176eef5f243e5c7f733842c2a97345ba"/>
        <s v="718892d7cb67792c5ed65b07f15beb44"/>
        <s v="65d9230c47a78dfe97f51ff18b18fbae"/>
        <s v="094b1ae5c1716d3943d490c3437eae5a"/>
        <s v="6a5067f25053e64367d5194a5fe80d2a"/>
        <s v="c77a23de238c58957decf9cd01d264f3"/>
        <s v="1aa47cbefbcd78f18d3ac7c6c9c8ee84"/>
        <s v="3bb4f5e7956622a59ba3424198bde990"/>
        <s v="507757750d6fb6e6845e77be5aa371cc"/>
        <s v="a5bbe489a9577b42c06ef1480095631c"/>
        <s v="89516a70f75d0b457ebbca2f8509fa7a"/>
        <s v="ca6dccbba1067e18e9cdd3e6c01997ee"/>
        <s v="c3d2e91f699e3b93f3efba77a5273e63"/>
        <s v="c8c3e4ca2893e6b4c72e6c0d0ff58f89"/>
        <s v="f9a3ce05e792927598bb7fc4cad1390b"/>
        <s v="6f9881c07015d21c5ce8ebd7c6611994"/>
        <s v="07670c7c40405dc1cfbd6c49898fd96f"/>
        <s v="640e36877fcceba676f36f58a301b644"/>
        <s v="3555299306a4abdb689f6fbe196fc2d6"/>
        <s v="7b11ff5fdc6316e7bc6eb818cbb5c1a1"/>
        <s v="6571f1d02592885a630830c2105046a0"/>
        <s v="0eafef8576aed3d7d216cfb238f42188"/>
        <s v="aa25c5a168f67bce310bc59f85ee98fd"/>
        <s v="39bfa78b86556261aaa190e35cdc3230"/>
        <s v="e734caca68ed2a512b2c02b0f78dafbc"/>
        <s v="59ae0791a4678f31abddd93eee0a9559"/>
        <s v="52d30de91d65e55b6fa6b4523a1e84cb"/>
        <s v="579d575dc14ad2f699ef0ad75f137bb9"/>
        <s v="b62c0afb2685970f1a45e88faac3566a"/>
        <s v="d92dc267c7b4e5de2b380d7cdef21a63"/>
        <s v="a86029c8f0e6bd8fa5faef90b66e3128"/>
        <s v="1c21800dfd2e05ec286c7e09cf387f67"/>
        <s v="ab1535a59a3387df11f34e99021810a8"/>
        <s v="f4654b39a9f65e0e2a3d5e4f9d0cb54c"/>
        <s v="bbc756e12ff9352bba6b29400597cf92"/>
        <s v="a82cf6a275a9671ec24fd239a6f0ca60"/>
        <s v="fa0411639a78b62a8ba1359dee61790d"/>
        <s v="efdf0163a97c50c05d8cbd6b1d0bdecf"/>
        <s v="37e4069455712d0b108c42aa76e3bd38"/>
        <s v="a7162659568610b75088e2f522f61d00"/>
        <s v="6987385bd8555719efd04c7e25bfa0b1"/>
        <s v="e91e907775c027326d94c6511019841c"/>
        <s v="6c1569c5c4d9ad84e149478dffe3e142"/>
        <s v="8621f3a24eff74415ec5ef6a6e71fbba"/>
        <s v="726964bde0702ff63d63f5ffabe92eb9"/>
        <s v="ce66461cb2e594cf47d4d221841a7003"/>
        <s v="659ae2bbb3bcc8479486cb9599e9a56e"/>
        <s v="750bead2a7737bef476a02665bd0df66"/>
        <s v="e465671df21299d0b7bf65910246c53f"/>
        <s v="45e818cfab75190f79533130060e3f32"/>
        <s v="c024128a3337fb8366bc8e6ad9ffe4be"/>
        <s v="60c45d5d66116f2def35dbe0afefa08d"/>
        <s v="e1198024911ca9b7f37b84bb34ff5b6c"/>
        <s v="232a68e0bbf045a1d52c38e84e6be968"/>
        <s v="99bea8bcdbe612e582c8c434ae1ad613"/>
        <s v="e68ed4ed233aae53a98270a123a9393c"/>
        <s v="490e8e204934372a1679a99ee00136b4"/>
        <s v="61705b2438752c4b417a7eea0fc15508"/>
        <s v="c5a77c2643f88acd794b6aee9835880d"/>
        <s v="17c92ce377d146906ddee78ab23c1480"/>
        <s v="69668a08af1a08c9223f675d4e5991c8"/>
        <s v="e5ede6da606cef3e0aeb0a14aeecc7b2"/>
        <s v="82bfa55972cb221f95da60070fc4eb55"/>
        <s v="75ba54a8cf5a76f81901515b17b15b87"/>
        <s v="47cd2fedd54192a0ed91c11186bdc1d1"/>
        <s v="23136150735ca1308dc7e75b11ebaf86"/>
        <s v="bf1dc0fa0d53cfd78ce867affc08a082"/>
        <s v="1152c3084f6c28f1379824cd17410449"/>
        <s v="fa4fc0f1fe50b22dc93f44de618e0682"/>
        <s v="9403fb89462dcf250b6c22f9838472fb"/>
        <s v="68e2ca296db0edf33e86825d40e5fc72"/>
        <s v="6f9aa452580c17d8d915887241af0b66"/>
        <s v="d7d25f950c10cd1e1fe6607422a30bfe"/>
        <s v="855c3d0a502b8cc4b02d29e4f2bea9a2"/>
        <s v="63cda5122665393a420e480d83ccac59"/>
        <s v="2be6288b47723b7fafc9fe27a6cd92ba"/>
        <s v="ef289781f2222c5e0947dc3537dff1b3"/>
        <s v="722bf6af2110f5facfa46a9891e25183"/>
        <s v="f1b0d0f443b0581c307fa502281713ea"/>
        <s v="da9a77c7b2ae859d8028601f2df7ca1f"/>
        <s v="f8bea0032addbf7355f21b64ae85fae0"/>
        <s v="bb4ede9cbfbc532a4ef5404e440291ba"/>
        <s v="b2bfc5ec36a42e32f49f60d94fb95164"/>
        <s v="31414327b2947606641949e79813e986"/>
        <s v="7bc97ca9ddc73c259025f3b233b766c5"/>
        <s v="ef3dbc725a9cd85d055d5ec8f84685cd"/>
        <s v="e1cefcd1da6849d5bf8157496fa6be74"/>
        <s v="5381708a7737310fc3ee1146594d90b7"/>
        <s v="62ff45297bf4fe3d04d764d79892f2a2"/>
        <s v="0162c89fa4be4b785fd6c0619d7929e1"/>
        <s v="a52f053a1d46de7295d09930fcaa381d"/>
        <s v="d0260141abdebc3e8fafc5a247616313"/>
        <s v="985b31dd38a251411b784eab33c30273"/>
        <s v="295764f655eb619babc3d131ea3eba84"/>
        <s v="16920ed15fec7d12848cd6373618b099"/>
        <s v="56546829ab7b920119ad062f4244a5b6"/>
        <s v="56025ac3f2b3b5856956aba3d42c74dc"/>
        <s v="b0fa911e2bfad31058796f2488b191db"/>
        <s v="d5509eeaaf7f8a06ac0e915ffeba762f"/>
        <s v="41669c7642d645938868bb2f820c09dc"/>
        <s v="49c0169d30ef91fcb665f840de37b14b"/>
        <s v="212b1837f138626550a07fbc9264be86"/>
        <s v="2b07b067439be9480b97f0bc79226daf"/>
        <s v="ddceb4bac6ec54a82b1caeb999cbd854"/>
        <s v="459a60a0f7f960174a192930626f144c"/>
        <s v="078c09340fcccdf93379f1714bdc0be6"/>
        <s v="34672700f7d8104fe2d1af1a842c04bf"/>
        <s v="87dd9f8dca2fe4ddd11960c4ed87c3b3"/>
        <s v="416809cb01107a24d7af259cf1ac4231"/>
        <s v="5348a29e66ad7ad1751f298fe67aad2c"/>
        <s v="c48a7fd09e2ba885257cd35978a0a7fe"/>
        <s v="1ca64d7f470789d744ee53bab65764cc"/>
        <s v="526a4c68a0ef06790c073266727e831e"/>
        <s v="974f70ab7b6f54ba97fc513cdeb8a157"/>
        <s v="21aa48a1286e874d7f6e7a5db95a7882"/>
        <s v="4771812e98a730cee6e15fe7aa28dc78"/>
        <s v="bc5813dc3cf7cf91074932db459cd2a4"/>
        <s v="16c89cb3f2e5046055122316d7ffd0ad"/>
        <s v="bb7d415113d64950780f25e638d17dfb"/>
        <s v="63b0c0c0e39797db661d7ecfe1aedf92"/>
        <s v="ad032b2fe550fd3ee7085549c9d1c327"/>
        <s v="8dbd887ff6551b15e850d0c37d9d4195"/>
        <s v="b5cd7535f1f1c217c3615bd7233f7864"/>
        <s v="4f02fc5da9c98d16d90972b4559c2d3a"/>
        <s v="e6000c8bf31e8b596c78b948e04aa11f"/>
        <s v="4337ebc5d2541b504fb269e232139e65"/>
        <s v="6482af3e7027053ff0831e9ecd8a353f"/>
        <s v="85aa0dd5ef78467c55298eda9452135a"/>
        <s v="3b417525ea267e12021d3616c0065c8e"/>
        <s v="1b03d2b965e4166c647d842d644af06b"/>
        <s v="56bd302822eb05618b0af69017374433"/>
        <s v="9e98bd84b8e200632d8b074a830fd2e0"/>
        <s v="223711cb1d153eff1d0f5a4e4f51edd7"/>
        <s v="7f03d019032eb75124f0e969517e9f78"/>
        <s v="65bb465f4a540de6b6e4eb2ff5fb0f59"/>
        <s v="68a41d7bb2941b177c298fe910c35ec4"/>
        <s v="f4499f8e50c1b091f24c7f99c9a3dcd4"/>
        <s v="dc505209d3b533a59e2254b1a00307c8"/>
        <s v="90d05b25d4e5a768b20a8984c224c606"/>
        <s v="dfa00c6326eddfa28cad57f87c5465fe"/>
        <s v="810a05492677ff7d6e295274ad0ecd3b"/>
        <s v="efb78f952c8874344970c73b2e5899eb"/>
        <s v="f7123dd49683e6da64166f3d45b917b6"/>
        <s v="073faca9ffbbc5e94a8b0e421e338fdd"/>
        <s v="669513999bafa402439b6fb55b0d0283"/>
        <s v="5cb210617c5ff6ce43c64d163e29aa22"/>
        <s v="2628fb64088c961f33ee94409603463c"/>
        <s v="74826a91a451eafb38e3b408b4bf1667"/>
        <s v="0359bffb39c610224876bac5fca627fe"/>
        <s v="7738a5ae691ee59d5980ee3c094c54e7"/>
        <s v="eb16c0acffbd74996f12a8e44f87fbf6"/>
        <s v="07792d028e89863d28859eefc6d6cf3d"/>
        <s v="72b64664ca0ed576666e4697282f2ba5"/>
        <s v="4124ca80e38c02d7e32e80c8a783cc57"/>
        <s v="41194650d61192e0a3303a52cd393b00"/>
        <s v="e93ffb07a2d2a47ffad1974cee19cecf"/>
        <s v="e2688bf10b31312d29d47c614ec7f4b3"/>
        <s v="4da1de5ca6296e90412520bb554a495d"/>
        <s v="ea38d1aecb49327ca65e50255b6f935b"/>
        <s v="c7591dbccac8b3b2557ceae172fa2b66"/>
        <s v="285b356cea7d74da47be8818a9c5bc3e"/>
        <s v="ba756c4d4f50f78e82550f8d2f4f6296"/>
        <s v="e865ea83b18dcd5962218fdaa636458f"/>
        <s v="1121ff5f9707f479b4c750149aee983a"/>
        <s v="771f76fdb2e8e6985960b72b09e082e9"/>
        <s v="1ce24fa6762736d6ab4ec8cf24f5f479"/>
        <s v="b4a9c69b14b9c2c2edd568c4d8aeaa6e"/>
        <s v="b479994527ce756c041a1578f06ed377"/>
        <s v="039ea32f87a78d9c093e18e0acf384bb"/>
        <s v="6503e6184c243f6189538e9203917cbe"/>
        <s v="5c2b95f792951d402e24d930b9312535"/>
        <s v="44ef5c64c1887f4174ed7f95ad6bcec4"/>
        <s v="87ceee9030102cd611aeab006ae0710d"/>
        <s v="21f018c5774e886ed9a3637ae89c15c2"/>
        <s v="5167fca27e2ccc9293ddb34dd981c726"/>
        <s v="917a011410f93383ccd1ca534e1b4e36"/>
        <s v="d391daff95b80daad9e68b8dae71339a"/>
        <s v="cc682c207bfe580bf8aef04c2cb11e84"/>
        <s v="60e48d31f29e43e15d8a884b73bd4e4b"/>
        <s v="577634c5cb317c511a9ad1903bd8e01f"/>
        <s v="7e8d12d5ff5d2e147496e453dd7e7354"/>
        <s v="ec4d9869752843f611521d09a7ea59ef"/>
        <s v="c9c9a0054f29b06a6f331b81ce4798cd"/>
        <s v="5f67c56d0eeb9e205f37ed062d53d786"/>
        <s v="b87678e5125c50849d73f10de0dd4948"/>
        <s v="58f0f9f7001553a384bdffd9d017bc55"/>
        <s v="d3e06b31a682dcefbb10a4217d63177c"/>
        <s v="3eb4abcdde9b6323999c96b54698d3a4"/>
        <s v="f8961af1dcd929d908750e23e7da1d68"/>
        <s v="089a3505aa581ffbc8f6af411d54fb93"/>
        <s v="844b5021e7f2fb58393c765e0ac6190f"/>
        <s v="fadc5eacc406df8ca51bb471dbebb9c5"/>
        <s v="3ca43b2f2f82e5076cfc5109e1107716"/>
        <s v="5219e84e8f19cb90b574546f97a28bfa"/>
        <s v="88e05e2d30b5709a51e907c2a03ec570"/>
        <s v="40ac62aae0b52682d1fef3ff7d1e3f88"/>
        <s v="882599f4b1d0f9b8245a76030ccccab2"/>
        <s v="4c221e8d1e0f2487d6ef1cb09de4f5de"/>
        <s v="d422a675966c5bb478b2dd5c92c13a20"/>
        <s v="64f1e287d56fcb76f6a7f79cea15d12b"/>
        <s v="ebd8583fc99f5ce7341f9a581916c7f2"/>
        <s v="a26c1f5bc5224410a9c2d92ce7a0dbf8"/>
        <s v="89bb4b190de44e354ab1484377644bbc"/>
        <s v="49c9de05cde68e4fbd51afeb7d08bdc0"/>
        <s v="92d33dca5acfa518cf11fba4929023bc"/>
        <s v="2f4550eae69e30aa08b3880e813955bd"/>
        <s v="802f3b7d2ca98c29ad66d50d8dc62795"/>
        <s v="8178c2fee161ae2cbe961407ac3c1875"/>
        <s v="1e3694371b87c95a9fe3025c3bb8df02"/>
        <s v="18cf16f961d25ec2c2060775963e4e17"/>
        <s v="d2154fd4df7a4b5c6f781979959af961"/>
        <s v="4288ff16c80c6fcff954b0b6666b0871"/>
        <s v="9ae6cfcc2e0763b6811f79431b681138"/>
        <s v="388446de0e7375b834ae5dd181ffebfa"/>
        <s v="4ad0642f938138e5b9d84b92e4dc2f46"/>
        <s v="13ec08cf701b3de51cdf970256821fab"/>
        <s v="745823d685ad4f749c73d32055eb8c4f"/>
        <s v="c5ad7e78a95eb04e4255d9f76ff5f924"/>
        <s v="f20080b8a2841873baabc067583631a6"/>
        <s v="ca6ce62ad7dc90d1b63e5065027151ab"/>
        <s v="edcb1e50ee0aa170a3e66f367a621856"/>
        <s v="ad96fbe2bc5272902d423d1ec9d81e62"/>
        <s v="1f09db7aae2fc28d49c06dcb7fd41582"/>
        <s v="7acb2bef645c8b46a1ad766fee630624"/>
        <s v="5c96d8f4870aaf9df0f058b648856c6d"/>
        <s v="7b129ec3cb7ef0d3c414d411065d2203"/>
        <s v="ae2919d116e4644d3aa8f1f572813528"/>
        <s v="42d560af1c394204b807b533c4ad33a0"/>
        <s v="e1723e1dc1692120991df143a6eb28ac"/>
        <s v="1e4fa6eacf569461b576e95a7f89a3f5"/>
        <s v="0923a862747d3857d21e7a81fd1576cd"/>
        <s v="2ff86d0267d59482bc5605da91efe4be"/>
        <s v="61ea290aa9e31814ee4d2ced8dfcf3c4"/>
        <s v="af9a1c3bce558e179663e8d0f3dccc2a"/>
        <s v="f24f15fb345f70562f40c0d65502d226"/>
        <s v="aa2bd835813b98976388611dc37aac1a"/>
        <s v="bf95b4dc9a30cc54a08a42375e48ea5b"/>
        <s v="a9097b37ac202145f18a29df51074dac"/>
        <s v="b648154e3f8cdb6c99c8bf96cab5125a"/>
        <s v="05ae3b0b19155016871dedd4eca1b3e9"/>
        <s v="9bb09ae8f79061a29c3ae59e4ceecb3d"/>
        <s v="fda7587de624ecaf9a1a2fd5cbbaa31c"/>
        <s v="b648a4f54a7837c4ad43949c1f8ad0ac"/>
        <s v="33ca36c7a5a607c962de726dd7d81e8b"/>
        <s v="2bd946513c059f4de21c961027d4e04d"/>
        <s v="f6813c2a1de03a3bb3063c484d040061"/>
        <s v="e100e02e2879ddd59a92f06b575e1608"/>
        <s v="2f0068762e7ad78ca3b5839e70a5d1a7"/>
        <s v="cfbb9c2a3362d1f9c2b7549191ca39e4"/>
        <s v="3d2786381dfc84640ff907d51dbfcd33"/>
      </sharedItems>
    </cacheField>
    <cacheField name="Date_in_IST" numFmtId="164">
      <sharedItems containsSemiMixedTypes="0" containsDate="1" containsString="0">
        <d v="2022-04-12T12:39:10Z"/>
        <d v="2022-04-12T12:37:59Z"/>
        <d v="2022-04-12T12:37:50Z"/>
        <d v="2022-04-12T12:34:32Z"/>
        <d v="2022-04-12T12:31:56Z"/>
        <d v="2022-04-12T12:31:53Z"/>
        <d v="2022-04-12T12:31:50Z"/>
        <d v="2022-04-12T12:31:22Z"/>
        <d v="2022-04-12T12:31:17Z"/>
        <d v="2022-04-12T12:31:00Z"/>
        <d v="2022-04-12T12:30:27Z"/>
        <d v="2022-04-12T12:29:15Z"/>
        <d v="2022-04-12T12:28:53Z"/>
        <d v="2022-04-12T12:28:47Z"/>
        <d v="2022-04-12T12:28:36Z"/>
        <d v="2022-04-12T12:28:25Z"/>
        <d v="2022-04-12T12:27:32Z"/>
        <d v="2022-04-12T12:27:30Z"/>
        <d v="2022-04-12T12:26:49Z"/>
        <d v="2022-04-12T12:26:43Z"/>
        <d v="2022-04-12T12:26:39Z"/>
        <d v="2022-04-12T12:26:37Z"/>
        <d v="2022-04-12T12:26:33Z"/>
        <d v="2022-04-12T12:24:49Z"/>
        <d v="2022-04-12T12:22:53Z"/>
        <d v="2022-04-12T12:22:38Z"/>
        <d v="2022-04-12T12:21:33Z"/>
        <d v="2022-04-12T12:21:26Z"/>
        <d v="2022-04-12T12:20:27Z"/>
        <d v="2022-04-12T12:17:18Z"/>
        <d v="2022-04-12T12:16:58Z"/>
        <d v="2022-04-12T12:15:38Z"/>
        <d v="2022-04-12T12:14:30Z"/>
        <d v="2022-04-12T12:07:59Z"/>
        <d v="2022-04-12T12:06:53Z"/>
        <d v="2022-04-12T12:05:19Z"/>
        <d v="2022-04-12T12:02:19Z"/>
        <d v="2022-04-12T12:01:56Z"/>
        <d v="2022-04-12T12:01:34Z"/>
        <d v="2022-04-12T11:56:41Z"/>
        <d v="2022-04-12T11:55:34Z"/>
        <d v="2022-04-12T11:55:15Z"/>
        <d v="2022-04-12T11:55:01Z"/>
        <d v="2022-04-12T11:52:34Z"/>
        <d v="2022-04-12T11:52:30Z"/>
        <d v="2022-04-12T11:52:27Z"/>
        <d v="2022-04-12T11:50:53Z"/>
        <d v="2022-04-12T11:50:42Z"/>
        <d v="2022-04-12T11:50:36Z"/>
        <d v="2022-04-12T11:50:22Z"/>
        <d v="2022-04-12T11:50:17Z"/>
        <d v="2022-04-12T11:48:51Z"/>
        <d v="2022-04-12T11:48:23Z"/>
        <d v="2022-04-12T11:48:13Z"/>
        <d v="2022-04-12T11:47:56Z"/>
        <d v="2022-04-12T11:47:46Z"/>
        <d v="2022-04-12T11:47:07Z"/>
        <d v="2022-04-12T11:47:02Z"/>
        <d v="2022-04-12T11:46:56Z"/>
        <d v="2022-04-12T11:46:37Z"/>
        <d v="2022-04-12T11:46:33Z"/>
        <d v="2022-04-12T11:46:27Z"/>
        <d v="2022-04-12T11:46:23Z"/>
        <d v="2022-04-12T11:46:19Z"/>
        <d v="2022-04-12T11:46:10Z"/>
        <d v="2022-04-12T11:46:06Z"/>
        <d v="2022-04-12T11:46:03Z"/>
        <d v="2022-04-12T11:45:55Z"/>
        <d v="2022-04-12T11:45:21Z"/>
        <d v="2022-04-12T11:44:42Z"/>
        <d v="2022-04-12T11:43:37Z"/>
        <d v="2022-04-12T11:42:56Z"/>
        <d v="2022-04-12T11:42:13Z"/>
        <d v="2022-04-12T11:41:54Z"/>
        <d v="2022-04-12T11:41:44Z"/>
        <d v="2022-04-12T11:40:56Z"/>
        <d v="2022-04-12T11:40:06Z"/>
        <d v="2022-04-12T11:39:53Z"/>
        <d v="2022-04-12T11:39:47Z"/>
        <d v="2022-04-12T11:39:40Z"/>
        <d v="2022-04-12T11:38:23Z"/>
        <d v="2022-04-12T11:36:51Z"/>
        <d v="2022-04-12T11:34:35Z"/>
        <d v="2022-04-12T11:34:27Z"/>
        <d v="2022-04-12T11:34:22Z"/>
        <d v="2022-04-12T11:34:15Z"/>
        <d v="2022-04-12T11:32:11Z"/>
        <d v="2022-04-12T11:31:26Z"/>
        <d v="2022-04-12T11:31:23Z"/>
        <d v="2022-04-12T11:30:25Z"/>
        <d v="2022-04-12T11:30:21Z"/>
        <d v="2022-04-12T11:30:19Z"/>
        <d v="2022-04-12T11:28:49Z"/>
        <d v="2022-04-12T11:28:37Z"/>
        <d v="2022-04-12T11:27:45Z"/>
        <d v="2022-04-12T11:27:18Z"/>
        <d v="2022-04-12T11:27:12Z"/>
        <d v="2022-04-12T11:27:08Z"/>
        <d v="2022-04-12T11:27:05Z"/>
        <d v="2022-04-12T11:27:01Z"/>
        <d v="2022-04-12T11:26:58Z"/>
        <d v="2022-04-12T11:26:55Z"/>
        <d v="2022-04-12T11:26:50Z"/>
        <d v="2022-04-12T11:26:04Z"/>
        <d v="2022-04-12T11:26:03Z"/>
        <d v="2022-04-12T11:25:57Z"/>
        <d v="2022-04-12T11:24:55Z"/>
        <d v="2022-04-12T11:24:38Z"/>
        <d v="2022-04-12T11:23:36Z"/>
        <d v="2022-04-12T11:22:58Z"/>
        <d v="2022-04-12T11:22:01Z"/>
        <d v="2022-04-12T11:18:12Z"/>
        <d v="2022-04-12T11:17:48Z"/>
        <d v="2022-04-12T11:16:53Z"/>
        <d v="2022-04-12T11:16:39Z"/>
        <d v="2022-04-12T11:16:27Z"/>
        <d v="2022-04-12T11:15:49Z"/>
        <d v="2022-04-12T11:13:32Z"/>
        <d v="2022-04-12T11:13:14Z"/>
        <d v="2022-04-12T11:10:40Z"/>
        <d v="2022-04-12T11:09:58Z"/>
        <d v="2022-04-12T11:09:34Z"/>
        <d v="2022-04-12T11:09:12Z"/>
        <d v="2022-04-12T11:07:01Z"/>
        <d v="2022-04-12T11:05:41Z"/>
        <d v="2022-04-12T11:03:34Z"/>
        <d v="2022-04-12T11:03:31Z"/>
        <d v="2022-04-12T11:03:27Z"/>
        <d v="2022-04-12T11:03:16Z"/>
        <d v="2022-04-12T11:03:13Z"/>
        <d v="2022-04-12T11:03:01Z"/>
        <d v="2022-04-12T11:02:58Z"/>
        <d v="2022-04-12T11:02:56Z"/>
        <d v="2022-04-12T11:02:36Z"/>
        <d v="2022-04-12T11:02:30Z"/>
        <d v="2022-04-12T11:02:11Z"/>
        <d v="2022-04-12T11:00:38Z"/>
        <d v="2022-04-12T11:00:37Z"/>
        <d v="2022-04-12T11:00:33Z"/>
        <d v="2022-04-12T11:00:04Z"/>
        <d v="2022-04-12T11:00:01Z"/>
        <d v="2022-04-12T10:59:56Z"/>
        <d v="2022-04-12T10:59:54Z"/>
        <d v="2022-04-12T10:58:30Z"/>
        <d v="2022-04-12T10:58:27Z"/>
        <d v="2022-04-12T10:58:24Z"/>
        <d v="2022-04-12T10:58:19Z"/>
        <d v="2022-04-12T10:58:17Z"/>
        <d v="2022-04-12T10:58:03Z"/>
        <d v="2022-04-12T10:57:43Z"/>
        <d v="2022-04-12T10:57:22Z"/>
        <d v="2022-04-12T10:57:19Z"/>
        <d v="2022-04-12T10:57:13Z"/>
        <d v="2022-04-12T10:57:10Z"/>
        <d v="2022-04-12T10:57:04Z"/>
        <d v="2022-04-12T10:57:01Z"/>
        <d v="2022-04-12T10:56:57Z"/>
        <d v="2022-04-12T10:56:43Z"/>
        <d v="2022-04-12T10:56:40Z"/>
        <d v="2022-04-12T10:56:33Z"/>
        <d v="2022-04-12T10:53:58Z"/>
        <d v="2022-04-12T10:52:25Z"/>
        <d v="2022-04-12T10:50:12Z"/>
        <d v="2022-04-12T10:49:33Z"/>
        <d v="2022-04-12T10:49:27Z"/>
        <d v="2022-04-12T10:49:24Z"/>
        <d v="2022-04-12T10:48:58Z"/>
        <d v="2022-04-12T10:47:33Z"/>
        <d v="2022-04-12T10:47:20Z"/>
        <d v="2022-04-12T10:47:16Z"/>
        <d v="2022-04-12T10:42:08Z"/>
        <d v="2022-04-12T10:39:25Z"/>
        <d v="2022-04-12T10:38:41Z"/>
        <d v="2022-04-12T10:36:16Z"/>
        <d v="2022-04-12T10:32:31Z"/>
        <d v="2022-04-12T10:32:23Z"/>
        <d v="2022-04-12T10:32:17Z"/>
        <d v="2022-04-12T10:30:19Z"/>
        <d v="2022-04-12T10:30:12Z"/>
        <d v="2022-04-12T10:29:55Z"/>
        <d v="2022-04-12T10:29:02Z"/>
        <d v="2022-04-12T10:25:37Z"/>
        <d v="2022-04-12T10:18:57Z"/>
        <d v="2022-04-12T10:18:22Z"/>
        <d v="2022-04-12T10:17:36Z"/>
        <d v="2022-04-12T10:17:35Z"/>
        <d v="2022-04-12T10:17:31Z"/>
        <d v="2022-04-12T10:17:28Z"/>
        <d v="2022-04-12T10:17:25Z"/>
        <d v="2022-04-12T10:17:22Z"/>
        <d v="2022-04-12T10:16:56Z"/>
        <d v="2022-04-12T10:16:18Z"/>
        <d v="2022-04-12T10:13:21Z"/>
        <d v="2022-04-12T10:13:14Z"/>
        <d v="2022-04-12T10:13:05Z"/>
        <d v="2022-04-12T10:10:28Z"/>
        <d v="2022-04-12T10:08:52Z"/>
        <d v="2022-04-12T10:08:03Z"/>
        <d v="2022-04-12T10:04:47Z"/>
        <d v="2022-04-12T10:03:21Z"/>
        <d v="2022-04-12T10:03:09Z"/>
        <d v="2022-04-12T10:02:37Z"/>
        <d v="2022-04-12T10:02:32Z"/>
        <d v="2022-04-12T10:00:34Z"/>
        <d v="2022-04-12T10:00:08Z"/>
        <d v="2022-04-12T09:59:12Z"/>
        <d v="2022-04-12T09:55:44Z"/>
        <d v="2022-04-12T09:54:40Z"/>
        <d v="2022-04-12T09:50:52Z"/>
        <d v="2022-04-12T09:47:35Z"/>
        <d v="2022-04-12T09:43:58Z"/>
        <d v="2022-04-12T09:43:50Z"/>
        <d v="2022-04-12T09:43:45Z"/>
        <d v="2022-04-12T09:42:46Z"/>
        <d v="2022-04-12T09:42:28Z"/>
        <d v="2022-04-12T09:42:26Z"/>
        <d v="2022-04-12T09:42:23Z"/>
        <d v="2022-04-12T09:42:19Z"/>
        <d v="2022-04-12T09:40:58Z"/>
        <d v="2022-04-12T09:39:27Z"/>
        <d v="2022-04-12T09:39:17Z"/>
        <d v="2022-04-12T09:38:26Z"/>
        <d v="2022-04-12T09:38:24Z"/>
        <d v="2022-04-12T09:38:22Z"/>
        <d v="2022-04-12T09:37:32Z"/>
        <d v="2022-04-12T09:36:28Z"/>
        <d v="2022-04-12T09:36:12Z"/>
        <d v="2022-04-12T09:36:06Z"/>
        <d v="2022-04-12T09:33:10Z"/>
        <d v="2022-04-12T09:29:45Z"/>
        <d v="2022-04-12T09:29:42Z"/>
        <d v="2022-04-12T09:28:39Z"/>
        <d v="2022-04-12T09:27:42Z"/>
        <d v="2022-04-12T09:25:45Z"/>
        <d v="2022-04-12T09:25:42Z"/>
        <d v="2022-04-12T09:25:11Z"/>
        <d v="2022-04-12T09:24:30Z"/>
        <d v="2022-04-12T09:24:27Z"/>
        <d v="2022-04-12T09:24:06Z"/>
        <d v="2022-04-12T09:23:58Z"/>
        <d v="2022-04-12T09:23:55Z"/>
        <d v="2022-04-12T09:22:29Z"/>
        <d v="2022-04-12T09:22:19Z"/>
        <d v="2022-04-12T09:21:30Z"/>
        <d v="2022-04-12T09:20:34Z"/>
        <d v="2022-04-12T09:20:05Z"/>
        <d v="2022-04-12T09:19:54Z"/>
        <d v="2022-04-12T09:19:25Z"/>
        <d v="2022-04-12T09:19:17Z"/>
        <d v="2022-04-12T09:18:55Z"/>
        <d v="2022-04-12T09:18:28Z"/>
        <d v="2022-04-12T09:18:19Z"/>
        <d v="2022-04-12T09:18:17Z"/>
        <d v="2022-04-12T09:18:15Z"/>
        <d v="2022-04-12T09:18:11Z"/>
        <d v="2022-04-12T09:18:10Z"/>
        <d v="2022-04-12T09:18:09Z"/>
        <d v="2022-04-12T09:18:05Z"/>
        <d v="2022-04-12T09:17:47Z"/>
        <d v="2022-04-12T09:17:45Z"/>
        <d v="2022-04-12T09:17:28Z"/>
        <d v="2022-04-12T09:17:26Z"/>
        <d v="2022-04-12T09:17:24Z"/>
        <d v="2022-04-12T09:17:23Z"/>
        <d v="2022-04-12T09:17:21Z"/>
        <d v="2022-04-12T09:17:14Z"/>
        <d v="2022-04-12T09:17:12Z"/>
        <d v="2022-04-12T09:17:10Z"/>
        <d v="2022-04-12T09:17:09Z"/>
        <d v="2022-04-12T09:17:06Z"/>
        <d v="2022-04-12T09:17:04Z"/>
        <d v="2022-04-12T09:17:03Z"/>
        <d v="2022-04-12T09:17:00Z"/>
        <d v="2022-04-12T09:16:55Z"/>
        <d v="2022-04-12T09:12:35Z"/>
        <d v="2022-04-12T09:12:29Z"/>
        <d v="2022-04-12T09:12:28Z"/>
        <d v="2022-04-12T09:12:16Z"/>
        <d v="2022-04-12T09:12:01Z"/>
        <d v="2022-04-12T09:11:57Z"/>
        <d v="2022-04-12T09:11:54Z"/>
        <d v="2022-04-12T09:11:50Z"/>
        <d v="2022-04-12T09:11:33Z"/>
        <d v="2022-04-12T09:10:45Z"/>
        <d v="2022-04-12T09:09:39Z"/>
        <d v="2022-04-12T09:09:03Z"/>
        <d v="2022-04-12T09:09:00Z"/>
        <d v="2022-04-12T09:08:54Z"/>
        <d v="2022-04-12T09:08:53Z"/>
        <d v="2022-04-12T09:08:48Z"/>
        <d v="2022-04-12T09:08:17Z"/>
        <d v="2022-04-12T09:07:54Z"/>
        <d v="2022-04-12T09:07:17Z"/>
        <d v="2022-04-12T09:07:01Z"/>
        <d v="2022-04-12T09:05:45Z"/>
        <d v="2022-04-12T09:05:42Z"/>
        <d v="2022-04-12T09:05:30Z"/>
        <d v="2022-04-12T09:05:19Z"/>
        <d v="2022-04-12T09:05:18Z"/>
        <d v="2022-04-12T09:05:17Z"/>
        <d v="2022-04-12T09:05:16Z"/>
        <d v="2022-04-12T09:05:15Z"/>
        <d v="2022-04-12T09:05:14Z"/>
        <d v="2022-04-12T09:05:13Z"/>
        <d v="2022-04-12T09:05:12Z"/>
        <d v="2022-04-12T09:05:11Z"/>
        <d v="2022-04-12T09:05:10Z"/>
        <d v="2022-04-12T09:05:09Z"/>
        <d v="2022-04-12T09:05:08Z"/>
        <d v="2022-04-12T09:05:07Z"/>
        <d v="2022-04-12T09:05:06Z"/>
        <d v="2022-04-12T09:05:05Z"/>
        <d v="2022-04-12T09:05:04Z"/>
        <d v="2022-04-12T09:05:03Z"/>
        <d v="2022-04-12T09:05:02Z"/>
        <d v="2022-04-12T09:05:01Z"/>
        <d v="2022-04-12T09:05:00Z"/>
        <d v="2022-04-12T09:04:59Z"/>
        <d v="2022-04-12T09:04:58Z"/>
        <d v="2022-04-12T09:04:57Z"/>
        <d v="2022-04-12T09:04:56Z"/>
        <d v="2022-04-12T09:04:55Z"/>
        <d v="2022-04-12T09:04:54Z"/>
        <d v="2022-04-12T09:04:53Z"/>
        <d v="2022-04-12T09:04:52Z"/>
        <d v="2022-04-12T09:04:51Z"/>
        <d v="2022-04-12T09:04:50Z"/>
        <d v="2022-04-12T09:04:49Z"/>
        <d v="2022-04-12T09:04:48Z"/>
        <d v="2022-04-12T09:04:47Z"/>
        <d v="2022-04-12T09:04:46Z"/>
        <d v="2022-04-12T09:04:45Z"/>
        <d v="2022-04-12T09:04:44Z"/>
        <d v="2022-04-12T09:04:43Z"/>
        <d v="2022-04-12T09:04:42Z"/>
        <d v="2022-04-12T09:04:41Z"/>
        <d v="2022-04-12T09:04:40Z"/>
        <d v="2022-04-12T09:04:39Z"/>
        <d v="2022-04-12T09:04:38Z"/>
        <d v="2022-04-12T09:04:37Z"/>
        <d v="2022-04-12T09:04:36Z"/>
        <d v="2022-04-12T09:04:35Z"/>
        <d v="2022-04-12T09:04:34Z"/>
        <d v="2022-04-12T09:04:33Z"/>
        <d v="2022-04-12T09:04:32Z"/>
        <d v="2022-04-12T09:04:31Z"/>
        <d v="2022-04-12T09:04:30Z"/>
        <d v="2022-04-12T09:04:29Z"/>
        <d v="2022-04-12T09:04:28Z"/>
        <d v="2022-04-12T09:04:27Z"/>
        <d v="2022-04-12T09:04:26Z"/>
        <d v="2022-04-12T09:04:25Z"/>
        <d v="2022-04-12T09:04:24Z"/>
        <d v="2022-04-12T09:04:23Z"/>
        <d v="2022-04-12T09:04:22Z"/>
        <d v="2022-04-12T09:04:21Z"/>
        <d v="2022-04-12T09:04:20Z"/>
        <d v="2022-04-12T09:04:19Z"/>
        <d v="2022-04-12T09:04:18Z"/>
        <d v="2022-04-12T09:04:17Z"/>
        <d v="2022-04-12T09:04:16Z"/>
        <d v="2022-04-12T09:04:15Z"/>
        <d v="2022-04-12T09:04:14Z"/>
        <d v="2022-04-12T09:04:13Z"/>
        <d v="2022-04-12T09:04:12Z"/>
        <d v="2022-04-12T09:04:11Z"/>
        <d v="2022-04-12T09:04:10Z"/>
        <d v="2022-04-12T09:04:09Z"/>
        <d v="2022-04-12T09:04:08Z"/>
        <d v="2022-04-12T09:04:07Z"/>
        <d v="2022-04-12T09:04:06Z"/>
        <d v="2022-04-12T09:04:05Z"/>
        <d v="2022-04-12T09:04:04Z"/>
        <d v="2022-04-12T09:04:03Z"/>
        <d v="2022-04-12T09:04:02Z"/>
        <d v="2022-04-12T09:04:01Z"/>
        <d v="2022-04-12T09:04:00Z"/>
        <d v="2022-04-12T09:03:59Z"/>
        <d v="2022-04-12T09:03:58Z"/>
        <d v="2022-04-12T09:03:57Z"/>
        <d v="2022-04-12T09:03:56Z"/>
        <d v="2022-04-12T09:03:55Z"/>
        <d v="2022-04-12T09:03:54Z"/>
        <d v="2022-04-12T09:03:53Z"/>
        <d v="2022-04-12T09:03:52Z"/>
        <d v="2022-04-12T09:03:51Z"/>
        <d v="2022-04-12T09:03:50Z"/>
        <d v="2022-04-12T09:03:49Z"/>
        <d v="2022-04-12T09:03:48Z"/>
        <d v="2022-04-12T09:03:47Z"/>
        <d v="2022-04-12T09:03:46Z"/>
        <d v="2022-04-12T09:03:45Z"/>
        <d v="2022-04-12T09:03:44Z"/>
        <d v="2022-04-12T09:03:43Z"/>
        <d v="2022-04-12T09:03:42Z"/>
        <d v="2022-04-12T09:03:41Z"/>
        <d v="2022-04-12T09:03:40Z"/>
        <d v="2022-04-12T09:03:39Z"/>
        <d v="2022-04-12T09:03:38Z"/>
        <d v="2022-04-12T09:03:37Z"/>
        <d v="2022-04-12T09:03:36Z"/>
        <d v="2022-04-12T09:03:35Z"/>
        <d v="2022-04-12T09:03:34Z"/>
        <d v="2022-04-12T09:03:33Z"/>
        <d v="2022-04-12T09:03:32Z"/>
        <d v="2022-04-12T09:03:31Z"/>
        <d v="2022-04-12T09:03:30Z"/>
        <d v="2022-04-12T09:03:29Z"/>
        <d v="2022-04-12T09:03:28Z"/>
        <d v="2022-04-12T09:03:27Z"/>
        <d v="2022-04-12T09:03:26Z"/>
        <d v="2022-04-12T09:03:25Z"/>
        <d v="2022-04-12T09:03:24Z"/>
        <d v="2022-04-12T09:03:23Z"/>
        <d v="2022-04-12T09:03:22Z"/>
        <d v="2022-04-12T09:03:21Z"/>
        <d v="2022-04-12T09:03:20Z"/>
        <d v="2022-04-12T09:03:15Z"/>
        <d v="2022-04-12T09:03:14Z"/>
        <d v="2022-04-12T09:03:13Z"/>
        <d v="2022-04-12T09:03:12Z"/>
        <d v="2022-04-12T09:03:11Z"/>
        <d v="2022-04-12T09:03:10Z"/>
        <d v="2022-04-12T09:03:09Z"/>
        <d v="2022-04-12T09:03:08Z"/>
        <d v="2022-04-12T09:03:07Z"/>
        <d v="2022-04-12T09:03:06Z"/>
        <d v="2022-04-12T09:03:05Z"/>
        <d v="2022-04-12T09:03:04Z"/>
        <d v="2022-04-12T09:03:03Z"/>
        <d v="2022-04-12T09:03:02Z"/>
        <d v="2022-04-12T09:03:01Z"/>
        <d v="2022-04-12T09:03:00Z"/>
        <d v="2022-04-12T09:02:59Z"/>
        <d v="2022-04-12T09:02:58Z"/>
        <d v="2022-04-12T09:02:57Z"/>
        <d v="2022-04-12T09:02:56Z"/>
        <d v="2022-04-12T09:02:55Z"/>
        <d v="2022-04-12T09:02:54Z"/>
        <d v="2022-04-12T09:02:53Z"/>
        <d v="2022-04-12T09:02:52Z"/>
        <d v="2022-04-12T09:02:51Z"/>
        <d v="2022-04-12T09:02:50Z"/>
        <d v="2022-04-12T09:02:49Z"/>
        <d v="2022-04-12T09:02:48Z"/>
        <d v="2022-04-12T09:02:47Z"/>
        <d v="2022-04-12T09:02:46Z"/>
        <d v="2022-04-12T09:02:45Z"/>
        <d v="2022-04-12T09:02:44Z"/>
        <d v="2022-04-12T09:02:43Z"/>
        <d v="2022-04-12T09:02:42Z"/>
        <d v="2022-04-12T09:02:41Z"/>
        <d v="2022-04-12T09:02:40Z"/>
        <d v="2022-04-12T09:02:39Z"/>
        <d v="2022-04-12T09:02:38Z"/>
        <d v="2022-04-12T09:02:37Z"/>
        <d v="2022-04-12T09:02:36Z"/>
        <d v="2022-04-12T09:02:35Z"/>
        <d v="2022-04-12T09:02:34Z"/>
        <d v="2022-04-12T09:02:33Z"/>
        <d v="2022-04-12T09:02:32Z"/>
        <d v="2022-04-12T09:02:31Z"/>
        <d v="2022-04-12T09:02:30Z"/>
        <d v="2022-04-12T09:02:29Z"/>
        <d v="2022-04-12T09:02:28Z"/>
        <d v="2022-04-12T09:02:27Z"/>
        <d v="2022-04-12T09:02:26Z"/>
        <d v="2022-04-12T09:02:25Z"/>
        <d v="2022-04-12T09:02:24Z"/>
        <d v="2022-04-12T09:02:23Z"/>
        <d v="2022-04-12T09:02:22Z"/>
        <d v="2022-04-12T09:02:21Z"/>
        <d v="2022-04-12T09:02:20Z"/>
        <d v="2022-04-12T09:02:19Z"/>
        <d v="2022-04-12T09:02:18Z"/>
        <d v="2022-04-12T09:02:17Z"/>
        <d v="2022-04-12T09:02:16Z"/>
        <d v="2022-04-12T09:02:11Z"/>
        <d v="2022-04-12T09:02:10Z"/>
        <d v="2022-04-12T09:02:09Z"/>
        <d v="2022-04-12T09:02:08Z"/>
        <d v="2022-04-12T09:02:07Z"/>
        <d v="2022-04-12T09:02:06Z"/>
        <d v="2022-04-12T09:02:05Z"/>
        <d v="2022-04-12T09:02:04Z"/>
        <d v="2022-04-12T09:02:03Z"/>
        <d v="2022-04-12T09:02:02Z"/>
        <d v="2022-04-12T09:02:01Z"/>
        <d v="2022-04-12T09:02:00Z"/>
        <d v="2022-04-12T09:01:59Z"/>
        <d v="2022-04-12T09:01:58Z"/>
        <d v="2022-04-12T09:01:57Z"/>
        <d v="2022-04-12T09:01:56Z"/>
        <d v="2022-04-12T09:01:55Z"/>
        <d v="2022-04-12T09:01:54Z"/>
        <d v="2022-04-12T09:01:53Z"/>
        <d v="2022-04-12T09:01:52Z"/>
        <d v="2022-04-12T09:01:51Z"/>
        <d v="2022-04-12T09:01:50Z"/>
        <d v="2022-04-12T09:01:49Z"/>
        <d v="2022-04-12T09:01:48Z"/>
        <d v="2022-04-12T09:01:47Z"/>
        <d v="2022-04-12T09:01:46Z"/>
        <d v="2022-04-12T09:01:45Z"/>
        <d v="2022-04-12T09:01:44Z"/>
        <d v="2022-04-12T09:01:43Z"/>
        <d v="2022-04-12T09:01:42Z"/>
        <d v="2022-04-12T09:01:41Z"/>
        <d v="2022-04-12T09:01:36Z"/>
        <d v="2022-04-12T09:01:35Z"/>
        <d v="2022-04-12T09:01:34Z"/>
        <d v="2022-04-12T09:01:33Z"/>
        <d v="2022-04-12T09:01:32Z"/>
        <d v="2022-04-12T09:01:31Z"/>
        <d v="2022-04-12T09:01:30Z"/>
        <d v="2022-04-12T09:01:29Z"/>
        <d v="2022-04-12T09:01:28Z"/>
        <d v="2022-04-12T09:01:27Z"/>
        <d v="2022-04-12T09:01:26Z"/>
        <d v="2022-04-12T09:01:25Z"/>
        <d v="2022-04-12T09:01:24Z"/>
        <d v="2022-04-12T09:01:23Z"/>
        <d v="2022-04-12T09:01:22Z"/>
        <d v="2022-04-12T09:01:21Z"/>
        <d v="2022-04-12T09:01:20Z"/>
        <d v="2022-04-12T09:01:19Z"/>
        <d v="2022-04-12T09:01:18Z"/>
        <d v="2022-04-12T09:01:17Z"/>
        <d v="2022-04-12T09:01:16Z"/>
        <d v="2022-04-12T09:01:15Z"/>
        <d v="2022-04-12T09:01:02Z"/>
        <d v="2022-04-12T08:59:42Z"/>
        <d v="2022-04-12T08:58:41Z"/>
        <d v="2022-04-12T08:56:39Z"/>
        <d v="2022-04-12T08:56:38Z"/>
        <d v="2022-04-12T08:55:48Z"/>
        <d v="2022-04-12T08:55:42Z"/>
        <d v="2022-04-12T08:55:37Z"/>
        <d v="2022-04-12T08:55:05Z"/>
        <d v="2022-04-12T08:55:03Z"/>
        <d v="2022-04-12T08:53:12Z"/>
        <d v="2022-04-12T08:53:11Z"/>
        <d v="2022-04-12T08:53:10Z"/>
        <d v="2022-04-12T08:53:08Z"/>
        <d v="2022-04-12T08:53:07Z"/>
        <d v="2022-04-12T08:53:06Z"/>
        <d v="2022-04-12T08:53:05Z"/>
        <d v="2022-04-12T08:53:03Z"/>
        <d v="2022-04-12T08:53:01Z"/>
        <d v="2022-04-12T08:53:00Z"/>
        <d v="2022-04-12T08:52:13Z"/>
        <d v="2022-04-12T08:51:18Z"/>
        <d v="2022-04-12T08:51:03Z"/>
        <d v="2022-04-12T08:48:42Z"/>
        <d v="2022-04-12T08:47:47Z"/>
        <d v="2022-04-12T08:46:37Z"/>
        <d v="2022-04-12T08:46:27Z"/>
        <d v="2022-04-12T08:45:20Z"/>
        <d v="2022-04-12T08:45:15Z"/>
        <d v="2022-04-12T08:45:07Z"/>
        <d v="2022-04-12T08:44:54Z"/>
        <d v="2022-04-12T08:44:26Z"/>
        <d v="2022-04-12T08:44:16Z"/>
        <d v="2022-04-12T08:43:39Z"/>
        <d v="2022-04-12T08:43:37Z"/>
        <d v="2022-04-12T08:42:20Z"/>
        <d v="2022-04-12T08:41:38Z"/>
        <d v="2022-04-12T08:41:25Z"/>
        <d v="2022-04-12T08:40:33Z"/>
        <d v="2022-04-12T08:39:59Z"/>
        <d v="2022-04-12T08:39:56Z"/>
        <d v="2022-04-12T08:38:55Z"/>
        <d v="2022-04-12T08:38:11Z"/>
        <d v="2022-04-12T08:36:34Z"/>
        <d v="2022-04-12T08:36:26Z"/>
        <d v="2022-04-12T08:36:16Z"/>
        <d v="2022-04-12T08:36:07Z"/>
        <d v="2022-04-12T08:36:03Z"/>
        <d v="2022-04-12T08:35:59Z"/>
        <d v="2022-04-12T08:35:56Z"/>
        <d v="2022-04-12T08:35:50Z"/>
        <d v="2022-04-12T08:35:45Z"/>
        <d v="2022-04-12T08:35:41Z"/>
        <d v="2022-04-12T08:34:35Z"/>
        <d v="2022-04-12T08:34:34Z"/>
        <d v="2022-04-12T08:34:32Z"/>
        <d v="2022-04-12T08:34:30Z"/>
        <d v="2022-04-12T08:34:29Z"/>
        <d v="2022-04-12T08:34:27Z"/>
        <d v="2022-04-12T08:34:25Z"/>
        <d v="2022-04-12T08:34:21Z"/>
        <d v="2022-04-12T08:34:06Z"/>
        <d v="2022-04-12T08:34:04Z"/>
        <d v="2022-04-12T08:33:59Z"/>
        <d v="2022-04-12T08:32:46Z"/>
        <d v="2022-04-12T08:32:25Z"/>
        <d v="2022-04-12T08:32:08Z"/>
        <d v="2022-04-12T08:32:05Z"/>
        <d v="2022-04-12T08:31:54Z"/>
        <d v="2022-04-12T08:31:45Z"/>
        <d v="2022-04-12T08:31:33Z"/>
        <d v="2022-04-12T08:31:16Z"/>
        <d v="2022-04-12T08:30:51Z"/>
        <d v="2022-04-12T08:30:34Z"/>
        <d v="2022-04-12T08:30:32Z"/>
        <d v="2022-04-12T08:30:30Z"/>
        <d v="2022-04-12T08:30:22Z"/>
        <d v="2022-04-12T08:30:11Z"/>
        <d v="2022-04-12T08:29:57Z"/>
        <d v="2022-04-12T08:29:19Z"/>
        <d v="2022-04-12T08:29:12Z"/>
        <d v="2022-04-12T08:28:57Z"/>
        <d v="2022-04-12T08:28:19Z"/>
        <d v="2022-04-12T08:28:11Z"/>
        <d v="2022-04-12T08:23:15Z"/>
        <d v="2022-04-12T08:22:23Z"/>
        <d v="2022-04-12T08:18:35Z"/>
        <d v="2022-04-12T08:15:19Z"/>
        <d v="2022-04-12T08:09:16Z"/>
        <d v="2022-04-12T08:02:28Z"/>
        <d v="2022-04-12T08:01:49Z"/>
        <d v="2022-04-12T08:00:54Z"/>
        <d v="2022-04-12T08:00:30Z"/>
        <d v="2022-04-12T08:00:25Z"/>
        <d v="2022-04-12T08:00:04Z"/>
        <d v="2022-04-12T07:58:49Z"/>
        <d v="2022-04-12T07:57:19Z"/>
        <d v="2022-04-12T07:54:26Z"/>
        <d v="2022-04-12T07:53:45Z"/>
        <d v="2022-04-12T07:52:28Z"/>
        <d v="2022-04-12T07:49:49Z"/>
        <d v="2022-04-12T07:49:47Z"/>
        <d v="2022-04-12T07:48:26Z"/>
        <d v="2022-04-12T07:47:54Z"/>
        <d v="2022-04-12T07:47:47Z"/>
        <d v="2022-04-12T07:46:49Z"/>
        <d v="2022-04-12T07:45:19Z"/>
        <d v="2022-04-12T07:43:12Z"/>
        <d v="2022-04-12T07:41:57Z"/>
        <d v="2022-04-12T07:38:58Z"/>
        <d v="2022-04-12T07:38:26Z"/>
        <d v="2022-04-12T07:38:24Z"/>
        <d v="2022-04-12T07:35:13Z"/>
        <d v="2022-04-12T07:35:11Z"/>
        <d v="2022-04-12T07:35:04Z"/>
        <d v="2022-04-12T07:35:01Z"/>
        <d v="2022-04-12T07:32:03Z"/>
        <d v="2022-04-12T07:29:17Z"/>
        <d v="2022-04-12T07:26:02Z"/>
        <d v="2022-04-12T07:26:00Z"/>
        <d v="2022-04-12T07:25:26Z"/>
        <d v="2022-04-12T07:24:34Z"/>
        <d v="2022-04-12T07:24:32Z"/>
        <d v="2022-04-12T07:23:43Z"/>
        <d v="2022-04-12T07:22:47Z"/>
        <d v="2022-04-12T07:22:22Z"/>
        <d v="2022-04-12T07:22:16Z"/>
        <d v="2022-04-12T07:15:01Z"/>
        <d v="2022-04-12T07:14:58Z"/>
        <d v="2022-04-12T07:14:51Z"/>
        <d v="2022-04-12T07:14:47Z"/>
        <d v="2022-04-12T07:14:35Z"/>
        <d v="2022-04-12T07:14:33Z"/>
        <d v="2022-04-12T07:14:31Z"/>
        <d v="2022-04-12T07:14:29Z"/>
        <d v="2022-04-12T07:14:25Z"/>
        <d v="2022-04-12T07:14:13Z"/>
        <d v="2022-04-12T07:12:52Z"/>
        <d v="2022-04-12T07:12:17Z"/>
        <d v="2022-04-12T07:12:15Z"/>
        <d v="2022-04-12T07:09:33Z"/>
        <d v="2022-04-12T07:09:14Z"/>
        <d v="2022-04-12T07:09:00Z"/>
        <d v="2022-04-12T07:08:54Z"/>
        <d v="2022-04-12T07:08:52Z"/>
        <d v="2022-04-12T07:03:53Z"/>
        <d v="2022-04-12T07:02:51Z"/>
        <d v="2022-04-12T07:02:07Z"/>
        <d v="2022-04-12T07:02:03Z"/>
        <d v="2022-04-12T07:01:28Z"/>
        <d v="2022-04-12T07:01:27Z"/>
        <d v="2022-04-12T07:01:24Z"/>
        <d v="2022-04-12T07:01:21Z"/>
        <d v="2022-04-12T07:01:20Z"/>
        <d v="2022-04-12T06:58:39Z"/>
        <d v="2022-04-12T06:58:37Z"/>
        <d v="2022-04-12T06:58:34Z"/>
        <d v="2022-04-12T06:58:31Z"/>
        <d v="2022-04-12T06:58:29Z"/>
        <d v="2022-04-12T06:56:35Z"/>
        <d v="2022-04-12T06:55:35Z"/>
        <d v="2022-04-12T06:54:46Z"/>
        <d v="2022-04-12T06:53:55Z"/>
        <d v="2022-04-12T06:53:53Z"/>
        <d v="2022-04-12T06:51:51Z"/>
        <d v="2022-04-12T06:51:05Z"/>
        <d v="2022-04-12T06:50:08Z"/>
        <d v="2022-04-12T06:49:44Z"/>
        <d v="2022-04-12T06:49:23Z"/>
        <d v="2022-04-12T06:47:24Z"/>
        <d v="2022-04-12T06:47:00Z"/>
        <d v="2022-04-12T06:40:18Z"/>
        <d v="2022-04-12T06:40:16Z"/>
        <d v="2022-04-12T06:39:24Z"/>
        <d v="2022-04-12T06:38:21Z"/>
        <d v="2022-04-12T06:37:13Z"/>
        <d v="2022-04-12T06:37:10Z"/>
        <d v="2022-04-12T06:37:08Z"/>
        <d v="2022-04-12T06:37:05Z"/>
        <d v="2022-04-12T06:35:45Z"/>
        <d v="2022-04-12T06:35:27Z"/>
        <d v="2022-04-12T06:34:12Z"/>
        <d v="2022-04-12T06:34:05Z"/>
        <d v="2022-04-12T06:33:56Z"/>
        <d v="2022-04-12T06:33:02Z"/>
        <d v="2022-04-12T06:31:23Z"/>
        <d v="2022-04-12T06:28:56Z"/>
        <d v="2022-04-12T06:28:03Z"/>
        <d v="2022-04-12T06:23:37Z"/>
        <d v="2022-04-12T06:22:23Z"/>
        <d v="2022-04-12T06:10:12Z"/>
        <d v="2022-04-12T06:08:55Z"/>
        <d v="2022-04-12T06:08:11Z"/>
        <d v="2022-04-12T06:08:08Z"/>
        <d v="2022-04-12T06:05:53Z"/>
        <d v="2022-04-12T06:03:03Z"/>
        <d v="2022-04-12T06:02:59Z"/>
        <d v="2022-04-12T06:02:56Z"/>
        <d v="2022-04-12T05:58:09Z"/>
        <d v="2022-04-12T05:57:56Z"/>
        <d v="2022-04-12T05:57:52Z"/>
        <d v="2022-04-12T05:57:49Z"/>
        <d v="2022-04-12T05:57:44Z"/>
        <d v="2022-04-12T05:57:16Z"/>
        <d v="2022-04-12T05:57:12Z"/>
        <d v="2022-04-12T05:56:46Z"/>
        <d v="2022-04-12T05:56:43Z"/>
        <d v="2022-04-12T05:56:30Z"/>
        <d v="2022-04-12T05:56:27Z"/>
        <d v="2022-04-12T05:56:12Z"/>
        <d v="2022-04-12T05:56:08Z"/>
        <d v="2022-04-12T05:56:03Z"/>
        <d v="2022-04-12T05:56:00Z"/>
        <d v="2022-04-12T05:55:55Z"/>
        <d v="2022-04-12T05:55:48Z"/>
        <d v="2022-04-12T05:55:14Z"/>
        <d v="2022-04-12T05:53:12Z"/>
        <d v="2022-04-12T05:53:06Z"/>
        <d v="2022-04-12T05:49:09Z"/>
        <d v="2022-04-12T05:49:08Z"/>
        <d v="2022-04-12T05:49:06Z"/>
        <d v="2022-04-12T05:47:00Z"/>
        <d v="2022-04-12T05:46:55Z"/>
        <d v="2022-04-12T05:46:44Z"/>
        <d v="2022-04-12T05:46:36Z"/>
        <d v="2022-04-12T05:46:32Z"/>
        <d v="2022-04-12T05:46:30Z"/>
        <d v="2022-04-12T05:46:27Z"/>
        <d v="2022-04-12T05:46:06Z"/>
        <d v="2022-04-12T05:45:59Z"/>
        <d v="2022-04-12T05:45:53Z"/>
        <d v="2022-04-12T05:45:50Z"/>
        <d v="2022-04-12T05:45:47Z"/>
        <d v="2022-04-12T05:45:44Z"/>
        <d v="2022-04-12T05:40:30Z"/>
        <d v="2022-04-12T05:39:22Z"/>
        <d v="2022-04-12T05:31:49Z"/>
        <d v="2022-04-12T05:31:48Z"/>
        <d v="2022-04-12T05:31:46Z"/>
        <d v="2022-04-12T05:31:44Z"/>
        <d v="2022-04-12T05:31:40Z"/>
        <d v="2022-04-12T05:31:37Z"/>
        <d v="2022-04-12T05:31:16Z"/>
        <d v="2022-04-12T05:30:55Z"/>
        <d v="2022-04-12T05:30:54Z"/>
        <d v="2022-04-12T05:30:52Z"/>
        <d v="2022-04-12T05:23:26Z"/>
        <d v="2022-04-12T05:20:10Z"/>
        <d v="2022-04-12T05:20:08Z"/>
        <d v="2022-04-12T05:17:55Z"/>
        <d v="2022-04-12T05:17:52Z"/>
        <d v="2022-04-12T05:13:52Z"/>
        <d v="2022-04-12T05:05:52Z"/>
        <d v="2022-04-12T05:05:49Z"/>
        <d v="2022-04-12T05:05:23Z"/>
        <d v="2022-04-12T05:05:22Z"/>
        <d v="2022-04-12T05:05:18Z"/>
        <d v="2022-04-12T05:05:14Z"/>
        <d v="2022-04-12T05:04:34Z"/>
        <d v="2022-04-12T05:01:06Z"/>
        <d v="2022-04-12T05:01:03Z"/>
        <d v="2022-04-12T04:56:59Z"/>
        <d v="2022-04-12T04:56:39Z"/>
        <d v="2022-04-12T04:54:23Z"/>
        <d v="2022-04-12T04:54:10Z"/>
        <d v="2022-04-12T04:48:31Z"/>
        <d v="2022-04-12T04:48:27Z"/>
        <d v="2022-04-12T04:47:40Z"/>
        <d v="2022-04-12T04:45:47Z"/>
        <d v="2022-04-12T04:45:30Z"/>
        <d v="2022-04-12T04:37:37Z"/>
        <d v="2022-04-12T04:33:39Z"/>
        <d v="2022-04-12T04:15:45Z"/>
        <d v="2022-04-12T03:56:37Z"/>
        <d v="2022-04-12T03:30:06Z"/>
        <d v="2022-04-12T03:28:11Z"/>
        <d v="2022-04-12T03:21:33Z"/>
        <d v="2022-04-12T03:21:15Z"/>
        <d v="2022-04-12T03:21:08Z"/>
        <d v="2022-04-12T03:19:16Z"/>
        <d v="2022-04-12T03:14:23Z"/>
        <d v="2022-04-12T02:19:09Z"/>
        <d v="2022-04-12T01:39:01Z"/>
        <d v="2022-04-12T01:36:32Z"/>
        <d v="2022-04-12T01:33:46Z"/>
        <d v="2022-04-12T01:31:04Z"/>
        <d v="2022-04-12T01:20:24Z"/>
        <d v="2022-04-12T01:17:58Z"/>
        <d v="2022-04-12T01:17:53Z"/>
        <d v="2022-04-12T00:59:31Z"/>
        <d v="2022-04-12T00:54:05Z"/>
        <d v="2022-04-12T00:51:53Z"/>
        <d v="2022-04-12T00:51:51Z"/>
        <d v="2022-04-12T00:51:48Z"/>
        <d v="2022-04-12T00:51:37Z"/>
        <d v="2022-04-12T00:49:27Z"/>
        <d v="2022-04-12T00:49:20Z"/>
        <d v="2022-04-12T00:37:12Z"/>
        <d v="2022-04-12T00:37:09Z"/>
        <d v="2022-04-12T00:33:42Z"/>
        <d v="2022-04-12T00:32:41Z"/>
        <d v="2022-04-12T00:32:08Z"/>
        <d v="2022-04-12T00:30:26Z"/>
        <d v="2022-04-12T00:29:50Z"/>
        <d v="2022-04-12T00:29:48Z"/>
        <d v="2022-04-12T00:29:45Z"/>
        <d v="2022-04-12T00:29:42Z"/>
        <d v="2022-04-12T00:29:09Z"/>
        <d v="2022-04-12T00:28:29Z"/>
        <d v="2022-04-12T00:28:27Z"/>
        <d v="2022-04-12T00:28:25Z"/>
        <d v="2022-04-12T00:28:21Z"/>
        <d v="2022-04-12T00:28:12Z"/>
        <d v="2022-04-12T00:27:59Z"/>
        <d v="2022-04-12T00:27:51Z"/>
        <d v="2022-04-12T00:27:39Z"/>
        <d v="2022-04-12T00:21:13Z"/>
        <d v="2022-04-12T00:19:11Z"/>
        <d v="2022-04-12T00:19:09Z"/>
        <d v="2022-04-12T00:19:07Z"/>
        <d v="2022-04-12T00:18:59Z"/>
        <d v="2022-04-12T00:18:46Z"/>
        <d v="2022-04-12T00:18:40Z"/>
        <d v="2022-04-12T00:18:37Z"/>
        <d v="2022-04-12T00:15:05Z"/>
        <d v="2022-04-12T00:14:18Z"/>
        <d v="2022-04-12T00:09:39Z"/>
        <d v="2022-04-12T00:09:15Z"/>
        <d v="2022-04-12T00:08:10Z"/>
        <d v="2022-04-12T00:07:01Z"/>
        <d v="2022-04-12T00:06:42Z"/>
        <d v="2022-04-12T00:06:40Z"/>
        <d v="2022-04-12T00:06:38Z"/>
        <d v="2022-04-12T00:02:18Z"/>
        <d v="2022-04-11T23:59:27Z"/>
        <d v="2022-04-11T23:59:23Z"/>
        <d v="2022-04-11T23:59:17Z"/>
        <d v="2022-04-11T23:59:12Z"/>
        <d v="2022-04-11T23:59:08Z"/>
        <d v="2022-04-11T23:59:04Z"/>
        <d v="2022-04-11T23:55:34Z"/>
        <d v="2022-04-11T23:52:30Z"/>
        <d v="2022-04-11T23:48:40Z"/>
        <d v="2022-04-11T23:31:45Z"/>
        <d v="2022-04-11T23:30:34Z"/>
        <d v="2022-04-11T23:27:20Z"/>
        <d v="2022-04-11T23:25:00Z"/>
        <d v="2022-04-11T23:18:50Z"/>
        <d v="2022-04-11T23:16:29Z"/>
        <d v="2022-04-11T23:14:20Z"/>
        <d v="2022-04-11T23:14:09Z"/>
        <d v="2022-04-11T23:12:27Z"/>
        <d v="2022-04-11T23:10:40Z"/>
        <d v="2022-04-11T23:10:17Z"/>
        <d v="2022-04-11T23:08:58Z"/>
        <d v="2022-04-11T23:08:50Z"/>
        <d v="2022-04-11T23:08:20Z"/>
        <d v="2022-04-11T23:06:39Z"/>
        <d v="2022-04-11T23:04:40Z"/>
        <d v="2022-04-11T23:04:37Z"/>
        <d v="2022-04-11T23:04:33Z"/>
        <d v="2022-04-11T23:03:46Z"/>
        <d v="2022-04-11T23:03:23Z"/>
        <d v="2022-04-11T23:03:19Z"/>
        <d v="2022-04-11T23:02:29Z"/>
        <d v="2022-04-11T23:02:13Z"/>
        <d v="2022-04-11T23:02:09Z"/>
        <d v="2022-04-11T23:01:57Z"/>
        <d v="2022-04-11T23:00:27Z"/>
        <d v="2022-04-11T22:59:54Z"/>
        <d v="2022-04-11T22:59:41Z"/>
        <d v="2022-04-11T22:59:34Z"/>
        <d v="2022-04-11T22:59:29Z"/>
        <d v="2022-04-11T22:59:25Z"/>
        <d v="2022-04-11T22:59:24Z"/>
        <d v="2022-04-11T22:59:04Z"/>
        <d v="2022-04-11T22:59:00Z"/>
        <d v="2022-04-11T22:58:34Z"/>
        <d v="2022-04-11T22:58:18Z"/>
        <d v="2022-04-11T22:58:17Z"/>
        <d v="2022-04-11T22:58:16Z"/>
        <d v="2022-04-11T22:58:13Z"/>
        <d v="2022-04-11T22:58:10Z"/>
        <d v="2022-04-11T22:58:07Z"/>
        <d v="2022-04-11T22:58:06Z"/>
        <d v="2022-04-11T22:58:04Z"/>
        <d v="2022-04-11T22:58:02Z"/>
        <d v="2022-04-11T22:58:00Z"/>
        <d v="2022-04-11T22:57:55Z"/>
        <d v="2022-04-11T22:57:53Z"/>
        <d v="2022-04-11T22:57:51Z"/>
        <d v="2022-04-11T22:57:49Z"/>
        <d v="2022-04-11T22:57:45Z"/>
        <d v="2022-04-11T22:57:44Z"/>
        <d v="2022-04-11T22:57:42Z"/>
        <d v="2022-04-11T22:57:39Z"/>
        <d v="2022-04-11T22:57:33Z"/>
        <d v="2022-04-11T22:57:32Z"/>
        <d v="2022-04-11T22:57:24Z"/>
        <d v="2022-04-11T22:57:21Z"/>
        <d v="2022-04-11T22:57:20Z"/>
        <d v="2022-04-11T22:57:17Z"/>
        <d v="2022-04-11T22:57:16Z"/>
        <d v="2022-04-11T22:57:15Z"/>
        <d v="2022-04-11T22:57:13Z"/>
        <d v="2022-04-11T22:57:11Z"/>
        <d v="2022-04-11T22:57:08Z"/>
        <d v="2022-04-11T22:57:01Z"/>
        <d v="2022-04-11T22:56:59Z"/>
        <d v="2022-04-11T22:56:57Z"/>
        <d v="2022-04-11T22:56:54Z"/>
        <d v="2022-04-11T22:56:53Z"/>
        <d v="2022-04-11T22:56:51Z"/>
        <d v="2022-04-11T22:56:50Z"/>
        <d v="2022-04-11T22:56:49Z"/>
        <d v="2022-04-11T22:56:47Z"/>
        <d v="2022-04-11T22:56:46Z"/>
        <d v="2022-04-11T22:56:45Z"/>
        <d v="2022-04-11T22:56:39Z"/>
        <d v="2022-04-11T22:56:37Z"/>
        <d v="2022-04-11T22:55:39Z"/>
        <d v="2022-04-11T22:55:35Z"/>
        <d v="2022-04-11T22:55:31Z"/>
        <d v="2022-04-11T22:55:18Z"/>
        <d v="2022-04-11T22:55:07Z"/>
        <d v="2022-04-11T22:54:45Z"/>
        <d v="2022-04-11T22:53:18Z"/>
        <d v="2022-04-11T22:53:14Z"/>
        <d v="2022-04-11T22:53:12Z"/>
        <d v="2022-04-11T22:53:10Z"/>
        <d v="2022-04-11T22:53:01Z"/>
        <d v="2022-04-11T22:52:47Z"/>
        <d v="2022-04-11T22:52:43Z"/>
        <d v="2022-04-11T22:52:41Z"/>
        <d v="2022-04-11T22:52:38Z"/>
        <d v="2022-04-11T22:52:29Z"/>
        <d v="2022-04-11T22:52:26Z"/>
        <d v="2022-04-11T22:52:20Z"/>
        <d v="2022-04-11T22:52:18Z"/>
        <d v="2022-04-11T22:52:04Z"/>
        <d v="2022-04-11T22:51:35Z"/>
        <d v="2022-04-11T22:51:28Z"/>
        <d v="2022-04-11T22:51:27Z"/>
        <d v="2022-04-11T22:51:00Z"/>
        <d v="2022-04-11T22:50:05Z"/>
        <d v="2022-04-11T22:49:56Z"/>
        <d v="2022-04-11T22:46:47Z"/>
        <d v="2022-04-11T22:46:42Z"/>
        <d v="2022-04-11T22:46:38Z"/>
        <d v="2022-04-11T22:46:34Z"/>
        <d v="2022-04-11T22:46:28Z"/>
        <d v="2022-04-11T22:46:26Z"/>
        <d v="2022-04-11T22:46:25Z"/>
        <d v="2022-04-11T22:46:21Z"/>
        <d v="2022-04-11T22:46:16Z"/>
        <d v="2022-04-11T22:46:08Z"/>
        <d v="2022-04-11T22:46:05Z"/>
        <d v="2022-04-11T22:45:51Z"/>
        <d v="2022-04-11T22:42:55Z"/>
        <d v="2022-04-11T22:42:02Z"/>
        <d v="2022-04-11T22:41:59Z"/>
        <d v="2022-04-11T22:41:54Z"/>
        <d v="2022-04-11T22:41:52Z"/>
        <d v="2022-04-11T22:41:48Z"/>
        <d v="2022-04-11T22:41:41Z"/>
        <d v="2022-04-11T22:41:27Z"/>
        <d v="2022-04-11T22:40:57Z"/>
        <d v="2022-04-11T22:40:39Z"/>
        <d v="2022-04-11T22:40:36Z"/>
        <d v="2022-04-11T22:39:49Z"/>
        <d v="2022-04-11T22:39:48Z"/>
        <d v="2022-04-11T22:38:53Z"/>
        <d v="2022-04-11T22:38:31Z"/>
        <d v="2022-04-11T22:37:48Z"/>
        <d v="2022-04-11T22:37:43Z"/>
        <d v="2022-04-11T22:37:24Z"/>
        <d v="2022-04-11T22:35:31Z"/>
        <d v="2022-04-11T22:35:24Z"/>
        <d v="2022-04-11T22:35:12Z"/>
        <d v="2022-04-11T22:34:35Z"/>
        <d v="2022-04-11T22:33:59Z"/>
        <d v="2022-04-11T22:33:56Z"/>
        <d v="2022-04-11T22:33:54Z"/>
        <d v="2022-04-11T22:31:20Z"/>
        <d v="2022-04-11T22:31:17Z"/>
        <d v="2022-04-11T22:29:10Z"/>
        <d v="2022-04-11T22:28:16Z"/>
        <d v="2022-04-11T22:27:45Z"/>
        <d v="2022-04-11T22:27:04Z"/>
        <d v="2022-04-11T22:26:21Z"/>
        <d v="2022-04-11T22:26:18Z"/>
        <d v="2022-04-11T22:24:55Z"/>
        <d v="2022-04-11T22:24:49Z"/>
        <d v="2022-04-11T22:24:46Z"/>
        <d v="2022-04-11T22:24:39Z"/>
        <d v="2022-04-11T22:22:28Z"/>
        <d v="2022-04-11T22:21:52Z"/>
        <d v="2022-04-11T22:21:48Z"/>
        <d v="2022-04-11T22:20:08Z"/>
        <d v="2022-04-11T22:19:41Z"/>
        <d v="2022-04-11T22:18:46Z"/>
        <d v="2022-04-11T22:16:57Z"/>
        <d v="2022-04-11T22:16:52Z"/>
        <d v="2022-04-11T22:16:14Z"/>
        <d v="2022-04-11T22:14:15Z"/>
        <d v="2022-04-11T22:12:01Z"/>
        <d v="2022-04-11T22:11:59Z"/>
        <d v="2022-04-11T22:11:54Z"/>
        <d v="2022-04-11T22:11:27Z"/>
        <d v="2022-04-11T22:11:21Z"/>
        <d v="2022-04-11T22:10:03Z"/>
        <d v="2022-04-11T22:09:41Z"/>
        <d v="2022-04-11T22:09:39Z"/>
        <d v="2022-04-11T22:09:35Z"/>
        <d v="2022-04-11T22:09:33Z"/>
        <d v="2022-04-11T22:09:11Z"/>
        <d v="2022-04-11T22:09:08Z"/>
        <d v="2022-04-11T22:07:52Z"/>
        <d v="2022-04-11T22:07:43Z"/>
        <d v="2022-04-11T22:07:41Z"/>
        <d v="2022-04-11T22:05:53Z"/>
        <d v="2022-04-11T22:05:50Z"/>
        <d v="2022-04-11T22:05:25Z"/>
        <d v="2022-04-11T22:05:22Z"/>
        <d v="2022-04-11T22:03:55Z"/>
        <d v="2022-04-11T22:03:42Z"/>
        <d v="2022-04-11T22:03:36Z"/>
        <d v="2022-04-11T22:03:32Z"/>
        <d v="2022-04-11T22:03:29Z"/>
        <d v="2022-04-11T22:03:27Z"/>
        <d v="2022-04-11T22:03:08Z"/>
        <d v="2022-04-11T22:02:57Z"/>
        <d v="2022-04-11T22:02:55Z"/>
        <d v="2022-04-11T22:02:53Z"/>
        <d v="2022-04-11T22:02:51Z"/>
        <d v="2022-04-11T22:02:50Z"/>
        <d v="2022-04-11T22:02:35Z"/>
        <d v="2022-04-11T22:02:24Z"/>
        <d v="2022-04-11T22:01:32Z"/>
        <d v="2022-04-11T22:01:26Z"/>
        <d v="2022-04-11T22:01:15Z"/>
        <d v="2022-04-11T22:01:11Z"/>
        <d v="2022-04-11T22:01:10Z"/>
        <d v="2022-04-11T22:00:58Z"/>
        <d v="2022-04-11T22:00:56Z"/>
        <d v="2022-04-11T22:00:47Z"/>
        <d v="2022-04-11T21:59:54Z"/>
        <d v="2022-04-11T21:59:31Z"/>
        <d v="2022-04-11T21:59:29Z"/>
        <d v="2022-04-11T21:56:21Z"/>
        <d v="2022-04-11T21:54:53Z"/>
        <d v="2022-04-11T21:53:33Z"/>
        <d v="2022-04-11T21:52:51Z"/>
        <d v="2022-04-11T21:52:23Z"/>
        <d v="2022-04-11T21:52:20Z"/>
        <d v="2022-04-11T21:52:17Z"/>
        <d v="2022-04-11T21:52:12Z"/>
        <d v="2022-04-11T21:52:09Z"/>
        <d v="2022-04-11T21:52:04Z"/>
        <d v="2022-04-11T21:52:00Z"/>
        <d v="2022-04-11T21:51:50Z"/>
        <d v="2022-04-11T21:51:46Z"/>
        <d v="2022-04-11T21:51:22Z"/>
        <d v="2022-04-11T21:48:50Z"/>
        <d v="2022-04-11T21:48:47Z"/>
        <d v="2022-04-11T21:48:04Z"/>
        <d v="2022-04-11T21:47:58Z"/>
        <d v="2022-04-11T21:47:54Z"/>
        <d v="2022-04-11T21:47:53Z"/>
        <d v="2022-04-11T21:47:52Z"/>
        <d v="2022-04-11T21:47:49Z"/>
        <d v="2022-04-11T21:47:37Z"/>
        <d v="2022-04-11T21:47:34Z"/>
        <d v="2022-04-11T21:47:30Z"/>
        <d v="2022-04-11T21:47:10Z"/>
        <d v="2022-04-11T21:47:08Z"/>
        <d v="2022-04-11T21:47:04Z"/>
        <d v="2022-04-11T21:46:35Z"/>
        <d v="2022-04-11T21:44:48Z"/>
        <d v="2022-04-11T21:44:39Z"/>
        <d v="2022-04-11T21:44:37Z"/>
        <d v="2022-04-11T21:44:03Z"/>
        <d v="2022-04-11T21:43:56Z"/>
        <d v="2022-04-11T21:43:21Z"/>
        <d v="2022-04-11T21:43:19Z"/>
        <d v="2022-04-11T21:43:18Z"/>
        <d v="2022-04-11T21:43:13Z"/>
        <d v="2022-04-11T21:41:29Z"/>
        <d v="2022-04-11T21:41:16Z"/>
        <d v="2022-04-11T21:40:07Z"/>
        <d v="2022-04-11T21:39:36Z"/>
        <d v="2022-04-11T21:39:31Z"/>
        <d v="2022-04-11T21:39:26Z"/>
        <d v="2022-04-11T21:39:11Z"/>
        <d v="2022-04-11T21:39:10Z"/>
        <d v="2022-04-11T21:39:08Z"/>
        <d v="2022-04-11T21:39:07Z"/>
        <d v="2022-04-11T21:39:05Z"/>
        <d v="2022-04-11T21:39:04Z"/>
        <d v="2022-04-11T21:39:01Z"/>
        <d v="2022-04-11T21:38:55Z"/>
        <d v="2022-04-11T21:38:54Z"/>
        <d v="2022-04-11T21:38:52Z"/>
        <d v="2022-04-11T21:38:47Z"/>
        <d v="2022-04-11T21:38:44Z"/>
        <d v="2022-04-11T21:38:27Z"/>
        <d v="2022-04-11T21:37:47Z"/>
        <d v="2022-04-11T21:37:29Z"/>
        <d v="2022-04-11T21:37:27Z"/>
        <d v="2022-04-11T21:37:26Z"/>
        <d v="2022-04-11T21:37:24Z"/>
        <d v="2022-04-11T21:37:22Z"/>
        <d v="2022-04-11T21:37:21Z"/>
        <d v="2022-04-11T21:37:19Z"/>
        <d v="2022-04-11T21:37:10Z"/>
        <d v="2022-04-11T21:37:03Z"/>
        <d v="2022-04-11T21:35:21Z"/>
        <d v="2022-04-11T21:35:19Z"/>
        <d v="2022-04-11T21:35:17Z"/>
        <d v="2022-04-11T21:35:15Z"/>
        <d v="2022-04-11T21:35:12Z"/>
        <d v="2022-04-11T21:35:10Z"/>
        <d v="2022-04-11T21:35:08Z"/>
        <d v="2022-04-11T21:35:01Z"/>
        <d v="2022-04-11T21:34:57Z"/>
        <d v="2022-04-11T21:34:55Z"/>
        <d v="2022-04-11T21:34:53Z"/>
        <d v="2022-04-11T21:34:49Z"/>
        <d v="2022-04-11T21:34:48Z"/>
        <d v="2022-04-11T21:34:45Z"/>
        <d v="2022-04-11T21:34:38Z"/>
        <d v="2022-04-11T21:34:27Z"/>
        <d v="2022-04-11T21:34:26Z"/>
        <d v="2022-04-11T21:34:25Z"/>
        <d v="2022-04-11T21:34:23Z"/>
        <d v="2022-04-11T21:34:22Z"/>
        <d v="2022-04-11T21:34:21Z"/>
        <d v="2022-04-11T21:34:19Z"/>
        <d v="2022-04-11T21:34:18Z"/>
        <d v="2022-04-11T21:34:17Z"/>
        <d v="2022-04-11T21:34:15Z"/>
        <d v="2022-04-11T21:34:14Z"/>
        <d v="2022-04-11T21:34:12Z"/>
        <d v="2022-04-11T21:34:08Z"/>
        <d v="2022-04-11T21:34:06Z"/>
        <d v="2022-04-11T21:33:15Z"/>
        <d v="2022-04-11T21:32:40Z"/>
        <d v="2022-04-11T21:32:34Z"/>
        <d v="2022-04-11T21:31:58Z"/>
        <d v="2022-04-11T21:31:35Z"/>
        <d v="2022-04-11T21:31:33Z"/>
        <d v="2022-04-11T21:31:32Z"/>
        <d v="2022-04-11T21:31:30Z"/>
        <d v="2022-04-11T21:31:27Z"/>
        <d v="2022-04-11T21:31:25Z"/>
        <d v="2022-04-11T21:31:21Z"/>
        <d v="2022-04-11T21:30:35Z"/>
        <d v="2022-04-11T21:30:10Z"/>
        <d v="2022-04-11T21:28:05Z"/>
        <d v="2022-04-11T21:27:57Z"/>
        <d v="2022-04-11T21:26:28Z"/>
        <d v="2022-04-11T21:26:25Z"/>
        <d v="2022-04-11T21:25:18Z"/>
        <d v="2022-04-11T21:22:53Z"/>
        <d v="2022-04-11T21:21:26Z"/>
        <d v="2022-04-11T21:19:23Z"/>
        <d v="2022-04-11T21:19:20Z"/>
        <d v="2022-04-11T21:18:59Z"/>
        <d v="2022-04-11T21:18:36Z"/>
        <d v="2022-04-11T21:15:22Z"/>
        <d v="2022-04-11T21:15:04Z"/>
        <d v="2022-04-11T21:14:07Z"/>
        <d v="2022-04-11T21:14:04Z"/>
        <d v="2022-04-11T21:14:02Z"/>
        <d v="2022-04-11T21:14:01Z"/>
        <d v="2022-04-11T21:13:59Z"/>
        <d v="2022-04-11T21:13:57Z"/>
        <d v="2022-04-11T21:13:54Z"/>
        <d v="2022-04-11T21:10:27Z"/>
        <d v="2022-04-11T21:10:23Z"/>
        <d v="2022-04-11T21:10:22Z"/>
        <d v="2022-04-11T21:10:20Z"/>
        <d v="2022-04-11T21:10:18Z"/>
        <d v="2022-04-11T21:10:12Z"/>
        <d v="2022-04-11T21:10:08Z"/>
        <d v="2022-04-11T21:10:06Z"/>
        <d v="2022-04-11T21:10:04Z"/>
        <d v="2022-04-11T21:10:02Z"/>
        <d v="2022-04-11T21:10:00Z"/>
        <d v="2022-04-11T21:09:58Z"/>
        <d v="2022-04-11T21:09:56Z"/>
        <d v="2022-04-11T21:09:50Z"/>
        <d v="2022-04-11T21:09:46Z"/>
        <d v="2022-04-11T21:09:45Z"/>
        <d v="2022-04-11T21:09:41Z"/>
        <d v="2022-04-11T21:09:35Z"/>
        <d v="2022-04-11T21:09:31Z"/>
        <d v="2022-04-11T21:06:26Z"/>
        <d v="2022-04-11T21:06:04Z"/>
        <d v="2022-04-11T21:05:42Z"/>
        <d v="2022-04-11T21:05:33Z"/>
        <d v="2022-04-11T21:05:31Z"/>
        <d v="2022-04-11T21:05:16Z"/>
        <d v="2022-04-11T21:05:12Z"/>
        <d v="2022-04-11T21:05:05Z"/>
        <d v="2022-04-11T21:05:02Z"/>
        <d v="2022-04-11T21:04:49Z"/>
        <d v="2022-04-11T21:03:30Z"/>
        <d v="2022-04-11T21:02:53Z"/>
        <d v="2022-04-11T21:01:46Z"/>
        <d v="2022-04-11T21:01:40Z"/>
        <d v="2022-04-11T21:01:37Z"/>
        <d v="2022-04-11T21:01:36Z"/>
        <d v="2022-04-11T21:01:33Z"/>
        <d v="2022-04-11T21:01:27Z"/>
        <d v="2022-04-11T21:01:22Z"/>
        <d v="2022-04-11T21:01:12Z"/>
        <d v="2022-04-11T21:00:58Z"/>
        <d v="2022-04-11T21:00:57Z"/>
        <d v="2022-04-11T21:00:56Z"/>
        <d v="2022-04-11T21:00:55Z"/>
        <d v="2022-04-11T21:00:54Z"/>
        <d v="2022-04-11T21:00:53Z"/>
        <d v="2022-04-11T21:00:45Z"/>
        <d v="2022-04-11T21:00:41Z"/>
        <d v="2022-04-11T21:00:09Z"/>
        <d v="2022-04-11T20:59:59Z"/>
        <d v="2022-04-11T20:59:57Z"/>
        <d v="2022-04-11T20:59:56Z"/>
        <d v="2022-04-11T20:59:51Z"/>
        <d v="2022-04-11T20:59:37Z"/>
        <d v="2022-04-11T20:59:34Z"/>
        <d v="2022-04-11T20:59:32Z"/>
        <d v="2022-04-11T20:59:30Z"/>
        <d v="2022-04-11T20:59:29Z"/>
        <d v="2022-04-11T20:59:26Z"/>
        <d v="2022-04-11T20:59:21Z"/>
        <d v="2022-04-11T20:59:19Z"/>
        <d v="2022-04-11T20:59:15Z"/>
        <d v="2022-04-11T20:59:12Z"/>
        <d v="2022-04-11T20:59:08Z"/>
        <d v="2022-04-11T20:59:04Z"/>
        <d v="2022-04-11T20:57:24Z"/>
        <d v="2022-04-11T20:57:21Z"/>
        <d v="2022-04-11T20:53:17Z"/>
        <d v="2022-04-11T20:51:13Z"/>
        <d v="2022-04-11T20:50:08Z"/>
        <d v="2022-04-11T20:49:06Z"/>
        <d v="2022-04-11T20:49:00Z"/>
        <d v="2022-04-11T20:48:42Z"/>
        <d v="2022-04-11T20:48:06Z"/>
        <d v="2022-04-11T20:47:46Z"/>
        <d v="2022-04-11T20:47:04Z"/>
        <d v="2022-04-11T20:46:49Z"/>
        <d v="2022-04-11T20:46:47Z"/>
        <d v="2022-04-11T20:44:23Z"/>
        <d v="2022-04-11T20:44:19Z"/>
        <d v="2022-04-11T20:42:27Z"/>
        <d v="2022-04-11T20:40:41Z"/>
        <d v="2022-04-11T20:39:04Z"/>
        <d v="2022-04-11T20:39:02Z"/>
        <d v="2022-04-11T20:39:01Z"/>
        <d v="2022-04-11T20:38:59Z"/>
        <d v="2022-04-11T20:38:54Z"/>
        <d v="2022-04-11T20:38:34Z"/>
        <d v="2022-04-11T20:38:17Z"/>
        <d v="2022-04-11T20:36:35Z"/>
        <d v="2022-04-11T20:36:33Z"/>
        <d v="2022-04-11T20:36:07Z"/>
        <d v="2022-04-11T20:35:50Z"/>
        <d v="2022-04-11T20:34:02Z"/>
        <d v="2022-04-11T20:33:27Z"/>
        <d v="2022-04-11T20:32:59Z"/>
        <d v="2022-04-11T20:32:45Z"/>
        <d v="2022-04-11T20:32:43Z"/>
        <d v="2022-04-11T20:32:39Z"/>
        <d v="2022-04-11T20:32:28Z"/>
        <d v="2022-04-11T20:32:26Z"/>
        <d v="2022-04-11T20:32:25Z"/>
        <d v="2022-04-11T20:32:08Z"/>
        <d v="2022-04-11T20:31:58Z"/>
        <d v="2022-04-11T20:31:26Z"/>
        <d v="2022-04-11T20:31:19Z"/>
        <d v="2022-04-11T20:31:08Z"/>
        <d v="2022-04-11T20:31:03Z"/>
        <d v="2022-04-11T20:30:47Z"/>
        <d v="2022-04-11T20:30:40Z"/>
        <d v="2022-04-11T20:30:22Z"/>
        <d v="2022-04-11T20:30:18Z"/>
        <d v="2022-04-11T20:30:15Z"/>
        <d v="2022-04-11T20:30:14Z"/>
        <d v="2022-04-11T20:30:04Z"/>
        <d v="2022-04-11T20:30:02Z"/>
        <d v="2022-04-11T20:29:59Z"/>
        <d v="2022-04-11T20:29:58Z"/>
        <d v="2022-04-11T20:29:56Z"/>
        <d v="2022-04-11T20:29:53Z"/>
        <d v="2022-04-11T20:29:49Z"/>
        <d v="2022-04-11T20:29:29Z"/>
        <d v="2022-04-11T20:29:26Z"/>
        <d v="2022-04-11T20:29:03Z"/>
        <d v="2022-04-11T20:27:34Z"/>
        <d v="2022-04-11T20:27:16Z"/>
        <d v="2022-04-11T20:26:44Z"/>
        <d v="2022-04-11T20:26:30Z"/>
        <d v="2022-04-11T20:26:20Z"/>
        <d v="2022-04-11T20:25:02Z"/>
        <d v="2022-04-11T20:24:54Z"/>
        <d v="2022-04-11T20:24:19Z"/>
        <d v="2022-04-11T20:24:18Z"/>
        <d v="2022-04-11T20:24:16Z"/>
        <d v="2022-04-11T20:22:20Z"/>
        <d v="2022-04-11T20:22:18Z"/>
        <d v="2022-04-11T20:22:16Z"/>
        <d v="2022-04-11T20:22:13Z"/>
        <d v="2022-04-11T20:22:11Z"/>
        <d v="2022-04-11T20:22:04Z"/>
        <d v="2022-04-11T20:21:59Z"/>
        <d v="2022-04-11T20:21:51Z"/>
        <d v="2022-04-11T20:21:47Z"/>
        <d v="2022-04-11T20:21:20Z"/>
        <d v="2022-04-11T20:21:10Z"/>
        <d v="2022-04-11T20:21:06Z"/>
        <d v="2022-04-11T20:19:43Z"/>
        <d v="2022-04-11T20:19:39Z"/>
        <d v="2022-04-11T20:18:48Z"/>
        <d v="2022-04-11T20:18:45Z"/>
        <d v="2022-04-11T20:18:40Z"/>
        <d v="2022-04-11T20:18:38Z"/>
        <d v="2022-04-11T20:18:17Z"/>
        <d v="2022-04-11T20:17:10Z"/>
        <d v="2022-04-11T20:16:53Z"/>
        <d v="2022-04-11T20:15:46Z"/>
        <d v="2022-04-11T20:15:41Z"/>
        <d v="2022-04-11T20:15:37Z"/>
        <d v="2022-04-11T20:15:31Z"/>
        <d v="2022-04-11T20:15:12Z"/>
        <d v="2022-04-11T20:13:53Z"/>
        <d v="2022-04-11T20:13:17Z"/>
        <d v="2022-04-11T20:13:11Z"/>
        <d v="2022-04-11T20:12:56Z"/>
        <d v="2022-04-11T20:11:13Z"/>
        <d v="2022-04-11T20:09:54Z"/>
        <d v="2022-04-11T20:09:18Z"/>
        <d v="2022-04-11T20:09:14Z"/>
        <d v="2022-04-11T20:06:32Z"/>
        <d v="2022-04-11T20:05:48Z"/>
        <d v="2022-04-11T20:04:30Z"/>
        <d v="2022-04-11T20:03:32Z"/>
        <d v="2022-04-11T20:02:24Z"/>
        <d v="2022-04-11T20:02:22Z"/>
        <d v="2022-04-11T20:02:21Z"/>
        <d v="2022-04-11T20:02:20Z"/>
        <d v="2022-04-11T20:02:12Z"/>
        <d v="2022-04-11T20:02:09Z"/>
        <d v="2022-04-11T20:01:38Z"/>
        <d v="2022-04-11T20:00:38Z"/>
        <d v="2022-04-11T19:59:59Z"/>
        <d v="2022-04-11T19:59:54Z"/>
        <d v="2022-04-11T19:59:45Z"/>
        <d v="2022-04-11T19:58:39Z"/>
        <d v="2022-04-11T19:56:04Z"/>
        <d v="2022-04-11T19:56:00Z"/>
        <d v="2022-04-11T19:55:50Z"/>
        <d v="2022-04-11T19:55:25Z"/>
        <d v="2022-04-11T19:54:38Z"/>
        <d v="2022-04-11T19:54:35Z"/>
        <d v="2022-04-11T19:54:32Z"/>
        <d v="2022-04-11T19:54:30Z"/>
        <d v="2022-04-11T19:54:25Z"/>
        <d v="2022-04-11T19:54:06Z"/>
        <d v="2022-04-11T19:54:01Z"/>
        <d v="2022-04-11T19:53:40Z"/>
        <d v="2022-04-11T19:53:24Z"/>
        <d v="2022-04-11T19:53:15Z"/>
        <d v="2022-04-11T19:52:34Z"/>
        <d v="2022-04-11T19:50:34Z"/>
        <d v="2022-04-11T19:48:08Z"/>
        <d v="2022-04-11T19:47:52Z"/>
        <d v="2022-04-11T19:47:40Z"/>
        <d v="2022-04-11T19:47:26Z"/>
        <d v="2022-04-11T19:47:25Z"/>
        <d v="2022-04-11T19:47:24Z"/>
        <d v="2022-04-11T19:47:21Z"/>
        <d v="2022-04-11T19:46:51Z"/>
        <d v="2022-04-11T19:46:25Z"/>
        <d v="2022-04-11T19:46:12Z"/>
        <d v="2022-04-11T19:46:03Z"/>
        <d v="2022-04-11T19:44:54Z"/>
        <d v="2022-04-11T19:44:51Z"/>
        <d v="2022-04-11T19:44:49Z"/>
        <d v="2022-04-11T19:44:48Z"/>
        <d v="2022-04-11T19:42:38Z"/>
        <d v="2022-04-11T19:40:51Z"/>
        <d v="2022-04-11T19:40:50Z"/>
        <d v="2022-04-11T19:40:49Z"/>
        <d v="2022-04-11T19:40:19Z"/>
        <d v="2022-04-11T19:38:29Z"/>
        <d v="2022-04-11T19:37:41Z"/>
        <d v="2022-04-11T19:37:28Z"/>
        <d v="2022-04-11T19:37:01Z"/>
        <d v="2022-04-11T19:36:48Z"/>
        <d v="2022-04-11T19:36:46Z"/>
        <d v="2022-04-11T19:36:30Z"/>
        <d v="2022-04-11T19:35:26Z"/>
        <d v="2022-04-11T19:35:23Z"/>
        <d v="2022-04-11T19:34:51Z"/>
        <d v="2022-04-11T19:34:47Z"/>
        <d v="2022-04-11T19:34:38Z"/>
        <d v="2022-04-11T19:34:22Z"/>
        <d v="2022-04-11T19:34:06Z"/>
        <d v="2022-04-11T19:32:42Z"/>
        <d v="2022-04-11T19:32:39Z"/>
        <d v="2022-04-11T19:29:11Z"/>
        <d v="2022-04-11T19:28:35Z"/>
        <d v="2022-04-11T19:28:21Z"/>
        <d v="2022-04-11T19:28:18Z"/>
        <d v="2022-04-11T19:28:16Z"/>
        <d v="2022-04-11T19:28:13Z"/>
        <d v="2022-04-11T19:28:12Z"/>
        <d v="2022-04-11T19:28:11Z"/>
        <d v="2022-04-11T19:28:10Z"/>
        <d v="2022-04-11T19:28:08Z"/>
        <d v="2022-04-11T19:28:01Z"/>
        <d v="2022-04-11T19:28:00Z"/>
        <d v="2022-04-11T19:27:59Z"/>
        <d v="2022-04-11T19:27:57Z"/>
        <d v="2022-04-11T19:27:56Z"/>
        <d v="2022-04-11T19:27:45Z"/>
        <d v="2022-04-11T19:27:40Z"/>
        <d v="2022-04-11T19:27:19Z"/>
        <d v="2022-04-11T19:27:13Z"/>
        <d v="2022-04-11T19:27:12Z"/>
        <d v="2022-04-11T19:27:11Z"/>
        <d v="2022-04-11T19:27:10Z"/>
        <d v="2022-04-11T19:27:09Z"/>
        <d v="2022-04-11T19:27:07Z"/>
        <d v="2022-04-11T19:27:06Z"/>
        <d v="2022-04-11T19:27:05Z"/>
        <d v="2022-04-11T19:27:04Z"/>
        <d v="2022-04-11T19:27:03Z"/>
        <d v="2022-04-11T19:27:02Z"/>
        <d v="2022-04-11T19:27:01Z"/>
        <d v="2022-04-11T19:27:00Z"/>
        <d v="2022-04-11T19:26:59Z"/>
        <d v="2022-04-11T19:26:57Z"/>
        <d v="2022-04-11T19:26:56Z"/>
        <d v="2022-04-11T19:26:55Z"/>
        <d v="2022-04-11T19:26:53Z"/>
        <d v="2022-04-11T19:26:51Z"/>
        <d v="2022-04-11T19:26:33Z"/>
        <d v="2022-04-11T19:25:16Z"/>
        <d v="2022-04-11T19:25:13Z"/>
        <d v="2022-04-11T19:24:26Z"/>
        <d v="2022-04-11T19:23:58Z"/>
        <d v="2022-04-11T19:23:50Z"/>
        <d v="2022-04-11T19:23:42Z"/>
        <d v="2022-04-11T19:23:21Z"/>
        <d v="2022-04-11T19:23:11Z"/>
        <d v="2022-04-11T19:22:22Z"/>
        <d v="2022-04-11T19:22:21Z"/>
        <d v="2022-04-11T19:22:19Z"/>
        <d v="2022-04-11T19:22:18Z"/>
        <d v="2022-04-11T19:22:16Z"/>
        <d v="2022-04-11T19:22:15Z"/>
        <d v="2022-04-11T19:22:13Z"/>
        <d v="2022-04-11T19:22:02Z"/>
        <d v="2022-04-11T19:22:00Z"/>
        <d v="2022-04-11T19:21:59Z"/>
        <d v="2022-04-11T19:21:56Z"/>
        <d v="2022-04-11T19:21:54Z"/>
        <d v="2022-04-11T19:21:52Z"/>
        <d v="2022-04-11T19:21:39Z"/>
        <d v="2022-04-11T19:21:08Z"/>
        <d v="2022-04-11T19:20:00Z"/>
        <d v="2022-04-11T19:19:58Z"/>
        <d v="2022-04-11T19:19:44Z"/>
        <d v="2022-04-11T19:19:40Z"/>
        <d v="2022-04-11T19:19:35Z"/>
        <d v="2022-04-11T19:19:33Z"/>
        <d v="2022-04-11T19:19:31Z"/>
        <d v="2022-04-11T19:19:27Z"/>
        <d v="2022-04-11T19:19:25Z"/>
        <d v="2022-04-11T19:18:32Z"/>
        <d v="2022-04-11T19:17:59Z"/>
        <d v="2022-04-11T19:17:58Z"/>
        <d v="2022-04-11T19:17:39Z"/>
        <d v="2022-04-11T19:17:34Z"/>
        <d v="2022-04-11T19:17:31Z"/>
        <d v="2022-04-11T19:17:29Z"/>
        <d v="2022-04-11T19:17:17Z"/>
        <d v="2022-04-11T19:17:14Z"/>
        <d v="2022-04-11T19:16:51Z"/>
        <d v="2022-04-11T19:16:46Z"/>
        <d v="2022-04-11T19:16:25Z"/>
        <d v="2022-04-11T19:16:23Z"/>
        <d v="2022-04-11T19:15:33Z"/>
        <d v="2022-04-11T19:15:21Z"/>
        <d v="2022-04-11T19:15:04Z"/>
        <d v="2022-04-11T19:14:29Z"/>
        <d v="2022-04-11T19:14:20Z"/>
        <d v="2022-04-11T19:12:52Z"/>
        <d v="2022-04-11T19:11:58Z"/>
        <d v="2022-04-11T19:10:27Z"/>
        <d v="2022-04-11T19:08:09Z"/>
        <d v="2022-04-11T19:08:06Z"/>
        <d v="2022-04-11T19:08:04Z"/>
        <d v="2022-04-11T19:07:52Z"/>
        <d v="2022-04-11T19:06:50Z"/>
        <d v="2022-04-11T19:05:07Z"/>
        <d v="2022-04-11T19:03:57Z"/>
        <d v="2022-04-11T19:03:45Z"/>
        <d v="2022-04-11T19:03:43Z"/>
        <d v="2022-04-11T19:03:42Z"/>
        <d v="2022-04-11T19:03:40Z"/>
        <d v="2022-04-11T19:03:37Z"/>
        <d v="2022-04-11T19:03:34Z"/>
        <d v="2022-04-11T19:02:25Z"/>
        <d v="2022-04-11T19:02:03Z"/>
        <d v="2022-04-11T19:01:29Z"/>
        <d v="2022-04-11T19:01:23Z"/>
        <d v="2022-04-11T19:01:09Z"/>
        <d v="2022-04-11T19:00:39Z"/>
        <d v="2022-04-11T19:00:33Z"/>
        <d v="2022-04-11T19:00:18Z"/>
        <d v="2022-04-11T18:59:54Z"/>
        <d v="2022-04-11T18:58:57Z"/>
        <d v="2022-04-11T18:58:54Z"/>
        <d v="2022-04-11T18:58:47Z"/>
        <d v="2022-04-11T18:58:01Z"/>
        <d v="2022-04-11T18:57:54Z"/>
        <d v="2022-04-11T18:57:52Z"/>
        <d v="2022-04-11T18:56:49Z"/>
        <d v="2022-04-11T18:56:39Z"/>
        <d v="2022-04-11T18:56:34Z"/>
        <d v="2022-04-11T18:55:25Z"/>
        <d v="2022-04-11T18:55:17Z"/>
        <d v="2022-04-11T18:54:57Z"/>
        <d v="2022-04-11T18:54:50Z"/>
        <d v="2022-04-11T18:54:17Z"/>
        <d v="2022-04-11T18:54:13Z"/>
        <d v="2022-04-11T18:54:07Z"/>
        <d v="2022-04-11T18:53:21Z"/>
        <d v="2022-04-11T18:53:05Z"/>
        <d v="2022-04-11T18:52:55Z"/>
        <d v="2022-04-11T18:52:53Z"/>
        <d v="2022-04-11T18:52:51Z"/>
        <d v="2022-04-11T18:51:57Z"/>
        <d v="2022-04-11T18:50:56Z"/>
        <d v="2022-04-11T18:50:46Z"/>
        <d v="2022-04-11T18:50:43Z"/>
        <d v="2022-04-11T18:48:39Z"/>
        <d v="2022-04-11T18:48:17Z"/>
        <d v="2022-04-11T18:48:07Z"/>
        <d v="2022-04-11T18:48:04Z"/>
        <d v="2022-04-11T18:47:57Z"/>
        <d v="2022-04-11T18:47:47Z"/>
        <d v="2022-04-11T18:47:42Z"/>
        <d v="2022-04-11T18:47:40Z"/>
        <d v="2022-04-11T18:47:34Z"/>
        <d v="2022-04-11T18:47:12Z"/>
        <d v="2022-04-11T18:47:08Z"/>
        <d v="2022-04-11T18:47:06Z"/>
        <d v="2022-04-11T18:45:45Z"/>
        <d v="2022-04-11T18:45:43Z"/>
        <d v="2022-04-11T18:45:42Z"/>
        <d v="2022-04-11T18:45:39Z"/>
        <d v="2022-04-11T18:45:36Z"/>
        <d v="2022-04-11T18:45:34Z"/>
        <d v="2022-04-11T18:45:27Z"/>
        <d v="2022-04-11T18:45:23Z"/>
        <d v="2022-04-11T18:45:20Z"/>
        <d v="2022-04-11T18:45:15Z"/>
        <d v="2022-04-11T18:45:13Z"/>
        <d v="2022-04-11T18:45:11Z"/>
        <d v="2022-04-11T18:45:09Z"/>
        <d v="2022-04-11T18:45:07Z"/>
        <d v="2022-04-11T18:45:05Z"/>
        <d v="2022-04-11T18:45:01Z"/>
        <d v="2022-04-11T18:44:52Z"/>
        <d v="2022-04-11T18:44:32Z"/>
        <d v="2022-04-11T18:44:29Z"/>
        <d v="2022-04-11T18:44:28Z"/>
        <d v="2022-04-11T18:44:26Z"/>
        <d v="2022-04-11T18:43:42Z"/>
        <d v="2022-04-11T18:43:19Z"/>
        <d v="2022-04-11T18:42:45Z"/>
        <d v="2022-04-11T18:42:20Z"/>
        <d v="2022-04-11T18:42:16Z"/>
        <d v="2022-04-11T18:41:30Z"/>
        <d v="2022-04-11T18:40:59Z"/>
        <d v="2022-04-11T18:40:43Z"/>
        <d v="2022-04-11T18:40:41Z"/>
        <d v="2022-04-11T18:40:30Z"/>
        <d v="2022-04-11T18:40:26Z"/>
        <d v="2022-04-11T18:40:24Z"/>
        <d v="2022-04-11T18:40:23Z"/>
        <d v="2022-04-11T18:39:58Z"/>
        <d v="2022-04-11T18:39:00Z"/>
        <d v="2022-04-11T18:38:53Z"/>
        <d v="2022-04-11T18:38:41Z"/>
        <d v="2022-04-11T18:38:22Z"/>
        <d v="2022-04-11T18:38:11Z"/>
        <d v="2022-04-11T18:38:03Z"/>
        <d v="2022-04-11T18:37:48Z"/>
        <d v="2022-04-11T18:37:46Z"/>
        <d v="2022-04-11T18:37:43Z"/>
        <d v="2022-04-11T18:37:41Z"/>
        <d v="2022-04-11T18:37:37Z"/>
        <d v="2022-04-11T18:37:34Z"/>
        <d v="2022-04-11T18:37:31Z"/>
        <d v="2022-04-11T18:36:54Z"/>
        <d v="2022-04-11T18:36:52Z"/>
        <d v="2022-04-11T18:35:38Z"/>
        <d v="2022-04-11T18:35:04Z"/>
        <d v="2022-04-11T18:34:42Z"/>
        <d v="2022-04-11T18:34:40Z"/>
        <d v="2022-04-11T18:32:51Z"/>
        <d v="2022-04-11T18:32:23Z"/>
        <d v="2022-04-11T18:31:02Z"/>
        <d v="2022-04-11T18:30:52Z"/>
        <d v="2022-04-11T18:30:49Z"/>
        <d v="2022-04-11T18:30:47Z"/>
        <d v="2022-04-11T18:30:45Z"/>
        <d v="2022-04-11T18:29:08Z"/>
        <d v="2022-04-11T18:29:02Z"/>
        <d v="2022-04-11T18:28:16Z"/>
        <d v="2022-04-11T18:28:04Z"/>
        <d v="2022-04-11T18:28:02Z"/>
        <d v="2022-04-11T18:28:01Z"/>
        <d v="2022-04-11T18:27:59Z"/>
        <d v="2022-04-11T18:27:57Z"/>
        <d v="2022-04-11T18:27:42Z"/>
        <d v="2022-04-11T18:27:38Z"/>
        <d v="2022-04-11T18:27:08Z"/>
        <d v="2022-04-11T18:26:47Z"/>
        <d v="2022-04-11T18:26:45Z"/>
        <d v="2022-04-11T18:26:34Z"/>
        <d v="2022-04-11T18:26:26Z"/>
        <d v="2022-04-11T18:24:41Z"/>
        <d v="2022-04-11T18:22:39Z"/>
        <d v="2022-04-11T18:21:36Z"/>
        <d v="2022-04-11T18:21:29Z"/>
        <d v="2022-04-11T18:21:26Z"/>
        <d v="2022-04-11T18:21:22Z"/>
        <d v="2022-04-11T18:20:00Z"/>
        <d v="2022-04-11T18:18:21Z"/>
        <d v="2022-04-11T18:18:17Z"/>
        <d v="2022-04-11T18:17:55Z"/>
        <d v="2022-04-11T18:17:45Z"/>
        <d v="2022-04-11T18:17:24Z"/>
        <d v="2022-04-11T18:17:10Z"/>
        <d v="2022-04-11T18:16:57Z"/>
        <d v="2022-04-11T18:16:55Z"/>
        <d v="2022-04-11T18:16:52Z"/>
        <d v="2022-04-11T18:16:50Z"/>
        <d v="2022-04-11T18:16:46Z"/>
        <d v="2022-04-11T18:16:44Z"/>
        <d v="2022-04-11T18:16:40Z"/>
        <d v="2022-04-11T18:16:32Z"/>
        <d v="2022-04-11T18:16:05Z"/>
        <d v="2022-04-11T18:15:03Z"/>
        <d v="2022-04-11T18:15:01Z"/>
        <d v="2022-04-11T18:13:56Z"/>
        <d v="2022-04-11T18:13:33Z"/>
        <d v="2022-04-11T18:13:28Z"/>
        <d v="2022-04-11T18:13:23Z"/>
        <d v="2022-04-11T18:12:58Z"/>
        <d v="2022-04-11T18:11:17Z"/>
        <d v="2022-04-11T18:10:52Z"/>
        <d v="2022-04-11T18:10:39Z"/>
        <d v="2022-04-11T18:10:35Z"/>
        <d v="2022-04-11T18:10:34Z"/>
        <d v="2022-04-11T18:10:29Z"/>
        <d v="2022-04-11T18:10:10Z"/>
        <d v="2022-04-11T18:09:48Z"/>
        <d v="2022-04-11T18:08:59Z"/>
        <d v="2022-04-11T18:08:42Z"/>
        <d v="2022-04-11T18:07:26Z"/>
        <d v="2022-04-11T18:06:37Z"/>
        <d v="2022-04-11T18:06:31Z"/>
        <d v="2022-04-11T18:06:28Z"/>
        <d v="2022-04-11T18:06:08Z"/>
        <d v="2022-04-11T18:06:02Z"/>
        <d v="2022-04-11T18:05:57Z"/>
        <d v="2022-04-11T18:05:07Z"/>
        <d v="2022-04-11T18:04:57Z"/>
        <d v="2022-04-11T18:04:51Z"/>
        <d v="2022-04-11T18:04:46Z"/>
        <d v="2022-04-11T18:04:44Z"/>
        <d v="2022-04-11T18:04:42Z"/>
        <d v="2022-04-11T18:04:41Z"/>
        <d v="2022-04-11T18:04:36Z"/>
        <d v="2022-04-11T18:04:34Z"/>
        <d v="2022-04-11T18:04:08Z"/>
        <d v="2022-04-11T18:03:41Z"/>
        <d v="2022-04-11T18:03:02Z"/>
        <d v="2022-04-11T18:03:01Z"/>
        <d v="2022-04-11T18:02:44Z"/>
        <d v="2022-04-11T18:02:40Z"/>
        <d v="2022-04-11T18:02:35Z"/>
        <d v="2022-04-11T18:02:27Z"/>
        <d v="2022-04-11T18:02:18Z"/>
        <d v="2022-04-11T18:02:14Z"/>
        <d v="2022-04-11T18:02:08Z"/>
        <d v="2022-04-11T18:02:02Z"/>
        <d v="2022-04-11T18:01:57Z"/>
        <d v="2022-04-11T18:01:55Z"/>
        <d v="2022-04-11T18:01:51Z"/>
        <d v="2022-04-11T18:01:35Z"/>
        <d v="2022-04-11T18:01:20Z"/>
        <d v="2022-04-11T18:01:06Z"/>
        <d v="2022-04-11T18:00:56Z"/>
        <d v="2022-04-11T18:00:53Z"/>
        <d v="2022-04-11T18:00:47Z"/>
        <d v="2022-04-11T18:00:45Z"/>
        <d v="2022-04-11T18:00:44Z"/>
        <d v="2022-04-11T18:00:41Z"/>
        <d v="2022-04-11T18:00:10Z"/>
        <d v="2022-04-11T18:00:01Z"/>
        <d v="2022-04-11T17:59:12Z"/>
        <d v="2022-04-11T17:59:07Z"/>
        <d v="2022-04-11T17:59:03Z"/>
        <d v="2022-04-11T17:59:01Z"/>
        <d v="2022-04-11T17:58:58Z"/>
        <d v="2022-04-11T17:58:52Z"/>
        <d v="2022-04-11T17:58:20Z"/>
        <d v="2022-04-11T17:57:29Z"/>
        <d v="2022-04-11T17:57:27Z"/>
        <d v="2022-04-11T17:57:04Z"/>
        <d v="2022-04-11T17:56:51Z"/>
        <d v="2022-04-11T17:56:46Z"/>
        <d v="2022-04-11T17:56:24Z"/>
        <d v="2022-04-11T17:56:20Z"/>
        <d v="2022-04-11T17:56:01Z"/>
        <d v="2022-04-11T17:54:56Z"/>
        <d v="2022-04-11T17:54:54Z"/>
        <d v="2022-04-11T17:54:52Z"/>
        <d v="2022-04-11T17:54:48Z"/>
        <d v="2022-04-11T17:54:44Z"/>
        <d v="2022-04-11T17:54:42Z"/>
        <d v="2022-04-11T17:54:40Z"/>
        <d v="2022-04-11T17:54:37Z"/>
        <d v="2022-04-11T17:54:32Z"/>
        <d v="2022-04-11T17:54:27Z"/>
        <d v="2022-04-11T17:54:22Z"/>
        <d v="2022-04-11T17:54:18Z"/>
        <d v="2022-04-11T17:53:55Z"/>
        <d v="2022-04-11T17:52:54Z"/>
        <d v="2022-04-11T17:52:52Z"/>
        <d v="2022-04-11T17:52:51Z"/>
        <d v="2022-04-11T17:52:49Z"/>
        <d v="2022-04-11T17:52:46Z"/>
        <d v="2022-04-11T17:52:44Z"/>
        <d v="2022-04-11T17:51:42Z"/>
        <d v="2022-04-11T17:51:35Z"/>
        <d v="2022-04-11T17:50:57Z"/>
        <d v="2022-04-11T17:50:50Z"/>
        <d v="2022-04-11T17:50:04Z"/>
        <d v="2022-04-11T17:50:00Z"/>
        <d v="2022-04-11T17:49:36Z"/>
        <d v="2022-04-11T17:48:58Z"/>
        <d v="2022-04-11T17:48:32Z"/>
        <d v="2022-04-11T17:47:16Z"/>
        <d v="2022-04-11T17:46:19Z"/>
        <d v="2022-04-11T17:46:17Z"/>
        <d v="2022-04-11T17:46:14Z"/>
        <d v="2022-04-11T17:46:12Z"/>
        <d v="2022-04-11T17:45:52Z"/>
        <d v="2022-04-11T17:45:10Z"/>
        <d v="2022-04-11T17:44:44Z"/>
        <d v="2022-04-11T17:44:35Z"/>
        <d v="2022-04-11T17:44:27Z"/>
        <d v="2022-04-11T17:44:19Z"/>
        <d v="2022-04-11T17:43:55Z"/>
        <d v="2022-04-11T17:43:51Z"/>
        <d v="2022-04-11T17:42:49Z"/>
        <d v="2022-04-11T17:41:50Z"/>
        <d v="2022-04-11T17:41:16Z"/>
        <d v="2022-04-11T17:39:39Z"/>
        <d v="2022-04-11T17:37:28Z"/>
        <d v="2022-04-11T17:37:03Z"/>
        <d v="2022-04-11T17:35:51Z"/>
        <d v="2022-04-11T17:35:40Z"/>
        <d v="2022-04-11T17:35:38Z"/>
        <d v="2022-04-11T17:35:28Z"/>
        <d v="2022-04-11T17:35:21Z"/>
        <d v="2022-04-11T17:35:16Z"/>
        <d v="2022-04-11T17:35:07Z"/>
        <d v="2022-04-11T17:35:05Z"/>
        <d v="2022-04-11T17:33:49Z"/>
        <d v="2022-04-11T17:33:24Z"/>
        <d v="2022-04-11T17:32:22Z"/>
        <d v="2022-04-11T17:32:09Z"/>
        <d v="2022-04-11T17:31:30Z"/>
        <d v="2022-04-11T17:29:56Z"/>
        <d v="2022-04-11T17:29:38Z"/>
        <d v="2022-04-11T17:28:51Z"/>
        <d v="2022-04-11T17:28:21Z"/>
        <d v="2022-04-11T17:28:18Z"/>
        <d v="2022-04-11T17:27:54Z"/>
        <d v="2022-04-11T17:27:29Z"/>
        <d v="2022-04-11T17:27:28Z"/>
        <d v="2022-04-11T17:27:26Z"/>
        <d v="2022-04-11T17:27:25Z"/>
        <d v="2022-04-11T17:27:24Z"/>
        <d v="2022-04-11T17:27:23Z"/>
        <d v="2022-04-11T17:27:22Z"/>
        <d v="2022-04-11T17:27:20Z"/>
        <d v="2022-04-11T17:27:19Z"/>
        <d v="2022-04-11T17:27:18Z"/>
        <d v="2022-04-11T17:27:17Z"/>
        <d v="2022-04-11T17:27:15Z"/>
        <d v="2022-04-11T17:27:14Z"/>
        <d v="2022-04-11T17:27:13Z"/>
        <d v="2022-04-11T17:27:11Z"/>
        <d v="2022-04-11T17:27:10Z"/>
        <d v="2022-04-11T17:27:09Z"/>
        <d v="2022-04-11T17:27:07Z"/>
        <d v="2022-04-11T17:27:06Z"/>
        <d v="2022-04-11T17:27:04Z"/>
        <d v="2022-04-11T17:26:22Z"/>
        <d v="2022-04-11T17:26:20Z"/>
        <d v="2022-04-11T17:26:09Z"/>
        <d v="2022-04-11T17:25:45Z"/>
        <d v="2022-04-11T17:25:23Z"/>
        <d v="2022-04-11T17:24:04Z"/>
        <d v="2022-04-11T17:22:09Z"/>
        <d v="2022-04-11T17:22:07Z"/>
        <d v="2022-04-11T17:21:08Z"/>
        <d v="2022-04-11T17:20:21Z"/>
        <d v="2022-04-11T17:17:57Z"/>
        <d v="2022-04-11T17:17:53Z"/>
        <d v="2022-04-11T17:17:51Z"/>
        <d v="2022-04-11T17:17:50Z"/>
        <d v="2022-04-11T17:17:48Z"/>
        <d v="2022-04-11T17:17:42Z"/>
        <d v="2022-04-11T17:17:40Z"/>
        <d v="2022-04-11T17:16:39Z"/>
        <d v="2022-04-11T17:16:35Z"/>
        <d v="2022-04-11T17:16:33Z"/>
        <d v="2022-04-11T17:16:28Z"/>
        <d v="2022-04-11T17:15:06Z"/>
        <d v="2022-04-11T17:15:05Z"/>
        <d v="2022-04-11T17:13:34Z"/>
        <d v="2022-04-11T17:13:11Z"/>
        <d v="2022-04-11T17:12:24Z"/>
        <d v="2022-04-11T17:12:18Z"/>
        <d v="2022-04-11T17:12:14Z"/>
        <d v="2022-04-11T17:12:09Z"/>
        <d v="2022-04-11T17:12:00Z"/>
        <d v="2022-04-11T17:11:54Z"/>
        <d v="2022-04-11T17:11:49Z"/>
        <d v="2022-04-11T17:11:11Z"/>
        <d v="2022-04-11T17:11:01Z"/>
        <d v="2022-04-11T17:10:52Z"/>
        <d v="2022-04-11T17:10:50Z"/>
        <d v="2022-04-11T17:10:48Z"/>
        <d v="2022-04-11T17:10:43Z"/>
        <d v="2022-04-11T17:10:35Z"/>
        <d v="2022-04-11T17:10:02Z"/>
        <d v="2022-04-11T17:09:35Z"/>
        <d v="2022-04-11T17:08:58Z"/>
        <d v="2022-04-11T17:08:49Z"/>
        <d v="2022-04-11T17:08:45Z"/>
        <d v="2022-04-11T17:08:40Z"/>
        <d v="2022-04-11T17:08:28Z"/>
        <d v="2022-04-11T17:08:26Z"/>
        <d v="2022-04-11T17:08:07Z"/>
        <d v="2022-04-11T17:07:08Z"/>
        <d v="2022-04-11T17:06:04Z"/>
        <d v="2022-04-11T17:06:02Z"/>
        <d v="2022-04-11T17:04:22Z"/>
        <d v="2022-04-11T17:02:36Z"/>
        <d v="2022-04-11T17:02:21Z"/>
        <d v="2022-04-11T17:02:13Z"/>
        <d v="2022-04-11T17:01:42Z"/>
        <d v="2022-04-11T17:01:34Z"/>
        <d v="2022-04-11T17:01:10Z"/>
        <d v="2022-04-11T17:01:07Z"/>
        <d v="2022-04-11T17:01:03Z"/>
        <d v="2022-04-11T17:00:54Z"/>
        <d v="2022-04-11T17:00:52Z"/>
        <d v="2022-04-11T16:59:19Z"/>
        <d v="2022-04-11T16:58:59Z"/>
        <d v="2022-04-11T16:58:55Z"/>
        <d v="2022-04-11T16:58:52Z"/>
        <d v="2022-04-11T16:58:36Z"/>
        <d v="2022-04-11T16:57:13Z"/>
        <d v="2022-04-11T16:56:22Z"/>
        <d v="2022-04-11T16:56:19Z"/>
        <d v="2022-04-11T16:56:08Z"/>
        <d v="2022-04-11T16:55:57Z"/>
        <d v="2022-04-11T16:55:50Z"/>
        <d v="2022-04-11T16:55:48Z"/>
        <d v="2022-04-11T16:55:44Z"/>
        <d v="2022-04-11T16:55:43Z"/>
        <d v="2022-04-11T16:55:31Z"/>
        <d v="2022-04-11T16:55:12Z"/>
        <d v="2022-04-11T16:55:10Z"/>
        <d v="2022-04-11T16:54:25Z"/>
        <d v="2022-04-11T16:53:55Z"/>
        <d v="2022-04-11T16:53:49Z"/>
        <d v="2022-04-11T16:53:48Z"/>
        <d v="2022-04-11T16:53:46Z"/>
        <d v="2022-04-11T16:53:43Z"/>
        <d v="2022-04-11T16:53:41Z"/>
        <d v="2022-04-11T16:53:37Z"/>
        <d v="2022-04-11T16:53:35Z"/>
        <d v="2022-04-11T16:53:00Z"/>
        <d v="2022-04-11T16:52:56Z"/>
        <d v="2022-04-11T16:52:55Z"/>
        <d v="2022-04-11T16:52:53Z"/>
        <d v="2022-04-11T16:52:50Z"/>
        <d v="2022-04-11T16:52:49Z"/>
        <d v="2022-04-11T16:52:47Z"/>
        <d v="2022-04-11T16:52:45Z"/>
        <d v="2022-04-11T16:52:43Z"/>
        <d v="2022-04-11T16:52:39Z"/>
        <d v="2022-04-11T16:52:23Z"/>
        <d v="2022-04-11T16:52:22Z"/>
        <d v="2022-04-11T16:52:15Z"/>
        <d v="2022-04-11T16:52:14Z"/>
        <d v="2022-04-11T16:52:07Z"/>
        <d v="2022-04-11T16:52:05Z"/>
        <d v="2022-04-11T16:52:03Z"/>
        <d v="2022-04-11T16:51:41Z"/>
        <d v="2022-04-11T16:51:17Z"/>
        <d v="2022-04-11T16:51:15Z"/>
        <d v="2022-04-11T16:50:52Z"/>
        <d v="2022-04-11T16:50:22Z"/>
        <d v="2022-04-11T16:50:21Z"/>
        <d v="2022-04-11T16:50:20Z"/>
        <d v="2022-04-11T16:50:19Z"/>
        <d v="2022-04-11T16:50:18Z"/>
        <d v="2022-04-11T16:50:17Z"/>
        <d v="2022-04-11T16:50:16Z"/>
        <d v="2022-04-11T16:50:15Z"/>
        <d v="2022-04-11T16:50:14Z"/>
        <d v="2022-04-11T16:50:12Z"/>
        <d v="2022-04-11T16:50:11Z"/>
        <d v="2022-04-11T16:50:10Z"/>
        <d v="2022-04-11T16:50:09Z"/>
        <d v="2022-04-11T16:50:08Z"/>
        <d v="2022-04-11T16:50:07Z"/>
        <d v="2022-04-11T16:50:06Z"/>
        <d v="2022-04-11T16:50:05Z"/>
        <d v="2022-04-11T16:50:04Z"/>
        <d v="2022-04-11T16:50:03Z"/>
        <d v="2022-04-11T16:50:02Z"/>
        <d v="2022-04-11T16:50:01Z"/>
        <d v="2022-04-11T16:50:00Z"/>
        <d v="2022-04-11T16:49:59Z"/>
        <d v="2022-04-11T16:49:58Z"/>
        <d v="2022-04-11T16:49:57Z"/>
        <d v="2022-04-11T16:49:56Z"/>
        <d v="2022-04-11T16:49:55Z"/>
        <d v="2022-04-11T16:49:54Z"/>
        <d v="2022-04-11T16:49:53Z"/>
        <d v="2022-04-11T16:49:51Z"/>
        <d v="2022-04-11T16:49:50Z"/>
        <d v="2022-04-11T16:49:49Z"/>
        <d v="2022-04-11T16:49:48Z"/>
        <d v="2022-04-11T16:49:47Z"/>
        <d v="2022-04-11T16:49:46Z"/>
        <d v="2022-04-11T16:49:45Z"/>
        <d v="2022-04-11T16:49:44Z"/>
        <d v="2022-04-11T16:49:43Z"/>
        <d v="2022-04-11T16:49:42Z"/>
        <d v="2022-04-11T16:49:41Z"/>
        <d v="2022-04-11T16:49:40Z"/>
        <d v="2022-04-11T16:49:39Z"/>
        <d v="2022-04-11T16:49:22Z"/>
        <d v="2022-04-11T16:49:19Z"/>
        <d v="2022-04-11T16:49:15Z"/>
        <d v="2022-04-11T16:47:58Z"/>
        <d v="2022-04-11T16:47:39Z"/>
        <d v="2022-04-11T16:46:44Z"/>
        <d v="2022-04-11T16:46:37Z"/>
        <d v="2022-04-11T16:46:35Z"/>
        <d v="2022-04-11T16:46:04Z"/>
        <d v="2022-04-11T16:45:59Z"/>
        <d v="2022-04-11T16:45:13Z"/>
        <d v="2022-04-11T16:45:10Z"/>
        <d v="2022-04-11T16:45:06Z"/>
        <d v="2022-04-11T16:44:19Z"/>
        <d v="2022-04-11T16:44:17Z"/>
        <d v="2022-04-11T16:44:08Z"/>
        <d v="2022-04-11T16:43:46Z"/>
        <d v="2022-04-11T16:43:26Z"/>
        <d v="2022-04-11T16:43:00Z"/>
        <d v="2022-04-11T16:42:57Z"/>
        <d v="2022-04-11T16:42:55Z"/>
        <d v="2022-04-11T16:42:53Z"/>
        <d v="2022-04-11T16:42:51Z"/>
        <d v="2022-04-11T16:42:42Z"/>
        <d v="2022-04-11T16:42:39Z"/>
        <d v="2022-04-11T16:42:37Z"/>
        <d v="2022-04-11T16:42:34Z"/>
        <d v="2022-04-11T16:41:58Z"/>
        <d v="2022-04-11T16:41:53Z"/>
        <d v="2022-04-11T16:41:49Z"/>
        <d v="2022-04-11T16:41:45Z"/>
        <d v="2022-04-11T16:41:41Z"/>
        <d v="2022-04-11T16:41:38Z"/>
        <d v="2022-04-11T16:41:36Z"/>
        <d v="2022-04-11T16:41:35Z"/>
        <d v="2022-04-11T16:41:33Z"/>
        <d v="2022-04-11T16:41:31Z"/>
        <d v="2022-04-11T16:41:29Z"/>
        <d v="2022-04-11T16:41:28Z"/>
        <d v="2022-04-11T16:41:26Z"/>
        <d v="2022-04-11T16:41:24Z"/>
        <d v="2022-04-11T16:41:23Z"/>
        <d v="2022-04-11T16:41:21Z"/>
        <d v="2022-04-11T16:41:20Z"/>
        <d v="2022-04-11T16:41:15Z"/>
        <d v="2022-04-11T16:41:13Z"/>
        <d v="2022-04-11T16:41:10Z"/>
        <d v="2022-04-11T16:41:09Z"/>
        <d v="2022-04-11T16:41:07Z"/>
        <d v="2022-04-11T16:41:05Z"/>
        <d v="2022-04-11T16:41:04Z"/>
        <d v="2022-04-11T16:41:02Z"/>
        <d v="2022-04-11T16:41:01Z"/>
        <d v="2022-04-11T16:41:00Z"/>
        <d v="2022-04-11T16:40:58Z"/>
        <d v="2022-04-11T16:40:54Z"/>
        <d v="2022-04-11T16:40:49Z"/>
        <d v="2022-04-11T16:38:28Z"/>
        <d v="2022-04-11T16:38:22Z"/>
        <d v="2022-04-11T16:38:14Z"/>
        <d v="2022-04-11T16:38:12Z"/>
        <d v="2022-04-11T16:38:07Z"/>
        <d v="2022-04-11T16:38:01Z"/>
        <d v="2022-04-11T16:37:50Z"/>
        <d v="2022-04-11T16:37:45Z"/>
        <d v="2022-04-11T16:37:42Z"/>
        <d v="2022-04-11T16:37:13Z"/>
        <d v="2022-04-11T16:36:51Z"/>
        <d v="2022-04-11T16:36:47Z"/>
        <d v="2022-04-11T16:36:35Z"/>
        <d v="2022-04-11T16:36:30Z"/>
        <d v="2022-04-11T16:36:26Z"/>
        <d v="2022-04-11T16:36:13Z"/>
        <d v="2022-04-11T16:34:51Z"/>
        <d v="2022-04-11T16:34:41Z"/>
        <d v="2022-04-11T16:34:37Z"/>
        <d v="2022-04-11T16:34:32Z"/>
        <d v="2022-04-11T16:34:28Z"/>
        <d v="2022-04-11T16:34:20Z"/>
        <d v="2022-04-11T16:34:19Z"/>
        <d v="2022-04-11T16:34:17Z"/>
        <d v="2022-04-11T16:34:16Z"/>
        <d v="2022-04-11T16:34:14Z"/>
        <d v="2022-04-11T16:34:13Z"/>
        <d v="2022-04-11T16:34:11Z"/>
        <d v="2022-04-11T16:34:03Z"/>
        <d v="2022-04-11T16:33:48Z"/>
        <d v="2022-04-11T16:33:45Z"/>
        <d v="2022-04-11T16:33:42Z"/>
        <d v="2022-04-11T16:33:35Z"/>
        <d v="2022-04-11T16:33:29Z"/>
        <d v="2022-04-11T16:33:26Z"/>
        <d v="2022-04-11T16:33:23Z"/>
        <d v="2022-04-11T16:33:20Z"/>
        <d v="2022-04-11T16:33:18Z"/>
        <d v="2022-04-11T16:33:17Z"/>
        <d v="2022-04-11T16:33:13Z"/>
        <d v="2022-04-11T16:32:33Z"/>
        <d v="2022-04-11T16:32:31Z"/>
        <d v="2022-04-11T16:32:11Z"/>
        <d v="2022-04-11T16:32:08Z"/>
        <d v="2022-04-11T16:32:05Z"/>
        <d v="2022-04-11T16:31:57Z"/>
        <d v="2022-04-11T16:30:44Z"/>
        <d v="2022-04-11T16:29:46Z"/>
        <d v="2022-04-11T16:28:41Z"/>
        <d v="2022-04-11T16:24:10Z"/>
        <d v="2022-04-11T16:23:57Z"/>
        <d v="2022-04-11T16:23:50Z"/>
        <d v="2022-04-11T16:23:43Z"/>
        <d v="2022-04-11T16:23:41Z"/>
        <d v="2022-04-11T16:23:40Z"/>
        <d v="2022-04-11T16:23:31Z"/>
        <d v="2022-04-11T16:23:14Z"/>
        <d v="2022-04-11T16:22:25Z"/>
        <d v="2022-04-11T16:22:16Z"/>
        <d v="2022-04-11T16:22:11Z"/>
        <d v="2022-04-11T16:21:45Z"/>
        <d v="2022-04-11T16:21:29Z"/>
        <d v="2022-04-11T16:21:04Z"/>
        <d v="2022-04-11T16:20:37Z"/>
        <d v="2022-04-11T16:20:34Z"/>
        <d v="2022-04-11T16:20:31Z"/>
        <d v="2022-04-11T16:19:26Z"/>
        <d v="2022-04-11T16:19:20Z"/>
        <d v="2022-04-11T16:18:39Z"/>
        <d v="2022-04-11T16:18:12Z"/>
        <d v="2022-04-11T16:17:29Z"/>
        <d v="2022-04-11T16:17:04Z"/>
        <d v="2022-04-11T16:16:49Z"/>
        <d v="2022-04-11T16:15:50Z"/>
        <d v="2022-04-11T16:15:49Z"/>
        <d v="2022-04-11T16:15:47Z"/>
        <d v="2022-04-11T16:15:44Z"/>
        <d v="2022-04-11T16:15:38Z"/>
        <d v="2022-04-11T16:15:32Z"/>
        <d v="2022-04-11T16:15:27Z"/>
        <d v="2022-04-11T16:15:26Z"/>
        <d v="2022-04-11T16:15:16Z"/>
        <d v="2022-04-11T16:15:10Z"/>
        <d v="2022-04-11T16:15:08Z"/>
        <d v="2022-04-11T16:15:06Z"/>
        <d v="2022-04-11T16:15:04Z"/>
        <d v="2022-04-11T16:14:20Z"/>
        <d v="2022-04-11T16:14:19Z"/>
        <d v="2022-04-11T16:14:09Z"/>
        <d v="2022-04-11T16:13:50Z"/>
        <d v="2022-04-11T16:13:23Z"/>
        <d v="2022-04-11T16:13:07Z"/>
        <d v="2022-04-11T16:13:05Z"/>
        <d v="2022-04-11T16:12:43Z"/>
        <d v="2022-04-11T16:12:39Z"/>
        <d v="2022-04-11T16:12:22Z"/>
        <d v="2022-04-11T16:11:45Z"/>
        <d v="2022-04-11T16:11:42Z"/>
        <d v="2022-04-11T16:11:41Z"/>
        <d v="2022-04-11T16:11:31Z"/>
        <d v="2022-04-11T16:11:30Z"/>
        <d v="2022-04-11T16:11:29Z"/>
        <d v="2022-04-11T16:11:28Z"/>
        <d v="2022-04-11T16:11:26Z"/>
        <d v="2022-04-11T16:11:25Z"/>
        <d v="2022-04-11T16:11:09Z"/>
        <d v="2022-04-11T16:11:06Z"/>
        <d v="2022-04-11T16:10:58Z"/>
        <d v="2022-04-11T16:10:52Z"/>
        <d v="2022-04-11T16:10:51Z"/>
        <d v="2022-04-11T16:10:49Z"/>
        <d v="2022-04-11T16:10:48Z"/>
        <d v="2022-04-11T16:10:42Z"/>
        <d v="2022-04-11T16:10:40Z"/>
        <d v="2022-04-11T16:10:39Z"/>
        <d v="2022-04-11T16:10:37Z"/>
        <d v="2022-04-11T16:10:34Z"/>
        <d v="2022-04-11T16:10:26Z"/>
        <d v="2022-04-11T16:09:55Z"/>
        <d v="2022-04-11T16:09:25Z"/>
        <d v="2022-04-11T16:09:17Z"/>
        <d v="2022-04-11T16:08:56Z"/>
        <d v="2022-04-11T16:08:27Z"/>
        <d v="2022-04-11T16:08:25Z"/>
        <d v="2022-04-11T16:07:46Z"/>
        <d v="2022-04-11T16:07:44Z"/>
        <d v="2022-04-11T16:07:43Z"/>
        <d v="2022-04-11T16:07:41Z"/>
        <d v="2022-04-11T16:07:37Z"/>
        <d v="2022-04-11T16:07:36Z"/>
        <d v="2022-04-11T16:07:34Z"/>
        <d v="2022-04-11T16:07:33Z"/>
        <d v="2022-04-11T16:07:29Z"/>
        <d v="2022-04-11T16:07:27Z"/>
        <d v="2022-04-11T16:07:25Z"/>
        <d v="2022-04-11T16:07:16Z"/>
        <d v="2022-04-11T16:07:10Z"/>
        <d v="2022-04-11T16:06:14Z"/>
        <d v="2022-04-11T16:06:09Z"/>
        <d v="2022-04-11T16:05:43Z"/>
        <d v="2022-04-11T16:05:36Z"/>
        <d v="2022-04-11T16:04:25Z"/>
        <d v="2022-04-11T16:04:23Z"/>
        <d v="2022-04-11T16:04:20Z"/>
        <d v="2022-04-11T16:04:18Z"/>
        <d v="2022-04-11T16:04:15Z"/>
        <d v="2022-04-11T16:03:49Z"/>
        <d v="2022-04-11T16:03:40Z"/>
        <d v="2022-04-11T16:03:37Z"/>
        <d v="2022-04-11T16:03:07Z"/>
        <d v="2022-04-11T16:03:01Z"/>
        <d v="2022-04-11T16:03:00Z"/>
        <d v="2022-04-11T16:02:57Z"/>
        <d v="2022-04-11T16:02:54Z"/>
        <d v="2022-04-11T16:02:52Z"/>
        <d v="2022-04-11T16:02:47Z"/>
        <d v="2022-04-11T16:02:45Z"/>
        <d v="2022-04-11T16:02:38Z"/>
        <d v="2022-04-11T16:02:34Z"/>
        <d v="2022-04-11T16:02:31Z"/>
        <d v="2022-04-11T16:02:28Z"/>
        <d v="2022-04-11T16:02:25Z"/>
        <d v="2022-04-11T16:02:13Z"/>
        <d v="2022-04-11T16:01:25Z"/>
        <d v="2022-04-11T16:01:24Z"/>
        <d v="2022-04-11T16:01:03Z"/>
        <d v="2022-04-11T16:00:14Z"/>
        <d v="2022-04-11T16:00:11Z"/>
        <d v="2022-04-11T16:00:07Z"/>
        <d v="2022-04-11T16:00:04Z"/>
        <d v="2022-04-11T16:00:02Z"/>
        <d v="2022-04-11T15:59:56Z"/>
        <d v="2022-04-11T15:59:51Z"/>
        <d v="2022-04-11T15:59:45Z"/>
        <d v="2022-04-11T15:59:41Z"/>
        <d v="2022-04-11T15:59:37Z"/>
        <d v="2022-04-11T15:59:31Z"/>
        <d v="2022-04-11T15:59:30Z"/>
        <d v="2022-04-11T15:58:45Z"/>
        <d v="2022-04-11T15:58:27Z"/>
        <d v="2022-04-11T15:58:22Z"/>
        <d v="2022-04-11T15:58:19Z"/>
        <d v="2022-04-11T15:58:01Z"/>
        <d v="2022-04-11T15:57:32Z"/>
        <d v="2022-04-11T15:57:20Z"/>
        <d v="2022-04-11T15:57:02Z"/>
        <d v="2022-04-11T15:57:00Z"/>
        <d v="2022-04-11T15:56:53Z"/>
        <d v="2022-04-11T15:56:50Z"/>
        <d v="2022-04-11T15:56:42Z"/>
        <d v="2022-04-11T15:56:12Z"/>
        <d v="2022-04-11T15:56:10Z"/>
        <d v="2022-04-11T15:55:58Z"/>
        <d v="2022-04-11T15:55:31Z"/>
        <d v="2022-04-11T15:55:18Z"/>
        <d v="2022-04-11T15:55:14Z"/>
        <d v="2022-04-11T15:54:48Z"/>
        <d v="2022-04-11T15:54:41Z"/>
        <d v="2022-04-11T15:54:37Z"/>
        <d v="2022-04-11T15:54:29Z"/>
        <d v="2022-04-11T15:54:27Z"/>
        <d v="2022-04-11T15:54:26Z"/>
        <d v="2022-04-11T15:54:22Z"/>
        <d v="2022-04-11T15:54:17Z"/>
        <d v="2022-04-11T15:54:11Z"/>
        <d v="2022-04-11T15:53:58Z"/>
        <d v="2022-04-11T15:53:55Z"/>
        <d v="2022-04-11T15:53:52Z"/>
        <d v="2022-04-11T15:52:39Z"/>
        <d v="2022-04-11T15:52:13Z"/>
        <d v="2022-04-11T15:52:12Z"/>
        <d v="2022-04-11T15:52:08Z"/>
        <d v="2022-04-11T15:52:07Z"/>
        <d v="2022-04-11T15:52:06Z"/>
        <d v="2022-04-11T15:52:05Z"/>
        <d v="2022-04-11T15:52:02Z"/>
        <d v="2022-04-11T15:52:01Z"/>
        <d v="2022-04-11T15:51:56Z"/>
        <d v="2022-04-11T15:51:34Z"/>
        <d v="2022-04-11T15:51:30Z"/>
        <d v="2022-04-11T15:51:28Z"/>
        <d v="2022-04-11T15:51:19Z"/>
        <d v="2022-04-11T15:51:16Z"/>
        <d v="2022-04-11T15:51:14Z"/>
        <d v="2022-04-11T15:51:05Z"/>
        <d v="2022-04-11T15:51:03Z"/>
        <d v="2022-04-11T15:50:50Z"/>
        <d v="2022-04-11T15:50:47Z"/>
        <d v="2022-04-11T15:50:32Z"/>
        <d v="2022-04-11T15:50:29Z"/>
        <d v="2022-04-11T15:50:25Z"/>
        <d v="2022-04-11T15:50:23Z"/>
        <d v="2022-04-11T15:50:21Z"/>
        <d v="2022-04-11T15:50:19Z"/>
        <d v="2022-04-11T15:50:15Z"/>
        <d v="2022-04-11T15:50:02Z"/>
        <d v="2022-04-11T15:49:57Z"/>
        <d v="2022-04-11T15:49:56Z"/>
        <d v="2022-04-11T15:49:55Z"/>
        <d v="2022-04-11T15:49:53Z"/>
        <d v="2022-04-11T15:49:52Z"/>
        <d v="2022-04-11T15:49:51Z"/>
        <d v="2022-04-11T15:49:43Z"/>
        <d v="2022-04-11T15:49:42Z"/>
        <d v="2022-04-11T15:49:40Z"/>
        <d v="2022-04-11T15:49:38Z"/>
        <d v="2022-04-11T15:49:34Z"/>
        <d v="2022-04-11T15:49:32Z"/>
        <d v="2022-04-11T15:49:30Z"/>
        <d v="2022-04-11T15:49:28Z"/>
        <d v="2022-04-11T15:48:57Z"/>
        <d v="2022-04-11T15:48:49Z"/>
        <d v="2022-04-11T15:48:44Z"/>
        <d v="2022-04-11T15:48:38Z"/>
        <d v="2022-04-11T15:48:36Z"/>
        <d v="2022-04-11T15:48:32Z"/>
        <d v="2022-04-11T15:48:30Z"/>
        <d v="2022-04-11T15:48:28Z"/>
        <d v="2022-04-11T15:48:27Z"/>
        <d v="2022-04-11T15:48:24Z"/>
        <d v="2022-04-11T15:48:23Z"/>
        <d v="2022-04-11T15:48:22Z"/>
        <d v="2022-04-11T15:48:18Z"/>
        <d v="2022-04-11T15:48:09Z"/>
        <d v="2022-04-11T15:47:31Z"/>
        <d v="2022-04-11T15:47:26Z"/>
        <d v="2022-04-11T15:47:25Z"/>
        <d v="2022-04-11T15:46:49Z"/>
        <d v="2022-04-11T15:46:40Z"/>
        <d v="2022-04-11T15:46:38Z"/>
        <d v="2022-04-11T15:46:37Z"/>
        <d v="2022-04-11T15:46:33Z"/>
        <d v="2022-04-11T15:46:32Z"/>
        <d v="2022-04-11T15:46:19Z"/>
        <d v="2022-04-11T15:46:18Z"/>
        <d v="2022-04-11T15:46:16Z"/>
        <d v="2022-04-11T15:46:13Z"/>
        <d v="2022-04-11T15:46:11Z"/>
        <d v="2022-04-11T15:46:09Z"/>
        <d v="2022-04-11T15:46:06Z"/>
        <d v="2022-04-11T15:46:05Z"/>
        <d v="2022-04-11T15:46:04Z"/>
        <d v="2022-04-11T15:46:00Z"/>
        <d v="2022-04-11T15:45:52Z"/>
        <d v="2022-04-11T15:45:44Z"/>
        <d v="2022-04-11T15:45:25Z"/>
        <d v="2022-04-11T15:44:36Z"/>
        <d v="2022-04-11T15:44:30Z"/>
        <d v="2022-04-11T15:44:26Z"/>
        <d v="2022-04-11T15:44:25Z"/>
        <d v="2022-04-11T15:44:24Z"/>
        <d v="2022-04-11T15:44:08Z"/>
        <d v="2022-04-11T15:43:33Z"/>
        <d v="2022-04-11T15:41:42Z"/>
        <d v="2022-04-11T15:41:05Z"/>
        <d v="2022-04-11T15:41:00Z"/>
        <d v="2022-04-11T15:40:53Z"/>
        <d v="2022-04-11T15:40:45Z"/>
        <d v="2022-04-11T15:40:39Z"/>
        <d v="2022-04-11T15:40:28Z"/>
        <d v="2022-04-11T15:40:26Z"/>
        <d v="2022-04-11T15:40:20Z"/>
        <d v="2022-04-11T15:40:18Z"/>
        <d v="2022-04-11T15:40:17Z"/>
        <d v="2022-04-11T15:40:14Z"/>
        <d v="2022-04-11T15:40:08Z"/>
        <d v="2022-04-11T15:40:04Z"/>
        <d v="2022-04-11T15:40:02Z"/>
        <d v="2022-04-11T15:39:59Z"/>
        <d v="2022-04-11T15:39:55Z"/>
        <d v="2022-04-11T15:39:31Z"/>
        <d v="2022-04-11T15:38:43Z"/>
        <d v="2022-04-11T15:38:37Z"/>
        <d v="2022-04-11T15:38:28Z"/>
        <d v="2022-04-11T15:38:24Z"/>
        <d v="2022-04-11T15:38:11Z"/>
        <d v="2022-04-11T15:36:38Z"/>
        <d v="2022-04-11T15:36:36Z"/>
        <d v="2022-04-11T15:36:31Z"/>
        <d v="2022-04-11T15:36:29Z"/>
        <d v="2022-04-11T15:36:06Z"/>
        <d v="2022-04-11T15:35:33Z"/>
        <d v="2022-04-11T15:35:03Z"/>
        <d v="2022-04-11T15:35:00Z"/>
        <d v="2022-04-11T15:34:58Z"/>
        <d v="2022-04-11T15:34:30Z"/>
        <d v="2022-04-11T15:34:27Z"/>
        <d v="2022-04-11T15:34:25Z"/>
        <d v="2022-04-11T15:34:22Z"/>
        <d v="2022-04-11T15:34:10Z"/>
        <d v="2022-04-11T15:34:06Z"/>
        <d v="2022-04-11T15:33:34Z"/>
        <d v="2022-04-11T15:33:02Z"/>
        <d v="2022-04-11T15:32:59Z"/>
        <d v="2022-04-11T15:32:56Z"/>
        <d v="2022-04-11T15:32:53Z"/>
        <d v="2022-04-11T15:32:51Z"/>
        <d v="2022-04-11T15:32:49Z"/>
        <d v="2022-04-11T15:32:43Z"/>
        <d v="2022-04-11T15:32:22Z"/>
        <d v="2022-04-11T15:32:21Z"/>
        <d v="2022-04-11T15:32:20Z"/>
        <d v="2022-04-11T15:32:19Z"/>
        <d v="2022-04-11T15:32:17Z"/>
        <d v="2022-04-11T15:32:16Z"/>
        <d v="2022-04-11T15:32:15Z"/>
        <d v="2022-04-11T15:32:13Z"/>
        <d v="2022-04-11T15:32:08Z"/>
        <d v="2022-04-11T15:32:06Z"/>
        <d v="2022-04-11T15:31:29Z"/>
        <d v="2022-04-11T15:31:11Z"/>
        <d v="2022-04-11T15:31:08Z"/>
        <d v="2022-04-11T15:31:02Z"/>
        <d v="2022-04-11T15:30:58Z"/>
        <d v="2022-04-11T15:30:54Z"/>
        <d v="2022-04-11T15:30:49Z"/>
        <d v="2022-04-11T15:30:46Z"/>
        <d v="2022-04-11T15:28:06Z"/>
        <d v="2022-04-11T15:27:15Z"/>
        <d v="2022-04-11T15:26:51Z"/>
        <d v="2022-04-11T15:26:45Z"/>
        <d v="2022-04-11T15:26:18Z"/>
        <d v="2022-04-11T15:26:05Z"/>
        <d v="2022-04-11T15:23:00Z"/>
        <d v="2022-04-11T15:22:08Z"/>
        <d v="2022-04-11T15:22:06Z"/>
        <d v="2022-04-11T15:22:02Z"/>
        <d v="2022-04-11T15:21:28Z"/>
        <d v="2022-04-11T15:21:07Z"/>
        <d v="2022-04-11T15:21:02Z"/>
        <d v="2022-04-11T15:20:48Z"/>
        <d v="2022-04-11T15:20:40Z"/>
        <d v="2022-04-11T15:20:04Z"/>
        <d v="2022-04-11T15:19:54Z"/>
        <d v="2022-04-11T15:19:46Z"/>
        <d v="2022-04-11T15:19:38Z"/>
        <d v="2022-04-11T15:19:29Z"/>
        <d v="2022-04-11T15:19:08Z"/>
        <d v="2022-04-11T15:18:47Z"/>
        <d v="2022-04-11T15:18:45Z"/>
        <d v="2022-04-11T15:18:44Z"/>
        <d v="2022-04-11T15:18:41Z"/>
        <d v="2022-04-11T15:18:39Z"/>
        <d v="2022-04-11T15:18:32Z"/>
        <d v="2022-04-11T15:18:10Z"/>
        <d v="2022-04-11T15:18:06Z"/>
        <d v="2022-04-11T15:18:05Z"/>
        <d v="2022-04-11T15:18:00Z"/>
        <d v="2022-04-11T15:17:46Z"/>
        <d v="2022-04-11T15:17:44Z"/>
        <d v="2022-04-11T15:17:43Z"/>
        <d v="2022-04-11T15:17:41Z"/>
        <d v="2022-04-11T15:17:30Z"/>
        <d v="2022-04-11T15:17:28Z"/>
        <d v="2022-04-11T15:17:27Z"/>
        <d v="2022-04-11T15:17:26Z"/>
        <d v="2022-04-11T15:17:24Z"/>
        <d v="2022-04-11T15:17:22Z"/>
        <d v="2022-04-11T15:17:20Z"/>
        <d v="2022-04-11T15:17:19Z"/>
        <d v="2022-04-11T15:17:18Z"/>
        <d v="2022-04-11T15:17:17Z"/>
        <d v="2022-04-11T15:17:13Z"/>
        <d v="2022-04-11T15:17:11Z"/>
        <d v="2022-04-11T15:17:09Z"/>
        <d v="2022-04-11T15:17:07Z"/>
        <d v="2022-04-11T15:16:49Z"/>
        <d v="2022-04-11T15:16:47Z"/>
        <d v="2022-04-11T15:16:46Z"/>
        <d v="2022-04-11T15:16:45Z"/>
        <d v="2022-04-11T15:16:43Z"/>
        <d v="2022-04-11T15:16:42Z"/>
        <d v="2022-04-11T15:16:40Z"/>
        <d v="2022-04-11T15:16:36Z"/>
        <d v="2022-04-11T15:16:08Z"/>
        <d v="2022-04-11T15:16:06Z"/>
        <d v="2022-04-11T15:16:02Z"/>
        <d v="2022-04-11T15:15:39Z"/>
        <d v="2022-04-11T15:15:34Z"/>
        <d v="2022-04-11T15:13:23Z"/>
        <d v="2022-04-11T15:12:33Z"/>
        <d v="2022-04-11T15:11:45Z"/>
        <d v="2022-04-11T15:11:37Z"/>
        <d v="2022-04-11T15:11:35Z"/>
        <d v="2022-04-11T15:11:32Z"/>
        <d v="2022-04-11T15:11:28Z"/>
        <d v="2022-04-11T15:11:27Z"/>
        <d v="2022-04-11T15:11:22Z"/>
        <d v="2022-04-11T15:11:20Z"/>
        <d v="2022-04-11T15:11:17Z"/>
        <d v="2022-04-11T15:11:16Z"/>
        <d v="2022-04-11T15:11:11Z"/>
        <d v="2022-04-11T15:11:08Z"/>
        <d v="2022-04-11T15:11:06Z"/>
        <d v="2022-04-11T15:11:05Z"/>
        <d v="2022-04-11T15:11:01Z"/>
        <d v="2022-04-11T15:10:55Z"/>
        <d v="2022-04-11T15:10:53Z"/>
        <d v="2022-04-11T15:10:51Z"/>
        <d v="2022-04-11T15:10:50Z"/>
        <d v="2022-04-11T15:10:46Z"/>
        <d v="2022-04-11T15:10:38Z"/>
        <d v="2022-04-11T15:10:33Z"/>
        <d v="2022-04-11T15:10:30Z"/>
        <d v="2022-04-11T15:10:06Z"/>
        <d v="2022-04-11T15:10:05Z"/>
        <d v="2022-04-11T15:09:59Z"/>
        <d v="2022-04-11T15:09:32Z"/>
        <d v="2022-04-11T15:09:28Z"/>
        <d v="2022-04-11T15:08:59Z"/>
        <d v="2022-04-11T15:08:29Z"/>
        <d v="2022-04-11T15:08:24Z"/>
        <d v="2022-04-11T15:06:09Z"/>
        <d v="2022-04-11T15:05:58Z"/>
        <d v="2022-04-11T15:05:49Z"/>
        <d v="2022-04-11T15:05:41Z"/>
        <d v="2022-04-11T15:05:21Z"/>
        <d v="2022-04-11T15:05:07Z"/>
        <d v="2022-04-11T15:05:05Z"/>
        <d v="2022-04-11T15:04:35Z"/>
        <d v="2022-04-11T15:04:29Z"/>
        <d v="2022-04-11T15:04:26Z"/>
        <d v="2022-04-11T15:04:07Z"/>
        <d v="2022-04-11T15:04:05Z"/>
        <d v="2022-04-11T15:04:04Z"/>
        <d v="2022-04-11T15:04:02Z"/>
        <d v="2022-04-11T15:04:00Z"/>
        <d v="2022-04-11T15:03:58Z"/>
        <d v="2022-04-11T15:03:56Z"/>
        <d v="2022-04-11T15:03:52Z"/>
        <d v="2022-04-11T15:03:50Z"/>
        <d v="2022-04-11T15:03:47Z"/>
        <d v="2022-04-11T15:03:37Z"/>
        <d v="2022-04-11T15:03:30Z"/>
        <d v="2022-04-11T15:03:27Z"/>
        <d v="2022-04-11T15:03:26Z"/>
        <d v="2022-04-11T15:03:15Z"/>
        <d v="2022-04-11T15:01:44Z"/>
        <d v="2022-04-11T15:01:25Z"/>
        <d v="2022-04-11T15:01:20Z"/>
        <d v="2022-04-11T15:00:50Z"/>
        <d v="2022-04-11T15:00:46Z"/>
        <d v="2022-04-11T15:00:41Z"/>
        <d v="2022-04-11T15:00:39Z"/>
        <d v="2022-04-11T15:00:31Z"/>
        <d v="2022-04-11T15:00:28Z"/>
        <d v="2022-04-11T15:00:25Z"/>
        <d v="2022-04-11T14:59:32Z"/>
        <d v="2022-04-11T14:59:26Z"/>
        <d v="2022-04-11T14:59:07Z"/>
        <d v="2022-04-11T14:59:02Z"/>
        <d v="2022-04-11T14:59:01Z"/>
        <d v="2022-04-11T14:59:00Z"/>
        <d v="2022-04-11T14:58:59Z"/>
        <d v="2022-04-11T14:58:58Z"/>
        <d v="2022-04-11T14:58:57Z"/>
        <d v="2022-04-11T14:58:56Z"/>
        <d v="2022-04-11T14:58:55Z"/>
        <d v="2022-04-11T14:58:53Z"/>
        <d v="2022-04-11T14:58:49Z"/>
        <d v="2022-04-11T14:58:43Z"/>
        <d v="2022-04-11T14:58:42Z"/>
        <d v="2022-04-11T14:58:38Z"/>
        <d v="2022-04-11T14:58:24Z"/>
        <d v="2022-04-11T14:58:22Z"/>
        <d v="2022-04-11T14:58:20Z"/>
        <d v="2022-04-11T14:58:19Z"/>
        <d v="2022-04-11T14:58:12Z"/>
        <d v="2022-04-11T14:58:10Z"/>
        <d v="2022-04-11T14:58:07Z"/>
        <d v="2022-04-11T14:58:06Z"/>
        <d v="2022-04-11T14:58:04Z"/>
        <d v="2022-04-11T14:58:01Z"/>
        <d v="2022-04-11T14:57:58Z"/>
        <d v="2022-04-11T14:57:54Z"/>
        <d v="2022-04-11T14:57:48Z"/>
        <d v="2022-04-11T14:57:46Z"/>
        <d v="2022-04-11T14:57:42Z"/>
        <d v="2022-04-11T14:57:38Z"/>
        <d v="2022-04-11T14:57:34Z"/>
        <d v="2022-04-11T14:57:28Z"/>
        <d v="2022-04-11T14:56:55Z"/>
        <d v="2022-04-11T14:56:53Z"/>
        <d v="2022-04-11T14:56:50Z"/>
        <d v="2022-04-11T14:56:48Z"/>
        <d v="2022-04-11T14:56:41Z"/>
        <d v="2022-04-11T14:56:38Z"/>
        <d v="2022-04-11T14:56:35Z"/>
        <d v="2022-04-11T14:56:19Z"/>
        <d v="2022-04-11T14:56:02Z"/>
        <d v="2022-04-11T14:55:09Z"/>
        <d v="2022-04-11T14:54:27Z"/>
        <d v="2022-04-11T14:53:55Z"/>
        <d v="2022-04-11T14:53:43Z"/>
        <d v="2022-04-11T14:53:42Z"/>
        <d v="2022-04-11T14:53:40Z"/>
        <d v="2022-04-11T14:53:39Z"/>
        <d v="2022-04-11T14:53:38Z"/>
        <d v="2022-04-11T14:53:34Z"/>
        <d v="2022-04-11T14:53:26Z"/>
        <d v="2022-04-11T14:52:43Z"/>
        <d v="2022-04-11T14:52:41Z"/>
        <d v="2022-04-11T14:52:40Z"/>
        <d v="2022-04-11T14:52:38Z"/>
        <d v="2022-04-11T14:52:37Z"/>
        <d v="2022-04-11T14:52:36Z"/>
        <d v="2022-04-11T14:52:34Z"/>
        <d v="2022-04-11T14:52:33Z"/>
        <d v="2022-04-11T14:52:32Z"/>
        <d v="2022-04-11T14:52:30Z"/>
        <d v="2022-04-11T14:52:29Z"/>
        <d v="2022-04-11T14:52:28Z"/>
        <d v="2022-04-11T14:52:26Z"/>
        <d v="2022-04-11T14:52:25Z"/>
        <d v="2022-04-11T14:52:24Z"/>
        <d v="2022-04-11T14:52:22Z"/>
        <d v="2022-04-11T14:52:20Z"/>
        <d v="2022-04-11T14:52:18Z"/>
        <d v="2022-04-11T14:52:17Z"/>
        <d v="2022-04-11T14:52:13Z"/>
        <d v="2022-04-11T14:52:12Z"/>
        <d v="2022-04-11T14:52:11Z"/>
        <d v="2022-04-11T14:52:10Z"/>
        <d v="2022-04-11T14:51:52Z"/>
        <d v="2022-04-11T14:51:20Z"/>
        <d v="2022-04-11T14:50:10Z"/>
        <d v="2022-04-11T14:50:08Z"/>
        <d v="2022-04-11T14:49:45Z"/>
        <d v="2022-04-11T14:48:38Z"/>
        <d v="2022-04-11T14:48:27Z"/>
        <d v="2022-04-11T14:48:24Z"/>
        <d v="2022-04-11T14:48:16Z"/>
        <d v="2022-04-11T14:48:10Z"/>
        <d v="2022-04-11T14:47:50Z"/>
        <d v="2022-04-11T14:46:54Z"/>
        <d v="2022-04-11T14:45:07Z"/>
        <d v="2022-04-11T14:45:05Z"/>
        <d v="2022-04-11T14:45:03Z"/>
        <d v="2022-04-11T14:45:01Z"/>
        <d v="2022-04-11T14:44:59Z"/>
        <d v="2022-04-11T14:44:57Z"/>
        <d v="2022-04-11T14:44:53Z"/>
        <d v="2022-04-11T14:44:50Z"/>
        <d v="2022-04-11T14:44:46Z"/>
        <d v="2022-04-11T14:44:41Z"/>
        <d v="2022-04-11T14:44:37Z"/>
        <d v="2022-04-11T14:44:28Z"/>
        <d v="2022-04-11T14:43:43Z"/>
        <d v="2022-04-11T14:43:21Z"/>
        <d v="2022-04-11T14:43:17Z"/>
        <d v="2022-04-11T14:41:29Z"/>
        <d v="2022-04-11T14:41:09Z"/>
        <d v="2022-04-11T14:40:54Z"/>
        <d v="2022-04-11T14:40:40Z"/>
        <d v="2022-04-11T14:40:37Z"/>
        <d v="2022-04-11T14:40:19Z"/>
        <d v="2022-04-11T14:40:13Z"/>
        <d v="2022-04-11T14:40:11Z"/>
        <d v="2022-04-11T14:40:07Z"/>
        <d v="2022-04-11T14:39:32Z"/>
        <d v="2022-04-11T14:39:23Z"/>
        <d v="2022-04-11T14:38:33Z"/>
        <d v="2022-04-11T14:37:54Z"/>
        <d v="2022-04-11T14:37:46Z"/>
        <d v="2022-04-11T14:37:24Z"/>
        <d v="2022-04-11T14:37:21Z"/>
        <d v="2022-04-11T14:37:18Z"/>
        <d v="2022-04-11T14:37:16Z"/>
        <d v="2022-04-11T14:37:12Z"/>
        <d v="2022-04-11T14:37:06Z"/>
        <d v="2022-04-11T14:37:01Z"/>
        <d v="2022-04-11T14:36:56Z"/>
        <d v="2022-04-11T14:36:51Z"/>
        <d v="2022-04-11T14:36:48Z"/>
        <d v="2022-04-11T14:36:46Z"/>
        <d v="2022-04-11T14:36:45Z"/>
        <d v="2022-04-11T14:36:44Z"/>
        <d v="2022-04-11T14:36:43Z"/>
        <d v="2022-04-11T14:36:42Z"/>
        <d v="2022-04-11T14:36:41Z"/>
        <d v="2022-04-11T14:36:40Z"/>
        <d v="2022-04-11T14:36:34Z"/>
        <d v="2022-04-11T14:36:11Z"/>
        <d v="2022-04-11T14:35:00Z"/>
        <d v="2022-04-11T14:34:57Z"/>
        <d v="2022-04-11T14:34:56Z"/>
        <d v="2022-04-11T14:34:54Z"/>
        <d v="2022-04-11T14:34:06Z"/>
        <d v="2022-04-11T14:33:40Z"/>
        <d v="2022-04-11T14:33:20Z"/>
        <d v="2022-04-11T14:33:17Z"/>
        <d v="2022-04-11T14:32:36Z"/>
        <d v="2022-04-11T14:32:26Z"/>
        <d v="2022-04-11T14:32:18Z"/>
        <d v="2022-04-11T14:32:11Z"/>
        <d v="2022-04-11T14:32:05Z"/>
        <d v="2022-04-11T14:32:02Z"/>
        <d v="2022-04-11T14:31:54Z"/>
        <d v="2022-04-11T14:31:41Z"/>
        <d v="2022-04-11T14:30:52Z"/>
        <d v="2022-04-11T14:30:40Z"/>
        <d v="2022-04-11T14:30:37Z"/>
        <d v="2022-04-11T14:30:15Z"/>
        <d v="2022-04-11T14:30:09Z"/>
        <d v="2022-04-11T14:29:59Z"/>
        <d v="2022-04-11T14:29:43Z"/>
        <d v="2022-04-11T14:29:41Z"/>
        <d v="2022-04-11T14:29:38Z"/>
        <d v="2022-04-11T14:29:35Z"/>
        <d v="2022-04-11T14:29:33Z"/>
        <d v="2022-04-11T14:29:31Z"/>
        <d v="2022-04-11T14:29:29Z"/>
        <d v="2022-04-11T14:29:23Z"/>
        <d v="2022-04-11T14:29:20Z"/>
        <d v="2022-04-11T14:29:17Z"/>
        <d v="2022-04-11T14:29:15Z"/>
        <d v="2022-04-11T14:29:11Z"/>
        <d v="2022-04-11T14:29:09Z"/>
        <d v="2022-04-11T14:29:05Z"/>
        <d v="2022-04-11T14:29:02Z"/>
        <d v="2022-04-11T14:29:00Z"/>
        <d v="2022-04-11T14:28:59Z"/>
        <d v="2022-04-11T14:28:56Z"/>
        <d v="2022-04-11T14:28:53Z"/>
        <d v="2022-04-11T14:28:50Z"/>
        <d v="2022-04-11T14:28:17Z"/>
        <d v="2022-04-11T14:27:57Z"/>
        <d v="2022-04-11T14:27:35Z"/>
        <d v="2022-04-11T14:27:33Z"/>
        <d v="2022-04-11T14:27:29Z"/>
        <d v="2022-04-11T14:27:26Z"/>
        <d v="2022-04-11T14:27:21Z"/>
        <d v="2022-04-11T14:27:08Z"/>
        <d v="2022-04-11T14:26:03Z"/>
        <d v="2022-04-11T14:25:59Z"/>
        <d v="2022-04-11T14:25:28Z"/>
        <d v="2022-04-11T14:25:26Z"/>
        <d v="2022-04-11T14:25:24Z"/>
        <d v="2022-04-11T14:25:23Z"/>
        <d v="2022-04-11T14:24:46Z"/>
        <d v="2022-04-11T14:23:49Z"/>
        <d v="2022-04-11T14:23:43Z"/>
        <d v="2022-04-11T14:23:23Z"/>
        <d v="2022-04-11T14:23:14Z"/>
        <d v="2022-04-11T14:22:51Z"/>
        <d v="2022-04-11T14:22:45Z"/>
        <d v="2022-04-11T14:22:24Z"/>
        <d v="2022-04-11T14:22:03Z"/>
        <d v="2022-04-11T14:22:02Z"/>
        <d v="2022-04-11T14:21:59Z"/>
        <d v="2022-04-11T14:21:14Z"/>
        <d v="2022-04-11T14:21:12Z"/>
        <d v="2022-04-11T14:21:03Z"/>
        <d v="2022-04-11T14:21:00Z"/>
        <d v="2022-04-11T14:20:58Z"/>
        <d v="2022-04-11T14:20:52Z"/>
        <d v="2022-04-11T14:19:40Z"/>
        <d v="2022-04-11T14:19:36Z"/>
        <d v="2022-04-11T14:19:34Z"/>
        <d v="2022-04-11T14:19:30Z"/>
        <d v="2022-04-11T14:19:27Z"/>
        <d v="2022-04-11T14:19:24Z"/>
        <d v="2022-04-11T14:19:23Z"/>
        <d v="2022-04-11T14:19:20Z"/>
        <d v="2022-04-11T14:19:13Z"/>
        <d v="2022-04-11T14:19:11Z"/>
        <d v="2022-04-11T14:19:03Z"/>
        <d v="2022-04-11T14:19:00Z"/>
        <d v="2022-04-11T14:18:58Z"/>
        <d v="2022-04-11T14:18:56Z"/>
        <d v="2022-04-11T14:18:51Z"/>
        <d v="2022-04-11T14:18:40Z"/>
        <d v="2022-04-11T14:18:35Z"/>
        <d v="2022-04-11T14:18:09Z"/>
        <d v="2022-04-11T14:17:59Z"/>
        <d v="2022-04-11T14:17:48Z"/>
        <d v="2022-04-11T14:17:44Z"/>
        <d v="2022-04-11T14:17:40Z"/>
        <d v="2022-04-11T14:17:39Z"/>
        <d v="2022-04-11T14:17:22Z"/>
        <d v="2022-04-11T14:17:17Z"/>
        <d v="2022-04-11T14:17:12Z"/>
        <d v="2022-04-11T14:17:07Z"/>
        <d v="2022-04-11T14:16:56Z"/>
        <d v="2022-04-11T14:16:46Z"/>
        <d v="2022-04-11T14:16:41Z"/>
        <d v="2022-04-11T14:16:09Z"/>
        <d v="2022-04-11T14:15:48Z"/>
        <d v="2022-04-11T14:15:46Z"/>
        <d v="2022-04-11T14:15:41Z"/>
        <d v="2022-04-11T14:15:37Z"/>
        <d v="2022-04-11T14:15:33Z"/>
        <d v="2022-04-11T14:15:32Z"/>
        <d v="2022-04-11T14:15:30Z"/>
        <d v="2022-04-11T14:15:06Z"/>
        <d v="2022-04-11T14:15:04Z"/>
        <d v="2022-04-11T14:15:03Z"/>
        <d v="2022-04-11T14:14:49Z"/>
        <d v="2022-04-11T14:14:07Z"/>
        <d v="2022-04-11T14:13:57Z"/>
        <d v="2022-04-11T14:13:37Z"/>
        <d v="2022-04-11T14:13:02Z"/>
        <d v="2022-04-11T14:12:58Z"/>
        <d v="2022-04-11T14:12:57Z"/>
        <d v="2022-04-11T14:12:49Z"/>
        <d v="2022-04-11T14:12:43Z"/>
        <d v="2022-04-11T14:11:05Z"/>
        <d v="2022-04-11T14:11:02Z"/>
        <d v="2022-04-11T14:10:57Z"/>
        <d v="2022-04-11T14:10:54Z"/>
        <d v="2022-04-11T14:10:41Z"/>
        <d v="2022-04-11T14:10:40Z"/>
        <d v="2022-04-11T14:10:29Z"/>
        <d v="2022-04-11T14:10:08Z"/>
        <d v="2022-04-11T14:10:06Z"/>
        <d v="2022-04-11T14:09:56Z"/>
        <d v="2022-04-11T14:09:53Z"/>
        <d v="2022-04-11T14:09:51Z"/>
        <d v="2022-04-11T14:09:48Z"/>
        <d v="2022-04-11T14:09:43Z"/>
        <d v="2022-04-11T14:09:40Z"/>
        <d v="2022-04-11T14:09:37Z"/>
        <d v="2022-04-11T14:09:31Z"/>
        <d v="2022-04-11T14:09:21Z"/>
        <d v="2022-04-11T14:09:18Z"/>
        <d v="2022-04-11T14:09:13Z"/>
        <d v="2022-04-11T14:09:09Z"/>
        <d v="2022-04-11T14:08:58Z"/>
        <d v="2022-04-11T14:08:48Z"/>
        <d v="2022-04-11T14:08:42Z"/>
        <d v="2022-04-11T14:08:36Z"/>
        <d v="2022-04-11T14:07:56Z"/>
        <d v="2022-04-11T14:07:55Z"/>
        <d v="2022-04-11T14:07:52Z"/>
        <d v="2022-04-11T14:07:48Z"/>
        <d v="2022-04-11T14:07:47Z"/>
        <d v="2022-04-11T14:07:44Z"/>
        <d v="2022-04-11T14:07:35Z"/>
        <d v="2022-04-11T14:07:32Z"/>
        <d v="2022-04-11T14:07:28Z"/>
        <d v="2022-04-11T14:07:24Z"/>
        <d v="2022-04-11T14:07:18Z"/>
        <d v="2022-04-11T14:07:16Z"/>
        <d v="2022-04-11T14:07:13Z"/>
        <d v="2022-04-11T14:06:58Z"/>
        <d v="2022-04-11T14:06:57Z"/>
        <d v="2022-04-11T14:06:54Z"/>
        <d v="2022-04-11T14:06:50Z"/>
        <d v="2022-04-11T14:06:48Z"/>
        <d v="2022-04-11T14:06:46Z"/>
        <d v="2022-04-11T14:06:45Z"/>
        <d v="2022-04-11T14:06:41Z"/>
        <d v="2022-04-11T14:06:37Z"/>
        <d v="2022-04-11T14:06:31Z"/>
        <d v="2022-04-11T14:06:28Z"/>
        <d v="2022-04-11T14:06:27Z"/>
        <d v="2022-04-11T14:06:25Z"/>
        <d v="2022-04-11T14:06:24Z"/>
        <d v="2022-04-11T14:06:22Z"/>
        <d v="2022-04-11T14:06:21Z"/>
        <d v="2022-04-11T14:06:17Z"/>
        <d v="2022-04-11T14:06:16Z"/>
        <d v="2022-04-11T14:06:14Z"/>
        <d v="2022-04-11T14:06:13Z"/>
        <d v="2022-04-11T14:06:11Z"/>
        <d v="2022-04-11T14:06:10Z"/>
        <d v="2022-04-11T14:06:08Z"/>
        <d v="2022-04-11T14:06:07Z"/>
        <d v="2022-04-11T14:06:05Z"/>
        <d v="2022-04-11T14:05:55Z"/>
        <d v="2022-04-11T14:05:51Z"/>
        <d v="2022-04-11T14:05:49Z"/>
        <d v="2022-04-11T14:05:40Z"/>
        <d v="2022-04-11T14:05:21Z"/>
        <d v="2022-04-11T14:05:19Z"/>
        <d v="2022-04-11T14:05:18Z"/>
        <d v="2022-04-11T14:05:17Z"/>
        <d v="2022-04-11T14:05:15Z"/>
        <d v="2022-04-11T14:05:13Z"/>
        <d v="2022-04-11T14:05:11Z"/>
        <d v="2022-04-11T14:05:06Z"/>
        <d v="2022-04-11T14:04:34Z"/>
        <d v="2022-04-11T14:04:32Z"/>
        <d v="2022-04-11T14:04:27Z"/>
        <d v="2022-04-11T14:04:24Z"/>
        <d v="2022-04-11T14:04:13Z"/>
        <d v="2022-04-11T14:03:55Z"/>
        <d v="2022-04-11T14:03:35Z"/>
        <d v="2022-04-11T14:02:14Z"/>
        <d v="2022-04-11T14:02:13Z"/>
        <d v="2022-04-11T14:02:11Z"/>
        <d v="2022-04-11T14:02:10Z"/>
        <d v="2022-04-11T14:02:08Z"/>
        <d v="2022-04-11T14:02:07Z"/>
        <d v="2022-04-11T14:02:06Z"/>
        <d v="2022-04-11T14:02:05Z"/>
        <d v="2022-04-11T14:02:04Z"/>
        <d v="2022-04-11T14:02:03Z"/>
        <d v="2022-04-11T14:02:02Z"/>
        <d v="2022-04-11T14:02:00Z"/>
        <d v="2022-04-11T14:01:56Z"/>
        <d v="2022-04-11T14:01:54Z"/>
        <d v="2022-04-11T14:01:52Z"/>
        <d v="2022-04-11T14:01:45Z"/>
        <d v="2022-04-11T14:01:43Z"/>
        <d v="2022-04-11T14:01:35Z"/>
        <d v="2022-04-11T14:01:19Z"/>
        <d v="2022-04-11T14:01:09Z"/>
        <d v="2022-04-11T14:01:08Z"/>
        <d v="2022-04-11T14:01:06Z"/>
        <d v="2022-04-11T14:01:05Z"/>
        <d v="2022-04-11T14:01:04Z"/>
        <d v="2022-04-11T14:01:03Z"/>
        <d v="2022-04-11T14:01:02Z"/>
        <d v="2022-04-11T14:01:00Z"/>
        <d v="2022-04-11T14:00:59Z"/>
        <d v="2022-04-11T14:00:58Z"/>
        <d v="2022-04-11T14:00:57Z"/>
        <d v="2022-04-11T14:00:55Z"/>
        <d v="2022-04-11T14:00:54Z"/>
        <d v="2022-04-11T14:00:52Z"/>
        <d v="2022-04-11T14:00:49Z"/>
        <d v="2022-04-11T14:00:47Z"/>
        <d v="2022-04-11T14:00:27Z"/>
        <d v="2022-04-11T14:00:14Z"/>
        <d v="2022-04-11T14:00:10Z"/>
        <d v="2022-04-11T14:00:00Z"/>
        <d v="2022-04-11T13:59:53Z"/>
        <d v="2022-04-11T13:59:47Z"/>
        <d v="2022-04-11T13:59:46Z"/>
        <d v="2022-04-11T13:59:42Z"/>
        <d v="2022-04-11T13:59:40Z"/>
        <d v="2022-04-11T13:59:35Z"/>
        <d v="2022-04-11T13:59:29Z"/>
        <d v="2022-04-11T13:59:21Z"/>
        <d v="2022-04-11T13:58:02Z"/>
        <d v="2022-04-11T13:57:58Z"/>
        <d v="2022-04-11T13:57:49Z"/>
        <d v="2022-04-11T13:57:45Z"/>
        <d v="2022-04-11T13:57:43Z"/>
        <d v="2022-04-11T13:57:41Z"/>
        <d v="2022-04-11T13:57:40Z"/>
        <d v="2022-04-11T13:57:38Z"/>
        <d v="2022-04-11T13:57:37Z"/>
        <d v="2022-04-11T13:57:33Z"/>
        <d v="2022-04-11T13:57:31Z"/>
        <d v="2022-04-11T13:57:27Z"/>
        <d v="2022-04-11T13:57:25Z"/>
        <d v="2022-04-11T13:57:23Z"/>
        <d v="2022-04-11T13:57:15Z"/>
        <d v="2022-04-11T13:56:49Z"/>
        <d v="2022-04-11T13:56:47Z"/>
        <d v="2022-04-11T13:56:46Z"/>
        <d v="2022-04-11T13:56:44Z"/>
        <d v="2022-04-11T13:56:43Z"/>
        <d v="2022-04-11T13:56:40Z"/>
        <d v="2022-04-11T13:56:14Z"/>
        <d v="2022-04-11T13:56:06Z"/>
        <d v="2022-04-11T13:56:04Z"/>
        <d v="2022-04-11T13:56:03Z"/>
        <d v="2022-04-11T13:56:01Z"/>
        <d v="2022-04-11T13:55:46Z"/>
        <d v="2022-04-11T13:55:42Z"/>
        <d v="2022-04-11T13:55:36Z"/>
        <d v="2022-04-11T13:55:32Z"/>
        <d v="2022-04-11T13:55:27Z"/>
        <d v="2022-04-11T13:55:19Z"/>
        <d v="2022-04-11T13:55:15Z"/>
        <d v="2022-04-11T13:55:11Z"/>
        <d v="2022-04-11T13:55:09Z"/>
        <d v="2022-04-11T13:55:08Z"/>
        <d v="2022-04-11T13:55:06Z"/>
        <d v="2022-04-11T13:55:05Z"/>
        <d v="2022-04-11T13:55:01Z"/>
        <d v="2022-04-11T13:55:00Z"/>
        <d v="2022-04-11T13:54:59Z"/>
        <d v="2022-04-11T13:54:57Z"/>
        <d v="2022-04-11T13:54:55Z"/>
        <d v="2022-04-11T13:54:53Z"/>
        <d v="2022-04-11T13:54:50Z"/>
        <d v="2022-04-11T13:54:48Z"/>
        <d v="2022-04-11T13:54:46Z"/>
        <d v="2022-04-11T13:54:43Z"/>
        <d v="2022-04-11T13:54:40Z"/>
        <d v="2022-04-11T13:54:37Z"/>
        <d v="2022-04-11T13:54:28Z"/>
        <d v="2022-04-11T13:54:25Z"/>
        <d v="2022-04-11T13:54:22Z"/>
        <d v="2022-04-11T13:54:18Z"/>
        <d v="2022-04-11T13:54:16Z"/>
        <d v="2022-04-11T13:54:11Z"/>
        <d v="2022-04-11T13:54:09Z"/>
        <d v="2022-04-11T13:54:04Z"/>
        <d v="2022-04-11T13:53:43Z"/>
        <d v="2022-04-11T13:53:25Z"/>
        <d v="2022-04-11T13:53:03Z"/>
        <d v="2022-04-11T13:53:02Z"/>
        <d v="2022-04-11T13:52:57Z"/>
        <d v="2022-04-11T13:52:47Z"/>
        <d v="2022-04-11T13:52:46Z"/>
        <d v="2022-04-11T13:52:45Z"/>
        <d v="2022-04-11T13:52:41Z"/>
        <d v="2022-04-11T13:52:38Z"/>
        <d v="2022-04-11T13:52:37Z"/>
        <d v="2022-04-11T13:52:32Z"/>
        <d v="2022-04-11T13:52:30Z"/>
        <d v="2022-04-11T13:52:29Z"/>
        <d v="2022-04-11T13:52:26Z"/>
        <d v="2022-04-11T13:52:24Z"/>
        <d v="2022-04-11T13:52:22Z"/>
        <d v="2022-04-11T13:52:14Z"/>
        <d v="2022-04-11T13:52:09Z"/>
        <d v="2022-04-11T13:52:07Z"/>
        <d v="2022-04-11T13:52:02Z"/>
        <d v="2022-04-11T13:52:00Z"/>
        <d v="2022-04-11T13:51:58Z"/>
        <d v="2022-04-11T13:51:45Z"/>
        <d v="2022-04-11T13:51:21Z"/>
        <d v="2022-04-11T13:50:43Z"/>
        <d v="2022-04-11T13:50:38Z"/>
        <d v="2022-04-11T13:50:37Z"/>
        <d v="2022-04-11T13:50:34Z"/>
        <d v="2022-04-11T13:50:33Z"/>
        <d v="2022-04-11T13:50:30Z"/>
        <d v="2022-04-11T13:50:29Z"/>
        <d v="2022-04-11T13:50:27Z"/>
        <d v="2022-04-11T13:50:24Z"/>
        <d v="2022-04-11T13:50:22Z"/>
        <d v="2022-04-11T13:50:20Z"/>
        <d v="2022-04-11T13:50:13Z"/>
        <d v="2022-04-11T13:50:11Z"/>
        <d v="2022-04-11T13:50:10Z"/>
        <d v="2022-04-11T13:49:29Z"/>
        <d v="2022-04-11T13:49:14Z"/>
        <d v="2022-04-11T13:49:12Z"/>
        <d v="2022-04-11T13:49:08Z"/>
        <d v="2022-04-11T13:49:00Z"/>
        <d v="2022-04-11T13:48:51Z"/>
        <d v="2022-04-11T13:48:48Z"/>
        <d v="2022-04-11T13:48:45Z"/>
        <d v="2022-04-11T13:48:44Z"/>
        <d v="2022-04-11T13:48:22Z"/>
        <d v="2022-04-11T13:48:21Z"/>
        <d v="2022-04-11T13:48:19Z"/>
        <d v="2022-04-11T13:48:14Z"/>
        <d v="2022-04-11T13:47:43Z"/>
        <d v="2022-04-11T13:47:32Z"/>
        <d v="2022-04-11T13:47:29Z"/>
        <d v="2022-04-11T13:47:22Z"/>
        <d v="2022-04-11T13:47:21Z"/>
        <d v="2022-04-11T13:47:17Z"/>
        <d v="2022-04-11T13:47:15Z"/>
        <d v="2022-04-11T13:47:09Z"/>
        <d v="2022-04-11T13:47:07Z"/>
        <d v="2022-04-11T13:47:02Z"/>
        <d v="2022-04-11T13:47:01Z"/>
        <d v="2022-04-11T13:46:59Z"/>
        <d v="2022-04-11T13:46:58Z"/>
        <d v="2022-04-11T13:46:53Z"/>
        <d v="2022-04-11T13:46:52Z"/>
        <d v="2022-04-11T13:46:45Z"/>
        <d v="2022-04-11T13:46:41Z"/>
        <d v="2022-04-11T13:46:36Z"/>
        <d v="2022-04-11T13:45:43Z"/>
        <d v="2022-04-11T13:45:36Z"/>
        <d v="2022-04-11T13:45:33Z"/>
        <d v="2022-04-11T13:45:30Z"/>
        <d v="2022-04-11T13:45:26Z"/>
        <d v="2022-04-11T13:45:25Z"/>
        <d v="2022-04-11T13:45:23Z"/>
        <d v="2022-04-11T13:45:20Z"/>
        <d v="2022-04-11T13:45:16Z"/>
        <d v="2022-04-11T13:45:15Z"/>
        <d v="2022-04-11T13:45:14Z"/>
        <d v="2022-04-11T13:45:10Z"/>
        <d v="2022-04-11T13:45:08Z"/>
        <d v="2022-04-11T13:45:04Z"/>
        <d v="2022-04-11T13:45:01Z"/>
        <d v="2022-04-11T13:44:59Z"/>
        <d v="2022-04-11T13:44:57Z"/>
        <d v="2022-04-11T13:44:55Z"/>
        <d v="2022-04-11T13:44:51Z"/>
        <d v="2022-04-11T13:44:50Z"/>
        <d v="2022-04-11T13:44:48Z"/>
        <d v="2022-04-11T13:44:44Z"/>
        <d v="2022-04-11T13:44:41Z"/>
        <d v="2022-04-11T13:44:39Z"/>
        <d v="2022-04-11T13:44:37Z"/>
        <d v="2022-04-11T13:44:30Z"/>
        <d v="2022-04-11T13:44:23Z"/>
        <d v="2022-04-11T13:44:20Z"/>
        <d v="2022-04-11T13:44:15Z"/>
        <d v="2022-04-11T13:44:13Z"/>
        <d v="2022-04-11T13:44:08Z"/>
        <d v="2022-04-11T13:44:03Z"/>
        <d v="2022-04-11T13:44:02Z"/>
        <d v="2022-04-11T13:43:59Z"/>
        <d v="2022-04-11T13:43:53Z"/>
        <d v="2022-04-11T13:43:43Z"/>
        <d v="2022-04-11T13:43:39Z"/>
        <d v="2022-04-11T13:43:32Z"/>
        <d v="2022-04-11T13:43:30Z"/>
        <d v="2022-04-11T13:43:28Z"/>
        <d v="2022-04-11T13:43:27Z"/>
        <d v="2022-04-11T13:43:24Z"/>
        <d v="2022-04-11T13:43:18Z"/>
        <d v="2022-04-11T13:43:10Z"/>
        <d v="2022-04-11T13:43:07Z"/>
        <d v="2022-04-11T13:43:05Z"/>
        <d v="2022-04-11T13:43:04Z"/>
        <d v="2022-04-11T13:43:02Z"/>
        <d v="2022-04-11T13:43:01Z"/>
        <d v="2022-04-11T13:42:58Z"/>
        <d v="2022-04-11T13:42:57Z"/>
        <d v="2022-04-11T13:42:51Z"/>
        <d v="2022-04-11T13:42:42Z"/>
        <d v="2022-04-11T13:42:41Z"/>
        <d v="2022-04-11T13:42:40Z"/>
        <d v="2022-04-11T13:42:37Z"/>
        <d v="2022-04-11T13:42:36Z"/>
        <d v="2022-04-11T13:42:25Z"/>
        <d v="2022-04-11T13:42:09Z"/>
        <d v="2022-04-11T13:41:50Z"/>
        <d v="2022-04-11T13:41:48Z"/>
        <d v="2022-04-11T13:41:43Z"/>
        <d v="2022-04-11T13:41:39Z"/>
        <d v="2022-04-11T13:41:36Z"/>
        <d v="2022-04-11T13:41:34Z"/>
        <d v="2022-04-11T13:41:32Z"/>
        <d v="2022-04-11T13:41:29Z"/>
        <d v="2022-04-11T13:41:25Z"/>
        <d v="2022-04-11T13:40:55Z"/>
        <d v="2022-04-11T13:40:46Z"/>
        <d v="2022-04-11T13:40:38Z"/>
        <d v="2022-04-11T13:40:34Z"/>
        <d v="2022-04-11T13:40:31Z"/>
        <d v="2022-04-11T13:40:30Z"/>
        <d v="2022-04-11T13:40:26Z"/>
        <d v="2022-04-11T13:40:25Z"/>
        <d v="2022-04-11T13:40:19Z"/>
        <d v="2022-04-11T13:40:17Z"/>
        <d v="2022-04-11T13:40:15Z"/>
        <d v="2022-04-11T13:40:13Z"/>
        <d v="2022-04-11T13:40:08Z"/>
        <d v="2022-04-11T13:40:05Z"/>
        <d v="2022-04-11T13:39:53Z"/>
        <d v="2022-04-11T13:39:51Z"/>
        <d v="2022-04-11T13:39:39Z"/>
        <d v="2022-04-11T13:39:38Z"/>
        <d v="2022-04-11T13:39:37Z"/>
        <d v="2022-04-11T13:39:34Z"/>
        <d v="2022-04-11T13:39:33Z"/>
        <d v="2022-04-11T13:39:32Z"/>
        <d v="2022-04-11T13:39:20Z"/>
        <d v="2022-04-11T13:39:13Z"/>
        <d v="2022-04-11T13:39:08Z"/>
        <d v="2022-04-11T13:39:06Z"/>
        <d v="2022-04-11T13:39:04Z"/>
        <d v="2022-04-11T13:39:02Z"/>
        <d v="2022-04-11T13:39:01Z"/>
        <d v="2022-04-11T13:38:57Z"/>
        <d v="2022-04-11T13:38:55Z"/>
        <d v="2022-04-11T13:38:52Z"/>
        <d v="2022-04-11T13:38:51Z"/>
        <d v="2022-04-11T13:38:49Z"/>
        <d v="2022-04-11T13:38:47Z"/>
        <d v="2022-04-11T13:38:46Z"/>
        <d v="2022-04-11T13:38:45Z"/>
        <d v="2022-04-11T13:38:43Z"/>
        <d v="2022-04-11T13:38:39Z"/>
        <d v="2022-04-11T13:38:30Z"/>
        <d v="2022-04-11T13:38:17Z"/>
        <d v="2022-04-11T13:38:10Z"/>
        <d v="2022-04-11T13:38:07Z"/>
        <d v="2022-04-11T13:38:05Z"/>
        <d v="2022-04-11T13:38:03Z"/>
        <d v="2022-04-11T13:38:01Z"/>
        <d v="2022-04-11T13:37:58Z"/>
        <d v="2022-04-11T13:37:57Z"/>
        <d v="2022-04-11T13:37:41Z"/>
        <d v="2022-04-11T13:37:24Z"/>
        <d v="2022-04-11T13:37:22Z"/>
        <d v="2022-04-11T13:37:20Z"/>
        <d v="2022-04-11T13:37:17Z"/>
        <d v="2022-04-11T13:37:06Z"/>
        <d v="2022-04-11T13:37:05Z"/>
        <d v="2022-04-11T13:37:04Z"/>
        <d v="2022-04-11T13:37:02Z"/>
        <d v="2022-04-11T13:37:01Z"/>
        <d v="2022-04-11T13:37:00Z"/>
        <d v="2022-04-11T13:36:59Z"/>
        <d v="2022-04-11T13:36:48Z"/>
        <d v="2022-04-11T13:36:45Z"/>
        <d v="2022-04-11T13:36:23Z"/>
        <d v="2022-04-11T13:36:21Z"/>
        <d v="2022-04-11T13:36:19Z"/>
        <d v="2022-04-11T13:36:15Z"/>
        <d v="2022-04-11T13:36:11Z"/>
        <d v="2022-04-11T13:36:04Z"/>
        <d v="2022-04-11T13:36:00Z"/>
        <d v="2022-04-11T13:35:56Z"/>
        <d v="2022-04-11T13:35:55Z"/>
        <d v="2022-04-11T13:35:51Z"/>
        <d v="2022-04-11T13:35:44Z"/>
        <d v="2022-04-11T13:35:30Z"/>
        <d v="2022-04-11T13:35:02Z"/>
        <d v="2022-04-11T13:34:55Z"/>
        <d v="2022-04-11T13:34:54Z"/>
        <d v="2022-04-11T13:34:50Z"/>
        <d v="2022-04-11T13:34:49Z"/>
        <d v="2022-04-11T13:34:47Z"/>
        <d v="2022-04-11T13:34:46Z"/>
        <d v="2022-04-11T13:34:44Z"/>
        <d v="2022-04-11T13:34:40Z"/>
        <d v="2022-04-11T13:34:25Z"/>
        <d v="2022-04-11T13:34:04Z"/>
        <d v="2022-04-11T13:33:56Z"/>
        <d v="2022-04-11T13:33:54Z"/>
        <d v="2022-04-11T13:33:36Z"/>
        <d v="2022-04-11T13:33:34Z"/>
        <d v="2022-04-11T13:33:32Z"/>
        <d v="2022-04-11T13:33:27Z"/>
        <d v="2022-04-11T13:33:26Z"/>
        <d v="2022-04-11T13:33:25Z"/>
        <d v="2022-04-11T13:33:24Z"/>
        <d v="2022-04-11T13:33:20Z"/>
        <d v="2022-04-11T13:33:18Z"/>
        <d v="2022-04-11T13:33:13Z"/>
        <d v="2022-04-11T13:33:01Z"/>
        <d v="2022-04-11T13:32:59Z"/>
        <d v="2022-04-11T13:32:55Z"/>
        <d v="2022-04-11T13:32:49Z"/>
        <d v="2022-04-11T13:32:31Z"/>
        <d v="2022-04-11T13:32:19Z"/>
        <d v="2022-04-11T13:32:18Z"/>
        <d v="2022-04-11T13:32:16Z"/>
        <d v="2022-04-11T13:32:13Z"/>
        <d v="2022-04-11T13:31:56Z"/>
        <d v="2022-04-11T13:31:54Z"/>
        <d v="2022-04-11T13:31:52Z"/>
        <d v="2022-04-11T13:31:50Z"/>
        <d v="2022-04-11T13:31:35Z"/>
        <d v="2022-04-11T13:31:33Z"/>
        <d v="2022-04-11T13:31:27Z"/>
        <d v="2022-04-11T13:30:51Z"/>
        <d v="2022-04-11T13:30:49Z"/>
        <d v="2022-04-11T13:30:46Z"/>
        <d v="2022-04-11T13:30:43Z"/>
        <d v="2022-04-11T13:30:36Z"/>
        <d v="2022-04-11T13:30:05Z"/>
        <d v="2022-04-11T13:30:00Z"/>
        <d v="2022-04-11T13:29:55Z"/>
        <d v="2022-04-11T13:29:50Z"/>
        <d v="2022-04-11T13:29:49Z"/>
        <d v="2022-04-11T13:29:44Z"/>
        <d v="2022-04-11T13:29:40Z"/>
        <d v="2022-04-11T13:29:09Z"/>
        <d v="2022-04-11T13:28:13Z"/>
        <d v="2022-04-11T13:28:04Z"/>
        <d v="2022-04-11T13:28:02Z"/>
        <d v="2022-04-11T13:28:00Z"/>
        <d v="2022-04-11T13:27:57Z"/>
        <d v="2022-04-11T13:27:50Z"/>
        <d v="2022-04-11T13:27:03Z"/>
        <d v="2022-04-11T13:26:57Z"/>
        <d v="2022-04-11T13:26:50Z"/>
        <d v="2022-04-11T13:26:49Z"/>
        <d v="2022-04-11T13:26:47Z"/>
        <d v="2022-04-11T13:26:46Z"/>
        <d v="2022-04-11T13:26:42Z"/>
        <d v="2022-04-11T13:26:38Z"/>
        <d v="2022-04-11T13:26:37Z"/>
        <d v="2022-04-11T13:26:34Z"/>
        <d v="2022-04-11T13:26:26Z"/>
        <d v="2022-04-11T13:26:24Z"/>
        <d v="2022-04-11T13:25:55Z"/>
        <d v="2022-04-11T13:25:44Z"/>
        <d v="2022-04-11T13:25:24Z"/>
        <d v="2022-04-11T13:25:16Z"/>
        <d v="2022-04-11T13:25:14Z"/>
        <d v="2022-04-11T13:25:03Z"/>
        <d v="2022-04-11T13:24:59Z"/>
        <d v="2022-04-11T13:24:54Z"/>
        <d v="2022-04-11T13:24:38Z"/>
        <d v="2022-04-11T13:24:32Z"/>
        <d v="2022-04-11T13:24:13Z"/>
        <d v="2022-04-11T13:24:12Z"/>
        <d v="2022-04-11T13:24:09Z"/>
        <d v="2022-04-11T13:24:04Z"/>
        <d v="2022-04-11T13:23:59Z"/>
        <d v="2022-04-11T13:23:55Z"/>
        <d v="2022-04-11T13:23:53Z"/>
        <d v="2022-04-11T13:23:50Z"/>
        <d v="2022-04-11T13:23:48Z"/>
        <d v="2022-04-11T13:23:42Z"/>
        <d v="2022-04-11T13:23:41Z"/>
        <d v="2022-04-11T13:23:15Z"/>
        <d v="2022-04-11T13:23:10Z"/>
        <d v="2022-04-11T13:22:46Z"/>
        <d v="2022-04-11T13:22:44Z"/>
        <d v="2022-04-11T13:22:30Z"/>
        <d v="2022-04-11T13:22:28Z"/>
        <d v="2022-04-11T13:22:25Z"/>
        <d v="2022-04-11T13:22:23Z"/>
        <d v="2022-04-11T13:21:41Z"/>
        <d v="2022-04-11T13:21:39Z"/>
        <d v="2022-04-11T13:21:36Z"/>
        <d v="2022-04-11T13:21:20Z"/>
        <d v="2022-04-11T13:21:01Z"/>
        <d v="2022-04-11T13:20:20Z"/>
        <d v="2022-04-11T13:20:16Z"/>
        <d v="2022-04-11T13:20:14Z"/>
        <d v="2022-04-11T13:20:12Z"/>
        <d v="2022-04-11T13:20:11Z"/>
        <d v="2022-04-11T13:20:10Z"/>
        <d v="2022-04-11T13:20:09Z"/>
        <d v="2022-04-11T13:20:08Z"/>
        <d v="2022-04-11T13:20:07Z"/>
        <d v="2022-04-11T13:20:06Z"/>
        <d v="2022-04-11T13:20:05Z"/>
        <d v="2022-04-11T13:20:04Z"/>
        <d v="2022-04-11T13:20:03Z"/>
        <d v="2022-04-11T13:20:02Z"/>
        <d v="2022-04-11T13:20:01Z"/>
        <d v="2022-04-11T13:20:00Z"/>
        <d v="2022-04-11T13:19:59Z"/>
        <d v="2022-04-11T13:19:58Z"/>
        <d v="2022-04-11T13:19:57Z"/>
        <d v="2022-04-11T13:19:56Z"/>
        <d v="2022-04-11T13:19:55Z"/>
        <d v="2022-04-11T13:19:54Z"/>
        <d v="2022-04-11T13:19:53Z"/>
        <d v="2022-04-11T13:19:49Z"/>
        <d v="2022-04-11T13:19:47Z"/>
        <d v="2022-04-11T13:19:44Z"/>
        <d v="2022-04-11T13:19:42Z"/>
        <d v="2022-04-11T13:19:40Z"/>
        <d v="2022-04-11T13:19:37Z"/>
        <d v="2022-04-11T13:19:35Z"/>
        <d v="2022-04-11T13:19:34Z"/>
        <d v="2022-04-11T13:19:33Z"/>
        <d v="2022-04-11T13:19:29Z"/>
        <d v="2022-04-11T13:19:23Z"/>
        <d v="2022-04-11T13:19:17Z"/>
        <d v="2022-04-11T13:18:56Z"/>
        <d v="2022-04-11T13:18:46Z"/>
        <d v="2022-04-11T13:18:45Z"/>
        <d v="2022-04-11T13:18:44Z"/>
        <d v="2022-04-11T13:18:43Z"/>
        <d v="2022-04-11T13:18:42Z"/>
        <d v="2022-04-11T13:18:40Z"/>
        <d v="2022-04-11T13:18:39Z"/>
        <d v="2022-04-11T13:18:38Z"/>
        <d v="2022-04-11T13:18:36Z"/>
        <d v="2022-04-11T13:18:35Z"/>
        <d v="2022-04-11T13:18:33Z"/>
        <d v="2022-04-11T13:18:32Z"/>
        <d v="2022-04-11T13:18:31Z"/>
        <d v="2022-04-11T13:18:30Z"/>
        <d v="2022-04-11T13:18:22Z"/>
        <d v="2022-04-11T13:18:21Z"/>
        <d v="2022-04-11T13:18:14Z"/>
        <d v="2022-04-11T13:17:56Z"/>
        <d v="2022-04-11T13:17:44Z"/>
        <d v="2022-04-11T13:17:37Z"/>
        <d v="2022-04-11T13:17:02Z"/>
        <d v="2022-04-11T13:17:00Z"/>
        <d v="2022-04-11T13:16:58Z"/>
        <d v="2022-04-11T13:16:46Z"/>
        <d v="2022-04-11T13:16:45Z"/>
        <d v="2022-04-11T13:15:59Z"/>
        <d v="2022-04-11T13:15:51Z"/>
        <d v="2022-04-11T13:15:44Z"/>
        <d v="2022-04-11T13:15:38Z"/>
        <d v="2022-04-11T13:15:16Z"/>
        <d v="2022-04-11T13:15:14Z"/>
        <d v="2022-04-11T13:15:13Z"/>
        <d v="2022-04-11T13:15:12Z"/>
        <d v="2022-04-11T13:15:11Z"/>
        <d v="2022-04-11T13:15:10Z"/>
        <d v="2022-04-11T13:15:08Z"/>
        <d v="2022-04-11T13:15:07Z"/>
        <d v="2022-04-11T13:15:05Z"/>
        <d v="2022-04-11T13:15:04Z"/>
        <d v="2022-04-11T13:15:03Z"/>
        <d v="2022-04-11T13:15:02Z"/>
        <d v="2022-04-11T13:15:01Z"/>
        <d v="2022-04-11T13:15:00Z"/>
        <d v="2022-04-11T13:14:59Z"/>
        <d v="2022-04-11T13:14:57Z"/>
        <d v="2022-04-11T13:14:55Z"/>
        <d v="2022-04-11T13:14:53Z"/>
        <d v="2022-04-11T13:14:50Z"/>
        <d v="2022-04-11T13:14:49Z"/>
        <d v="2022-04-11T13:14:47Z"/>
        <d v="2022-04-11T13:14:46Z"/>
        <d v="2022-04-11T13:14:43Z"/>
        <d v="2022-04-11T13:14:40Z"/>
        <d v="2022-04-11T13:14:30Z"/>
        <d v="2022-04-11T13:13:28Z"/>
        <d v="2022-04-11T13:13:20Z"/>
        <d v="2022-04-11T13:13:13Z"/>
        <d v="2022-04-11T13:12:53Z"/>
        <d v="2022-04-11T13:12:51Z"/>
        <d v="2022-04-11T13:12:50Z"/>
        <d v="2022-04-11T13:12:13Z"/>
        <d v="2022-04-11T13:12:06Z"/>
        <d v="2022-04-11T13:11:59Z"/>
        <d v="2022-04-11T13:11:56Z"/>
        <d v="2022-04-11T13:11:54Z"/>
        <d v="2022-04-11T13:11:51Z"/>
        <d v="2022-04-11T13:11:50Z"/>
        <d v="2022-04-11T13:11:46Z"/>
        <d v="2022-04-11T13:11:43Z"/>
        <d v="2022-04-11T13:11:29Z"/>
        <d v="2022-04-11T13:11:27Z"/>
        <d v="2022-04-11T13:11:26Z"/>
        <d v="2022-04-11T13:11:23Z"/>
        <d v="2022-04-11T13:11:21Z"/>
        <d v="2022-04-11T13:11:10Z"/>
        <d v="2022-04-11T13:11:07Z"/>
        <d v="2022-04-11T13:11:05Z"/>
        <d v="2022-04-11T13:11:04Z"/>
        <d v="2022-04-11T13:11:02Z"/>
        <d v="2022-04-11T13:10:59Z"/>
        <d v="2022-04-11T13:10:56Z"/>
        <d v="2022-04-11T13:10:45Z"/>
        <d v="2022-04-11T13:10:31Z"/>
        <d v="2022-04-11T13:10:28Z"/>
        <d v="2022-04-11T13:10:23Z"/>
        <d v="2022-04-11T13:10:19Z"/>
        <d v="2022-04-11T13:10:14Z"/>
        <d v="2022-04-11T13:10:12Z"/>
        <d v="2022-04-11T13:10:10Z"/>
        <d v="2022-04-11T13:10:08Z"/>
        <d v="2022-04-11T13:10:05Z"/>
        <d v="2022-04-11T13:10:02Z"/>
        <d v="2022-04-11T13:10:01Z"/>
        <d v="2022-04-11T13:10:00Z"/>
        <d v="2022-04-11T13:09:59Z"/>
        <d v="2022-04-11T13:09:58Z"/>
        <d v="2022-04-11T13:09:55Z"/>
        <d v="2022-04-11T13:09:50Z"/>
        <d v="2022-04-11T13:09:48Z"/>
        <d v="2022-04-11T13:09:45Z"/>
        <d v="2022-04-11T13:09:44Z"/>
        <d v="2022-04-11T13:09:41Z"/>
        <d v="2022-04-11T13:09:39Z"/>
        <d v="2022-04-11T13:09:38Z"/>
        <d v="2022-04-11T13:09:31Z"/>
        <d v="2022-04-11T13:09:16Z"/>
        <d v="2022-04-11T13:08:58Z"/>
        <d v="2022-04-11T13:08:35Z"/>
        <d v="2022-04-11T13:08:33Z"/>
        <d v="2022-04-11T13:08:25Z"/>
        <d v="2022-04-11T13:08:22Z"/>
        <d v="2022-04-11T13:08:20Z"/>
        <d v="2022-04-11T13:08:14Z"/>
        <d v="2022-04-11T13:08:11Z"/>
        <d v="2022-04-11T13:08:10Z"/>
        <d v="2022-04-11T13:08:09Z"/>
        <d v="2022-04-11T13:08:08Z"/>
        <d v="2022-04-11T13:08:06Z"/>
        <d v="2022-04-11T13:08:05Z"/>
        <d v="2022-04-11T13:08:04Z"/>
        <d v="2022-04-11T13:08:03Z"/>
        <d v="2022-04-11T13:07:59Z"/>
        <d v="2022-04-11T13:07:56Z"/>
        <d v="2022-04-11T13:07:55Z"/>
        <d v="2022-04-11T13:07:54Z"/>
        <d v="2022-04-11T13:07:52Z"/>
        <d v="2022-04-11T13:07:47Z"/>
        <d v="2022-04-11T13:07:45Z"/>
        <d v="2022-04-11T13:07:42Z"/>
        <d v="2022-04-11T13:07:41Z"/>
        <d v="2022-04-11T13:07:40Z"/>
        <d v="2022-04-11T13:07:37Z"/>
        <d v="2022-04-11T13:07:36Z"/>
        <d v="2022-04-11T13:07:35Z"/>
        <d v="2022-04-11T13:07:34Z"/>
        <d v="2022-04-11T13:07:33Z"/>
        <d v="2022-04-11T13:07:30Z"/>
        <d v="2022-04-11T13:07:29Z"/>
        <d v="2022-04-11T13:07:26Z"/>
        <d v="2022-04-11T13:07:24Z"/>
        <d v="2022-04-11T13:07:22Z"/>
        <d v="2022-04-11T13:07:19Z"/>
        <d v="2022-04-11T13:07:18Z"/>
        <d v="2022-04-11T13:07:17Z"/>
        <d v="2022-04-11T13:07:16Z"/>
        <d v="2022-04-11T13:07:15Z"/>
        <d v="2022-04-11T13:07:14Z"/>
        <d v="2022-04-11T13:07:13Z"/>
        <d v="2022-04-11T13:07:12Z"/>
        <d v="2022-04-11T13:07:11Z"/>
        <d v="2022-04-11T13:07:10Z"/>
        <d v="2022-04-11T13:07:09Z"/>
        <d v="2022-04-11T13:07:07Z"/>
        <d v="2022-04-11T13:07:06Z"/>
        <d v="2022-04-11T13:07:05Z"/>
        <d v="2022-04-11T13:07:04Z"/>
        <d v="2022-04-11T13:07:03Z"/>
        <d v="2022-04-11T13:06:59Z"/>
        <d v="2022-04-11T13:06:33Z"/>
        <d v="2022-04-11T13:06:20Z"/>
        <d v="2022-04-11T13:06:19Z"/>
        <d v="2022-04-11T13:06:18Z"/>
        <d v="2022-04-11T13:06:15Z"/>
        <d v="2022-04-11T13:06:09Z"/>
        <d v="2022-04-11T13:06:03Z"/>
        <d v="2022-04-11T13:06:00Z"/>
        <d v="2022-04-11T13:05:56Z"/>
        <d v="2022-04-11T13:05:39Z"/>
        <d v="2022-04-11T13:05:19Z"/>
        <d v="2022-04-11T13:04:18Z"/>
        <d v="2022-04-11T13:04:10Z"/>
        <d v="2022-04-11T13:04:07Z"/>
        <d v="2022-04-11T13:03:59Z"/>
        <d v="2022-04-11T13:03:49Z"/>
        <d v="2022-04-11T13:03:48Z"/>
        <d v="2022-04-11T13:03:44Z"/>
        <d v="2022-04-11T13:03:41Z"/>
        <d v="2022-04-11T13:03:21Z"/>
        <d v="2022-04-11T13:02:35Z"/>
        <d v="2022-04-11T13:02:34Z"/>
        <d v="2022-04-11T13:02:29Z"/>
        <d v="2022-04-11T13:02:23Z"/>
        <d v="2022-04-11T13:02:22Z"/>
        <d v="2022-04-11T13:02:18Z"/>
        <d v="2022-04-11T13:01:53Z"/>
        <d v="2022-04-11T13:01:37Z"/>
        <d v="2022-04-11T13:01:35Z"/>
        <d v="2022-04-11T13:01:32Z"/>
        <d v="2022-04-11T13:01:30Z"/>
        <d v="2022-04-11T13:01:25Z"/>
        <d v="2022-04-11T13:01:17Z"/>
        <d v="2022-04-11T13:01:14Z"/>
        <d v="2022-04-11T13:00:55Z"/>
        <d v="2022-04-11T13:00:50Z"/>
        <d v="2022-04-11T13:00:48Z"/>
        <d v="2022-04-11T13:00:37Z"/>
        <d v="2022-04-11T13:00:35Z"/>
        <d v="2022-04-11T13:00:32Z"/>
        <d v="2022-04-11T13:00:31Z"/>
        <d v="2022-04-11T13:00:04Z"/>
        <d v="2022-04-11T12:59:59Z"/>
        <d v="2022-04-11T12:59:47Z"/>
        <d v="2022-04-11T12:58:14Z"/>
        <d v="2022-04-11T12:58:12Z"/>
        <d v="2022-04-11T12:57:57Z"/>
        <d v="2022-04-11T12:56:42Z"/>
        <d v="2022-04-11T12:56:39Z"/>
        <d v="2022-04-11T12:56:38Z"/>
        <d v="2022-04-11T12:56:36Z"/>
        <d v="2022-04-11T12:56:35Z"/>
        <d v="2022-04-11T12:56:34Z"/>
        <d v="2022-04-11T12:56:33Z"/>
        <d v="2022-04-11T12:56:32Z"/>
        <d v="2022-04-11T12:56:30Z"/>
        <d v="2022-04-11T12:56:29Z"/>
        <d v="2022-04-11T12:56:27Z"/>
        <d v="2022-04-11T12:56:26Z"/>
        <d v="2022-04-11T12:56:25Z"/>
        <d v="2022-04-11T12:56:24Z"/>
        <d v="2022-04-11T12:56:23Z"/>
        <d v="2022-04-11T12:56:22Z"/>
        <d v="2022-04-11T12:56:21Z"/>
        <d v="2022-04-11T12:56:15Z"/>
        <d v="2022-04-11T12:56:07Z"/>
        <d v="2022-04-11T12:56:05Z"/>
        <d v="2022-04-11T12:55:59Z"/>
        <d v="2022-04-11T12:55:49Z"/>
        <d v="2022-04-11T12:55:30Z"/>
        <d v="2022-04-11T12:55:26Z"/>
        <d v="2022-04-11T12:55:19Z"/>
        <d v="2022-04-11T12:54:43Z"/>
        <d v="2022-04-11T12:54:33Z"/>
        <d v="2022-04-11T12:54:32Z"/>
        <d v="2022-04-11T12:54:31Z"/>
        <d v="2022-04-11T12:54:29Z"/>
        <d v="2022-04-11T12:54:27Z"/>
        <d v="2022-04-11T12:54:26Z"/>
        <d v="2022-04-11T12:54:25Z"/>
        <d v="2022-04-11T12:54:23Z"/>
        <d v="2022-04-11T12:54:22Z"/>
        <d v="2022-04-11T12:54:20Z"/>
        <d v="2022-04-11T12:54:19Z"/>
        <d v="2022-04-11T12:54:16Z"/>
        <d v="2022-04-11T12:54:15Z"/>
        <d v="2022-04-11T12:54:12Z"/>
        <d v="2022-04-11T12:54:10Z"/>
        <d v="2022-04-11T12:54:08Z"/>
        <d v="2022-04-11T12:54:06Z"/>
        <d v="2022-04-11T12:54:05Z"/>
        <d v="2022-04-11T12:54:04Z"/>
        <d v="2022-04-11T12:54:03Z"/>
        <d v="2022-04-11T12:54:00Z"/>
        <d v="2022-04-11T12:53:59Z"/>
        <d v="2022-04-11T12:53:57Z"/>
        <d v="2022-04-11T12:53:54Z"/>
        <d v="2022-04-11T12:53:51Z"/>
        <d v="2022-04-11T12:53:49Z"/>
        <d v="2022-04-11T12:53:33Z"/>
        <d v="2022-04-11T12:53:31Z"/>
        <d v="2022-04-11T12:53:30Z"/>
        <d v="2022-04-11T12:53:29Z"/>
        <d v="2022-04-11T12:53:22Z"/>
        <d v="2022-04-11T12:53:17Z"/>
        <d v="2022-04-11T12:53:06Z"/>
        <d v="2022-04-11T12:53:05Z"/>
        <d v="2022-04-11T12:53:02Z"/>
        <d v="2022-04-11T12:53:01Z"/>
        <d v="2022-04-11T12:52:57Z"/>
        <d v="2022-04-11T12:52:56Z"/>
        <d v="2022-04-11T12:52:53Z"/>
        <d v="2022-04-11T12:52:52Z"/>
        <d v="2022-04-11T12:52:51Z"/>
        <d v="2022-04-11T12:52:50Z"/>
        <d v="2022-04-11T12:52:49Z"/>
        <d v="2022-04-11T12:52:28Z"/>
        <d v="2022-04-11T12:52:24Z"/>
        <d v="2022-04-11T12:52:18Z"/>
        <d v="2022-04-11T12:52:11Z"/>
        <d v="2022-04-11T12:52:00Z"/>
        <d v="2022-04-11T12:51:59Z"/>
        <d v="2022-04-11T12:51:57Z"/>
        <d v="2022-04-11T12:51:55Z"/>
        <d v="2022-04-11T12:51:53Z"/>
        <d v="2022-04-11T12:51:49Z"/>
        <d v="2022-04-11T12:51:46Z"/>
        <d v="2022-04-11T12:51:41Z"/>
        <d v="2022-04-11T12:51:37Z"/>
        <d v="2022-04-11T12:51:33Z"/>
        <d v="2022-04-11T12:51:32Z"/>
        <d v="2022-04-11T12:51:31Z"/>
        <d v="2022-04-11T12:51:30Z"/>
        <d v="2022-04-11T12:51:28Z"/>
        <d v="2022-04-11T12:51:27Z"/>
        <d v="2022-04-11T12:51:26Z"/>
        <d v="2022-04-11T12:51:25Z"/>
        <d v="2022-04-11T12:51:24Z"/>
        <d v="2022-04-11T12:51:23Z"/>
        <d v="2022-04-11T12:51:22Z"/>
        <d v="2022-04-11T12:51:21Z"/>
        <d v="2022-04-11T12:51:19Z"/>
        <d v="2022-04-11T12:51:18Z"/>
        <d v="2022-04-11T12:51:17Z"/>
        <d v="2022-04-11T12:51:15Z"/>
        <d v="2022-04-11T12:51:14Z"/>
        <d v="2022-04-11T12:51:13Z"/>
        <d v="2022-04-11T12:51:09Z"/>
        <d v="2022-04-11T12:51:07Z"/>
        <d v="2022-04-11T12:50:58Z"/>
        <d v="2022-04-11T12:50:45Z"/>
        <d v="2022-04-11T12:49:47Z"/>
        <d v="2022-04-11T12:49:22Z"/>
        <d v="2022-04-11T12:49:20Z"/>
        <d v="2022-04-11T12:49:03Z"/>
        <d v="2022-04-11T12:49:00Z"/>
        <d v="2022-04-11T12:48:59Z"/>
        <d v="2022-04-11T12:48:55Z"/>
        <d v="2022-04-11T12:48:53Z"/>
        <d v="2022-04-11T12:48:50Z"/>
        <d v="2022-04-11T12:48:48Z"/>
        <d v="2022-04-11T12:48:46Z"/>
        <d v="2022-04-11T12:48:43Z"/>
        <d v="2022-04-11T12:48:41Z"/>
        <d v="2022-04-11T12:48:39Z"/>
        <d v="2022-04-11T12:48:38Z"/>
        <d v="2022-04-11T12:48:36Z"/>
        <d v="2022-04-11T12:48:34Z"/>
        <d v="2022-04-11T12:48:31Z"/>
        <d v="2022-04-11T12:48:29Z"/>
        <d v="2022-04-11T12:48:26Z"/>
        <d v="2022-04-11T12:48:22Z"/>
        <d v="2022-04-11T12:48:19Z"/>
        <d v="2022-04-11T12:48:13Z"/>
        <d v="2022-04-11T12:48:10Z"/>
        <d v="2022-04-11T12:47:46Z"/>
        <d v="2022-04-11T12:47:34Z"/>
        <d v="2022-04-11T12:47:16Z"/>
        <d v="2022-04-11T12:47:14Z"/>
        <d v="2022-04-11T12:47:13Z"/>
        <d v="2022-04-11T12:46:39Z"/>
        <d v="2022-04-11T12:46:35Z"/>
        <d v="2022-04-11T12:46:34Z"/>
        <d v="2022-04-11T12:46:23Z"/>
        <d v="2022-04-11T12:45:25Z"/>
        <d v="2022-04-11T12:45:18Z"/>
        <d v="2022-04-11T12:45:16Z"/>
        <d v="2022-04-11T12:45:03Z"/>
        <d v="2022-04-11T12:45:00Z"/>
        <d v="2022-04-11T12:44:59Z"/>
        <d v="2022-04-11T12:44:54Z"/>
        <d v="2022-04-11T12:44:53Z"/>
        <d v="2022-04-11T12:44:51Z"/>
        <d v="2022-04-11T12:44:48Z"/>
        <d v="2022-04-11T12:44:45Z"/>
        <d v="2022-04-11T12:44:41Z"/>
        <d v="2022-04-11T12:44:39Z"/>
        <d v="2022-04-11T12:44:37Z"/>
        <d v="2022-04-11T12:44:31Z"/>
        <d v="2022-04-11T12:44:19Z"/>
        <d v="2022-04-11T12:44:16Z"/>
        <d v="2022-04-11T12:44:14Z"/>
        <d v="2022-04-11T12:44:11Z"/>
        <d v="2022-04-11T12:44:08Z"/>
        <d v="2022-04-11T12:43:56Z"/>
        <d v="2022-04-11T12:43:24Z"/>
        <d v="2022-04-11T12:42:56Z"/>
        <d v="2022-04-11T12:42:04Z"/>
        <d v="2022-04-11T12:42:03Z"/>
        <d v="2022-04-11T12:42:00Z"/>
        <d v="2022-04-11T12:41:55Z"/>
        <d v="2022-04-11T12:41:53Z"/>
        <d v="2022-04-11T12:41:52Z"/>
        <d v="2022-04-11T12:41:44Z"/>
        <d v="2022-04-11T12:41:39Z"/>
        <d v="2022-04-11T12:41:36Z"/>
        <d v="2022-04-11T12:41:27Z"/>
        <d v="2022-04-11T12:41:23Z"/>
        <d v="2022-04-11T12:41:16Z"/>
        <d v="2022-04-11T12:41:12Z"/>
        <d v="2022-04-11T12:41:01Z"/>
        <d v="2022-04-11T12:40:58Z"/>
        <d v="2022-04-11T12:40:52Z"/>
        <d v="2022-04-11T12:40:50Z"/>
        <d v="2022-04-11T12:40:45Z"/>
        <d v="2022-04-11T12:40:42Z"/>
        <d v="2022-04-11T12:40:39Z"/>
        <d v="2022-04-11T12:40:38Z"/>
        <d v="2022-04-11T12:40:31Z"/>
        <d v="2022-04-11T12:40:24Z"/>
        <d v="2022-04-11T12:40:12Z"/>
        <d v="2022-04-11T12:40:09Z"/>
        <d v="2022-04-11T12:40:07Z"/>
        <d v="2022-04-11T12:40:04Z"/>
        <d v="2022-04-11T12:39:47Z"/>
        <d v="2022-04-11T12:39:44Z"/>
        <d v="2022-04-11T12:39:13Z"/>
        <d v="2022-04-11T12:39:06Z"/>
        <d v="2022-04-11T12:39:05Z"/>
        <d v="2022-04-11T12:39:03Z"/>
        <d v="2022-04-11T12:38:38Z"/>
        <d v="2022-04-11T12:38:19Z"/>
        <d v="2022-04-11T12:37:57Z"/>
        <d v="2022-04-11T12:37:56Z"/>
        <d v="2022-04-11T12:37:54Z"/>
        <d v="2022-04-11T12:37:53Z"/>
        <d v="2022-04-11T12:37:44Z"/>
        <d v="2022-04-11T12:37:43Z"/>
        <d v="2022-04-11T12:37:37Z"/>
        <d v="2022-04-11T12:37:34Z"/>
        <d v="2022-04-11T12:37:33Z"/>
        <d v="2022-04-11T12:37:29Z"/>
        <d v="2022-04-11T12:37:28Z"/>
        <d v="2022-04-11T12:37:27Z"/>
        <d v="2022-04-11T12:37:26Z"/>
        <d v="2022-04-11T12:37:25Z"/>
        <d v="2022-04-11T12:37:23Z"/>
        <d v="2022-04-11T12:37:17Z"/>
        <d v="2022-04-11T12:37:15Z"/>
        <d v="2022-04-11T12:37:14Z"/>
        <d v="2022-04-11T12:37:12Z"/>
        <d v="2022-04-11T12:37:11Z"/>
        <d v="2022-04-11T12:37:10Z"/>
        <d v="2022-04-11T12:37:07Z"/>
        <d v="2022-04-11T12:37:05Z"/>
        <d v="2022-04-11T12:37:03Z"/>
        <d v="2022-04-11T12:36:59Z"/>
        <d v="2022-04-11T12:36:56Z"/>
        <d v="2022-04-11T12:36:55Z"/>
        <d v="2022-04-11T12:36:53Z"/>
        <d v="2022-04-11T12:36:50Z"/>
        <d v="2022-04-11T12:36:48Z"/>
        <d v="2022-04-11T12:36:47Z"/>
        <d v="2022-04-11T12:36:45Z"/>
        <d v="2022-04-11T12:36:44Z"/>
        <d v="2022-04-11T12:36:42Z"/>
        <d v="2022-04-11T12:36:40Z"/>
        <d v="2022-04-11T12:36:32Z"/>
        <d v="2022-04-11T12:36:18Z"/>
        <d v="2022-04-11T12:36:01Z"/>
        <d v="2022-04-11T12:35:55Z"/>
        <d v="2022-04-11T12:35:53Z"/>
        <d v="2022-04-11T12:35:44Z"/>
        <d v="2022-04-11T12:35:41Z"/>
        <d v="2022-04-11T12:35:29Z"/>
        <d v="2022-04-11T12:35:25Z"/>
        <d v="2022-04-11T12:35:21Z"/>
        <d v="2022-04-11T12:35:14Z"/>
        <d v="2022-04-11T12:34:55Z"/>
        <d v="2022-04-11T12:34:54Z"/>
        <d v="2022-04-11T12:34:46Z"/>
        <d v="2022-04-11T12:34:44Z"/>
        <d v="2022-04-11T12:34:23Z"/>
        <d v="2022-04-11T12:34:19Z"/>
        <d v="2022-04-11T12:34:15Z"/>
        <d v="2022-04-11T12:34:12Z"/>
        <d v="2022-04-11T12:34:10Z"/>
        <d v="2022-04-11T12:33:52Z"/>
        <d v="2022-04-11T12:33:48Z"/>
        <d v="2022-04-11T12:33:37Z"/>
        <d v="2022-04-11T12:33:19Z"/>
        <d v="2022-04-11T12:33:15Z"/>
        <d v="2022-04-11T12:33:10Z"/>
        <d v="2022-04-11T12:32:53Z"/>
        <d v="2022-04-11T12:32:17Z"/>
        <d v="2022-04-11T12:32:15Z"/>
        <d v="2022-04-11T12:32:12Z"/>
        <d v="2022-04-11T12:32:09Z"/>
        <d v="2022-04-11T12:31:59Z"/>
        <d v="2022-04-11T12:31:53Z"/>
        <d v="2022-04-11T12:31:52Z"/>
        <d v="2022-04-11T12:31:51Z"/>
        <d v="2022-04-11T12:31:50Z"/>
        <d v="2022-04-11T12:31:48Z"/>
        <d v="2022-04-11T12:31:47Z"/>
        <d v="2022-04-11T12:31:45Z"/>
        <d v="2022-04-11T12:31:38Z"/>
        <d v="2022-04-11T12:31:32Z"/>
        <d v="2022-04-11T12:31:29Z"/>
        <d v="2022-04-11T12:31:27Z"/>
        <d v="2022-04-11T12:31:21Z"/>
        <d v="2022-04-11T12:31:15Z"/>
        <d v="2022-04-11T12:31:11Z"/>
        <d v="2022-04-11T12:31:08Z"/>
        <d v="2022-04-11T12:31:05Z"/>
        <d v="2022-04-11T12:31:04Z"/>
        <d v="2022-04-11T12:30:57Z"/>
        <d v="2022-04-11T12:30:54Z"/>
        <d v="2022-04-11T12:30:53Z"/>
        <d v="2022-04-11T12:30:49Z"/>
        <d v="2022-04-11T12:30:45Z"/>
        <d v="2022-04-11T12:30:43Z"/>
        <d v="2022-04-11T12:30:42Z"/>
        <d v="2022-04-11T12:30:41Z"/>
        <d v="2022-04-11T12:30:39Z"/>
        <d v="2022-04-11T12:30:38Z"/>
        <d v="2022-04-11T12:30:37Z"/>
        <d v="2022-04-11T12:30:35Z"/>
        <d v="2022-04-11T12:30:34Z"/>
        <d v="2022-04-11T12:30:32Z"/>
        <d v="2022-04-11T12:30:24Z"/>
        <d v="2022-04-11T12:30:23Z"/>
        <d v="2022-04-11T12:30:20Z"/>
        <d v="2022-04-11T12:30:19Z"/>
        <d v="2022-04-11T12:30:18Z"/>
        <d v="2022-04-11T12:30:16Z"/>
        <d v="2022-04-11T12:30:15Z"/>
        <d v="2022-04-11T12:30:14Z"/>
        <d v="2022-04-11T12:30:13Z"/>
        <d v="2022-04-11T12:30:12Z"/>
        <d v="2022-04-11T12:30:11Z"/>
        <d v="2022-04-11T12:30:09Z"/>
        <d v="2022-04-11T12:30:08Z"/>
        <d v="2022-04-11T12:30:07Z"/>
        <d v="2022-04-11T12:30:06Z"/>
        <d v="2022-04-11T12:30:05Z"/>
        <d v="2022-04-11T12:30:03Z"/>
        <d v="2022-04-11T12:30:02Z"/>
        <d v="2022-04-11T12:30:00Z"/>
        <d v="2022-04-11T12:29:58Z"/>
        <d v="2022-04-11T12:29:57Z"/>
        <d v="2022-04-11T12:29:54Z"/>
        <d v="2022-04-11T12:29:51Z"/>
        <d v="2022-04-11T12:29:48Z"/>
        <d v="2022-04-11T12:29:47Z"/>
        <d v="2022-04-11T12:29:45Z"/>
        <d v="2022-04-11T12:29:44Z"/>
        <d v="2022-04-11T12:29:43Z"/>
        <d v="2022-04-11T12:29:42Z"/>
        <d v="2022-04-11T12:29:41Z"/>
        <d v="2022-04-11T12:29:40Z"/>
        <d v="2022-04-11T12:29:39Z"/>
        <d v="2022-04-11T12:29:36Z"/>
        <d v="2022-04-11T12:29:35Z"/>
        <d v="2022-04-11T12:29:30Z"/>
        <d v="2022-04-11T12:29:28Z"/>
        <d v="2022-04-11T12:29:24Z"/>
        <d v="2022-04-11T12:29:23Z"/>
        <d v="2022-04-11T12:29:22Z"/>
        <d v="2022-04-11T12:29:19Z"/>
        <d v="2022-04-11T12:29:18Z"/>
        <d v="2022-04-11T12:29:10Z"/>
        <d v="2022-04-11T12:29:03Z"/>
        <d v="2022-04-11T12:28:59Z"/>
        <d v="2022-04-11T12:28:52Z"/>
        <d v="2022-04-11T12:28:48Z"/>
        <d v="2022-04-11T12:28:46Z"/>
        <d v="2022-04-11T12:28:44Z"/>
        <d v="2022-04-11T12:28:42Z"/>
        <d v="2022-04-11T12:28:41Z"/>
        <d v="2022-04-11T12:28:40Z"/>
        <d v="2022-04-11T12:28:39Z"/>
        <d v="2022-04-11T12:28:37Z"/>
        <d v="2022-04-11T12:28:36Z"/>
        <d v="2022-04-11T12:28:34Z"/>
        <d v="2022-04-11T12:28:33Z"/>
        <d v="2022-04-11T12:28:32Z"/>
        <d v="2022-04-11T12:28:30Z"/>
        <d v="2022-04-11T12:28:28Z"/>
        <d v="2022-04-11T12:28:26Z"/>
        <d v="2022-04-11T12:28:25Z"/>
        <d v="2022-04-11T12:28:23Z"/>
        <d v="2022-04-11T12:28:22Z"/>
        <d v="2022-04-11T12:28:20Z"/>
        <d v="2022-04-11T12:28:19Z"/>
        <d v="2022-04-11T12:28:18Z"/>
        <d v="2022-04-11T12:28:16Z"/>
        <d v="2022-04-11T12:28:14Z"/>
        <d v="2022-04-11T12:28:13Z"/>
        <d v="2022-04-11T12:28:08Z"/>
        <d v="2022-04-11T12:28:06Z"/>
        <d v="2022-04-11T12:28:04Z"/>
        <d v="2022-04-11T12:28:02Z"/>
        <d v="2022-04-11T12:28:00Z"/>
        <d v="2022-04-11T12:27:58Z"/>
        <d v="2022-04-11T12:27:54Z"/>
        <d v="2022-04-11T12:27:53Z"/>
        <d v="2022-04-11T12:27:51Z"/>
        <d v="2022-04-11T12:27:49Z"/>
        <d v="2022-04-11T12:27:47Z"/>
        <d v="2022-04-11T12:27:44Z"/>
        <d v="2022-04-11T12:27:41Z"/>
        <d v="2022-04-11T12:27:40Z"/>
        <d v="2022-04-11T12:27:38Z"/>
        <d v="2022-04-11T12:27:37Z"/>
        <d v="2022-04-11T12:27:35Z"/>
        <d v="2022-04-11T12:27:30Z"/>
        <d v="2022-04-11T12:27:28Z"/>
        <d v="2022-04-11T12:27:26Z"/>
        <d v="2022-04-11T12:27:24Z"/>
        <d v="2022-04-11T12:27:12Z"/>
        <d v="2022-04-11T12:27:07Z"/>
        <d v="2022-04-11T12:27:01Z"/>
        <d v="2022-04-11T12:26:52Z"/>
        <d v="2022-04-11T12:26:46Z"/>
        <d v="2022-04-11T12:26:42Z"/>
        <d v="2022-04-11T12:26:38Z"/>
        <d v="2022-04-11T12:26:24Z"/>
        <d v="2022-04-11T12:26:18Z"/>
        <d v="2022-04-11T12:26:10Z"/>
        <d v="2022-04-11T12:26:09Z"/>
        <d v="2022-04-11T12:26:06Z"/>
        <d v="2022-04-11T12:26:03Z"/>
        <d v="2022-04-11T12:26:01Z"/>
        <d v="2022-04-11T12:25:59Z"/>
        <d v="2022-04-11T12:25:55Z"/>
        <d v="2022-04-11T12:25:54Z"/>
        <d v="2022-04-11T12:25:50Z"/>
        <d v="2022-04-11T12:25:41Z"/>
        <d v="2022-04-11T12:25:40Z"/>
        <d v="2022-04-11T12:25:31Z"/>
        <d v="2022-04-11T12:25:29Z"/>
        <d v="2022-04-11T12:25:27Z"/>
        <d v="2022-04-11T12:25:22Z"/>
        <d v="2022-04-11T12:25:20Z"/>
        <d v="2022-04-11T12:25:01Z"/>
        <d v="2022-04-11T12:24:46Z"/>
        <d v="2022-04-11T12:24:25Z"/>
        <d v="2022-04-11T12:24:21Z"/>
        <d v="2022-04-11T12:24:06Z"/>
        <d v="2022-04-11T12:24:03Z"/>
        <d v="2022-04-11T12:24:00Z"/>
        <d v="2022-04-11T12:23:58Z"/>
        <d v="2022-04-11T12:23:54Z"/>
        <d v="2022-04-11T12:23:53Z"/>
        <d v="2022-04-11T12:23:50Z"/>
        <d v="2022-04-11T12:23:49Z"/>
        <d v="2022-04-11T12:23:47Z"/>
        <d v="2022-04-11T12:23:43Z"/>
        <d v="2022-04-11T12:23:40Z"/>
        <d v="2022-04-11T12:23:35Z"/>
        <d v="2022-04-11T12:23:31Z"/>
        <d v="2022-04-11T12:23:30Z"/>
        <d v="2022-04-11T12:23:29Z"/>
        <d v="2022-04-11T12:23:28Z"/>
        <d v="2022-04-11T12:23:27Z"/>
        <d v="2022-04-11T12:23:25Z"/>
        <d v="2022-04-11T12:23:24Z"/>
        <d v="2022-04-11T12:23:23Z"/>
        <d v="2022-04-11T12:23:22Z"/>
        <d v="2022-04-11T12:23:21Z"/>
        <d v="2022-04-11T12:23:20Z"/>
        <d v="2022-04-11T12:23:19Z"/>
        <d v="2022-04-11T12:23:18Z"/>
        <d v="2022-04-11T12:23:17Z"/>
        <d v="2022-04-11T12:23:16Z"/>
        <d v="2022-04-11T12:23:15Z"/>
        <d v="2022-04-11T12:23:13Z"/>
        <d v="2022-04-11T12:23:07Z"/>
        <d v="2022-04-11T12:23:05Z"/>
        <d v="2022-04-11T12:23:04Z"/>
        <d v="2022-04-11T12:23:02Z"/>
        <d v="2022-04-11T12:22:56Z"/>
        <d v="2022-04-11T12:22:54Z"/>
        <d v="2022-04-11T12:22:53Z"/>
        <d v="2022-04-11T12:22:51Z"/>
        <d v="2022-04-11T12:22:49Z"/>
        <d v="2022-04-11T12:22:47Z"/>
        <d v="2022-04-11T12:22:46Z"/>
        <d v="2022-04-11T12:22:44Z"/>
        <d v="2022-04-11T12:22:43Z"/>
        <d v="2022-04-11T12:22:42Z"/>
        <d v="2022-04-11T12:22:41Z"/>
        <d v="2022-04-11T12:22:40Z"/>
        <d v="2022-04-11T12:22:39Z"/>
        <d v="2022-04-11T12:22:38Z"/>
        <d v="2022-04-11T12:22:34Z"/>
        <d v="2022-04-11T12:22:27Z"/>
        <d v="2022-04-11T12:22:17Z"/>
        <d v="2022-04-11T12:22:11Z"/>
        <d v="2022-04-11T12:21:57Z"/>
        <d v="2022-04-11T12:21:56Z"/>
        <d v="2022-04-11T12:21:55Z"/>
        <d v="2022-04-11T12:21:54Z"/>
        <d v="2022-04-11T12:21:53Z"/>
        <d v="2022-04-11T12:21:52Z"/>
        <d v="2022-04-11T12:21:51Z"/>
        <d v="2022-04-11T12:21:50Z"/>
        <d v="2022-04-11T12:21:49Z"/>
        <d v="2022-04-11T12:21:48Z"/>
        <d v="2022-04-11T12:21:44Z"/>
        <d v="2022-04-11T12:21:42Z"/>
        <d v="2022-04-11T12:21:39Z"/>
        <d v="2022-04-11T12:21:37Z"/>
        <d v="2022-04-11T12:21:34Z"/>
        <d v="2022-04-11T12:21:29Z"/>
        <d v="2022-04-11T12:21:26Z"/>
        <d v="2022-04-11T12:21:19Z"/>
        <d v="2022-04-11T12:21:18Z"/>
        <d v="2022-04-11T12:21:13Z"/>
        <d v="2022-04-11T12:21:11Z"/>
        <d v="2022-04-11T12:21:09Z"/>
        <d v="2022-04-11T12:21:08Z"/>
        <d v="2022-04-11T12:21:07Z"/>
        <d v="2022-04-11T12:21:05Z"/>
        <d v="2022-04-11T12:21:03Z"/>
        <d v="2022-04-11T12:21:01Z"/>
        <d v="2022-04-11T12:20:59Z"/>
        <d v="2022-04-11T12:20:58Z"/>
        <d v="2022-04-11T12:20:55Z"/>
        <d v="2022-04-11T12:20:54Z"/>
        <d v="2022-04-11T12:20:53Z"/>
        <d v="2022-04-11T12:20:52Z"/>
        <d v="2022-04-11T12:20:50Z"/>
        <d v="2022-04-11T12:20:46Z"/>
        <d v="2022-04-11T12:20:45Z"/>
        <d v="2022-04-11T12:20:43Z"/>
        <d v="2022-04-11T12:20:41Z"/>
        <d v="2022-04-11T12:20:39Z"/>
        <d v="2022-04-11T12:20:38Z"/>
        <d v="2022-04-11T12:20:37Z"/>
        <d v="2022-04-11T12:20:36Z"/>
        <d v="2022-04-11T12:20:35Z"/>
        <d v="2022-04-11T12:20:34Z"/>
        <d v="2022-04-11T12:20:33Z"/>
        <d v="2022-04-11T12:20:32Z"/>
        <d v="2022-04-11T12:20:31Z"/>
        <d v="2022-04-11T12:20:30Z"/>
        <d v="2022-04-11T12:20:29Z"/>
        <d v="2022-04-11T12:20:27Z"/>
        <d v="2022-04-11T12:20:25Z"/>
        <d v="2022-04-11T12:20:22Z"/>
        <d v="2022-04-11T12:20:21Z"/>
        <d v="2022-04-11T12:20:19Z"/>
        <d v="2022-04-11T12:20:18Z"/>
        <d v="2022-04-11T12:20:17Z"/>
        <d v="2022-04-11T12:20:15Z"/>
        <d v="2022-04-11T12:20:14Z"/>
        <d v="2022-04-11T12:20:13Z"/>
        <d v="2022-04-11T12:20:11Z"/>
        <d v="2022-04-11T12:20:07Z"/>
        <d v="2022-04-11T12:20:06Z"/>
        <d v="2022-04-11T12:20:05Z"/>
        <d v="2022-04-11T12:20:04Z"/>
        <d v="2022-04-11T12:20:03Z"/>
        <d v="2022-04-11T12:20:02Z"/>
        <d v="2022-04-11T12:20:01Z"/>
        <d v="2022-04-11T12:20:00Z"/>
        <d v="2022-04-11T12:19:59Z"/>
        <d v="2022-04-11T12:19:58Z"/>
        <d v="2022-04-11T12:19:57Z"/>
        <d v="2022-04-11T12:19:56Z"/>
        <d v="2022-04-11T12:19:55Z"/>
        <d v="2022-04-11T12:19:54Z"/>
        <d v="2022-04-11T12:19:53Z"/>
        <d v="2022-04-11T12:19:52Z"/>
        <d v="2022-04-11T12:19:51Z"/>
        <d v="2022-04-11T12:19:50Z"/>
        <d v="2022-04-11T12:19:49Z"/>
        <d v="2022-04-11T12:19:48Z"/>
        <d v="2022-04-11T12:19:47Z"/>
        <d v="2022-04-11T12:19:46Z"/>
        <d v="2022-04-11T12:19:45Z"/>
        <d v="2022-04-11T12:19:44Z"/>
        <d v="2022-04-11T12:19:43Z"/>
        <d v="2022-04-11T12:19:42Z"/>
        <d v="2022-04-11T12:19:41Z"/>
        <d v="2022-04-11T12:19:40Z"/>
        <d v="2022-04-11T12:19:39Z"/>
        <d v="2022-04-11T12:19:38Z"/>
        <d v="2022-04-11T12:19:37Z"/>
        <d v="2022-04-11T12:19:36Z"/>
        <d v="2022-04-11T12:19:35Z"/>
        <d v="2022-04-11T12:19:33Z"/>
        <d v="2022-04-11T12:19:28Z"/>
        <d v="2022-04-11T12:19:27Z"/>
        <d v="2022-04-11T12:19:26Z"/>
        <d v="2022-04-11T12:19:24Z"/>
        <d v="2022-04-11T12:19:23Z"/>
        <d v="2022-04-11T12:19:22Z"/>
        <d v="2022-04-11T12:19:20Z"/>
        <d v="2022-04-11T12:19:18Z"/>
        <d v="2022-04-11T12:19:17Z"/>
        <d v="2022-04-11T12:19:15Z"/>
        <d v="2022-04-11T12:19:14Z"/>
        <d v="2022-04-11T12:19:13Z"/>
        <d v="2022-04-11T12:19:12Z"/>
        <d v="2022-04-11T12:19:11Z"/>
        <d v="2022-04-11T12:19:10Z"/>
        <d v="2022-04-11T12:19:09Z"/>
        <d v="2022-04-11T12:19:07Z"/>
        <d v="2022-04-11T12:19:06Z"/>
        <d v="2022-04-11T12:19:05Z"/>
        <d v="2022-04-11T12:19:04Z"/>
        <d v="2022-04-11T12:19:03Z"/>
        <d v="2022-04-11T12:19:02Z"/>
        <d v="2022-04-11T12:19:01Z"/>
        <d v="2022-04-11T12:18:59Z"/>
        <d v="2022-04-11T12:18:57Z"/>
        <d v="2022-04-11T12:18:54Z"/>
        <d v="2022-04-11T12:18:53Z"/>
        <d v="2022-04-11T12:18:52Z"/>
        <d v="2022-04-11T12:18:51Z"/>
        <d v="2022-04-11T12:18:49Z"/>
        <d v="2022-04-11T12:18:47Z"/>
        <d v="2022-04-11T12:18:46Z"/>
        <d v="2022-04-11T12:18:45Z"/>
        <d v="2022-04-11T12:18:44Z"/>
        <d v="2022-04-11T12:18:43Z"/>
        <d v="2022-04-11T12:18:42Z"/>
        <d v="2022-04-11T12:18:41Z"/>
        <d v="2022-04-11T12:18:40Z"/>
        <d v="2022-04-11T12:18:38Z"/>
        <d v="2022-04-11T12:18:37Z"/>
        <d v="2022-04-11T12:18:33Z"/>
        <d v="2022-04-11T12:18:31Z"/>
        <d v="2022-04-11T12:18:27Z"/>
        <d v="2022-04-11T12:18:23Z"/>
        <d v="2022-04-11T12:18:22Z"/>
        <d v="2022-04-11T12:18:20Z"/>
        <d v="2022-04-11T12:18:18Z"/>
        <d v="2022-04-11T12:18:09Z"/>
        <d v="2022-04-11T12:18:07Z"/>
        <d v="2022-04-11T12:18:06Z"/>
        <d v="2022-04-11T12:18:04Z"/>
        <d v="2022-04-11T12:18:03Z"/>
        <d v="2022-04-11T12:18:02Z"/>
        <d v="2022-04-11T12:18:00Z"/>
        <d v="2022-04-11T12:17:58Z"/>
        <d v="2022-04-11T12:17:57Z"/>
        <d v="2022-04-11T12:17:54Z"/>
        <d v="2022-04-11T12:17:52Z"/>
        <d v="2022-04-11T12:17:51Z"/>
        <d v="2022-04-11T12:17:49Z"/>
        <d v="2022-04-11T12:17:48Z"/>
        <d v="2022-04-11T12:17:46Z"/>
        <d v="2022-04-11T12:17:44Z"/>
        <d v="2022-04-11T12:17:41Z"/>
        <d v="2022-04-11T12:17:40Z"/>
        <d v="2022-04-11T12:17:39Z"/>
        <d v="2022-04-11T12:17:35Z"/>
        <d v="2022-04-11T12:17:32Z"/>
        <d v="2022-04-11T12:17:31Z"/>
        <d v="2022-04-11T12:17:27Z"/>
        <d v="2022-04-11T12:17:26Z"/>
        <d v="2022-04-11T12:17:24Z"/>
        <d v="2022-04-11T12:17:22Z"/>
        <d v="2022-04-11T12:17:20Z"/>
        <d v="2022-04-11T12:17:19Z"/>
        <d v="2022-04-11T12:17:18Z"/>
        <d v="2022-04-11T12:17:15Z"/>
        <d v="2022-04-11T12:17:11Z"/>
        <d v="2022-04-11T12:17:09Z"/>
        <d v="2022-04-11T12:17:05Z"/>
        <d v="2022-04-11T12:17:03Z"/>
        <d v="2022-04-11T12:17:00Z"/>
        <d v="2022-04-11T12:16:59Z"/>
        <d v="2022-04-11T12:16:58Z"/>
        <d v="2022-04-11T12:16:56Z"/>
        <d v="2022-04-11T12:16:54Z"/>
        <d v="2022-04-11T12:16:52Z"/>
        <d v="2022-04-11T12:16:48Z"/>
        <d v="2022-04-11T12:16:47Z"/>
        <d v="2022-04-11T12:16:44Z"/>
        <d v="2022-04-11T12:16:42Z"/>
        <d v="2022-04-11T12:16:40Z"/>
        <d v="2022-04-11T12:16:39Z"/>
        <d v="2022-04-11T12:16:36Z"/>
        <d v="2022-04-11T12:16:33Z"/>
        <d v="2022-04-11T12:16:27Z"/>
        <d v="2022-04-11T12:16:25Z"/>
        <d v="2022-04-11T12:16:24Z"/>
        <d v="2022-04-11T12:16:18Z"/>
        <d v="2022-04-11T12:16:17Z"/>
        <d v="2022-04-11T12:16:13Z"/>
        <d v="2022-04-11T12:16:11Z"/>
        <d v="2022-04-11T12:16:08Z"/>
        <d v="2022-04-11T12:16:07Z"/>
        <d v="2022-04-11T12:16:06Z"/>
        <d v="2022-04-11T12:16:04Z"/>
        <d v="2022-04-11T12:16:03Z"/>
        <d v="2022-04-11T12:16:01Z"/>
        <d v="2022-04-11T12:15:59Z"/>
        <d v="2022-04-11T12:15:57Z"/>
        <d v="2022-04-11T12:15:55Z"/>
        <d v="2022-04-11T12:15:33Z"/>
        <d v="2022-04-11T12:15:19Z"/>
        <d v="2022-04-11T12:15:17Z"/>
        <d v="2022-04-11T12:15:16Z"/>
        <d v="2022-04-11T12:15:15Z"/>
        <d v="2022-04-11T12:15:14Z"/>
        <d v="2022-04-11T12:15:13Z"/>
        <d v="2022-04-11T12:15:11Z"/>
        <d v="2022-04-11T12:15:08Z"/>
        <d v="2022-04-11T12:15:01Z"/>
        <d v="2022-04-11T12:15:00Z"/>
        <d v="2022-04-11T12:14:58Z"/>
        <d v="2022-04-11T12:14:47Z"/>
        <d v="2022-04-11T12:14:32Z"/>
        <d v="2022-04-11T12:13:45Z"/>
        <d v="2022-04-11T12:13:43Z"/>
        <d v="2022-04-11T12:13:37Z"/>
        <d v="2022-04-11T12:13:29Z"/>
        <d v="2022-04-11T12:13:27Z"/>
        <d v="2022-04-11T12:13:23Z"/>
        <d v="2022-04-11T12:13:18Z"/>
        <d v="2022-04-11T12:13:14Z"/>
        <d v="2022-04-11T12:13:03Z"/>
        <d v="2022-04-11T12:12:57Z"/>
        <d v="2022-04-11T12:12:54Z"/>
        <d v="2022-04-11T12:12:47Z"/>
        <d v="2022-04-11T12:12:07Z"/>
        <d v="2022-04-11T12:11:56Z"/>
        <d v="2022-04-11T12:11:40Z"/>
        <d v="2022-04-11T12:11:31Z"/>
        <d v="2022-04-11T12:11:19Z"/>
        <d v="2022-04-11T12:11:01Z"/>
        <d v="2022-04-11T12:10:57Z"/>
        <d v="2022-04-11T12:10:55Z"/>
        <d v="2022-04-11T12:10:53Z"/>
        <d v="2022-04-11T12:10:47Z"/>
        <d v="2022-04-11T12:10:22Z"/>
        <d v="2022-04-11T12:10:16Z"/>
        <d v="2022-04-11T12:10:14Z"/>
        <d v="2022-04-11T12:10:09Z"/>
        <d v="2022-04-11T12:10:04Z"/>
        <d v="2022-04-11T12:09:52Z"/>
        <d v="2022-04-11T12:09:45Z"/>
        <d v="2022-04-11T12:09:42Z"/>
        <d v="2022-04-11T12:09:36Z"/>
        <d v="2022-04-11T12:09:31Z"/>
        <d v="2022-04-11T12:09:26Z"/>
        <d v="2022-04-11T12:09:23Z"/>
        <d v="2022-04-11T12:09:18Z"/>
        <d v="2022-04-11T12:09:08Z"/>
        <d v="2022-04-11T12:09:06Z"/>
        <d v="2022-04-11T12:08:57Z"/>
        <d v="2022-04-11T12:08:52Z"/>
        <d v="2022-04-11T12:08:26Z"/>
        <d v="2022-04-11T12:07:57Z"/>
        <d v="2022-04-11T12:07:48Z"/>
        <d v="2022-04-11T12:07:45Z"/>
        <d v="2022-04-11T12:07:44Z"/>
        <d v="2022-04-11T12:07:35Z"/>
        <d v="2022-04-11T12:04:04Z"/>
        <d v="2022-04-11T12:03:46Z"/>
        <d v="2022-04-11T12:02:35Z"/>
        <d v="2022-04-11T11:59:30Z"/>
        <d v="2022-04-11T11:58:43Z"/>
        <d v="2022-04-11T11:58:09Z"/>
        <d v="2022-04-11T11:57:54Z"/>
        <d v="2022-04-11T11:57:49Z"/>
        <d v="2022-04-11T11:57:35Z"/>
        <d v="2022-04-11T11:57:32Z"/>
        <d v="2022-04-11T11:57:27Z"/>
        <d v="2022-04-11T11:57:12Z"/>
        <d v="2022-04-11T11:57:10Z"/>
        <d v="2022-04-11T11:56:51Z"/>
        <d v="2022-04-11T11:56:45Z"/>
        <d v="2022-04-11T11:56:44Z"/>
        <d v="2022-04-11T11:55:58Z"/>
        <d v="2022-04-11T11:55:51Z"/>
        <d v="2022-04-11T11:55:46Z"/>
        <d v="2022-04-11T11:55:42Z"/>
        <d v="2022-04-11T11:52:16Z"/>
        <d v="2022-04-11T11:46:21Z"/>
        <d v="2022-04-11T11:46:15Z"/>
        <d v="2022-04-11T11:45:29Z"/>
        <d v="2022-04-11T11:45:24Z"/>
        <d v="2022-04-11T11:45:01Z"/>
        <d v="2022-04-11T11:44:54Z"/>
        <d v="2022-04-11T11:44:51Z"/>
        <d v="2022-04-11T11:44:04Z"/>
        <d v="2022-04-11T11:44:02Z"/>
        <d v="2022-04-11T11:44:00Z"/>
        <d v="2022-04-11T11:43:54Z"/>
        <d v="2022-04-11T11:43:52Z"/>
        <d v="2022-04-11T11:43:39Z"/>
        <d v="2022-04-11T11:43:28Z"/>
        <d v="2022-04-11T11:41:59Z"/>
        <d v="2022-04-11T11:35:28Z"/>
        <d v="2022-04-11T11:32:16Z"/>
        <d v="2022-04-11T11:27:20Z"/>
        <d v="2022-04-11T11:26:46Z"/>
        <d v="2022-04-11T11:24:46Z"/>
        <d v="2022-04-11T11:24:43Z"/>
        <d v="2022-04-11T11:23:22Z"/>
        <d v="2022-04-11T11:21:35Z"/>
        <d v="2022-04-11T11:19:47Z"/>
        <d v="2022-04-11T11:19:38Z"/>
        <d v="2022-04-11T11:19:17Z"/>
        <d v="2022-04-11T11:18:46Z"/>
        <d v="2022-04-11T11:18:20Z"/>
        <d v="2022-04-11T11:18:14Z"/>
        <d v="2022-04-11T11:18:09Z"/>
        <d v="2022-04-11T11:16:22Z"/>
        <d v="2022-04-11T11:16:16Z"/>
        <d v="2022-04-11T11:16:15Z"/>
        <d v="2022-04-11T11:15:36Z"/>
        <d v="2022-04-11T11:15:20Z"/>
        <d v="2022-04-11T11:14:59Z"/>
        <d v="2022-04-11T11:14:57Z"/>
        <d v="2022-04-11T11:14:54Z"/>
        <d v="2022-04-11T11:14:44Z"/>
        <d v="2022-04-11T11:13:24Z"/>
        <d v="2022-04-11T11:13:18Z"/>
        <d v="2022-04-11T11:13:10Z"/>
        <d v="2022-04-11T11:11:40Z"/>
        <d v="2022-04-11T11:11:31Z"/>
        <d v="2022-04-11T11:11:29Z"/>
        <d v="2022-04-11T11:11:27Z"/>
        <d v="2022-04-11T11:11:25Z"/>
        <d v="2022-04-11T11:11:24Z"/>
        <d v="2022-04-11T11:11:22Z"/>
        <d v="2022-04-11T11:11:15Z"/>
        <d v="2022-04-11T11:11:12Z"/>
        <d v="2022-04-11T11:09:50Z"/>
        <d v="2022-04-11T11:09:37Z"/>
        <d v="2022-04-11T11:07:19Z"/>
        <d v="2022-04-11T11:06:31Z"/>
        <d v="2022-04-11T11:06:29Z"/>
        <d v="2022-04-11T11:06:28Z"/>
        <d v="2022-04-11T11:06:26Z"/>
        <d v="2022-04-11T11:06:24Z"/>
        <d v="2022-04-11T11:06:23Z"/>
        <d v="2022-04-11T11:06:20Z"/>
        <d v="2022-04-11T11:06:14Z"/>
        <d v="2022-04-11T11:04:55Z"/>
        <d v="2022-04-11T11:04:28Z"/>
        <d v="2022-04-11T11:03:17Z"/>
        <d v="2022-04-11T11:02:37Z"/>
        <d v="2022-04-11T11:00:27Z"/>
        <d v="2022-04-11T10:59:52Z"/>
        <d v="2022-04-11T10:59:35Z"/>
        <d v="2022-04-11T10:58:50Z"/>
        <d v="2022-04-11T10:58:06Z"/>
        <d v="2022-04-11T10:57:04Z"/>
        <d v="2022-04-11T10:53:53Z"/>
        <d v="2022-04-11T10:53:50Z"/>
        <d v="2022-04-11T10:53:44Z"/>
        <d v="2022-04-11T10:53:06Z"/>
        <d v="2022-04-11T10:53:01Z"/>
        <d v="2022-04-11T10:52:55Z"/>
        <d v="2022-04-11T10:52:39Z"/>
        <d v="2022-04-11T10:48:31Z"/>
        <d v="2022-04-11T10:38:50Z"/>
        <d v="2022-04-11T10:37:25Z"/>
        <d v="2022-04-11T10:36:06Z"/>
        <d v="2022-04-11T10:35:11Z"/>
        <d v="2022-04-11T10:34:56Z"/>
        <d v="2022-04-11T10:34:05Z"/>
        <d v="2022-04-11T10:33:36Z"/>
        <d v="2022-04-11T10:32:08Z"/>
        <d v="2022-04-11T10:31:53Z"/>
        <d v="2022-04-11T10:26:08Z"/>
        <d v="2022-04-11T10:26:06Z"/>
        <d v="2022-04-11T10:25:53Z"/>
        <d v="2022-04-11T10:25:12Z"/>
        <d v="2022-04-11T10:24:56Z"/>
        <d v="2022-04-11T10:23:46Z"/>
        <d v="2022-04-11T10:21:17Z"/>
        <d v="2022-04-11T10:20:51Z"/>
        <d v="2022-04-11T10:20:36Z"/>
        <d v="2022-04-11T10:20:35Z"/>
        <d v="2022-04-11T10:19:22Z"/>
        <d v="2022-04-11T10:19:18Z"/>
        <d v="2022-04-11T10:19:16Z"/>
        <d v="2022-04-11T10:19:07Z"/>
        <d v="2022-04-11T10:17:32Z"/>
        <d v="2022-04-11T10:16:36Z"/>
        <d v="2022-04-11T10:16:32Z"/>
        <d v="2022-04-11T10:16:21Z"/>
        <d v="2022-04-11T10:15:01Z"/>
        <d v="2022-04-11T10:13:35Z"/>
        <d v="2022-04-11T10:12:48Z"/>
        <d v="2022-04-11T10:12:45Z"/>
        <d v="2022-04-11T10:10:22Z"/>
        <d v="2022-04-11T10:09:10Z"/>
        <d v="2022-04-11T10:07:40Z"/>
        <d v="2022-04-11T10:06:39Z"/>
        <d v="2022-04-11T10:06:26Z"/>
        <d v="2022-04-11T10:06:04Z"/>
        <d v="2022-04-11T10:05:58Z"/>
        <d v="2022-04-11T10:05:40Z"/>
        <d v="2022-04-11T10:04:30Z"/>
        <d v="2022-04-11T10:04:12Z"/>
        <d v="2022-04-11T10:03:17Z"/>
        <d v="2022-04-11T10:01:35Z"/>
        <d v="2022-04-11T10:01:03Z"/>
        <d v="2022-04-11T09:59:56Z"/>
        <d v="2022-04-11T09:57:53Z"/>
        <d v="2022-04-11T09:57:21Z"/>
        <d v="2022-04-11T09:56:08Z"/>
        <d v="2022-04-11T09:56:06Z"/>
        <d v="2022-04-11T09:55:23Z"/>
        <d v="2022-04-11T09:55:10Z"/>
        <d v="2022-04-11T09:55:08Z"/>
        <d v="2022-04-11T09:54:53Z"/>
        <d v="2022-04-11T09:54:47Z"/>
        <d v="2022-04-11T09:53:46Z"/>
        <d v="2022-04-11T09:53:43Z"/>
        <d v="2022-04-11T09:53:40Z"/>
        <d v="2022-04-11T09:53:37Z"/>
        <d v="2022-04-11T09:53:35Z"/>
        <d v="2022-04-11T09:53:33Z"/>
        <d v="2022-04-11T09:53:31Z"/>
        <d v="2022-04-11T09:53:29Z"/>
        <d v="2022-04-11T09:53:00Z"/>
        <d v="2022-04-11T09:51:49Z"/>
        <d v="2022-04-11T09:51:29Z"/>
        <d v="2022-04-11T09:49:44Z"/>
        <d v="2022-04-11T09:49:38Z"/>
        <d v="2022-04-11T09:49:36Z"/>
        <d v="2022-04-11T09:49:03Z"/>
        <d v="2022-04-11T09:48:59Z"/>
        <d v="2022-04-11T09:48:57Z"/>
        <d v="2022-04-11T09:48:55Z"/>
        <d v="2022-04-11T09:48:54Z"/>
        <d v="2022-04-11T09:48:53Z"/>
        <d v="2022-04-11T09:48:51Z"/>
        <d v="2022-04-11T09:48:50Z"/>
        <d v="2022-04-11T09:48:49Z"/>
        <d v="2022-04-11T09:48:47Z"/>
        <d v="2022-04-11T09:48:46Z"/>
        <d v="2022-04-11T09:48:44Z"/>
        <d v="2022-04-11T09:48:43Z"/>
        <d v="2022-04-11T09:48:42Z"/>
        <d v="2022-04-11T09:48:41Z"/>
        <d v="2022-04-11T09:48:39Z"/>
        <d v="2022-04-11T09:48:38Z"/>
        <d v="2022-04-11T09:48:37Z"/>
        <d v="2022-04-11T09:48:36Z"/>
        <d v="2022-04-11T09:48:35Z"/>
        <d v="2022-04-11T09:48:33Z"/>
        <d v="2022-04-11T09:48:30Z"/>
        <d v="2022-04-11T09:48:23Z"/>
        <d v="2022-04-11T09:47:57Z"/>
        <d v="2022-04-11T09:47:44Z"/>
        <d v="2022-04-11T09:44:49Z"/>
        <d v="2022-04-11T09:44:25Z"/>
        <d v="2022-04-11T09:44:11Z"/>
        <d v="2022-04-11T09:44:00Z"/>
        <d v="2022-04-11T09:42:47Z"/>
        <d v="2022-04-11T09:41:51Z"/>
        <d v="2022-04-11T09:39:54Z"/>
        <d v="2022-04-11T09:39:52Z"/>
        <d v="2022-04-11T09:39:42Z"/>
        <d v="2022-04-11T09:39:39Z"/>
        <d v="2022-04-11T09:38:55Z"/>
        <d v="2022-04-11T09:38:42Z"/>
        <d v="2022-04-11T09:38:39Z"/>
        <d v="2022-04-11T09:38:33Z"/>
        <d v="2022-04-11T09:38:20Z"/>
        <d v="2022-04-11T09:38:08Z"/>
        <d v="2022-04-11T09:38:06Z"/>
        <d v="2022-04-11T09:38:03Z"/>
        <d v="2022-04-11T09:37:59Z"/>
        <d v="2022-04-11T09:37:51Z"/>
        <d v="2022-04-11T09:37:12Z"/>
        <d v="2022-04-11T09:36:48Z"/>
        <d v="2022-04-11T09:36:43Z"/>
        <d v="2022-04-11T09:36:18Z"/>
        <d v="2022-04-11T09:35:39Z"/>
        <d v="2022-04-11T09:35:33Z"/>
        <d v="2022-04-11T09:35:27Z"/>
        <d v="2022-04-11T09:35:18Z"/>
        <d v="2022-04-11T09:30:31Z"/>
        <d v="2022-04-11T09:30:16Z"/>
        <d v="2022-04-11T09:29:35Z"/>
        <d v="2022-04-11T09:29:15Z"/>
        <d v="2022-04-11T09:28:55Z"/>
        <d v="2022-04-11T09:26:54Z"/>
        <d v="2022-04-11T09:26:07Z"/>
        <d v="2022-04-11T09:26:05Z"/>
        <d v="2022-04-11T09:26:00Z"/>
        <d v="2022-04-11T09:25:43Z"/>
        <d v="2022-04-11T09:24:51Z"/>
        <d v="2022-04-11T09:24:49Z"/>
        <d v="2022-04-11T09:24:30Z"/>
        <d v="2022-04-11T09:24:23Z"/>
        <d v="2022-04-11T09:20:09Z"/>
        <d v="2022-04-11T09:20:05Z"/>
        <d v="2022-04-11T09:19:59Z"/>
        <d v="2022-04-11T09:19:16Z"/>
        <d v="2022-04-11T09:16:17Z"/>
        <d v="2022-04-11T09:16:04Z"/>
        <d v="2022-04-11T09:16:03Z"/>
        <d v="2022-04-11T09:16:00Z"/>
        <d v="2022-04-11T09:15:58Z"/>
        <d v="2022-04-11T09:15:46Z"/>
        <d v="2022-04-11T09:14:59Z"/>
        <d v="2022-04-11T09:11:25Z"/>
        <d v="2022-04-11T09:11:23Z"/>
        <d v="2022-04-11T09:09:47Z"/>
        <d v="2022-04-11T09:08:39Z"/>
        <d v="2022-04-11T09:08:23Z"/>
        <d v="2022-04-11T09:07:31Z"/>
        <d v="2022-04-11T09:07:25Z"/>
        <d v="2022-04-11T09:07:23Z"/>
        <d v="2022-04-11T09:07:22Z"/>
        <d v="2022-04-11T09:07:21Z"/>
        <d v="2022-04-11T09:07:12Z"/>
        <d v="2022-04-11T09:07:04Z"/>
        <d v="2022-04-11T09:06:03Z"/>
        <d v="2022-04-11T09:03:38Z"/>
        <d v="2022-04-11T09:03:35Z"/>
        <d v="2022-04-11T09:03:11Z"/>
        <d v="2022-04-11T09:03:06Z"/>
        <d v="2022-04-11T09:03:04Z"/>
        <d v="2022-04-11T09:03:02Z"/>
        <d v="2022-04-11T09:02:57Z"/>
        <d v="2022-04-11T09:02:33Z"/>
        <d v="2022-04-11T09:02:32Z"/>
        <d v="2022-04-11T09:02:26Z"/>
        <d v="2022-04-11T09:02:24Z"/>
        <d v="2022-04-11T09:02:20Z"/>
        <d v="2022-04-11T09:01:57Z"/>
        <d v="2022-04-11T09:00:44Z"/>
        <d v="2022-04-11T08:58:50Z"/>
        <d v="2022-04-11T08:58:34Z"/>
        <d v="2022-04-11T08:57:31Z"/>
        <d v="2022-04-11T08:57:24Z"/>
        <d v="2022-04-11T08:57:23Z"/>
        <d v="2022-04-11T08:57:21Z"/>
        <d v="2022-04-11T08:57:14Z"/>
        <d v="2022-04-11T08:53:40Z"/>
        <d v="2022-04-11T08:53:38Z"/>
        <d v="2022-04-11T08:52:43Z"/>
        <d v="2022-04-11T08:52:41Z"/>
        <d v="2022-04-11T08:52:39Z"/>
        <d v="2022-04-11T08:52:37Z"/>
        <d v="2022-04-11T08:52:18Z"/>
        <d v="2022-04-11T08:52:16Z"/>
        <d v="2022-04-11T08:51:28Z"/>
        <d v="2022-04-11T08:51:26Z"/>
        <d v="2022-04-11T08:51:17Z"/>
        <d v="2022-04-11T08:51:15Z"/>
        <d v="2022-04-11T08:50:20Z"/>
        <d v="2022-04-11T08:50:06Z"/>
        <d v="2022-04-11T08:48:44Z"/>
        <d v="2022-04-11T08:48:13Z"/>
        <d v="2022-04-11T08:31:54Z"/>
        <d v="2022-04-11T08:31:38Z"/>
        <d v="2022-04-11T08:25:23Z"/>
        <d v="2022-04-11T08:24:45Z"/>
        <d v="2022-04-11T08:24:10Z"/>
        <d v="2022-04-11T08:23:39Z"/>
        <d v="2022-04-11T08:18:43Z"/>
        <d v="2022-04-11T08:18:38Z"/>
        <d v="2022-04-11T08:15:24Z"/>
        <d v="2022-04-11T08:15:22Z"/>
        <d v="2022-04-11T08:15:12Z"/>
        <d v="2022-04-11T08:15:09Z"/>
        <d v="2022-04-11T08:15:07Z"/>
        <d v="2022-04-11T08:15:02Z"/>
        <d v="2022-04-11T08:14:44Z"/>
        <d v="2022-04-11T08:14:29Z"/>
        <d v="2022-04-11T08:13:12Z"/>
        <d v="2022-04-11T08:13:10Z"/>
        <d v="2022-04-11T08:13:08Z"/>
        <d v="2022-04-11T08:12:49Z"/>
        <d v="2022-04-11T08:12:44Z"/>
        <d v="2022-04-11T08:12:33Z"/>
        <d v="2022-04-11T08:11:31Z"/>
        <d v="2022-04-11T08:11:13Z"/>
        <d v="2022-04-11T08:10:29Z"/>
        <d v="2022-04-11T08:10:27Z"/>
        <d v="2022-04-11T08:10:22Z"/>
        <d v="2022-04-11T08:10:15Z"/>
        <d v="2022-04-11T08:10:11Z"/>
        <d v="2022-04-11T08:10:06Z"/>
        <d v="2022-04-11T07:53:01Z"/>
        <d v="2022-04-11T07:52:59Z"/>
        <d v="2022-04-11T07:52:57Z"/>
        <d v="2022-04-11T07:52:50Z"/>
        <d v="2022-04-11T07:50:50Z"/>
        <d v="2022-04-11T07:50:00Z"/>
        <d v="2022-04-11T07:48:27Z"/>
        <d v="2022-04-11T07:46:47Z"/>
        <d v="2022-04-11T07:41:28Z"/>
        <d v="2022-04-11T07:38:15Z"/>
        <d v="2022-04-11T07:38:03Z"/>
        <d v="2022-04-11T07:36:44Z"/>
        <d v="2022-04-11T07:36:39Z"/>
        <d v="2022-04-11T07:36:35Z"/>
        <d v="2022-04-11T07:22:35Z"/>
        <d v="2022-04-11T07:20:46Z"/>
        <d v="2022-04-11T06:52:02Z"/>
        <d v="2022-04-11T06:51:06Z"/>
        <d v="2022-04-11T06:43:50Z"/>
        <d v="2022-04-11T06:43:43Z"/>
        <d v="2022-04-11T06:41:44Z"/>
        <d v="2022-04-11T06:41:33Z"/>
        <d v="2022-04-11T06:40:17Z"/>
        <d v="2022-04-11T06:39:57Z"/>
        <d v="2022-04-11T06:19:22Z"/>
        <d v="2022-04-11T06:19:20Z"/>
        <d v="2022-04-11T06:19:11Z"/>
        <d v="2022-04-11T06:17:50Z"/>
        <d v="2022-04-11T06:09:54Z"/>
        <d v="2022-04-11T06:09:52Z"/>
        <d v="2022-04-11T06:09:48Z"/>
        <d v="2022-04-11T06:09:34Z"/>
        <d v="2022-04-11T06:05:04Z"/>
        <d v="2022-04-11T06:03:32Z"/>
        <d v="2022-04-11T06:02:06Z"/>
        <d v="2022-04-11T06:02:04Z"/>
        <d v="2022-04-11T06:02:01Z"/>
        <d v="2022-04-11T05:58:38Z"/>
        <d v="2022-04-11T05:54:06Z"/>
        <d v="2022-04-11T05:44:01Z"/>
        <d v="2022-04-11T05:43:59Z"/>
        <d v="2022-04-11T05:42:31Z"/>
        <d v="2022-04-11T05:42:26Z"/>
        <d v="2022-04-11T05:42:06Z"/>
        <d v="2022-04-11T05:38:35Z"/>
        <d v="2022-04-11T04:56:56Z"/>
        <d v="2022-04-11T04:56:54Z"/>
        <d v="2022-04-11T04:56:13Z"/>
        <d v="2022-04-11T04:56:09Z"/>
        <d v="2022-04-11T04:56:01Z"/>
        <d v="2022-04-11T04:55:35Z"/>
        <d v="2022-04-11T04:55:05Z"/>
        <d v="2022-04-11T04:54:48Z"/>
        <d v="2022-04-11T04:54:44Z"/>
        <d v="2022-04-11T04:54:12Z"/>
        <d v="2022-04-11T04:53:56Z"/>
        <d v="2022-04-11T04:42:05Z"/>
        <d v="2022-04-11T04:42:02Z"/>
        <d v="2022-04-11T02:51:27Z"/>
        <d v="2022-04-11T02:23:49Z"/>
        <d v="2022-04-11T01:26:25Z"/>
        <d v="2022-04-11T00:57:10Z"/>
        <d v="2022-04-11T00:45:31Z"/>
        <d v="2022-04-11T00:45:03Z"/>
        <d v="2022-04-11T00:43:19Z"/>
        <d v="2022-04-11T00:43:12Z"/>
        <d v="2022-04-11T00:22:36Z"/>
        <d v="2022-04-11T00:22:33Z"/>
        <d v="2022-04-11T00:22:31Z"/>
        <d v="2022-04-10T23:52:28Z"/>
        <d v="2022-04-10T23:52:17Z"/>
        <d v="2022-04-10T23:48:29Z"/>
        <d v="2022-04-10T23:44:32Z"/>
        <d v="2022-04-10T23:39:34Z"/>
        <d v="2022-04-10T23:37:17Z"/>
        <d v="2022-04-10T23:37:14Z"/>
        <d v="2022-04-10T23:37:12Z"/>
        <d v="2022-04-10T23:37:10Z"/>
        <d v="2022-04-10T23:37:04Z"/>
        <d v="2022-04-10T23:37:01Z"/>
        <d v="2022-04-10T23:36:54Z"/>
        <d v="2022-04-10T23:36:49Z"/>
        <d v="2022-04-10T23:33:38Z"/>
        <d v="2022-04-10T23:33:22Z"/>
        <d v="2022-04-10T23:26:57Z"/>
        <d v="2022-04-10T23:26:07Z"/>
        <d v="2022-04-10T23:26:05Z"/>
        <d v="2022-04-10T23:26:01Z"/>
        <d v="2022-04-10T23:25:59Z"/>
        <d v="2022-04-10T23:24:18Z"/>
        <d v="2022-04-10T23:24:16Z"/>
        <d v="2022-04-10T23:08:02Z"/>
        <d v="2022-04-10T23:07:53Z"/>
        <d v="2022-04-10T22:51:56Z"/>
        <d v="2022-04-10T22:47:15Z"/>
        <d v="2022-04-10T22:46:44Z"/>
        <d v="2022-04-10T22:45:35Z"/>
        <d v="2022-04-10T22:42:39Z"/>
        <d v="2022-04-10T22:31:45Z"/>
        <d v="2022-04-10T22:25:07Z"/>
        <d v="2022-04-10T22:17:46Z"/>
        <d v="2022-04-10T22:15:47Z"/>
        <d v="2022-04-10T22:05:46Z"/>
        <d v="2022-04-10T22:04:29Z"/>
        <d v="2022-04-10T22:04:01Z"/>
        <d v="2022-04-10T21:59:39Z"/>
        <d v="2022-04-10T21:59:15Z"/>
        <d v="2022-04-10T21:54:53Z"/>
        <d v="2022-04-10T21:52:44Z"/>
        <d v="2022-04-10T21:52:41Z"/>
        <d v="2022-04-10T21:48:58Z"/>
        <d v="2022-04-10T21:41:33Z"/>
        <d v="2022-04-10T21:41:31Z"/>
        <d v="2022-04-10T21:36:05Z"/>
        <d v="2022-04-10T21:33:16Z"/>
        <d v="2022-04-10T21:31:58Z"/>
        <d v="2022-04-10T21:30:49Z"/>
        <d v="2022-04-10T21:30:47Z"/>
        <d v="2022-04-10T21:30:42Z"/>
        <d v="2022-04-10T21:30:40Z"/>
        <d v="2022-04-10T21:30:32Z"/>
        <d v="2022-04-10T21:28:54Z"/>
        <d v="2022-04-10T21:28:32Z"/>
        <d v="2022-04-10T21:24:47Z"/>
        <d v="2022-04-10T21:24:39Z"/>
        <d v="2022-04-10T21:22:10Z"/>
        <d v="2022-04-10T21:22:04Z"/>
        <d v="2022-04-10T21:20:56Z"/>
        <d v="2022-04-10T21:20:37Z"/>
        <d v="2022-04-10T21:20:02Z"/>
        <d v="2022-04-10T21:14:15Z"/>
        <d v="2022-04-10T21:10:46Z"/>
        <d v="2022-04-10T21:09:18Z"/>
        <d v="2022-04-10T21:01:09Z"/>
        <d v="2022-04-10T21:01:05Z"/>
        <d v="2022-04-10T21:01:04Z"/>
        <d v="2022-04-10T21:01:02Z"/>
        <d v="2022-04-10T21:01:01Z"/>
        <d v="2022-04-10T21:01:00Z"/>
        <d v="2022-04-10T21:00:58Z"/>
        <d v="2022-04-10T21:00:56Z"/>
        <d v="2022-04-10T21:00:53Z"/>
        <d v="2022-04-10T21:00:13Z"/>
        <d v="2022-04-10T21:00:11Z"/>
        <d v="2022-04-10T21:00:03Z"/>
        <d v="2022-04-10T20:59:36Z"/>
        <d v="2022-04-10T20:55:36Z"/>
        <d v="2022-04-10T20:55:06Z"/>
        <d v="2022-04-10T20:55:03Z"/>
        <d v="2022-04-10T20:53:32Z"/>
        <d v="2022-04-10T20:48:22Z"/>
        <d v="2022-04-10T20:44:52Z"/>
        <d v="2022-04-10T20:44:19Z"/>
        <d v="2022-04-10T20:43:36Z"/>
        <d v="2022-04-10T20:43:21Z"/>
        <d v="2022-04-10T20:43:16Z"/>
        <d v="2022-04-10T20:43:13Z"/>
        <d v="2022-04-10T20:43:01Z"/>
        <d v="2022-04-10T20:41:33Z"/>
        <d v="2022-04-10T20:29:57Z"/>
        <d v="2022-04-10T20:23:10Z"/>
        <d v="2022-04-10T20:22:48Z"/>
        <d v="2022-04-10T20:20:14Z"/>
        <d v="2022-04-10T20:18:53Z"/>
        <d v="2022-04-10T20:18:35Z"/>
        <d v="2022-04-10T20:13:52Z"/>
        <d v="2022-04-10T20:12:38Z"/>
        <d v="2022-04-10T20:09:45Z"/>
        <d v="2022-04-10T20:09:43Z"/>
        <d v="2022-04-10T20:09:35Z"/>
        <d v="2022-04-10T20:08:40Z"/>
        <d v="2022-04-10T20:08:36Z"/>
        <d v="2022-04-10T20:08:25Z"/>
        <d v="2022-04-10T20:08:15Z"/>
        <d v="2022-04-10T20:07:13Z"/>
        <d v="2022-04-10T20:04:53Z"/>
        <d v="2022-04-10T20:04:44Z"/>
        <d v="2022-04-10T20:03:40Z"/>
        <d v="2022-04-10T19:58:40Z"/>
        <d v="2022-04-10T19:58:38Z"/>
        <d v="2022-04-10T19:58:16Z"/>
        <d v="2022-04-10T19:57:35Z"/>
        <d v="2022-04-10T19:56:50Z"/>
        <d v="2022-04-10T19:56:40Z"/>
        <d v="2022-04-10T19:56:37Z"/>
        <d v="2022-04-10T19:56:27Z"/>
        <d v="2022-04-10T19:53:30Z"/>
        <d v="2022-04-10T19:53:25Z"/>
        <d v="2022-04-10T19:53:07Z"/>
        <d v="2022-04-10T19:52:59Z"/>
        <d v="2022-04-10T19:52:47Z"/>
        <d v="2022-04-10T19:52:41Z"/>
        <d v="2022-04-10T19:52:37Z"/>
        <d v="2022-04-10T19:52:33Z"/>
        <d v="2022-04-10T19:52:28Z"/>
        <d v="2022-04-10T19:52:24Z"/>
        <d v="2022-04-10T19:52:12Z"/>
        <d v="2022-04-10T19:52:06Z"/>
        <d v="2022-04-10T19:51:59Z"/>
        <d v="2022-04-10T19:51:52Z"/>
        <d v="2022-04-10T19:51:48Z"/>
        <d v="2022-04-10T19:51:43Z"/>
        <d v="2022-04-10T19:51:11Z"/>
        <d v="2022-04-10T19:51:06Z"/>
        <d v="2022-04-10T19:51:02Z"/>
        <d v="2022-04-10T19:50:58Z"/>
        <d v="2022-04-10T19:50:55Z"/>
        <d v="2022-04-10T19:50:53Z"/>
        <d v="2022-04-10T19:50:33Z"/>
        <d v="2022-04-10T19:47:14Z"/>
        <d v="2022-04-10T19:47:04Z"/>
        <d v="2022-04-10T19:46:34Z"/>
        <d v="2022-04-10T19:46:32Z"/>
        <d v="2022-04-10T19:46:30Z"/>
        <d v="2022-04-10T19:46:29Z"/>
        <d v="2022-04-10T19:46:28Z"/>
        <d v="2022-04-10T19:46:27Z"/>
        <d v="2022-04-10T19:46:25Z"/>
        <d v="2022-04-10T19:46:24Z"/>
        <d v="2022-04-10T19:46:23Z"/>
        <d v="2022-04-10T19:46:22Z"/>
        <d v="2022-04-10T19:46:21Z"/>
        <d v="2022-04-10T19:46:18Z"/>
        <d v="2022-04-10T19:46:17Z"/>
        <d v="2022-04-10T19:46:15Z"/>
        <d v="2022-04-10T19:46:14Z"/>
        <d v="2022-04-10T19:46:12Z"/>
        <d v="2022-04-10T19:46:10Z"/>
        <d v="2022-04-10T19:46:09Z"/>
        <d v="2022-04-10T19:46:07Z"/>
        <d v="2022-04-10T19:46:04Z"/>
        <d v="2022-04-10T19:46:00Z"/>
        <d v="2022-04-10T19:45:58Z"/>
        <d v="2022-04-10T19:45:56Z"/>
        <d v="2022-04-10T19:45:54Z"/>
        <d v="2022-04-10T19:45:49Z"/>
        <d v="2022-04-10T19:45:46Z"/>
        <d v="2022-04-10T19:45:44Z"/>
        <d v="2022-04-10T19:44:38Z"/>
        <d v="2022-04-10T19:44:02Z"/>
        <d v="2022-04-10T19:44:00Z"/>
        <d v="2022-04-10T19:43:58Z"/>
        <d v="2022-04-10T19:43:56Z"/>
        <d v="2022-04-10T19:43:43Z"/>
        <d v="2022-04-10T19:43:36Z"/>
        <d v="2022-04-10T19:43:34Z"/>
        <d v="2022-04-10T19:43:32Z"/>
        <d v="2022-04-10T19:43:28Z"/>
        <d v="2022-04-10T19:43:26Z"/>
        <d v="2022-04-10T19:43:07Z"/>
        <d v="2022-04-10T19:43:05Z"/>
        <d v="2022-04-10T19:43:02Z"/>
        <d v="2022-04-10T19:42:54Z"/>
        <d v="2022-04-10T19:42:40Z"/>
        <d v="2022-04-10T19:38:35Z"/>
        <d v="2022-04-10T19:37:29Z"/>
        <d v="2022-04-10T19:36:21Z"/>
        <d v="2022-04-10T19:36:18Z"/>
        <d v="2022-04-10T19:34:23Z"/>
        <d v="2022-04-10T19:32:54Z"/>
        <d v="2022-04-10T19:32:48Z"/>
        <d v="2022-04-10T19:32:27Z"/>
        <d v="2022-04-10T19:32:22Z"/>
        <d v="2022-04-10T19:31:39Z"/>
        <d v="2022-04-10T19:31:30Z"/>
        <d v="2022-04-10T19:31:22Z"/>
        <d v="2022-04-10T19:31:20Z"/>
        <d v="2022-04-10T19:30:55Z"/>
        <d v="2022-04-10T19:29:28Z"/>
        <d v="2022-04-10T19:28:57Z"/>
        <d v="2022-04-10T19:28:38Z"/>
        <d v="2022-04-10T19:27:58Z"/>
        <d v="2022-04-10T19:27:53Z"/>
        <d v="2022-04-10T19:27:50Z"/>
        <d v="2022-04-10T19:27:49Z"/>
        <d v="2022-04-10T19:27:48Z"/>
        <d v="2022-04-10T19:27:47Z"/>
        <d v="2022-04-10T19:27:46Z"/>
        <d v="2022-04-10T19:27:45Z"/>
        <d v="2022-04-10T19:27:44Z"/>
        <d v="2022-04-10T19:27:42Z"/>
        <d v="2022-04-10T19:27:41Z"/>
        <d v="2022-04-10T19:27:39Z"/>
        <d v="2022-04-10T19:27:37Z"/>
        <d v="2022-04-10T19:27:36Z"/>
        <d v="2022-04-10T19:27:34Z"/>
        <d v="2022-04-10T19:27:29Z"/>
        <d v="2022-04-10T19:27:27Z"/>
        <d v="2022-04-10T19:27:26Z"/>
        <d v="2022-04-10T19:27:17Z"/>
        <d v="2022-04-10T19:27:02Z"/>
        <d v="2022-04-10T19:26:47Z"/>
        <d v="2022-04-10T19:26:43Z"/>
        <d v="2022-04-10T19:26:25Z"/>
        <d v="2022-04-10T19:26:17Z"/>
        <d v="2022-04-10T19:26:13Z"/>
        <d v="2022-04-10T19:26:08Z"/>
        <d v="2022-04-10T19:25:57Z"/>
        <d v="2022-04-10T19:25:10Z"/>
        <d v="2022-04-10T19:25:07Z"/>
        <d v="2022-04-10T19:25:03Z"/>
        <d v="2022-04-10T19:24:56Z"/>
        <d v="2022-04-10T19:24:48Z"/>
        <d v="2022-04-10T19:23:07Z"/>
        <d v="2022-04-10T19:21:25Z"/>
        <d v="2022-04-10T19:20:57Z"/>
        <d v="2022-04-10T19:18:46Z"/>
        <d v="2022-04-10T19:12:02Z"/>
        <d v="2022-04-10T19:11:14Z"/>
        <d v="2022-04-10T19:11:02Z"/>
        <d v="2022-04-10T19:09:21Z"/>
        <d v="2022-04-10T19:09:17Z"/>
        <d v="2022-04-10T19:09:15Z"/>
        <d v="2022-04-10T19:09:09Z"/>
        <d v="2022-04-10T19:03:21Z"/>
        <d v="2022-04-10T19:01:17Z"/>
        <d v="2022-04-10T18:55:53Z"/>
        <d v="2022-04-10T18:55:08Z"/>
        <d v="2022-04-10T18:54:46Z"/>
        <d v="2022-04-10T18:54:35Z"/>
        <d v="2022-04-10T18:53:58Z"/>
        <d v="2022-04-10T18:53:56Z"/>
        <d v="2022-04-10T18:53:50Z"/>
        <d v="2022-04-10T18:52:07Z"/>
        <d v="2022-04-10T18:51:59Z"/>
        <d v="2022-04-10T18:51:57Z"/>
        <d v="2022-04-10T18:51:47Z"/>
        <d v="2022-04-10T18:37:29Z"/>
        <d v="2022-04-10T18:37:09Z"/>
        <d v="2022-04-10T18:37:07Z"/>
        <d v="2022-04-10T18:36:24Z"/>
        <d v="2022-04-10T18:35:13Z"/>
        <d v="2022-04-10T18:35:08Z"/>
        <d v="2022-04-10T18:34:57Z"/>
        <d v="2022-04-10T18:28:23Z"/>
        <d v="2022-04-10T18:25:58Z"/>
        <d v="2022-04-10T18:20:02Z"/>
        <d v="2022-04-10T18:13:17Z"/>
        <d v="2022-04-10T18:11:10Z"/>
        <d v="2022-04-10T18:00:09Z"/>
        <d v="2022-04-10T17:58:56Z"/>
        <d v="2022-04-10T17:58:39Z"/>
        <d v="2022-04-10T17:48:53Z"/>
        <d v="2022-04-10T17:37:33Z"/>
        <d v="2022-04-10T17:36:28Z"/>
        <d v="2022-04-10T17:35:27Z"/>
        <d v="2022-04-10T17:35:03Z"/>
        <d v="2022-04-10T17:34:47Z"/>
        <d v="2022-04-10T17:34:43Z"/>
        <d v="2022-04-10T17:34:13Z"/>
        <d v="2022-04-10T17:22:58Z"/>
        <d v="2022-04-10T17:22:27Z"/>
        <d v="2022-04-10T17:11:32Z"/>
        <d v="2022-04-10T17:11:29Z"/>
        <d v="2022-04-10T17:11:27Z"/>
        <d v="2022-04-10T17:10:17Z"/>
        <d v="2022-04-10T17:08:44Z"/>
        <d v="2022-04-10T17:08:19Z"/>
        <d v="2022-04-10T17:07:54Z"/>
        <d v="2022-04-10T17:07:51Z"/>
        <d v="2022-04-10T17:05:24Z"/>
        <d v="2022-04-10T17:05:23Z"/>
        <d v="2022-04-10T17:05:21Z"/>
        <d v="2022-04-10T17:05:12Z"/>
        <d v="2022-04-10T17:04:12Z"/>
        <d v="2022-04-10T17:02:44Z"/>
        <d v="2022-04-10T17:02:42Z"/>
        <d v="2022-04-10T16:58:56Z"/>
        <d v="2022-04-10T16:58:51Z"/>
        <d v="2022-04-10T16:57:59Z"/>
        <d v="2022-04-10T16:57:55Z"/>
        <d v="2022-04-10T16:57:53Z"/>
        <d v="2022-04-10T16:56:28Z"/>
        <d v="2022-04-10T16:47:14Z"/>
        <d v="2022-04-10T16:45:08Z"/>
        <d v="2022-04-10T16:44:39Z"/>
        <d v="2022-04-10T16:44:31Z"/>
        <d v="2022-04-10T16:42:03Z"/>
        <d v="2022-04-10T16:42:00Z"/>
        <d v="2022-04-10T16:38:12Z"/>
        <d v="2022-04-10T16:36:31Z"/>
        <d v="2022-04-10T16:36:15Z"/>
        <d v="2022-04-10T16:34:20Z"/>
        <d v="2022-04-10T16:17:30Z"/>
        <d v="2022-04-10T16:15:54Z"/>
        <d v="2022-04-10T16:06:28Z"/>
        <d v="2022-04-10T15:49:23Z"/>
        <d v="2022-04-10T15:48:41Z"/>
        <d v="2022-04-10T15:48:38Z"/>
        <d v="2022-04-10T15:48:34Z"/>
        <d v="2022-04-10T15:48:27Z"/>
        <d v="2022-04-10T15:48:25Z"/>
        <d v="2022-04-10T15:48:22Z"/>
        <d v="2022-04-10T15:48:18Z"/>
        <d v="2022-04-10T15:48:13Z"/>
        <d v="2022-04-10T15:48:11Z"/>
        <d v="2022-04-10T15:48:08Z"/>
        <d v="2022-04-10T15:48:05Z"/>
        <d v="2022-04-10T15:47:58Z"/>
        <d v="2022-04-10T15:47:38Z"/>
        <d v="2022-04-10T15:47:33Z"/>
        <d v="2022-04-10T15:46:53Z"/>
        <d v="2022-04-10T15:42:56Z"/>
        <d v="2022-04-10T15:42:24Z"/>
        <d v="2022-04-10T15:42:16Z"/>
        <d v="2022-04-10T15:37:28Z"/>
        <d v="2022-04-10T15:36:35Z"/>
        <d v="2022-04-10T15:36:33Z"/>
        <d v="2022-04-10T15:36:31Z"/>
        <d v="2022-04-10T15:36:22Z"/>
        <d v="2022-04-10T15:36:21Z"/>
        <d v="2022-04-10T15:32:09Z"/>
        <d v="2022-04-10T15:31:39Z"/>
        <d v="2022-04-10T15:23:39Z"/>
        <d v="2022-04-10T15:23:37Z"/>
        <d v="2022-04-10T15:23:32Z"/>
        <d v="2022-04-10T15:23:27Z"/>
        <d v="2022-04-10T15:23:25Z"/>
        <d v="2022-04-10T15:23:21Z"/>
        <d v="2022-04-10T15:21:02Z"/>
        <d v="2022-04-10T15:20:12Z"/>
        <d v="2022-04-10T15:17:33Z"/>
        <d v="2022-04-10T15:17:28Z"/>
        <d v="2022-04-10T15:17:24Z"/>
        <d v="2022-04-10T15:14:49Z"/>
        <d v="2022-04-10T15:14:48Z"/>
        <d v="2022-04-10T15:08:48Z"/>
        <d v="2022-04-10T15:08:44Z"/>
        <d v="2022-04-10T15:06:06Z"/>
        <d v="2022-04-10T15:04:10Z"/>
        <d v="2022-04-10T15:02:16Z"/>
        <d v="2022-04-10T15:01:04Z"/>
        <d v="2022-04-10T15:00:00Z"/>
        <d v="2022-04-10T14:59:49Z"/>
        <d v="2022-04-10T14:59:11Z"/>
        <d v="2022-04-10T14:58:41Z"/>
        <d v="2022-04-10T14:56:49Z"/>
        <d v="2022-04-10T14:55:18Z"/>
        <d v="2022-04-10T14:54:15Z"/>
        <d v="2022-04-10T14:54:09Z"/>
        <d v="2022-04-10T14:50:12Z"/>
        <d v="2022-04-10T14:50:09Z"/>
        <d v="2022-04-10T14:49:56Z"/>
        <d v="2022-04-10T14:49:40Z"/>
        <d v="2022-04-10T14:43:06Z"/>
        <d v="2022-04-10T14:42:46Z"/>
        <d v="2022-04-10T14:41:46Z"/>
        <d v="2022-04-10T14:41:16Z"/>
        <d v="2022-04-10T14:30:43Z"/>
        <d v="2022-04-10T14:29:31Z"/>
        <d v="2022-04-10T14:29:05Z"/>
        <d v="2022-04-10T14:20:55Z"/>
        <d v="2022-04-10T14:20:45Z"/>
        <d v="2022-04-10T14:20:34Z"/>
        <d v="2022-04-10T14:20:27Z"/>
        <d v="2022-04-10T14:20:24Z"/>
        <d v="2022-04-10T14:19:47Z"/>
        <d v="2022-04-10T14:19:34Z"/>
        <d v="2022-04-10T14:19:32Z"/>
        <d v="2022-04-10T14:19:31Z"/>
        <d v="2022-04-10T14:19:30Z"/>
        <d v="2022-04-10T14:19:29Z"/>
        <d v="2022-04-10T14:19:27Z"/>
        <d v="2022-04-10T14:19:25Z"/>
        <d v="2022-04-10T14:19:24Z"/>
        <d v="2022-04-10T14:19:18Z"/>
        <d v="2022-04-10T14:19:14Z"/>
        <d v="2022-04-10T14:19:10Z"/>
        <d v="2022-04-10T14:19:07Z"/>
        <d v="2022-04-10T14:18:58Z"/>
        <d v="2022-04-10T14:18:46Z"/>
        <d v="2022-04-10T14:18:38Z"/>
        <d v="2022-04-10T14:11:25Z"/>
        <d v="2022-04-10T14:06:40Z"/>
        <d v="2022-04-10T13:57:16Z"/>
        <d v="2022-04-10T13:55:36Z"/>
        <d v="2022-04-10T13:50:25Z"/>
        <d v="2022-04-10T13:48:53Z"/>
        <d v="2022-04-10T13:47:52Z"/>
        <d v="2022-04-10T13:46:51Z"/>
        <d v="2022-04-10T13:46:47Z"/>
        <d v="2022-04-10T13:39:44Z"/>
        <d v="2022-04-10T13:39:29Z"/>
        <d v="2022-04-10T13:39:27Z"/>
        <d v="2022-04-10T13:39:26Z"/>
        <d v="2022-04-10T13:35:46Z"/>
        <d v="2022-04-10T13:35:35Z"/>
        <d v="2022-04-10T13:35:33Z"/>
        <d v="2022-04-10T13:32:59Z"/>
        <d v="2022-04-10T13:32:55Z"/>
        <d v="2022-04-10T13:32:46Z"/>
        <d v="2022-04-10T13:32:35Z"/>
        <d v="2022-04-10T13:31:48Z"/>
        <d v="2022-04-10T13:31:43Z"/>
        <d v="2022-04-10T13:31:21Z"/>
        <d v="2022-04-10T13:29:27Z"/>
        <d v="2022-04-10T13:29:20Z"/>
        <d v="2022-04-10T13:28:46Z"/>
        <d v="2022-04-10T13:28:36Z"/>
        <d v="2022-04-10T13:22:25Z"/>
        <d v="2022-04-10T13:06:57Z"/>
        <d v="2022-04-10T13:00:00Z"/>
        <d v="2022-04-10T12:59:36Z"/>
        <d v="2022-04-10T12:54:39Z"/>
        <d v="2022-04-10T12:52:54Z"/>
        <d v="2022-04-10T12:47:47Z"/>
        <d v="2022-04-10T12:47:42Z"/>
        <d v="2022-04-10T12:47:33Z"/>
        <d v="2022-04-10T12:47:26Z"/>
        <d v="2022-04-10T12:44:08Z"/>
        <d v="2022-04-10T12:42:20Z"/>
        <d v="2022-04-10T12:38:16Z"/>
        <d v="2022-04-10T12:18:52Z"/>
        <d v="2022-04-10T12:18:46Z"/>
        <d v="2022-04-10T12:18:11Z"/>
        <d v="2022-04-10T12:08:50Z"/>
        <d v="2022-04-10T12:08:38Z"/>
        <d v="2022-04-10T12:08:18Z"/>
        <d v="2022-04-10T12:08:10Z"/>
        <d v="2022-04-10T12:07:56Z"/>
        <d v="2022-04-10T12:06:32Z"/>
        <d v="2022-04-10T12:06:13Z"/>
        <d v="2022-04-10T12:05:20Z"/>
        <d v="2022-04-10T12:01:05Z"/>
        <d v="2022-04-10T11:56:55Z"/>
        <d v="2022-04-10T11:54:59Z"/>
        <d v="2022-04-10T11:45:59Z"/>
        <d v="2022-04-10T11:34:48Z"/>
        <d v="2022-04-10T11:34:44Z"/>
        <d v="2022-04-10T11:34:18Z"/>
        <d v="2022-04-10T11:32:34Z"/>
        <d v="2022-04-10T11:31:31Z"/>
        <d v="2022-04-10T11:30:42Z"/>
        <d v="2022-04-10T11:30:37Z"/>
        <d v="2022-04-10T11:30:33Z"/>
        <d v="2022-04-10T11:26:26Z"/>
        <d v="2022-04-10T11:24:11Z"/>
        <d v="2022-04-10T11:07:03Z"/>
        <d v="2022-04-10T11:03:08Z"/>
        <d v="2022-04-10T11:02:45Z"/>
        <d v="2022-04-10T10:59:27Z"/>
        <d v="2022-04-10T10:55:22Z"/>
        <d v="2022-04-10T10:52:39Z"/>
        <d v="2022-04-10T10:52:06Z"/>
        <d v="2022-04-10T10:52:00Z"/>
        <d v="2022-04-10T10:51:33Z"/>
        <d v="2022-04-10T10:45:46Z"/>
        <d v="2022-04-10T10:45:08Z"/>
        <d v="2022-04-10T10:42:08Z"/>
        <d v="2022-04-10T10:42:05Z"/>
        <d v="2022-04-10T10:41:49Z"/>
        <d v="2022-04-10T10:41:37Z"/>
        <d v="2022-04-10T10:41:13Z"/>
        <d v="2022-04-10T10:41:11Z"/>
        <d v="2022-04-10T10:41:08Z"/>
        <d v="2022-04-10T10:41:06Z"/>
        <d v="2022-04-10T10:41:02Z"/>
        <d v="2022-04-10T10:40:59Z"/>
        <d v="2022-04-10T10:40:56Z"/>
        <d v="2022-04-10T10:40:54Z"/>
        <d v="2022-04-10T10:40:52Z"/>
        <d v="2022-04-10T10:40:49Z"/>
        <d v="2022-04-10T10:40:46Z"/>
        <d v="2022-04-10T10:40:44Z"/>
        <d v="2022-04-10T10:40:41Z"/>
        <d v="2022-04-10T10:40:39Z"/>
        <d v="2022-04-10T10:40:36Z"/>
        <d v="2022-04-10T10:40:33Z"/>
        <d v="2022-04-10T10:40:24Z"/>
        <d v="2022-04-10T10:40:15Z"/>
        <d v="2022-04-10T10:40:13Z"/>
        <d v="2022-04-10T10:40:07Z"/>
        <d v="2022-04-10T10:40:03Z"/>
        <d v="2022-04-10T10:39:54Z"/>
        <d v="2022-04-10T10:39:53Z"/>
        <d v="2022-04-10T10:39:50Z"/>
        <d v="2022-04-10T10:39:45Z"/>
        <d v="2022-04-10T10:39:34Z"/>
        <d v="2022-04-10T10:39:32Z"/>
        <d v="2022-04-10T10:39:06Z"/>
        <d v="2022-04-10T10:38:49Z"/>
        <d v="2022-04-10T10:38:47Z"/>
        <d v="2022-04-10T10:38:38Z"/>
        <d v="2022-04-10T10:38:36Z"/>
        <d v="2022-04-10T10:38:25Z"/>
        <d v="2022-04-10T10:38:17Z"/>
        <d v="2022-04-10T10:38:16Z"/>
        <d v="2022-04-10T10:37:59Z"/>
        <d v="2022-04-10T10:37:29Z"/>
        <d v="2022-04-10T10:37:27Z"/>
        <d v="2022-04-10T10:37:24Z"/>
        <d v="2022-04-10T10:37:20Z"/>
        <d v="2022-04-10T10:37:17Z"/>
        <d v="2022-04-10T10:36:46Z"/>
        <d v="2022-04-10T10:36:39Z"/>
        <d v="2022-04-10T10:36:25Z"/>
        <d v="2022-04-10T10:36:21Z"/>
        <d v="2022-04-10T10:36:19Z"/>
        <d v="2022-04-10T10:34:53Z"/>
        <d v="2022-04-10T10:25:44Z"/>
        <d v="2022-04-10T10:16:49Z"/>
        <d v="2022-04-10T10:16:29Z"/>
        <d v="2022-04-10T10:16:00Z"/>
        <d v="2022-04-10T10:15:10Z"/>
        <d v="2022-04-10T10:15:03Z"/>
        <d v="2022-04-10T10:14:04Z"/>
        <d v="2022-04-10T10:14:02Z"/>
        <d v="2022-04-10T10:10:41Z"/>
        <d v="2022-04-10T10:05:18Z"/>
        <d v="2022-04-10T10:04:27Z"/>
        <d v="2022-04-10T10:02:37Z"/>
        <d v="2022-04-10T10:02:10Z"/>
        <d v="2022-04-10T09:53:20Z"/>
        <d v="2022-04-10T09:52:46Z"/>
        <d v="2022-04-10T09:52:28Z"/>
        <d v="2022-04-10T09:51:37Z"/>
        <d v="2022-04-10T09:50:35Z"/>
        <d v="2022-04-10T09:50:32Z"/>
        <d v="2022-04-10T09:45:21Z"/>
        <d v="2022-04-10T09:43:56Z"/>
        <d v="2022-04-10T09:43:12Z"/>
        <d v="2022-04-10T09:43:08Z"/>
        <d v="2022-04-10T09:43:06Z"/>
        <d v="2022-04-10T09:42:43Z"/>
        <d v="2022-04-10T09:42:41Z"/>
        <d v="2022-04-10T09:42:39Z"/>
        <d v="2022-04-10T09:42:36Z"/>
        <d v="2022-04-10T09:42:34Z"/>
        <d v="2022-04-10T09:42:32Z"/>
        <d v="2022-04-10T09:39:03Z"/>
        <d v="2022-04-10T09:39:01Z"/>
        <d v="2022-04-10T09:38:55Z"/>
        <d v="2022-04-10T09:38:51Z"/>
        <d v="2022-04-10T09:38:49Z"/>
        <d v="2022-04-10T09:38:48Z"/>
        <d v="2022-04-10T09:38:46Z"/>
        <d v="2022-04-10T09:38:44Z"/>
        <d v="2022-04-10T09:38:35Z"/>
        <d v="2022-04-10T09:38:19Z"/>
        <d v="2022-04-10T09:37:15Z"/>
        <d v="2022-04-10T09:33:06Z"/>
        <d v="2022-04-10T09:30:15Z"/>
        <d v="2022-04-10T09:28:28Z"/>
        <d v="2022-04-10T09:27:02Z"/>
        <d v="2022-04-10T09:26:30Z"/>
        <d v="2022-04-10T09:25:31Z"/>
        <d v="2022-04-10T09:21:55Z"/>
        <d v="2022-04-10T09:20:24Z"/>
        <d v="2022-04-10T09:17:43Z"/>
        <d v="2022-04-10T09:17:42Z"/>
        <d v="2022-04-10T09:17:41Z"/>
        <d v="2022-04-10T09:17:33Z"/>
        <d v="2022-04-10T09:17:28Z"/>
        <d v="2022-04-10T09:15:18Z"/>
        <d v="2022-04-10T09:15:01Z"/>
        <d v="2022-04-10T09:14:58Z"/>
        <d v="2022-04-10T09:14:25Z"/>
        <d v="2022-04-10T09:11:45Z"/>
        <d v="2022-04-10T09:11:04Z"/>
        <d v="2022-04-10T09:10:57Z"/>
        <d v="2022-04-10T09:10:54Z"/>
        <d v="2022-04-10T09:02:23Z"/>
        <d v="2022-04-10T09:01:17Z"/>
        <d v="2022-04-10T09:00:23Z"/>
        <d v="2022-04-10T09:00:18Z"/>
        <d v="2022-04-10T09:00:14Z"/>
        <d v="2022-04-10T09:00:10Z"/>
        <d v="2022-04-10T08:58:37Z"/>
        <d v="2022-04-10T08:58:34Z"/>
        <d v="2022-04-10T08:58:29Z"/>
        <d v="2022-04-10T08:41:01Z"/>
        <d v="2022-04-10T08:38:38Z"/>
        <d v="2022-04-10T08:20:50Z"/>
        <d v="2022-04-10T07:39:10Z"/>
        <d v="2022-04-10T05:37:42Z"/>
        <d v="2022-04-10T05:14:57Z"/>
        <d v="2022-04-10T03:56:12Z"/>
        <d v="2022-04-10T03:55:37Z"/>
        <d v="2022-04-10T01:12:07Z"/>
        <d v="2022-04-10T00:56:41Z"/>
        <d v="2022-04-10T00:50:20Z"/>
        <d v="2022-04-10T00:30:48Z"/>
        <d v="2022-04-10T00:16:54Z"/>
        <d v="2022-04-10T00:03:48Z"/>
        <d v="2022-04-09T23:47:43Z"/>
        <d v="2022-04-09T23:39:57Z"/>
        <d v="2022-04-09T23:22:42Z"/>
        <d v="2022-04-09T22:41:01Z"/>
        <d v="2022-04-09T21:31:02Z"/>
        <d v="2022-04-09T21:19:31Z"/>
        <d v="2022-04-09T21:18:53Z"/>
        <d v="2022-04-09T21:03:35Z"/>
        <d v="2022-04-09T20:44:47Z"/>
        <d v="2022-04-09T20:33:31Z"/>
        <d v="2022-04-09T19:43:52Z"/>
        <d v="2022-04-09T19:10:31Z"/>
        <d v="2022-04-09T19:00:19Z"/>
        <d v="2022-04-09T18:30:55Z"/>
        <d v="2022-04-09T18:29:55Z"/>
        <d v="2022-04-09T18:23:37Z"/>
        <d v="2022-04-09T18:10:41Z"/>
        <d v="2022-04-09T18:10:39Z"/>
        <d v="2022-04-09T17:52:08Z"/>
        <d v="2022-04-09T17:37:02Z"/>
        <d v="2022-04-09T17:04:47Z"/>
        <d v="2022-04-09T17:00:58Z"/>
        <d v="2022-04-09T16:55:10Z"/>
        <d v="2022-04-09T16:51:04Z"/>
        <d v="2022-04-09T16:15:29Z"/>
        <d v="2022-04-09T15:55:02Z"/>
        <d v="2022-04-09T15:52:24Z"/>
        <d v="2022-04-09T15:50:59Z"/>
        <d v="2022-04-09T15:29:43Z"/>
        <d v="2022-04-09T15:29:13Z"/>
        <d v="2022-04-09T15:01:08Z"/>
        <d v="2022-04-09T14:49:20Z"/>
        <d v="2022-04-09T14:49:15Z"/>
        <d v="2022-04-09T14:49:08Z"/>
        <d v="2022-04-09T14:08:34Z"/>
        <d v="2022-04-09T14:05:46Z"/>
        <d v="2022-04-09T14:05:10Z"/>
        <d v="2022-04-09T13:38:10Z"/>
        <d v="2022-04-09T13:37:58Z"/>
        <d v="2022-04-09T13:37:54Z"/>
        <d v="2022-04-09T13:37:40Z"/>
        <d v="2022-04-09T13:37:04Z"/>
        <d v="2022-04-09T13:05:53Z"/>
        <d v="2022-04-09T12:43:52Z"/>
        <d v="2022-04-09T12:37:00Z"/>
        <d v="2022-04-09T12:24:38Z"/>
        <d v="2022-04-09T12:24:05Z"/>
        <d v="2022-04-09T12:24:03Z"/>
        <d v="2022-04-09T12:23:59Z"/>
        <d v="2022-04-09T12:23:56Z"/>
        <d v="2022-04-09T12:23:55Z"/>
        <d v="2022-04-09T11:51:33Z"/>
        <d v="2022-04-09T11:34:11Z"/>
        <d v="2022-04-09T11:24:17Z"/>
        <d v="2022-04-09T11:16:28Z"/>
        <d v="2022-04-09T11:15:34Z"/>
        <d v="2022-04-09T11:14:49Z"/>
        <d v="2022-04-09T11:14:14Z"/>
        <d v="2022-04-09T11:12:05Z"/>
        <d v="2022-04-09T11:09:42Z"/>
        <d v="2022-04-09T11:08:51Z"/>
        <d v="2022-04-09T11:05:22Z"/>
        <d v="2022-04-09T10:58:52Z"/>
        <d v="2022-04-09T10:45:01Z"/>
        <d v="2022-04-09T10:17:38Z"/>
        <d v="2022-04-09T10:13:22Z"/>
        <d v="2022-04-09T10:02:41Z"/>
        <d v="2022-04-09T09:54:12Z"/>
        <d v="2022-04-09T09:50:39Z"/>
        <d v="2022-04-09T09:40:01Z"/>
        <d v="2022-04-09T09:25:38Z"/>
        <d v="2022-04-09T08:26:08Z"/>
        <d v="2022-04-09T07:34:48Z"/>
        <d v="2022-04-09T07:30:10Z"/>
        <d v="2022-04-09T06:26:58Z"/>
        <d v="2022-04-09T06:23:42Z"/>
        <d v="2022-04-09T06:22:02Z"/>
        <d v="2022-04-09T06:20:29Z"/>
        <d v="2022-04-09T06:17:41Z"/>
        <d v="2022-04-09T06:13:44Z"/>
        <d v="2022-04-09T06:11:32Z"/>
        <d v="2022-04-09T06:11:27Z"/>
        <d v="2022-04-09T06:03:49Z"/>
        <d v="2022-04-09T05:58:22Z"/>
        <d v="2022-04-09T05:53:21Z"/>
        <d v="2022-04-09T05:48:09Z"/>
        <d v="2022-04-09T05:43:26Z"/>
        <d v="2022-04-09T05:39:17Z"/>
        <d v="2022-04-09T05:39:13Z"/>
        <d v="2022-04-09T05:36:40Z"/>
        <d v="2022-04-09T05:36:35Z"/>
        <d v="2022-04-09T05:32:48Z"/>
        <d v="2022-04-09T05:32:42Z"/>
        <d v="2022-04-09T05:28:08Z"/>
        <d v="2022-04-09T05:28:04Z"/>
        <d v="2022-04-09T05:07:49Z"/>
        <d v="2022-04-09T03:06:41Z"/>
        <d v="2022-04-09T02:28:56Z"/>
        <d v="2022-04-08T23:58:57Z"/>
        <d v="2022-04-08T23:57:11Z"/>
        <d v="2022-04-08T22:51:41Z"/>
        <d v="2022-04-08T22:51:38Z"/>
        <d v="2022-04-08T22:15:43Z"/>
        <d v="2022-04-08T21:47:29Z"/>
        <d v="2022-04-08T20:11:35Z"/>
        <d v="2022-04-08T19:35:10Z"/>
        <d v="2022-04-08T19:21:24Z"/>
        <d v="2022-04-08T19:21:19Z"/>
        <d v="2022-04-08T17:18:32Z"/>
        <d v="2022-04-08T16:51:27Z"/>
        <d v="2022-04-08T16:38:41Z"/>
        <d v="2022-04-08T16:15:46Z"/>
        <d v="2022-04-08T16:01:42Z"/>
        <d v="2022-04-08T16:01:14Z"/>
        <d v="2022-04-08T15:45:28Z"/>
        <d v="2022-04-08T15:44:18Z"/>
        <d v="2022-04-08T15:43:39Z"/>
        <d v="2022-04-08T15:36:23Z"/>
        <d v="2022-04-08T15:36:13Z"/>
        <d v="2022-04-08T15:29:42Z"/>
        <d v="2022-04-08T15:29:14Z"/>
        <d v="2022-04-08T15:28:19Z"/>
        <d v="2022-04-08T15:23:31Z"/>
        <d v="2022-04-08T15:22:06Z"/>
        <d v="2022-04-08T15:22:03Z"/>
        <d v="2022-04-08T15:21:50Z"/>
        <d v="2022-04-08T15:21:49Z"/>
        <d v="2022-04-08T15:17:23Z"/>
        <d v="2022-04-08T15:11:40Z"/>
        <d v="2022-04-08T15:01:40Z"/>
        <d v="2022-04-08T14:54:09Z"/>
        <d v="2022-04-08T14:54:03Z"/>
        <d v="2022-04-08T14:43:20Z"/>
        <d v="2022-04-08T14:35:28Z"/>
        <d v="2022-04-08T14:29:23Z"/>
        <d v="2022-04-08T14:29:16Z"/>
        <d v="2022-04-08T14:22:51Z"/>
        <d v="2022-04-08T14:19:25Z"/>
        <d v="2022-04-08T14:13:07Z"/>
        <d v="2022-04-08T14:07:07Z"/>
        <d v="2022-04-08T13:53:58Z"/>
        <d v="2022-04-08T13:53:49Z"/>
        <d v="2022-04-08T13:53:37Z"/>
        <d v="2022-04-08T13:36:00Z"/>
        <d v="2022-04-08T13:16:13Z"/>
        <d v="2022-04-08T13:15:59Z"/>
        <d v="2022-04-08T13:14:40Z"/>
        <d v="2022-04-08T13:14:23Z"/>
        <d v="2022-04-08T13:10:30Z"/>
        <d v="2022-04-08T13:10:23Z"/>
        <d v="2022-04-08T13:06:30Z"/>
        <d v="2022-04-08T13:06:10Z"/>
        <d v="2022-04-08T13:06:03Z"/>
        <d v="2022-04-08T13:05:53Z"/>
        <d v="2022-04-08T12:45:13Z"/>
        <d v="2022-04-08T12:45:11Z"/>
        <d v="2022-04-08T12:45:04Z"/>
        <d v="2022-04-08T12:45:02Z"/>
        <d v="2022-04-08T12:45:00Z"/>
        <d v="2022-04-08T12:44:52Z"/>
        <d v="2022-04-08T12:44:50Z"/>
        <d v="2022-04-08T12:41:06Z"/>
        <d v="2022-04-08T12:40:57Z"/>
        <d v="2022-04-08T12:40:40Z"/>
        <d v="2022-04-08T12:31:59Z"/>
        <d v="2022-04-08T11:59:58Z"/>
        <d v="2022-04-08T11:49:31Z"/>
        <d v="2022-04-08T11:49:20Z"/>
        <d v="2022-04-08T11:43:57Z"/>
        <d v="2022-04-08T11:35:48Z"/>
        <d v="2022-04-08T11:31:45Z"/>
        <d v="2022-04-08T11:29:42Z"/>
        <d v="2022-04-08T11:28:31Z"/>
        <d v="2022-04-08T11:27:59Z"/>
        <d v="2022-04-08T11:27:49Z"/>
        <d v="2022-04-08T11:10:04Z"/>
        <d v="2022-04-08T11:10:02Z"/>
        <d v="2022-04-08T10:56:23Z"/>
        <d v="2022-04-08T10:43:42Z"/>
        <d v="2022-04-08T10:25:08Z"/>
        <d v="2022-04-08T10:21:02Z"/>
        <d v="2022-04-08T10:20:31Z"/>
        <d v="2022-04-08T10:20:21Z"/>
        <d v="2022-04-08T10:05:38Z"/>
        <d v="2022-04-08T09:28:40Z"/>
        <d v="2022-04-08T09:28:35Z"/>
        <d v="2022-04-08T09:28:21Z"/>
        <d v="2022-04-08T09:28:10Z"/>
        <d v="2022-04-08T09:17:37Z"/>
        <d v="2022-04-08T09:13:32Z"/>
        <d v="2022-04-08T09:11:09Z"/>
        <d v="2022-04-08T07:12:42Z"/>
        <d v="2022-04-08T06:59:01Z"/>
        <d v="2022-04-08T06:56:15Z"/>
        <d v="2022-04-08T06:51:21Z"/>
        <d v="2022-04-08T06:43:58Z"/>
        <d v="2022-04-08T06:43:53Z"/>
        <d v="2022-04-08T06:41:33Z"/>
        <d v="2022-04-08T06:35:41Z"/>
        <d v="2022-04-08T06:35:36Z"/>
        <d v="2022-04-08T06:25:15Z"/>
        <d v="2022-04-08T06:16:10Z"/>
        <d v="2022-04-08T06:15:28Z"/>
        <d v="2022-04-08T06:15:20Z"/>
        <d v="2022-04-08T06:04:40Z"/>
        <d v="2022-04-08T06:00:42Z"/>
        <d v="2022-04-08T04:54:44Z"/>
        <d v="2022-04-08T03:06:21Z"/>
        <d v="2022-04-07T22:08:16Z"/>
        <d v="2022-04-07T21:55:04Z"/>
        <d v="2022-04-07T20:26:49Z"/>
        <d v="2022-04-07T20:13:12Z"/>
        <d v="2022-04-07T20:13:09Z"/>
        <d v="2022-04-07T19:37:56Z"/>
        <d v="2022-04-07T19:30:09Z"/>
        <d v="2022-04-07T19:30:06Z"/>
        <d v="2022-04-07T19:17:31Z"/>
        <d v="2022-04-07T19:08:27Z"/>
        <d v="2022-04-07T19:08:25Z"/>
        <d v="2022-04-07T19:05:14Z"/>
        <d v="2022-04-07T19:05:11Z"/>
        <d v="2022-04-07T18:54:46Z"/>
        <d v="2022-04-07T17:49:16Z"/>
        <d v="2022-04-07T17:38:07Z"/>
        <d v="2022-04-07T17:32:34Z"/>
        <d v="2022-04-07T17:24:14Z"/>
        <d v="2022-04-07T16:51:15Z"/>
        <d v="2022-04-07T16:51:13Z"/>
        <d v="2022-04-07T16:49:15Z"/>
        <d v="2022-04-07T16:36:26Z"/>
        <d v="2022-04-07T16:36:24Z"/>
        <d v="2022-04-07T16:24:31Z"/>
        <d v="2022-04-07T16:23:50Z"/>
        <d v="2022-04-07T15:52:54Z"/>
        <d v="2022-04-07T15:50:32Z"/>
        <d v="2022-04-07T15:50:29Z"/>
        <d v="2022-04-07T15:44:54Z"/>
        <d v="2022-04-07T15:42:20Z"/>
        <d v="2022-04-07T15:42:17Z"/>
        <d v="2022-04-07T15:40:58Z"/>
        <d v="2022-04-07T15:40:56Z"/>
        <d v="2022-04-07T15:02:31Z"/>
        <d v="2022-04-07T14:58:46Z"/>
        <d v="2022-04-07T14:52:25Z"/>
        <d v="2022-04-07T14:52:14Z"/>
        <d v="2022-04-07T14:42:40Z"/>
        <d v="2022-04-07T14:39:35Z"/>
        <d v="2022-04-07T14:39:17Z"/>
        <d v="2022-04-07T14:34:15Z"/>
        <d v="2022-04-07T14:34:07Z"/>
        <d v="2022-04-07T14:31:51Z"/>
        <d v="2022-04-07T14:13:15Z"/>
        <d v="2022-04-07T14:12:25Z"/>
        <d v="2022-04-07T14:12:22Z"/>
        <d v="2022-04-07T13:08:16Z"/>
        <d v="2022-04-07T12:39:19Z"/>
        <d v="2022-04-07T12:01:40Z"/>
        <d v="2022-04-07T10:58:11Z"/>
        <d v="2022-04-07T10:50:04Z"/>
        <d v="2022-04-07T10:40:58Z"/>
        <d v="2022-04-07T10:36:44Z"/>
        <d v="2022-04-07T10:36:15Z"/>
        <d v="2022-04-07T10:36:13Z"/>
        <d v="2022-04-07T10:35:54Z"/>
        <d v="2022-04-07T10:35:52Z"/>
        <d v="2022-04-07T10:35:49Z"/>
        <d v="2022-04-07T10:35:47Z"/>
        <d v="2022-04-07T10:35:41Z"/>
        <d v="2022-04-07T10:35:39Z"/>
        <d v="2022-04-07T10:34:58Z"/>
        <d v="2022-04-07T10:06:40Z"/>
        <d v="2022-04-07T10:00:35Z"/>
        <d v="2022-04-07T09:45:57Z"/>
        <d v="2022-04-07T09:43:57Z"/>
        <d v="2022-04-07T09:41:48Z"/>
        <d v="2022-04-07T09:11:38Z"/>
        <d v="2022-04-07T08:55:28Z"/>
        <d v="2022-04-07T08:46:43Z"/>
        <d v="2022-04-07T08:42:41Z"/>
        <d v="2022-04-07T08:40:40Z"/>
        <d v="2022-04-07T08:39:39Z"/>
        <d v="2022-04-07T08:38:46Z"/>
        <d v="2022-04-07T08:38:41Z"/>
        <d v="2022-04-07T08:30:42Z"/>
        <d v="2022-04-07T08:30:09Z"/>
        <d v="2022-04-07T08:30:03Z"/>
        <d v="2022-04-07T08:27:52Z"/>
        <d v="2022-04-07T08:27:44Z"/>
        <d v="2022-04-07T08:27:02Z"/>
        <d v="2022-04-07T08:26:57Z"/>
        <d v="2022-04-07T08:26:51Z"/>
        <d v="2022-04-07T08:25:27Z"/>
        <d v="2022-04-07T08:24:37Z"/>
        <d v="2022-04-07T08:24:34Z"/>
        <d v="2022-04-07T07:54:48Z"/>
        <d v="2022-04-07T06:44:49Z"/>
        <d v="2022-04-07T06:44:29Z"/>
        <d v="2022-04-07T06:44:09Z"/>
        <d v="2022-04-07T06:43:49Z"/>
        <d v="2022-04-07T06:43:29Z"/>
        <d v="2022-04-07T06:43:09Z"/>
        <d v="2022-04-07T06:42:49Z"/>
        <d v="2022-04-07T06:42:30Z"/>
        <d v="2022-04-07T06:42:09Z"/>
        <d v="2022-04-07T06:41:49Z"/>
        <d v="2022-04-07T06:41:29Z"/>
        <d v="2022-04-07T06:41:09Z"/>
        <d v="2022-04-07T06:40:39Z"/>
        <d v="2022-04-07T06:40:19Z"/>
        <d v="2022-04-07T06:39:59Z"/>
        <d v="2022-04-07T06:39:40Z"/>
        <d v="2022-04-07T06:39:19Z"/>
        <d v="2022-04-07T06:38:59Z"/>
        <d v="2022-04-07T06:38:39Z"/>
        <d v="2022-04-07T06:38:19Z"/>
        <d v="2022-04-07T06:37:49Z"/>
        <d v="2022-04-07T06:37:29Z"/>
        <d v="2022-04-07T06:37:09Z"/>
        <d v="2022-04-07T06:36:49Z"/>
        <d v="2022-04-07T06:36:29Z"/>
        <d v="2022-04-07T06:36:09Z"/>
        <d v="2022-04-07T06:35:49Z"/>
        <d v="2022-04-07T06:35:29Z"/>
        <d v="2022-04-07T06:35:09Z"/>
        <d v="2022-04-07T06:34:09Z"/>
        <d v="2022-04-07T06:33:49Z"/>
        <d v="2022-04-07T06:33:29Z"/>
        <d v="2022-04-07T06:33:09Z"/>
        <d v="2022-04-07T06:32:49Z"/>
        <d v="2022-04-07T06:32:29Z"/>
        <d v="2022-04-07T06:32:09Z"/>
        <d v="2022-04-07T06:31:49Z"/>
        <d v="2022-04-07T06:31:29Z"/>
        <d v="2022-04-07T06:31:09Z"/>
        <d v="2022-04-07T06:30:50Z"/>
        <d v="2022-04-07T06:30:30Z"/>
        <d v="2022-04-07T06:30:12Z"/>
        <d v="2022-04-07T06:29:50Z"/>
        <d v="2022-04-07T06:29:36Z"/>
        <d v="2022-04-07T06:29:23Z"/>
        <d v="2022-04-07T06:29:02Z"/>
        <d v="2022-04-07T06:28:38Z"/>
        <d v="2022-04-07T06:28:36Z"/>
        <d v="2022-04-07T06:28:33Z"/>
        <d v="2022-04-07T06:28:31Z"/>
        <d v="2022-04-07T06:28:29Z"/>
        <d v="2022-04-07T06:28:25Z"/>
        <d v="2022-04-07T06:28:22Z"/>
        <d v="2022-04-07T06:28:19Z"/>
        <d v="2022-04-07T06:28:13Z"/>
        <d v="2022-04-07T06:28:10Z"/>
        <d v="2022-04-07T06:28:08Z"/>
        <d v="2022-04-07T06:28:05Z"/>
        <d v="2022-04-07T06:28:03Z"/>
        <d v="2022-04-07T06:28:00Z"/>
        <d v="2022-04-07T06:27:58Z"/>
        <d v="2022-04-07T06:27:56Z"/>
        <d v="2022-04-07T06:27:53Z"/>
        <d v="2022-04-07T06:27:50Z"/>
        <d v="2022-04-07T06:27:46Z"/>
        <d v="2022-04-07T06:27:40Z"/>
        <d v="2022-04-07T06:15:47Z"/>
        <d v="2022-04-07T06:13:19Z"/>
        <d v="2022-04-07T05:32:12Z"/>
        <d v="2022-04-07T02:52:53Z"/>
        <d v="2022-04-07T02:34:10Z"/>
        <d v="2022-04-07T02:30:13Z"/>
        <d v="2022-04-07T02:30:09Z"/>
        <d v="2022-04-07T02:30:06Z"/>
        <d v="2022-04-07T02:29:59Z"/>
        <d v="2022-04-07T00:57:30Z"/>
        <d v="2022-04-06T23:41:36Z"/>
        <d v="2022-04-06T22:45:35Z"/>
        <d v="2022-04-06T22:45:06Z"/>
        <d v="2022-04-06T22:45:01Z"/>
        <d v="2022-04-06T22:44:28Z"/>
        <d v="2022-04-06T22:39:07Z"/>
        <d v="2022-04-06T22:39:05Z"/>
        <d v="2022-04-06T21:53:04Z"/>
        <d v="2022-04-06T21:48:14Z"/>
        <d v="2022-04-06T21:48:11Z"/>
        <d v="2022-04-06T21:36:10Z"/>
        <d v="2022-04-06T21:35:23Z"/>
        <d v="2022-04-06T21:35:19Z"/>
        <d v="2022-04-06T21:28:33Z"/>
        <d v="2022-04-06T21:20:59Z"/>
        <d v="2022-04-06T21:20:44Z"/>
        <d v="2022-04-06T20:11:54Z"/>
        <d v="2022-04-06T18:26:01Z"/>
        <d v="2022-04-06T17:37:58Z"/>
        <d v="2022-04-06T17:16:49Z"/>
        <d v="2022-04-06T17:07:26Z"/>
        <d v="2022-04-06T16:50:41Z"/>
        <d v="2022-04-06T16:30:59Z"/>
        <d v="2022-04-06T15:00:57Z"/>
        <d v="2022-04-06T14:58:56Z"/>
        <d v="2022-04-06T14:58:55Z"/>
        <d v="2022-04-06T14:58:50Z"/>
        <d v="2022-04-06T14:58:46Z"/>
        <d v="2022-04-06T14:46:28Z"/>
        <d v="2022-04-06T14:46:23Z"/>
        <d v="2022-04-06T14:46:15Z"/>
        <d v="2022-04-06T14:44:29Z"/>
        <d v="2022-04-06T14:43:12Z"/>
        <d v="2022-04-06T13:34:34Z"/>
        <d v="2022-04-06T12:57:18Z"/>
        <d v="2022-04-06T12:27:35Z"/>
        <d v="2022-04-06T12:08:47Z"/>
        <d v="2022-04-06T11:51:31Z"/>
        <d v="2022-04-06T11:35:06Z"/>
        <d v="2022-04-06T11:26:49Z"/>
        <d v="2022-04-06T11:03:34Z"/>
        <d v="2022-04-06T09:39:27Z"/>
        <d v="2022-04-06T09:39:23Z"/>
        <d v="2022-04-06T09:39:18Z"/>
        <d v="2022-04-06T09:39:15Z"/>
        <d v="2022-04-06T09:10:48Z"/>
        <d v="2022-04-06T09:10:29Z"/>
        <d v="2022-04-06T07:50:44Z"/>
        <d v="2022-04-06T07:34:18Z"/>
        <d v="2022-04-05T22:23:30Z"/>
        <d v="2022-04-05T22:23:08Z"/>
        <d v="2022-04-05T22:23:04Z"/>
        <d v="2022-04-05T22:22:56Z"/>
        <d v="2022-04-05T22:22:40Z"/>
        <d v="2022-04-05T22:21:38Z"/>
        <d v="2022-04-05T22:21:06Z"/>
        <d v="2022-04-05T22:21:04Z"/>
        <d v="2022-04-05T22:20:57Z"/>
        <d v="2022-04-05T22:11:10Z"/>
        <d v="2022-04-05T21:02:57Z"/>
        <d v="2022-04-05T20:32:01Z"/>
        <d v="2022-04-05T20:31:26Z"/>
        <d v="2022-04-05T20:31:23Z"/>
        <d v="2022-04-05T20:30:52Z"/>
        <d v="2022-04-05T20:29:25Z"/>
        <d v="2022-04-05T20:28:56Z"/>
        <d v="2022-04-05T20:28:24Z"/>
        <d v="2022-04-05T17:37:51Z"/>
        <d v="2022-04-05T16:41:32Z"/>
        <d v="2022-04-05T15:36:29Z"/>
        <d v="2022-04-05T15:36:13Z"/>
        <d v="2022-04-05T15:36:07Z"/>
        <d v="2022-04-05T15:33:31Z"/>
        <d v="2022-04-05T14:18:04Z"/>
        <d v="2022-04-05T13:21:18Z"/>
        <d v="2022-04-05T13:14:05Z"/>
        <d v="2022-04-05T13:03:44Z"/>
        <d v="2022-04-05T13:03:17Z"/>
        <d v="2022-04-05T12:58:55Z"/>
        <d v="2022-04-05T12:58:43Z"/>
        <d v="2022-04-05T12:51:40Z"/>
        <d v="2022-04-05T12:30:29Z"/>
        <d v="2022-04-05T11:10:40Z"/>
        <d v="2022-04-05T11:09:51Z"/>
        <d v="2022-04-05T11:08:54Z"/>
        <d v="2022-04-05T11:06:19Z"/>
        <d v="2022-04-05T10:52:20Z"/>
        <d v="2022-04-05T10:51:39Z"/>
        <d v="2022-04-05T10:45:55Z"/>
        <d v="2022-04-05T10:42:02Z"/>
        <d v="2022-04-05T09:56:42Z"/>
        <d v="2022-04-05T09:56:20Z"/>
        <d v="2022-04-05T09:56:11Z"/>
        <d v="2022-04-05T09:54:47Z"/>
        <d v="2022-04-05T09:11:53Z"/>
        <d v="2022-04-05T09:11:50Z"/>
        <d v="2022-04-05T09:11:47Z"/>
        <d v="2022-04-05T09:11:45Z"/>
        <d v="2022-04-05T09:11:27Z"/>
        <d v="2022-04-05T09:11:26Z"/>
        <d v="2022-04-05T09:11:24Z"/>
        <d v="2022-04-05T09:11:22Z"/>
        <d v="2022-04-05T09:11:20Z"/>
        <d v="2022-04-05T09:11:18Z"/>
        <d v="2022-04-05T09:11:17Z"/>
        <d v="2022-04-05T09:11:10Z"/>
        <d v="2022-04-05T09:11:08Z"/>
        <d v="2022-04-05T09:11:03Z"/>
        <d v="2022-04-05T09:11:00Z"/>
        <d v="2022-04-05T09:10:53Z"/>
        <d v="2022-04-05T09:10:52Z"/>
        <d v="2022-04-05T09:10:50Z"/>
        <d v="2022-04-05T09:10:48Z"/>
        <d v="2022-04-05T09:10:46Z"/>
        <d v="2022-04-05T09:10:44Z"/>
        <d v="2022-04-05T09:10:43Z"/>
        <d v="2022-04-05T09:10:41Z"/>
        <d v="2022-04-05T09:10:38Z"/>
        <d v="2022-04-05T09:10:16Z"/>
        <d v="2022-04-05T09:10:14Z"/>
        <d v="2022-04-05T09:10:12Z"/>
        <d v="2022-04-05T09:10:10Z"/>
        <d v="2022-04-05T09:10:08Z"/>
        <d v="2022-04-05T00:43:04Z"/>
        <d v="2022-04-04T22:25:10Z"/>
        <d v="2022-04-04T22:17:06Z"/>
        <d v="2022-04-04T22:10:40Z"/>
        <d v="2022-04-04T21:40:25Z"/>
        <d v="2022-04-04T21:31:12Z"/>
        <d v="2022-04-04T21:15:02Z"/>
        <d v="2022-04-04T20:33:22Z"/>
        <d v="2022-04-04T20:32:53Z"/>
        <d v="2022-04-04T20:32:50Z"/>
        <d v="2022-04-04T20:32:49Z"/>
        <d v="2022-04-04T19:58:06Z"/>
        <d v="2022-04-04T19:23:30Z"/>
        <d v="2022-04-04T18:22:52Z"/>
        <d v="2022-04-04T18:22:44Z"/>
        <d v="2022-04-04T18:22:33Z"/>
        <d v="2022-04-04T18:22:03Z"/>
        <d v="2022-04-04T18:15:50Z"/>
        <d v="2022-04-04T18:15:28Z"/>
        <d v="2022-04-04T18:15:10Z"/>
        <d v="2022-04-04T18:11:14Z"/>
        <d v="2022-04-04T18:10:42Z"/>
        <d v="2022-04-04T18:01:09Z"/>
        <d v="2022-04-04T17:13:21Z"/>
        <d v="2022-04-04T17:13:18Z"/>
        <d v="2022-04-04T17:13:15Z"/>
        <d v="2022-04-04T17:13:12Z"/>
        <d v="2022-04-04T17:13:10Z"/>
        <d v="2022-04-04T17:13:07Z"/>
        <d v="2022-04-04T17:13:00Z"/>
        <d v="2022-04-04T17:12:57Z"/>
        <d v="2022-04-04T17:12:54Z"/>
        <d v="2022-04-04T17:12:50Z"/>
        <d v="2022-04-04T17:12:47Z"/>
        <d v="2022-04-04T17:12:18Z"/>
        <d v="2022-04-04T17:12:16Z"/>
        <d v="2022-04-04T17:09:20Z"/>
        <d v="2022-04-04T15:59:41Z"/>
        <d v="2022-04-04T15:49:40Z"/>
        <d v="2022-04-04T15:49:38Z"/>
        <d v="2022-04-04T15:49:37Z"/>
        <d v="2022-04-04T15:49:34Z"/>
        <d v="2022-04-04T15:49:32Z"/>
        <d v="2022-04-04T15:49:08Z"/>
        <d v="2022-04-04T14:19:16Z"/>
        <d v="2022-04-04T14:19:13Z"/>
        <d v="2022-04-04T14:18:35Z"/>
        <d v="2022-04-04T14:18:33Z"/>
        <d v="2022-04-04T14:15:55Z"/>
        <d v="2022-04-04T13:40:00Z"/>
        <d v="2022-04-04T13:16:09Z"/>
        <d v="2022-04-04T13:16:03Z"/>
        <d v="2022-04-04T13:15:59Z"/>
        <d v="2022-04-04T12:33:51Z"/>
        <d v="2022-04-04T12:24:46Z"/>
        <d v="2022-04-04T12:03:47Z"/>
        <d v="2022-04-04T12:03:30Z"/>
        <d v="2022-04-04T12:02:41Z"/>
        <d v="2022-04-04T12:02:38Z"/>
        <d v="2022-04-04T12:02:31Z"/>
        <d v="2022-04-04T12:02:28Z"/>
        <d v="2022-04-04T12:02:26Z"/>
        <d v="2022-04-04T12:02:21Z"/>
        <d v="2022-04-04T12:02:19Z"/>
        <d v="2022-04-04T11:35:24Z"/>
        <d v="2022-04-04T11:33:23Z"/>
        <d v="2022-04-04T11:32:19Z"/>
        <d v="2022-04-04T11:31:42Z"/>
        <d v="2022-04-04T11:31:37Z"/>
        <d v="2022-04-04T11:13:59Z"/>
        <d v="2022-04-04T11:13:46Z"/>
        <d v="2022-04-04T10:56:42Z"/>
        <d v="2022-04-04T10:45:45Z"/>
        <d v="2022-04-04T10:28:59Z"/>
        <d v="2022-04-04T10:27:55Z"/>
        <d v="2022-04-04T10:27:48Z"/>
        <d v="2022-04-04T10:27:27Z"/>
        <d v="2022-04-04T08:56:18Z"/>
        <d v="2022-04-04T07:37:38Z"/>
        <d v="2022-04-04T07:25:41Z"/>
        <d v="2022-04-04T03:17:26Z"/>
        <d v="2022-04-03T23:32:48Z"/>
        <d v="2022-04-03T23:31:48Z"/>
        <d v="2022-04-03T23:31:13Z"/>
        <d v="2022-04-03T23:30:28Z"/>
        <d v="2022-04-03T23:29:19Z"/>
        <d v="2022-04-03T23:27:58Z"/>
        <d v="2022-04-03T23:27:49Z"/>
        <d v="2022-04-03T23:23:20Z"/>
        <d v="2022-04-03T22:22:22Z"/>
        <d v="2022-04-03T22:16:18Z"/>
        <d v="2022-04-03T21:56:26Z"/>
        <d v="2022-04-03T21:50:37Z"/>
        <d v="2022-04-03T21:41:37Z"/>
        <d v="2022-04-03T21:33:02Z"/>
        <d v="2022-04-03T20:53:59Z"/>
        <d v="2022-04-03T20:29:53Z"/>
        <d v="2022-04-03T20:23:27Z"/>
        <d v="2022-04-03T20:23:24Z"/>
        <d v="2022-04-03T20:23:22Z"/>
        <d v="2022-04-03T20:23:16Z"/>
        <d v="2022-04-03T20:23:08Z"/>
        <d v="2022-04-03T20:05:25Z"/>
        <d v="2022-04-03T20:05:23Z"/>
        <d v="2022-04-03T20:05:21Z"/>
        <d v="2022-04-03T20:05:18Z"/>
        <d v="2022-04-03T20:05:17Z"/>
        <d v="2022-04-03T20:05:14Z"/>
        <d v="2022-04-03T20:05:13Z"/>
        <d v="2022-04-03T20:05:11Z"/>
        <d v="2022-04-03T20:05:09Z"/>
        <d v="2022-04-03T20:05:06Z"/>
        <d v="2022-04-03T20:05:04Z"/>
        <d v="2022-04-03T20:05:01Z"/>
        <d v="2022-04-03T20:04:58Z"/>
        <d v="2022-04-03T20:04:55Z"/>
        <d v="2022-04-03T20:04:50Z"/>
        <d v="2022-04-03T20:04:47Z"/>
        <d v="2022-04-03T20:04:45Z"/>
        <d v="2022-04-03T20:04:42Z"/>
        <d v="2022-04-03T20:04:39Z"/>
        <d v="2022-04-03T20:04:36Z"/>
        <d v="2022-04-03T20:04:33Z"/>
        <d v="2022-04-03T20:04:30Z"/>
        <d v="2022-04-03T20:04:27Z"/>
        <d v="2022-04-03T20:04:24Z"/>
        <d v="2022-04-03T20:04:21Z"/>
        <d v="2022-04-03T20:04:19Z"/>
        <d v="2022-04-03T20:04:15Z"/>
        <d v="2022-04-03T20:04:12Z"/>
        <d v="2022-04-03T20:04:10Z"/>
        <d v="2022-04-03T20:04:08Z"/>
        <d v="2022-04-03T20:04:06Z"/>
        <d v="2022-04-03T20:04:04Z"/>
        <d v="2022-04-03T20:04:02Z"/>
        <d v="2022-04-03T20:03:59Z"/>
        <d v="2022-04-03T20:03:57Z"/>
        <d v="2022-04-03T20:03:55Z"/>
        <d v="2022-04-03T20:03:53Z"/>
        <d v="2022-04-03T20:03:51Z"/>
        <d v="2022-04-03T20:03:49Z"/>
        <d v="2022-04-03T20:03:47Z"/>
        <d v="2022-04-03T20:03:45Z"/>
        <d v="2022-04-03T20:03:42Z"/>
        <d v="2022-04-03T20:03:40Z"/>
        <d v="2022-04-03T20:03:38Z"/>
        <d v="2022-04-03T20:03:36Z"/>
        <d v="2022-04-03T20:03:34Z"/>
        <d v="2022-04-03T20:03:32Z"/>
        <d v="2022-04-03T20:03:29Z"/>
        <d v="2022-04-03T20:03:26Z"/>
        <d v="2022-04-03T20:03:23Z"/>
        <d v="2022-04-03T20:03:20Z"/>
        <d v="2022-04-03T20:03:18Z"/>
        <d v="2022-04-03T20:03:15Z"/>
        <d v="2022-04-03T20:03:12Z"/>
        <d v="2022-04-03T20:03:10Z"/>
        <d v="2022-04-03T20:03:08Z"/>
        <d v="2022-04-03T20:03:06Z"/>
        <d v="2022-04-03T20:03:03Z"/>
        <d v="2022-04-03T20:03:01Z"/>
        <d v="2022-04-03T20:02:59Z"/>
        <d v="2022-04-03T20:02:56Z"/>
        <d v="2022-04-03T20:02:54Z"/>
        <d v="2022-04-03T20:02:51Z"/>
        <d v="2022-04-03T20:02:49Z"/>
        <d v="2022-04-03T20:02:46Z"/>
        <d v="2022-04-03T20:02:42Z"/>
        <d v="2022-04-03T20:02:39Z"/>
        <d v="2022-04-03T20:02:36Z"/>
        <d v="2022-04-03T19:58:18Z"/>
        <d v="2022-04-03T19:33:25Z"/>
        <d v="2022-04-03T19:30:52Z"/>
        <d v="2022-04-03T19:30:18Z"/>
        <d v="2022-04-03T18:58:03Z"/>
        <d v="2022-04-03T18:47:53Z"/>
        <d v="2022-04-03T18:47:42Z"/>
        <d v="2022-04-03T18:47:28Z"/>
        <d v="2022-04-03T18:19:40Z"/>
        <d v="2022-04-03T18:12:53Z"/>
        <d v="2022-04-03T17:58:49Z"/>
        <d v="2022-04-03T17:57:31Z"/>
        <d v="2022-04-03T17:57:23Z"/>
        <d v="2022-04-03T17:57:20Z"/>
        <d v="2022-04-03T17:57:05Z"/>
        <d v="2022-04-03T17:56:59Z"/>
        <d v="2022-04-03T17:56:52Z"/>
        <d v="2022-04-03T17:56:44Z"/>
        <d v="2022-04-03T17:56:38Z"/>
        <d v="2022-04-03T17:56:34Z"/>
        <d v="2022-04-03T17:56:29Z"/>
        <d v="2022-04-03T17:31:23Z"/>
        <d v="2022-04-03T17:29:47Z"/>
        <d v="2022-04-03T17:28:35Z"/>
        <d v="2022-04-03T17:28:21Z"/>
        <d v="2022-04-03T17:17:58Z"/>
        <d v="2022-04-03T17:03:37Z"/>
        <d v="2022-04-03T16:48:48Z"/>
        <d v="2022-04-03T16:46:42Z"/>
        <d v="2022-04-03T16:46:40Z"/>
        <d v="2022-04-03T16:46:35Z"/>
        <d v="2022-04-03T16:46:34Z"/>
        <d v="2022-04-03T16:46:32Z"/>
        <d v="2022-04-03T16:46:26Z"/>
        <d v="2022-04-03T16:45:41Z"/>
        <d v="2022-04-03T16:45:34Z"/>
        <d v="2022-04-03T16:45:27Z"/>
        <d v="2022-04-03T16:45:13Z"/>
        <d v="2022-04-03T16:39:09Z"/>
        <d v="2022-04-03T15:55:29Z"/>
        <d v="2022-04-03T15:20:02Z"/>
        <d v="2022-04-03T12:47:35Z"/>
        <d v="2022-04-03T12:32:55Z"/>
        <d v="2022-04-03T12:31:07Z"/>
        <d v="2022-04-03T12:25:37Z"/>
        <d v="2022-04-03T12:25:29Z"/>
        <d v="2022-04-03T12:17:37Z"/>
        <d v="2022-04-03T12:03:28Z"/>
        <d v="2022-04-03T12:03:24Z"/>
        <d v="2022-04-03T11:29:29Z"/>
        <d v="2022-04-03T11:29:21Z"/>
        <d v="2022-04-03T11:19:24Z"/>
        <d v="2022-04-03T10:50:01Z"/>
        <d v="2022-04-03T10:30:21Z"/>
        <d v="2022-04-03T10:29:38Z"/>
        <d v="2022-04-03T10:29:30Z"/>
        <d v="2022-04-03T10:29:14Z"/>
        <d v="2022-04-03T10:28:03Z"/>
        <d v="2022-04-03T10:26:49Z"/>
        <d v="2022-04-03T10:26:11Z"/>
        <d v="2022-04-03T10:26:05Z"/>
        <d v="2022-04-03T10:24:59Z"/>
        <d v="2022-04-03T09:48:22Z"/>
        <d v="2022-04-03T09:48:08Z"/>
        <d v="2022-04-03T09:47:44Z"/>
        <d v="2022-04-03T09:47:40Z"/>
        <d v="2022-04-03T09:47:33Z"/>
        <d v="2022-04-03T09:47:17Z"/>
        <d v="2022-04-03T09:47:15Z"/>
        <d v="2022-04-03T09:37:58Z"/>
        <d v="2022-04-03T09:37:52Z"/>
        <d v="2022-04-03T09:33:07Z"/>
        <d v="2022-04-03T07:46:13Z"/>
        <d v="2022-04-03T07:43:57Z"/>
        <d v="2022-04-03T07:43:52Z"/>
        <d v="2022-04-03T07:37:23Z"/>
        <d v="2022-04-03T07:37:21Z"/>
        <d v="2022-04-03T07:37:19Z"/>
        <d v="2022-04-03T07:37:18Z"/>
        <d v="2022-04-03T07:37:16Z"/>
        <d v="2022-04-03T07:37:15Z"/>
        <d v="2022-04-03T07:37:13Z"/>
        <d v="2022-04-03T07:37:09Z"/>
        <d v="2022-04-03T07:37:08Z"/>
        <d v="2022-04-03T07:37:02Z"/>
        <d v="2022-04-03T07:35:46Z"/>
        <d v="2022-04-03T07:34:51Z"/>
        <d v="2022-04-03T07:29:36Z"/>
        <d v="2022-04-03T07:29:34Z"/>
        <d v="2022-04-03T07:29:32Z"/>
        <d v="2022-04-03T07:29:26Z"/>
        <d v="2022-04-02T22:58:23Z"/>
        <d v="2022-04-02T21:39:07Z"/>
        <d v="2022-04-02T21:15:26Z"/>
        <d v="2022-04-02T18:54:48Z"/>
        <d v="2022-04-02T18:54:46Z"/>
        <d v="2022-04-02T18:54:44Z"/>
        <d v="2022-04-02T18:54:42Z"/>
        <d v="2022-04-02T18:54:32Z"/>
        <d v="2022-04-02T18:45:35Z"/>
        <d v="2022-04-02T18:39:52Z"/>
        <d v="2022-04-02T17:55:37Z"/>
        <d v="2022-04-02T16:58:42Z"/>
        <d v="2022-04-02T16:58:40Z"/>
        <d v="2022-04-02T16:30:54Z"/>
        <d v="2022-04-02T15:51:15Z"/>
        <d v="2022-04-02T15:45:43Z"/>
        <d v="2022-04-02T15:45:38Z"/>
        <d v="2022-04-02T12:07:59Z"/>
        <d v="2022-04-02T12:05:28Z"/>
        <d v="2022-04-02T12:05:25Z"/>
        <d v="2022-04-02T12:05:23Z"/>
        <d v="2022-04-02T12:05:21Z"/>
        <d v="2022-04-02T12:05:10Z"/>
        <d v="2022-04-02T12:05:08Z"/>
        <d v="2022-04-02T09:50:49Z"/>
        <d v="2022-04-02T09:48:13Z"/>
        <d v="2022-04-02T09:44:02Z"/>
        <d v="2022-04-02T09:43:49Z"/>
        <d v="2022-04-02T09:25:37Z"/>
        <d v="2022-04-02T09:03:47Z"/>
        <d v="2022-04-02T07:43:00Z"/>
        <d v="2022-04-02T07:05:33Z"/>
        <d v="2022-04-02T01:20:34Z"/>
        <d v="2022-04-02T00:45:52Z"/>
        <d v="2022-04-01T22:54:51Z"/>
        <d v="2022-04-01T18:49:08Z"/>
        <d v="2022-04-01T18:49:05Z"/>
        <d v="2022-04-01T18:48:59Z"/>
        <d v="2022-04-01T18:45:03Z"/>
        <d v="2022-04-01T18:32:34Z"/>
        <d v="2022-04-01T16:07:51Z"/>
        <d v="2022-04-01T15:52:20Z"/>
        <d v="2022-04-01T11:49:02Z"/>
        <d v="2022-04-01T11:48:39Z"/>
        <d v="2022-04-01T11:27:52Z"/>
        <d v="2022-04-01T11:26:31Z"/>
        <d v="2022-04-01T11:25:35Z"/>
        <d v="2022-04-01T11:24:59Z"/>
        <d v="2022-04-01T11:24:24Z"/>
        <d v="2022-04-01T11:23:42Z"/>
        <d v="2022-04-01T11:23:30Z"/>
        <d v="2022-04-01T11:22:55Z"/>
        <d v="2022-04-01T11:22:48Z"/>
        <d v="2022-04-01T11:22:05Z"/>
        <d v="2022-04-01T11:21:29Z"/>
        <d v="2022-04-01T11:20:56Z"/>
        <d v="2022-04-01T11:20:54Z"/>
        <d v="2022-04-01T10:55:06Z"/>
        <d v="2022-04-01T10:54:18Z"/>
        <d v="2022-04-01T10:53:19Z"/>
        <d v="2022-04-01T10:52:46Z"/>
        <d v="2022-04-01T10:52:11Z"/>
        <d v="2022-04-01T10:51:35Z"/>
        <d v="2022-04-01T10:51:24Z"/>
        <d v="2022-04-01T10:41:46Z"/>
        <d v="2022-04-01T10:14:33Z"/>
        <d v="2022-04-01T10:01:22Z"/>
        <d v="2022-04-01T09:59:41Z"/>
        <d v="2022-04-01T09:59:06Z"/>
        <d v="2022-04-01T09:58:34Z"/>
        <d v="2022-04-01T09:57:43Z"/>
        <d v="2022-04-01T09:57:10Z"/>
        <d v="2022-04-01T09:56:33Z"/>
        <d v="2022-04-01T09:56:24Z"/>
        <d v="2022-04-01T09:56:23Z"/>
        <d v="2022-04-01T09:56:22Z"/>
        <d v="2022-04-01T09:56:01Z"/>
        <d v="2022-04-01T09:55:20Z"/>
        <d v="2022-04-01T09:55:18Z"/>
        <d v="2022-04-01T09:55:08Z"/>
        <d v="2022-04-01T09:55:07Z"/>
        <d v="2022-04-01T09:46:59Z"/>
        <d v="2022-04-01T09:46:57Z"/>
        <d v="2022-04-01T07:09:41Z"/>
        <d v="2022-04-01T07:09:02Z"/>
        <d v="2022-04-01T07:08:00Z"/>
        <d v="2022-04-01T07:07:16Z"/>
        <d v="2022-04-01T07:06:16Z"/>
        <d v="2022-04-01T07:05:01Z"/>
        <d v="2022-04-01T07:04:01Z"/>
        <d v="2022-04-01T07:03:00Z"/>
        <d v="2022-04-01T07:02:26Z"/>
        <d v="2022-04-01T07:01:55Z"/>
        <d v="2022-04-01T07:01:26Z"/>
        <d v="2022-04-01T07:00:49Z"/>
        <d v="2022-04-01T06:59:53Z"/>
        <d v="2022-04-01T06:59:10Z"/>
        <d v="2022-04-01T06:34:23Z"/>
        <d v="2022-04-01T04:19:22Z"/>
        <d v="2022-04-01T01:39:54Z"/>
        <d v="2022-04-01T00:51:23Z"/>
        <d v="2022-04-01T00:37:46Z"/>
        <d v="2022-03-31T23:47:46Z"/>
        <d v="2022-03-31T22:31:42Z"/>
        <d v="2022-03-31T22:15:56Z"/>
        <d v="2022-03-31T22:15:31Z"/>
        <d v="2022-03-31T21:43:02Z"/>
        <d v="2022-03-31T21:41:20Z"/>
        <d v="2022-03-31T21:40:48Z"/>
        <d v="2022-03-31T21:40:17Z"/>
        <d v="2022-03-31T21:39:44Z"/>
        <d v="2022-03-31T21:39:11Z"/>
        <d v="2022-03-31T21:38:11Z"/>
        <d v="2022-03-31T21:37:11Z"/>
        <d v="2022-03-31T21:36:38Z"/>
        <d v="2022-03-31T21:36:05Z"/>
        <d v="2022-03-31T21:35:33Z"/>
        <d v="2022-03-31T21:35:00Z"/>
        <d v="2022-03-31T21:34:27Z"/>
        <d v="2022-03-31T21:34:02Z"/>
        <d v="2022-03-31T21:34:00Z"/>
        <d v="2022-03-31T21:33:56Z"/>
        <d v="2022-03-31T21:33:44Z"/>
        <d v="2022-03-31T21:33:42Z"/>
        <d v="2022-03-31T21:32:53Z"/>
        <d v="2022-03-31T21:32:19Z"/>
        <d v="2022-03-31T21:31:44Z"/>
        <d v="2022-03-31T21:31:37Z"/>
        <d v="2022-03-31T21:31:10Z"/>
        <d v="2022-03-31T21:30:39Z"/>
        <d v="2022-03-31T21:30:34Z"/>
        <d v="2022-03-31T21:30:25Z"/>
        <d v="2022-03-31T21:30:24Z"/>
        <d v="2022-03-31T21:30:12Z"/>
        <d v="2022-03-31T21:30:10Z"/>
        <d v="2022-03-31T21:30:07Z"/>
        <d v="2022-03-31T21:29:45Z"/>
        <d v="2022-03-31T21:29:34Z"/>
        <d v="2022-03-31T21:29:33Z"/>
        <d v="2022-03-31T21:29:31Z"/>
        <d v="2022-03-31T21:29:23Z"/>
        <d v="2022-03-31T21:29:17Z"/>
        <d v="2022-03-31T21:28:43Z"/>
        <d v="2022-03-31T21:28:10Z"/>
        <d v="2022-03-31T21:28:00Z"/>
        <d v="2022-03-31T21:27:27Z"/>
        <d v="2022-03-31T21:27:26Z"/>
        <d v="2022-03-31T21:27:11Z"/>
        <d v="2022-03-31T21:26:29Z"/>
        <d v="2022-03-31T21:25:54Z"/>
        <d v="2022-03-31T21:25:21Z"/>
        <d v="2022-03-31T21:25:01Z"/>
        <d v="2022-03-31T21:24:56Z"/>
        <d v="2022-03-31T21:24:51Z"/>
        <d v="2022-03-31T21:24:43Z"/>
        <d v="2022-03-31T21:24:42Z"/>
        <d v="2022-03-31T21:23:32Z"/>
        <d v="2022-03-31T21:22:57Z"/>
        <d v="2022-03-31T21:22:06Z"/>
        <d v="2022-03-31T21:21:32Z"/>
        <d v="2022-03-31T21:20:32Z"/>
        <d v="2022-03-31T21:20:17Z"/>
        <d v="2022-03-31T21:20:11Z"/>
        <d v="2022-03-31T21:19:59Z"/>
        <d v="2022-03-31T21:19:11Z"/>
        <d v="2022-03-31T21:19:09Z"/>
        <d v="2022-03-31T21:10:40Z"/>
        <d v="2022-03-31T19:34:33Z"/>
        <d v="2022-03-31T19:34:30Z"/>
        <d v="2022-03-31T19:10:01Z"/>
        <d v="2022-03-31T19:06:27Z"/>
        <d v="2022-03-31T18:58:25Z"/>
        <d v="2022-03-31T18:55:32Z"/>
        <d v="2022-03-31T18:35:51Z"/>
        <d v="2022-03-31T18:14:03Z"/>
        <d v="2022-03-31T17:49:45Z"/>
        <d v="2022-03-31T17:39:03Z"/>
        <d v="2022-03-31T17:38:28Z"/>
        <d v="2022-03-31T17:37:59Z"/>
        <d v="2022-03-31T17:37:34Z"/>
        <d v="2022-03-31T17:37:26Z"/>
        <d v="2022-03-31T17:36:56Z"/>
        <d v="2022-03-31T17:36:26Z"/>
        <d v="2022-03-31T17:36:21Z"/>
        <d v="2022-03-31T17:35:54Z"/>
        <d v="2022-03-31T17:35:53Z"/>
        <d v="2022-03-31T17:35:43Z"/>
        <d v="2022-03-31T17:35:33Z"/>
        <d v="2022-03-31T17:35:27Z"/>
        <d v="2022-03-31T17:35:08Z"/>
        <d v="2022-03-31T17:34:32Z"/>
        <d v="2022-03-31T17:33:57Z"/>
        <d v="2022-03-31T17:33:15Z"/>
        <d v="2022-03-31T17:33:11Z"/>
        <d v="2022-03-31T17:32:55Z"/>
        <d v="2022-03-31T17:32:50Z"/>
        <d v="2022-03-31T17:32:36Z"/>
        <d v="2022-03-31T17:31:15Z"/>
        <d v="2022-03-31T17:30:15Z"/>
        <d v="2022-03-31T17:24:06Z"/>
        <d v="2022-03-31T17:20:39Z"/>
        <d v="2022-03-31T17:19:27Z"/>
        <d v="2022-03-31T17:18:53Z"/>
        <d v="2022-03-31T17:18:21Z"/>
        <d v="2022-03-31T17:17:48Z"/>
        <d v="2022-03-31T17:17:11Z"/>
        <d v="2022-03-31T17:16:22Z"/>
        <d v="2022-03-31T17:15:51Z"/>
        <d v="2022-03-31T17:15:18Z"/>
        <d v="2022-03-31T17:14:46Z"/>
        <d v="2022-03-31T17:14:05Z"/>
        <d v="2022-03-31T17:13:33Z"/>
        <d v="2022-03-31T17:13:01Z"/>
        <d v="2022-03-31T17:12:13Z"/>
        <d v="2022-03-31T17:11:41Z"/>
        <d v="2022-03-31T17:11:00Z"/>
        <d v="2022-03-31T17:10:27Z"/>
        <d v="2022-03-31T17:09:54Z"/>
        <d v="2022-03-31T17:09:21Z"/>
        <d v="2022-03-31T17:08:48Z"/>
        <d v="2022-03-31T15:53:09Z"/>
        <d v="2022-03-31T15:53:08Z"/>
        <d v="2022-03-31T15:52:39Z"/>
        <d v="2022-03-31T15:51:57Z"/>
        <d v="2022-03-31T15:51:24Z"/>
        <d v="2022-03-31T15:50:53Z"/>
        <d v="2022-03-31T15:50:18Z"/>
        <d v="2022-03-31T15:49:45Z"/>
        <d v="2022-03-31T15:49:05Z"/>
        <d v="2022-03-31T15:48:33Z"/>
        <d v="2022-03-31T15:47:33Z"/>
        <d v="2022-03-31T15:46:46Z"/>
        <d v="2022-03-31T15:46:35Z"/>
        <d v="2022-03-31T15:46:31Z"/>
        <d v="2022-03-31T15:16:01Z"/>
        <d v="2022-03-31T15:15:01Z"/>
        <d v="2022-03-31T15:14:04Z"/>
        <d v="2022-03-31T14:17:59Z"/>
        <d v="2022-03-31T14:14:44Z"/>
        <d v="2022-03-31T14:13:36Z"/>
        <d v="2022-03-31T14:12:58Z"/>
        <d v="2022-03-31T14:12:10Z"/>
        <d v="2022-03-31T14:11:08Z"/>
        <d v="2022-03-31T14:10:19Z"/>
        <d v="2022-03-31T14:09:42Z"/>
        <d v="2022-03-31T13:57:14Z"/>
        <d v="2022-03-31T13:43:39Z"/>
        <d v="2022-03-31T13:32:25Z"/>
        <d v="2022-03-31T13:31:55Z"/>
        <d v="2022-03-31T13:30:51Z"/>
        <d v="2022-03-31T13:30:05Z"/>
        <d v="2022-03-31T13:29:26Z"/>
        <d v="2022-03-31T13:28:44Z"/>
        <d v="2022-03-31T13:28:09Z"/>
        <d v="2022-03-31T13:23:11Z"/>
        <d v="2022-03-31T13:17:30Z"/>
        <d v="2022-03-31T13:16:57Z"/>
        <d v="2022-03-31T13:15:47Z"/>
        <d v="2022-03-31T13:15:22Z"/>
        <d v="2022-03-31T13:15:20Z"/>
        <d v="2022-03-31T13:15:14Z"/>
        <d v="2022-03-31T13:15:11Z"/>
        <d v="2022-03-31T13:12:39Z"/>
        <d v="2022-03-31T13:04:47Z"/>
        <d v="2022-03-31T13:03:26Z"/>
        <d v="2022-03-31T13:02:43Z"/>
        <d v="2022-03-31T13:02:08Z"/>
        <d v="2022-03-31T13:01:21Z"/>
        <d v="2022-03-31T13:00:49Z"/>
        <d v="2022-03-31T13:00:16Z"/>
        <d v="2022-03-31T12:59:43Z"/>
        <d v="2022-03-31T12:59:03Z"/>
        <d v="2022-03-31T12:58:31Z"/>
        <d v="2022-03-31T12:57:58Z"/>
        <d v="2022-03-31T12:56:44Z"/>
        <d v="2022-03-31T12:55:52Z"/>
        <d v="2022-03-31T12:43:11Z"/>
        <d v="2022-03-31T12:36:46Z"/>
        <d v="2022-03-31T12:17:03Z"/>
        <d v="2022-03-31T12:16:22Z"/>
        <d v="2022-03-31T12:15:16Z"/>
        <d v="2022-03-31T12:14:37Z"/>
        <d v="2022-03-31T12:13:35Z"/>
        <d v="2022-03-31T12:12:06Z"/>
        <d v="2022-03-31T12:11:21Z"/>
        <d v="2022-03-31T12:10:35Z"/>
        <d v="2022-03-31T12:10:02Z"/>
        <d v="2022-03-31T12:09:28Z"/>
        <d v="2022-03-31T12:08:55Z"/>
        <d v="2022-03-31T12:08:22Z"/>
        <d v="2022-03-31T12:07:43Z"/>
        <d v="2022-03-31T12:07:36Z"/>
        <d v="2022-03-31T12:07:10Z"/>
        <d v="2022-03-31T12:06:19Z"/>
        <d v="2022-03-31T12:05:45Z"/>
        <d v="2022-03-31T12:04:51Z"/>
        <d v="2022-03-31T12:04:04Z"/>
        <d v="2022-03-31T12:03:17Z"/>
        <d v="2022-03-31T12:02:44Z"/>
        <d v="2022-03-31T12:02:11Z"/>
        <d v="2022-03-31T12:01:34Z"/>
        <d v="2022-03-31T12:00:57Z"/>
        <d v="2022-03-31T12:00:54Z"/>
        <d v="2022-03-31T12:00:42Z"/>
        <d v="2022-03-31T12:00:01Z"/>
        <d v="2022-03-31T11:58:45Z"/>
        <d v="2022-03-31T11:58:36Z"/>
        <d v="2022-03-31T11:57:51Z"/>
        <d v="2022-03-31T11:57:19Z"/>
        <d v="2022-03-31T11:56:47Z"/>
        <d v="2022-03-31T11:56:14Z"/>
        <d v="2022-03-31T11:55:39Z"/>
        <d v="2022-03-31T11:55:06Z"/>
        <d v="2022-03-31T11:54:28Z"/>
        <d v="2022-03-31T11:53:55Z"/>
        <d v="2022-03-31T11:53:21Z"/>
        <d v="2022-03-31T11:52:41Z"/>
        <d v="2022-03-31T11:52:00Z"/>
        <d v="2022-03-31T11:51:18Z"/>
        <d v="2022-03-31T11:50:44Z"/>
        <d v="2022-03-31T11:50:11Z"/>
        <d v="2022-03-31T11:49:34Z"/>
        <d v="2022-03-31T11:49:00Z"/>
        <d v="2022-03-31T11:48:28Z"/>
        <d v="2022-03-31T11:47:54Z"/>
        <d v="2022-03-31T11:47:13Z"/>
        <d v="2022-03-31T11:46:38Z"/>
        <d v="2022-03-31T11:45:51Z"/>
        <d v="2022-03-31T11:45:17Z"/>
        <d v="2022-03-31T11:44:45Z"/>
        <d v="2022-03-31T11:44:05Z"/>
        <d v="2022-03-31T11:43:10Z"/>
        <d v="2022-03-31T11:42:23Z"/>
        <d v="2022-03-31T11:38:44Z"/>
        <d v="2022-03-31T11:38:07Z"/>
        <d v="2022-03-31T11:36:16Z"/>
        <d v="2022-03-31T11:33:57Z"/>
        <d v="2022-03-31T11:27:54Z"/>
        <d v="2022-03-31T11:26:52Z"/>
        <d v="2022-03-31T11:26:51Z"/>
        <d v="2022-03-31T11:18:11Z"/>
        <d v="2022-03-31T10:55:57Z"/>
        <d v="2022-03-31T10:51:37Z"/>
        <d v="2022-03-31T10:44:12Z"/>
        <d v="2022-03-31T10:44:11Z"/>
        <d v="2022-03-31T10:43:26Z"/>
        <d v="2022-03-31T10:43:25Z"/>
        <d v="2022-03-31T10:42:08Z"/>
        <d v="2022-03-31T10:41:41Z"/>
        <d v="2022-03-31T10:41:40Z"/>
        <d v="2022-03-31T10:39:08Z"/>
        <d v="2022-03-31T10:34:11Z"/>
        <d v="2022-03-31T10:18:40Z"/>
        <d v="2022-03-31T10:17:17Z"/>
        <d v="2022-03-31T10:17:15Z"/>
        <d v="2022-03-31T10:14:12Z"/>
        <d v="2022-03-31T10:13:36Z"/>
        <d v="2022-03-31T10:13:06Z"/>
        <d v="2022-03-31T10:12:58Z"/>
        <d v="2022-03-31T10:12:33Z"/>
        <d v="2022-03-31T10:12:03Z"/>
        <d v="2022-03-31T10:11:59Z"/>
        <d v="2022-03-31T10:11:31Z"/>
        <d v="2022-03-31T10:11:15Z"/>
        <d v="2022-03-31T10:10:58Z"/>
        <d v="2022-03-31T10:10:28Z"/>
        <d v="2022-03-31T10:09:56Z"/>
        <d v="2022-03-31T10:09:18Z"/>
        <d v="2022-03-31T10:08:59Z"/>
        <d v="2022-03-31T10:08:45Z"/>
        <d v="2022-03-31T10:08:15Z"/>
        <d v="2022-03-31T10:08:11Z"/>
        <d v="2022-03-31T10:07:44Z"/>
        <d v="2022-03-31T10:07:39Z"/>
        <d v="2022-03-31T10:07:11Z"/>
        <d v="2022-03-31T10:06:40Z"/>
        <d v="2022-03-31T10:06:07Z"/>
        <d v="2022-03-31T10:05:32Z"/>
        <d v="2022-03-31T10:04:59Z"/>
        <d v="2022-03-31T10:04:15Z"/>
        <d v="2022-03-31T10:04:10Z"/>
        <d v="2022-03-31T10:03:43Z"/>
        <d v="2022-03-31T10:03:19Z"/>
        <d v="2022-03-31T10:03:01Z"/>
        <d v="2022-03-31T10:02:29Z"/>
        <d v="2022-03-31T10:01:45Z"/>
        <d v="2022-03-31T10:01:03Z"/>
        <d v="2022-03-31T10:00:30Z"/>
        <d v="2022-03-31T09:59:53Z"/>
        <d v="2022-03-31T09:59:14Z"/>
        <d v="2022-03-31T09:58:44Z"/>
        <d v="2022-03-31T09:58:14Z"/>
        <d v="2022-03-31T09:57:44Z"/>
        <d v="2022-03-31T09:57:14Z"/>
        <d v="2022-03-31T09:56:44Z"/>
        <d v="2022-03-31T09:56:14Z"/>
        <d v="2022-03-31T09:55:44Z"/>
        <d v="2022-03-31T09:55:14Z"/>
        <d v="2022-03-31T09:54:44Z"/>
        <d v="2022-03-31T09:54:14Z"/>
        <d v="2022-03-31T09:53:43Z"/>
        <d v="2022-03-31T09:52:59Z"/>
        <d v="2022-03-31T09:52:28Z"/>
        <d v="2022-03-31T09:51:44Z"/>
        <d v="2022-03-31T09:51:02Z"/>
        <d v="2022-03-31T09:50:32Z"/>
        <d v="2022-03-31T09:49:59Z"/>
        <d v="2022-03-31T09:49:25Z"/>
        <d v="2022-03-31T09:48:53Z"/>
        <d v="2022-03-31T09:48:15Z"/>
        <d v="2022-03-31T09:47:43Z"/>
        <d v="2022-03-31T09:46:54Z"/>
        <d v="2022-03-31T09:46:51Z"/>
        <d v="2022-03-31T09:46:19Z"/>
        <d v="2022-03-31T09:45:49Z"/>
        <d v="2022-03-31T09:45:19Z"/>
        <d v="2022-03-31T09:44:49Z"/>
        <d v="2022-03-31T09:44:19Z"/>
        <d v="2022-03-31T09:43:49Z"/>
        <d v="2022-03-31T09:43:19Z"/>
        <d v="2022-03-31T09:42:49Z"/>
        <d v="2022-03-31T09:42:35Z"/>
        <d v="2022-03-31T09:42:17Z"/>
        <d v="2022-03-31T09:41:47Z"/>
        <d v="2022-03-31T09:41:34Z"/>
        <d v="2022-03-31T09:41:16Z"/>
        <d v="2022-03-31T09:40:58Z"/>
        <d v="2022-03-31T09:40:43Z"/>
        <d v="2022-03-31T09:40:19Z"/>
        <d v="2022-03-31T09:40:04Z"/>
        <d v="2022-03-31T09:39:34Z"/>
        <d v="2022-03-31T09:39:02Z"/>
        <d v="2022-03-31T09:38:50Z"/>
        <d v="2022-03-31T09:38:46Z"/>
        <d v="2022-03-31T09:38:40Z"/>
        <d v="2022-03-31T09:38:28Z"/>
        <d v="2022-03-31T09:37:40Z"/>
        <d v="2022-03-31T09:30:47Z"/>
        <d v="2022-03-31T09:28:31Z"/>
        <d v="2022-03-31T09:20:43Z"/>
        <d v="2022-03-31T09:20:42Z"/>
        <d v="2022-03-31T09:18:52Z"/>
        <d v="2022-03-31T09:18:09Z"/>
        <d v="2022-03-31T09:17:36Z"/>
        <d v="2022-03-31T09:10:52Z"/>
        <d v="2022-03-31T09:06:13Z"/>
        <d v="2022-03-31T08:38:12Z"/>
        <d v="2022-03-31T08:36:10Z"/>
        <d v="2022-03-31T08:31:37Z"/>
        <d v="2022-03-31T08:30:53Z"/>
        <d v="2022-03-31T08:30:19Z"/>
        <d v="2022-03-31T08:29:32Z"/>
        <d v="2022-03-31T08:29:14Z"/>
        <d v="2022-03-31T08:28:59Z"/>
        <d v="2022-03-31T08:28:29Z"/>
        <d v="2022-03-31T08:28:14Z"/>
        <d v="2022-03-31T08:27:55Z"/>
        <d v="2022-03-31T08:27:29Z"/>
        <d v="2022-03-31T08:27:09Z"/>
        <d v="2022-03-31T08:26:52Z"/>
        <d v="2022-03-31T08:26:35Z"/>
        <d v="2022-03-31T08:26:19Z"/>
        <d v="2022-03-31T08:25:49Z"/>
        <d v="2022-03-31T08:25:45Z"/>
        <d v="2022-03-31T08:24:59Z"/>
        <d v="2022-03-31T08:24:22Z"/>
        <d v="2022-03-31T08:24:12Z"/>
        <d v="2022-03-31T08:23:45Z"/>
        <d v="2022-03-31T08:23:39Z"/>
        <d v="2022-03-31T08:23:07Z"/>
        <d v="2022-03-31T08:22:29Z"/>
        <d v="2022-03-31T08:21:58Z"/>
        <d v="2022-03-31T08:17:19Z"/>
        <d v="2022-03-31T08:16:31Z"/>
        <d v="2022-03-31T08:15:31Z"/>
        <d v="2022-03-31T08:13:50Z"/>
        <d v="2022-03-31T08:12:42Z"/>
        <d v="2022-03-31T08:12:11Z"/>
        <d v="2022-03-31T08:11:33Z"/>
        <d v="2022-03-31T08:08:33Z"/>
        <d v="2022-03-31T08:07:55Z"/>
        <d v="2022-03-31T08:05:53Z"/>
        <d v="2022-03-31T08:04:33Z"/>
        <d v="2022-03-31T08:03:59Z"/>
        <d v="2022-03-31T08:03:10Z"/>
        <d v="2022-03-31T08:01:29Z"/>
        <d v="2022-03-31T07:59:58Z"/>
        <d v="2022-03-31T07:59:55Z"/>
        <d v="2022-03-31T07:59:01Z"/>
        <d v="2022-03-31T07:57:59Z"/>
        <d v="2022-03-31T07:57:25Z"/>
        <d v="2022-03-31T07:56:49Z"/>
        <d v="2022-03-31T07:56:48Z"/>
        <d v="2022-03-31T07:05:46Z"/>
        <d v="2022-03-31T06:15:26Z"/>
        <d v="2022-03-31T06:01:36Z"/>
        <d v="2022-03-31T05:14:59Z"/>
        <d v="2022-03-31T04:32:32Z"/>
        <d v="2022-03-31T00:52:20Z"/>
        <d v="2022-03-31T00:51:47Z"/>
        <d v="2022-03-31T00:51:00Z"/>
        <d v="2022-03-31T00:50:49Z"/>
        <d v="2022-03-31T00:09:01Z"/>
        <d v="2022-03-30T23:03:42Z"/>
        <d v="2022-03-30T22:19:58Z"/>
        <d v="2022-03-30T22:19:42Z"/>
        <d v="2022-03-30T22:17:23Z"/>
        <d v="2022-03-30T22:17:20Z"/>
        <d v="2022-03-30T22:17:19Z"/>
        <d v="2022-03-30T22:17:18Z"/>
        <d v="2022-03-30T22:17:17Z"/>
        <d v="2022-03-30T22:17:15Z"/>
        <d v="2022-03-30T22:17:10Z"/>
        <d v="2022-03-30T22:17:09Z"/>
        <d v="2022-03-30T22:17:08Z"/>
        <d v="2022-03-30T22:17:06Z"/>
        <d v="2022-03-30T22:17:00Z"/>
        <d v="2022-03-30T21:50:48Z"/>
        <d v="2022-03-30T21:36:53Z"/>
        <d v="2022-03-30T21:06:27Z"/>
        <d v="2022-03-30T20:52:58Z"/>
        <d v="2022-03-30T20:32:45Z"/>
        <d v="2022-03-30T20:04:53Z"/>
        <d v="2022-03-30T20:01:39Z"/>
        <d v="2022-03-30T20:00:56Z"/>
        <d v="2022-03-30T19:50:53Z"/>
        <d v="2022-03-30T16:14:21Z"/>
        <d v="2022-03-30T15:51:19Z"/>
        <d v="2022-03-30T15:49:30Z"/>
        <d v="2022-03-30T12:52:08Z"/>
        <d v="2022-03-30T12:50:22Z"/>
        <d v="2022-03-30T09:24:28Z"/>
        <d v="2022-03-30T09:20:02Z"/>
        <d v="2022-03-30T08:47:28Z"/>
        <d v="2022-03-30T06:59:41Z"/>
        <d v="2022-03-29T23:43:45Z"/>
        <d v="2022-03-29T22:26:56Z"/>
        <d v="2022-03-29T22:03:50Z"/>
        <d v="2022-03-29T22:03:27Z"/>
        <d v="2022-03-29T22:00:49Z"/>
        <d v="2022-03-29T21:58:39Z"/>
        <d v="2022-03-29T21:54:31Z"/>
        <d v="2022-03-29T17:30:36Z"/>
        <d v="2022-03-29T17:22:28Z"/>
        <d v="2022-03-29T13:15:40Z"/>
        <d v="2022-03-29T10:28:26Z"/>
        <d v="2022-03-29T10:05:29Z"/>
        <d v="2022-03-29T09:16:49Z"/>
        <d v="2022-03-29T06:27:29Z"/>
        <d v="2022-03-28T19:10:05Z"/>
        <d v="2022-03-28T18:17:44Z"/>
        <d v="2022-03-28T17:50:15Z"/>
        <d v="2022-03-28T15:18:46Z"/>
        <d v="2022-03-28T15:14:46Z"/>
        <d v="2022-03-28T14:11:43Z"/>
        <d v="2022-03-28T13:43:22Z"/>
        <d v="2022-03-28T13:29:15Z"/>
        <d v="2022-03-28T13:26:26Z"/>
        <d v="2022-03-28T12:55:46Z"/>
        <d v="2022-03-28T12:52:18Z"/>
        <d v="2022-03-28T12:48:24Z"/>
        <d v="2022-03-28T11:35:57Z"/>
        <d v="2022-03-28T11:30:31Z"/>
        <d v="2022-03-28T11:30:21Z"/>
        <d v="2022-03-28T09:39:30Z"/>
        <d v="2022-03-28T09:39:29Z"/>
        <d v="2022-03-28T09:34:09Z"/>
        <d v="2022-03-28T07:44:20Z"/>
        <d v="2022-03-28T02:02:04Z"/>
        <d v="2022-03-28T02:01:20Z"/>
        <d v="2022-03-27T22:54:57Z"/>
        <d v="2022-03-27T22:37:25Z"/>
        <d v="2022-03-27T21:35:23Z"/>
        <d v="2022-03-27T20:59:48Z"/>
        <d v="2022-03-27T18:25:10Z"/>
        <d v="2022-03-27T17:49:58Z"/>
        <d v="2022-03-27T17:49:19Z"/>
        <d v="2022-03-27T17:48:14Z"/>
        <d v="2022-03-27T14:18:48Z"/>
        <d v="2022-03-27T14:14:31Z"/>
        <d v="2022-03-27T12:40:35Z"/>
        <d v="2022-03-27T11:48:43Z"/>
        <d v="2022-03-27T11:20:52Z"/>
        <d v="2022-03-27T11:14:06Z"/>
        <d v="2022-03-27T11:02:38Z"/>
        <d v="2022-03-27T10:59:18Z"/>
        <d v="2022-03-27T09:59:30Z"/>
        <d v="2022-03-27T09:53:09Z"/>
        <d v="2022-03-27T09:25:00Z"/>
        <d v="2022-03-27T09:00:45Z"/>
        <d v="2022-03-27T08:11:03Z"/>
        <d v="2022-03-27T08:02:54Z"/>
        <d v="2022-03-27T07:44:52Z"/>
        <d v="2022-03-27T02:50:43Z"/>
        <d v="2022-03-26T17:36:38Z"/>
        <d v="2022-03-26T17:34:36Z"/>
        <d v="2022-03-26T17:22:46Z"/>
        <d v="2022-03-26T17:08:05Z"/>
        <d v="2022-03-26T17:06:26Z"/>
        <d v="2022-03-26T15:59:51Z"/>
        <d v="2022-03-26T14:37:11Z"/>
        <d v="2022-03-26T14:14:58Z"/>
        <d v="2022-03-26T13:13:59Z"/>
        <d v="2022-03-26T13:11:40Z"/>
        <d v="2022-03-26T13:08:49Z"/>
        <d v="2022-03-26T12:09:08Z"/>
        <d v="2022-03-26T11:14:30Z"/>
        <d v="2022-03-26T11:04:33Z"/>
        <d v="2022-03-26T10:30:54Z"/>
        <d v="2022-03-26T10:25:49Z"/>
        <d v="2022-03-26T10:09:22Z"/>
        <d v="2022-03-26T09:57:35Z"/>
        <d v="2022-03-26T09:12:22Z"/>
        <d v="2022-03-26T09:12:20Z"/>
        <d v="2022-03-26T09:12:18Z"/>
        <d v="2022-03-26T08:58:21Z"/>
        <d v="2022-03-26T08:56:18Z"/>
        <d v="2022-03-26T07:28:20Z"/>
        <d v="2022-03-26T07:27:36Z"/>
        <d v="2022-03-26T07:04:36Z"/>
        <d v="2022-03-26T06:45:59Z"/>
        <d v="2022-03-26T05:54:50Z"/>
        <d v="2022-03-26T03:54:28Z"/>
        <d v="2022-03-26T01:47:37Z"/>
        <d v="2022-03-26T00:45:24Z"/>
        <d v="2022-03-26T00:44:56Z"/>
        <d v="2022-03-26T00:42:11Z"/>
        <d v="2022-03-26T00:29:51Z"/>
        <d v="2022-03-26T00:04:22Z"/>
        <d v="2022-03-26T00:01:48Z"/>
        <d v="2022-03-25T23:22:48Z"/>
        <d v="2022-03-25T22:50:23Z"/>
        <d v="2022-03-25T22:47:36Z"/>
        <d v="2022-03-25T21:39:48Z"/>
        <d v="2022-03-25T20:32:49Z"/>
        <d v="2022-03-25T20:25:30Z"/>
        <d v="2022-03-25T20:17:34Z"/>
        <d v="2022-03-25T20:12:08Z"/>
        <d v="2022-03-25T20:04:29Z"/>
        <d v="2022-03-25T19:58:58Z"/>
        <d v="2022-03-25T19:58:56Z"/>
        <d v="2022-03-25T19:57:06Z"/>
        <d v="2022-03-25T19:51:01Z"/>
        <d v="2022-03-25T19:10:56Z"/>
        <d v="2022-03-25T18:51:24Z"/>
        <d v="2022-03-25T18:39:41Z"/>
        <d v="2022-03-25T18:25:10Z"/>
        <d v="2022-03-25T18:17:54Z"/>
        <d v="2022-03-25T18:15:31Z"/>
        <d v="2022-03-25T18:09:39Z"/>
        <d v="2022-03-25T18:09:00Z"/>
        <d v="2022-03-25T17:22:46Z"/>
        <d v="2022-03-25T17:15:16Z"/>
        <d v="2022-03-25T17:09:35Z"/>
        <d v="2022-03-25T17:08:05Z"/>
        <d v="2022-03-25T16:55:51Z"/>
        <d v="2022-03-25T16:40:10Z"/>
        <d v="2022-03-25T16:26:28Z"/>
        <d v="2022-03-25T16:21:48Z"/>
        <d v="2022-03-25T16:20:42Z"/>
        <d v="2022-03-25T16:19:33Z"/>
        <d v="2022-03-25T16:18:07Z"/>
        <d v="2022-03-25T15:34:02Z"/>
        <d v="2022-03-25T15:24:48Z"/>
        <d v="2022-03-25T14:59:27Z"/>
        <d v="2022-03-25T14:48:57Z"/>
        <d v="2022-03-25T14:35:42Z"/>
        <d v="2022-03-25T14:27:41Z"/>
        <d v="2022-03-25T14:06:52Z"/>
        <d v="2022-03-25T14:05:19Z"/>
        <d v="2022-03-25T14:04:37Z"/>
        <d v="2022-03-25T13:56:37Z"/>
        <d v="2022-03-25T13:52:03Z"/>
        <d v="2022-03-25T13:35:21Z"/>
        <d v="2022-03-25T13:34:57Z"/>
        <d v="2022-03-25T13:34:49Z"/>
        <d v="2022-03-25T13:33:57Z"/>
        <d v="2022-03-25T13:33:49Z"/>
        <d v="2022-03-25T13:33:38Z"/>
        <d v="2022-03-25T13:33:19Z"/>
        <d v="2022-03-25T12:40:32Z"/>
        <d v="2022-03-25T12:40:13Z"/>
        <d v="2022-03-25T12:31:34Z"/>
        <d v="2022-03-25T12:15:05Z"/>
        <d v="2022-03-25T12:08:39Z"/>
        <d v="2022-03-25T12:06:45Z"/>
        <d v="2022-03-25T12:00:18Z"/>
        <d v="2022-03-25T11:49:07Z"/>
        <d v="2022-03-25T11:42:08Z"/>
        <d v="2022-03-25T11:40:09Z"/>
        <d v="2022-03-25T11:35:11Z"/>
        <d v="2022-03-25T11:25:08Z"/>
        <d v="2022-03-25T11:15:02Z"/>
        <d v="2022-03-25T11:11:22Z"/>
        <d v="2022-03-25T10:52:05Z"/>
        <d v="2022-03-25T10:39:13Z"/>
        <d v="2022-03-25T10:33:10Z"/>
        <d v="2022-03-25T10:07:55Z"/>
        <d v="2022-03-25T10:07:05Z"/>
        <d v="2022-03-25T09:59:24Z"/>
        <d v="2022-03-25T09:56:31Z"/>
        <d v="2022-03-25T09:50:18Z"/>
        <d v="2022-03-25T09:41:20Z"/>
        <d v="2022-03-25T09:26:52Z"/>
        <d v="2022-03-25T09:08:14Z"/>
        <d v="2022-03-25T08:33:56Z"/>
        <d v="2022-03-25T08:21:15Z"/>
        <d v="2022-03-25T08:20:35Z"/>
        <d v="2022-03-25T08:01:15Z"/>
        <d v="2022-03-25T07:59:31Z"/>
        <d v="2022-03-25T07:47:25Z"/>
        <d v="2022-03-25T06:57:14Z"/>
        <d v="2022-03-25T04:14:19Z"/>
        <d v="2022-03-25T04:13:54Z"/>
        <d v="2022-03-25T03:07:28Z"/>
        <d v="2022-03-25T03:03:57Z"/>
        <d v="2022-03-25T01:58:47Z"/>
        <d v="2022-03-25T00:53:21Z"/>
        <d v="2022-03-25T00:43:21Z"/>
        <d v="2022-03-25T00:37:47Z"/>
        <d v="2022-03-25T00:21:21Z"/>
        <d v="2022-03-25T00:11:34Z"/>
        <d v="2022-03-24T23:24:14Z"/>
        <d v="2022-03-24T23:11:09Z"/>
        <d v="2022-03-24T23:00:33Z"/>
        <d v="2022-03-24T22:49:15Z"/>
        <d v="2022-03-24T22:48:48Z"/>
        <d v="2022-03-24T22:48:47Z"/>
        <d v="2022-03-24T22:28:40Z"/>
        <d v="2022-03-24T22:24:43Z"/>
        <d v="2022-03-24T22:23:35Z"/>
        <d v="2022-03-24T22:09:57Z"/>
        <d v="2022-03-24T21:56:16Z"/>
        <d v="2022-03-24T21:53:46Z"/>
        <d v="2022-03-24T21:47:30Z"/>
        <d v="2022-03-24T21:44:46Z"/>
        <d v="2022-03-24T21:42:40Z"/>
        <d v="2022-03-24T21:34:19Z"/>
        <d v="2022-03-24T21:31:23Z"/>
        <d v="2022-03-24T21:30:55Z"/>
        <d v="2022-03-24T21:01:27Z"/>
        <d v="2022-03-24T21:01:19Z"/>
        <d v="2022-03-24T20:43:54Z"/>
        <d v="2022-03-24T20:09:01Z"/>
        <d v="2022-03-24T20:08:48Z"/>
        <d v="2022-03-24T19:58:20Z"/>
        <d v="2022-03-24T19:57:58Z"/>
        <d v="2022-03-24T19:57:22Z"/>
        <d v="2022-03-24T19:53:52Z"/>
        <d v="2022-03-24T19:50:26Z"/>
        <d v="2022-03-24T19:33:29Z"/>
        <d v="2022-03-24T19:32:08Z"/>
        <d v="2022-03-24T19:27:35Z"/>
        <d v="2022-03-24T19:25:23Z"/>
        <d v="2022-03-24T19:17:39Z"/>
        <d v="2022-03-24T19:16:49Z"/>
        <d v="2022-03-24T18:17:26Z"/>
        <d v="2022-03-24T18:01:11Z"/>
        <d v="2022-03-24T17:46:41Z"/>
        <d v="2022-03-24T17:40:26Z"/>
        <d v="2022-03-24T17:27:58Z"/>
        <d v="2022-03-24T17:19:23Z"/>
        <d v="2022-03-24T17:11:21Z"/>
        <d v="2022-03-24T17:09:52Z"/>
        <d v="2022-03-24T17:04:57Z"/>
        <d v="2022-03-24T16:54:32Z"/>
        <d v="2022-03-24T16:52:16Z"/>
        <d v="2022-03-24T16:51:24Z"/>
        <d v="2022-03-24T16:48:30Z"/>
        <d v="2022-03-24T16:41:12Z"/>
        <d v="2022-03-24T16:30:47Z"/>
        <d v="2022-03-24T16:24:59Z"/>
        <d v="2022-03-24T16:16:42Z"/>
        <d v="2022-03-24T16:01:12Z"/>
        <d v="2022-03-24T16:00:09Z"/>
        <d v="2022-03-24T15:57:25Z"/>
        <d v="2022-03-24T15:55:04Z"/>
        <d v="2022-03-24T15:51:10Z"/>
        <d v="2022-03-24T15:47:41Z"/>
        <d v="2022-03-24T15:46:58Z"/>
        <d v="2022-03-24T15:45:42Z"/>
        <d v="2022-03-24T15:43:44Z"/>
        <d v="2022-03-24T15:31:49Z"/>
        <d v="2022-03-24T15:22:46Z"/>
        <d v="2022-03-24T15:22:17Z"/>
        <d v="2022-03-24T14:38:33Z"/>
        <d v="2022-03-24T13:58:12Z"/>
        <d v="2022-03-24T13:55:27Z"/>
        <d v="2022-03-24T13:50:17Z"/>
        <d v="2022-03-24T13:46:50Z"/>
        <d v="2022-03-24T13:46:25Z"/>
        <d v="2022-03-24T13:41:53Z"/>
        <d v="2022-03-24T13:37:48Z"/>
        <d v="2022-03-24T12:47:26Z"/>
        <d v="2022-03-24T12:05:49Z"/>
        <d v="2022-03-24T11:42:02Z"/>
        <d v="2022-03-24T11:37:17Z"/>
        <d v="2022-03-24T11:35:55Z"/>
        <d v="2022-03-24T11:35:17Z"/>
        <d v="2022-03-24T11:16:25Z"/>
        <d v="2022-03-24T11:05:48Z"/>
        <d v="2022-03-24T10:56:49Z"/>
        <d v="2022-03-24T10:22:22Z"/>
        <d v="2022-03-24T10:19:01Z"/>
        <d v="2022-03-24T10:12:15Z"/>
        <d v="2022-03-24T10:10:07Z"/>
        <d v="2022-03-24T09:59:48Z"/>
        <d v="2022-03-24T08:35:10Z"/>
        <d v="2022-03-24T08:26:35Z"/>
        <d v="2022-03-24T08:24:35Z"/>
        <d v="2022-03-24T08:20:14Z"/>
        <d v="2022-03-24T08:20:01Z"/>
        <d v="2022-03-24T06:48:35Z"/>
        <d v="2022-03-24T05:56:18Z"/>
        <d v="2022-03-24T04:36:02Z"/>
        <d v="2022-03-24T04:05:44Z"/>
        <d v="2022-03-24T03:35:37Z"/>
        <d v="2022-03-24T00:45:12Z"/>
        <d v="2022-03-24T00:44:46Z"/>
        <d v="2022-03-24T00:42:29Z"/>
        <d v="2022-03-24T00:39:35Z"/>
        <d v="2022-03-24T00:39:30Z"/>
        <d v="2022-03-24T00:33:32Z"/>
        <d v="2022-03-24T00:04:03Z"/>
        <d v="2022-03-23T22:44:46Z"/>
        <d v="2022-03-23T22:42:32Z"/>
        <d v="2022-03-23T21:53:37Z"/>
        <d v="2022-03-23T20:49:42Z"/>
        <d v="2022-03-23T20:29:31Z"/>
        <d v="2022-03-23T20:26:33Z"/>
        <d v="2022-03-23T20:19:54Z"/>
        <d v="2022-03-23T19:38:51Z"/>
        <d v="2022-03-23T19:37:23Z"/>
        <d v="2022-03-23T19:27:07Z"/>
        <d v="2022-03-23T19:21:03Z"/>
        <d v="2022-03-23T19:20:25Z"/>
        <d v="2022-03-23T18:51:54Z"/>
        <d v="2022-03-23T18:51:11Z"/>
        <d v="2022-03-23T18:41:38Z"/>
        <d v="2022-03-23T18:26:53Z"/>
        <d v="2022-03-23T18:16:28Z"/>
        <d v="2022-03-23T18:10:21Z"/>
        <d v="2022-03-23T17:51:44Z"/>
        <d v="2022-03-23T17:40:35Z"/>
        <d v="2022-03-23T17:25:24Z"/>
        <d v="2022-03-23T17:01:06Z"/>
        <d v="2022-03-23T17:00:29Z"/>
        <d v="2022-03-23T16:31:17Z"/>
        <d v="2022-03-23T16:22:38Z"/>
        <d v="2022-03-23T16:16:25Z"/>
        <d v="2022-03-23T16:12:34Z"/>
        <d v="2022-03-23T15:35:41Z"/>
        <d v="2022-03-23T15:28:26Z"/>
        <d v="2022-03-23T15:02:15Z"/>
        <d v="2022-03-23T14:57:28Z"/>
        <d v="2022-03-23T14:20:43Z"/>
        <d v="2022-03-23T14:17:29Z"/>
        <d v="2022-03-23T14:15:25Z"/>
        <d v="2022-03-23T14:10:37Z"/>
        <d v="2022-03-23T14:08:11Z"/>
        <d v="2022-03-23T14:06:31Z"/>
        <d v="2022-03-23T14:05:03Z"/>
        <d v="2022-03-23T13:30:48Z"/>
        <d v="2022-03-23T13:20:08Z"/>
        <d v="2022-03-23T13:17:42Z"/>
        <d v="2022-03-23T13:13:32Z"/>
        <d v="2022-03-23T12:55:54Z"/>
        <d v="2022-03-23T12:39:53Z"/>
        <d v="2022-03-23T12:32:55Z"/>
        <d v="2022-03-23T12:30:50Z"/>
        <d v="2022-03-23T12:29:47Z"/>
        <d v="2022-03-23T12:18:35Z"/>
        <d v="2022-03-23T12:12:21Z"/>
        <d v="2022-03-23T12:06:47Z"/>
        <d v="2022-03-23T11:38:47Z"/>
        <d v="2022-03-23T11:36:14Z"/>
        <d v="2022-03-23T11:13:39Z"/>
        <d v="2022-03-23T10:23:44Z"/>
        <d v="2022-03-23T10:23:37Z"/>
        <d v="2022-03-23T10:23:35Z"/>
        <d v="2022-03-23T10:23:34Z"/>
        <d v="2022-03-23T10:18:00Z"/>
        <d v="2022-03-23T09:45:19Z"/>
        <d v="2022-03-23T09:42:11Z"/>
        <d v="2022-03-23T09:04:35Z"/>
        <d v="2022-03-23T08:52:23Z"/>
        <d v="2022-03-23T08:50:05Z"/>
        <d v="2022-03-23T08:44:11Z"/>
        <d v="2022-03-23T08:25:39Z"/>
        <d v="2022-03-23T08:11:17Z"/>
        <d v="2022-03-23T08:03:28Z"/>
        <d v="2022-03-23T07:38:02Z"/>
        <d v="2022-03-23T05:52:51Z"/>
        <d v="2022-03-23T05:51:07Z"/>
        <d v="2022-03-23T05:19:57Z"/>
        <d v="2022-03-23T02:37:10Z"/>
        <d v="2022-03-23T02:16:35Z"/>
        <d v="2022-03-23T02:11:17Z"/>
        <d v="2022-03-23T02:09:21Z"/>
        <d v="2022-03-23T02:09:11Z"/>
        <d v="2022-03-23T00:41:21Z"/>
        <d v="2022-03-23T00:23:46Z"/>
        <d v="2022-03-23T00:23:18Z"/>
        <d v="2022-03-23T00:16:56Z"/>
        <d v="2022-03-23T00:07:31Z"/>
        <d v="2022-03-22T23:38:27Z"/>
        <d v="2022-03-22T23:38:26Z"/>
        <d v="2022-03-22T23:33:51Z"/>
        <d v="2022-03-22T23:17:12Z"/>
        <d v="2022-03-22T23:02:24Z"/>
        <d v="2022-03-22T22:56:14Z"/>
        <d v="2022-03-22T22:49:53Z"/>
        <d v="2022-03-22T22:35:51Z"/>
        <d v="2022-03-22T22:18:41Z"/>
        <d v="2022-03-22T21:50:38Z"/>
        <d v="2022-03-22T21:41:54Z"/>
        <d v="2022-03-22T21:29:51Z"/>
        <d v="2022-03-22T21:23:16Z"/>
        <d v="2022-03-22T21:12:22Z"/>
        <d v="2022-03-22T21:09:39Z"/>
        <d v="2022-03-22T20:06:26Z"/>
        <d v="2022-03-22T20:05:17Z"/>
        <d v="2022-03-22T19:12:37Z"/>
        <d v="2022-03-22T19:10:33Z"/>
        <d v="2022-03-22T19:01:58Z"/>
        <d v="2022-03-22T18:16:49Z"/>
        <d v="2022-03-22T17:39:16Z"/>
        <d v="2022-03-22T17:35:11Z"/>
        <d v="2022-03-22T17:22:26Z"/>
        <d v="2022-03-22T16:31:28Z"/>
        <d v="2022-03-22T16:04:32Z"/>
        <d v="2022-03-22T15:51:17Z"/>
        <d v="2022-03-22T15:46:33Z"/>
        <d v="2022-03-22T15:15:31Z"/>
        <d v="2022-03-22T15:15:18Z"/>
        <d v="2022-03-22T15:12:45Z"/>
        <d v="2022-03-22T14:46:53Z"/>
        <d v="2022-03-22T14:41:41Z"/>
        <d v="2022-03-22T13:53:04Z"/>
        <d v="2022-03-22T13:51:59Z"/>
        <d v="2022-03-22T13:30:17Z"/>
        <d v="2022-03-22T13:24:51Z"/>
        <d v="2022-03-22T13:21:22Z"/>
        <d v="2022-03-22T12:35:24Z"/>
        <d v="2022-03-22T12:19:27Z"/>
        <d v="2022-03-22T11:41:18Z"/>
        <d v="2022-03-22T11:34:43Z"/>
        <d v="2022-03-22T11:33:57Z"/>
        <d v="2022-03-22T11:07:00Z"/>
        <d v="2022-03-22T10:48:03Z"/>
        <d v="2022-03-22T10:33:48Z"/>
        <d v="2022-03-22T09:54:08Z"/>
        <d v="2022-03-22T09:16:57Z"/>
        <d v="2022-03-22T09:06:38Z"/>
        <d v="2022-03-22T08:57:31Z"/>
        <d v="2022-03-22T08:37:03Z"/>
        <d v="2022-03-22T08:16:46Z"/>
        <d v="2022-03-22T08:13:02Z"/>
        <d v="2022-03-22T08:06:30Z"/>
        <d v="2022-03-22T07:54:34Z"/>
        <d v="2022-03-22T06:52:38Z"/>
        <d v="2022-03-22T06:19:00Z"/>
        <d v="2022-03-22T04:38:38Z"/>
        <d v="2022-03-22T04:36:09Z"/>
        <d v="2022-03-22T02:54:28Z"/>
        <d v="2022-03-22T02:32:05Z"/>
        <d v="2022-03-22T02:23:46Z"/>
        <d v="2022-03-22T02:20:41Z"/>
        <d v="2022-03-22T02:06:23Z"/>
        <d v="2022-03-22T01:17:51Z"/>
        <d v="2022-03-22T01:10:09Z"/>
        <d v="2022-03-22T01:05:20Z"/>
        <d v="2022-03-22T01:04:23Z"/>
        <d v="2022-03-22T00:48:37Z"/>
        <d v="2022-03-22T00:48:25Z"/>
        <d v="2022-03-21T23:52:53Z"/>
        <d v="2022-03-21T23:38:23Z"/>
        <d v="2022-03-21T23:20:13Z"/>
        <d v="2022-03-21T23:14:57Z"/>
        <d v="2022-03-21T23:14:33Z"/>
        <d v="2022-03-21T23:13:50Z"/>
        <d v="2022-03-21T21:54:25Z"/>
        <d v="2022-03-21T21:50:41Z"/>
        <d v="2022-03-21T21:50:34Z"/>
        <d v="2022-03-21T21:49:45Z"/>
        <d v="2022-03-21T21:49:11Z"/>
        <d v="2022-03-21T21:46:46Z"/>
        <d v="2022-03-21T21:45:38Z"/>
        <d v="2022-03-21T21:40:07Z"/>
        <d v="2022-03-21T21:37:38Z"/>
        <d v="2022-03-21T21:37:14Z"/>
        <d v="2022-03-21T21:37:01Z"/>
        <d v="2022-03-21T21:26:39Z"/>
        <d v="2022-03-21T21:24:46Z"/>
        <d v="2022-03-21T21:20:54Z"/>
        <d v="2022-03-21T21:14:52Z"/>
        <d v="2022-03-21T21:05:13Z"/>
        <d v="2022-03-21T21:05:08Z"/>
        <d v="2022-03-21T21:00:59Z"/>
        <d v="2022-03-21T20:59:18Z"/>
        <d v="2022-03-21T20:54:49Z"/>
        <d v="2022-03-21T20:41:46Z"/>
        <d v="2022-03-21T20:10:28Z"/>
        <d v="2022-03-21T19:53:41Z"/>
        <d v="2022-03-21T19:43:09Z"/>
        <d v="2022-03-21T19:42:10Z"/>
        <d v="2022-03-21T19:34:57Z"/>
        <d v="2022-03-21T19:32:39Z"/>
        <d v="2022-03-21T19:31:58Z"/>
        <d v="2022-03-21T19:26:59Z"/>
        <d v="2022-03-21T19:21:34Z"/>
        <d v="2022-03-21T19:21:16Z"/>
        <d v="2022-03-21T18:52:02Z"/>
        <d v="2022-03-21T18:05:54Z"/>
        <d v="2022-03-21T18:04:03Z"/>
        <d v="2022-03-21T18:02:15Z"/>
        <d v="2022-03-21T17:41:51Z"/>
        <d v="2022-03-21T17:41:06Z"/>
        <d v="2022-03-21T17:40:37Z"/>
        <d v="2022-03-21T17:40:14Z"/>
        <d v="2022-03-21T17:34:38Z"/>
        <d v="2022-03-21T17:27:02Z"/>
        <d v="2022-03-21T14:50:48Z"/>
        <d v="2022-03-21T13:35:16Z"/>
        <d v="2022-03-21T13:29:31Z"/>
        <d v="2022-03-21T12:46:30Z"/>
        <d v="2022-03-21T12:46:14Z"/>
        <d v="2022-03-21T12:28:41Z"/>
        <d v="2022-03-21T12:10:13Z"/>
        <d v="2022-03-21T12:09:41Z"/>
        <d v="2022-03-21T11:52:50Z"/>
        <d v="2022-03-21T11:52:36Z"/>
        <d v="2022-03-21T11:39:52Z"/>
        <d v="2022-03-21T11:38:44Z"/>
        <d v="2022-03-21T11:31:33Z"/>
        <d v="2022-03-21T11:28:32Z"/>
        <d v="2022-03-21T10:59:44Z"/>
        <d v="2022-03-21T10:56:55Z"/>
        <d v="2022-03-21T10:23:17Z"/>
        <d v="2022-03-21T10:18:53Z"/>
        <d v="2022-03-21T10:16:45Z"/>
        <d v="2022-03-21T09:52:14Z"/>
        <d v="2022-03-21T09:41:56Z"/>
        <d v="2022-03-21T08:50:35Z"/>
        <d v="2022-03-21T08:50:00Z"/>
        <d v="2022-03-21T08:07:12Z"/>
        <d v="2022-03-21T07:52:34Z"/>
        <d v="2022-03-21T07:50:39Z"/>
        <d v="2022-03-21T07:45:20Z"/>
        <d v="2022-03-21T07:16:02Z"/>
        <d v="2022-03-21T07:14:34Z"/>
        <d v="2022-03-21T07:07:23Z"/>
        <d v="2022-03-21T07:06:29Z"/>
        <d v="2022-03-21T07:02:50Z"/>
        <d v="2022-03-21T07:00:09Z"/>
        <d v="2022-03-21T06:58:40Z"/>
        <d v="2022-03-21T06:24:22Z"/>
        <d v="2022-03-21T06:15:29Z"/>
        <d v="2022-03-21T03:22:44Z"/>
        <d v="2022-03-21T03:21:42Z"/>
        <d v="2022-03-21T03:10:49Z"/>
        <d v="2022-03-21T02:55:19Z"/>
        <d v="2022-03-21T02:38:20Z"/>
        <d v="2022-03-21T02:09:45Z"/>
        <d v="2022-03-21T01:06:57Z"/>
        <d v="2022-03-21T00:44:44Z"/>
        <d v="2022-03-21T00:34:51Z"/>
        <d v="2022-03-21T00:32:15Z"/>
        <d v="2022-03-21T00:28:16Z"/>
        <d v="2022-03-20T23:33:47Z"/>
        <d v="2022-03-20T23:33:37Z"/>
        <d v="2022-03-20T23:12:09Z"/>
        <d v="2022-03-20T22:37:57Z"/>
        <d v="2022-03-20T22:37:16Z"/>
        <d v="2022-03-20T22:25:16Z"/>
        <d v="2022-03-20T21:44:35Z"/>
        <d v="2022-03-20T21:34:40Z"/>
        <d v="2022-03-20T21:21:58Z"/>
        <d v="2022-03-20T21:17:44Z"/>
        <d v="2022-03-20T21:07:58Z"/>
        <d v="2022-03-20T21:01:35Z"/>
        <d v="2022-03-20T20:55:08Z"/>
        <d v="2022-03-20T20:54:30Z"/>
        <d v="2022-03-20T20:48:56Z"/>
        <d v="2022-03-20T20:48:18Z"/>
        <d v="2022-03-20T20:46:03Z"/>
        <d v="2022-03-20T20:41:47Z"/>
        <d v="2022-03-20T20:33:45Z"/>
        <d v="2022-03-20T20:31:56Z"/>
        <d v="2022-03-20T20:27:27Z"/>
        <d v="2022-03-20T20:23:11Z"/>
        <d v="2022-03-20T20:18:31Z"/>
        <d v="2022-03-20T20:17:02Z"/>
        <d v="2022-03-20T20:12:58Z"/>
        <d v="2022-03-20T20:12:23Z"/>
        <d v="2022-03-20T20:04:21Z"/>
        <d v="2022-03-20T20:03:39Z"/>
        <d v="2022-03-20T20:03:31Z"/>
        <d v="2022-03-20T19:36:46Z"/>
        <d v="2022-03-20T19:14:14Z"/>
        <d v="2022-03-20T19:12:54Z"/>
        <d v="2022-03-20T18:07:30Z"/>
        <d v="2022-03-20T17:20:16Z"/>
        <d v="2022-03-20T17:03:47Z"/>
        <d v="2022-03-20T17:00:28Z"/>
        <d v="2022-03-20T15:53:10Z"/>
        <d v="2022-03-20T15:51:42Z"/>
        <d v="2022-03-20T15:20:35Z"/>
        <d v="2022-03-20T15:15:53Z"/>
        <d v="2022-03-20T15:09:42Z"/>
        <d v="2022-03-20T15:04:09Z"/>
        <d v="2022-03-20T15:03:14Z"/>
        <d v="2022-03-20T14:36:13Z"/>
        <d v="2022-03-20T14:35:57Z"/>
        <d v="2022-03-20T14:08:12Z"/>
        <d v="2022-03-20T13:44:22Z"/>
        <d v="2022-03-20T13:22:41Z"/>
        <d v="2022-03-20T12:33:42Z"/>
        <d v="2022-03-20T12:22:16Z"/>
        <d v="2022-03-20T12:10:22Z"/>
        <d v="2022-03-20T11:39:38Z"/>
        <d v="2022-03-20T10:35:28Z"/>
        <d v="2022-03-20T10:21:11Z"/>
        <d v="2022-03-20T10:02:31Z"/>
        <d v="2022-03-20T09:42:33Z"/>
        <d v="2022-03-20T09:21:39Z"/>
        <d v="2022-03-20T09:06:18Z"/>
        <d v="2022-03-20T09:00:15Z"/>
        <d v="2022-03-20T09:00:00Z"/>
        <d v="2022-03-20T08:46:08Z"/>
        <d v="2022-03-20T08:41:40Z"/>
        <d v="2022-03-20T08:21:10Z"/>
        <d v="2022-03-20T08:02:19Z"/>
        <d v="2022-03-20T07:58:52Z"/>
        <d v="2022-03-20T07:49:02Z"/>
        <d v="2022-03-20T07:47:50Z"/>
        <d v="2022-03-20T07:47:23Z"/>
        <d v="2022-03-20T06:43:28Z"/>
        <d v="2022-03-20T06:40:33Z"/>
        <d v="2022-03-20T05:34:07Z"/>
        <d v="2022-03-20T03:55:46Z"/>
        <d v="2022-03-20T03:50:29Z"/>
        <d v="2022-03-20T03:28:19Z"/>
        <d v="2022-03-20T03:22:54Z"/>
        <d v="2022-03-20T03:22:32Z"/>
        <d v="2022-03-20T03:19:23Z"/>
        <d v="2022-03-20T03:10:52Z"/>
        <d v="2022-03-20T03:00:46Z"/>
        <d v="2022-03-20T02:54:18Z"/>
        <d v="2022-03-20T02:39:34Z"/>
        <d v="2022-03-20T01:31:06Z"/>
        <d v="2022-03-20T00:02:37Z"/>
        <d v="2022-03-19T23:27:59Z"/>
        <d v="2022-03-19T23:21:45Z"/>
        <d v="2022-03-19T23:19:12Z"/>
        <d v="2022-03-19T23:17:12Z"/>
        <d v="2022-03-19T23:08:38Z"/>
        <d v="2022-03-19T22:38:56Z"/>
        <d v="2022-03-19T22:09:28Z"/>
        <d v="2022-03-19T21:51:36Z"/>
        <d v="2022-03-19T21:23:32Z"/>
        <d v="2022-03-19T21:06:00Z"/>
        <d v="2022-03-19T21:05:27Z"/>
        <d v="2022-03-19T20:08:18Z"/>
        <d v="2022-03-19T20:05:39Z"/>
        <d v="2022-03-19T19:46:20Z"/>
        <d v="2022-03-19T19:32:03Z"/>
        <d v="2022-03-19T19:29:07Z"/>
        <d v="2022-03-19T18:34:43Z"/>
        <d v="2022-03-19T18:11:45Z"/>
        <d v="2022-03-19T18:01:57Z"/>
        <d v="2022-03-19T17:53:31Z"/>
        <d v="2022-03-19T17:44:36Z"/>
        <d v="2022-03-19T17:44:04Z"/>
        <d v="2022-03-19T17:12:04Z"/>
        <d v="2022-03-19T17:11:51Z"/>
        <d v="2022-03-19T17:01:24Z"/>
        <d v="2022-03-19T16:46:12Z"/>
        <d v="2022-03-19T16:16:10Z"/>
        <d v="2022-03-19T15:31:10Z"/>
        <d v="2022-03-19T15:25:23Z"/>
        <d v="2022-03-19T15:19:48Z"/>
        <d v="2022-03-19T15:14:58Z"/>
        <d v="2022-03-19T15:14:01Z"/>
        <d v="2022-03-19T12:30:32Z"/>
        <d v="2022-03-19T12:28:43Z"/>
        <d v="2022-03-19T12:16:32Z"/>
        <d v="2022-03-19T12:02:51Z"/>
        <d v="2022-03-19T12:02:30Z"/>
        <d v="2022-03-19T11:55:44Z"/>
        <d v="2022-03-19T11:51:08Z"/>
        <d v="2022-03-19T11:26:27Z"/>
        <d v="2022-03-19T10:49:58Z"/>
        <d v="2022-03-19T10:49:50Z"/>
        <d v="2022-03-19T10:48:41Z"/>
        <d v="2022-03-19T10:06:09Z"/>
        <d v="2022-03-19T10:05:36Z"/>
        <d v="2022-03-19T10:01:51Z"/>
        <d v="2022-03-19T09:39:27Z"/>
        <d v="2022-03-19T09:24:54Z"/>
        <d v="2022-03-19T09:22:35Z"/>
        <d v="2022-03-19T09:21:18Z"/>
        <d v="2022-03-19T09:16:38Z"/>
        <d v="2022-03-19T09:02:27Z"/>
        <d v="2022-03-19T08:30:44Z"/>
        <d v="2022-03-19T07:58:54Z"/>
        <d v="2022-03-19T07:58:16Z"/>
        <d v="2022-03-19T07:56:09Z"/>
        <d v="2022-03-19T07:53:59Z"/>
        <d v="2022-03-19T07:53:47Z"/>
        <d v="2022-03-19T07:27:27Z"/>
        <d v="2022-03-19T02:01:44Z"/>
        <d v="2022-03-19T01:32:07Z"/>
        <d v="2022-03-19T01:30:25Z"/>
        <d v="2022-03-19T01:27:02Z"/>
        <d v="2022-03-19T01:19:28Z"/>
        <d v="2022-03-19T01:18:57Z"/>
        <d v="2022-03-19T00:53:38Z"/>
        <d v="2022-03-19T00:42:52Z"/>
        <d v="2022-03-19T00:34:38Z"/>
        <d v="2022-03-18T23:34:09Z"/>
        <d v="2022-03-18T23:06:45Z"/>
        <d v="2022-03-18T23:06:03Z"/>
        <d v="2022-03-18T23:03:04Z"/>
        <d v="2022-03-18T23:01:24Z"/>
        <d v="2022-03-18T22:57:32Z"/>
        <d v="2022-03-18T21:58:38Z"/>
        <d v="2022-03-18T21:47:00Z"/>
        <d v="2022-03-18T21:46:56Z"/>
        <d v="2022-03-18T21:42:29Z"/>
        <d v="2022-03-18T21:41:04Z"/>
        <d v="2022-03-18T21:34:20Z"/>
        <d v="2022-03-18T20:50:25Z"/>
        <d v="2022-03-18T20:50:07Z"/>
        <d v="2022-03-18T20:46:25Z"/>
        <d v="2022-03-18T20:37:37Z"/>
        <d v="2022-03-18T20:32:11Z"/>
        <d v="2022-03-18T20:24:56Z"/>
        <d v="2022-03-18T20:06:21Z"/>
        <d v="2022-03-18T20:01:53Z"/>
        <d v="2022-03-18T19:55:06Z"/>
        <d v="2022-03-18T19:47:20Z"/>
        <d v="2022-03-18T17:51:04Z"/>
        <d v="2022-03-18T16:36:12Z"/>
        <d v="2022-03-18T15:21:08Z"/>
        <d v="2022-03-18T14:39:58Z"/>
        <d v="2022-03-18T14:38:14Z"/>
        <d v="2022-03-18T14:35:06Z"/>
        <d v="2022-03-18T14:30:59Z"/>
        <d v="2022-03-18T14:25:41Z"/>
        <d v="2022-03-18T14:24:37Z"/>
        <d v="2022-03-18T14:17:58Z"/>
        <d v="2022-03-18T14:08:00Z"/>
        <d v="2022-03-18T14:07:10Z"/>
        <d v="2022-03-18T13:47:35Z"/>
        <d v="2022-03-18T13:37:04Z"/>
        <d v="2022-03-18T13:35:14Z"/>
        <d v="2022-03-18T13:23:36Z"/>
        <d v="2022-03-18T13:00:33Z"/>
        <d v="2022-03-18T12:51:41Z"/>
        <d v="2022-03-18T12:51:18Z"/>
        <d v="2022-03-18T11:08:39Z"/>
        <d v="2022-03-18T11:06:04Z"/>
        <d v="2022-03-18T10:30:16Z"/>
        <d v="2022-03-18T10:29:37Z"/>
        <d v="2022-03-18T07:50:04Z"/>
        <d v="2022-03-18T07:48:40Z"/>
        <d v="2022-03-18T00:19:46Z"/>
        <d v="2022-03-17T23:58:33Z"/>
        <d v="2022-03-17T23:54:56Z"/>
        <d v="2022-03-17T23:34:16Z"/>
        <d v="2022-03-17T23:27:20Z"/>
        <d v="2022-03-17T23:18:16Z"/>
        <d v="2022-03-17T21:52:25Z"/>
        <d v="2022-03-17T21:11:56Z"/>
        <d v="2022-03-17T21:07:13Z"/>
        <d v="2022-03-17T21:06:30Z"/>
        <d v="2022-03-17T21:05:09Z"/>
        <d v="2022-03-17T21:04:44Z"/>
        <d v="2022-03-17T21:02:15Z"/>
        <d v="2022-03-17T21:01:03Z"/>
        <d v="2022-03-17T20:59:21Z"/>
        <d v="2022-03-17T20:53:40Z"/>
        <d v="2022-03-17T20:18:08Z"/>
        <d v="2022-03-17T20:02:47Z"/>
        <d v="2022-03-17T20:00:58Z"/>
        <d v="2022-03-17T19:55:19Z"/>
        <d v="2022-03-17T19:38:37Z"/>
        <d v="2022-03-17T19:35:46Z"/>
        <d v="2022-03-17T19:32:02Z"/>
        <d v="2022-03-17T19:30:45Z"/>
        <d v="2022-03-17T19:00:29Z"/>
        <d v="2022-03-17T18:52:18Z"/>
        <d v="2022-03-17T18:36:42Z"/>
        <d v="2022-03-17T18:22:18Z"/>
        <d v="2022-03-17T17:20:15Z"/>
        <d v="2022-03-17T16:59:30Z"/>
        <d v="2022-03-17T16:35:25Z"/>
        <d v="2022-03-17T16:34:49Z"/>
        <d v="2022-03-17T16:23:42Z"/>
        <d v="2022-03-17T16:12:49Z"/>
        <d v="2022-03-17T16:10:43Z"/>
        <d v="2022-03-17T16:08:51Z"/>
        <d v="2022-03-17T15:21:57Z"/>
        <d v="2022-03-17T15:21:46Z"/>
        <d v="2022-03-17T15:06:30Z"/>
        <d v="2022-03-17T15:02:53Z"/>
        <d v="2022-03-17T14:48:34Z"/>
        <d v="2022-03-17T14:42:21Z"/>
        <d v="2022-03-17T14:40:19Z"/>
        <d v="2022-03-17T14:40:03Z"/>
        <d v="2022-03-17T14:39:50Z"/>
        <d v="2022-03-17T14:39:31Z"/>
        <d v="2022-03-17T14:39:21Z"/>
        <d v="2022-03-17T14:12:23Z"/>
        <d v="2022-03-17T14:04:17Z"/>
        <d v="2022-03-17T13:55:23Z"/>
        <d v="2022-03-17T13:40:50Z"/>
        <d v="2022-03-17T13:04:49Z"/>
        <d v="2022-03-17T12:58:02Z"/>
        <d v="2022-03-17T12:48:03Z"/>
        <d v="2022-03-17T12:41:05Z"/>
        <d v="2022-03-17T12:27:22Z"/>
        <d v="2022-03-17T12:26:53Z"/>
        <d v="2022-03-17T12:23:44Z"/>
        <d v="2022-03-17T12:21:57Z"/>
        <d v="2022-03-17T12:19:55Z"/>
        <d v="2022-03-17T11:11:48Z"/>
        <d v="2022-03-17T11:08:54Z"/>
        <d v="2022-03-17T11:08:12Z"/>
        <d v="2022-03-17T10:52:03Z"/>
        <d v="2022-03-17T10:45:20Z"/>
        <d v="2022-03-17T10:30:10Z"/>
        <d v="2022-03-17T10:29:41Z"/>
        <d v="2022-03-17T10:12:50Z"/>
        <d v="2022-03-17T09:56:42Z"/>
        <d v="2022-03-17T09:53:49Z"/>
        <d v="2022-03-17T09:52:39Z"/>
        <d v="2022-03-17T09:41:19Z"/>
        <d v="2022-03-17T09:00:17Z"/>
        <d v="2022-03-17T08:59:41Z"/>
        <d v="2022-03-17T07:56:20Z"/>
        <d v="2022-03-17T07:46:54Z"/>
        <d v="2022-03-17T07:44:48Z"/>
        <d v="2022-03-17T07:41:53Z"/>
        <d v="2022-03-17T07:41:23Z"/>
        <d v="2022-03-17T07:20:53Z"/>
        <d v="2022-03-17T07:15:37Z"/>
        <d v="2022-03-17T07:05:15Z"/>
        <d v="2022-03-17T06:24:54Z"/>
        <d v="2022-03-17T06:13:36Z"/>
        <d v="2022-03-17T05:44:56Z"/>
        <d v="2022-03-17T05:40:33Z"/>
        <d v="2022-03-17T01:32:06Z"/>
        <d v="2022-03-16T22:57:06Z"/>
        <d v="2022-03-16T22:52:23Z"/>
        <d v="2022-03-16T22:50:06Z"/>
        <d v="2022-03-16T22:49:32Z"/>
        <d v="2022-03-16T22:45:27Z"/>
        <d v="2022-03-16T22:37:07Z"/>
        <d v="2022-03-16T21:52:40Z"/>
        <d v="2022-03-16T21:35:54Z"/>
        <d v="2022-03-16T21:14:18Z"/>
        <d v="2022-03-16T20:32:40Z"/>
        <d v="2022-03-16T20:19:04Z"/>
        <d v="2022-03-16T20:11:55Z"/>
        <d v="2022-03-16T20:11:25Z"/>
        <d v="2022-03-16T20:05:48Z"/>
        <d v="2022-03-16T20:03:19Z"/>
        <d v="2022-03-16T19:57:18Z"/>
        <d v="2022-03-16T19:38:10Z"/>
        <d v="2022-03-16T19:37:18Z"/>
        <d v="2022-03-16T19:34:50Z"/>
        <d v="2022-03-16T19:30:49Z"/>
        <d v="2022-03-16T19:08:12Z"/>
        <d v="2022-03-16T19:07:20Z"/>
        <d v="2022-03-16T18:54:20Z"/>
        <d v="2022-03-16T18:40:57Z"/>
        <d v="2022-03-16T18:36:38Z"/>
        <d v="2022-03-16T18:20:33Z"/>
        <d v="2022-03-16T17:45:12Z"/>
        <d v="2022-03-16T17:41:15Z"/>
        <d v="2022-03-16T17:41:13Z"/>
        <d v="2022-03-16T17:38:29Z"/>
        <d v="2022-03-16T17:14:24Z"/>
        <d v="2022-03-16T17:02:20Z"/>
        <d v="2022-03-16T16:32:34Z"/>
        <d v="2022-03-16T16:12:27Z"/>
        <d v="2022-03-16T16:12:25Z"/>
        <d v="2022-03-16T16:10:14Z"/>
        <d v="2022-03-16T16:10:09Z"/>
        <d v="2022-03-16T16:09:19Z"/>
        <d v="2022-03-16T16:09:17Z"/>
        <d v="2022-03-16T16:07:20Z"/>
        <d v="2022-03-16T16:05:00Z"/>
        <d v="2022-03-16T15:49:05Z"/>
        <d v="2022-03-16T15:49:01Z"/>
        <d v="2022-03-16T15:45:39Z"/>
        <d v="2022-03-16T15:45:02Z"/>
        <d v="2022-03-16T15:40:53Z"/>
        <d v="2022-03-16T15:09:02Z"/>
        <d v="2022-03-16T14:42:41Z"/>
        <d v="2022-03-16T14:42:22Z"/>
        <d v="2022-03-16T14:39:53Z"/>
        <d v="2022-03-16T14:39:34Z"/>
        <d v="2022-03-16T13:14:04Z"/>
        <d v="2022-03-16T12:49:36Z"/>
        <d v="2022-03-16T12:46:57Z"/>
        <d v="2022-03-16T11:47:40Z"/>
        <d v="2022-03-16T11:33:25Z"/>
        <d v="2022-03-16T11:25:11Z"/>
        <d v="2022-03-16T11:05:16Z"/>
        <d v="2022-03-16T10:58:55Z"/>
        <d v="2022-03-16T10:58:47Z"/>
        <d v="2022-03-16T10:58:24Z"/>
        <d v="2022-03-16T08:33:17Z"/>
        <d v="2022-03-16T08:01:30Z"/>
        <d v="2022-03-16T07:14:25Z"/>
        <d v="2022-03-16T02:19:41Z"/>
        <d v="2022-03-16T01:33:50Z"/>
        <d v="2022-03-16T01:25:18Z"/>
        <d v="2022-03-16T01:21:52Z"/>
        <d v="2022-03-16T01:21:37Z"/>
        <d v="2022-03-16T01:20:21Z"/>
        <d v="2022-03-16T01:08:24Z"/>
        <d v="2022-03-16T01:01:42Z"/>
        <d v="2022-03-16T00:57:02Z"/>
        <d v="2022-03-16T00:47:42Z"/>
        <d v="2022-03-16T00:40:36Z"/>
        <d v="2022-03-16T00:39:45Z"/>
        <d v="2022-03-16T00:34:41Z"/>
        <d v="2022-03-15T22:56:11Z"/>
        <d v="2022-03-15T22:50:27Z"/>
        <d v="2022-03-15T22:30:01Z"/>
        <d v="2022-03-15T22:05:35Z"/>
        <d v="2022-03-15T21:45:50Z"/>
        <d v="2022-03-15T21:09:56Z"/>
        <d v="2022-03-15T20:51:04Z"/>
        <d v="2022-03-15T20:35:41Z"/>
        <d v="2022-03-15T20:12:31Z"/>
        <d v="2022-03-15T20:11:02Z"/>
        <d v="2022-03-15T20:04:39Z"/>
        <d v="2022-03-15T20:00:27Z"/>
        <d v="2022-03-15T19:04:09Z"/>
        <d v="2022-03-15T19:02:44Z"/>
        <d v="2022-03-15T18:44:42Z"/>
        <d v="2022-03-15T18:34:06Z"/>
        <d v="2022-03-15T18:33:09Z"/>
        <d v="2022-03-15T18:27:33Z"/>
        <d v="2022-03-15T17:22:46Z"/>
        <d v="2022-03-15T17:04:34Z"/>
        <d v="2022-03-15T17:00:05Z"/>
        <d v="2022-03-15T16:49:50Z"/>
        <d v="2022-03-15T16:45:36Z"/>
        <d v="2022-03-15T16:22:43Z"/>
        <d v="2022-03-15T16:04:17Z"/>
        <d v="2022-03-15T16:00:22Z"/>
        <d v="2022-03-15T15:57:57Z"/>
        <d v="2022-03-15T15:39:33Z"/>
        <d v="2022-03-15T15:36:45Z"/>
        <d v="2022-03-15T15:24:17Z"/>
        <d v="2022-03-15T15:16:34Z"/>
        <d v="2022-03-15T15:05:53Z"/>
        <d v="2022-03-15T15:05:38Z"/>
        <d v="2022-03-15T14:51:25Z"/>
        <d v="2022-03-15T14:34:09Z"/>
        <d v="2022-03-15T14:27:15Z"/>
        <d v="2022-03-15T14:25:54Z"/>
        <d v="2022-03-15T14:19:20Z"/>
        <d v="2022-03-15T14:12:50Z"/>
        <d v="2022-03-15T14:01:45Z"/>
        <d v="2022-03-15T13:32:36Z"/>
        <d v="2022-03-15T13:27:37Z"/>
        <d v="2022-03-15T13:10:47Z"/>
        <d v="2022-03-15T13:05:07Z"/>
        <d v="2022-03-15T12:48:13Z"/>
        <d v="2022-03-15T12:21:21Z"/>
        <d v="2022-03-15T12:16:42Z"/>
        <d v="2022-03-15T12:07:05Z"/>
        <d v="2022-03-15T12:03:41Z"/>
        <d v="2022-03-15T11:58:42Z"/>
        <d v="2022-03-15T11:39:42Z"/>
        <d v="2022-03-15T11:39:01Z"/>
        <d v="2022-03-15T11:35:34Z"/>
        <d v="2022-03-15T11:31:47Z"/>
        <d v="2022-03-15T11:23:29Z"/>
        <d v="2022-03-15T11:22:48Z"/>
        <d v="2022-03-15T10:47:12Z"/>
        <d v="2022-03-15T10:45:15Z"/>
        <d v="2022-03-15T10:36:46Z"/>
        <d v="2022-03-15T10:33:49Z"/>
        <d v="2022-03-15T10:33:17Z"/>
        <d v="2022-03-15T10:31:38Z"/>
        <d v="2022-03-15T10:08:31Z"/>
        <d v="2022-03-15T09:37:05Z"/>
        <d v="2022-03-15T09:36:53Z"/>
        <d v="2022-03-15T09:36:39Z"/>
        <d v="2022-03-15T09:34:56Z"/>
        <d v="2022-03-15T09:20:33Z"/>
        <d v="2022-03-15T09:09:39Z"/>
        <d v="2022-03-15T08:13:25Z"/>
        <d v="2022-03-15T07:43:07Z"/>
        <d v="2022-03-15T07:27:08Z"/>
        <d v="2022-03-15T07:05:01Z"/>
        <d v="2022-03-15T01:09:11Z"/>
        <d v="2022-03-15T00:21:32Z"/>
        <d v="2022-03-15T00:08:56Z"/>
        <d v="2022-03-15T00:07:00Z"/>
        <d v="2022-03-15T00:03:42Z"/>
        <d v="2022-03-14T23:55:35Z"/>
        <d v="2022-03-14T23:36:47Z"/>
        <d v="2022-03-14T23:17:14Z"/>
        <d v="2022-03-14T23:11:17Z"/>
        <d v="2022-03-14T22:44:43Z"/>
        <d v="2022-03-14T22:25:18Z"/>
        <d v="2022-03-14T21:12:28Z"/>
        <d v="2022-03-14T20:56:39Z"/>
        <d v="2022-03-14T20:44:58Z"/>
        <d v="2022-03-14T20:12:17Z"/>
        <d v="2022-03-14T18:05:36Z"/>
        <d v="2022-03-14T17:34:42Z"/>
        <d v="2022-03-14T17:30:53Z"/>
        <d v="2022-03-14T17:29:37Z"/>
        <d v="2022-03-14T17:10:03Z"/>
        <d v="2022-03-14T17:04:13Z"/>
        <d v="2022-03-14T16:57:52Z"/>
        <d v="2022-03-14T16:45:36Z"/>
        <d v="2022-03-14T16:31:43Z"/>
        <d v="2022-03-14T15:50:31Z"/>
        <d v="2022-03-14T15:27:46Z"/>
        <d v="2022-03-14T15:06:49Z"/>
        <d v="2022-03-14T14:49:10Z"/>
        <d v="2022-03-14T14:47:39Z"/>
        <d v="2022-03-14T14:47:36Z"/>
        <d v="2022-03-14T14:21:11Z"/>
        <d v="2022-03-14T14:18:59Z"/>
        <d v="2022-03-14T14:18:02Z"/>
        <d v="2022-03-14T14:11:40Z"/>
        <d v="2022-03-14T13:48:57Z"/>
        <d v="2022-03-14T13:47:23Z"/>
        <d v="2022-03-14T13:42:02Z"/>
        <d v="2022-03-14T13:09:38Z"/>
        <d v="2022-03-14T13:03:56Z"/>
        <d v="2022-03-14T12:33:05Z"/>
        <d v="2022-03-14T12:08:05Z"/>
        <d v="2022-03-14T12:04:31Z"/>
        <d v="2022-03-14T12:04:07Z"/>
        <d v="2022-03-14T11:55:55Z"/>
        <d v="2022-03-14T11:44:12Z"/>
        <d v="2022-03-14T11:13:04Z"/>
        <d v="2022-03-14T11:09:29Z"/>
        <d v="2022-03-14T11:03:57Z"/>
        <d v="2022-03-14T10:02:56Z"/>
        <d v="2022-03-14T10:02:47Z"/>
        <d v="2022-03-14T10:00:52Z"/>
        <d v="2022-03-14T09:01:30Z"/>
        <d v="2022-03-14T09:01:19Z"/>
        <d v="2022-03-14T08:47:56Z"/>
        <d v="2022-03-14T07:50:50Z"/>
        <d v="2022-03-14T07:21:03Z"/>
        <d v="2022-03-14T06:51:39Z"/>
        <d v="2022-03-14T02:03:46Z"/>
        <d v="2022-03-14T00:27:47Z"/>
        <d v="2022-03-13T22:33:04Z"/>
        <d v="2022-03-13T21:22:10Z"/>
        <d v="2022-03-13T21:08:58Z"/>
        <d v="2022-03-13T21:05:45Z"/>
        <d v="2022-03-13T20:46:16Z"/>
        <d v="2022-03-13T20:45:30Z"/>
        <d v="2022-03-13T20:10:34Z"/>
        <d v="2022-03-13T19:59:20Z"/>
        <d v="2022-03-13T19:03:50Z"/>
        <d v="2022-03-13T18:48:43Z"/>
        <d v="2022-03-13T18:10:55Z"/>
        <d v="2022-03-13T17:28:09Z"/>
        <d v="2022-03-13T16:14:46Z"/>
        <d v="2022-03-13T16:07:40Z"/>
        <d v="2022-03-13T16:05:44Z"/>
        <d v="2022-03-13T16:04:38Z"/>
        <d v="2022-03-13T15:53:49Z"/>
        <d v="2022-03-13T15:39:10Z"/>
        <d v="2022-03-13T15:17:42Z"/>
        <d v="2022-03-13T15:09:30Z"/>
        <d v="2022-03-13T14:50:52Z"/>
        <d v="2022-03-13T14:43:56Z"/>
        <d v="2022-03-13T14:24:53Z"/>
        <d v="2022-03-13T14:14:08Z"/>
        <d v="2022-03-13T13:50:31Z"/>
        <d v="2022-03-13T12:55:59Z"/>
        <d v="2022-03-13T12:43:48Z"/>
        <d v="2022-03-13T12:37:11Z"/>
        <d v="2022-03-13T12:33:39Z"/>
        <d v="2022-03-13T12:33:36Z"/>
        <d v="2022-03-13T12:23:44Z"/>
        <d v="2022-03-13T12:19:45Z"/>
        <d v="2022-03-13T12:18:38Z"/>
        <d v="2022-03-13T12:13:33Z"/>
        <d v="2022-03-13T12:02:00Z"/>
        <d v="2022-03-13T11:36:55Z"/>
        <d v="2022-03-13T11:32:23Z"/>
        <d v="2022-03-13T10:58:31Z"/>
        <d v="2022-03-13T10:49:56Z"/>
        <d v="2022-03-13T10:37:17Z"/>
        <d v="2022-03-13T10:14:44Z"/>
        <d v="2022-03-13T10:05:20Z"/>
        <d v="2022-03-13T08:24:23Z"/>
        <d v="2022-03-13T08:08:44Z"/>
        <d v="2022-03-13T07:40:32Z"/>
        <d v="2022-03-13T07:39:42Z"/>
        <d v="2022-03-13T07:31:17Z"/>
        <d v="2022-03-13T07:28:42Z"/>
        <d v="2022-03-13T07:22:12Z"/>
        <d v="2022-03-13T07:10:22Z"/>
        <d v="2022-03-13T03:32:36Z"/>
        <d v="2022-03-13T02:43:05Z"/>
        <d v="2022-03-13T00:45:39Z"/>
        <d v="2022-03-13T00:36:22Z"/>
        <d v="2022-03-13T00:31:09Z"/>
        <d v="2022-03-12T23:29:41Z"/>
        <d v="2022-03-12T23:17:27Z"/>
        <d v="2022-03-12T22:57:38Z"/>
        <d v="2022-03-12T22:56:20Z"/>
        <d v="2022-03-12T22:39:16Z"/>
        <d v="2022-03-12T22:39:11Z"/>
        <d v="2022-03-12T22:29:43Z"/>
        <d v="2022-03-12T22:26:57Z"/>
        <d v="2022-03-12T22:14:09Z"/>
        <d v="2022-03-12T21:59:47Z"/>
        <d v="2022-03-12T21:52:41Z"/>
        <d v="2022-03-12T21:39:02Z"/>
        <d v="2022-03-12T21:26:09Z"/>
        <d v="2022-03-12T21:22:20Z"/>
        <d v="2022-03-12T21:21:35Z"/>
        <d v="2022-03-12T21:10:51Z"/>
        <d v="2022-03-12T21:09:27Z"/>
        <d v="2022-03-12T21:09:15Z"/>
        <d v="2022-03-12T21:07:50Z"/>
        <d v="2022-03-12T21:07:28Z"/>
        <d v="2022-03-12T21:06:53Z"/>
        <d v="2022-03-12T21:06:36Z"/>
        <d v="2022-03-12T21:05:34Z"/>
        <d v="2022-03-12T20:43:10Z"/>
        <d v="2022-03-12T20:34:05Z"/>
        <d v="2022-03-12T20:33:24Z"/>
        <d v="2022-03-12T20:26:57Z"/>
        <d v="2022-03-12T20:12:56Z"/>
        <d v="2022-03-12T19:26:33Z"/>
        <d v="2022-03-12T19:17:55Z"/>
        <d v="2022-03-12T19:11:18Z"/>
        <d v="2022-03-12T18:59:53Z"/>
        <d v="2022-03-12T18:48:13Z"/>
        <d v="2022-03-12T18:18:41Z"/>
        <d v="2022-03-12T17:49:13Z"/>
        <d v="2022-03-12T17:45:44Z"/>
        <d v="2022-03-12T17:45:30Z"/>
        <d v="2022-03-12T17:43:56Z"/>
        <d v="2022-03-12T17:41:14Z"/>
        <d v="2022-03-12T17:40:48Z"/>
        <d v="2022-03-12T17:40:08Z"/>
        <d v="2022-03-12T17:09:57Z"/>
        <d v="2022-03-12T16:40:07Z"/>
        <d v="2022-03-12T16:17:15Z"/>
        <d v="2022-03-12T15:57:31Z"/>
        <d v="2022-03-12T15:41:20Z"/>
        <d v="2022-03-12T15:36:03Z"/>
        <d v="2022-03-12T13:40:40Z"/>
        <d v="2022-03-12T12:53:55Z"/>
        <d v="2022-03-12T12:49:13Z"/>
        <d v="2022-03-12T12:45:47Z"/>
        <d v="2022-03-12T12:43:22Z"/>
        <d v="2022-03-12T12:40:59Z"/>
        <d v="2022-03-12T12:25:45Z"/>
        <d v="2022-03-12T12:21:21Z"/>
        <d v="2022-03-12T12:20:59Z"/>
        <d v="2022-03-12T12:20:27Z"/>
        <d v="2022-03-12T10:57:02Z"/>
        <d v="2022-03-12T10:44:06Z"/>
        <d v="2022-03-12T10:43:11Z"/>
        <d v="2022-03-12T10:31:51Z"/>
        <d v="2022-03-12T10:19:40Z"/>
        <d v="2022-03-12T10:15:38Z"/>
        <d v="2022-03-12T10:14:33Z"/>
        <d v="2022-03-12T10:09:32Z"/>
        <d v="2022-03-12T09:48:51Z"/>
        <d v="2022-03-12T07:54:27Z"/>
        <d v="2022-03-12T07:50:34Z"/>
        <d v="2022-03-12T07:50:12Z"/>
        <d v="2022-03-12T07:25:18Z"/>
        <d v="2022-03-12T07:24:22Z"/>
        <d v="2022-03-12T07:03:27Z"/>
        <d v="2022-03-11T23:03:44Z"/>
        <d v="2022-03-11T22:40:34Z"/>
        <d v="2022-03-11T22:33:44Z"/>
        <d v="2022-03-11T22:22:08Z"/>
        <d v="2022-03-11T22:13:57Z"/>
        <d v="2022-03-11T22:11:23Z"/>
        <d v="2022-03-11T22:10:38Z"/>
        <d v="2022-03-11T22:00:16Z"/>
        <d v="2022-03-11T21:56:31Z"/>
        <d v="2022-03-11T21:50:56Z"/>
        <d v="2022-03-11T21:48:51Z"/>
        <d v="2022-03-11T21:35:36Z"/>
        <d v="2022-03-11T21:29:56Z"/>
        <d v="2022-03-11T21:29:02Z"/>
        <d v="2022-03-11T21:28:16Z"/>
        <d v="2022-03-11T21:21:41Z"/>
        <d v="2022-03-11T21:10:43Z"/>
        <d v="2022-03-11T20:59:02Z"/>
        <d v="2022-03-11T20:55:46Z"/>
        <d v="2022-03-11T20:38:49Z"/>
        <d v="2022-03-11T20:32:23Z"/>
        <d v="2022-03-11T20:27:22Z"/>
        <d v="2022-03-11T20:13:54Z"/>
        <d v="2022-03-11T20:12:18Z"/>
        <d v="2022-03-11T20:08:26Z"/>
        <d v="2022-03-11T20:08:14Z"/>
        <d v="2022-03-11T20:07:56Z"/>
        <d v="2022-03-11T20:06:50Z"/>
        <d v="2022-03-11T20:06:32Z"/>
        <d v="2022-03-11T20:00:47Z"/>
        <d v="2022-03-11T19:59:22Z"/>
        <d v="2022-03-11T19:58:42Z"/>
        <d v="2022-03-11T19:57:57Z"/>
        <d v="2022-03-11T19:42:48Z"/>
        <d v="2022-03-11T19:04:12Z"/>
        <d v="2022-03-11T18:47:41Z"/>
        <d v="2022-03-11T18:30:42Z"/>
        <d v="2022-03-11T17:42:34Z"/>
        <d v="2022-03-11T17:39:56Z"/>
        <d v="2022-03-11T16:50:07Z"/>
        <d v="2022-03-11T16:32:25Z"/>
        <d v="2022-03-11T16:08:47Z"/>
        <d v="2022-03-11T15:47:08Z"/>
        <d v="2022-03-11T15:45:16Z"/>
        <d v="2022-03-11T15:00:48Z"/>
        <d v="2022-03-11T14:50:57Z"/>
        <d v="2022-03-11T14:39:54Z"/>
        <d v="2022-03-11T14:32:27Z"/>
        <d v="2022-03-11T14:17:58Z"/>
        <d v="2022-03-11T14:17:17Z"/>
        <d v="2022-03-11T14:15:07Z"/>
        <d v="2022-03-11T14:13:40Z"/>
        <d v="2022-03-11T14:06:54Z"/>
        <d v="2022-03-11T14:04:09Z"/>
        <d v="2022-03-11T14:02:49Z"/>
        <d v="2022-03-11T13:58:36Z"/>
        <d v="2022-03-11T13:58:21Z"/>
        <d v="2022-03-11T13:57:41Z"/>
        <d v="2022-03-11T13:32:10Z"/>
        <d v="2022-03-11T13:26:56Z"/>
        <d v="2022-03-11T13:25:38Z"/>
        <d v="2022-03-11T13:24:52Z"/>
        <d v="2022-03-11T13:19:07Z"/>
        <d v="2022-03-11T13:18:44Z"/>
        <d v="2022-03-11T13:17:57Z"/>
        <d v="2022-03-11T13:15:25Z"/>
        <d v="2022-03-11T13:15:01Z"/>
        <d v="2022-03-11T13:13:53Z"/>
        <d v="2022-03-11T13:02:51Z"/>
        <d v="2022-03-11T12:57:44Z"/>
        <d v="2022-03-11T12:57:17Z"/>
        <d v="2022-03-11T12:47:47Z"/>
        <d v="2022-03-11T12:40:57Z"/>
        <d v="2022-03-11T12:40:37Z"/>
        <d v="2022-03-11T12:38:20Z"/>
        <d v="2022-03-11T12:12:41Z"/>
        <d v="2022-03-11T11:47:20Z"/>
        <d v="2022-03-11T11:45:03Z"/>
        <d v="2022-03-11T11:41:16Z"/>
        <d v="2022-03-11T11:27:59Z"/>
        <d v="2022-03-11T10:53:40Z"/>
        <d v="2022-03-11T10:51:27Z"/>
        <d v="2022-03-11T10:51:06Z"/>
        <d v="2022-03-11T10:50:12Z"/>
        <d v="2022-03-11T10:50:02Z"/>
        <d v="2022-03-11T09:43:19Z"/>
        <d v="2022-03-11T09:28:18Z"/>
        <d v="2022-03-11T08:38:21Z"/>
        <d v="2022-03-11T07:17:09Z"/>
        <d v="2022-03-11T07:15:38Z"/>
        <d v="2022-03-11T07:15:18Z"/>
        <d v="2022-03-11T06:39:17Z"/>
        <d v="2022-03-11T06:34:03Z"/>
        <d v="2022-03-11T06:30:08Z"/>
        <d v="2022-03-11T06:29:04Z"/>
        <d v="2022-03-11T02:33:21Z"/>
        <d v="2022-03-11T01:28:59Z"/>
        <d v="2022-03-11T00:12:40Z"/>
        <d v="2022-03-11T00:05:05Z"/>
        <d v="2022-03-10T23:44:24Z"/>
        <d v="2022-03-10T23:40:29Z"/>
        <d v="2022-03-10T23:26:42Z"/>
        <d v="2022-03-10T23:14:12Z"/>
        <d v="2022-03-10T22:52:18Z"/>
        <d v="2022-03-10T22:50:16Z"/>
        <d v="2022-03-10T21:56:30Z"/>
        <d v="2022-03-10T21:49:25Z"/>
        <d v="2022-03-10T21:46:11Z"/>
        <d v="2022-03-10T21:46:09Z"/>
        <d v="2022-03-10T21:24:29Z"/>
        <d v="2022-03-10T21:18:30Z"/>
        <d v="2022-03-10T21:18:02Z"/>
        <d v="2022-03-10T21:16:13Z"/>
        <d v="2022-03-10T20:52:16Z"/>
        <d v="2022-03-10T20:35:25Z"/>
        <d v="2022-03-10T19:58:13Z"/>
        <d v="2022-03-10T19:10:50Z"/>
        <d v="2022-03-10T19:09:23Z"/>
        <d v="2022-03-10T19:05:47Z"/>
        <d v="2022-03-10T18:50:46Z"/>
        <d v="2022-03-10T18:25:50Z"/>
        <d v="2022-03-10T18:06:21Z"/>
        <d v="2022-03-10T17:53:01Z"/>
        <d v="2022-03-10T17:52:34Z"/>
        <d v="2022-03-10T17:51:13Z"/>
        <d v="2022-03-10T17:51:04Z"/>
        <d v="2022-03-10T17:37:32Z"/>
        <d v="2022-03-10T17:34:13Z"/>
        <d v="2022-03-10T17:26:12Z"/>
        <d v="2022-03-10T17:10:39Z"/>
        <d v="2022-03-10T17:02:02Z"/>
        <d v="2022-03-10T17:01:51Z"/>
        <d v="2022-03-10T17:00:54Z"/>
        <d v="2022-03-10T16:55:54Z"/>
        <d v="2022-03-10T16:52:32Z"/>
        <d v="2022-03-10T16:51:11Z"/>
        <d v="2022-03-10T16:23:30Z"/>
        <d v="2022-03-10T16:18:25Z"/>
        <d v="2022-03-10T16:15:40Z"/>
        <d v="2022-03-10T16:14:41Z"/>
        <d v="2022-03-10T16:02:53Z"/>
        <d v="2022-03-10T15:40:08Z"/>
        <d v="2022-03-10T14:53:47Z"/>
        <d v="2022-03-10T14:46:37Z"/>
        <d v="2022-03-10T14:44:48Z"/>
        <d v="2022-03-10T14:24:51Z"/>
        <d v="2022-03-10T13:53:18Z"/>
        <d v="2022-03-10T13:36:57Z"/>
        <d v="2022-03-10T13:02:34Z"/>
        <d v="2022-03-10T12:55:10Z"/>
        <d v="2022-03-10T12:50:07Z"/>
        <d v="2022-03-10T12:49:33Z"/>
        <d v="2022-03-10T12:43:10Z"/>
        <d v="2022-03-10T12:31:01Z"/>
        <d v="2022-03-10T12:30:39Z"/>
        <d v="2022-03-10T12:22:30Z"/>
        <d v="2022-03-10T12:10:38Z"/>
        <d v="2022-03-10T12:10:15Z"/>
        <d v="2022-03-10T12:02:58Z"/>
        <d v="2022-03-10T11:30:39Z"/>
        <d v="2022-03-10T11:28:07Z"/>
        <d v="2022-03-10T10:41:55Z"/>
        <d v="2022-03-10T10:23:02Z"/>
        <d v="2022-03-10T10:19:47Z"/>
        <d v="2022-03-10T09:46:07Z"/>
        <d v="2022-03-10T09:26:25Z"/>
        <d v="2022-03-10T09:16:51Z"/>
        <d v="2022-03-10T09:03:39Z"/>
        <d v="2022-03-10T08:58:38Z"/>
        <d v="2022-03-10T08:44:08Z"/>
        <d v="2022-03-10T07:38:44Z"/>
        <d v="2022-03-10T03:44:52Z"/>
        <d v="2022-03-10T03:38:45Z"/>
        <d v="2022-03-10T03:16:40Z"/>
        <d v="2022-03-10T01:55:02Z"/>
        <d v="2022-03-10T00:07:59Z"/>
        <d v="2022-03-09T23:56:36Z"/>
        <d v="2022-03-09T23:12:34Z"/>
        <d v="2022-03-09T23:01:24Z"/>
        <d v="2022-03-09T22:37:58Z"/>
        <d v="2022-03-09T21:42:53Z"/>
        <d v="2022-03-09T21:39:42Z"/>
        <d v="2022-03-09T21:38:31Z"/>
        <d v="2022-03-09T21:36:12Z"/>
        <d v="2022-03-09T21:36:09Z"/>
        <d v="2022-03-09T21:34:29Z"/>
        <d v="2022-03-09T21:32:09Z"/>
        <d v="2022-03-09T21:30:41Z"/>
        <d v="2022-03-09T21:30:19Z"/>
        <d v="2022-03-09T21:21:08Z"/>
        <d v="2022-03-09T21:19:30Z"/>
        <d v="2022-03-09T21:17:20Z"/>
        <d v="2022-03-09T21:09:18Z"/>
        <d v="2022-03-09T20:12:52Z"/>
        <d v="2022-03-09T19:31:47Z"/>
        <d v="2022-03-09T19:27:16Z"/>
        <d v="2022-03-09T18:58:54Z"/>
        <d v="2022-03-09T18:40:51Z"/>
        <d v="2022-03-09T18:34:20Z"/>
        <d v="2022-03-09T18:32:37Z"/>
        <d v="2022-03-09T18:06:17Z"/>
        <d v="2022-03-09T18:02:10Z"/>
        <d v="2022-03-09T17:51:47Z"/>
        <d v="2022-03-09T17:36:17Z"/>
        <d v="2022-03-09T17:31:47Z"/>
        <d v="2022-03-09T17:23:58Z"/>
        <d v="2022-03-09T16:33:24Z"/>
        <d v="2022-03-09T16:33:20Z"/>
        <d v="2022-03-09T15:54:39Z"/>
        <d v="2022-03-09T15:50:13Z"/>
        <d v="2022-03-09T15:28:11Z"/>
        <d v="2022-03-09T14:33:08Z"/>
        <d v="2022-03-09T14:30:39Z"/>
        <d v="2022-03-09T14:22:31Z"/>
        <d v="2022-03-09T14:18:36Z"/>
        <d v="2022-03-09T14:14:32Z"/>
        <d v="2022-03-09T14:13:46Z"/>
        <d v="2022-03-09T13:56:57Z"/>
        <d v="2022-03-09T13:49:09Z"/>
        <d v="2022-03-09T13:06:42Z"/>
        <d v="2022-03-09T13:01:57Z"/>
        <d v="2022-03-09T12:53:59Z"/>
        <d v="2022-03-09T12:45:09Z"/>
        <d v="2022-03-09T11:55:55Z"/>
        <d v="2022-03-09T11:22:19Z"/>
        <d v="2022-03-09T10:54:33Z"/>
        <d v="2022-03-09T10:52:42Z"/>
        <d v="2022-03-09T10:40:19Z"/>
        <d v="2022-03-09T09:52:50Z"/>
        <d v="2022-03-09T09:47:56Z"/>
        <d v="2022-03-09T09:23:59Z"/>
        <d v="2022-03-09T07:51:19Z"/>
        <d v="2022-03-09T01:59:01Z"/>
        <d v="2022-03-09T01:55:44Z"/>
        <d v="2022-03-09T00:51:46Z"/>
        <d v="2022-03-08T23:53:19Z"/>
        <d v="2022-03-08T23:50:45Z"/>
        <d v="2022-03-08T23:47:03Z"/>
        <d v="2022-03-08T23:38:39Z"/>
        <d v="2022-03-08T23:32:52Z"/>
        <d v="2022-03-08T23:30:40Z"/>
        <d v="2022-03-08T23:02:54Z"/>
        <d v="2022-03-08T22:41:54Z"/>
        <d v="2022-03-08T22:15:27Z"/>
        <d v="2022-03-08T21:29:37Z"/>
        <d v="2022-03-08T21:25:52Z"/>
        <d v="2022-03-08T21:24:12Z"/>
        <d v="2022-03-08T21:07:09Z"/>
        <d v="2022-03-08T21:06:53Z"/>
        <d v="2022-03-08T20:46:47Z"/>
        <d v="2022-03-08T20:45:35Z"/>
        <d v="2022-03-08T20:43:40Z"/>
        <d v="2022-03-08T20:40:06Z"/>
        <d v="2022-03-08T19:54:26Z"/>
        <d v="2022-03-08T19:39:53Z"/>
        <d v="2022-03-08T19:39:30Z"/>
        <d v="2022-03-08T18:49:56Z"/>
        <d v="2022-03-08T18:13:54Z"/>
        <d v="2022-03-08T17:41:26Z"/>
        <d v="2022-03-08T17:38:54Z"/>
        <d v="2022-03-08T17:32:25Z"/>
        <d v="2022-03-08T17:24:13Z"/>
        <d v="2022-03-08T17:19:02Z"/>
        <d v="2022-03-08T17:17:51Z"/>
        <d v="2022-03-08T17:17:45Z"/>
        <d v="2022-03-08T17:17:33Z"/>
        <d v="2022-03-08T17:16:59Z"/>
        <d v="2022-03-08T17:14:20Z"/>
        <d v="2022-03-08T17:13:40Z"/>
        <d v="2022-03-08T17:12:17Z"/>
        <d v="2022-03-08T17:04:11Z"/>
        <d v="2022-03-08T16:55:06Z"/>
        <d v="2022-03-08T16:54:44Z"/>
        <d v="2022-03-08T16:51:59Z"/>
        <d v="2022-03-08T15:59:11Z"/>
        <d v="2022-03-08T15:43:13Z"/>
        <d v="2022-03-08T15:28:26Z"/>
        <d v="2022-03-08T15:18:55Z"/>
        <d v="2022-03-08T15:05:14Z"/>
        <d v="2022-03-08T13:44:18Z"/>
        <d v="2022-03-08T12:31:03Z"/>
        <d v="2022-03-08T11:47:21Z"/>
        <d v="2022-03-08T11:46:03Z"/>
        <d v="2022-03-08T11:38:26Z"/>
        <d v="2022-03-08T11:37:56Z"/>
        <d v="2022-03-08T10:16:00Z"/>
        <d v="2022-03-08T08:57:47Z"/>
        <d v="2022-03-08T08:56:55Z"/>
        <d v="2022-03-08T08:50:25Z"/>
        <d v="2022-03-08T08:14:12Z"/>
        <d v="2022-03-08T07:33:20Z"/>
        <d v="2022-03-08T07:33:09Z"/>
        <d v="2022-03-08T06:45:57Z"/>
        <d v="2022-03-08T04:55:35Z"/>
        <d v="2022-03-07T23:16:36Z"/>
        <d v="2022-03-07T22:27:31Z"/>
        <d v="2022-03-07T20:41:28Z"/>
        <d v="2022-03-07T19:33:44Z"/>
        <d v="2022-03-07T18:45:09Z"/>
        <d v="2022-03-07T18:14:20Z"/>
        <d v="2022-03-07T18:05:02Z"/>
        <d v="2022-03-07T17:40:45Z"/>
        <d v="2022-03-07T17:17:02Z"/>
        <d v="2022-03-07T14:55:36Z"/>
        <d v="2022-03-07T14:41:28Z"/>
        <d v="2022-03-07T13:15:01Z"/>
        <d v="2022-03-07T12:57:35Z"/>
        <d v="2022-03-07T12:38:58Z"/>
        <d v="2022-03-07T11:56:58Z"/>
        <d v="2022-03-07T10:59:23Z"/>
        <d v="2022-03-07T10:53:24Z"/>
        <d v="2022-03-07T10:50:52Z"/>
        <d v="2022-03-07T09:05:24Z"/>
        <d v="2022-03-07T08:50:59Z"/>
        <d v="2022-03-07T07:38:36Z"/>
        <d v="2022-03-07T07:21:18Z"/>
        <d v="2022-03-07T07:16:38Z"/>
        <d v="2022-03-07T07:14:58Z"/>
        <d v="2022-03-07T07:13:30Z"/>
        <d v="2022-03-07T07:09:40Z"/>
        <d v="2022-03-07T07:08:33Z"/>
        <d v="2022-03-07T07:07:47Z"/>
        <d v="2022-03-06T23:00:29Z"/>
        <d v="2022-03-06T22:18:38Z"/>
        <d v="2022-03-06T22:18:14Z"/>
        <d v="2022-03-06T22:14:44Z"/>
        <d v="2022-03-06T22:14:30Z"/>
        <d v="2022-03-06T22:06:06Z"/>
        <d v="2022-03-06T21:49:26Z"/>
        <d v="2022-03-06T21:36:18Z"/>
        <d v="2022-03-06T21:20:14Z"/>
        <d v="2022-03-06T20:38:14Z"/>
        <d v="2022-03-06T20:26:54Z"/>
        <d v="2022-03-06T20:23:21Z"/>
        <d v="2022-03-06T20:02:56Z"/>
        <d v="2022-03-06T19:50:42Z"/>
        <d v="2022-03-06T19:46:36Z"/>
        <d v="2022-03-06T19:46:09Z"/>
        <d v="2022-03-06T19:15:15Z"/>
        <d v="2022-03-06T18:26:00Z"/>
        <d v="2022-03-06T17:42:38Z"/>
        <d v="2022-03-06T17:12:26Z"/>
        <d v="2022-03-06T17:10:35Z"/>
        <d v="2022-03-06T16:40:50Z"/>
        <d v="2022-03-06T16:40:18Z"/>
        <d v="2022-03-06T15:39:17Z"/>
        <d v="2022-03-06T15:38:39Z"/>
        <d v="2022-03-06T15:36:18Z"/>
        <d v="2022-03-06T15:35:09Z"/>
        <d v="2022-03-06T15:32:47Z"/>
        <d v="2022-03-06T15:31:30Z"/>
        <d v="2022-03-06T15:30:57Z"/>
        <d v="2022-03-06T15:30:43Z"/>
        <d v="2022-03-06T15:29:54Z"/>
        <d v="2022-03-06T15:29:25Z"/>
        <d v="2022-03-06T15:29:12Z"/>
        <d v="2022-03-06T15:28:29Z"/>
        <d v="2022-03-06T15:28:15Z"/>
        <d v="2022-03-06T15:19:55Z"/>
        <d v="2022-03-06T14:00:36Z"/>
        <d v="2022-03-06T13:46:12Z"/>
        <d v="2022-03-06T10:12:16Z"/>
        <d v="2022-03-06T09:48:39Z"/>
        <d v="2022-03-06T09:23:18Z"/>
        <d v="2022-03-06T09:22:54Z"/>
        <d v="2022-03-06T09:22:23Z"/>
        <d v="2022-03-06T09:21:23Z"/>
        <d v="2022-03-06T09:12:02Z"/>
        <d v="2022-03-06T09:07:55Z"/>
        <d v="2022-03-06T08:45:56Z"/>
        <d v="2022-03-06T08:28:13Z"/>
        <d v="2022-03-06T08:14:05Z"/>
        <d v="2022-03-06T07:45:03Z"/>
        <d v="2022-03-06T07:15:42Z"/>
        <d v="2022-03-05T22:19:09Z"/>
        <d v="2022-03-05T21:55:01Z"/>
        <d v="2022-03-05T20:05:58Z"/>
        <d v="2022-03-05T19:35:49Z"/>
        <d v="2022-03-05T19:31:16Z"/>
        <d v="2022-03-05T19:30:41Z"/>
        <d v="2022-03-05T19:19:45Z"/>
        <d v="2022-03-05T19:19:26Z"/>
        <d v="2022-03-05T19:16:10Z"/>
        <d v="2022-03-05T19:15:41Z"/>
        <d v="2022-03-05T19:12:30Z"/>
        <d v="2022-03-05T18:32:53Z"/>
        <d v="2022-03-05T18:28:10Z"/>
        <d v="2022-03-05T18:19:06Z"/>
        <d v="2022-03-05T17:34:13Z"/>
        <d v="2022-03-05T16:08:51Z"/>
        <d v="2022-03-05T15:46:15Z"/>
        <d v="2022-03-05T15:45:40Z"/>
        <d v="2022-03-05T15:14:11Z"/>
        <d v="2022-03-05T14:13:51Z"/>
        <d v="2022-03-05T14:13:20Z"/>
        <d v="2022-03-05T13:30:46Z"/>
        <d v="2022-03-05T13:23:50Z"/>
        <d v="2022-03-05T13:04:06Z"/>
        <d v="2022-03-05T13:01:27Z"/>
        <d v="2022-03-05T12:59:33Z"/>
        <d v="2022-03-05T12:46:16Z"/>
        <d v="2022-03-05T12:32:44Z"/>
        <d v="2022-03-05T12:22:00Z"/>
        <d v="2022-03-05T12:20:34Z"/>
        <d v="2022-03-05T12:03:13Z"/>
        <d v="2022-03-05T12:02:30Z"/>
        <d v="2022-03-05T10:40:07Z"/>
        <d v="2022-03-05T10:31:26Z"/>
        <d v="2022-03-05T10:09:10Z"/>
        <d v="2022-03-05T09:47:10Z"/>
        <d v="2022-03-05T09:47:02Z"/>
        <d v="2022-03-05T09:21:43Z"/>
        <d v="2022-03-05T08:41:01Z"/>
        <d v="2022-03-05T08:39:11Z"/>
        <d v="2022-03-05T08:13:15Z"/>
        <d v="2022-03-05T08:10:45Z"/>
        <d v="2022-03-05T08:04:52Z"/>
        <d v="2022-03-05T07:59:07Z"/>
        <d v="2022-03-05T07:27:53Z"/>
        <d v="2022-03-05T07:26:26Z"/>
        <d v="2022-03-05T07:17:43Z"/>
        <d v="2022-03-05T06:50:13Z"/>
        <d v="2022-03-05T01:46:06Z"/>
        <d v="2022-03-05T00:24:19Z"/>
        <d v="2022-03-04T23:36:37Z"/>
        <d v="2022-03-04T22:18:50Z"/>
        <d v="2022-03-04T21:59:50Z"/>
        <d v="2022-03-04T21:47:38Z"/>
        <d v="2022-03-04T21:45:31Z"/>
        <d v="2022-03-04T21:40:28Z"/>
        <d v="2022-03-04T21:15:30Z"/>
        <d v="2022-03-04T20:58:31Z"/>
        <d v="2022-03-04T20:36:43Z"/>
        <d v="2022-03-04T20:20:02Z"/>
        <d v="2022-03-04T20:15:02Z"/>
        <d v="2022-03-04T20:10:20Z"/>
        <d v="2022-03-04T20:06:16Z"/>
        <d v="2022-03-04T20:05:08Z"/>
        <d v="2022-03-04T18:26:52Z"/>
        <d v="2022-03-04T18:11:42Z"/>
        <d v="2022-03-04T17:58:44Z"/>
        <d v="2022-03-04T17:05:09Z"/>
        <d v="2022-03-04T17:03:44Z"/>
        <d v="2022-03-04T17:03:27Z"/>
        <d v="2022-03-04T15:46:52Z"/>
        <d v="2022-03-04T15:22:49Z"/>
        <d v="2022-03-04T15:18:44Z"/>
        <d v="2022-03-04T15:13:00Z"/>
        <d v="2022-03-04T14:10:26Z"/>
        <d v="2022-03-04T13:37:00Z"/>
        <d v="2022-03-04T13:28:45Z"/>
        <d v="2022-03-04T11:44:04Z"/>
        <d v="2022-03-04T11:15:29Z"/>
        <d v="2022-03-04T10:25:22Z"/>
        <d v="2022-03-04T10:24:15Z"/>
        <d v="2022-03-04T10:21:42Z"/>
        <d v="2022-03-04T10:18:51Z"/>
        <d v="2022-03-04T10:12:07Z"/>
        <d v="2022-03-04T10:11:43Z"/>
        <d v="2022-03-04T10:08:32Z"/>
        <d v="2022-03-04T09:57:52Z"/>
        <d v="2022-03-04T09:31:06Z"/>
        <d v="2022-03-04T09:22:46Z"/>
        <d v="2022-03-04T09:18:27Z"/>
        <d v="2022-03-04T09:14:00Z"/>
        <d v="2022-03-04T09:06:48Z"/>
        <d v="2022-03-04T08:57:17Z"/>
        <d v="2022-03-04T08:04:06Z"/>
        <d v="2022-03-04T00:39:37Z"/>
        <d v="2022-03-04T00:39:13Z"/>
        <d v="2022-03-03T23:51:54Z"/>
        <d v="2022-03-03T23:29:29Z"/>
        <d v="2022-03-03T23:18:49Z"/>
        <d v="2022-03-03T22:40:47Z"/>
        <d v="2022-03-03T22:11:46Z"/>
        <d v="2022-03-03T22:09:42Z"/>
        <d v="2022-03-03T22:07:22Z"/>
        <d v="2022-03-03T21:50:56Z"/>
        <d v="2022-03-03T21:49:44Z"/>
        <d v="2022-03-03T20:33:09Z"/>
        <d v="2022-03-03T20:32:28Z"/>
        <d v="2022-03-03T20:26:12Z"/>
        <d v="2022-03-03T20:25:37Z"/>
        <d v="2022-03-03T20:23:07Z"/>
        <d v="2022-03-03T20:22:45Z"/>
        <d v="2022-03-03T20:18:59Z"/>
        <d v="2022-03-03T20:17:33Z"/>
        <d v="2022-03-03T20:14:23Z"/>
        <d v="2022-03-03T20:08:23Z"/>
        <d v="2022-03-03T20:06:20Z"/>
        <d v="2022-03-03T20:02:33Z"/>
        <d v="2022-03-03T19:46:07Z"/>
        <d v="2022-03-03T19:12:07Z"/>
        <d v="2022-03-03T18:44:50Z"/>
        <d v="2022-03-03T18:37:38Z"/>
        <d v="2022-03-03T18:18:15Z"/>
        <d v="2022-03-03T17:56:13Z"/>
        <d v="2022-03-03T17:42:30Z"/>
        <d v="2022-03-03T17:28:20Z"/>
        <d v="2022-03-03T17:22:32Z"/>
        <d v="2022-03-03T17:03:03Z"/>
        <d v="2022-03-03T17:01:16Z"/>
        <d v="2022-03-03T16:56:27Z"/>
        <d v="2022-03-03T16:55:51Z"/>
        <d v="2022-03-03T16:52:35Z"/>
        <d v="2022-03-03T16:50:54Z"/>
        <d v="2022-03-03T16:44:41Z"/>
        <d v="2022-03-03T16:41:11Z"/>
        <d v="2022-03-03T16:26:00Z"/>
        <d v="2022-03-03T16:21:15Z"/>
        <d v="2022-03-03T15:28:50Z"/>
        <d v="2022-03-03T14:37:30Z"/>
        <d v="2022-03-03T14:37:24Z"/>
        <d v="2022-03-03T14:28:44Z"/>
        <d v="2022-03-03T14:22:37Z"/>
        <d v="2022-03-03T14:16:09Z"/>
        <d v="2022-03-03T14:12:26Z"/>
        <d v="2022-03-03T13:38:30Z"/>
        <d v="2022-03-03T13:37:55Z"/>
        <d v="2022-03-03T13:12:48Z"/>
        <d v="2022-03-03T13:05:02Z"/>
        <d v="2022-03-03T12:50:25Z"/>
        <d v="2022-03-03T12:40:04Z"/>
        <d v="2022-03-03T12:21:58Z"/>
        <d v="2022-03-03T12:18:59Z"/>
        <d v="2022-03-03T11:41:32Z"/>
        <d v="2022-03-03T11:19:20Z"/>
        <d v="2022-03-03T11:14:27Z"/>
        <d v="2022-03-03T10:36:49Z"/>
        <d v="2022-03-03T10:04:11Z"/>
        <d v="2022-03-03T09:54:38Z"/>
        <d v="2022-03-03T09:47:23Z"/>
        <d v="2022-03-03T09:44:20Z"/>
        <d v="2022-03-03T09:35:39Z"/>
        <d v="2022-03-03T09:32:02Z"/>
        <d v="2022-03-03T09:28:22Z"/>
        <d v="2022-03-03T09:23:29Z"/>
        <d v="2022-03-03T09:21:40Z"/>
        <d v="2022-03-03T09:21:10Z"/>
        <d v="2022-03-03T09:09:50Z"/>
        <d v="2022-03-03T09:01:29Z"/>
        <d v="2022-03-03T08:29:23Z"/>
        <d v="2022-03-03T08:07:32Z"/>
        <d v="2022-03-03T07:50:12Z"/>
        <d v="2022-03-03T06:39:58Z"/>
        <d v="2022-03-03T05:57:41Z"/>
        <d v="2022-03-03T05:55:10Z"/>
        <d v="2022-03-03T05:51:16Z"/>
        <d v="2022-03-03T04:33:44Z"/>
        <d v="2022-03-03T03:55:44Z"/>
        <d v="2022-03-03T02:00:43Z"/>
        <d v="2022-03-03T01:24:11Z"/>
        <d v="2022-03-03T00:42:00Z"/>
        <d v="2022-03-03T00:30:43Z"/>
        <d v="2022-03-02T23:42:08Z"/>
        <d v="2022-03-02T23:35:51Z"/>
        <d v="2022-03-02T23:16:47Z"/>
        <d v="2022-03-02T23:14:30Z"/>
        <d v="2022-03-02T23:12:45Z"/>
        <d v="2022-03-02T22:35:14Z"/>
        <d v="2022-03-02T21:59:32Z"/>
        <d v="2022-03-02T21:59:01Z"/>
        <d v="2022-03-02T21:58:44Z"/>
        <d v="2022-03-02T21:55:18Z"/>
        <d v="2022-03-02T21:54:00Z"/>
        <d v="2022-03-02T21:51:41Z"/>
        <d v="2022-03-02T21:31:05Z"/>
        <d v="2022-03-02T21:28:11Z"/>
        <d v="2022-03-02T21:09:57Z"/>
        <d v="2022-03-02T21:08:56Z"/>
        <d v="2022-03-02T21:03:26Z"/>
        <d v="2022-03-02T20:51:46Z"/>
        <d v="2022-03-02T20:27:16Z"/>
        <d v="2022-03-02T20:19:16Z"/>
        <d v="2022-03-02T20:18:23Z"/>
        <d v="2022-03-02T20:18:00Z"/>
        <d v="2022-03-02T20:11:12Z"/>
        <d v="2022-03-02T19:57:30Z"/>
        <d v="2022-03-02T19:56:52Z"/>
        <d v="2022-03-02T19:44:01Z"/>
        <d v="2022-03-02T19:30:44Z"/>
        <d v="2022-03-02T19:19:29Z"/>
        <d v="2022-03-02T19:03:39Z"/>
        <d v="2022-03-02T18:51:02Z"/>
        <d v="2022-03-02T18:34:51Z"/>
        <d v="2022-03-02T18:12:03Z"/>
        <d v="2022-03-02T17:36:21Z"/>
        <d v="2022-03-02T17:28:53Z"/>
        <d v="2022-03-02T17:07:22Z"/>
        <d v="2022-03-02T16:55:05Z"/>
        <d v="2022-03-02T16:50:35Z"/>
        <d v="2022-03-02T16:10:24Z"/>
        <d v="2022-03-02T16:00:32Z"/>
        <d v="2022-03-02T15:37:21Z"/>
        <d v="2022-03-02T15:33:20Z"/>
        <d v="2022-03-02T15:02:25Z"/>
        <d v="2022-03-02T14:54:36Z"/>
        <d v="2022-03-02T14:51:38Z"/>
        <d v="2022-03-02T13:47:15Z"/>
        <d v="2022-03-02T13:45:40Z"/>
        <d v="2022-03-02T13:41:44Z"/>
        <d v="2022-03-02T13:02:38Z"/>
        <d v="2022-03-02T13:02:07Z"/>
        <d v="2022-03-02T12:38:13Z"/>
        <d v="2022-03-02T12:13:04Z"/>
        <d v="2022-03-02T11:46:41Z"/>
        <d v="2022-03-02T10:59:37Z"/>
        <d v="2022-03-02T09:19:04Z"/>
        <d v="2022-03-02T07:02:23Z"/>
        <d v="2022-03-02T07:00:29Z"/>
        <d v="2022-03-02T06:18:31Z"/>
        <d v="2022-03-02T02:07:37Z"/>
        <d v="2022-03-02T00:28:48Z"/>
        <d v="2022-03-02T00:22:05Z"/>
        <d v="2022-03-01T23:53:52Z"/>
        <d v="2022-03-01T21:58:15Z"/>
        <d v="2022-03-01T21:51:45Z"/>
        <d v="2022-03-01T21:27:46Z"/>
        <d v="2022-03-01T21:01:48Z"/>
        <d v="2022-03-01T20:40:29Z"/>
        <d v="2022-03-01T20:40:14Z"/>
        <d v="2022-03-01T18:22:01Z"/>
        <d v="2022-03-01T18:18:30Z"/>
        <d v="2022-03-01T18:17:32Z"/>
        <d v="2022-03-01T18:16:28Z"/>
        <d v="2022-03-01T18:15:55Z"/>
        <d v="2022-03-01T18:11:07Z"/>
        <d v="2022-03-01T17:53:58Z"/>
        <d v="2022-03-01T17:53:57Z"/>
        <d v="2022-03-01T17:49:35Z"/>
        <d v="2022-03-01T17:49:21Z"/>
        <d v="2022-03-01T17:47:57Z"/>
        <d v="2022-03-01T17:45:32Z"/>
        <d v="2022-03-01T17:45:21Z"/>
        <d v="2022-03-01T17:45:09Z"/>
        <d v="2022-03-01T17:44:54Z"/>
        <d v="2022-03-01T17:44:41Z"/>
        <d v="2022-03-01T17:40:42Z"/>
        <d v="2022-03-01T17:14:57Z"/>
        <d v="2022-03-01T16:42:55Z"/>
        <d v="2022-03-01T16:26:12Z"/>
        <d v="2022-03-01T16:23:11Z"/>
        <d v="2022-03-01T16:14:16Z"/>
        <d v="2022-03-01T15:20:23Z"/>
        <d v="2022-03-01T14:28:48Z"/>
        <d v="2022-03-01T14:03:28Z"/>
        <d v="2022-03-01T13:36:56Z"/>
        <d v="2022-03-01T13:35:17Z"/>
        <d v="2022-03-01T13:33:42Z"/>
        <d v="2022-03-01T13:18:01Z"/>
        <d v="2022-03-01T13:16:37Z"/>
        <d v="2022-03-01T12:59:17Z"/>
        <d v="2022-03-01T12:57:26Z"/>
        <d v="2022-03-01T12:56:35Z"/>
        <d v="2022-03-01T12:47:02Z"/>
        <d v="2022-03-01T12:46:09Z"/>
        <d v="2022-03-01T12:44:18Z"/>
        <d v="2022-03-01T12:43:13Z"/>
        <d v="2022-03-01T12:39:07Z"/>
        <d v="2022-03-01T12:37:57Z"/>
        <d v="2022-03-01T12:33:44Z"/>
        <d v="2022-03-01T12:11:45Z"/>
        <d v="2022-03-01T12:10:46Z"/>
        <d v="2022-03-01T12:10:18Z"/>
        <d v="2022-03-01T12:09:40Z"/>
        <d v="2022-03-01T11:59:22Z"/>
        <d v="2022-03-01T11:57:03Z"/>
        <d v="2022-03-01T11:52:55Z"/>
        <d v="2022-03-01T11:16:58Z"/>
        <d v="2022-03-01T11:16:48Z"/>
        <d v="2022-03-01T11:14:57Z"/>
        <d v="2022-03-01T11:10:36Z"/>
        <d v="2022-03-01T10:49:49Z"/>
        <d v="2022-03-01T10:47:33Z"/>
        <d v="2022-03-01T10:41:11Z"/>
        <d v="2022-03-01T10:24:46Z"/>
        <d v="2022-03-01T10:22:18Z"/>
        <d v="2022-03-01T10:10:17Z"/>
        <d v="2022-03-01T10:05:07Z"/>
        <d v="2022-03-01T10:01:45Z"/>
        <d v="2022-03-01T09:59:48Z"/>
        <d v="2022-03-01T09:56:56Z"/>
        <d v="2022-03-01T09:38:25Z"/>
        <d v="2022-03-01T09:27:01Z"/>
        <d v="2022-03-01T09:00:11Z"/>
        <d v="2022-03-01T08:59:42Z"/>
        <d v="2022-03-01T08:58:58Z"/>
        <d v="2022-03-01T08:48:05Z"/>
        <d v="2022-03-01T08:06:28Z"/>
        <d v="2022-03-01T08:00:27Z"/>
        <d v="2022-03-01T07:55:40Z"/>
        <d v="2022-03-01T07:51:20Z"/>
        <d v="2022-03-01T07:50:23Z"/>
        <d v="2022-03-01T07:08:30Z"/>
        <d v="2022-03-01T07:02:34Z"/>
        <d v="2022-03-01T05:35:00Z"/>
        <d v="2022-03-01T03:11:39Z"/>
        <d v="2022-03-01T01:18:26Z"/>
        <d v="2022-02-28T23:25:24Z"/>
        <d v="2022-02-28T22:27:47Z"/>
        <d v="2022-02-28T22:25:48Z"/>
        <d v="2022-02-28T21:50:53Z"/>
        <d v="2022-02-28T21:32:37Z"/>
        <d v="2022-02-28T21:32:22Z"/>
        <d v="2022-02-28T21:29:50Z"/>
        <d v="2022-02-28T21:27:06Z"/>
        <d v="2022-02-28T21:26:55Z"/>
        <d v="2022-02-28T21:26:29Z"/>
        <d v="2022-02-28T21:22:46Z"/>
        <d v="2022-02-28T20:44:26Z"/>
        <d v="2022-02-28T20:35:28Z"/>
        <d v="2022-02-28T20:20:13Z"/>
        <d v="2022-02-28T20:02:19Z"/>
        <d v="2022-02-28T20:01:19Z"/>
        <d v="2022-02-28T19:33:52Z"/>
        <d v="2022-02-28T19:32:53Z"/>
        <d v="2022-02-28T18:44:55Z"/>
        <d v="2022-02-28T18:39:35Z"/>
        <d v="2022-02-28T18:17:14Z"/>
        <d v="2022-02-28T18:07:58Z"/>
        <d v="2022-02-28T18:05:05Z"/>
        <d v="2022-02-28T17:30:36Z"/>
        <d v="2022-02-28T17:29:04Z"/>
        <d v="2022-02-28T17:08:53Z"/>
        <d v="2022-02-28T17:07:46Z"/>
        <d v="2022-02-28T17:00:27Z"/>
        <d v="2022-02-28T16:37:20Z"/>
        <d v="2022-02-28T16:36:35Z"/>
        <d v="2022-02-28T16:36:27Z"/>
        <d v="2022-02-28T15:56:01Z"/>
        <d v="2022-02-28T15:31:39Z"/>
        <d v="2022-02-28T15:24:17Z"/>
        <d v="2022-02-28T15:05:11Z"/>
        <d v="2022-02-28T14:52:38Z"/>
        <d v="2022-02-28T14:51:19Z"/>
        <d v="2022-02-28T14:33:20Z"/>
        <d v="2022-02-28T14:15:48Z"/>
        <d v="2022-02-28T14:06:12Z"/>
        <d v="2022-02-28T13:53:07Z"/>
        <d v="2022-02-28T13:46:07Z"/>
        <d v="2022-02-28T13:44:11Z"/>
        <d v="2022-02-28T13:33:22Z"/>
        <d v="2022-02-28T13:21:24Z"/>
        <d v="2022-02-28T12:25:33Z"/>
        <d v="2022-02-28T12:19:09Z"/>
        <d v="2022-02-28T12:18:24Z"/>
        <d v="2022-02-28T11:51:05Z"/>
        <d v="2022-02-28T10:55:54Z"/>
        <d v="2022-02-28T10:32:32Z"/>
        <d v="2022-02-28T10:09:26Z"/>
        <d v="2022-02-28T09:22:24Z"/>
        <d v="2022-02-28T09:09:25Z"/>
        <d v="2022-02-28T07:27:04Z"/>
        <d v="2022-02-28T07:21:06Z"/>
        <d v="2022-02-28T05:53:14Z"/>
        <d v="2022-02-28T05:46:41Z"/>
        <d v="2022-02-28T03:35:20Z"/>
        <d v="2022-02-28T00:19:28Z"/>
        <d v="2022-02-27T22:57:05Z"/>
        <d v="2022-02-27T21:55:57Z"/>
        <d v="2022-02-27T21:53:59Z"/>
        <d v="2022-02-27T21:48:46Z"/>
        <d v="2022-02-27T21:46:59Z"/>
        <d v="2022-02-27T21:42:03Z"/>
        <d v="2022-02-27T21:41:28Z"/>
        <d v="2022-02-27T21:41:15Z"/>
        <d v="2022-02-27T21:40:21Z"/>
        <d v="2022-02-27T21:39:50Z"/>
        <d v="2022-02-27T21:35:45Z"/>
        <d v="2022-02-27T21:35:10Z"/>
        <d v="2022-02-27T21:32:48Z"/>
        <d v="2022-02-27T21:28:29Z"/>
        <d v="2022-02-27T20:55:49Z"/>
        <d v="2022-02-27T20:47:33Z"/>
        <d v="2022-02-27T20:46:01Z"/>
        <d v="2022-02-27T20:43:31Z"/>
        <d v="2022-02-27T20:39:51Z"/>
        <d v="2022-02-27T20:21:01Z"/>
        <d v="2022-02-27T19:53:39Z"/>
        <d v="2022-02-27T19:24:06Z"/>
        <d v="2022-02-27T19:14:53Z"/>
        <d v="2022-02-27T19:13:21Z"/>
        <d v="2022-02-27T19:05:24Z"/>
        <d v="2022-02-27T18:08:27Z"/>
        <d v="2022-02-27T18:08:20Z"/>
        <d v="2022-02-27T17:58:12Z"/>
        <d v="2022-02-27T17:32:16Z"/>
        <d v="2022-02-27T16:29:10Z"/>
        <d v="2022-02-27T16:10:46Z"/>
        <d v="2022-02-27T16:07:59Z"/>
        <d v="2022-02-27T16:01:30Z"/>
        <d v="2022-02-27T15:59:07Z"/>
        <d v="2022-02-27T15:48:22Z"/>
        <d v="2022-02-27T15:37:54Z"/>
        <d v="2022-02-27T14:41:43Z"/>
        <d v="2022-02-27T14:41:10Z"/>
        <d v="2022-02-27T13:33:03Z"/>
        <d v="2022-02-27T13:31:18Z"/>
        <d v="2022-02-27T12:48:10Z"/>
        <d v="2022-02-27T12:48:05Z"/>
        <d v="2022-02-27T12:21:19Z"/>
        <d v="2022-02-27T11:55:59Z"/>
        <d v="2022-02-27T11:52:41Z"/>
        <d v="2022-02-27T11:22:01Z"/>
        <d v="2022-02-27T11:09:46Z"/>
        <d v="2022-02-27T11:04:30Z"/>
        <d v="2022-02-27T10:57:12Z"/>
        <d v="2022-02-27T10:52:57Z"/>
        <d v="2022-02-27T10:34:30Z"/>
        <d v="2022-02-27T10:31:53Z"/>
        <d v="2022-02-27T10:28:35Z"/>
        <d v="2022-02-27T10:25:14Z"/>
        <d v="2022-02-27T10:22:20Z"/>
        <d v="2022-02-27T10:05:07Z"/>
        <d v="2022-02-27T10:05:03Z"/>
        <d v="2022-02-27T10:05:01Z"/>
        <d v="2022-02-27T10:04:59Z"/>
        <d v="2022-02-27T09:50:05Z"/>
        <d v="2022-02-27T09:35:52Z"/>
        <d v="2022-02-27T09:28:13Z"/>
        <d v="2022-02-27T09:22:22Z"/>
        <d v="2022-02-27T09:07:37Z"/>
        <d v="2022-02-27T09:02:11Z"/>
        <d v="2022-02-27T08:46:24Z"/>
        <d v="2022-02-27T08:46:11Z"/>
        <d v="2022-02-27T08:29:41Z"/>
        <d v="2022-02-27T08:27:43Z"/>
        <d v="2022-02-27T07:43:03Z"/>
        <d v="2022-02-27T07:22:56Z"/>
        <d v="2022-02-27T06:07:52Z"/>
        <d v="2022-02-27T01:21:10Z"/>
        <d v="2022-02-27T00:29:34Z"/>
        <d v="2022-02-27T00:08:09Z"/>
        <d v="2022-02-26T23:37:11Z"/>
        <d v="2022-02-26T23:22:38Z"/>
        <d v="2022-02-26T22:36:44Z"/>
        <d v="2022-02-26T22:34:24Z"/>
        <d v="2022-02-26T22:32:51Z"/>
        <d v="2022-02-26T22:31:36Z"/>
        <d v="2022-02-26T22:25:52Z"/>
        <d v="2022-02-26T22:20:42Z"/>
        <d v="2022-02-26T22:19:28Z"/>
        <d v="2022-02-26T22:18:49Z"/>
        <d v="2022-02-26T22:18:06Z"/>
        <d v="2022-02-26T22:16:46Z"/>
        <d v="2022-02-26T22:15:19Z"/>
        <d v="2022-02-26T22:05:38Z"/>
        <d v="2022-02-26T22:04:14Z"/>
        <d v="2022-02-26T22:03:03Z"/>
        <d v="2022-02-26T21:47:35Z"/>
        <d v="2022-02-26T21:42:09Z"/>
        <d v="2022-02-26T21:37:56Z"/>
        <d v="2022-02-26T21:37:24Z"/>
        <d v="2022-02-26T21:34:23Z"/>
        <d v="2022-02-26T21:09:27Z"/>
        <d v="2022-02-26T20:32:35Z"/>
        <d v="2022-02-26T20:06:15Z"/>
        <d v="2022-02-26T20:02:30Z"/>
        <d v="2022-02-26T19:57:02Z"/>
        <d v="2022-02-26T19:54:37Z"/>
        <d v="2022-02-26T19:54:04Z"/>
        <d v="2022-02-26T19:36:49Z"/>
        <d v="2022-02-26T19:33:50Z"/>
        <d v="2022-02-26T19:33:32Z"/>
        <d v="2022-02-26T19:05:41Z"/>
        <d v="2022-02-26T19:04:48Z"/>
        <d v="2022-02-26T19:01:14Z"/>
        <d v="2022-02-26T18:31:26Z"/>
        <d v="2022-02-26T18:09:22Z"/>
        <d v="2022-02-26T17:58:18Z"/>
        <d v="2022-02-26T17:47:30Z"/>
        <d v="2022-02-26T17:20:46Z"/>
        <d v="2022-02-26T17:06:34Z"/>
        <d v="2022-02-26T16:31:57Z"/>
        <d v="2022-02-26T16:25:00Z"/>
        <d v="2022-02-26T16:06:38Z"/>
        <d v="2022-02-26T16:05:56Z"/>
        <d v="2022-02-26T15:49:45Z"/>
        <d v="2022-02-26T15:47:39Z"/>
        <d v="2022-02-26T15:42:57Z"/>
        <d v="2022-02-26T15:39:23Z"/>
        <d v="2022-02-26T15:32:33Z"/>
        <d v="2022-02-26T15:17:29Z"/>
        <d v="2022-02-26T15:17:19Z"/>
        <d v="2022-02-26T15:17:18Z"/>
        <d v="2022-02-26T15:17:17Z"/>
        <d v="2022-02-26T15:12:10Z"/>
        <d v="2022-02-26T13:50:21Z"/>
        <d v="2022-02-26T12:32:19Z"/>
        <d v="2022-02-26T12:30:29Z"/>
        <d v="2022-02-26T12:25:17Z"/>
        <d v="2022-02-26T11:28:08Z"/>
        <d v="2022-02-26T11:18:43Z"/>
        <d v="2022-02-26T10:40:48Z"/>
        <d v="2022-02-26T09:30:00Z"/>
        <d v="2022-02-26T08:24:25Z"/>
        <d v="2022-02-26T08:18:08Z"/>
        <d v="2022-02-26T07:50:31Z"/>
        <d v="2022-02-26T07:30:48Z"/>
        <d v="2022-02-26T07:28:12Z"/>
        <d v="2022-02-26T06:24:43Z"/>
        <d v="2022-02-26T05:09:00Z"/>
        <d v="2022-02-26T04:27:23Z"/>
        <d v="2022-02-26T01:12:33Z"/>
        <d v="2022-02-26T01:09:16Z"/>
        <d v="2022-02-26T01:03:30Z"/>
        <d v="2022-02-25T21:56:08Z"/>
        <d v="2022-02-25T21:47:51Z"/>
        <d v="2022-02-25T21:44:43Z"/>
        <d v="2022-02-25T21:34:54Z"/>
        <d v="2022-02-25T21:16:11Z"/>
        <d v="2022-02-25T20:57:54Z"/>
        <d v="2022-02-25T20:53:33Z"/>
        <d v="2022-02-25T20:49:17Z"/>
        <d v="2022-02-25T20:42:12Z"/>
        <d v="2022-02-25T20:38:12Z"/>
        <d v="2022-02-25T20:33:55Z"/>
        <d v="2022-02-25T20:32:01Z"/>
        <d v="2022-02-25T20:08:18Z"/>
        <d v="2022-02-25T19:59:20Z"/>
        <d v="2022-02-25T19:52:09Z"/>
        <d v="2022-02-25T19:46:10Z"/>
        <d v="2022-02-25T19:34:54Z"/>
        <d v="2022-02-25T19:13:12Z"/>
        <d v="2022-02-25T19:08:57Z"/>
        <d v="2022-02-25T19:00:57Z"/>
        <d v="2022-02-25T18:58:13Z"/>
        <d v="2022-02-25T18:17:50Z"/>
        <d v="2022-02-25T17:31:38Z"/>
        <d v="2022-02-25T17:21:17Z"/>
        <d v="2022-02-25T17:09:13Z"/>
        <d v="2022-02-25T16:43:43Z"/>
        <d v="2022-02-25T16:38:22Z"/>
        <d v="2022-02-25T15:06:53Z"/>
        <d v="2022-02-25T14:53:23Z"/>
        <d v="2022-02-25T13:20:12Z"/>
        <d v="2022-02-25T12:49:15Z"/>
        <d v="2022-02-25T12:35:57Z"/>
        <d v="2022-02-25T12:33:42Z"/>
        <d v="2022-02-25T12:10:13Z"/>
        <d v="2022-02-25T11:18:17Z"/>
        <d v="2022-02-25T11:14:33Z"/>
        <d v="2022-02-25T09:49:25Z"/>
        <d v="2022-02-25T08:04:35Z"/>
        <d v="2022-02-25T06:19:16Z"/>
        <d v="2022-02-25T03:24:44Z"/>
        <d v="2022-02-25T01:32:11Z"/>
        <d v="2022-02-24T22:17:40Z"/>
        <d v="2022-02-24T21:18:22Z"/>
        <d v="2022-02-24T21:15:54Z"/>
        <d v="2022-02-24T20:35:11Z"/>
        <d v="2022-02-24T20:32:15Z"/>
        <d v="2022-02-24T20:26:48Z"/>
        <d v="2022-02-24T17:04:39Z"/>
        <d v="2022-02-24T16:53:42Z"/>
        <d v="2022-02-24T16:23:45Z"/>
        <d v="2022-02-24T15:32:33Z"/>
        <d v="2022-02-24T15:23:28Z"/>
        <d v="2022-02-24T14:16:07Z"/>
        <d v="2022-02-24T13:50:18Z"/>
        <d v="2022-02-24T13:41:04Z"/>
        <d v="2022-02-24T12:04:07Z"/>
        <d v="2022-02-24T11:59:01Z"/>
        <d v="2022-02-24T11:34:10Z"/>
        <d v="2022-02-24T11:18:36Z"/>
        <d v="2022-02-24T09:57:00Z"/>
        <d v="2022-02-24T08:25:56Z"/>
        <d v="2022-02-24T08:25:40Z"/>
        <d v="2022-02-24T08:08:09Z"/>
        <d v="2022-02-24T07:14:44Z"/>
        <d v="2022-02-24T04:43:56Z"/>
        <d v="2022-02-24T01:51:35Z"/>
        <d v="2022-02-24T00:06:59Z"/>
        <d v="2022-02-24T00:05:17Z"/>
        <d v="2022-02-24T00:01:42Z"/>
        <d v="2022-02-23T23:58:29Z"/>
        <d v="2022-02-23T22:33:04Z"/>
        <d v="2022-02-23T22:19:21Z"/>
        <d v="2022-02-23T22:19:11Z"/>
        <d v="2022-02-23T20:03:51Z"/>
        <d v="2022-02-23T19:41:23Z"/>
        <d v="2022-02-23T18:19:05Z"/>
        <d v="2022-02-23T17:56:09Z"/>
        <d v="2022-02-23T17:37:17Z"/>
        <d v="2022-02-23T15:17:46Z"/>
        <d v="2022-02-23T15:09:26Z"/>
        <d v="2022-02-23T15:03:51Z"/>
        <d v="2022-02-23T15:01:06Z"/>
        <d v="2022-02-23T15:00:35Z"/>
        <d v="2022-02-23T14:30:41Z"/>
        <d v="2022-02-23T14:00:28Z"/>
        <d v="2022-02-23T12:52:12Z"/>
        <d v="2022-02-23T11:41:37Z"/>
        <d v="2022-02-23T08:38:23Z"/>
        <d v="2022-02-23T08:38:13Z"/>
        <d v="2022-02-23T08:05:34Z"/>
        <d v="2022-02-23T07:49:08Z"/>
        <d v="2022-02-23T06:22:51Z"/>
        <d v="2022-02-23T05:57:55Z"/>
        <d v="2022-02-23T05:04:45Z"/>
        <d v="2022-02-23T04:36:16Z"/>
        <d v="2022-02-22T22:15:16Z"/>
        <d v="2022-02-22T21:59:35Z"/>
        <d v="2022-02-22T21:02:43Z"/>
        <d v="2022-02-22T20:52:30Z"/>
        <d v="2022-02-22T20:17:39Z"/>
        <d v="2022-02-22T19:04:39Z"/>
        <d v="2022-02-22T18:10:15Z"/>
        <d v="2022-02-22T15:40:07Z"/>
        <d v="2022-02-22T15:36:02Z"/>
        <d v="2022-02-22T15:30:47Z"/>
        <d v="2022-02-22T14:00:12Z"/>
        <d v="2022-02-22T12:47:16Z"/>
        <d v="2022-02-22T12:31:31Z"/>
        <d v="2022-02-22T12:29:16Z"/>
        <d v="2022-02-22T10:56:40Z"/>
        <d v="2022-02-22T10:37:27Z"/>
        <d v="2022-02-22T09:15:10Z"/>
        <d v="2022-02-21T19:31:54Z"/>
        <d v="2022-02-21T18:29:47Z"/>
        <d v="2022-02-21T14:21:00Z"/>
        <d v="2022-02-21T11:57:25Z"/>
        <d v="2022-02-21T09:42:49Z"/>
        <d v="2022-02-21T09:42:20Z"/>
        <d v="2022-02-21T09:12:08Z"/>
        <d v="2022-02-21T08:15:29Z"/>
        <d v="2022-02-20T23:46:59Z"/>
        <d v="2022-02-20T22:58:31Z"/>
        <d v="2022-02-20T21:57:42Z"/>
        <d v="2022-02-20T21:56:48Z"/>
        <d v="2022-02-20T20:49:57Z"/>
        <d v="2022-02-20T19:16:52Z"/>
        <d v="2022-02-20T19:16:17Z"/>
        <d v="2022-02-20T16:43:38Z"/>
        <d v="2022-02-20T16:35:05Z"/>
        <d v="2022-02-20T13:40:35Z"/>
        <d v="2022-02-20T12:03:16Z"/>
        <d v="2022-02-20T11:38:58Z"/>
        <d v="2022-02-20T09:58:44Z"/>
        <d v="2022-02-20T09:22:52Z"/>
        <d v="2022-02-19T21:27:28Z"/>
        <d v="2022-02-19T20:21:55Z"/>
        <d v="2022-02-19T20:21:52Z"/>
        <d v="2022-02-19T20:19:51Z"/>
        <d v="2022-02-19T20:17:56Z"/>
        <d v="2022-02-19T20:09:29Z"/>
        <d v="2022-02-19T14:58:37Z"/>
        <d v="2022-02-19T11:41:04Z"/>
        <d v="2022-02-19T11:01:45Z"/>
        <d v="2022-02-19T10:24:00Z"/>
        <d v="2022-02-19T09:44:56Z"/>
        <d v="2022-02-19T09:38:00Z"/>
        <d v="2022-02-18T22:31:23Z"/>
        <d v="2022-02-18T22:15:24Z"/>
        <d v="2022-02-18T21:38:18Z"/>
        <d v="2022-02-18T21:00:52Z"/>
        <d v="2022-02-18T19:50:24Z"/>
        <d v="2022-02-18T18:36:43Z"/>
        <d v="2022-02-18T17:27:46Z"/>
        <d v="2022-02-18T17:01:31Z"/>
        <d v="2022-02-18T16:30:20Z"/>
        <d v="2022-02-18T16:04:06Z"/>
        <d v="2022-02-18T15:54:30Z"/>
        <d v="2022-02-18T15:38:13Z"/>
        <d v="2022-02-18T15:21:21Z"/>
        <d v="2022-02-18T14:59:36Z"/>
        <d v="2022-02-18T14:51:16Z"/>
        <d v="2022-02-18T14:44:47Z"/>
        <d v="2022-02-18T14:44:28Z"/>
        <d v="2022-02-18T14:41:35Z"/>
        <d v="2022-02-18T14:41:10Z"/>
        <d v="2022-02-18T14:14:50Z"/>
        <d v="2022-02-18T14:11:42Z"/>
        <d v="2022-02-18T11:26:40Z"/>
        <d v="2022-02-18T11:26:17Z"/>
        <d v="2022-02-18T11:24:21Z"/>
        <d v="2022-02-18T07:08:03Z"/>
        <d v="2022-02-18T06:21:53Z"/>
        <d v="2022-02-18T05:20:31Z"/>
        <d v="2022-02-18T00:53:09Z"/>
        <d v="2022-02-18T00:42:50Z"/>
        <d v="2022-02-17T21:52:19Z"/>
        <d v="2022-02-17T21:25:49Z"/>
        <d v="2022-02-17T19:47:46Z"/>
        <d v="2022-02-17T19:00:09Z"/>
        <d v="2022-02-17T18:51:24Z"/>
        <d v="2022-02-17T17:14:22Z"/>
        <d v="2022-02-17T13:38:24Z"/>
        <d v="2022-02-17T11:59:08Z"/>
        <d v="2022-02-17T11:52:41Z"/>
        <d v="2022-02-17T11:51:21Z"/>
        <d v="2022-02-17T11:43:14Z"/>
        <d v="2022-02-17T11:43:12Z"/>
        <d v="2022-02-17T11:22:25Z"/>
        <d v="2022-02-17T11:14:54Z"/>
        <d v="2022-02-17T11:10:16Z"/>
        <d v="2022-02-17T11:04:18Z"/>
        <d v="2022-02-17T11:03:39Z"/>
        <d v="2022-02-17T10:42:41Z"/>
        <d v="2022-02-17T10:25:33Z"/>
        <d v="2022-02-17T10:19:00Z"/>
        <d v="2022-02-17T08:52:58Z"/>
        <d v="2022-02-17T08:29:47Z"/>
        <d v="2022-02-17T07:22:28Z"/>
        <d v="2022-02-16T22:47:04Z"/>
        <d v="2022-02-16T21:46:06Z"/>
        <d v="2022-02-16T21:40:20Z"/>
        <d v="2022-02-16T19:18:37Z"/>
        <d v="2022-02-16T18:45:27Z"/>
        <d v="2022-02-16T18:33:43Z"/>
        <d v="2022-02-16T17:47:57Z"/>
        <d v="2022-02-16T17:28:50Z"/>
        <d v="2022-02-16T17:23:10Z"/>
        <d v="2022-02-16T15:46:06Z"/>
        <d v="2022-02-16T15:33:59Z"/>
        <d v="2022-02-16T14:53:16Z"/>
        <d v="2022-02-16T11:51:27Z"/>
        <d v="2022-02-16T11:46:54Z"/>
        <d v="2022-02-16T11:17:01Z"/>
        <d v="2022-02-16T11:15:13Z"/>
        <d v="2022-02-16T11:14:32Z"/>
        <d v="2022-02-16T11:00:49Z"/>
        <d v="2022-02-16T09:37:16Z"/>
        <d v="2022-02-16T09:33:19Z"/>
        <d v="2022-02-16T00:10:37Z"/>
        <d v="2022-02-15T23:58:03Z"/>
        <d v="2022-02-15T22:20:14Z"/>
        <d v="2022-02-15T21:20:11Z"/>
        <d v="2022-02-15T21:14:25Z"/>
        <d v="2022-02-15T20:30:30Z"/>
        <d v="2022-02-15T19:38:12Z"/>
        <d v="2022-02-15T19:37:29Z"/>
        <d v="2022-02-15T17:27:27Z"/>
        <d v="2022-02-15T16:50:37Z"/>
        <d v="2022-02-15T13:55:32Z"/>
        <d v="2022-02-15T13:53:52Z"/>
        <d v="2022-02-15T12:26:14Z"/>
        <d v="2022-02-15T11:51:37Z"/>
        <d v="2022-02-15T10:15:03Z"/>
        <d v="2022-02-15T08:59:55Z"/>
        <d v="2022-02-15T08:40:15Z"/>
        <d v="2022-02-15T08:34:51Z"/>
        <d v="2022-02-14T23:18:02Z"/>
        <d v="2022-02-14T21:34:14Z"/>
        <d v="2022-02-14T21:22:21Z"/>
        <d v="2022-02-14T21:18:52Z"/>
        <d v="2022-02-14T20:12:09Z"/>
        <d v="2022-02-14T18:30:52Z"/>
        <d v="2022-02-14T18:30:18Z"/>
        <d v="2022-02-14T18:27:45Z"/>
        <d v="2022-02-14T17:45:26Z"/>
        <d v="2022-02-14T17:26:24Z"/>
        <d v="2022-02-14T16:56:06Z"/>
        <d v="2022-02-14T16:35:16Z"/>
        <d v="2022-02-14T15:57:30Z"/>
        <d v="2022-02-14T14:53:09Z"/>
        <d v="2022-02-14T14:08:54Z"/>
        <d v="2022-02-14T13:19:54Z"/>
        <d v="2022-02-14T11:35:38Z"/>
        <d v="2022-02-14T11:18:57Z"/>
        <d v="2022-02-14T11:18:43Z"/>
        <d v="2022-02-14T11:10:10Z"/>
        <d v="2022-02-14T10:24:09Z"/>
        <d v="2022-02-14T10:20:41Z"/>
        <d v="2022-02-14T10:11:21Z"/>
        <d v="2022-02-14T10:11:19Z"/>
        <d v="2022-02-14T10:01:36Z"/>
        <d v="2022-02-14T09:46:41Z"/>
        <d v="2022-02-14T09:46:38Z"/>
        <d v="2022-02-13T23:38:13Z"/>
        <d v="2022-02-13T21:36:13Z"/>
        <d v="2022-02-13T21:35:19Z"/>
        <d v="2022-02-13T21:06:38Z"/>
        <d v="2022-02-13T21:06:18Z"/>
        <d v="2022-02-13T20:11:46Z"/>
        <d v="2022-02-13T17:16:45Z"/>
        <d v="2022-02-13T16:30:02Z"/>
        <d v="2022-02-13T16:02:02Z"/>
        <d v="2022-02-13T14:47:53Z"/>
        <d v="2022-02-13T14:18:10Z"/>
        <d v="2022-02-13T13:58:02Z"/>
        <d v="2022-02-13T13:45:36Z"/>
        <d v="2022-02-13T13:30:16Z"/>
        <d v="2022-02-13T13:29:05Z"/>
        <d v="2022-02-13T12:35:05Z"/>
        <d v="2022-02-13T11:49:12Z"/>
        <d v="2022-02-13T10:57:08Z"/>
        <d v="2022-02-13T10:03:27Z"/>
        <d v="2022-02-13T10:01:22Z"/>
        <d v="2022-02-13T09:57:53Z"/>
        <d v="2022-02-13T06:12:44Z"/>
        <d v="2022-02-12T23:28:55Z"/>
        <d v="2022-02-12T22:30:38Z"/>
        <d v="2022-02-12T21:06:59Z"/>
        <d v="2022-02-12T21:06:56Z"/>
        <d v="2022-02-12T21:06:40Z"/>
        <d v="2022-02-12T20:50:46Z"/>
        <d v="2022-02-12T20:22:53Z"/>
        <d v="2022-02-12T20:06:34Z"/>
        <d v="2022-02-12T19:10:01Z"/>
        <d v="2022-02-12T18:57:59Z"/>
        <d v="2022-02-12T18:29:23Z"/>
        <d v="2022-02-12T18:23:11Z"/>
        <d v="2022-02-12T18:19:47Z"/>
        <d v="2022-02-12T13:54:16Z"/>
        <d v="2022-02-12T12:52:40Z"/>
        <d v="2022-02-12T11:41:35Z"/>
        <d v="2022-02-12T11:31:44Z"/>
        <d v="2022-02-12T11:25:57Z"/>
        <d v="2022-02-12T09:49:22Z"/>
        <d v="2022-02-12T09:47:36Z"/>
        <d v="2022-02-12T09:47:04Z"/>
        <d v="2022-02-12T08:39:15Z"/>
        <d v="2022-02-12T08:28:16Z"/>
        <d v="2022-02-12T07:26:36Z"/>
      </sharedItems>
    </cacheField>
    <cacheField name="Day" numFmtId="0">
      <sharedItems containsSemiMixedTypes="0" containsString="0" containsNumber="1" containsInteger="1">
        <n v="12.0"/>
        <n v="11.0"/>
        <n v="10.0"/>
        <n v="9.0"/>
        <n v="8.0"/>
        <n v="7.0"/>
        <n v="6.0"/>
        <n v="5.0"/>
        <n v="4.0"/>
        <n v="3.0"/>
        <n v="2.0"/>
        <n v="1.0"/>
        <n v="31.0"/>
        <n v="30.0"/>
        <n v="29.0"/>
        <n v="28.0"/>
        <n v="27.0"/>
        <n v="26.0"/>
        <n v="25.0"/>
        <n v="24.0"/>
        <n v="23.0"/>
        <n v="22.0"/>
        <n v="21.0"/>
        <n v="20.0"/>
        <n v="19.0"/>
        <n v="18.0"/>
        <n v="17.0"/>
        <n v="16.0"/>
        <n v="15.0"/>
        <n v="14.0"/>
        <n v="13.0"/>
      </sharedItems>
    </cacheField>
    <cacheField name="Hour" numFmtId="0">
      <sharedItems containsSemiMixedTypes="0" containsString="0" containsNumber="1" containsInteger="1">
        <n v="12.0"/>
        <n v="11.0"/>
        <n v="10.0"/>
        <n v="9.0"/>
        <n v="8.0"/>
        <n v="7.0"/>
        <n v="6.0"/>
        <n v="5.0"/>
        <n v="4.0"/>
        <n v="3.0"/>
        <n v="2.0"/>
        <n v="1.0"/>
        <n v="0.0"/>
        <n v="23.0"/>
        <n v="22.0"/>
        <n v="21.0"/>
        <n v="20.0"/>
        <n v="19.0"/>
        <n v="18.0"/>
        <n v="17.0"/>
        <n v="16.0"/>
        <n v="15.0"/>
        <n v="14.0"/>
        <n v="13.0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solution_2" cacheId="0" dataCaption="" rowGrandTotals="0" compact="0" compactData="0">
  <location ref="G3:H34" firstHeaderRow="0" firstDataRow="1" firstDataCol="0"/>
  <pivotFields>
    <pivotField name="date_ti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t="default"/>
      </items>
    </pivotField>
    <pivotField name="instance_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t="default"/>
      </items>
    </pivotField>
    <pivotField name="Date_in_IST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t="default"/>
      </items>
    </pivotField>
    <pivotField name="Day" axis="axisRow" compact="0" outline="0" multipleItemSelectionAllowed="1" showAll="0" sortType="ascending">
      <items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t="default"/>
      </items>
    </pivotField>
  </pivotFields>
  <rowFields>
    <field x="3"/>
  </rowFields>
  <dataFields>
    <dataField name="COUNT of incident_id" fld="1" subtotal="count" baseField="0"/>
  </dataFields>
</pivotTableDefinition>
</file>

<file path=xl/pivotTables/pivotTable2.xml><?xml version="1.0" encoding="utf-8"?>
<pivotTableDefinition xmlns="http://schemas.openxmlformats.org/spreadsheetml/2006/main" name="solution_2 2" cacheId="1" dataCaption="" rowGrandTotals="0" compact="0" compactData="0">
  <location ref="G45:H69" firstHeaderRow="0" firstDataRow="1" firstDataCol="0"/>
  <pivotFields>
    <pivotField name="date_ti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t="default"/>
      </items>
    </pivotField>
    <pivotField name="instance_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t="default"/>
      </items>
    </pivotField>
    <pivotField name="Date_in_IST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t="default"/>
      </items>
    </pivotField>
    <pivotField name="Da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name="Hour" axis="axisRow" compact="0" outline="0" multipleItemSelectionAllowed="1" showAll="0" sortType="ascending">
      <items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23"/>
        <item x="22"/>
        <item x="21"/>
        <item x="20"/>
        <item x="19"/>
        <item x="18"/>
        <item x="17"/>
        <item x="16"/>
        <item x="15"/>
        <item x="14"/>
        <item x="13"/>
        <item t="default"/>
      </items>
    </pivotField>
  </pivotFields>
  <rowFields>
    <field x="4"/>
  </rowFields>
  <dataFields>
    <dataField name="Percent of instance_id" fld="1" subtotal="count" showDataAs="percentOfTotal" baseField="0" numFmtId="1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play.google.com/store/search?q=messenger%20app&amp;c=apps" TargetMode="External"/><Relationship Id="rId2" Type="http://schemas.openxmlformats.org/officeDocument/2006/relationships/hyperlink" Target="https://play.google.com/store/search?q=torch&amp;c=apps" TargetMode="External"/><Relationship Id="rId3" Type="http://schemas.openxmlformats.org/officeDocument/2006/relationships/hyperlink" Target="https://play.google.com/store/search?q=personal%20loan%20app&amp;c=apps" TargetMode="External"/><Relationship Id="rId4" Type="http://schemas.openxmlformats.org/officeDocument/2006/relationships/hyperlink" Target="https://play.google.com/store/search?q=pnr%20status%20in%20india&amp;c=apps" TargetMode="External"/><Relationship Id="rId5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s://console.cloud.google.com/marketplace/product/obfuscated-ga360-data/obfuscated-ga360-data" TargetMode="External"/><Relationship Id="rId2" Type="http://schemas.openxmlformats.org/officeDocument/2006/relationships/hyperlink" Target="https://console.cloud.google.com/bigquery?sq=425332926664:8513a2b72ab74a5389fa919887b3bde3" TargetMode="External"/><Relationship Id="rId3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62.25"/>
    <col customWidth="1" min="3" max="3" width="24.63"/>
    <col customWidth="1" min="4" max="4" width="23.75"/>
  </cols>
  <sheetData>
    <row r="3">
      <c r="B3" s="1" t="s">
        <v>0</v>
      </c>
      <c r="C3" s="1" t="s">
        <v>1</v>
      </c>
      <c r="D3" s="2" t="s">
        <v>2</v>
      </c>
    </row>
    <row r="4">
      <c r="B4" s="3" t="s">
        <v>3</v>
      </c>
      <c r="C4" s="4">
        <v>50.0</v>
      </c>
      <c r="D4" s="5" t="str">
        <f>IFERROR(__xludf.DUMMYFUNCTION("query(REGEXREPLACE(INDEX(SPLIT(INDEX(SPLIT(B4,""=""),2),""&amp;""),1),""%20"","",""))"),"messenger,app")</f>
        <v>messenger,app</v>
      </c>
    </row>
    <row r="5">
      <c r="B5" s="3" t="s">
        <v>4</v>
      </c>
      <c r="C5" s="4">
        <v>20.0</v>
      </c>
      <c r="D5" s="5" t="str">
        <f>IFERROR(__xludf.DUMMYFUNCTION("query(REGEXREPLACE(INDEX(SPLIT(INDEX(SPLIT(B5,""=""),2),""&amp;""),1),""%20"","",""))"),"torch")</f>
        <v>torch</v>
      </c>
    </row>
    <row r="6">
      <c r="B6" s="3" t="s">
        <v>5</v>
      </c>
      <c r="C6" s="4">
        <v>10.0</v>
      </c>
      <c r="D6" s="5" t="str">
        <f>IFERROR(__xludf.DUMMYFUNCTION("query(REGEXREPLACE(INDEX(SPLIT(INDEX(SPLIT(B6,""=""),2),""&amp;""),1),""%20"","",""))"),"personal,loan,app")</f>
        <v>personal,loan,app</v>
      </c>
    </row>
    <row r="7">
      <c r="B7" s="3" t="s">
        <v>6</v>
      </c>
      <c r="C7" s="4">
        <v>10.0</v>
      </c>
      <c r="D7" s="5" t="str">
        <f>IFERROR(__xludf.DUMMYFUNCTION("query(REGEXREPLACE(INDEX(SPLIT(INDEX(SPLIT(B7,""=""),2),""&amp;""),1),""%20"","",""))"),"pnr,status,in,india")</f>
        <v>pnr,status,in,india</v>
      </c>
    </row>
    <row r="11">
      <c r="B11" s="6" t="s">
        <v>7</v>
      </c>
    </row>
    <row r="13">
      <c r="B13" s="7" t="s">
        <v>8</v>
      </c>
    </row>
  </sheetData>
  <mergeCells count="1">
    <mergeCell ref="B11:D11"/>
  </mergeCells>
  <hyperlinks>
    <hyperlink r:id="rId1" ref="B4"/>
    <hyperlink r:id="rId2" ref="B5"/>
    <hyperlink r:id="rId3" ref="B6"/>
    <hyperlink r:id="rId4" ref="B7"/>
  </hyperlinks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38"/>
    <col customWidth="1" min="2" max="2" width="30.63"/>
    <col customWidth="1" min="3" max="3" width="15.75"/>
    <col customWidth="1" min="4" max="4" width="4.25"/>
    <col customWidth="1" min="5" max="5" width="4.75"/>
    <col customWidth="1" min="6" max="6" width="2.25"/>
    <col customWidth="1" min="7" max="7" width="7.25"/>
    <col customWidth="1" min="8" max="8" width="17.25"/>
    <col customWidth="1" min="10" max="10" width="16.88"/>
  </cols>
  <sheetData>
    <row r="1">
      <c r="A1" s="8" t="s">
        <v>9</v>
      </c>
      <c r="B1" s="8" t="s">
        <v>10</v>
      </c>
      <c r="C1" s="8" t="s">
        <v>11</v>
      </c>
      <c r="D1" s="9" t="s">
        <v>12</v>
      </c>
      <c r="E1" s="9" t="s">
        <v>13</v>
      </c>
      <c r="G1" s="10" t="s">
        <v>14</v>
      </c>
      <c r="K1" s="11"/>
      <c r="L1" s="11"/>
      <c r="M1" s="11"/>
    </row>
    <row r="2">
      <c r="A2" s="4" t="s">
        <v>15</v>
      </c>
      <c r="B2" s="4" t="s">
        <v>16</v>
      </c>
      <c r="C2" s="12">
        <f>IFERROR(__xludf.DUMMYFUNCTION("ARRAYFORMULA(IF(ISBLANK(A2:A21396),,REGEXREPLACE(A2:A21396,""UTC"","""")+TIME(5,30,0)))"),44663.52719907407)</f>
        <v>44663.5272</v>
      </c>
      <c r="D2" s="13">
        <f t="shared" ref="D2:D9371" si="1">DAY(C2)</f>
        <v>12</v>
      </c>
      <c r="E2" s="13">
        <f t="shared" ref="E2:E9371" si="2">HOUR(C2)</f>
        <v>12</v>
      </c>
    </row>
    <row r="3">
      <c r="A3" s="4" t="s">
        <v>17</v>
      </c>
      <c r="B3" s="4" t="s">
        <v>18</v>
      </c>
      <c r="C3" s="14">
        <f>IFERROR(__xludf.DUMMYFUNCTION("""COMPUTED_VALUE"""),44663.52637731481)</f>
        <v>44663.52638</v>
      </c>
      <c r="D3" s="13">
        <f t="shared" si="1"/>
        <v>12</v>
      </c>
      <c r="E3" s="13">
        <f t="shared" si="2"/>
        <v>12</v>
      </c>
    </row>
    <row r="4">
      <c r="A4" s="4" t="s">
        <v>20</v>
      </c>
      <c r="B4" s="4" t="s">
        <v>21</v>
      </c>
      <c r="C4" s="14">
        <f>IFERROR(__xludf.DUMMYFUNCTION("""COMPUTED_VALUE"""),44663.52627314815)</f>
        <v>44663.52627</v>
      </c>
      <c r="D4" s="13">
        <f t="shared" si="1"/>
        <v>12</v>
      </c>
      <c r="E4" s="13">
        <f t="shared" si="2"/>
        <v>12</v>
      </c>
    </row>
    <row r="5">
      <c r="A5" s="4" t="s">
        <v>22</v>
      </c>
      <c r="B5" s="4" t="s">
        <v>23</v>
      </c>
      <c r="C5" s="14">
        <f>IFERROR(__xludf.DUMMYFUNCTION("""COMPUTED_VALUE"""),44663.52398148148)</f>
        <v>44663.52398</v>
      </c>
      <c r="D5" s="13">
        <f t="shared" si="1"/>
        <v>12</v>
      </c>
      <c r="E5" s="13">
        <f t="shared" si="2"/>
        <v>12</v>
      </c>
    </row>
    <row r="6">
      <c r="A6" s="4" t="s">
        <v>24</v>
      </c>
      <c r="B6" s="16"/>
      <c r="C6" s="12">
        <f>IFERROR(__xludf.DUMMYFUNCTION("""COMPUTED_VALUE"""),44663.52217592592)</f>
        <v>44663.52218</v>
      </c>
      <c r="D6" s="13">
        <f t="shared" si="1"/>
        <v>12</v>
      </c>
      <c r="E6" s="13">
        <f t="shared" si="2"/>
        <v>12</v>
      </c>
    </row>
    <row r="7">
      <c r="A7" s="4" t="s">
        <v>25</v>
      </c>
      <c r="B7" s="4" t="s">
        <v>26</v>
      </c>
      <c r="C7" s="12">
        <f>IFERROR(__xludf.DUMMYFUNCTION("""COMPUTED_VALUE"""),44663.5221412037)</f>
        <v>44663.52214</v>
      </c>
      <c r="D7" s="13">
        <f t="shared" si="1"/>
        <v>12</v>
      </c>
      <c r="E7" s="13">
        <f t="shared" si="2"/>
        <v>12</v>
      </c>
    </row>
    <row r="8">
      <c r="A8" s="4" t="s">
        <v>27</v>
      </c>
      <c r="B8" s="16"/>
      <c r="C8" s="12">
        <f>IFERROR(__xludf.DUMMYFUNCTION("""COMPUTED_VALUE"""),44663.522106481476)</f>
        <v>44663.52211</v>
      </c>
      <c r="D8" s="13">
        <f t="shared" si="1"/>
        <v>12</v>
      </c>
      <c r="E8" s="13">
        <f t="shared" si="2"/>
        <v>12</v>
      </c>
    </row>
    <row r="9">
      <c r="A9" s="4" t="s">
        <v>28</v>
      </c>
      <c r="B9" s="16"/>
      <c r="C9" s="12">
        <f>IFERROR(__xludf.DUMMYFUNCTION("""COMPUTED_VALUE"""),44663.521782407406)</f>
        <v>44663.52178</v>
      </c>
      <c r="D9" s="13">
        <f t="shared" si="1"/>
        <v>12</v>
      </c>
      <c r="E9" s="13">
        <f t="shared" si="2"/>
        <v>12</v>
      </c>
    </row>
    <row r="10">
      <c r="A10" s="4" t="s">
        <v>29</v>
      </c>
      <c r="B10" s="16"/>
      <c r="C10" s="12">
        <f>IFERROR(__xludf.DUMMYFUNCTION("""COMPUTED_VALUE"""),44663.52172453704)</f>
        <v>44663.52172</v>
      </c>
      <c r="D10" s="13">
        <f t="shared" si="1"/>
        <v>12</v>
      </c>
      <c r="E10" s="13">
        <f t="shared" si="2"/>
        <v>12</v>
      </c>
    </row>
    <row r="11">
      <c r="A11" s="4" t="s">
        <v>30</v>
      </c>
      <c r="B11" s="16"/>
      <c r="C11" s="12">
        <f>IFERROR(__xludf.DUMMYFUNCTION("""COMPUTED_VALUE"""),44663.521527777775)</f>
        <v>44663.52153</v>
      </c>
      <c r="D11" s="13">
        <f t="shared" si="1"/>
        <v>12</v>
      </c>
      <c r="E11" s="13">
        <f t="shared" si="2"/>
        <v>12</v>
      </c>
    </row>
    <row r="12">
      <c r="A12" s="4" t="s">
        <v>30</v>
      </c>
      <c r="B12" s="4" t="s">
        <v>31</v>
      </c>
      <c r="C12" s="12">
        <f>IFERROR(__xludf.DUMMYFUNCTION("""COMPUTED_VALUE"""),44663.521527777775)</f>
        <v>44663.52153</v>
      </c>
      <c r="D12" s="13">
        <f t="shared" si="1"/>
        <v>12</v>
      </c>
      <c r="E12" s="13">
        <f t="shared" si="2"/>
        <v>12</v>
      </c>
    </row>
    <row r="13">
      <c r="A13" s="4" t="s">
        <v>32</v>
      </c>
      <c r="B13" s="16"/>
      <c r="C13" s="12">
        <f>IFERROR(__xludf.DUMMYFUNCTION("""COMPUTED_VALUE"""),44663.52114583333)</f>
        <v>44663.52115</v>
      </c>
      <c r="D13" s="13">
        <f t="shared" si="1"/>
        <v>12</v>
      </c>
      <c r="E13" s="13">
        <f t="shared" si="2"/>
        <v>12</v>
      </c>
    </row>
    <row r="14">
      <c r="A14" s="4" t="s">
        <v>33</v>
      </c>
      <c r="B14" s="4" t="s">
        <v>34</v>
      </c>
      <c r="C14" s="12">
        <f>IFERROR(__xludf.DUMMYFUNCTION("""COMPUTED_VALUE"""),44663.5203125)</f>
        <v>44663.52031</v>
      </c>
      <c r="D14" s="13">
        <f t="shared" si="1"/>
        <v>12</v>
      </c>
      <c r="E14" s="13">
        <f t="shared" si="2"/>
        <v>12</v>
      </c>
    </row>
    <row r="15">
      <c r="A15" s="4" t="s">
        <v>35</v>
      </c>
      <c r="B15" s="16"/>
      <c r="C15" s="12">
        <f>IFERROR(__xludf.DUMMYFUNCTION("""COMPUTED_VALUE"""),44663.520057870366)</f>
        <v>44663.52006</v>
      </c>
      <c r="D15" s="13">
        <f t="shared" si="1"/>
        <v>12</v>
      </c>
      <c r="E15" s="13">
        <f t="shared" si="2"/>
        <v>12</v>
      </c>
    </row>
    <row r="16">
      <c r="A16" s="4" t="s">
        <v>36</v>
      </c>
      <c r="B16" s="16"/>
      <c r="C16" s="12">
        <f>IFERROR(__xludf.DUMMYFUNCTION("""COMPUTED_VALUE"""),44663.51998842592)</f>
        <v>44663.51999</v>
      </c>
      <c r="D16" s="13">
        <f t="shared" si="1"/>
        <v>12</v>
      </c>
      <c r="E16" s="13">
        <f t="shared" si="2"/>
        <v>12</v>
      </c>
    </row>
    <row r="17">
      <c r="A17" s="4" t="s">
        <v>37</v>
      </c>
      <c r="B17" s="4" t="s">
        <v>38</v>
      </c>
      <c r="C17" s="12">
        <f>IFERROR(__xludf.DUMMYFUNCTION("""COMPUTED_VALUE"""),44663.51986111111)</f>
        <v>44663.51986</v>
      </c>
      <c r="D17" s="13">
        <f t="shared" si="1"/>
        <v>12</v>
      </c>
      <c r="E17" s="13">
        <f t="shared" si="2"/>
        <v>12</v>
      </c>
    </row>
    <row r="18">
      <c r="A18" s="4" t="s">
        <v>39</v>
      </c>
      <c r="B18" s="4" t="s">
        <v>40</v>
      </c>
      <c r="C18" s="12">
        <f>IFERROR(__xludf.DUMMYFUNCTION("""COMPUTED_VALUE"""),44663.519733796296)</f>
        <v>44663.51973</v>
      </c>
      <c r="D18" s="13">
        <f t="shared" si="1"/>
        <v>12</v>
      </c>
      <c r="E18" s="13">
        <f t="shared" si="2"/>
        <v>12</v>
      </c>
    </row>
    <row r="19">
      <c r="A19" s="4" t="s">
        <v>41</v>
      </c>
      <c r="B19" s="4" t="s">
        <v>42</v>
      </c>
      <c r="C19" s="12">
        <f>IFERROR(__xludf.DUMMYFUNCTION("""COMPUTED_VALUE"""),44663.519120370365)</f>
        <v>44663.51912</v>
      </c>
      <c r="D19" s="13">
        <f t="shared" si="1"/>
        <v>12</v>
      </c>
      <c r="E19" s="13">
        <f t="shared" si="2"/>
        <v>12</v>
      </c>
    </row>
    <row r="20">
      <c r="A20" s="4" t="s">
        <v>43</v>
      </c>
      <c r="B20" s="4" t="s">
        <v>42</v>
      </c>
      <c r="C20" s="12">
        <f>IFERROR(__xludf.DUMMYFUNCTION("""COMPUTED_VALUE"""),44663.51909722222)</f>
        <v>44663.5191</v>
      </c>
      <c r="D20" s="13">
        <f t="shared" si="1"/>
        <v>12</v>
      </c>
      <c r="E20" s="13">
        <f t="shared" si="2"/>
        <v>12</v>
      </c>
    </row>
    <row r="21">
      <c r="A21" s="4" t="s">
        <v>44</v>
      </c>
      <c r="B21" s="4" t="s">
        <v>45</v>
      </c>
      <c r="C21" s="12">
        <f>IFERROR(__xludf.DUMMYFUNCTION("""COMPUTED_VALUE"""),44663.51862268518)</f>
        <v>44663.51862</v>
      </c>
      <c r="D21" s="13">
        <f t="shared" si="1"/>
        <v>12</v>
      </c>
      <c r="E21" s="13">
        <f t="shared" si="2"/>
        <v>12</v>
      </c>
    </row>
    <row r="22">
      <c r="A22" s="4" t="s">
        <v>46</v>
      </c>
      <c r="B22" s="16"/>
      <c r="C22" s="12">
        <f>IFERROR(__xludf.DUMMYFUNCTION("""COMPUTED_VALUE"""),44663.51855324074)</f>
        <v>44663.51855</v>
      </c>
      <c r="D22" s="13">
        <f t="shared" si="1"/>
        <v>12</v>
      </c>
      <c r="E22" s="13">
        <f t="shared" si="2"/>
        <v>12</v>
      </c>
    </row>
    <row r="23">
      <c r="A23" s="4" t="s">
        <v>47</v>
      </c>
      <c r="B23" s="4" t="s">
        <v>45</v>
      </c>
      <c r="C23" s="12">
        <f>IFERROR(__xludf.DUMMYFUNCTION("""COMPUTED_VALUE"""),44663.51850694444)</f>
        <v>44663.51851</v>
      </c>
      <c r="D23" s="13">
        <f t="shared" si="1"/>
        <v>12</v>
      </c>
      <c r="E23" s="13">
        <f t="shared" si="2"/>
        <v>12</v>
      </c>
    </row>
    <row r="24">
      <c r="A24" s="4" t="s">
        <v>48</v>
      </c>
      <c r="B24" s="4" t="s">
        <v>45</v>
      </c>
      <c r="C24" s="12">
        <f>IFERROR(__xludf.DUMMYFUNCTION("""COMPUTED_VALUE"""),44663.518483796295)</f>
        <v>44663.51848</v>
      </c>
      <c r="D24" s="13">
        <f t="shared" si="1"/>
        <v>12</v>
      </c>
      <c r="E24" s="13">
        <f t="shared" si="2"/>
        <v>12</v>
      </c>
    </row>
    <row r="25">
      <c r="A25" s="4" t="s">
        <v>49</v>
      </c>
      <c r="B25" s="4" t="s">
        <v>45</v>
      </c>
      <c r="C25" s="12">
        <f>IFERROR(__xludf.DUMMYFUNCTION("""COMPUTED_VALUE"""),44663.518437499995)</f>
        <v>44663.51844</v>
      </c>
      <c r="D25" s="13">
        <f t="shared" si="1"/>
        <v>12</v>
      </c>
      <c r="E25" s="13">
        <f t="shared" si="2"/>
        <v>12</v>
      </c>
    </row>
    <row r="26">
      <c r="A26" s="4" t="s">
        <v>50</v>
      </c>
      <c r="B26" s="4" t="s">
        <v>51</v>
      </c>
      <c r="C26" s="12">
        <f>IFERROR(__xludf.DUMMYFUNCTION("""COMPUTED_VALUE"""),44663.517233796294)</f>
        <v>44663.51723</v>
      </c>
      <c r="D26" s="13">
        <f t="shared" si="1"/>
        <v>12</v>
      </c>
      <c r="E26" s="13">
        <f t="shared" si="2"/>
        <v>12</v>
      </c>
    </row>
    <row r="27">
      <c r="A27" s="4" t="s">
        <v>52</v>
      </c>
      <c r="B27" s="16"/>
      <c r="C27" s="12">
        <f>IFERROR(__xludf.DUMMYFUNCTION("""COMPUTED_VALUE"""),44663.5158912037)</f>
        <v>44663.51589</v>
      </c>
      <c r="D27" s="13">
        <f t="shared" si="1"/>
        <v>12</v>
      </c>
      <c r="E27" s="13">
        <f t="shared" si="2"/>
        <v>12</v>
      </c>
    </row>
    <row r="28">
      <c r="A28" s="4" t="s">
        <v>53</v>
      </c>
      <c r="B28" s="4" t="s">
        <v>54</v>
      </c>
      <c r="C28" s="12">
        <f>IFERROR(__xludf.DUMMYFUNCTION("""COMPUTED_VALUE"""),44663.51571759259)</f>
        <v>44663.51572</v>
      </c>
      <c r="D28" s="13">
        <f t="shared" si="1"/>
        <v>12</v>
      </c>
      <c r="E28" s="13">
        <f t="shared" si="2"/>
        <v>12</v>
      </c>
    </row>
    <row r="29">
      <c r="A29" s="4" t="s">
        <v>55</v>
      </c>
      <c r="B29" s="16"/>
      <c r="C29" s="12">
        <f>IFERROR(__xludf.DUMMYFUNCTION("""COMPUTED_VALUE"""),44663.514965277776)</f>
        <v>44663.51497</v>
      </c>
      <c r="D29" s="13">
        <f t="shared" si="1"/>
        <v>12</v>
      </c>
      <c r="E29" s="13">
        <f t="shared" si="2"/>
        <v>12</v>
      </c>
    </row>
    <row r="30">
      <c r="A30" s="4" t="s">
        <v>56</v>
      </c>
      <c r="B30" s="4" t="s">
        <v>57</v>
      </c>
      <c r="C30" s="12">
        <f>IFERROR(__xludf.DUMMYFUNCTION("""COMPUTED_VALUE"""),44663.51488425925)</f>
        <v>44663.51488</v>
      </c>
      <c r="D30" s="13">
        <f t="shared" si="1"/>
        <v>12</v>
      </c>
      <c r="E30" s="13">
        <f t="shared" si="2"/>
        <v>12</v>
      </c>
    </row>
    <row r="31">
      <c r="A31" s="4" t="s">
        <v>58</v>
      </c>
      <c r="B31" s="16"/>
      <c r="C31" s="12">
        <f>IFERROR(__xludf.DUMMYFUNCTION("""COMPUTED_VALUE"""),44663.51420138888)</f>
        <v>44663.5142</v>
      </c>
      <c r="D31" s="13">
        <f t="shared" si="1"/>
        <v>12</v>
      </c>
      <c r="E31" s="13">
        <f t="shared" si="2"/>
        <v>12</v>
      </c>
    </row>
    <row r="32">
      <c r="A32" s="4" t="s">
        <v>59</v>
      </c>
      <c r="B32" s="16"/>
      <c r="C32" s="12">
        <f>IFERROR(__xludf.DUMMYFUNCTION("""COMPUTED_VALUE"""),44663.51201388889)</f>
        <v>44663.51201</v>
      </c>
      <c r="D32" s="13">
        <f t="shared" si="1"/>
        <v>12</v>
      </c>
      <c r="E32" s="13">
        <f t="shared" si="2"/>
        <v>12</v>
      </c>
    </row>
    <row r="33">
      <c r="A33" s="4" t="s">
        <v>60</v>
      </c>
      <c r="B33" s="16"/>
      <c r="C33" s="12">
        <f>IFERROR(__xludf.DUMMYFUNCTION("""COMPUTED_VALUE"""),44663.511782407404)</f>
        <v>44663.51178</v>
      </c>
      <c r="D33" s="13">
        <f t="shared" si="1"/>
        <v>12</v>
      </c>
      <c r="E33" s="13">
        <f t="shared" si="2"/>
        <v>12</v>
      </c>
    </row>
    <row r="34">
      <c r="A34" s="4" t="s">
        <v>61</v>
      </c>
      <c r="B34" s="16"/>
      <c r="C34" s="12">
        <f>IFERROR(__xludf.DUMMYFUNCTION("""COMPUTED_VALUE"""),44663.51085648148)</f>
        <v>44663.51086</v>
      </c>
      <c r="D34" s="13">
        <f t="shared" si="1"/>
        <v>12</v>
      </c>
      <c r="E34" s="13">
        <f t="shared" si="2"/>
        <v>12</v>
      </c>
    </row>
    <row r="35">
      <c r="A35" s="4" t="s">
        <v>62</v>
      </c>
      <c r="B35" s="16"/>
      <c r="C35" s="12">
        <f>IFERROR(__xludf.DUMMYFUNCTION("""COMPUTED_VALUE"""),44663.51006944444)</f>
        <v>44663.51007</v>
      </c>
      <c r="D35" s="13">
        <f t="shared" si="1"/>
        <v>12</v>
      </c>
      <c r="E35" s="13">
        <f t="shared" si="2"/>
        <v>12</v>
      </c>
    </row>
    <row r="36">
      <c r="A36" s="4" t="s">
        <v>63</v>
      </c>
      <c r="B36" s="16"/>
      <c r="C36" s="12">
        <f>IFERROR(__xludf.DUMMYFUNCTION("""COMPUTED_VALUE"""),44663.50554398148)</f>
        <v>44663.50554</v>
      </c>
      <c r="D36" s="13">
        <f t="shared" si="1"/>
        <v>12</v>
      </c>
      <c r="E36" s="13">
        <f t="shared" si="2"/>
        <v>12</v>
      </c>
    </row>
    <row r="37">
      <c r="A37" s="4" t="s">
        <v>64</v>
      </c>
      <c r="B37" s="16"/>
      <c r="C37" s="12">
        <f>IFERROR(__xludf.DUMMYFUNCTION("""COMPUTED_VALUE"""),44663.50478009259)</f>
        <v>44663.50478</v>
      </c>
      <c r="D37" s="13">
        <f t="shared" si="1"/>
        <v>12</v>
      </c>
      <c r="E37" s="13">
        <f t="shared" si="2"/>
        <v>12</v>
      </c>
      <c r="G37" s="17" t="s">
        <v>65</v>
      </c>
      <c r="H37" s="18"/>
      <c r="I37" s="18"/>
      <c r="J37" s="18"/>
    </row>
    <row r="38">
      <c r="A38" s="4" t="s">
        <v>66</v>
      </c>
      <c r="B38" s="4" t="s">
        <v>67</v>
      </c>
      <c r="C38" s="12">
        <f>IFERROR(__xludf.DUMMYFUNCTION("""COMPUTED_VALUE"""),44663.50369212963)</f>
        <v>44663.50369</v>
      </c>
      <c r="D38" s="13">
        <f t="shared" si="1"/>
        <v>12</v>
      </c>
      <c r="E38" s="13">
        <f t="shared" si="2"/>
        <v>12</v>
      </c>
    </row>
    <row r="39">
      <c r="A39" s="4" t="s">
        <v>68</v>
      </c>
      <c r="B39" s="16"/>
      <c r="C39" s="12">
        <f>IFERROR(__xludf.DUMMYFUNCTION("""COMPUTED_VALUE"""),44663.501608796294)</f>
        <v>44663.50161</v>
      </c>
      <c r="D39" s="13">
        <f t="shared" si="1"/>
        <v>12</v>
      </c>
      <c r="E39" s="13">
        <f t="shared" si="2"/>
        <v>12</v>
      </c>
      <c r="G39" s="19">
        <f>ROUND((9371-COUNTBLANK(B2:B9371))/9371*100,2)</f>
        <v>35.83</v>
      </c>
      <c r="H39" s="20" t="s">
        <v>69</v>
      </c>
      <c r="I39" s="21"/>
    </row>
    <row r="40">
      <c r="A40" s="4" t="s">
        <v>70</v>
      </c>
      <c r="B40" s="16"/>
      <c r="C40" s="12">
        <f>IFERROR(__xludf.DUMMYFUNCTION("""COMPUTED_VALUE"""),44663.50134259259)</f>
        <v>44663.50134</v>
      </c>
      <c r="D40" s="13">
        <f t="shared" si="1"/>
        <v>12</v>
      </c>
      <c r="E40" s="13">
        <f t="shared" si="2"/>
        <v>12</v>
      </c>
    </row>
    <row r="41">
      <c r="A41" s="4" t="s">
        <v>71</v>
      </c>
      <c r="B41" s="16"/>
      <c r="C41" s="12">
        <f>IFERROR(__xludf.DUMMYFUNCTION("""COMPUTED_VALUE"""),44663.50108796296)</f>
        <v>44663.50109</v>
      </c>
      <c r="D41" s="13">
        <f t="shared" si="1"/>
        <v>12</v>
      </c>
      <c r="E41" s="13">
        <f t="shared" si="2"/>
        <v>12</v>
      </c>
      <c r="G41" s="17" t="s">
        <v>72</v>
      </c>
    </row>
    <row r="42">
      <c r="A42" s="4" t="s">
        <v>73</v>
      </c>
      <c r="B42" s="16"/>
      <c r="C42" s="12">
        <f>IFERROR(__xludf.DUMMYFUNCTION("""COMPUTED_VALUE"""),44663.49769675926)</f>
        <v>44663.4977</v>
      </c>
      <c r="D42" s="13">
        <f t="shared" si="1"/>
        <v>12</v>
      </c>
      <c r="E42" s="13">
        <f t="shared" si="2"/>
        <v>11</v>
      </c>
    </row>
    <row r="43">
      <c r="A43" s="4" t="s">
        <v>74</v>
      </c>
      <c r="B43" s="16"/>
      <c r="C43" s="12">
        <f>IFERROR(__xludf.DUMMYFUNCTION("""COMPUTED_VALUE"""),44663.4969212963)</f>
        <v>44663.49692</v>
      </c>
      <c r="D43" s="13">
        <f t="shared" si="1"/>
        <v>12</v>
      </c>
      <c r="E43" s="13">
        <f t="shared" si="2"/>
        <v>11</v>
      </c>
      <c r="G43" s="22" t="s">
        <v>75</v>
      </c>
    </row>
    <row r="44">
      <c r="A44" s="4" t="s">
        <v>76</v>
      </c>
      <c r="B44" s="16"/>
      <c r="C44" s="12">
        <f>IFERROR(__xludf.DUMMYFUNCTION("""COMPUTED_VALUE"""),44663.49670138889)</f>
        <v>44663.4967</v>
      </c>
      <c r="D44" s="13">
        <f t="shared" si="1"/>
        <v>12</v>
      </c>
      <c r="E44" s="13">
        <f t="shared" si="2"/>
        <v>11</v>
      </c>
    </row>
    <row r="45">
      <c r="A45" s="4" t="s">
        <v>77</v>
      </c>
      <c r="B45" s="16"/>
      <c r="C45" s="12">
        <f>IFERROR(__xludf.DUMMYFUNCTION("""COMPUTED_VALUE"""),44663.49653935185)</f>
        <v>44663.49654</v>
      </c>
      <c r="D45" s="13">
        <f t="shared" si="1"/>
        <v>12</v>
      </c>
      <c r="E45" s="13">
        <f t="shared" si="2"/>
        <v>11</v>
      </c>
    </row>
    <row r="46">
      <c r="A46" s="4" t="s">
        <v>79</v>
      </c>
      <c r="B46" s="16"/>
      <c r="C46" s="12">
        <f>IFERROR(__xludf.DUMMYFUNCTION("""COMPUTED_VALUE"""),44663.494837962964)</f>
        <v>44663.49484</v>
      </c>
      <c r="D46" s="13">
        <f t="shared" si="1"/>
        <v>12</v>
      </c>
      <c r="E46" s="13">
        <f t="shared" si="2"/>
        <v>11</v>
      </c>
    </row>
    <row r="47">
      <c r="A47" s="4" t="s">
        <v>80</v>
      </c>
      <c r="B47" s="4" t="s">
        <v>81</v>
      </c>
      <c r="C47" s="12">
        <f>IFERROR(__xludf.DUMMYFUNCTION("""COMPUTED_VALUE"""),44663.494791666664)</f>
        <v>44663.49479</v>
      </c>
      <c r="D47" s="13">
        <f t="shared" si="1"/>
        <v>12</v>
      </c>
      <c r="E47" s="13">
        <f t="shared" si="2"/>
        <v>11</v>
      </c>
    </row>
    <row r="48">
      <c r="A48" s="4" t="s">
        <v>82</v>
      </c>
      <c r="B48" s="16"/>
      <c r="C48" s="12">
        <f>IFERROR(__xludf.DUMMYFUNCTION("""COMPUTED_VALUE"""),44663.49475694444)</f>
        <v>44663.49476</v>
      </c>
      <c r="D48" s="13">
        <f t="shared" si="1"/>
        <v>12</v>
      </c>
      <c r="E48" s="13">
        <f t="shared" si="2"/>
        <v>11</v>
      </c>
    </row>
    <row r="49">
      <c r="A49" s="4" t="s">
        <v>83</v>
      </c>
      <c r="B49" s="4" t="s">
        <v>84</v>
      </c>
      <c r="C49" s="12">
        <f>IFERROR(__xludf.DUMMYFUNCTION("""COMPUTED_VALUE"""),44663.49366898148)</f>
        <v>44663.49367</v>
      </c>
      <c r="D49" s="13">
        <f t="shared" si="1"/>
        <v>12</v>
      </c>
      <c r="E49" s="13">
        <f t="shared" si="2"/>
        <v>11</v>
      </c>
    </row>
    <row r="50">
      <c r="A50" s="4" t="s">
        <v>85</v>
      </c>
      <c r="B50" s="4" t="s">
        <v>84</v>
      </c>
      <c r="C50" s="12">
        <f>IFERROR(__xludf.DUMMYFUNCTION("""COMPUTED_VALUE"""),44663.49354166666)</f>
        <v>44663.49354</v>
      </c>
      <c r="D50" s="13">
        <f t="shared" si="1"/>
        <v>12</v>
      </c>
      <c r="E50" s="13">
        <f t="shared" si="2"/>
        <v>11</v>
      </c>
    </row>
    <row r="51">
      <c r="A51" s="4" t="s">
        <v>86</v>
      </c>
      <c r="B51" s="4" t="s">
        <v>84</v>
      </c>
      <c r="C51" s="12">
        <f>IFERROR(__xludf.DUMMYFUNCTION("""COMPUTED_VALUE"""),44663.49347222222)</f>
        <v>44663.49347</v>
      </c>
      <c r="D51" s="13">
        <f t="shared" si="1"/>
        <v>12</v>
      </c>
      <c r="E51" s="13">
        <f t="shared" si="2"/>
        <v>11</v>
      </c>
    </row>
    <row r="52">
      <c r="A52" s="4" t="s">
        <v>87</v>
      </c>
      <c r="B52" s="4" t="s">
        <v>84</v>
      </c>
      <c r="C52" s="12">
        <f>IFERROR(__xludf.DUMMYFUNCTION("""COMPUTED_VALUE"""),44663.493310185186)</f>
        <v>44663.49331</v>
      </c>
      <c r="D52" s="13">
        <f t="shared" si="1"/>
        <v>12</v>
      </c>
      <c r="E52" s="13">
        <f t="shared" si="2"/>
        <v>11</v>
      </c>
    </row>
    <row r="53">
      <c r="A53" s="4" t="s">
        <v>88</v>
      </c>
      <c r="B53" s="16"/>
      <c r="C53" s="12">
        <f>IFERROR(__xludf.DUMMYFUNCTION("""COMPUTED_VALUE"""),44663.49325231481)</f>
        <v>44663.49325</v>
      </c>
      <c r="D53" s="13">
        <f t="shared" si="1"/>
        <v>12</v>
      </c>
      <c r="E53" s="13">
        <f t="shared" si="2"/>
        <v>11</v>
      </c>
    </row>
    <row r="54">
      <c r="A54" s="4" t="s">
        <v>89</v>
      </c>
      <c r="B54" s="4" t="s">
        <v>84</v>
      </c>
      <c r="C54" s="12">
        <f>IFERROR(__xludf.DUMMYFUNCTION("""COMPUTED_VALUE"""),44663.49225694444)</f>
        <v>44663.49226</v>
      </c>
      <c r="D54" s="13">
        <f t="shared" si="1"/>
        <v>12</v>
      </c>
      <c r="E54" s="13">
        <f t="shared" si="2"/>
        <v>11</v>
      </c>
    </row>
    <row r="55">
      <c r="A55" s="4" t="s">
        <v>90</v>
      </c>
      <c r="B55" s="4" t="s">
        <v>91</v>
      </c>
      <c r="C55" s="12">
        <f>IFERROR(__xludf.DUMMYFUNCTION("""COMPUTED_VALUE"""),44663.49193287037)</f>
        <v>44663.49193</v>
      </c>
      <c r="D55" s="13">
        <f t="shared" si="1"/>
        <v>12</v>
      </c>
      <c r="E55" s="13">
        <f t="shared" si="2"/>
        <v>11</v>
      </c>
    </row>
    <row r="56">
      <c r="A56" s="4" t="s">
        <v>92</v>
      </c>
      <c r="B56" s="16"/>
      <c r="C56" s="12">
        <f>IFERROR(__xludf.DUMMYFUNCTION("""COMPUTED_VALUE"""),44663.49181712963)</f>
        <v>44663.49182</v>
      </c>
      <c r="D56" s="13">
        <f t="shared" si="1"/>
        <v>12</v>
      </c>
      <c r="E56" s="13">
        <f t="shared" si="2"/>
        <v>11</v>
      </c>
    </row>
    <row r="57">
      <c r="A57" s="4" t="s">
        <v>93</v>
      </c>
      <c r="B57" s="4" t="s">
        <v>94</v>
      </c>
      <c r="C57" s="12">
        <f>IFERROR(__xludf.DUMMYFUNCTION("""COMPUTED_VALUE"""),44663.49162037037)</f>
        <v>44663.49162</v>
      </c>
      <c r="D57" s="13">
        <f t="shared" si="1"/>
        <v>12</v>
      </c>
      <c r="E57" s="13">
        <f t="shared" si="2"/>
        <v>11</v>
      </c>
    </row>
    <row r="58">
      <c r="A58" s="4" t="s">
        <v>95</v>
      </c>
      <c r="B58" s="4" t="s">
        <v>91</v>
      </c>
      <c r="C58" s="12">
        <f>IFERROR(__xludf.DUMMYFUNCTION("""COMPUTED_VALUE"""),44663.49150462963)</f>
        <v>44663.4915</v>
      </c>
      <c r="D58" s="13">
        <f t="shared" si="1"/>
        <v>12</v>
      </c>
      <c r="E58" s="13">
        <f t="shared" si="2"/>
        <v>11</v>
      </c>
    </row>
    <row r="59">
      <c r="A59" s="4" t="s">
        <v>96</v>
      </c>
      <c r="B59" s="4" t="s">
        <v>91</v>
      </c>
      <c r="C59" s="12">
        <f>IFERROR(__xludf.DUMMYFUNCTION("""COMPUTED_VALUE"""),44663.49105324074)</f>
        <v>44663.49105</v>
      </c>
      <c r="D59" s="13">
        <f t="shared" si="1"/>
        <v>12</v>
      </c>
      <c r="E59" s="13">
        <f t="shared" si="2"/>
        <v>11</v>
      </c>
    </row>
    <row r="60">
      <c r="A60" s="4" t="s">
        <v>97</v>
      </c>
      <c r="B60" s="4" t="s">
        <v>94</v>
      </c>
      <c r="C60" s="12">
        <f>IFERROR(__xludf.DUMMYFUNCTION("""COMPUTED_VALUE"""),44663.49099537037)</f>
        <v>44663.491</v>
      </c>
      <c r="D60" s="13">
        <f t="shared" si="1"/>
        <v>12</v>
      </c>
      <c r="E60" s="13">
        <f t="shared" si="2"/>
        <v>11</v>
      </c>
    </row>
    <row r="61">
      <c r="A61" s="4" t="s">
        <v>98</v>
      </c>
      <c r="B61" s="16"/>
      <c r="C61" s="12">
        <f>IFERROR(__xludf.DUMMYFUNCTION("""COMPUTED_VALUE"""),44663.49092592592)</f>
        <v>44663.49093</v>
      </c>
      <c r="D61" s="13">
        <f t="shared" si="1"/>
        <v>12</v>
      </c>
      <c r="E61" s="13">
        <f t="shared" si="2"/>
        <v>11</v>
      </c>
    </row>
    <row r="62">
      <c r="A62" s="4" t="s">
        <v>99</v>
      </c>
      <c r="B62" s="4" t="s">
        <v>84</v>
      </c>
      <c r="C62" s="12">
        <f>IFERROR(__xludf.DUMMYFUNCTION("""COMPUTED_VALUE"""),44663.490706018514)</f>
        <v>44663.49071</v>
      </c>
      <c r="D62" s="13">
        <f t="shared" si="1"/>
        <v>12</v>
      </c>
      <c r="E62" s="13">
        <f t="shared" si="2"/>
        <v>11</v>
      </c>
    </row>
    <row r="63">
      <c r="A63" s="4" t="s">
        <v>100</v>
      </c>
      <c r="B63" s="4" t="s">
        <v>91</v>
      </c>
      <c r="C63" s="12">
        <f>IFERROR(__xludf.DUMMYFUNCTION("""COMPUTED_VALUE"""),44663.49065972222)</f>
        <v>44663.49066</v>
      </c>
      <c r="D63" s="13">
        <f t="shared" si="1"/>
        <v>12</v>
      </c>
      <c r="E63" s="13">
        <f t="shared" si="2"/>
        <v>11</v>
      </c>
    </row>
    <row r="64">
      <c r="A64" s="4" t="s">
        <v>101</v>
      </c>
      <c r="B64" s="4" t="s">
        <v>84</v>
      </c>
      <c r="C64" s="12">
        <f>IFERROR(__xludf.DUMMYFUNCTION("""COMPUTED_VALUE"""),44663.490590277775)</f>
        <v>44663.49059</v>
      </c>
      <c r="D64" s="13">
        <f t="shared" si="1"/>
        <v>12</v>
      </c>
      <c r="E64" s="13">
        <f t="shared" si="2"/>
        <v>11</v>
      </c>
    </row>
    <row r="65">
      <c r="A65" s="4" t="s">
        <v>102</v>
      </c>
      <c r="B65" s="4" t="s">
        <v>84</v>
      </c>
      <c r="C65" s="12">
        <f>IFERROR(__xludf.DUMMYFUNCTION("""COMPUTED_VALUE"""),44663.490543981476)</f>
        <v>44663.49054</v>
      </c>
      <c r="D65" s="13">
        <f t="shared" si="1"/>
        <v>12</v>
      </c>
      <c r="E65" s="13">
        <f t="shared" si="2"/>
        <v>11</v>
      </c>
    </row>
    <row r="66">
      <c r="A66" s="4" t="s">
        <v>103</v>
      </c>
      <c r="B66" s="4" t="s">
        <v>84</v>
      </c>
      <c r="C66" s="12">
        <f>IFERROR(__xludf.DUMMYFUNCTION("""COMPUTED_VALUE"""),44663.49049768518)</f>
        <v>44663.4905</v>
      </c>
      <c r="D66" s="13">
        <f t="shared" si="1"/>
        <v>12</v>
      </c>
      <c r="E66" s="13">
        <f t="shared" si="2"/>
        <v>11</v>
      </c>
    </row>
    <row r="67">
      <c r="A67" s="4" t="s">
        <v>104</v>
      </c>
      <c r="B67" s="16"/>
      <c r="C67" s="12">
        <f>IFERROR(__xludf.DUMMYFUNCTION("""COMPUTED_VALUE"""),44663.490393518514)</f>
        <v>44663.49039</v>
      </c>
      <c r="D67" s="13">
        <f t="shared" si="1"/>
        <v>12</v>
      </c>
      <c r="E67" s="13">
        <f t="shared" si="2"/>
        <v>11</v>
      </c>
    </row>
    <row r="68">
      <c r="A68" s="4" t="s">
        <v>105</v>
      </c>
      <c r="B68" s="4" t="s">
        <v>106</v>
      </c>
      <c r="C68" s="12">
        <f>IFERROR(__xludf.DUMMYFUNCTION("""COMPUTED_VALUE"""),44663.49034722222)</f>
        <v>44663.49035</v>
      </c>
      <c r="D68" s="13">
        <f t="shared" si="1"/>
        <v>12</v>
      </c>
      <c r="E68" s="13">
        <f t="shared" si="2"/>
        <v>11</v>
      </c>
    </row>
    <row r="69">
      <c r="A69" s="4" t="s">
        <v>107</v>
      </c>
      <c r="B69" s="4" t="s">
        <v>106</v>
      </c>
      <c r="C69" s="12">
        <f>IFERROR(__xludf.DUMMYFUNCTION("""COMPUTED_VALUE"""),44663.4903125)</f>
        <v>44663.49031</v>
      </c>
      <c r="D69" s="13">
        <f t="shared" si="1"/>
        <v>12</v>
      </c>
      <c r="E69" s="13">
        <f t="shared" si="2"/>
        <v>11</v>
      </c>
    </row>
    <row r="70">
      <c r="A70" s="4" t="s">
        <v>108</v>
      </c>
      <c r="B70" s="4" t="s">
        <v>91</v>
      </c>
      <c r="C70" s="12">
        <f>IFERROR(__xludf.DUMMYFUNCTION("""COMPUTED_VALUE"""),44663.490219907406)</f>
        <v>44663.49022</v>
      </c>
      <c r="D70" s="13">
        <f t="shared" si="1"/>
        <v>12</v>
      </c>
      <c r="E70" s="13">
        <f t="shared" si="2"/>
        <v>11</v>
      </c>
    </row>
    <row r="71">
      <c r="A71" s="4" t="s">
        <v>109</v>
      </c>
      <c r="B71" s="4" t="s">
        <v>91</v>
      </c>
      <c r="C71" s="12">
        <f>IFERROR(__xludf.DUMMYFUNCTION("""COMPUTED_VALUE"""),44663.48982638889)</f>
        <v>44663.48983</v>
      </c>
      <c r="D71" s="13">
        <f t="shared" si="1"/>
        <v>12</v>
      </c>
      <c r="E71" s="13">
        <f t="shared" si="2"/>
        <v>11</v>
      </c>
    </row>
    <row r="72">
      <c r="A72" s="4" t="s">
        <v>110</v>
      </c>
      <c r="B72" s="4" t="s">
        <v>91</v>
      </c>
      <c r="C72" s="12">
        <f>IFERROR(__xludf.DUMMYFUNCTION("""COMPUTED_VALUE"""),44663.489375)</f>
        <v>44663.48938</v>
      </c>
      <c r="D72" s="13">
        <f t="shared" si="1"/>
        <v>12</v>
      </c>
      <c r="E72" s="13">
        <f t="shared" si="2"/>
        <v>11</v>
      </c>
    </row>
    <row r="73">
      <c r="A73" s="4" t="s">
        <v>111</v>
      </c>
      <c r="B73" s="4" t="s">
        <v>112</v>
      </c>
      <c r="C73" s="12">
        <f>IFERROR(__xludf.DUMMYFUNCTION("""COMPUTED_VALUE"""),44663.48862268518)</f>
        <v>44663.48862</v>
      </c>
      <c r="D73" s="13">
        <f t="shared" si="1"/>
        <v>12</v>
      </c>
      <c r="E73" s="13">
        <f t="shared" si="2"/>
        <v>11</v>
      </c>
    </row>
    <row r="74">
      <c r="A74" s="4" t="s">
        <v>113</v>
      </c>
      <c r="B74" s="16"/>
      <c r="C74" s="12">
        <f>IFERROR(__xludf.DUMMYFUNCTION("""COMPUTED_VALUE"""),44663.48814814814)</f>
        <v>44663.48815</v>
      </c>
      <c r="D74" s="13">
        <f t="shared" si="1"/>
        <v>12</v>
      </c>
      <c r="E74" s="13">
        <f t="shared" si="2"/>
        <v>11</v>
      </c>
    </row>
    <row r="75">
      <c r="A75" s="4" t="s">
        <v>114</v>
      </c>
      <c r="B75" s="16"/>
      <c r="C75" s="12">
        <f>IFERROR(__xludf.DUMMYFUNCTION("""COMPUTED_VALUE"""),44663.48765046296)</f>
        <v>44663.48765</v>
      </c>
      <c r="D75" s="13">
        <f t="shared" si="1"/>
        <v>12</v>
      </c>
      <c r="E75" s="13">
        <f t="shared" si="2"/>
        <v>11</v>
      </c>
    </row>
    <row r="76">
      <c r="A76" s="4" t="s">
        <v>115</v>
      </c>
      <c r="B76" s="4" t="s">
        <v>116</v>
      </c>
      <c r="C76" s="12">
        <f>IFERROR(__xludf.DUMMYFUNCTION("""COMPUTED_VALUE"""),44663.48743055555)</f>
        <v>44663.48743</v>
      </c>
      <c r="D76" s="13">
        <f t="shared" si="1"/>
        <v>12</v>
      </c>
      <c r="E76" s="13">
        <f t="shared" si="2"/>
        <v>11</v>
      </c>
    </row>
    <row r="77">
      <c r="A77" s="4" t="s">
        <v>117</v>
      </c>
      <c r="B77" s="16"/>
      <c r="C77" s="12">
        <f>IFERROR(__xludf.DUMMYFUNCTION("""COMPUTED_VALUE"""),44663.48731481481)</f>
        <v>44663.48731</v>
      </c>
      <c r="D77" s="13">
        <f t="shared" si="1"/>
        <v>12</v>
      </c>
      <c r="E77" s="13">
        <f t="shared" si="2"/>
        <v>11</v>
      </c>
    </row>
    <row r="78">
      <c r="A78" s="4" t="s">
        <v>118</v>
      </c>
      <c r="B78" s="4" t="s">
        <v>119</v>
      </c>
      <c r="C78" s="12">
        <f>IFERROR(__xludf.DUMMYFUNCTION("""COMPUTED_VALUE"""),44663.486759259256)</f>
        <v>44663.48676</v>
      </c>
      <c r="D78" s="13">
        <f t="shared" si="1"/>
        <v>12</v>
      </c>
      <c r="E78" s="13">
        <f t="shared" si="2"/>
        <v>11</v>
      </c>
    </row>
    <row r="79">
      <c r="A79" s="4" t="s">
        <v>120</v>
      </c>
      <c r="B79" s="16"/>
      <c r="C79" s="12">
        <f>IFERROR(__xludf.DUMMYFUNCTION("""COMPUTED_VALUE"""),44663.486180555556)</f>
        <v>44663.48618</v>
      </c>
      <c r="D79" s="13">
        <f t="shared" si="1"/>
        <v>12</v>
      </c>
      <c r="E79" s="13">
        <f t="shared" si="2"/>
        <v>11</v>
      </c>
    </row>
    <row r="80">
      <c r="A80" s="4" t="s">
        <v>121</v>
      </c>
      <c r="B80" s="16"/>
      <c r="C80" s="12">
        <f>IFERROR(__xludf.DUMMYFUNCTION("""COMPUTED_VALUE"""),44663.48603009259)</f>
        <v>44663.48603</v>
      </c>
      <c r="D80" s="13">
        <f t="shared" si="1"/>
        <v>12</v>
      </c>
      <c r="E80" s="13">
        <f t="shared" si="2"/>
        <v>11</v>
      </c>
    </row>
    <row r="81">
      <c r="A81" s="4" t="s">
        <v>122</v>
      </c>
      <c r="B81" s="16"/>
      <c r="C81" s="12">
        <f>IFERROR(__xludf.DUMMYFUNCTION("""COMPUTED_VALUE"""),44663.48596064815)</f>
        <v>44663.48596</v>
      </c>
      <c r="D81" s="13">
        <f t="shared" si="1"/>
        <v>12</v>
      </c>
      <c r="E81" s="13">
        <f t="shared" si="2"/>
        <v>11</v>
      </c>
    </row>
    <row r="82">
      <c r="A82" s="4" t="s">
        <v>123</v>
      </c>
      <c r="B82" s="4" t="s">
        <v>84</v>
      </c>
      <c r="C82" s="12">
        <f>IFERROR(__xludf.DUMMYFUNCTION("""COMPUTED_VALUE"""),44663.485879629625)</f>
        <v>44663.48588</v>
      </c>
      <c r="D82" s="13">
        <f t="shared" si="1"/>
        <v>12</v>
      </c>
      <c r="E82" s="13">
        <f t="shared" si="2"/>
        <v>11</v>
      </c>
    </row>
    <row r="83">
      <c r="A83" s="4" t="s">
        <v>124</v>
      </c>
      <c r="B83" s="16"/>
      <c r="C83" s="12">
        <f>IFERROR(__xludf.DUMMYFUNCTION("""COMPUTED_VALUE"""),44663.484988425924)</f>
        <v>44663.48499</v>
      </c>
      <c r="D83" s="13">
        <f t="shared" si="1"/>
        <v>12</v>
      </c>
      <c r="E83" s="13">
        <f t="shared" si="2"/>
        <v>11</v>
      </c>
    </row>
    <row r="84">
      <c r="A84" s="4" t="s">
        <v>125</v>
      </c>
      <c r="B84" s="4" t="s">
        <v>126</v>
      </c>
      <c r="C84" s="12">
        <f>IFERROR(__xludf.DUMMYFUNCTION("""COMPUTED_VALUE"""),44663.48392361111)</f>
        <v>44663.48392</v>
      </c>
      <c r="D84" s="13">
        <f t="shared" si="1"/>
        <v>12</v>
      </c>
      <c r="E84" s="13">
        <f t="shared" si="2"/>
        <v>11</v>
      </c>
    </row>
    <row r="85">
      <c r="A85" s="4" t="s">
        <v>127</v>
      </c>
      <c r="B85" s="4" t="s">
        <v>84</v>
      </c>
      <c r="C85" s="12">
        <f>IFERROR(__xludf.DUMMYFUNCTION("""COMPUTED_VALUE"""),44663.48234953704)</f>
        <v>44663.48235</v>
      </c>
      <c r="D85" s="13">
        <f t="shared" si="1"/>
        <v>12</v>
      </c>
      <c r="E85" s="13">
        <f t="shared" si="2"/>
        <v>11</v>
      </c>
    </row>
    <row r="86">
      <c r="A86" s="4" t="s">
        <v>128</v>
      </c>
      <c r="B86" s="16"/>
      <c r="C86" s="12">
        <f>IFERROR(__xludf.DUMMYFUNCTION("""COMPUTED_VALUE"""),44663.482256944444)</f>
        <v>44663.48226</v>
      </c>
      <c r="D86" s="13">
        <f t="shared" si="1"/>
        <v>12</v>
      </c>
      <c r="E86" s="13">
        <f t="shared" si="2"/>
        <v>11</v>
      </c>
    </row>
    <row r="87">
      <c r="A87" s="4" t="s">
        <v>129</v>
      </c>
      <c r="B87" s="16"/>
      <c r="C87" s="12">
        <f>IFERROR(__xludf.DUMMYFUNCTION("""COMPUTED_VALUE"""),44663.482199074075)</f>
        <v>44663.4822</v>
      </c>
      <c r="D87" s="13">
        <f t="shared" si="1"/>
        <v>12</v>
      </c>
      <c r="E87" s="13">
        <f t="shared" si="2"/>
        <v>11</v>
      </c>
    </row>
    <row r="88">
      <c r="A88" s="4" t="s">
        <v>130</v>
      </c>
      <c r="B88" s="16"/>
      <c r="C88" s="12">
        <f>IFERROR(__xludf.DUMMYFUNCTION("""COMPUTED_VALUE"""),44663.48211805555)</f>
        <v>44663.48212</v>
      </c>
      <c r="D88" s="13">
        <f t="shared" si="1"/>
        <v>12</v>
      </c>
      <c r="E88" s="13">
        <f t="shared" si="2"/>
        <v>11</v>
      </c>
    </row>
    <row r="89">
      <c r="A89" s="4" t="s">
        <v>131</v>
      </c>
      <c r="B89" s="4" t="s">
        <v>132</v>
      </c>
      <c r="C89" s="12">
        <f>IFERROR(__xludf.DUMMYFUNCTION("""COMPUTED_VALUE"""),44663.480682870366)</f>
        <v>44663.48068</v>
      </c>
      <c r="D89" s="13">
        <f t="shared" si="1"/>
        <v>12</v>
      </c>
      <c r="E89" s="13">
        <f t="shared" si="2"/>
        <v>11</v>
      </c>
    </row>
    <row r="90">
      <c r="A90" s="4" t="s">
        <v>133</v>
      </c>
      <c r="B90" s="16"/>
      <c r="C90" s="12">
        <f>IFERROR(__xludf.DUMMYFUNCTION("""COMPUTED_VALUE"""),44663.480162037034)</f>
        <v>44663.48016</v>
      </c>
      <c r="D90" s="13">
        <f t="shared" si="1"/>
        <v>12</v>
      </c>
      <c r="E90" s="13">
        <f t="shared" si="2"/>
        <v>11</v>
      </c>
    </row>
    <row r="91">
      <c r="A91" s="4" t="s">
        <v>134</v>
      </c>
      <c r="B91" s="4" t="s">
        <v>135</v>
      </c>
      <c r="C91" s="12">
        <f>IFERROR(__xludf.DUMMYFUNCTION("""COMPUTED_VALUE"""),44663.48012731481)</f>
        <v>44663.48013</v>
      </c>
      <c r="D91" s="13">
        <f t="shared" si="1"/>
        <v>12</v>
      </c>
      <c r="E91" s="13">
        <f t="shared" si="2"/>
        <v>11</v>
      </c>
    </row>
    <row r="92">
      <c r="A92" s="4" t="s">
        <v>136</v>
      </c>
      <c r="B92" s="16"/>
      <c r="C92" s="12">
        <f>IFERROR(__xludf.DUMMYFUNCTION("""COMPUTED_VALUE"""),44663.47945601852)</f>
        <v>44663.47946</v>
      </c>
      <c r="D92" s="13">
        <f t="shared" si="1"/>
        <v>12</v>
      </c>
      <c r="E92" s="13">
        <f t="shared" si="2"/>
        <v>11</v>
      </c>
    </row>
    <row r="93">
      <c r="A93" s="4" t="s">
        <v>137</v>
      </c>
      <c r="B93" s="4" t="s">
        <v>116</v>
      </c>
      <c r="C93" s="12">
        <f>IFERROR(__xludf.DUMMYFUNCTION("""COMPUTED_VALUE"""),44663.47940972222)</f>
        <v>44663.47941</v>
      </c>
      <c r="D93" s="13">
        <f t="shared" si="1"/>
        <v>12</v>
      </c>
      <c r="E93" s="13">
        <f t="shared" si="2"/>
        <v>11</v>
      </c>
    </row>
    <row r="94">
      <c r="A94" s="4" t="s">
        <v>138</v>
      </c>
      <c r="B94" s="4" t="s">
        <v>116</v>
      </c>
      <c r="C94" s="12">
        <f>IFERROR(__xludf.DUMMYFUNCTION("""COMPUTED_VALUE"""),44663.47938657407)</f>
        <v>44663.47939</v>
      </c>
      <c r="D94" s="13">
        <f t="shared" si="1"/>
        <v>12</v>
      </c>
      <c r="E94" s="13">
        <f t="shared" si="2"/>
        <v>11</v>
      </c>
    </row>
    <row r="95">
      <c r="A95" s="4" t="s">
        <v>139</v>
      </c>
      <c r="B95" s="4" t="s">
        <v>140</v>
      </c>
      <c r="C95" s="12">
        <f>IFERROR(__xludf.DUMMYFUNCTION("""COMPUTED_VALUE"""),44663.4783449074)</f>
        <v>44663.47834</v>
      </c>
      <c r="D95" s="13">
        <f t="shared" si="1"/>
        <v>12</v>
      </c>
      <c r="E95" s="13">
        <f t="shared" si="2"/>
        <v>11</v>
      </c>
    </row>
    <row r="96">
      <c r="A96" s="4" t="s">
        <v>141</v>
      </c>
      <c r="B96" s="4" t="s">
        <v>140</v>
      </c>
      <c r="C96" s="12">
        <f>IFERROR(__xludf.DUMMYFUNCTION("""COMPUTED_VALUE"""),44663.47820601852)</f>
        <v>44663.47821</v>
      </c>
      <c r="D96" s="13">
        <f t="shared" si="1"/>
        <v>12</v>
      </c>
      <c r="E96" s="13">
        <f t="shared" si="2"/>
        <v>11</v>
      </c>
    </row>
    <row r="97">
      <c r="A97" s="4" t="s">
        <v>142</v>
      </c>
      <c r="B97" s="4" t="s">
        <v>143</v>
      </c>
      <c r="C97" s="12">
        <f>IFERROR(__xludf.DUMMYFUNCTION("""COMPUTED_VALUE"""),44663.47760416666)</f>
        <v>44663.4776</v>
      </c>
      <c r="D97" s="13">
        <f t="shared" si="1"/>
        <v>12</v>
      </c>
      <c r="E97" s="13">
        <f t="shared" si="2"/>
        <v>11</v>
      </c>
    </row>
    <row r="98">
      <c r="A98" s="4" t="s">
        <v>144</v>
      </c>
      <c r="B98" s="4" t="s">
        <v>145</v>
      </c>
      <c r="C98" s="12">
        <f>IFERROR(__xludf.DUMMYFUNCTION("""COMPUTED_VALUE"""),44663.47729166666)</f>
        <v>44663.47729</v>
      </c>
      <c r="D98" s="13">
        <f t="shared" si="1"/>
        <v>12</v>
      </c>
      <c r="E98" s="13">
        <f t="shared" si="2"/>
        <v>11</v>
      </c>
    </row>
    <row r="99">
      <c r="A99" s="4" t="s">
        <v>146</v>
      </c>
      <c r="B99" s="16"/>
      <c r="C99" s="12">
        <f>IFERROR(__xludf.DUMMYFUNCTION("""COMPUTED_VALUE"""),44663.47722222222)</f>
        <v>44663.47722</v>
      </c>
      <c r="D99" s="13">
        <f t="shared" si="1"/>
        <v>12</v>
      </c>
      <c r="E99" s="13">
        <f t="shared" si="2"/>
        <v>11</v>
      </c>
    </row>
    <row r="100">
      <c r="A100" s="4" t="s">
        <v>147</v>
      </c>
      <c r="B100" s="16"/>
      <c r="C100" s="12">
        <f>IFERROR(__xludf.DUMMYFUNCTION("""COMPUTED_VALUE"""),44663.477175925924)</f>
        <v>44663.47718</v>
      </c>
      <c r="D100" s="13">
        <f t="shared" si="1"/>
        <v>12</v>
      </c>
      <c r="E100" s="13">
        <f t="shared" si="2"/>
        <v>11</v>
      </c>
    </row>
    <row r="101">
      <c r="A101" s="4" t="s">
        <v>148</v>
      </c>
      <c r="B101" s="16"/>
      <c r="C101" s="12">
        <f>IFERROR(__xludf.DUMMYFUNCTION("""COMPUTED_VALUE"""),44663.4771412037)</f>
        <v>44663.47714</v>
      </c>
      <c r="D101" s="13">
        <f t="shared" si="1"/>
        <v>12</v>
      </c>
      <c r="E101" s="13">
        <f t="shared" si="2"/>
        <v>11</v>
      </c>
    </row>
    <row r="102">
      <c r="A102" s="4" t="s">
        <v>149</v>
      </c>
      <c r="B102" s="16"/>
      <c r="C102" s="12">
        <f>IFERROR(__xludf.DUMMYFUNCTION("""COMPUTED_VALUE"""),44663.47709490741)</f>
        <v>44663.47709</v>
      </c>
      <c r="D102" s="13">
        <f t="shared" si="1"/>
        <v>12</v>
      </c>
      <c r="E102" s="13">
        <f t="shared" si="2"/>
        <v>11</v>
      </c>
    </row>
    <row r="103">
      <c r="A103" s="4" t="s">
        <v>150</v>
      </c>
      <c r="B103" s="16"/>
      <c r="C103" s="12">
        <f>IFERROR(__xludf.DUMMYFUNCTION("""COMPUTED_VALUE"""),44663.477060185185)</f>
        <v>44663.47706</v>
      </c>
      <c r="D103" s="13">
        <f t="shared" si="1"/>
        <v>12</v>
      </c>
      <c r="E103" s="13">
        <f t="shared" si="2"/>
        <v>11</v>
      </c>
    </row>
    <row r="104">
      <c r="A104" s="4" t="s">
        <v>151</v>
      </c>
      <c r="B104" s="4" t="s">
        <v>152</v>
      </c>
      <c r="C104" s="12">
        <f>IFERROR(__xludf.DUMMYFUNCTION("""COMPUTED_VALUE"""),44663.47702546296)</f>
        <v>44663.47703</v>
      </c>
      <c r="D104" s="13">
        <f t="shared" si="1"/>
        <v>12</v>
      </c>
      <c r="E104" s="13">
        <f t="shared" si="2"/>
        <v>11</v>
      </c>
    </row>
    <row r="105">
      <c r="A105" s="4" t="s">
        <v>153</v>
      </c>
      <c r="B105" s="4" t="s">
        <v>152</v>
      </c>
      <c r="C105" s="12">
        <f>IFERROR(__xludf.DUMMYFUNCTION("""COMPUTED_VALUE"""),44663.47696759259)</f>
        <v>44663.47697</v>
      </c>
      <c r="D105" s="13">
        <f t="shared" si="1"/>
        <v>12</v>
      </c>
      <c r="E105" s="13">
        <f t="shared" si="2"/>
        <v>11</v>
      </c>
    </row>
    <row r="106">
      <c r="A106" s="4" t="s">
        <v>154</v>
      </c>
      <c r="B106" s="4" t="s">
        <v>155</v>
      </c>
      <c r="C106" s="12">
        <f>IFERROR(__xludf.DUMMYFUNCTION("""COMPUTED_VALUE"""),44663.476435185185)</f>
        <v>44663.47644</v>
      </c>
      <c r="D106" s="13">
        <f t="shared" si="1"/>
        <v>12</v>
      </c>
      <c r="E106" s="13">
        <f t="shared" si="2"/>
        <v>11</v>
      </c>
    </row>
    <row r="107">
      <c r="A107" s="4" t="s">
        <v>156</v>
      </c>
      <c r="B107" s="16"/>
      <c r="C107" s="12">
        <f>IFERROR(__xludf.DUMMYFUNCTION("""COMPUTED_VALUE"""),44663.47642361111)</f>
        <v>44663.47642</v>
      </c>
      <c r="D107" s="13">
        <f t="shared" si="1"/>
        <v>12</v>
      </c>
      <c r="E107" s="13">
        <f t="shared" si="2"/>
        <v>11</v>
      </c>
    </row>
    <row r="108">
      <c r="A108" s="4" t="s">
        <v>157</v>
      </c>
      <c r="B108" s="16"/>
      <c r="C108" s="12">
        <f>IFERROR(__xludf.DUMMYFUNCTION("""COMPUTED_VALUE"""),44663.47635416666)</f>
        <v>44663.47635</v>
      </c>
      <c r="D108" s="13">
        <f t="shared" si="1"/>
        <v>12</v>
      </c>
      <c r="E108" s="13">
        <f t="shared" si="2"/>
        <v>11</v>
      </c>
    </row>
    <row r="109">
      <c r="A109" s="4" t="s">
        <v>158</v>
      </c>
      <c r="B109" s="16"/>
      <c r="C109" s="12">
        <f>IFERROR(__xludf.DUMMYFUNCTION("""COMPUTED_VALUE"""),44663.47563657407)</f>
        <v>44663.47564</v>
      </c>
      <c r="D109" s="13">
        <f t="shared" si="1"/>
        <v>12</v>
      </c>
      <c r="E109" s="13">
        <f t="shared" si="2"/>
        <v>11</v>
      </c>
    </row>
    <row r="110">
      <c r="A110" s="4" t="s">
        <v>159</v>
      </c>
      <c r="B110" s="4" t="s">
        <v>160</v>
      </c>
      <c r="C110" s="12">
        <f>IFERROR(__xludf.DUMMYFUNCTION("""COMPUTED_VALUE"""),44663.475439814814)</f>
        <v>44663.47544</v>
      </c>
      <c r="D110" s="13">
        <f t="shared" si="1"/>
        <v>12</v>
      </c>
      <c r="E110" s="13">
        <f t="shared" si="2"/>
        <v>11</v>
      </c>
    </row>
    <row r="111">
      <c r="A111" s="4" t="s">
        <v>161</v>
      </c>
      <c r="B111" s="4" t="s">
        <v>162</v>
      </c>
      <c r="C111" s="12">
        <f>IFERROR(__xludf.DUMMYFUNCTION("""COMPUTED_VALUE"""),44663.47472222222)</f>
        <v>44663.47472</v>
      </c>
      <c r="D111" s="13">
        <f t="shared" si="1"/>
        <v>12</v>
      </c>
      <c r="E111" s="13">
        <f t="shared" si="2"/>
        <v>11</v>
      </c>
    </row>
    <row r="112">
      <c r="A112" s="4" t="s">
        <v>163</v>
      </c>
      <c r="B112" s="16"/>
      <c r="C112" s="12">
        <f>IFERROR(__xludf.DUMMYFUNCTION("""COMPUTED_VALUE"""),44663.474282407406)</f>
        <v>44663.47428</v>
      </c>
      <c r="D112" s="13">
        <f t="shared" si="1"/>
        <v>12</v>
      </c>
      <c r="E112" s="13">
        <f t="shared" si="2"/>
        <v>11</v>
      </c>
    </row>
    <row r="113">
      <c r="A113" s="4" t="s">
        <v>164</v>
      </c>
      <c r="B113" s="4" t="s">
        <v>165</v>
      </c>
      <c r="C113" s="12">
        <f>IFERROR(__xludf.DUMMYFUNCTION("""COMPUTED_VALUE"""),44663.47362268518)</f>
        <v>44663.47362</v>
      </c>
      <c r="D113" s="13">
        <f t="shared" si="1"/>
        <v>12</v>
      </c>
      <c r="E113" s="13">
        <f t="shared" si="2"/>
        <v>11</v>
      </c>
    </row>
    <row r="114">
      <c r="A114" s="4" t="s">
        <v>166</v>
      </c>
      <c r="B114" s="4" t="s">
        <v>167</v>
      </c>
      <c r="C114" s="12">
        <f>IFERROR(__xludf.DUMMYFUNCTION("""COMPUTED_VALUE"""),44663.47097222222)</f>
        <v>44663.47097</v>
      </c>
      <c r="D114" s="13">
        <f t="shared" si="1"/>
        <v>12</v>
      </c>
      <c r="E114" s="13">
        <f t="shared" si="2"/>
        <v>11</v>
      </c>
    </row>
    <row r="115">
      <c r="A115" s="4" t="s">
        <v>168</v>
      </c>
      <c r="B115" s="16"/>
      <c r="C115" s="12">
        <f>IFERROR(__xludf.DUMMYFUNCTION("""COMPUTED_VALUE"""),44663.47069444444)</f>
        <v>44663.47069</v>
      </c>
      <c r="D115" s="13">
        <f t="shared" si="1"/>
        <v>12</v>
      </c>
      <c r="E115" s="13">
        <f t="shared" si="2"/>
        <v>11</v>
      </c>
    </row>
    <row r="116">
      <c r="A116" s="4" t="s">
        <v>169</v>
      </c>
      <c r="B116" s="16"/>
      <c r="C116" s="12">
        <f>IFERROR(__xludf.DUMMYFUNCTION("""COMPUTED_VALUE"""),44663.47005787037)</f>
        <v>44663.47006</v>
      </c>
      <c r="D116" s="13">
        <f t="shared" si="1"/>
        <v>12</v>
      </c>
      <c r="E116" s="13">
        <f t="shared" si="2"/>
        <v>11</v>
      </c>
    </row>
    <row r="117">
      <c r="A117" s="4" t="s">
        <v>170</v>
      </c>
      <c r="B117" s="16"/>
      <c r="C117" s="12">
        <f>IFERROR(__xludf.DUMMYFUNCTION("""COMPUTED_VALUE"""),44663.46989583333)</f>
        <v>44663.4699</v>
      </c>
      <c r="D117" s="13">
        <f t="shared" si="1"/>
        <v>12</v>
      </c>
      <c r="E117" s="13">
        <f t="shared" si="2"/>
        <v>11</v>
      </c>
    </row>
    <row r="118">
      <c r="A118" s="4" t="s">
        <v>171</v>
      </c>
      <c r="B118" s="4" t="s">
        <v>172</v>
      </c>
      <c r="C118" s="12">
        <f>IFERROR(__xludf.DUMMYFUNCTION("""COMPUTED_VALUE"""),44663.46975694444)</f>
        <v>44663.46976</v>
      </c>
      <c r="D118" s="13">
        <f t="shared" si="1"/>
        <v>12</v>
      </c>
      <c r="E118" s="13">
        <f t="shared" si="2"/>
        <v>11</v>
      </c>
    </row>
    <row r="119">
      <c r="A119" s="4" t="s">
        <v>173</v>
      </c>
      <c r="B119" s="4" t="s">
        <v>174</v>
      </c>
      <c r="C119" s="12">
        <f>IFERROR(__xludf.DUMMYFUNCTION("""COMPUTED_VALUE"""),44663.469317129624)</f>
        <v>44663.46932</v>
      </c>
      <c r="D119" s="13">
        <f t="shared" si="1"/>
        <v>12</v>
      </c>
      <c r="E119" s="13">
        <f t="shared" si="2"/>
        <v>11</v>
      </c>
    </row>
    <row r="120">
      <c r="A120" s="4" t="s">
        <v>175</v>
      </c>
      <c r="B120" s="4" t="s">
        <v>176</v>
      </c>
      <c r="C120" s="12">
        <f>IFERROR(__xludf.DUMMYFUNCTION("""COMPUTED_VALUE"""),44663.467731481476)</f>
        <v>44663.46773</v>
      </c>
      <c r="D120" s="13">
        <f t="shared" si="1"/>
        <v>12</v>
      </c>
      <c r="E120" s="13">
        <f t="shared" si="2"/>
        <v>11</v>
      </c>
    </row>
    <row r="121">
      <c r="A121" s="4" t="s">
        <v>177</v>
      </c>
      <c r="B121" s="16"/>
      <c r="C121" s="12">
        <f>IFERROR(__xludf.DUMMYFUNCTION("""COMPUTED_VALUE"""),44663.467523148145)</f>
        <v>44663.46752</v>
      </c>
      <c r="D121" s="13">
        <f t="shared" si="1"/>
        <v>12</v>
      </c>
      <c r="E121" s="13">
        <f t="shared" si="2"/>
        <v>11</v>
      </c>
    </row>
    <row r="122">
      <c r="A122" s="4" t="s">
        <v>178</v>
      </c>
      <c r="B122" s="16"/>
      <c r="C122" s="12">
        <f>IFERROR(__xludf.DUMMYFUNCTION("""COMPUTED_VALUE"""),44663.465740740736)</f>
        <v>44663.46574</v>
      </c>
      <c r="D122" s="13">
        <f t="shared" si="1"/>
        <v>12</v>
      </c>
      <c r="E122" s="13">
        <f t="shared" si="2"/>
        <v>11</v>
      </c>
    </row>
    <row r="123">
      <c r="A123" s="4" t="s">
        <v>179</v>
      </c>
      <c r="B123" s="16"/>
      <c r="C123" s="12">
        <f>IFERROR(__xludf.DUMMYFUNCTION("""COMPUTED_VALUE"""),44663.46525462963)</f>
        <v>44663.46525</v>
      </c>
      <c r="D123" s="13">
        <f t="shared" si="1"/>
        <v>12</v>
      </c>
      <c r="E123" s="13">
        <f t="shared" si="2"/>
        <v>11</v>
      </c>
    </row>
    <row r="124">
      <c r="A124" s="4" t="s">
        <v>179</v>
      </c>
      <c r="B124" s="4" t="s">
        <v>180</v>
      </c>
      <c r="C124" s="12">
        <f>IFERROR(__xludf.DUMMYFUNCTION("""COMPUTED_VALUE"""),44663.46525462963)</f>
        <v>44663.46525</v>
      </c>
      <c r="D124" s="13">
        <f t="shared" si="1"/>
        <v>12</v>
      </c>
      <c r="E124" s="13">
        <f t="shared" si="2"/>
        <v>11</v>
      </c>
    </row>
    <row r="125">
      <c r="A125" s="4" t="s">
        <v>181</v>
      </c>
      <c r="B125" s="4" t="s">
        <v>182</v>
      </c>
      <c r="C125" s="12">
        <f>IFERROR(__xludf.DUMMYFUNCTION("""COMPUTED_VALUE"""),44663.46497685185)</f>
        <v>44663.46498</v>
      </c>
      <c r="D125" s="13">
        <f t="shared" si="1"/>
        <v>12</v>
      </c>
      <c r="E125" s="13">
        <f t="shared" si="2"/>
        <v>11</v>
      </c>
    </row>
    <row r="126">
      <c r="A126" s="4" t="s">
        <v>183</v>
      </c>
      <c r="B126" s="4" t="s">
        <v>184</v>
      </c>
      <c r="C126" s="12">
        <f>IFERROR(__xludf.DUMMYFUNCTION("""COMPUTED_VALUE"""),44663.46472222222)</f>
        <v>44663.46472</v>
      </c>
      <c r="D126" s="13">
        <f t="shared" si="1"/>
        <v>12</v>
      </c>
      <c r="E126" s="13">
        <f t="shared" si="2"/>
        <v>11</v>
      </c>
    </row>
    <row r="127">
      <c r="A127" s="4" t="s">
        <v>185</v>
      </c>
      <c r="B127" s="16"/>
      <c r="C127" s="12">
        <f>IFERROR(__xludf.DUMMYFUNCTION("""COMPUTED_VALUE"""),44663.46320601852)</f>
        <v>44663.46321</v>
      </c>
      <c r="D127" s="13">
        <f t="shared" si="1"/>
        <v>12</v>
      </c>
      <c r="E127" s="13">
        <f t="shared" si="2"/>
        <v>11</v>
      </c>
    </row>
    <row r="128">
      <c r="A128" s="4" t="s">
        <v>186</v>
      </c>
      <c r="B128" s="4" t="s">
        <v>187</v>
      </c>
      <c r="C128" s="12">
        <f>IFERROR(__xludf.DUMMYFUNCTION("""COMPUTED_VALUE"""),44663.46228009259)</f>
        <v>44663.46228</v>
      </c>
      <c r="D128" s="13">
        <f t="shared" si="1"/>
        <v>12</v>
      </c>
      <c r="E128" s="13">
        <f t="shared" si="2"/>
        <v>11</v>
      </c>
    </row>
    <row r="129">
      <c r="A129" s="4" t="s">
        <v>188</v>
      </c>
      <c r="B129" s="16"/>
      <c r="C129" s="12">
        <f>IFERROR(__xludf.DUMMYFUNCTION("""COMPUTED_VALUE"""),44663.460810185185)</f>
        <v>44663.46081</v>
      </c>
      <c r="D129" s="13">
        <f t="shared" si="1"/>
        <v>12</v>
      </c>
      <c r="E129" s="13">
        <f t="shared" si="2"/>
        <v>11</v>
      </c>
    </row>
    <row r="130">
      <c r="A130" s="4" t="s">
        <v>189</v>
      </c>
      <c r="B130" s="4" t="s">
        <v>190</v>
      </c>
      <c r="C130" s="12">
        <f>IFERROR(__xludf.DUMMYFUNCTION("""COMPUTED_VALUE"""),44663.46077546296)</f>
        <v>44663.46078</v>
      </c>
      <c r="D130" s="13">
        <f t="shared" si="1"/>
        <v>12</v>
      </c>
      <c r="E130" s="13">
        <f t="shared" si="2"/>
        <v>11</v>
      </c>
    </row>
    <row r="131">
      <c r="A131" s="4" t="s">
        <v>191</v>
      </c>
      <c r="B131" s="4" t="s">
        <v>192</v>
      </c>
      <c r="C131" s="12">
        <f>IFERROR(__xludf.DUMMYFUNCTION("""COMPUTED_VALUE"""),44663.46072916666)</f>
        <v>44663.46073</v>
      </c>
      <c r="D131" s="13">
        <f t="shared" si="1"/>
        <v>12</v>
      </c>
      <c r="E131" s="13">
        <f t="shared" si="2"/>
        <v>11</v>
      </c>
    </row>
    <row r="132">
      <c r="A132" s="4" t="s">
        <v>193</v>
      </c>
      <c r="B132" s="16"/>
      <c r="C132" s="12">
        <f>IFERROR(__xludf.DUMMYFUNCTION("""COMPUTED_VALUE"""),44663.460601851846)</f>
        <v>44663.4606</v>
      </c>
      <c r="D132" s="13">
        <f t="shared" si="1"/>
        <v>12</v>
      </c>
      <c r="E132" s="13">
        <f t="shared" si="2"/>
        <v>11</v>
      </c>
    </row>
    <row r="133">
      <c r="A133" s="4" t="s">
        <v>194</v>
      </c>
      <c r="B133" s="16"/>
      <c r="C133" s="12">
        <f>IFERROR(__xludf.DUMMYFUNCTION("""COMPUTED_VALUE"""),44663.46056712963)</f>
        <v>44663.46057</v>
      </c>
      <c r="D133" s="13">
        <f t="shared" si="1"/>
        <v>12</v>
      </c>
      <c r="E133" s="13">
        <f t="shared" si="2"/>
        <v>11</v>
      </c>
    </row>
    <row r="134">
      <c r="A134" s="4" t="s">
        <v>195</v>
      </c>
      <c r="B134" s="16"/>
      <c r="C134" s="12">
        <f>IFERROR(__xludf.DUMMYFUNCTION("""COMPUTED_VALUE"""),44663.46042824074)</f>
        <v>44663.46043</v>
      </c>
      <c r="D134" s="13">
        <f t="shared" si="1"/>
        <v>12</v>
      </c>
      <c r="E134" s="13">
        <f t="shared" si="2"/>
        <v>11</v>
      </c>
    </row>
    <row r="135">
      <c r="A135" s="4" t="s">
        <v>196</v>
      </c>
      <c r="B135" s="16"/>
      <c r="C135" s="12">
        <f>IFERROR(__xludf.DUMMYFUNCTION("""COMPUTED_VALUE"""),44663.460393518515)</f>
        <v>44663.46039</v>
      </c>
      <c r="D135" s="13">
        <f t="shared" si="1"/>
        <v>12</v>
      </c>
      <c r="E135" s="13">
        <f t="shared" si="2"/>
        <v>11</v>
      </c>
    </row>
    <row r="136">
      <c r="A136" s="4" t="s">
        <v>197</v>
      </c>
      <c r="B136" s="4" t="s">
        <v>190</v>
      </c>
      <c r="C136" s="12">
        <f>IFERROR(__xludf.DUMMYFUNCTION("""COMPUTED_VALUE"""),44663.46037037037)</f>
        <v>44663.46037</v>
      </c>
      <c r="D136" s="13">
        <f t="shared" si="1"/>
        <v>12</v>
      </c>
      <c r="E136" s="13">
        <f t="shared" si="2"/>
        <v>11</v>
      </c>
    </row>
    <row r="137">
      <c r="A137" s="4" t="s">
        <v>198</v>
      </c>
      <c r="B137" s="16"/>
      <c r="C137" s="12">
        <f>IFERROR(__xludf.DUMMYFUNCTION("""COMPUTED_VALUE"""),44663.460138888884)</f>
        <v>44663.46014</v>
      </c>
      <c r="D137" s="13">
        <f t="shared" si="1"/>
        <v>12</v>
      </c>
      <c r="E137" s="13">
        <f t="shared" si="2"/>
        <v>11</v>
      </c>
    </row>
    <row r="138">
      <c r="A138" s="4" t="s">
        <v>199</v>
      </c>
      <c r="B138" s="4" t="s">
        <v>190</v>
      </c>
      <c r="C138" s="12">
        <f>IFERROR(__xludf.DUMMYFUNCTION("""COMPUTED_VALUE"""),44663.460069444445)</f>
        <v>44663.46007</v>
      </c>
      <c r="D138" s="13">
        <f t="shared" si="1"/>
        <v>12</v>
      </c>
      <c r="E138" s="13">
        <f t="shared" si="2"/>
        <v>11</v>
      </c>
    </row>
    <row r="139">
      <c r="A139" s="4" t="s">
        <v>200</v>
      </c>
      <c r="B139" s="16"/>
      <c r="C139" s="12">
        <f>IFERROR(__xludf.DUMMYFUNCTION("""COMPUTED_VALUE"""),44663.45984953704)</f>
        <v>44663.45985</v>
      </c>
      <c r="D139" s="13">
        <f t="shared" si="1"/>
        <v>12</v>
      </c>
      <c r="E139" s="13">
        <f t="shared" si="2"/>
        <v>11</v>
      </c>
    </row>
    <row r="140">
      <c r="A140" s="4" t="s">
        <v>201</v>
      </c>
      <c r="B140" s="4" t="s">
        <v>190</v>
      </c>
      <c r="C140" s="12">
        <f>IFERROR(__xludf.DUMMYFUNCTION("""COMPUTED_VALUE"""),44663.458773148144)</f>
        <v>44663.45877</v>
      </c>
      <c r="D140" s="13">
        <f t="shared" si="1"/>
        <v>12</v>
      </c>
      <c r="E140" s="13">
        <f t="shared" si="2"/>
        <v>11</v>
      </c>
    </row>
    <row r="141">
      <c r="A141" s="4" t="s">
        <v>202</v>
      </c>
      <c r="B141" s="4" t="s">
        <v>190</v>
      </c>
      <c r="C141" s="12">
        <f>IFERROR(__xludf.DUMMYFUNCTION("""COMPUTED_VALUE"""),44663.458761574075)</f>
        <v>44663.45876</v>
      </c>
      <c r="D141" s="13">
        <f t="shared" si="1"/>
        <v>12</v>
      </c>
      <c r="E141" s="13">
        <f t="shared" si="2"/>
        <v>11</v>
      </c>
    </row>
    <row r="142">
      <c r="A142" s="4" t="s">
        <v>203</v>
      </c>
      <c r="B142" s="4" t="s">
        <v>190</v>
      </c>
      <c r="C142" s="12">
        <f>IFERROR(__xludf.DUMMYFUNCTION("""COMPUTED_VALUE"""),44663.458715277775)</f>
        <v>44663.45872</v>
      </c>
      <c r="D142" s="13">
        <f t="shared" si="1"/>
        <v>12</v>
      </c>
      <c r="E142" s="13">
        <f t="shared" si="2"/>
        <v>11</v>
      </c>
    </row>
    <row r="143">
      <c r="A143" s="4" t="s">
        <v>204</v>
      </c>
      <c r="B143" s="16"/>
      <c r="C143" s="12">
        <f>IFERROR(__xludf.DUMMYFUNCTION("""COMPUTED_VALUE"""),44663.45837962963)</f>
        <v>44663.45838</v>
      </c>
      <c r="D143" s="13">
        <f t="shared" si="1"/>
        <v>12</v>
      </c>
      <c r="E143" s="13">
        <f t="shared" si="2"/>
        <v>11</v>
      </c>
    </row>
    <row r="144">
      <c r="A144" s="4" t="s">
        <v>205</v>
      </c>
      <c r="B144" s="16"/>
      <c r="C144" s="12">
        <f>IFERROR(__xludf.DUMMYFUNCTION("""COMPUTED_VALUE"""),44663.458344907405)</f>
        <v>44663.45834</v>
      </c>
      <c r="D144" s="13">
        <f t="shared" si="1"/>
        <v>12</v>
      </c>
      <c r="E144" s="13">
        <f t="shared" si="2"/>
        <v>11</v>
      </c>
    </row>
    <row r="145">
      <c r="A145" s="4" t="s">
        <v>206</v>
      </c>
      <c r="B145" s="16"/>
      <c r="C145" s="12">
        <f>IFERROR(__xludf.DUMMYFUNCTION("""COMPUTED_VALUE"""),44663.458287037036)</f>
        <v>44663.45829</v>
      </c>
      <c r="D145" s="13">
        <f t="shared" si="1"/>
        <v>12</v>
      </c>
      <c r="E145" s="13">
        <f t="shared" si="2"/>
        <v>10</v>
      </c>
    </row>
    <row r="146">
      <c r="A146" s="4" t="s">
        <v>207</v>
      </c>
      <c r="B146" s="4" t="s">
        <v>190</v>
      </c>
      <c r="C146" s="12">
        <f>IFERROR(__xludf.DUMMYFUNCTION("""COMPUTED_VALUE"""),44663.45826388889)</f>
        <v>44663.45826</v>
      </c>
      <c r="D146" s="13">
        <f t="shared" si="1"/>
        <v>12</v>
      </c>
      <c r="E146" s="13">
        <f t="shared" si="2"/>
        <v>10</v>
      </c>
    </row>
    <row r="147">
      <c r="A147" s="4" t="s">
        <v>208</v>
      </c>
      <c r="B147" s="16"/>
      <c r="C147" s="12">
        <f>IFERROR(__xludf.DUMMYFUNCTION("""COMPUTED_VALUE"""),44663.457291666666)</f>
        <v>44663.45729</v>
      </c>
      <c r="D147" s="13">
        <f t="shared" si="1"/>
        <v>12</v>
      </c>
      <c r="E147" s="13">
        <f t="shared" si="2"/>
        <v>10</v>
      </c>
    </row>
    <row r="148">
      <c r="A148" s="4" t="s">
        <v>209</v>
      </c>
      <c r="B148" s="4" t="s">
        <v>210</v>
      </c>
      <c r="C148" s="12">
        <f>IFERROR(__xludf.DUMMYFUNCTION("""COMPUTED_VALUE"""),44663.45725694444)</f>
        <v>44663.45726</v>
      </c>
      <c r="D148" s="13">
        <f t="shared" si="1"/>
        <v>12</v>
      </c>
      <c r="E148" s="13">
        <f t="shared" si="2"/>
        <v>10</v>
      </c>
    </row>
    <row r="149">
      <c r="A149" s="4" t="s">
        <v>211</v>
      </c>
      <c r="B149" s="4" t="s">
        <v>210</v>
      </c>
      <c r="C149" s="12">
        <f>IFERROR(__xludf.DUMMYFUNCTION("""COMPUTED_VALUE"""),44663.45722222222)</f>
        <v>44663.45722</v>
      </c>
      <c r="D149" s="13">
        <f t="shared" si="1"/>
        <v>12</v>
      </c>
      <c r="E149" s="13">
        <f t="shared" si="2"/>
        <v>10</v>
      </c>
    </row>
    <row r="150">
      <c r="A150" s="4" t="s">
        <v>212</v>
      </c>
      <c r="B150" s="4" t="s">
        <v>210</v>
      </c>
      <c r="C150" s="12">
        <f>IFERROR(__xludf.DUMMYFUNCTION("""COMPUTED_VALUE"""),44663.45716435185)</f>
        <v>44663.45716</v>
      </c>
      <c r="D150" s="13">
        <f t="shared" si="1"/>
        <v>12</v>
      </c>
      <c r="E150" s="13">
        <f t="shared" si="2"/>
        <v>10</v>
      </c>
    </row>
    <row r="151">
      <c r="A151" s="4" t="s">
        <v>213</v>
      </c>
      <c r="B151" s="16"/>
      <c r="C151" s="12">
        <f>IFERROR(__xludf.DUMMYFUNCTION("""COMPUTED_VALUE"""),44663.457141203704)</f>
        <v>44663.45714</v>
      </c>
      <c r="D151" s="13">
        <f t="shared" si="1"/>
        <v>12</v>
      </c>
      <c r="E151" s="13">
        <f t="shared" si="2"/>
        <v>10</v>
      </c>
    </row>
    <row r="152">
      <c r="A152" s="4" t="s">
        <v>214</v>
      </c>
      <c r="B152" s="4" t="s">
        <v>210</v>
      </c>
      <c r="C152" s="12">
        <f>IFERROR(__xludf.DUMMYFUNCTION("""COMPUTED_VALUE"""),44663.456979166665)</f>
        <v>44663.45698</v>
      </c>
      <c r="D152" s="13">
        <f t="shared" si="1"/>
        <v>12</v>
      </c>
      <c r="E152" s="13">
        <f t="shared" si="2"/>
        <v>10</v>
      </c>
    </row>
    <row r="153">
      <c r="A153" s="4" t="s">
        <v>215</v>
      </c>
      <c r="B153" s="16"/>
      <c r="C153" s="12">
        <f>IFERROR(__xludf.DUMMYFUNCTION("""COMPUTED_VALUE"""),44663.45674768518)</f>
        <v>44663.45675</v>
      </c>
      <c r="D153" s="13">
        <f t="shared" si="1"/>
        <v>12</v>
      </c>
      <c r="E153" s="13">
        <f t="shared" si="2"/>
        <v>10</v>
      </c>
    </row>
    <row r="154">
      <c r="A154" s="4" t="s">
        <v>216</v>
      </c>
      <c r="B154" s="16"/>
      <c r="C154" s="12">
        <f>IFERROR(__xludf.DUMMYFUNCTION("""COMPUTED_VALUE"""),44663.45650462963)</f>
        <v>44663.4565</v>
      </c>
      <c r="D154" s="13">
        <f t="shared" si="1"/>
        <v>12</v>
      </c>
      <c r="E154" s="13">
        <f t="shared" si="2"/>
        <v>10</v>
      </c>
    </row>
    <row r="155">
      <c r="A155" s="4" t="s">
        <v>217</v>
      </c>
      <c r="B155" s="4" t="s">
        <v>210</v>
      </c>
      <c r="C155" s="12">
        <f>IFERROR(__xludf.DUMMYFUNCTION("""COMPUTED_VALUE"""),44663.4564699074)</f>
        <v>44663.45647</v>
      </c>
      <c r="D155" s="13">
        <f t="shared" si="1"/>
        <v>12</v>
      </c>
      <c r="E155" s="13">
        <f t="shared" si="2"/>
        <v>10</v>
      </c>
    </row>
    <row r="156">
      <c r="A156" s="4" t="s">
        <v>218</v>
      </c>
      <c r="B156" s="16"/>
      <c r="C156" s="12">
        <f>IFERROR(__xludf.DUMMYFUNCTION("""COMPUTED_VALUE"""),44663.45640046296)</f>
        <v>44663.4564</v>
      </c>
      <c r="D156" s="13">
        <f t="shared" si="1"/>
        <v>12</v>
      </c>
      <c r="E156" s="13">
        <f t="shared" si="2"/>
        <v>10</v>
      </c>
    </row>
    <row r="157">
      <c r="A157" s="4" t="s">
        <v>219</v>
      </c>
      <c r="B157" s="16"/>
      <c r="C157" s="12">
        <f>IFERROR(__xludf.DUMMYFUNCTION("""COMPUTED_VALUE"""),44663.45636574074)</f>
        <v>44663.45637</v>
      </c>
      <c r="D157" s="13">
        <f t="shared" si="1"/>
        <v>12</v>
      </c>
      <c r="E157" s="13">
        <f t="shared" si="2"/>
        <v>10</v>
      </c>
    </row>
    <row r="158">
      <c r="A158" s="4" t="s">
        <v>220</v>
      </c>
      <c r="B158" s="16"/>
      <c r="C158" s="12">
        <f>IFERROR(__xludf.DUMMYFUNCTION("""COMPUTED_VALUE"""),44663.456296296295)</f>
        <v>44663.4563</v>
      </c>
      <c r="D158" s="13">
        <f t="shared" si="1"/>
        <v>12</v>
      </c>
      <c r="E158" s="13">
        <f t="shared" si="2"/>
        <v>10</v>
      </c>
    </row>
    <row r="159">
      <c r="A159" s="4" t="s">
        <v>221</v>
      </c>
      <c r="B159" s="16"/>
      <c r="C159" s="12">
        <f>IFERROR(__xludf.DUMMYFUNCTION("""COMPUTED_VALUE"""),44663.45626157407)</f>
        <v>44663.45626</v>
      </c>
      <c r="D159" s="13">
        <f t="shared" si="1"/>
        <v>12</v>
      </c>
      <c r="E159" s="13">
        <f t="shared" si="2"/>
        <v>10</v>
      </c>
    </row>
    <row r="160">
      <c r="A160" s="4" t="s">
        <v>222</v>
      </c>
      <c r="B160" s="16"/>
      <c r="C160" s="12">
        <f>IFERROR(__xludf.DUMMYFUNCTION("""COMPUTED_VALUE"""),44663.45621527777)</f>
        <v>44663.45622</v>
      </c>
      <c r="D160" s="13">
        <f t="shared" si="1"/>
        <v>12</v>
      </c>
      <c r="E160" s="13">
        <f t="shared" si="2"/>
        <v>10</v>
      </c>
    </row>
    <row r="161">
      <c r="A161" s="4" t="s">
        <v>223</v>
      </c>
      <c r="B161" s="4" t="s">
        <v>210</v>
      </c>
      <c r="C161" s="12">
        <f>IFERROR(__xludf.DUMMYFUNCTION("""COMPUTED_VALUE"""),44663.45605324074)</f>
        <v>44663.45605</v>
      </c>
      <c r="D161" s="13">
        <f t="shared" si="1"/>
        <v>12</v>
      </c>
      <c r="E161" s="13">
        <f t="shared" si="2"/>
        <v>10</v>
      </c>
    </row>
    <row r="162">
      <c r="A162" s="4" t="s">
        <v>224</v>
      </c>
      <c r="B162" s="4" t="s">
        <v>225</v>
      </c>
      <c r="C162" s="12">
        <f>IFERROR(__xludf.DUMMYFUNCTION("""COMPUTED_VALUE"""),44663.45601851852)</f>
        <v>44663.45602</v>
      </c>
      <c r="D162" s="13">
        <f t="shared" si="1"/>
        <v>12</v>
      </c>
      <c r="E162" s="13">
        <f t="shared" si="2"/>
        <v>10</v>
      </c>
    </row>
    <row r="163">
      <c r="A163" s="4" t="s">
        <v>226</v>
      </c>
      <c r="B163" s="4" t="s">
        <v>227</v>
      </c>
      <c r="C163" s="12">
        <f>IFERROR(__xludf.DUMMYFUNCTION("""COMPUTED_VALUE"""),44663.455937499995)</f>
        <v>44663.45594</v>
      </c>
      <c r="D163" s="13">
        <f t="shared" si="1"/>
        <v>12</v>
      </c>
      <c r="E163" s="13">
        <f t="shared" si="2"/>
        <v>10</v>
      </c>
    </row>
    <row r="164">
      <c r="A164" s="4" t="s">
        <v>228</v>
      </c>
      <c r="B164" s="16"/>
      <c r="C164" s="12">
        <f>IFERROR(__xludf.DUMMYFUNCTION("""COMPUTED_VALUE"""),44663.45414351852)</f>
        <v>44663.45414</v>
      </c>
      <c r="D164" s="13">
        <f t="shared" si="1"/>
        <v>12</v>
      </c>
      <c r="E164" s="13">
        <f t="shared" si="2"/>
        <v>10</v>
      </c>
    </row>
    <row r="165">
      <c r="A165" s="4" t="s">
        <v>229</v>
      </c>
      <c r="B165" s="4" t="s">
        <v>230</v>
      </c>
      <c r="C165" s="12">
        <f>IFERROR(__xludf.DUMMYFUNCTION("""COMPUTED_VALUE"""),44663.45306712963)</f>
        <v>44663.45307</v>
      </c>
      <c r="D165" s="13">
        <f t="shared" si="1"/>
        <v>12</v>
      </c>
      <c r="E165" s="13">
        <f t="shared" si="2"/>
        <v>10</v>
      </c>
    </row>
    <row r="166">
      <c r="A166" s="4" t="s">
        <v>231</v>
      </c>
      <c r="B166" s="4" t="s">
        <v>94</v>
      </c>
      <c r="C166" s="12">
        <f>IFERROR(__xludf.DUMMYFUNCTION("""COMPUTED_VALUE"""),44663.451527777775)</f>
        <v>44663.45153</v>
      </c>
      <c r="D166" s="13">
        <f t="shared" si="1"/>
        <v>12</v>
      </c>
      <c r="E166" s="13">
        <f t="shared" si="2"/>
        <v>10</v>
      </c>
    </row>
    <row r="167">
      <c r="A167" s="4" t="s">
        <v>232</v>
      </c>
      <c r="B167" s="16"/>
      <c r="C167" s="12">
        <f>IFERROR(__xludf.DUMMYFUNCTION("""COMPUTED_VALUE"""),44663.45107638888)</f>
        <v>44663.45108</v>
      </c>
      <c r="D167" s="13">
        <f t="shared" si="1"/>
        <v>12</v>
      </c>
      <c r="E167" s="13">
        <f t="shared" si="2"/>
        <v>10</v>
      </c>
    </row>
    <row r="168">
      <c r="A168" s="4" t="s">
        <v>233</v>
      </c>
      <c r="B168" s="4" t="s">
        <v>94</v>
      </c>
      <c r="C168" s="12">
        <f>IFERROR(__xludf.DUMMYFUNCTION("""COMPUTED_VALUE"""),44663.451006944444)</f>
        <v>44663.45101</v>
      </c>
      <c r="D168" s="13">
        <f t="shared" si="1"/>
        <v>12</v>
      </c>
      <c r="E168" s="13">
        <f t="shared" si="2"/>
        <v>10</v>
      </c>
    </row>
    <row r="169">
      <c r="A169" s="4" t="s">
        <v>234</v>
      </c>
      <c r="B169" s="4" t="s">
        <v>94</v>
      </c>
      <c r="C169" s="12">
        <f>IFERROR(__xludf.DUMMYFUNCTION("""COMPUTED_VALUE"""),44663.45097222222)</f>
        <v>44663.45097</v>
      </c>
      <c r="D169" s="13">
        <f t="shared" si="1"/>
        <v>12</v>
      </c>
      <c r="E169" s="13">
        <f t="shared" si="2"/>
        <v>10</v>
      </c>
    </row>
    <row r="170">
      <c r="A170" s="4" t="s">
        <v>235</v>
      </c>
      <c r="B170" s="4" t="s">
        <v>236</v>
      </c>
      <c r="C170" s="12">
        <f>IFERROR(__xludf.DUMMYFUNCTION("""COMPUTED_VALUE"""),44663.45067129629)</f>
        <v>44663.45067</v>
      </c>
      <c r="D170" s="13">
        <f t="shared" si="1"/>
        <v>12</v>
      </c>
      <c r="E170" s="13">
        <f t="shared" si="2"/>
        <v>10</v>
      </c>
    </row>
    <row r="171">
      <c r="A171" s="4" t="s">
        <v>237</v>
      </c>
      <c r="B171" s="4" t="s">
        <v>238</v>
      </c>
      <c r="C171" s="12">
        <f>IFERROR(__xludf.DUMMYFUNCTION("""COMPUTED_VALUE"""),44663.4496875)</f>
        <v>44663.44969</v>
      </c>
      <c r="D171" s="13">
        <f t="shared" si="1"/>
        <v>12</v>
      </c>
      <c r="E171" s="13">
        <f t="shared" si="2"/>
        <v>10</v>
      </c>
    </row>
    <row r="172">
      <c r="A172" s="4" t="s">
        <v>239</v>
      </c>
      <c r="B172" s="4" t="s">
        <v>240</v>
      </c>
      <c r="C172" s="12">
        <f>IFERROR(__xludf.DUMMYFUNCTION("""COMPUTED_VALUE"""),44663.449537037035)</f>
        <v>44663.44954</v>
      </c>
      <c r="D172" s="13">
        <f t="shared" si="1"/>
        <v>12</v>
      </c>
      <c r="E172" s="13">
        <f t="shared" si="2"/>
        <v>10</v>
      </c>
    </row>
    <row r="173">
      <c r="A173" s="4" t="s">
        <v>241</v>
      </c>
      <c r="B173" s="16"/>
      <c r="C173" s="12">
        <f>IFERROR(__xludf.DUMMYFUNCTION("""COMPUTED_VALUE"""),44663.449490740735)</f>
        <v>44663.44949</v>
      </c>
      <c r="D173" s="13">
        <f t="shared" si="1"/>
        <v>12</v>
      </c>
      <c r="E173" s="13">
        <f t="shared" si="2"/>
        <v>10</v>
      </c>
    </row>
    <row r="174">
      <c r="A174" s="4" t="s">
        <v>242</v>
      </c>
      <c r="B174" s="4" t="s">
        <v>243</v>
      </c>
      <c r="C174" s="12">
        <f>IFERROR(__xludf.DUMMYFUNCTION("""COMPUTED_VALUE"""),44663.445925925924)</f>
        <v>44663.44593</v>
      </c>
      <c r="D174" s="13">
        <f t="shared" si="1"/>
        <v>12</v>
      </c>
      <c r="E174" s="13">
        <f t="shared" si="2"/>
        <v>10</v>
      </c>
    </row>
    <row r="175">
      <c r="A175" s="4" t="s">
        <v>244</v>
      </c>
      <c r="B175" s="4" t="s">
        <v>143</v>
      </c>
      <c r="C175" s="12">
        <f>IFERROR(__xludf.DUMMYFUNCTION("""COMPUTED_VALUE"""),44663.44403935185)</f>
        <v>44663.44404</v>
      </c>
      <c r="D175" s="13">
        <f t="shared" si="1"/>
        <v>12</v>
      </c>
      <c r="E175" s="13">
        <f t="shared" si="2"/>
        <v>10</v>
      </c>
    </row>
    <row r="176">
      <c r="A176" s="4" t="s">
        <v>245</v>
      </c>
      <c r="B176" s="4" t="s">
        <v>246</v>
      </c>
      <c r="C176" s="12">
        <f>IFERROR(__xludf.DUMMYFUNCTION("""COMPUTED_VALUE"""),44663.44353009259)</f>
        <v>44663.44353</v>
      </c>
      <c r="D176" s="13">
        <f t="shared" si="1"/>
        <v>12</v>
      </c>
      <c r="E176" s="13">
        <f t="shared" si="2"/>
        <v>10</v>
      </c>
    </row>
    <row r="177">
      <c r="A177" s="4" t="s">
        <v>247</v>
      </c>
      <c r="B177" s="4" t="s">
        <v>248</v>
      </c>
      <c r="C177" s="12">
        <f>IFERROR(__xludf.DUMMYFUNCTION("""COMPUTED_VALUE"""),44663.44185185185)</f>
        <v>44663.44185</v>
      </c>
      <c r="D177" s="13">
        <f t="shared" si="1"/>
        <v>12</v>
      </c>
      <c r="E177" s="13">
        <f t="shared" si="2"/>
        <v>10</v>
      </c>
    </row>
    <row r="178">
      <c r="A178" s="4" t="s">
        <v>249</v>
      </c>
      <c r="B178" s="4" t="s">
        <v>227</v>
      </c>
      <c r="C178" s="12">
        <f>IFERROR(__xludf.DUMMYFUNCTION("""COMPUTED_VALUE"""),44663.439247685186)</f>
        <v>44663.43925</v>
      </c>
      <c r="D178" s="13">
        <f t="shared" si="1"/>
        <v>12</v>
      </c>
      <c r="E178" s="13">
        <f t="shared" si="2"/>
        <v>10</v>
      </c>
    </row>
    <row r="179">
      <c r="A179" s="4" t="s">
        <v>250</v>
      </c>
      <c r="B179" s="4" t="s">
        <v>251</v>
      </c>
      <c r="C179" s="12">
        <f>IFERROR(__xludf.DUMMYFUNCTION("""COMPUTED_VALUE"""),44663.43915509259)</f>
        <v>44663.43916</v>
      </c>
      <c r="D179" s="13">
        <f t="shared" si="1"/>
        <v>12</v>
      </c>
      <c r="E179" s="13">
        <f t="shared" si="2"/>
        <v>10</v>
      </c>
    </row>
    <row r="180">
      <c r="A180" s="4" t="s">
        <v>252</v>
      </c>
      <c r="B180" s="16"/>
      <c r="C180" s="12">
        <f>IFERROR(__xludf.DUMMYFUNCTION("""COMPUTED_VALUE"""),44663.43908564815)</f>
        <v>44663.43909</v>
      </c>
      <c r="D180" s="13">
        <f t="shared" si="1"/>
        <v>12</v>
      </c>
      <c r="E180" s="13">
        <f t="shared" si="2"/>
        <v>10</v>
      </c>
    </row>
    <row r="181">
      <c r="A181" s="4" t="s">
        <v>253</v>
      </c>
      <c r="B181" s="4" t="s">
        <v>254</v>
      </c>
      <c r="C181" s="12">
        <f>IFERROR(__xludf.DUMMYFUNCTION("""COMPUTED_VALUE"""),44663.43771990741)</f>
        <v>44663.43772</v>
      </c>
      <c r="D181" s="13">
        <f t="shared" si="1"/>
        <v>12</v>
      </c>
      <c r="E181" s="13">
        <f t="shared" si="2"/>
        <v>10</v>
      </c>
    </row>
    <row r="182">
      <c r="A182" s="4" t="s">
        <v>255</v>
      </c>
      <c r="B182" s="16"/>
      <c r="C182" s="12">
        <f>IFERROR(__xludf.DUMMYFUNCTION("""COMPUTED_VALUE"""),44663.437638888885)</f>
        <v>44663.43764</v>
      </c>
      <c r="D182" s="13">
        <f t="shared" si="1"/>
        <v>12</v>
      </c>
      <c r="E182" s="13">
        <f t="shared" si="2"/>
        <v>10</v>
      </c>
    </row>
    <row r="183">
      <c r="A183" s="4" t="s">
        <v>256</v>
      </c>
      <c r="B183" s="4" t="s">
        <v>257</v>
      </c>
      <c r="C183" s="12">
        <f>IFERROR(__xludf.DUMMYFUNCTION("""COMPUTED_VALUE"""),44663.43744212963)</f>
        <v>44663.43744</v>
      </c>
      <c r="D183" s="13">
        <f t="shared" si="1"/>
        <v>12</v>
      </c>
      <c r="E183" s="13">
        <f t="shared" si="2"/>
        <v>10</v>
      </c>
    </row>
    <row r="184">
      <c r="A184" s="4" t="s">
        <v>258</v>
      </c>
      <c r="B184" s="16"/>
      <c r="C184" s="12">
        <f>IFERROR(__xludf.DUMMYFUNCTION("""COMPUTED_VALUE"""),44663.4368287037)</f>
        <v>44663.43683</v>
      </c>
      <c r="D184" s="13">
        <f t="shared" si="1"/>
        <v>12</v>
      </c>
      <c r="E184" s="13">
        <f t="shared" si="2"/>
        <v>10</v>
      </c>
    </row>
    <row r="185">
      <c r="A185" s="4" t="s">
        <v>258</v>
      </c>
      <c r="B185" s="16"/>
      <c r="C185" s="12">
        <f>IFERROR(__xludf.DUMMYFUNCTION("""COMPUTED_VALUE"""),44663.4368287037)</f>
        <v>44663.43683</v>
      </c>
      <c r="D185" s="13">
        <f t="shared" si="1"/>
        <v>12</v>
      </c>
      <c r="E185" s="13">
        <f t="shared" si="2"/>
        <v>10</v>
      </c>
    </row>
    <row r="186">
      <c r="A186" s="4" t="s">
        <v>259</v>
      </c>
      <c r="B186" s="4" t="s">
        <v>260</v>
      </c>
      <c r="C186" s="12">
        <f>IFERROR(__xludf.DUMMYFUNCTION("""COMPUTED_VALUE"""),44663.43445601851)</f>
        <v>44663.43446</v>
      </c>
      <c r="D186" s="13">
        <f t="shared" si="1"/>
        <v>12</v>
      </c>
      <c r="E186" s="13">
        <f t="shared" si="2"/>
        <v>10</v>
      </c>
    </row>
    <row r="187">
      <c r="A187" s="4" t="s">
        <v>261</v>
      </c>
      <c r="B187" s="4" t="s">
        <v>262</v>
      </c>
      <c r="C187" s="12">
        <f>IFERROR(__xludf.DUMMYFUNCTION("""COMPUTED_VALUE"""),44663.429826388885)</f>
        <v>44663.42983</v>
      </c>
      <c r="D187" s="13">
        <f t="shared" si="1"/>
        <v>12</v>
      </c>
      <c r="E187" s="13">
        <f t="shared" si="2"/>
        <v>10</v>
      </c>
    </row>
    <row r="188">
      <c r="A188" s="4" t="s">
        <v>263</v>
      </c>
      <c r="B188" s="4" t="s">
        <v>264</v>
      </c>
      <c r="C188" s="12">
        <f>IFERROR(__xludf.DUMMYFUNCTION("""COMPUTED_VALUE"""),44663.42942129629)</f>
        <v>44663.42942</v>
      </c>
      <c r="D188" s="13">
        <f t="shared" si="1"/>
        <v>12</v>
      </c>
      <c r="E188" s="13">
        <f t="shared" si="2"/>
        <v>10</v>
      </c>
    </row>
    <row r="189">
      <c r="A189" s="4" t="s">
        <v>265</v>
      </c>
      <c r="B189" s="16"/>
      <c r="C189" s="12">
        <f>IFERROR(__xludf.DUMMYFUNCTION("""COMPUTED_VALUE"""),44663.428888888884)</f>
        <v>44663.42889</v>
      </c>
      <c r="D189" s="13">
        <f t="shared" si="1"/>
        <v>12</v>
      </c>
      <c r="E189" s="13">
        <f t="shared" si="2"/>
        <v>10</v>
      </c>
    </row>
    <row r="190">
      <c r="A190" s="4" t="s">
        <v>266</v>
      </c>
      <c r="B190" s="16"/>
      <c r="C190" s="12">
        <f>IFERROR(__xludf.DUMMYFUNCTION("""COMPUTED_VALUE"""),44663.428877314815)</f>
        <v>44663.42888</v>
      </c>
      <c r="D190" s="13">
        <f t="shared" si="1"/>
        <v>12</v>
      </c>
      <c r="E190" s="13">
        <f t="shared" si="2"/>
        <v>10</v>
      </c>
    </row>
    <row r="191">
      <c r="A191" s="4" t="s">
        <v>267</v>
      </c>
      <c r="B191" s="4" t="s">
        <v>268</v>
      </c>
      <c r="C191" s="12">
        <f>IFERROR(__xludf.DUMMYFUNCTION("""COMPUTED_VALUE"""),44663.428831018515)</f>
        <v>44663.42883</v>
      </c>
      <c r="D191" s="13">
        <f t="shared" si="1"/>
        <v>12</v>
      </c>
      <c r="E191" s="13">
        <f t="shared" si="2"/>
        <v>10</v>
      </c>
    </row>
    <row r="192">
      <c r="A192" s="4" t="s">
        <v>269</v>
      </c>
      <c r="B192" s="4" t="s">
        <v>270</v>
      </c>
      <c r="C192" s="12">
        <f>IFERROR(__xludf.DUMMYFUNCTION("""COMPUTED_VALUE"""),44663.42879629629)</f>
        <v>44663.4288</v>
      </c>
      <c r="D192" s="13">
        <f t="shared" si="1"/>
        <v>12</v>
      </c>
      <c r="E192" s="13">
        <f t="shared" si="2"/>
        <v>10</v>
      </c>
    </row>
    <row r="193">
      <c r="A193" s="4" t="s">
        <v>271</v>
      </c>
      <c r="B193" s="16"/>
      <c r="C193" s="12">
        <f>IFERROR(__xludf.DUMMYFUNCTION("""COMPUTED_VALUE"""),44663.42876157407)</f>
        <v>44663.42876</v>
      </c>
      <c r="D193" s="13">
        <f t="shared" si="1"/>
        <v>12</v>
      </c>
      <c r="E193" s="13">
        <f t="shared" si="2"/>
        <v>10</v>
      </c>
    </row>
    <row r="194">
      <c r="A194" s="4" t="s">
        <v>272</v>
      </c>
      <c r="B194" s="16"/>
      <c r="C194" s="12">
        <f>IFERROR(__xludf.DUMMYFUNCTION("""COMPUTED_VALUE"""),44663.42872685185)</f>
        <v>44663.42873</v>
      </c>
      <c r="D194" s="13">
        <f t="shared" si="1"/>
        <v>12</v>
      </c>
      <c r="E194" s="13">
        <f t="shared" si="2"/>
        <v>10</v>
      </c>
    </row>
    <row r="195">
      <c r="A195" s="4" t="s">
        <v>273</v>
      </c>
      <c r="B195" s="16"/>
      <c r="C195" s="12">
        <f>IFERROR(__xludf.DUMMYFUNCTION("""COMPUTED_VALUE"""),44663.42842592592)</f>
        <v>44663.42843</v>
      </c>
      <c r="D195" s="13">
        <f t="shared" si="1"/>
        <v>12</v>
      </c>
      <c r="E195" s="13">
        <f t="shared" si="2"/>
        <v>10</v>
      </c>
    </row>
    <row r="196">
      <c r="A196" s="4" t="s">
        <v>274</v>
      </c>
      <c r="B196" s="16"/>
      <c r="C196" s="12">
        <f>IFERROR(__xludf.DUMMYFUNCTION("""COMPUTED_VALUE"""),44663.427986111106)</f>
        <v>44663.42799</v>
      </c>
      <c r="D196" s="13">
        <f t="shared" si="1"/>
        <v>12</v>
      </c>
      <c r="E196" s="13">
        <f t="shared" si="2"/>
        <v>10</v>
      </c>
    </row>
    <row r="197">
      <c r="A197" s="4" t="s">
        <v>275</v>
      </c>
      <c r="B197" s="16"/>
      <c r="C197" s="12">
        <f>IFERROR(__xludf.DUMMYFUNCTION("""COMPUTED_VALUE"""),44663.4259375)</f>
        <v>44663.42594</v>
      </c>
      <c r="D197" s="13">
        <f t="shared" si="1"/>
        <v>12</v>
      </c>
      <c r="E197" s="13">
        <f t="shared" si="2"/>
        <v>10</v>
      </c>
    </row>
    <row r="198">
      <c r="A198" s="4" t="s">
        <v>276</v>
      </c>
      <c r="B198" s="4" t="s">
        <v>277</v>
      </c>
      <c r="C198" s="12">
        <f>IFERROR(__xludf.DUMMYFUNCTION("""COMPUTED_VALUE"""),44663.42585648148)</f>
        <v>44663.42586</v>
      </c>
      <c r="D198" s="13">
        <f t="shared" si="1"/>
        <v>12</v>
      </c>
      <c r="E198" s="13">
        <f t="shared" si="2"/>
        <v>10</v>
      </c>
    </row>
    <row r="199">
      <c r="A199" s="4" t="s">
        <v>278</v>
      </c>
      <c r="B199" s="4" t="s">
        <v>264</v>
      </c>
      <c r="C199" s="12">
        <f>IFERROR(__xludf.DUMMYFUNCTION("""COMPUTED_VALUE"""),44663.42575231481)</f>
        <v>44663.42575</v>
      </c>
      <c r="D199" s="13">
        <f t="shared" si="1"/>
        <v>12</v>
      </c>
      <c r="E199" s="13">
        <f t="shared" si="2"/>
        <v>10</v>
      </c>
    </row>
    <row r="200">
      <c r="A200" s="4" t="s">
        <v>279</v>
      </c>
      <c r="B200" s="4" t="s">
        <v>264</v>
      </c>
      <c r="C200" s="12">
        <f>IFERROR(__xludf.DUMMYFUNCTION("""COMPUTED_VALUE"""),44663.42393518518)</f>
        <v>44663.42394</v>
      </c>
      <c r="D200" s="13">
        <f t="shared" si="1"/>
        <v>12</v>
      </c>
      <c r="E200" s="13">
        <f t="shared" si="2"/>
        <v>10</v>
      </c>
    </row>
    <row r="201">
      <c r="A201" s="4" t="s">
        <v>280</v>
      </c>
      <c r="B201" s="4" t="s">
        <v>264</v>
      </c>
      <c r="C201" s="12">
        <f>IFERROR(__xludf.DUMMYFUNCTION("""COMPUTED_VALUE"""),44663.42282407407)</f>
        <v>44663.42282</v>
      </c>
      <c r="D201" s="13">
        <f t="shared" si="1"/>
        <v>12</v>
      </c>
      <c r="E201" s="13">
        <f t="shared" si="2"/>
        <v>10</v>
      </c>
    </row>
    <row r="202">
      <c r="A202" s="4" t="s">
        <v>281</v>
      </c>
      <c r="B202" s="4" t="s">
        <v>264</v>
      </c>
      <c r="C202" s="12">
        <f>IFERROR(__xludf.DUMMYFUNCTION("""COMPUTED_VALUE"""),44663.42225694444)</f>
        <v>44663.42226</v>
      </c>
      <c r="D202" s="13">
        <f t="shared" si="1"/>
        <v>12</v>
      </c>
      <c r="E202" s="13">
        <f t="shared" si="2"/>
        <v>10</v>
      </c>
    </row>
    <row r="203">
      <c r="A203" s="4" t="s">
        <v>282</v>
      </c>
      <c r="B203" s="16"/>
      <c r="C203" s="12">
        <f>IFERROR(__xludf.DUMMYFUNCTION("""COMPUTED_VALUE"""),44663.41998842592)</f>
        <v>44663.41999</v>
      </c>
      <c r="D203" s="13">
        <f t="shared" si="1"/>
        <v>12</v>
      </c>
      <c r="E203" s="13">
        <f t="shared" si="2"/>
        <v>10</v>
      </c>
    </row>
    <row r="204">
      <c r="A204" s="4" t="s">
        <v>283</v>
      </c>
      <c r="B204" s="4" t="s">
        <v>264</v>
      </c>
      <c r="C204" s="12">
        <f>IFERROR(__xludf.DUMMYFUNCTION("""COMPUTED_VALUE"""),44663.41899305555)</f>
        <v>44663.41899</v>
      </c>
      <c r="D204" s="13">
        <f t="shared" si="1"/>
        <v>12</v>
      </c>
      <c r="E204" s="13">
        <f t="shared" si="2"/>
        <v>10</v>
      </c>
    </row>
    <row r="205">
      <c r="A205" s="4" t="s">
        <v>284</v>
      </c>
      <c r="B205" s="16"/>
      <c r="C205" s="12">
        <f>IFERROR(__xludf.DUMMYFUNCTION("""COMPUTED_VALUE"""),44663.418854166666)</f>
        <v>44663.41885</v>
      </c>
      <c r="D205" s="13">
        <f t="shared" si="1"/>
        <v>12</v>
      </c>
      <c r="E205" s="13">
        <f t="shared" si="2"/>
        <v>10</v>
      </c>
    </row>
    <row r="206">
      <c r="A206" s="4" t="s">
        <v>285</v>
      </c>
      <c r="B206" s="16"/>
      <c r="C206" s="12">
        <f>IFERROR(__xludf.DUMMYFUNCTION("""COMPUTED_VALUE"""),44663.4184837963)</f>
        <v>44663.41848</v>
      </c>
      <c r="D206" s="13">
        <f t="shared" si="1"/>
        <v>12</v>
      </c>
      <c r="E206" s="13">
        <f t="shared" si="2"/>
        <v>10</v>
      </c>
    </row>
    <row r="207">
      <c r="A207" s="4" t="s">
        <v>286</v>
      </c>
      <c r="B207" s="16"/>
      <c r="C207" s="12">
        <f>IFERROR(__xludf.DUMMYFUNCTION("""COMPUTED_VALUE"""),44663.41842592592)</f>
        <v>44663.41843</v>
      </c>
      <c r="D207" s="13">
        <f t="shared" si="1"/>
        <v>12</v>
      </c>
      <c r="E207" s="13">
        <f t="shared" si="2"/>
        <v>10</v>
      </c>
    </row>
    <row r="208">
      <c r="A208" s="4" t="s">
        <v>287</v>
      </c>
      <c r="B208" s="4" t="s">
        <v>288</v>
      </c>
      <c r="C208" s="12">
        <f>IFERROR(__xludf.DUMMYFUNCTION("""COMPUTED_VALUE"""),44663.41706018518)</f>
        <v>44663.41706</v>
      </c>
      <c r="D208" s="13">
        <f t="shared" si="1"/>
        <v>12</v>
      </c>
      <c r="E208" s="13">
        <f t="shared" si="2"/>
        <v>10</v>
      </c>
    </row>
    <row r="209">
      <c r="A209" s="4" t="s">
        <v>289</v>
      </c>
      <c r="B209" s="4" t="s">
        <v>290</v>
      </c>
      <c r="C209" s="12">
        <f>IFERROR(__xludf.DUMMYFUNCTION("""COMPUTED_VALUE"""),44663.41675925926)</f>
        <v>44663.41676</v>
      </c>
      <c r="D209" s="13">
        <f t="shared" si="1"/>
        <v>12</v>
      </c>
      <c r="E209" s="13">
        <f t="shared" si="2"/>
        <v>10</v>
      </c>
    </row>
    <row r="210">
      <c r="A210" s="4" t="s">
        <v>291</v>
      </c>
      <c r="B210" s="16"/>
      <c r="C210" s="12">
        <f>IFERROR(__xludf.DUMMYFUNCTION("""COMPUTED_VALUE"""),44663.41611111111)</f>
        <v>44663.41611</v>
      </c>
      <c r="D210" s="13">
        <f t="shared" si="1"/>
        <v>12</v>
      </c>
      <c r="E210" s="13">
        <f t="shared" si="2"/>
        <v>9</v>
      </c>
    </row>
    <row r="211">
      <c r="A211" s="4" t="s">
        <v>292</v>
      </c>
      <c r="B211" s="4" t="s">
        <v>293</v>
      </c>
      <c r="C211" s="12">
        <f>IFERROR(__xludf.DUMMYFUNCTION("""COMPUTED_VALUE"""),44663.4137037037)</f>
        <v>44663.4137</v>
      </c>
      <c r="D211" s="13">
        <f t="shared" si="1"/>
        <v>12</v>
      </c>
      <c r="E211" s="13">
        <f t="shared" si="2"/>
        <v>9</v>
      </c>
    </row>
    <row r="212">
      <c r="A212" s="4" t="s">
        <v>294</v>
      </c>
      <c r="B212" s="4" t="s">
        <v>288</v>
      </c>
      <c r="C212" s="12">
        <f>IFERROR(__xludf.DUMMYFUNCTION("""COMPUTED_VALUE"""),44663.41296296296)</f>
        <v>44663.41296</v>
      </c>
      <c r="D212" s="13">
        <f t="shared" si="1"/>
        <v>12</v>
      </c>
      <c r="E212" s="13">
        <f t="shared" si="2"/>
        <v>9</v>
      </c>
    </row>
    <row r="213">
      <c r="A213" s="4" t="s">
        <v>295</v>
      </c>
      <c r="B213" s="4" t="s">
        <v>296</v>
      </c>
      <c r="C213" s="12">
        <f>IFERROR(__xludf.DUMMYFUNCTION("""COMPUTED_VALUE"""),44663.41032407407)</f>
        <v>44663.41032</v>
      </c>
      <c r="D213" s="13">
        <f t="shared" si="1"/>
        <v>12</v>
      </c>
      <c r="E213" s="13">
        <f t="shared" si="2"/>
        <v>9</v>
      </c>
    </row>
    <row r="214">
      <c r="A214" s="4" t="s">
        <v>297</v>
      </c>
      <c r="B214" s="16"/>
      <c r="C214" s="12">
        <f>IFERROR(__xludf.DUMMYFUNCTION("""COMPUTED_VALUE"""),44663.40804398148)</f>
        <v>44663.40804</v>
      </c>
      <c r="D214" s="13">
        <f t="shared" si="1"/>
        <v>12</v>
      </c>
      <c r="E214" s="13">
        <f t="shared" si="2"/>
        <v>9</v>
      </c>
    </row>
    <row r="215">
      <c r="A215" s="4" t="s">
        <v>298</v>
      </c>
      <c r="B215" s="4" t="s">
        <v>299</v>
      </c>
      <c r="C215" s="12">
        <f>IFERROR(__xludf.DUMMYFUNCTION("""COMPUTED_VALUE"""),44663.40553240741)</f>
        <v>44663.40553</v>
      </c>
      <c r="D215" s="13">
        <f t="shared" si="1"/>
        <v>12</v>
      </c>
      <c r="E215" s="13">
        <f t="shared" si="2"/>
        <v>9</v>
      </c>
    </row>
    <row r="216">
      <c r="A216" s="4" t="s">
        <v>300</v>
      </c>
      <c r="B216" s="16"/>
      <c r="C216" s="12">
        <f>IFERROR(__xludf.DUMMYFUNCTION("""COMPUTED_VALUE"""),44663.405439814815)</f>
        <v>44663.40544</v>
      </c>
      <c r="D216" s="13">
        <f t="shared" si="1"/>
        <v>12</v>
      </c>
      <c r="E216" s="13">
        <f t="shared" si="2"/>
        <v>9</v>
      </c>
    </row>
    <row r="217">
      <c r="A217" s="4" t="s">
        <v>301</v>
      </c>
      <c r="B217" s="16"/>
      <c r="C217" s="12">
        <f>IFERROR(__xludf.DUMMYFUNCTION("""COMPUTED_VALUE"""),44663.405381944445)</f>
        <v>44663.40538</v>
      </c>
      <c r="D217" s="13">
        <f t="shared" si="1"/>
        <v>12</v>
      </c>
      <c r="E217" s="13">
        <f t="shared" si="2"/>
        <v>9</v>
      </c>
    </row>
    <row r="218">
      <c r="A218" s="4" t="s">
        <v>302</v>
      </c>
      <c r="B218" s="16"/>
      <c r="C218" s="12">
        <f>IFERROR(__xludf.DUMMYFUNCTION("""COMPUTED_VALUE"""),44663.40469907407)</f>
        <v>44663.4047</v>
      </c>
      <c r="D218" s="13">
        <f t="shared" si="1"/>
        <v>12</v>
      </c>
      <c r="E218" s="13">
        <f t="shared" si="2"/>
        <v>9</v>
      </c>
    </row>
    <row r="219">
      <c r="A219" s="4" t="s">
        <v>303</v>
      </c>
      <c r="B219" s="16"/>
      <c r="C219" s="12">
        <f>IFERROR(__xludf.DUMMYFUNCTION("""COMPUTED_VALUE"""),44663.40449074074)</f>
        <v>44663.40449</v>
      </c>
      <c r="D219" s="13">
        <f t="shared" si="1"/>
        <v>12</v>
      </c>
      <c r="E219" s="13">
        <f t="shared" si="2"/>
        <v>9</v>
      </c>
    </row>
    <row r="220">
      <c r="A220" s="4" t="s">
        <v>304</v>
      </c>
      <c r="B220" s="16"/>
      <c r="C220" s="12">
        <f>IFERROR(__xludf.DUMMYFUNCTION("""COMPUTED_VALUE"""),44663.40446759259)</f>
        <v>44663.40447</v>
      </c>
      <c r="D220" s="13">
        <f t="shared" si="1"/>
        <v>12</v>
      </c>
      <c r="E220" s="13">
        <f t="shared" si="2"/>
        <v>9</v>
      </c>
    </row>
    <row r="221">
      <c r="A221" s="4" t="s">
        <v>305</v>
      </c>
      <c r="B221" s="4" t="s">
        <v>94</v>
      </c>
      <c r="C221" s="12">
        <f>IFERROR(__xludf.DUMMYFUNCTION("""COMPUTED_VALUE"""),44663.40443287037)</f>
        <v>44663.40443</v>
      </c>
      <c r="D221" s="13">
        <f t="shared" si="1"/>
        <v>12</v>
      </c>
      <c r="E221" s="13">
        <f t="shared" si="2"/>
        <v>9</v>
      </c>
    </row>
    <row r="222">
      <c r="A222" s="4" t="s">
        <v>306</v>
      </c>
      <c r="B222" s="16"/>
      <c r="C222" s="12">
        <f>IFERROR(__xludf.DUMMYFUNCTION("""COMPUTED_VALUE"""),44663.404386574075)</f>
        <v>44663.40439</v>
      </c>
      <c r="D222" s="13">
        <f t="shared" si="1"/>
        <v>12</v>
      </c>
      <c r="E222" s="13">
        <f t="shared" si="2"/>
        <v>9</v>
      </c>
    </row>
    <row r="223">
      <c r="A223" s="4" t="s">
        <v>307</v>
      </c>
      <c r="B223" s="16"/>
      <c r="C223" s="12">
        <f>IFERROR(__xludf.DUMMYFUNCTION("""COMPUTED_VALUE"""),44663.403449074074)</f>
        <v>44663.40345</v>
      </c>
      <c r="D223" s="13">
        <f t="shared" si="1"/>
        <v>12</v>
      </c>
      <c r="E223" s="13">
        <f t="shared" si="2"/>
        <v>9</v>
      </c>
    </row>
    <row r="224">
      <c r="A224" s="4" t="s">
        <v>308</v>
      </c>
      <c r="B224" s="16"/>
      <c r="C224" s="12">
        <f>IFERROR(__xludf.DUMMYFUNCTION("""COMPUTED_VALUE"""),44663.40239583333)</f>
        <v>44663.4024</v>
      </c>
      <c r="D224" s="13">
        <f t="shared" si="1"/>
        <v>12</v>
      </c>
      <c r="E224" s="13">
        <f t="shared" si="2"/>
        <v>9</v>
      </c>
    </row>
    <row r="225">
      <c r="A225" s="4" t="s">
        <v>309</v>
      </c>
      <c r="B225" s="16"/>
      <c r="C225" s="12">
        <f>IFERROR(__xludf.DUMMYFUNCTION("""COMPUTED_VALUE"""),44663.40228009259)</f>
        <v>44663.40228</v>
      </c>
      <c r="D225" s="13">
        <f t="shared" si="1"/>
        <v>12</v>
      </c>
      <c r="E225" s="13">
        <f t="shared" si="2"/>
        <v>9</v>
      </c>
    </row>
    <row r="226">
      <c r="A226" s="4" t="s">
        <v>310</v>
      </c>
      <c r="B226" s="16"/>
      <c r="C226" s="12">
        <f>IFERROR(__xludf.DUMMYFUNCTION("""COMPUTED_VALUE"""),44663.40168981481)</f>
        <v>44663.40169</v>
      </c>
      <c r="D226" s="13">
        <f t="shared" si="1"/>
        <v>12</v>
      </c>
      <c r="E226" s="13">
        <f t="shared" si="2"/>
        <v>9</v>
      </c>
    </row>
    <row r="227">
      <c r="A227" s="4" t="s">
        <v>311</v>
      </c>
      <c r="B227" s="16"/>
      <c r="C227" s="12">
        <f>IFERROR(__xludf.DUMMYFUNCTION("""COMPUTED_VALUE"""),44663.401666666665)</f>
        <v>44663.40167</v>
      </c>
      <c r="D227" s="13">
        <f t="shared" si="1"/>
        <v>12</v>
      </c>
      <c r="E227" s="13">
        <f t="shared" si="2"/>
        <v>9</v>
      </c>
    </row>
    <row r="228">
      <c r="A228" s="4" t="s">
        <v>312</v>
      </c>
      <c r="B228" s="16"/>
      <c r="C228" s="12">
        <f>IFERROR(__xludf.DUMMYFUNCTION("""COMPUTED_VALUE"""),44663.40164351852)</f>
        <v>44663.40164</v>
      </c>
      <c r="D228" s="13">
        <f t="shared" si="1"/>
        <v>12</v>
      </c>
      <c r="E228" s="13">
        <f t="shared" si="2"/>
        <v>9</v>
      </c>
    </row>
    <row r="229">
      <c r="A229" s="4" t="s">
        <v>313</v>
      </c>
      <c r="B229" s="16"/>
      <c r="C229" s="12">
        <f>IFERROR(__xludf.DUMMYFUNCTION("""COMPUTED_VALUE"""),44663.40106481481)</f>
        <v>44663.40106</v>
      </c>
      <c r="D229" s="13">
        <f t="shared" si="1"/>
        <v>12</v>
      </c>
      <c r="E229" s="13">
        <f t="shared" si="2"/>
        <v>9</v>
      </c>
    </row>
    <row r="230">
      <c r="A230" s="4" t="s">
        <v>314</v>
      </c>
      <c r="B230" s="16"/>
      <c r="C230" s="12">
        <f>IFERROR(__xludf.DUMMYFUNCTION("""COMPUTED_VALUE"""),44663.40032407407)</f>
        <v>44663.40032</v>
      </c>
      <c r="D230" s="13">
        <f t="shared" si="1"/>
        <v>12</v>
      </c>
      <c r="E230" s="13">
        <f t="shared" si="2"/>
        <v>9</v>
      </c>
    </row>
    <row r="231">
      <c r="A231" s="4" t="s">
        <v>315</v>
      </c>
      <c r="B231" s="16"/>
      <c r="C231" s="12">
        <f>IFERROR(__xludf.DUMMYFUNCTION("""COMPUTED_VALUE"""),44663.40013888889)</f>
        <v>44663.40014</v>
      </c>
      <c r="D231" s="13">
        <f t="shared" si="1"/>
        <v>12</v>
      </c>
      <c r="E231" s="13">
        <f t="shared" si="2"/>
        <v>9</v>
      </c>
    </row>
    <row r="232">
      <c r="A232" s="4" t="s">
        <v>316</v>
      </c>
      <c r="B232" s="16"/>
      <c r="C232" s="12">
        <f>IFERROR(__xludf.DUMMYFUNCTION("""COMPUTED_VALUE"""),44663.40006944444)</f>
        <v>44663.40007</v>
      </c>
      <c r="D232" s="13">
        <f t="shared" si="1"/>
        <v>12</v>
      </c>
      <c r="E232" s="13">
        <f t="shared" si="2"/>
        <v>9</v>
      </c>
    </row>
    <row r="233">
      <c r="A233" s="4" t="s">
        <v>317</v>
      </c>
      <c r="B233" s="16"/>
      <c r="C233" s="12">
        <f>IFERROR(__xludf.DUMMYFUNCTION("""COMPUTED_VALUE"""),44663.39803240741)</f>
        <v>44663.39803</v>
      </c>
      <c r="D233" s="13">
        <f t="shared" si="1"/>
        <v>12</v>
      </c>
      <c r="E233" s="13">
        <f t="shared" si="2"/>
        <v>9</v>
      </c>
    </row>
    <row r="234">
      <c r="A234" s="4" t="s">
        <v>318</v>
      </c>
      <c r="B234" s="16"/>
      <c r="C234" s="12">
        <f>IFERROR(__xludf.DUMMYFUNCTION("""COMPUTED_VALUE"""),44663.39565972222)</f>
        <v>44663.39566</v>
      </c>
      <c r="D234" s="13">
        <f t="shared" si="1"/>
        <v>12</v>
      </c>
      <c r="E234" s="13">
        <f t="shared" si="2"/>
        <v>9</v>
      </c>
    </row>
    <row r="235">
      <c r="A235" s="4" t="s">
        <v>319</v>
      </c>
      <c r="B235" s="4" t="s">
        <v>293</v>
      </c>
      <c r="C235" s="12">
        <f>IFERROR(__xludf.DUMMYFUNCTION("""COMPUTED_VALUE"""),44663.395625)</f>
        <v>44663.39563</v>
      </c>
      <c r="D235" s="13">
        <f t="shared" si="1"/>
        <v>12</v>
      </c>
      <c r="E235" s="13">
        <f t="shared" si="2"/>
        <v>9</v>
      </c>
    </row>
    <row r="236">
      <c r="A236" s="4" t="s">
        <v>320</v>
      </c>
      <c r="B236" s="4" t="s">
        <v>321</v>
      </c>
      <c r="C236" s="12">
        <f>IFERROR(__xludf.DUMMYFUNCTION("""COMPUTED_VALUE"""),44663.39489583333)</f>
        <v>44663.3949</v>
      </c>
      <c r="D236" s="13">
        <f t="shared" si="1"/>
        <v>12</v>
      </c>
      <c r="E236" s="13">
        <f t="shared" si="2"/>
        <v>9</v>
      </c>
    </row>
    <row r="237">
      <c r="A237" s="4" t="s">
        <v>322</v>
      </c>
      <c r="B237" s="4" t="s">
        <v>323</v>
      </c>
      <c r="C237" s="12">
        <f>IFERROR(__xludf.DUMMYFUNCTION("""COMPUTED_VALUE"""),44663.39423611111)</f>
        <v>44663.39424</v>
      </c>
      <c r="D237" s="13">
        <f t="shared" si="1"/>
        <v>12</v>
      </c>
      <c r="E237" s="13">
        <f t="shared" si="2"/>
        <v>9</v>
      </c>
    </row>
    <row r="238">
      <c r="A238" s="4" t="s">
        <v>324</v>
      </c>
      <c r="B238" s="16"/>
      <c r="C238" s="12">
        <f>IFERROR(__xludf.DUMMYFUNCTION("""COMPUTED_VALUE"""),44663.39288194444)</f>
        <v>44663.39288</v>
      </c>
      <c r="D238" s="13">
        <f t="shared" si="1"/>
        <v>12</v>
      </c>
      <c r="E238" s="13">
        <f t="shared" si="2"/>
        <v>9</v>
      </c>
    </row>
    <row r="239">
      <c r="A239" s="4" t="s">
        <v>325</v>
      </c>
      <c r="B239" s="4" t="s">
        <v>326</v>
      </c>
      <c r="C239" s="12">
        <f>IFERROR(__xludf.DUMMYFUNCTION("""COMPUTED_VALUE"""),44663.39284722222)</f>
        <v>44663.39285</v>
      </c>
      <c r="D239" s="13">
        <f t="shared" si="1"/>
        <v>12</v>
      </c>
      <c r="E239" s="13">
        <f t="shared" si="2"/>
        <v>9</v>
      </c>
    </row>
    <row r="240">
      <c r="A240" s="4" t="s">
        <v>327</v>
      </c>
      <c r="B240" s="4" t="s">
        <v>328</v>
      </c>
      <c r="C240" s="12">
        <f>IFERROR(__xludf.DUMMYFUNCTION("""COMPUTED_VALUE"""),44663.392488425925)</f>
        <v>44663.39249</v>
      </c>
      <c r="D240" s="13">
        <f t="shared" si="1"/>
        <v>12</v>
      </c>
      <c r="E240" s="13">
        <f t="shared" si="2"/>
        <v>9</v>
      </c>
    </row>
    <row r="241">
      <c r="A241" s="4" t="s">
        <v>329</v>
      </c>
      <c r="B241" s="4" t="s">
        <v>330</v>
      </c>
      <c r="C241" s="12">
        <f>IFERROR(__xludf.DUMMYFUNCTION("""COMPUTED_VALUE"""),44663.392013888886)</f>
        <v>44663.39201</v>
      </c>
      <c r="D241" s="13">
        <f t="shared" si="1"/>
        <v>12</v>
      </c>
      <c r="E241" s="13">
        <f t="shared" si="2"/>
        <v>9</v>
      </c>
    </row>
    <row r="242">
      <c r="A242" s="4" t="s">
        <v>331</v>
      </c>
      <c r="B242" s="16"/>
      <c r="C242" s="12">
        <f>IFERROR(__xludf.DUMMYFUNCTION("""COMPUTED_VALUE"""),44663.39197916666)</f>
        <v>44663.39198</v>
      </c>
      <c r="D242" s="13">
        <f t="shared" si="1"/>
        <v>12</v>
      </c>
      <c r="E242" s="13">
        <f t="shared" si="2"/>
        <v>9</v>
      </c>
    </row>
    <row r="243">
      <c r="A243" s="4" t="s">
        <v>332</v>
      </c>
      <c r="B243" s="4" t="s">
        <v>330</v>
      </c>
      <c r="C243" s="12">
        <f>IFERROR(__xludf.DUMMYFUNCTION("""COMPUTED_VALUE"""),44663.39173611111)</f>
        <v>44663.39174</v>
      </c>
      <c r="D243" s="13">
        <f t="shared" si="1"/>
        <v>12</v>
      </c>
      <c r="E243" s="13">
        <f t="shared" si="2"/>
        <v>9</v>
      </c>
    </row>
    <row r="244">
      <c r="A244" s="4" t="s">
        <v>333</v>
      </c>
      <c r="B244" s="16"/>
      <c r="C244" s="12">
        <f>IFERROR(__xludf.DUMMYFUNCTION("""COMPUTED_VALUE"""),44663.39164351852)</f>
        <v>44663.39164</v>
      </c>
      <c r="D244" s="13">
        <f t="shared" si="1"/>
        <v>12</v>
      </c>
      <c r="E244" s="13">
        <f t="shared" si="2"/>
        <v>9</v>
      </c>
    </row>
    <row r="245">
      <c r="A245" s="4" t="s">
        <v>334</v>
      </c>
      <c r="B245" s="16"/>
      <c r="C245" s="12">
        <f>IFERROR(__xludf.DUMMYFUNCTION("""COMPUTED_VALUE"""),44663.39160879629)</f>
        <v>44663.39161</v>
      </c>
      <c r="D245" s="13">
        <f t="shared" si="1"/>
        <v>12</v>
      </c>
      <c r="E245" s="13">
        <f t="shared" si="2"/>
        <v>9</v>
      </c>
    </row>
    <row r="246">
      <c r="A246" s="4" t="s">
        <v>335</v>
      </c>
      <c r="B246" s="16"/>
      <c r="C246" s="12">
        <f>IFERROR(__xludf.DUMMYFUNCTION("""COMPUTED_VALUE"""),44663.39061342592)</f>
        <v>44663.39061</v>
      </c>
      <c r="D246" s="13">
        <f t="shared" si="1"/>
        <v>12</v>
      </c>
      <c r="E246" s="13">
        <f t="shared" si="2"/>
        <v>9</v>
      </c>
    </row>
    <row r="247">
      <c r="A247" s="4" t="s">
        <v>336</v>
      </c>
      <c r="B247" s="16"/>
      <c r="C247" s="12">
        <f>IFERROR(__xludf.DUMMYFUNCTION("""COMPUTED_VALUE"""),44663.390497685185)</f>
        <v>44663.3905</v>
      </c>
      <c r="D247" s="13">
        <f t="shared" si="1"/>
        <v>12</v>
      </c>
      <c r="E247" s="13">
        <f t="shared" si="2"/>
        <v>9</v>
      </c>
    </row>
    <row r="248">
      <c r="A248" s="4" t="s">
        <v>337</v>
      </c>
      <c r="B248" s="16"/>
      <c r="C248" s="12">
        <f>IFERROR(__xludf.DUMMYFUNCTION("""COMPUTED_VALUE"""),44663.38993055555)</f>
        <v>44663.38993</v>
      </c>
      <c r="D248" s="13">
        <f t="shared" si="1"/>
        <v>12</v>
      </c>
      <c r="E248" s="13">
        <f t="shared" si="2"/>
        <v>9</v>
      </c>
    </row>
    <row r="249">
      <c r="A249" s="4" t="s">
        <v>338</v>
      </c>
      <c r="B249" s="4" t="s">
        <v>293</v>
      </c>
      <c r="C249" s="12">
        <f>IFERROR(__xludf.DUMMYFUNCTION("""COMPUTED_VALUE"""),44663.38928240741)</f>
        <v>44663.38928</v>
      </c>
      <c r="D249" s="13">
        <f t="shared" si="1"/>
        <v>12</v>
      </c>
      <c r="E249" s="13">
        <f t="shared" si="2"/>
        <v>9</v>
      </c>
    </row>
    <row r="250">
      <c r="A250" s="4" t="s">
        <v>339</v>
      </c>
      <c r="B250" s="16"/>
      <c r="C250" s="12">
        <f>IFERROR(__xludf.DUMMYFUNCTION("""COMPUTED_VALUE"""),44663.38894675926)</f>
        <v>44663.38895</v>
      </c>
      <c r="D250" s="13">
        <f t="shared" si="1"/>
        <v>12</v>
      </c>
      <c r="E250" s="13">
        <f t="shared" si="2"/>
        <v>9</v>
      </c>
    </row>
    <row r="251">
      <c r="A251" s="4" t="s">
        <v>340</v>
      </c>
      <c r="B251" s="16"/>
      <c r="C251" s="12">
        <f>IFERROR(__xludf.DUMMYFUNCTION("""COMPUTED_VALUE"""),44663.388819444444)</f>
        <v>44663.38882</v>
      </c>
      <c r="D251" s="13">
        <f t="shared" si="1"/>
        <v>12</v>
      </c>
      <c r="E251" s="13">
        <f t="shared" si="2"/>
        <v>9</v>
      </c>
    </row>
    <row r="252">
      <c r="A252" s="4" t="s">
        <v>341</v>
      </c>
      <c r="B252" s="16"/>
      <c r="C252" s="12">
        <f>IFERROR(__xludf.DUMMYFUNCTION("""COMPUTED_VALUE"""),44663.38848379629)</f>
        <v>44663.38848</v>
      </c>
      <c r="D252" s="13">
        <f t="shared" si="1"/>
        <v>12</v>
      </c>
      <c r="E252" s="13">
        <f t="shared" si="2"/>
        <v>9</v>
      </c>
    </row>
    <row r="253">
      <c r="A253" s="4" t="s">
        <v>342</v>
      </c>
      <c r="B253" s="4" t="s">
        <v>343</v>
      </c>
      <c r="C253" s="12">
        <f>IFERROR(__xludf.DUMMYFUNCTION("""COMPUTED_VALUE"""),44663.3883912037)</f>
        <v>44663.38839</v>
      </c>
      <c r="D253" s="13">
        <f t="shared" si="1"/>
        <v>12</v>
      </c>
      <c r="E253" s="13">
        <f t="shared" si="2"/>
        <v>9</v>
      </c>
    </row>
    <row r="254">
      <c r="A254" s="4" t="s">
        <v>344</v>
      </c>
      <c r="B254" s="4" t="s">
        <v>345</v>
      </c>
      <c r="C254" s="12">
        <f>IFERROR(__xludf.DUMMYFUNCTION("""COMPUTED_VALUE"""),44663.388136574074)</f>
        <v>44663.38814</v>
      </c>
      <c r="D254" s="13">
        <f t="shared" si="1"/>
        <v>12</v>
      </c>
      <c r="E254" s="13">
        <f t="shared" si="2"/>
        <v>9</v>
      </c>
    </row>
    <row r="255">
      <c r="A255" s="4" t="s">
        <v>346</v>
      </c>
      <c r="B255" s="16"/>
      <c r="C255" s="12">
        <f>IFERROR(__xludf.DUMMYFUNCTION("""COMPUTED_VALUE"""),44663.387824074074)</f>
        <v>44663.38782</v>
      </c>
      <c r="D255" s="13">
        <f t="shared" si="1"/>
        <v>12</v>
      </c>
      <c r="E255" s="13">
        <f t="shared" si="2"/>
        <v>9</v>
      </c>
    </row>
    <row r="256">
      <c r="A256" s="4" t="s">
        <v>347</v>
      </c>
      <c r="B256" s="4" t="s">
        <v>348</v>
      </c>
      <c r="C256" s="12">
        <f>IFERROR(__xludf.DUMMYFUNCTION("""COMPUTED_VALUE"""),44663.387719907405)</f>
        <v>44663.38772</v>
      </c>
      <c r="D256" s="13">
        <f t="shared" si="1"/>
        <v>12</v>
      </c>
      <c r="E256" s="13">
        <f t="shared" si="2"/>
        <v>9</v>
      </c>
    </row>
    <row r="257">
      <c r="A257" s="4" t="s">
        <v>349</v>
      </c>
      <c r="B257" s="4" t="s">
        <v>348</v>
      </c>
      <c r="C257" s="12">
        <f>IFERROR(__xludf.DUMMYFUNCTION("""COMPUTED_VALUE"""),44663.38769675926)</f>
        <v>44663.3877</v>
      </c>
      <c r="D257" s="13">
        <f t="shared" si="1"/>
        <v>12</v>
      </c>
      <c r="E257" s="13">
        <f t="shared" si="2"/>
        <v>9</v>
      </c>
    </row>
    <row r="258">
      <c r="A258" s="4" t="s">
        <v>350</v>
      </c>
      <c r="B258" s="16"/>
      <c r="C258" s="12">
        <f>IFERROR(__xludf.DUMMYFUNCTION("""COMPUTED_VALUE"""),44663.387673611105)</f>
        <v>44663.38767</v>
      </c>
      <c r="D258" s="13">
        <f t="shared" si="1"/>
        <v>12</v>
      </c>
      <c r="E258" s="13">
        <f t="shared" si="2"/>
        <v>9</v>
      </c>
    </row>
    <row r="259">
      <c r="A259" s="4" t="s">
        <v>351</v>
      </c>
      <c r="B259" s="4" t="s">
        <v>348</v>
      </c>
      <c r="C259" s="12">
        <f>IFERROR(__xludf.DUMMYFUNCTION("""COMPUTED_VALUE"""),44663.38762731481)</f>
        <v>44663.38763</v>
      </c>
      <c r="D259" s="13">
        <f t="shared" si="1"/>
        <v>12</v>
      </c>
      <c r="E259" s="13">
        <f t="shared" si="2"/>
        <v>9</v>
      </c>
    </row>
    <row r="260">
      <c r="A260" s="4" t="s">
        <v>352</v>
      </c>
      <c r="B260" s="4" t="s">
        <v>348</v>
      </c>
      <c r="C260" s="12">
        <f>IFERROR(__xludf.DUMMYFUNCTION("""COMPUTED_VALUE"""),44663.387615740736)</f>
        <v>44663.38762</v>
      </c>
      <c r="D260" s="13">
        <f t="shared" si="1"/>
        <v>12</v>
      </c>
      <c r="E260" s="13">
        <f t="shared" si="2"/>
        <v>9</v>
      </c>
    </row>
    <row r="261">
      <c r="A261" s="4" t="s">
        <v>353</v>
      </c>
      <c r="B261" s="16"/>
      <c r="C261" s="12">
        <f>IFERROR(__xludf.DUMMYFUNCTION("""COMPUTED_VALUE"""),44663.387604166666)</f>
        <v>44663.3876</v>
      </c>
      <c r="D261" s="13">
        <f t="shared" si="1"/>
        <v>12</v>
      </c>
      <c r="E261" s="13">
        <f t="shared" si="2"/>
        <v>9</v>
      </c>
    </row>
    <row r="262">
      <c r="A262" s="4" t="s">
        <v>354</v>
      </c>
      <c r="B262" s="16"/>
      <c r="C262" s="12">
        <f>IFERROR(__xludf.DUMMYFUNCTION("""COMPUTED_VALUE"""),44663.38755787037)</f>
        <v>44663.38756</v>
      </c>
      <c r="D262" s="13">
        <f t="shared" si="1"/>
        <v>12</v>
      </c>
      <c r="E262" s="13">
        <f t="shared" si="2"/>
        <v>9</v>
      </c>
    </row>
    <row r="263">
      <c r="A263" s="4" t="s">
        <v>355</v>
      </c>
      <c r="B263" s="16"/>
      <c r="C263" s="12">
        <f>IFERROR(__xludf.DUMMYFUNCTION("""COMPUTED_VALUE"""),44663.387349537035)</f>
        <v>44663.38735</v>
      </c>
      <c r="D263" s="13">
        <f t="shared" si="1"/>
        <v>12</v>
      </c>
      <c r="E263" s="13">
        <f t="shared" si="2"/>
        <v>9</v>
      </c>
    </row>
    <row r="264">
      <c r="A264" s="4" t="s">
        <v>356</v>
      </c>
      <c r="B264" s="4" t="s">
        <v>348</v>
      </c>
      <c r="C264" s="12">
        <f>IFERROR(__xludf.DUMMYFUNCTION("""COMPUTED_VALUE"""),44663.38732638889)</f>
        <v>44663.38733</v>
      </c>
      <c r="D264" s="13">
        <f t="shared" si="1"/>
        <v>12</v>
      </c>
      <c r="E264" s="13">
        <f t="shared" si="2"/>
        <v>9</v>
      </c>
    </row>
    <row r="265">
      <c r="A265" s="4" t="s">
        <v>357</v>
      </c>
      <c r="B265" s="4" t="s">
        <v>348</v>
      </c>
      <c r="C265" s="12">
        <f>IFERROR(__xludf.DUMMYFUNCTION("""COMPUTED_VALUE"""),44663.38712962963)</f>
        <v>44663.38713</v>
      </c>
      <c r="D265" s="13">
        <f t="shared" si="1"/>
        <v>12</v>
      </c>
      <c r="E265" s="13">
        <f t="shared" si="2"/>
        <v>9</v>
      </c>
    </row>
    <row r="266">
      <c r="A266" s="4" t="s">
        <v>358</v>
      </c>
      <c r="B266" s="4" t="s">
        <v>348</v>
      </c>
      <c r="C266" s="12">
        <f>IFERROR(__xludf.DUMMYFUNCTION("""COMPUTED_VALUE"""),44663.38710648148)</f>
        <v>44663.38711</v>
      </c>
      <c r="D266" s="13">
        <f t="shared" si="1"/>
        <v>12</v>
      </c>
      <c r="E266" s="13">
        <f t="shared" si="2"/>
        <v>9</v>
      </c>
    </row>
    <row r="267">
      <c r="A267" s="4" t="s">
        <v>359</v>
      </c>
      <c r="B267" s="16"/>
      <c r="C267" s="12">
        <f>IFERROR(__xludf.DUMMYFUNCTION("""COMPUTED_VALUE"""),44663.38708333333)</f>
        <v>44663.38708</v>
      </c>
      <c r="D267" s="13">
        <f t="shared" si="1"/>
        <v>12</v>
      </c>
      <c r="E267" s="13">
        <f t="shared" si="2"/>
        <v>9</v>
      </c>
    </row>
    <row r="268">
      <c r="A268" s="4" t="s">
        <v>360</v>
      </c>
      <c r="B268" s="4" t="s">
        <v>348</v>
      </c>
      <c r="C268" s="12">
        <f>IFERROR(__xludf.DUMMYFUNCTION("""COMPUTED_VALUE"""),44663.38707175926)</f>
        <v>44663.38707</v>
      </c>
      <c r="D268" s="13">
        <f t="shared" si="1"/>
        <v>12</v>
      </c>
      <c r="E268" s="13">
        <f t="shared" si="2"/>
        <v>9</v>
      </c>
    </row>
    <row r="269">
      <c r="A269" s="4" t="s">
        <v>361</v>
      </c>
      <c r="B269" s="4" t="s">
        <v>348</v>
      </c>
      <c r="C269" s="12">
        <f>IFERROR(__xludf.DUMMYFUNCTION("""COMPUTED_VALUE"""),44663.38704861111)</f>
        <v>44663.38705</v>
      </c>
      <c r="D269" s="13">
        <f t="shared" si="1"/>
        <v>12</v>
      </c>
      <c r="E269" s="13">
        <f t="shared" si="2"/>
        <v>9</v>
      </c>
    </row>
    <row r="270">
      <c r="A270" s="4" t="s">
        <v>362</v>
      </c>
      <c r="B270" s="4" t="s">
        <v>293</v>
      </c>
      <c r="C270" s="12">
        <f>IFERROR(__xludf.DUMMYFUNCTION("""COMPUTED_VALUE"""),44663.38696759259)</f>
        <v>44663.38697</v>
      </c>
      <c r="D270" s="13">
        <f t="shared" si="1"/>
        <v>12</v>
      </c>
      <c r="E270" s="13">
        <f t="shared" si="2"/>
        <v>9</v>
      </c>
    </row>
    <row r="271">
      <c r="A271" s="4" t="s">
        <v>362</v>
      </c>
      <c r="B271" s="16"/>
      <c r="C271" s="12">
        <f>IFERROR(__xludf.DUMMYFUNCTION("""COMPUTED_VALUE"""),44663.38696759259)</f>
        <v>44663.38697</v>
      </c>
      <c r="D271" s="13">
        <f t="shared" si="1"/>
        <v>12</v>
      </c>
      <c r="E271" s="13">
        <f t="shared" si="2"/>
        <v>9</v>
      </c>
    </row>
    <row r="272">
      <c r="A272" s="4" t="s">
        <v>363</v>
      </c>
      <c r="B272" s="16"/>
      <c r="C272" s="12">
        <f>IFERROR(__xludf.DUMMYFUNCTION("""COMPUTED_VALUE"""),44663.38694444444)</f>
        <v>44663.38694</v>
      </c>
      <c r="D272" s="13">
        <f t="shared" si="1"/>
        <v>12</v>
      </c>
      <c r="E272" s="13">
        <f t="shared" si="2"/>
        <v>9</v>
      </c>
    </row>
    <row r="273">
      <c r="A273" s="4" t="s">
        <v>364</v>
      </c>
      <c r="B273" s="16"/>
      <c r="C273" s="12">
        <f>IFERROR(__xludf.DUMMYFUNCTION("""COMPUTED_VALUE"""),44663.386921296296)</f>
        <v>44663.38692</v>
      </c>
      <c r="D273" s="13">
        <f t="shared" si="1"/>
        <v>12</v>
      </c>
      <c r="E273" s="13">
        <f t="shared" si="2"/>
        <v>9</v>
      </c>
    </row>
    <row r="274">
      <c r="A274" s="4" t="s">
        <v>365</v>
      </c>
      <c r="B274" s="16"/>
      <c r="C274" s="12">
        <f>IFERROR(__xludf.DUMMYFUNCTION("""COMPUTED_VALUE"""),44663.38690972222)</f>
        <v>44663.38691</v>
      </c>
      <c r="D274" s="13">
        <f t="shared" si="1"/>
        <v>12</v>
      </c>
      <c r="E274" s="13">
        <f t="shared" si="2"/>
        <v>9</v>
      </c>
    </row>
    <row r="275">
      <c r="A275" s="4" t="s">
        <v>366</v>
      </c>
      <c r="B275" s="16"/>
      <c r="C275" s="12">
        <f>IFERROR(__xludf.DUMMYFUNCTION("""COMPUTED_VALUE"""),44663.386875)</f>
        <v>44663.38688</v>
      </c>
      <c r="D275" s="13">
        <f t="shared" si="1"/>
        <v>12</v>
      </c>
      <c r="E275" s="13">
        <f t="shared" si="2"/>
        <v>9</v>
      </c>
    </row>
    <row r="276">
      <c r="A276" s="4" t="s">
        <v>367</v>
      </c>
      <c r="B276" s="16"/>
      <c r="C276" s="12">
        <f>IFERROR(__xludf.DUMMYFUNCTION("""COMPUTED_VALUE"""),44663.38685185185)</f>
        <v>44663.38685</v>
      </c>
      <c r="D276" s="13">
        <f t="shared" si="1"/>
        <v>12</v>
      </c>
      <c r="E276" s="13">
        <f t="shared" si="2"/>
        <v>9</v>
      </c>
    </row>
    <row r="277">
      <c r="A277" s="4" t="s">
        <v>368</v>
      </c>
      <c r="B277" s="16"/>
      <c r="C277" s="12">
        <f>IFERROR(__xludf.DUMMYFUNCTION("""COMPUTED_VALUE"""),44663.38684027777)</f>
        <v>44663.38684</v>
      </c>
      <c r="D277" s="13">
        <f t="shared" si="1"/>
        <v>12</v>
      </c>
      <c r="E277" s="13">
        <f t="shared" si="2"/>
        <v>9</v>
      </c>
    </row>
    <row r="278">
      <c r="A278" s="4" t="s">
        <v>369</v>
      </c>
      <c r="B278" s="4" t="s">
        <v>348</v>
      </c>
      <c r="C278" s="12">
        <f>IFERROR(__xludf.DUMMYFUNCTION("""COMPUTED_VALUE"""),44663.38680555555)</f>
        <v>44663.38681</v>
      </c>
      <c r="D278" s="13">
        <f t="shared" si="1"/>
        <v>12</v>
      </c>
      <c r="E278" s="13">
        <f t="shared" si="2"/>
        <v>9</v>
      </c>
    </row>
    <row r="279">
      <c r="A279" s="4" t="s">
        <v>370</v>
      </c>
      <c r="B279" s="4" t="s">
        <v>348</v>
      </c>
      <c r="C279" s="12">
        <f>IFERROR(__xludf.DUMMYFUNCTION("""COMPUTED_VALUE"""),44663.38674768518)</f>
        <v>44663.38675</v>
      </c>
      <c r="D279" s="13">
        <f t="shared" si="1"/>
        <v>12</v>
      </c>
      <c r="E279" s="13">
        <f t="shared" si="2"/>
        <v>9</v>
      </c>
    </row>
    <row r="280">
      <c r="A280" s="4" t="s">
        <v>371</v>
      </c>
      <c r="B280" s="4" t="s">
        <v>372</v>
      </c>
      <c r="C280" s="12">
        <f>IFERROR(__xludf.DUMMYFUNCTION("""COMPUTED_VALUE"""),44663.383738425924)</f>
        <v>44663.38374</v>
      </c>
      <c r="D280" s="13">
        <f t="shared" si="1"/>
        <v>12</v>
      </c>
      <c r="E280" s="13">
        <f t="shared" si="2"/>
        <v>9</v>
      </c>
    </row>
    <row r="281">
      <c r="A281" s="4" t="s">
        <v>373</v>
      </c>
      <c r="B281" s="4" t="s">
        <v>293</v>
      </c>
      <c r="C281" s="12">
        <f>IFERROR(__xludf.DUMMYFUNCTION("""COMPUTED_VALUE"""),44663.38366898148)</f>
        <v>44663.38367</v>
      </c>
      <c r="D281" s="13">
        <f t="shared" si="1"/>
        <v>12</v>
      </c>
      <c r="E281" s="13">
        <f t="shared" si="2"/>
        <v>9</v>
      </c>
    </row>
    <row r="282">
      <c r="A282" s="4" t="s">
        <v>374</v>
      </c>
      <c r="B282" s="4" t="s">
        <v>372</v>
      </c>
      <c r="C282" s="12">
        <f>IFERROR(__xludf.DUMMYFUNCTION("""COMPUTED_VALUE"""),44663.38365740741)</f>
        <v>44663.38366</v>
      </c>
      <c r="D282" s="13">
        <f t="shared" si="1"/>
        <v>12</v>
      </c>
      <c r="E282" s="13">
        <f t="shared" si="2"/>
        <v>9</v>
      </c>
    </row>
    <row r="283">
      <c r="A283" s="4" t="s">
        <v>375</v>
      </c>
      <c r="B283" s="16"/>
      <c r="C283" s="12">
        <f>IFERROR(__xludf.DUMMYFUNCTION("""COMPUTED_VALUE"""),44663.383518518516)</f>
        <v>44663.38352</v>
      </c>
      <c r="D283" s="13">
        <f t="shared" si="1"/>
        <v>12</v>
      </c>
      <c r="E283" s="13">
        <f t="shared" si="2"/>
        <v>9</v>
      </c>
    </row>
    <row r="284">
      <c r="A284" s="4" t="s">
        <v>376</v>
      </c>
      <c r="B284" s="4" t="s">
        <v>254</v>
      </c>
      <c r="C284" s="12">
        <f>IFERROR(__xludf.DUMMYFUNCTION("""COMPUTED_VALUE"""),44663.38334490741)</f>
        <v>44663.38334</v>
      </c>
      <c r="D284" s="13">
        <f t="shared" si="1"/>
        <v>12</v>
      </c>
      <c r="E284" s="13">
        <f t="shared" si="2"/>
        <v>9</v>
      </c>
    </row>
    <row r="285">
      <c r="A285" s="4" t="s">
        <v>377</v>
      </c>
      <c r="B285" s="4" t="s">
        <v>254</v>
      </c>
      <c r="C285" s="12">
        <f>IFERROR(__xludf.DUMMYFUNCTION("""COMPUTED_VALUE"""),44663.38329861111)</f>
        <v>44663.3833</v>
      </c>
      <c r="D285" s="13">
        <f t="shared" si="1"/>
        <v>12</v>
      </c>
      <c r="E285" s="13">
        <f t="shared" si="2"/>
        <v>9</v>
      </c>
    </row>
    <row r="286">
      <c r="A286" s="4" t="s">
        <v>378</v>
      </c>
      <c r="B286" s="4" t="s">
        <v>254</v>
      </c>
      <c r="C286" s="12">
        <f>IFERROR(__xludf.DUMMYFUNCTION("""COMPUTED_VALUE"""),44663.383263888885)</f>
        <v>44663.38326</v>
      </c>
      <c r="D286" s="13">
        <f t="shared" si="1"/>
        <v>12</v>
      </c>
      <c r="E286" s="13">
        <f t="shared" si="2"/>
        <v>9</v>
      </c>
    </row>
    <row r="287">
      <c r="A287" s="4" t="s">
        <v>379</v>
      </c>
      <c r="B287" s="16"/>
      <c r="C287" s="12">
        <f>IFERROR(__xludf.DUMMYFUNCTION("""COMPUTED_VALUE"""),44663.38321759259)</f>
        <v>44663.38322</v>
      </c>
      <c r="D287" s="13">
        <f t="shared" si="1"/>
        <v>12</v>
      </c>
      <c r="E287" s="13">
        <f t="shared" si="2"/>
        <v>9</v>
      </c>
    </row>
    <row r="288">
      <c r="A288" s="4" t="s">
        <v>380</v>
      </c>
      <c r="B288" s="4" t="s">
        <v>381</v>
      </c>
      <c r="C288" s="12">
        <f>IFERROR(__xludf.DUMMYFUNCTION("""COMPUTED_VALUE"""),44663.38302083333)</f>
        <v>44663.38302</v>
      </c>
      <c r="D288" s="13">
        <f t="shared" si="1"/>
        <v>12</v>
      </c>
      <c r="E288" s="13">
        <f t="shared" si="2"/>
        <v>9</v>
      </c>
    </row>
    <row r="289">
      <c r="A289" s="4" t="s">
        <v>382</v>
      </c>
      <c r="B289" s="16"/>
      <c r="C289" s="12">
        <f>IFERROR(__xludf.DUMMYFUNCTION("""COMPUTED_VALUE"""),44663.38246527778)</f>
        <v>44663.38247</v>
      </c>
      <c r="D289" s="13">
        <f t="shared" si="1"/>
        <v>12</v>
      </c>
      <c r="E289" s="13">
        <f t="shared" si="2"/>
        <v>9</v>
      </c>
    </row>
    <row r="290">
      <c r="A290" s="4" t="s">
        <v>383</v>
      </c>
      <c r="B290" s="4" t="s">
        <v>293</v>
      </c>
      <c r="C290" s="12">
        <f>IFERROR(__xludf.DUMMYFUNCTION("""COMPUTED_VALUE"""),44663.381701388884)</f>
        <v>44663.3817</v>
      </c>
      <c r="D290" s="13">
        <f t="shared" si="1"/>
        <v>12</v>
      </c>
      <c r="E290" s="13">
        <f t="shared" si="2"/>
        <v>9</v>
      </c>
    </row>
    <row r="291">
      <c r="A291" s="4" t="s">
        <v>383</v>
      </c>
      <c r="B291" s="4" t="s">
        <v>384</v>
      </c>
      <c r="C291" s="12">
        <f>IFERROR(__xludf.DUMMYFUNCTION("""COMPUTED_VALUE"""),44663.381701388884)</f>
        <v>44663.3817</v>
      </c>
      <c r="D291" s="13">
        <f t="shared" si="1"/>
        <v>12</v>
      </c>
      <c r="E291" s="13">
        <f t="shared" si="2"/>
        <v>9</v>
      </c>
    </row>
    <row r="292">
      <c r="A292" s="4" t="s">
        <v>385</v>
      </c>
      <c r="B292" s="4" t="s">
        <v>293</v>
      </c>
      <c r="C292" s="12">
        <f>IFERROR(__xludf.DUMMYFUNCTION("""COMPUTED_VALUE"""),44663.38128472222)</f>
        <v>44663.38128</v>
      </c>
      <c r="D292" s="13">
        <f t="shared" si="1"/>
        <v>12</v>
      </c>
      <c r="E292" s="13">
        <f t="shared" si="2"/>
        <v>9</v>
      </c>
    </row>
    <row r="293">
      <c r="A293" s="4" t="s">
        <v>386</v>
      </c>
      <c r="B293" s="4" t="s">
        <v>293</v>
      </c>
      <c r="C293" s="12">
        <f>IFERROR(__xludf.DUMMYFUNCTION("""COMPUTED_VALUE"""),44663.38125)</f>
        <v>44663.38125</v>
      </c>
      <c r="D293" s="13">
        <f t="shared" si="1"/>
        <v>12</v>
      </c>
      <c r="E293" s="13">
        <f t="shared" si="2"/>
        <v>9</v>
      </c>
    </row>
    <row r="294">
      <c r="A294" s="4" t="s">
        <v>387</v>
      </c>
      <c r="B294" s="4" t="s">
        <v>293</v>
      </c>
      <c r="C294" s="12">
        <f>IFERROR(__xludf.DUMMYFUNCTION("""COMPUTED_VALUE"""),44663.38118055555)</f>
        <v>44663.38118</v>
      </c>
      <c r="D294" s="13">
        <f t="shared" si="1"/>
        <v>12</v>
      </c>
      <c r="E294" s="13">
        <f t="shared" si="2"/>
        <v>9</v>
      </c>
    </row>
    <row r="295">
      <c r="A295" s="4" t="s">
        <v>388</v>
      </c>
      <c r="B295" s="4" t="s">
        <v>384</v>
      </c>
      <c r="C295" s="12">
        <f>IFERROR(__xludf.DUMMYFUNCTION("""COMPUTED_VALUE"""),44663.381168981476)</f>
        <v>44663.38117</v>
      </c>
      <c r="D295" s="13">
        <f t="shared" si="1"/>
        <v>12</v>
      </c>
      <c r="E295" s="13">
        <f t="shared" si="2"/>
        <v>9</v>
      </c>
    </row>
    <row r="296">
      <c r="A296" s="4" t="s">
        <v>389</v>
      </c>
      <c r="B296" s="4" t="s">
        <v>293</v>
      </c>
      <c r="C296" s="12">
        <f>IFERROR(__xludf.DUMMYFUNCTION("""COMPUTED_VALUE"""),44663.381111111106)</f>
        <v>44663.38111</v>
      </c>
      <c r="D296" s="13">
        <f t="shared" si="1"/>
        <v>12</v>
      </c>
      <c r="E296" s="13">
        <f t="shared" si="2"/>
        <v>9</v>
      </c>
    </row>
    <row r="297">
      <c r="A297" s="4" t="s">
        <v>390</v>
      </c>
      <c r="B297" s="16"/>
      <c r="C297" s="12">
        <f>IFERROR(__xludf.DUMMYFUNCTION("""COMPUTED_VALUE"""),44663.38075231481)</f>
        <v>44663.38075</v>
      </c>
      <c r="D297" s="13">
        <f t="shared" si="1"/>
        <v>12</v>
      </c>
      <c r="E297" s="13">
        <f t="shared" si="2"/>
        <v>9</v>
      </c>
    </row>
    <row r="298">
      <c r="A298" s="4" t="s">
        <v>391</v>
      </c>
      <c r="B298" s="4" t="s">
        <v>392</v>
      </c>
      <c r="C298" s="12">
        <f>IFERROR(__xludf.DUMMYFUNCTION("""COMPUTED_VALUE"""),44663.380486111106)</f>
        <v>44663.38049</v>
      </c>
      <c r="D298" s="13">
        <f t="shared" si="1"/>
        <v>12</v>
      </c>
      <c r="E298" s="13">
        <f t="shared" si="2"/>
        <v>9</v>
      </c>
    </row>
    <row r="299">
      <c r="A299" s="4" t="s">
        <v>393</v>
      </c>
      <c r="B299" s="4" t="s">
        <v>394</v>
      </c>
      <c r="C299" s="12">
        <f>IFERROR(__xludf.DUMMYFUNCTION("""COMPUTED_VALUE"""),44663.38005787037)</f>
        <v>44663.38006</v>
      </c>
      <c r="D299" s="13">
        <f t="shared" si="1"/>
        <v>12</v>
      </c>
      <c r="E299" s="13">
        <f t="shared" si="2"/>
        <v>9</v>
      </c>
    </row>
    <row r="300">
      <c r="A300" s="4" t="s">
        <v>395</v>
      </c>
      <c r="B300" s="16"/>
      <c r="C300" s="12">
        <f>IFERROR(__xludf.DUMMYFUNCTION("""COMPUTED_VALUE"""),44663.37987268518)</f>
        <v>44663.37987</v>
      </c>
      <c r="D300" s="13">
        <f t="shared" si="1"/>
        <v>12</v>
      </c>
      <c r="E300" s="13">
        <f t="shared" si="2"/>
        <v>9</v>
      </c>
    </row>
    <row r="301">
      <c r="A301" s="4" t="s">
        <v>396</v>
      </c>
      <c r="B301" s="4" t="s">
        <v>254</v>
      </c>
      <c r="C301" s="12">
        <f>IFERROR(__xludf.DUMMYFUNCTION("""COMPUTED_VALUE"""),44663.37899305555)</f>
        <v>44663.37899</v>
      </c>
      <c r="D301" s="13">
        <f t="shared" si="1"/>
        <v>12</v>
      </c>
      <c r="E301" s="13">
        <f t="shared" si="2"/>
        <v>9</v>
      </c>
    </row>
    <row r="302">
      <c r="A302" s="4" t="s">
        <v>397</v>
      </c>
      <c r="B302" s="4" t="s">
        <v>254</v>
      </c>
      <c r="C302" s="12">
        <f>IFERROR(__xludf.DUMMYFUNCTION("""COMPUTED_VALUE"""),44663.37895833333)</f>
        <v>44663.37896</v>
      </c>
      <c r="D302" s="13">
        <f t="shared" si="1"/>
        <v>12</v>
      </c>
      <c r="E302" s="13">
        <f t="shared" si="2"/>
        <v>9</v>
      </c>
    </row>
    <row r="303">
      <c r="A303" s="4" t="s">
        <v>398</v>
      </c>
      <c r="B303" s="4" t="s">
        <v>254</v>
      </c>
      <c r="C303" s="12">
        <f>IFERROR(__xludf.DUMMYFUNCTION("""COMPUTED_VALUE"""),44663.37881944444)</f>
        <v>44663.37882</v>
      </c>
      <c r="D303" s="13">
        <f t="shared" si="1"/>
        <v>12</v>
      </c>
      <c r="E303" s="13">
        <f t="shared" si="2"/>
        <v>9</v>
      </c>
    </row>
    <row r="304">
      <c r="A304" s="4" t="s">
        <v>399</v>
      </c>
      <c r="B304" s="4" t="s">
        <v>254</v>
      </c>
      <c r="C304" s="12">
        <f>IFERROR(__xludf.DUMMYFUNCTION("""COMPUTED_VALUE"""),44663.37869212963)</f>
        <v>44663.37869</v>
      </c>
      <c r="D304" s="13">
        <f t="shared" si="1"/>
        <v>12</v>
      </c>
      <c r="E304" s="13">
        <f t="shared" si="2"/>
        <v>9</v>
      </c>
    </row>
    <row r="305">
      <c r="A305" s="4" t="s">
        <v>400</v>
      </c>
      <c r="B305" s="4" t="s">
        <v>254</v>
      </c>
      <c r="C305" s="12">
        <f>IFERROR(__xludf.DUMMYFUNCTION("""COMPUTED_VALUE"""),44663.37868055555)</f>
        <v>44663.37868</v>
      </c>
      <c r="D305" s="13">
        <f t="shared" si="1"/>
        <v>12</v>
      </c>
      <c r="E305" s="13">
        <f t="shared" si="2"/>
        <v>9</v>
      </c>
    </row>
    <row r="306">
      <c r="A306" s="4" t="s">
        <v>401</v>
      </c>
      <c r="B306" s="4" t="s">
        <v>254</v>
      </c>
      <c r="C306" s="12">
        <f>IFERROR(__xludf.DUMMYFUNCTION("""COMPUTED_VALUE"""),44663.37866898148)</f>
        <v>44663.37867</v>
      </c>
      <c r="D306" s="13">
        <f t="shared" si="1"/>
        <v>12</v>
      </c>
      <c r="E306" s="13">
        <f t="shared" si="2"/>
        <v>9</v>
      </c>
    </row>
    <row r="307">
      <c r="A307" s="4" t="s">
        <v>402</v>
      </c>
      <c r="B307" s="4" t="s">
        <v>254</v>
      </c>
      <c r="C307" s="12">
        <f>IFERROR(__xludf.DUMMYFUNCTION("""COMPUTED_VALUE"""),44663.378657407404)</f>
        <v>44663.37866</v>
      </c>
      <c r="D307" s="13">
        <f t="shared" si="1"/>
        <v>12</v>
      </c>
      <c r="E307" s="13">
        <f t="shared" si="2"/>
        <v>9</v>
      </c>
    </row>
    <row r="308">
      <c r="A308" s="4" t="s">
        <v>403</v>
      </c>
      <c r="B308" s="4" t="s">
        <v>254</v>
      </c>
      <c r="C308" s="12">
        <f>IFERROR(__xludf.DUMMYFUNCTION("""COMPUTED_VALUE"""),44663.378645833334)</f>
        <v>44663.37865</v>
      </c>
      <c r="D308" s="13">
        <f t="shared" si="1"/>
        <v>12</v>
      </c>
      <c r="E308" s="13">
        <f t="shared" si="2"/>
        <v>9</v>
      </c>
    </row>
    <row r="309">
      <c r="A309" s="4" t="s">
        <v>404</v>
      </c>
      <c r="B309" s="4" t="s">
        <v>254</v>
      </c>
      <c r="C309" s="12">
        <f>IFERROR(__xludf.DUMMYFUNCTION("""COMPUTED_VALUE"""),44663.37863425926)</f>
        <v>44663.37863</v>
      </c>
      <c r="D309" s="13">
        <f t="shared" si="1"/>
        <v>12</v>
      </c>
      <c r="E309" s="13">
        <f t="shared" si="2"/>
        <v>9</v>
      </c>
    </row>
    <row r="310">
      <c r="A310" s="4" t="s">
        <v>405</v>
      </c>
      <c r="B310" s="4" t="s">
        <v>254</v>
      </c>
      <c r="C310" s="12">
        <f>IFERROR(__xludf.DUMMYFUNCTION("""COMPUTED_VALUE"""),44663.37862268518)</f>
        <v>44663.37862</v>
      </c>
      <c r="D310" s="13">
        <f t="shared" si="1"/>
        <v>12</v>
      </c>
      <c r="E310" s="13">
        <f t="shared" si="2"/>
        <v>9</v>
      </c>
    </row>
    <row r="311">
      <c r="A311" s="4" t="s">
        <v>405</v>
      </c>
      <c r="B311" s="4" t="s">
        <v>254</v>
      </c>
      <c r="C311" s="12">
        <f>IFERROR(__xludf.DUMMYFUNCTION("""COMPUTED_VALUE"""),44663.37862268518)</f>
        <v>44663.37862</v>
      </c>
      <c r="D311" s="13">
        <f t="shared" si="1"/>
        <v>12</v>
      </c>
      <c r="E311" s="13">
        <f t="shared" si="2"/>
        <v>9</v>
      </c>
    </row>
    <row r="312">
      <c r="A312" s="4" t="s">
        <v>406</v>
      </c>
      <c r="B312" s="4" t="s">
        <v>254</v>
      </c>
      <c r="C312" s="12">
        <f>IFERROR(__xludf.DUMMYFUNCTION("""COMPUTED_VALUE"""),44663.37861111111)</f>
        <v>44663.37861</v>
      </c>
      <c r="D312" s="13">
        <f t="shared" si="1"/>
        <v>12</v>
      </c>
      <c r="E312" s="13">
        <f t="shared" si="2"/>
        <v>9</v>
      </c>
    </row>
    <row r="313">
      <c r="A313" s="4" t="s">
        <v>407</v>
      </c>
      <c r="B313" s="4" t="s">
        <v>254</v>
      </c>
      <c r="C313" s="12">
        <f>IFERROR(__xludf.DUMMYFUNCTION("""COMPUTED_VALUE"""),44663.378599537034)</f>
        <v>44663.3786</v>
      </c>
      <c r="D313" s="13">
        <f t="shared" si="1"/>
        <v>12</v>
      </c>
      <c r="E313" s="13">
        <f t="shared" si="2"/>
        <v>9</v>
      </c>
    </row>
    <row r="314">
      <c r="A314" s="4" t="s">
        <v>408</v>
      </c>
      <c r="B314" s="4" t="s">
        <v>254</v>
      </c>
      <c r="C314" s="12">
        <f>IFERROR(__xludf.DUMMYFUNCTION("""COMPUTED_VALUE"""),44663.37858796296)</f>
        <v>44663.37859</v>
      </c>
      <c r="D314" s="13">
        <f t="shared" si="1"/>
        <v>12</v>
      </c>
      <c r="E314" s="13">
        <f t="shared" si="2"/>
        <v>9</v>
      </c>
    </row>
    <row r="315">
      <c r="A315" s="4" t="s">
        <v>409</v>
      </c>
      <c r="B315" s="4" t="s">
        <v>254</v>
      </c>
      <c r="C315" s="12">
        <f>IFERROR(__xludf.DUMMYFUNCTION("""COMPUTED_VALUE"""),44663.37857638889)</f>
        <v>44663.37858</v>
      </c>
      <c r="D315" s="13">
        <f t="shared" si="1"/>
        <v>12</v>
      </c>
      <c r="E315" s="13">
        <f t="shared" si="2"/>
        <v>9</v>
      </c>
    </row>
    <row r="316">
      <c r="A316" s="4" t="s">
        <v>410</v>
      </c>
      <c r="B316" s="4" t="s">
        <v>254</v>
      </c>
      <c r="C316" s="12">
        <f>IFERROR(__xludf.DUMMYFUNCTION("""COMPUTED_VALUE"""),44663.37856481481)</f>
        <v>44663.37856</v>
      </c>
      <c r="D316" s="13">
        <f t="shared" si="1"/>
        <v>12</v>
      </c>
      <c r="E316" s="13">
        <f t="shared" si="2"/>
        <v>9</v>
      </c>
    </row>
    <row r="317">
      <c r="A317" s="4" t="s">
        <v>411</v>
      </c>
      <c r="B317" s="4" t="s">
        <v>254</v>
      </c>
      <c r="C317" s="12">
        <f>IFERROR(__xludf.DUMMYFUNCTION("""COMPUTED_VALUE"""),44663.37855324074)</f>
        <v>44663.37855</v>
      </c>
      <c r="D317" s="13">
        <f t="shared" si="1"/>
        <v>12</v>
      </c>
      <c r="E317" s="13">
        <f t="shared" si="2"/>
        <v>9</v>
      </c>
    </row>
    <row r="318">
      <c r="A318" s="4" t="s">
        <v>412</v>
      </c>
      <c r="B318" s="4" t="s">
        <v>254</v>
      </c>
      <c r="C318" s="12">
        <f>IFERROR(__xludf.DUMMYFUNCTION("""COMPUTED_VALUE"""),44663.378541666665)</f>
        <v>44663.37854</v>
      </c>
      <c r="D318" s="13">
        <f t="shared" si="1"/>
        <v>12</v>
      </c>
      <c r="E318" s="13">
        <f t="shared" si="2"/>
        <v>9</v>
      </c>
    </row>
    <row r="319">
      <c r="A319" s="4" t="s">
        <v>413</v>
      </c>
      <c r="B319" s="4" t="s">
        <v>254</v>
      </c>
      <c r="C319" s="12">
        <f>IFERROR(__xludf.DUMMYFUNCTION("""COMPUTED_VALUE"""),44663.37853009259)</f>
        <v>44663.37853</v>
      </c>
      <c r="D319" s="13">
        <f t="shared" si="1"/>
        <v>12</v>
      </c>
      <c r="E319" s="13">
        <f t="shared" si="2"/>
        <v>9</v>
      </c>
    </row>
    <row r="320">
      <c r="A320" s="4" t="s">
        <v>414</v>
      </c>
      <c r="B320" s="4" t="s">
        <v>254</v>
      </c>
      <c r="C320" s="12">
        <f>IFERROR(__xludf.DUMMYFUNCTION("""COMPUTED_VALUE"""),44663.37851851852)</f>
        <v>44663.37852</v>
      </c>
      <c r="D320" s="13">
        <f t="shared" si="1"/>
        <v>12</v>
      </c>
      <c r="E320" s="13">
        <f t="shared" si="2"/>
        <v>9</v>
      </c>
    </row>
    <row r="321">
      <c r="A321" s="4" t="s">
        <v>414</v>
      </c>
      <c r="B321" s="4" t="s">
        <v>254</v>
      </c>
      <c r="C321" s="12">
        <f>IFERROR(__xludf.DUMMYFUNCTION("""COMPUTED_VALUE"""),44663.37851851852)</f>
        <v>44663.37852</v>
      </c>
      <c r="D321" s="13">
        <f t="shared" si="1"/>
        <v>12</v>
      </c>
      <c r="E321" s="13">
        <f t="shared" si="2"/>
        <v>9</v>
      </c>
    </row>
    <row r="322">
      <c r="A322" s="4" t="s">
        <v>415</v>
      </c>
      <c r="B322" s="4" t="s">
        <v>254</v>
      </c>
      <c r="C322" s="12">
        <f>IFERROR(__xludf.DUMMYFUNCTION("""COMPUTED_VALUE"""),44663.37850694444)</f>
        <v>44663.37851</v>
      </c>
      <c r="D322" s="13">
        <f t="shared" si="1"/>
        <v>12</v>
      </c>
      <c r="E322" s="13">
        <f t="shared" si="2"/>
        <v>9</v>
      </c>
    </row>
    <row r="323">
      <c r="A323" s="4" t="s">
        <v>416</v>
      </c>
      <c r="B323" s="4" t="s">
        <v>254</v>
      </c>
      <c r="C323" s="12">
        <f>IFERROR(__xludf.DUMMYFUNCTION("""COMPUTED_VALUE"""),44663.378495370365)</f>
        <v>44663.3785</v>
      </c>
      <c r="D323" s="13">
        <f t="shared" si="1"/>
        <v>12</v>
      </c>
      <c r="E323" s="13">
        <f t="shared" si="2"/>
        <v>9</v>
      </c>
    </row>
    <row r="324">
      <c r="A324" s="4" t="s">
        <v>417</v>
      </c>
      <c r="B324" s="4" t="s">
        <v>254</v>
      </c>
      <c r="C324" s="12">
        <f>IFERROR(__xludf.DUMMYFUNCTION("""COMPUTED_VALUE"""),44663.378483796296)</f>
        <v>44663.37848</v>
      </c>
      <c r="D324" s="13">
        <f t="shared" si="1"/>
        <v>12</v>
      </c>
      <c r="E324" s="13">
        <f t="shared" si="2"/>
        <v>9</v>
      </c>
    </row>
    <row r="325">
      <c r="A325" s="4" t="s">
        <v>418</v>
      </c>
      <c r="B325" s="4" t="s">
        <v>254</v>
      </c>
      <c r="C325" s="12">
        <f>IFERROR(__xludf.DUMMYFUNCTION("""COMPUTED_VALUE"""),44663.37847222222)</f>
        <v>44663.37847</v>
      </c>
      <c r="D325" s="13">
        <f t="shared" si="1"/>
        <v>12</v>
      </c>
      <c r="E325" s="13">
        <f t="shared" si="2"/>
        <v>9</v>
      </c>
    </row>
    <row r="326">
      <c r="A326" s="4" t="s">
        <v>419</v>
      </c>
      <c r="B326" s="4" t="s">
        <v>254</v>
      </c>
      <c r="C326" s="12">
        <f>IFERROR(__xludf.DUMMYFUNCTION("""COMPUTED_VALUE"""),44663.37846064814)</f>
        <v>44663.37846</v>
      </c>
      <c r="D326" s="13">
        <f t="shared" si="1"/>
        <v>12</v>
      </c>
      <c r="E326" s="13">
        <f t="shared" si="2"/>
        <v>9</v>
      </c>
    </row>
    <row r="327">
      <c r="A327" s="4" t="s">
        <v>420</v>
      </c>
      <c r="B327" s="4" t="s">
        <v>254</v>
      </c>
      <c r="C327" s="12">
        <f>IFERROR(__xludf.DUMMYFUNCTION("""COMPUTED_VALUE"""),44663.37844907407)</f>
        <v>44663.37845</v>
      </c>
      <c r="D327" s="13">
        <f t="shared" si="1"/>
        <v>12</v>
      </c>
      <c r="E327" s="13">
        <f t="shared" si="2"/>
        <v>9</v>
      </c>
    </row>
    <row r="328">
      <c r="A328" s="4" t="s">
        <v>420</v>
      </c>
      <c r="B328" s="4" t="s">
        <v>254</v>
      </c>
      <c r="C328" s="12">
        <f>IFERROR(__xludf.DUMMYFUNCTION("""COMPUTED_VALUE"""),44663.37844907407)</f>
        <v>44663.37845</v>
      </c>
      <c r="D328" s="13">
        <f t="shared" si="1"/>
        <v>12</v>
      </c>
      <c r="E328" s="13">
        <f t="shared" si="2"/>
        <v>9</v>
      </c>
    </row>
    <row r="329">
      <c r="A329" s="4" t="s">
        <v>421</v>
      </c>
      <c r="B329" s="4" t="s">
        <v>254</v>
      </c>
      <c r="C329" s="12">
        <f>IFERROR(__xludf.DUMMYFUNCTION("""COMPUTED_VALUE"""),44663.378437499996)</f>
        <v>44663.37844</v>
      </c>
      <c r="D329" s="13">
        <f t="shared" si="1"/>
        <v>12</v>
      </c>
      <c r="E329" s="13">
        <f t="shared" si="2"/>
        <v>9</v>
      </c>
    </row>
    <row r="330">
      <c r="A330" s="4" t="s">
        <v>422</v>
      </c>
      <c r="B330" s="4" t="s">
        <v>254</v>
      </c>
      <c r="C330" s="12">
        <f>IFERROR(__xludf.DUMMYFUNCTION("""COMPUTED_VALUE"""),44663.37842592593)</f>
        <v>44663.37843</v>
      </c>
      <c r="D330" s="13">
        <f t="shared" si="1"/>
        <v>12</v>
      </c>
      <c r="E330" s="13">
        <f t="shared" si="2"/>
        <v>9</v>
      </c>
    </row>
    <row r="331">
      <c r="A331" s="4" t="s">
        <v>423</v>
      </c>
      <c r="B331" s="4" t="s">
        <v>254</v>
      </c>
      <c r="C331" s="12">
        <f>IFERROR(__xludf.DUMMYFUNCTION("""COMPUTED_VALUE"""),44663.37841435185)</f>
        <v>44663.37841</v>
      </c>
      <c r="D331" s="13">
        <f t="shared" si="1"/>
        <v>12</v>
      </c>
      <c r="E331" s="13">
        <f t="shared" si="2"/>
        <v>9</v>
      </c>
    </row>
    <row r="332">
      <c r="A332" s="4" t="s">
        <v>424</v>
      </c>
      <c r="B332" s="4" t="s">
        <v>254</v>
      </c>
      <c r="C332" s="12">
        <f>IFERROR(__xludf.DUMMYFUNCTION("""COMPUTED_VALUE"""),44663.37840277777)</f>
        <v>44663.3784</v>
      </c>
      <c r="D332" s="13">
        <f t="shared" si="1"/>
        <v>12</v>
      </c>
      <c r="E332" s="13">
        <f t="shared" si="2"/>
        <v>9</v>
      </c>
    </row>
    <row r="333">
      <c r="A333" s="4" t="s">
        <v>425</v>
      </c>
      <c r="B333" s="4" t="s">
        <v>254</v>
      </c>
      <c r="C333" s="12">
        <f>IFERROR(__xludf.DUMMYFUNCTION("""COMPUTED_VALUE"""),44663.3783912037)</f>
        <v>44663.37839</v>
      </c>
      <c r="D333" s="13">
        <f t="shared" si="1"/>
        <v>12</v>
      </c>
      <c r="E333" s="13">
        <f t="shared" si="2"/>
        <v>9</v>
      </c>
    </row>
    <row r="334">
      <c r="A334" s="4" t="s">
        <v>426</v>
      </c>
      <c r="B334" s="16"/>
      <c r="C334" s="12">
        <f>IFERROR(__xludf.DUMMYFUNCTION("""COMPUTED_VALUE"""),44663.37837962963)</f>
        <v>44663.37838</v>
      </c>
      <c r="D334" s="13">
        <f t="shared" si="1"/>
        <v>12</v>
      </c>
      <c r="E334" s="13">
        <f t="shared" si="2"/>
        <v>9</v>
      </c>
    </row>
    <row r="335">
      <c r="A335" s="4" t="s">
        <v>426</v>
      </c>
      <c r="B335" s="4" t="s">
        <v>254</v>
      </c>
      <c r="C335" s="12">
        <f>IFERROR(__xludf.DUMMYFUNCTION("""COMPUTED_VALUE"""),44663.37837962963)</f>
        <v>44663.37838</v>
      </c>
      <c r="D335" s="13">
        <f t="shared" si="1"/>
        <v>12</v>
      </c>
      <c r="E335" s="13">
        <f t="shared" si="2"/>
        <v>9</v>
      </c>
    </row>
    <row r="336">
      <c r="A336" s="4" t="s">
        <v>427</v>
      </c>
      <c r="B336" s="4" t="s">
        <v>254</v>
      </c>
      <c r="C336" s="12">
        <f>IFERROR(__xludf.DUMMYFUNCTION("""COMPUTED_VALUE"""),44663.37836805555)</f>
        <v>44663.37837</v>
      </c>
      <c r="D336" s="13">
        <f t="shared" si="1"/>
        <v>12</v>
      </c>
      <c r="E336" s="13">
        <f t="shared" si="2"/>
        <v>9</v>
      </c>
    </row>
    <row r="337">
      <c r="A337" s="4" t="s">
        <v>428</v>
      </c>
      <c r="B337" s="4" t="s">
        <v>254</v>
      </c>
      <c r="C337" s="12">
        <f>IFERROR(__xludf.DUMMYFUNCTION("""COMPUTED_VALUE"""),44663.37835648148)</f>
        <v>44663.37836</v>
      </c>
      <c r="D337" s="13">
        <f t="shared" si="1"/>
        <v>12</v>
      </c>
      <c r="E337" s="13">
        <f t="shared" si="2"/>
        <v>9</v>
      </c>
    </row>
    <row r="338">
      <c r="A338" s="4" t="s">
        <v>429</v>
      </c>
      <c r="B338" s="4" t="s">
        <v>254</v>
      </c>
      <c r="C338" s="12">
        <f>IFERROR(__xludf.DUMMYFUNCTION("""COMPUTED_VALUE"""),44663.3783449074)</f>
        <v>44663.37834</v>
      </c>
      <c r="D338" s="13">
        <f t="shared" si="1"/>
        <v>12</v>
      </c>
      <c r="E338" s="13">
        <f t="shared" si="2"/>
        <v>9</v>
      </c>
    </row>
    <row r="339">
      <c r="A339" s="4" t="s">
        <v>429</v>
      </c>
      <c r="B339" s="4" t="s">
        <v>254</v>
      </c>
      <c r="C339" s="12">
        <f>IFERROR(__xludf.DUMMYFUNCTION("""COMPUTED_VALUE"""),44663.3783449074)</f>
        <v>44663.37834</v>
      </c>
      <c r="D339" s="13">
        <f t="shared" si="1"/>
        <v>12</v>
      </c>
      <c r="E339" s="13">
        <f t="shared" si="2"/>
        <v>9</v>
      </c>
    </row>
    <row r="340">
      <c r="A340" s="4" t="s">
        <v>430</v>
      </c>
      <c r="B340" s="4" t="s">
        <v>254</v>
      </c>
      <c r="C340" s="12">
        <f>IFERROR(__xludf.DUMMYFUNCTION("""COMPUTED_VALUE"""),44663.378333333334)</f>
        <v>44663.37833</v>
      </c>
      <c r="D340" s="13">
        <f t="shared" si="1"/>
        <v>12</v>
      </c>
      <c r="E340" s="13">
        <f t="shared" si="2"/>
        <v>9</v>
      </c>
    </row>
    <row r="341">
      <c r="A341" s="4" t="s">
        <v>431</v>
      </c>
      <c r="B341" s="4" t="s">
        <v>254</v>
      </c>
      <c r="C341" s="12">
        <f>IFERROR(__xludf.DUMMYFUNCTION("""COMPUTED_VALUE"""),44663.37832175926)</f>
        <v>44663.37832</v>
      </c>
      <c r="D341" s="13">
        <f t="shared" si="1"/>
        <v>12</v>
      </c>
      <c r="E341" s="13">
        <f t="shared" si="2"/>
        <v>9</v>
      </c>
    </row>
    <row r="342">
      <c r="A342" s="4" t="s">
        <v>432</v>
      </c>
      <c r="B342" s="4" t="s">
        <v>254</v>
      </c>
      <c r="C342" s="12">
        <f>IFERROR(__xludf.DUMMYFUNCTION("""COMPUTED_VALUE"""),44663.37831018518)</f>
        <v>44663.37831</v>
      </c>
      <c r="D342" s="13">
        <f t="shared" si="1"/>
        <v>12</v>
      </c>
      <c r="E342" s="13">
        <f t="shared" si="2"/>
        <v>9</v>
      </c>
    </row>
    <row r="343">
      <c r="A343" s="4" t="s">
        <v>433</v>
      </c>
      <c r="B343" s="4" t="s">
        <v>254</v>
      </c>
      <c r="C343" s="12">
        <f>IFERROR(__xludf.DUMMYFUNCTION("""COMPUTED_VALUE"""),44663.37829861111)</f>
        <v>44663.3783</v>
      </c>
      <c r="D343" s="13">
        <f t="shared" si="1"/>
        <v>12</v>
      </c>
      <c r="E343" s="13">
        <f t="shared" si="2"/>
        <v>9</v>
      </c>
    </row>
    <row r="344">
      <c r="A344" s="4" t="s">
        <v>434</v>
      </c>
      <c r="B344" s="4" t="s">
        <v>254</v>
      </c>
      <c r="C344" s="12">
        <f>IFERROR(__xludf.DUMMYFUNCTION("""COMPUTED_VALUE"""),44663.378287037034)</f>
        <v>44663.37829</v>
      </c>
      <c r="D344" s="13">
        <f t="shared" si="1"/>
        <v>12</v>
      </c>
      <c r="E344" s="13">
        <f t="shared" si="2"/>
        <v>9</v>
      </c>
    </row>
    <row r="345">
      <c r="A345" s="4" t="s">
        <v>435</v>
      </c>
      <c r="B345" s="4" t="s">
        <v>254</v>
      </c>
      <c r="C345" s="12">
        <f>IFERROR(__xludf.DUMMYFUNCTION("""COMPUTED_VALUE"""),44663.37827546296)</f>
        <v>44663.37828</v>
      </c>
      <c r="D345" s="13">
        <f t="shared" si="1"/>
        <v>12</v>
      </c>
      <c r="E345" s="13">
        <f t="shared" si="2"/>
        <v>9</v>
      </c>
    </row>
    <row r="346">
      <c r="A346" s="4" t="s">
        <v>436</v>
      </c>
      <c r="B346" s="4" t="s">
        <v>254</v>
      </c>
      <c r="C346" s="12">
        <f>IFERROR(__xludf.DUMMYFUNCTION("""COMPUTED_VALUE"""),44663.37826388889)</f>
        <v>44663.37826</v>
      </c>
      <c r="D346" s="13">
        <f t="shared" si="1"/>
        <v>12</v>
      </c>
      <c r="E346" s="13">
        <f t="shared" si="2"/>
        <v>9</v>
      </c>
    </row>
    <row r="347">
      <c r="A347" s="4" t="s">
        <v>437</v>
      </c>
      <c r="B347" s="4" t="s">
        <v>254</v>
      </c>
      <c r="C347" s="12">
        <f>IFERROR(__xludf.DUMMYFUNCTION("""COMPUTED_VALUE"""),44663.37825231481)</f>
        <v>44663.37825</v>
      </c>
      <c r="D347" s="13">
        <f t="shared" si="1"/>
        <v>12</v>
      </c>
      <c r="E347" s="13">
        <f t="shared" si="2"/>
        <v>9</v>
      </c>
    </row>
    <row r="348">
      <c r="A348" s="4" t="s">
        <v>438</v>
      </c>
      <c r="B348" s="4" t="s">
        <v>254</v>
      </c>
      <c r="C348" s="12">
        <f>IFERROR(__xludf.DUMMYFUNCTION("""COMPUTED_VALUE"""),44663.37824074074)</f>
        <v>44663.37824</v>
      </c>
      <c r="D348" s="13">
        <f t="shared" si="1"/>
        <v>12</v>
      </c>
      <c r="E348" s="13">
        <f t="shared" si="2"/>
        <v>9</v>
      </c>
    </row>
    <row r="349">
      <c r="A349" s="4" t="s">
        <v>438</v>
      </c>
      <c r="B349" s="4" t="s">
        <v>254</v>
      </c>
      <c r="C349" s="12">
        <f>IFERROR(__xludf.DUMMYFUNCTION("""COMPUTED_VALUE"""),44663.37824074074)</f>
        <v>44663.37824</v>
      </c>
      <c r="D349" s="13">
        <f t="shared" si="1"/>
        <v>12</v>
      </c>
      <c r="E349" s="13">
        <f t="shared" si="2"/>
        <v>9</v>
      </c>
    </row>
    <row r="350">
      <c r="A350" s="4" t="s">
        <v>439</v>
      </c>
      <c r="B350" s="4" t="s">
        <v>254</v>
      </c>
      <c r="C350" s="12">
        <f>IFERROR(__xludf.DUMMYFUNCTION("""COMPUTED_VALUE"""),44663.378229166665)</f>
        <v>44663.37823</v>
      </c>
      <c r="D350" s="13">
        <f t="shared" si="1"/>
        <v>12</v>
      </c>
      <c r="E350" s="13">
        <f t="shared" si="2"/>
        <v>9</v>
      </c>
    </row>
    <row r="351">
      <c r="A351" s="4" t="s">
        <v>440</v>
      </c>
      <c r="B351" s="4" t="s">
        <v>254</v>
      </c>
      <c r="C351" s="12">
        <f>IFERROR(__xludf.DUMMYFUNCTION("""COMPUTED_VALUE"""),44663.37821759259)</f>
        <v>44663.37822</v>
      </c>
      <c r="D351" s="13">
        <f t="shared" si="1"/>
        <v>12</v>
      </c>
      <c r="E351" s="13">
        <f t="shared" si="2"/>
        <v>9</v>
      </c>
    </row>
    <row r="352">
      <c r="A352" s="4" t="s">
        <v>441</v>
      </c>
      <c r="B352" s="4" t="s">
        <v>254</v>
      </c>
      <c r="C352" s="12">
        <f>IFERROR(__xludf.DUMMYFUNCTION("""COMPUTED_VALUE"""),44663.37820601852)</f>
        <v>44663.37821</v>
      </c>
      <c r="D352" s="13">
        <f t="shared" si="1"/>
        <v>12</v>
      </c>
      <c r="E352" s="13">
        <f t="shared" si="2"/>
        <v>9</v>
      </c>
    </row>
    <row r="353">
      <c r="A353" s="4" t="s">
        <v>442</v>
      </c>
      <c r="B353" s="4" t="s">
        <v>254</v>
      </c>
      <c r="C353" s="12">
        <f>IFERROR(__xludf.DUMMYFUNCTION("""COMPUTED_VALUE"""),44663.37819444444)</f>
        <v>44663.37819</v>
      </c>
      <c r="D353" s="13">
        <f t="shared" si="1"/>
        <v>12</v>
      </c>
      <c r="E353" s="13">
        <f t="shared" si="2"/>
        <v>9</v>
      </c>
    </row>
    <row r="354">
      <c r="A354" s="4" t="s">
        <v>443</v>
      </c>
      <c r="B354" s="4" t="s">
        <v>254</v>
      </c>
      <c r="C354" s="12">
        <f>IFERROR(__xludf.DUMMYFUNCTION("""COMPUTED_VALUE"""),44663.378182870365)</f>
        <v>44663.37818</v>
      </c>
      <c r="D354" s="13">
        <f t="shared" si="1"/>
        <v>12</v>
      </c>
      <c r="E354" s="13">
        <f t="shared" si="2"/>
        <v>9</v>
      </c>
    </row>
    <row r="355">
      <c r="A355" s="4" t="s">
        <v>443</v>
      </c>
      <c r="B355" s="4" t="s">
        <v>254</v>
      </c>
      <c r="C355" s="12">
        <f>IFERROR(__xludf.DUMMYFUNCTION("""COMPUTED_VALUE"""),44663.378182870365)</f>
        <v>44663.37818</v>
      </c>
      <c r="D355" s="13">
        <f t="shared" si="1"/>
        <v>12</v>
      </c>
      <c r="E355" s="13">
        <f t="shared" si="2"/>
        <v>9</v>
      </c>
    </row>
    <row r="356">
      <c r="A356" s="4" t="s">
        <v>444</v>
      </c>
      <c r="B356" s="4" t="s">
        <v>254</v>
      </c>
      <c r="C356" s="12">
        <f>IFERROR(__xludf.DUMMYFUNCTION("""COMPUTED_VALUE"""),44663.378171296295)</f>
        <v>44663.37817</v>
      </c>
      <c r="D356" s="13">
        <f t="shared" si="1"/>
        <v>12</v>
      </c>
      <c r="E356" s="13">
        <f t="shared" si="2"/>
        <v>9</v>
      </c>
    </row>
    <row r="357">
      <c r="A357" s="4" t="s">
        <v>445</v>
      </c>
      <c r="B357" s="4" t="s">
        <v>254</v>
      </c>
      <c r="C357" s="12">
        <f>IFERROR(__xludf.DUMMYFUNCTION("""COMPUTED_VALUE"""),44663.37815972222)</f>
        <v>44663.37816</v>
      </c>
      <c r="D357" s="13">
        <f t="shared" si="1"/>
        <v>12</v>
      </c>
      <c r="E357" s="13">
        <f t="shared" si="2"/>
        <v>9</v>
      </c>
    </row>
    <row r="358">
      <c r="A358" s="4" t="s">
        <v>446</v>
      </c>
      <c r="B358" s="4" t="s">
        <v>254</v>
      </c>
      <c r="C358" s="12">
        <f>IFERROR(__xludf.DUMMYFUNCTION("""COMPUTED_VALUE"""),44663.37814814815)</f>
        <v>44663.37815</v>
      </c>
      <c r="D358" s="13">
        <f t="shared" si="1"/>
        <v>12</v>
      </c>
      <c r="E358" s="13">
        <f t="shared" si="2"/>
        <v>9</v>
      </c>
    </row>
    <row r="359">
      <c r="A359" s="4" t="s">
        <v>447</v>
      </c>
      <c r="B359" s="4" t="s">
        <v>254</v>
      </c>
      <c r="C359" s="12">
        <f>IFERROR(__xludf.DUMMYFUNCTION("""COMPUTED_VALUE"""),44663.37813657407)</f>
        <v>44663.37814</v>
      </c>
      <c r="D359" s="13">
        <f t="shared" si="1"/>
        <v>12</v>
      </c>
      <c r="E359" s="13">
        <f t="shared" si="2"/>
        <v>9</v>
      </c>
    </row>
    <row r="360">
      <c r="A360" s="4" t="s">
        <v>448</v>
      </c>
      <c r="B360" s="4" t="s">
        <v>254</v>
      </c>
      <c r="C360" s="12">
        <f>IFERROR(__xludf.DUMMYFUNCTION("""COMPUTED_VALUE"""),44663.378124999996)</f>
        <v>44663.37813</v>
      </c>
      <c r="D360" s="13">
        <f t="shared" si="1"/>
        <v>12</v>
      </c>
      <c r="E360" s="13">
        <f t="shared" si="2"/>
        <v>9</v>
      </c>
    </row>
    <row r="361">
      <c r="A361" s="4" t="s">
        <v>449</v>
      </c>
      <c r="B361" s="4" t="s">
        <v>254</v>
      </c>
      <c r="C361" s="12">
        <f>IFERROR(__xludf.DUMMYFUNCTION("""COMPUTED_VALUE"""),44663.378113425926)</f>
        <v>44663.37811</v>
      </c>
      <c r="D361" s="13">
        <f t="shared" si="1"/>
        <v>12</v>
      </c>
      <c r="E361" s="13">
        <f t="shared" si="2"/>
        <v>9</v>
      </c>
    </row>
    <row r="362">
      <c r="A362" s="4" t="s">
        <v>450</v>
      </c>
      <c r="B362" s="4" t="s">
        <v>254</v>
      </c>
      <c r="C362" s="12">
        <f>IFERROR(__xludf.DUMMYFUNCTION("""COMPUTED_VALUE"""),44663.37810185185)</f>
        <v>44663.3781</v>
      </c>
      <c r="D362" s="13">
        <f t="shared" si="1"/>
        <v>12</v>
      </c>
      <c r="E362" s="13">
        <f t="shared" si="2"/>
        <v>9</v>
      </c>
    </row>
    <row r="363">
      <c r="A363" s="4" t="s">
        <v>450</v>
      </c>
      <c r="B363" s="4" t="s">
        <v>254</v>
      </c>
      <c r="C363" s="12">
        <f>IFERROR(__xludf.DUMMYFUNCTION("""COMPUTED_VALUE"""),44663.37810185185)</f>
        <v>44663.3781</v>
      </c>
      <c r="D363" s="13">
        <f t="shared" si="1"/>
        <v>12</v>
      </c>
      <c r="E363" s="13">
        <f t="shared" si="2"/>
        <v>9</v>
      </c>
    </row>
    <row r="364">
      <c r="A364" s="4" t="s">
        <v>451</v>
      </c>
      <c r="B364" s="4" t="s">
        <v>254</v>
      </c>
      <c r="C364" s="12">
        <f>IFERROR(__xludf.DUMMYFUNCTION("""COMPUTED_VALUE"""),44663.37809027777)</f>
        <v>44663.37809</v>
      </c>
      <c r="D364" s="13">
        <f t="shared" si="1"/>
        <v>12</v>
      </c>
      <c r="E364" s="13">
        <f t="shared" si="2"/>
        <v>9</v>
      </c>
    </row>
    <row r="365">
      <c r="A365" s="4" t="s">
        <v>452</v>
      </c>
      <c r="B365" s="4" t="s">
        <v>254</v>
      </c>
      <c r="C365" s="12">
        <f>IFERROR(__xludf.DUMMYFUNCTION("""COMPUTED_VALUE"""),44663.3780787037)</f>
        <v>44663.37808</v>
      </c>
      <c r="D365" s="13">
        <f t="shared" si="1"/>
        <v>12</v>
      </c>
      <c r="E365" s="13">
        <f t="shared" si="2"/>
        <v>9</v>
      </c>
    </row>
    <row r="366">
      <c r="A366" s="4" t="s">
        <v>453</v>
      </c>
      <c r="B366" s="4" t="s">
        <v>254</v>
      </c>
      <c r="C366" s="12">
        <f>IFERROR(__xludf.DUMMYFUNCTION("""COMPUTED_VALUE"""),44663.378067129626)</f>
        <v>44663.37807</v>
      </c>
      <c r="D366" s="13">
        <f t="shared" si="1"/>
        <v>12</v>
      </c>
      <c r="E366" s="13">
        <f t="shared" si="2"/>
        <v>9</v>
      </c>
    </row>
    <row r="367">
      <c r="A367" s="4" t="s">
        <v>454</v>
      </c>
      <c r="B367" s="4" t="s">
        <v>254</v>
      </c>
      <c r="C367" s="12">
        <f>IFERROR(__xludf.DUMMYFUNCTION("""COMPUTED_VALUE"""),44663.37805555555)</f>
        <v>44663.37806</v>
      </c>
      <c r="D367" s="13">
        <f t="shared" si="1"/>
        <v>12</v>
      </c>
      <c r="E367" s="13">
        <f t="shared" si="2"/>
        <v>9</v>
      </c>
    </row>
    <row r="368">
      <c r="A368" s="4" t="s">
        <v>455</v>
      </c>
      <c r="B368" s="4" t="s">
        <v>254</v>
      </c>
      <c r="C368" s="12">
        <f>IFERROR(__xludf.DUMMYFUNCTION("""COMPUTED_VALUE"""),44663.37804398148)</f>
        <v>44663.37804</v>
      </c>
      <c r="D368" s="13">
        <f t="shared" si="1"/>
        <v>12</v>
      </c>
      <c r="E368" s="13">
        <f t="shared" si="2"/>
        <v>9</v>
      </c>
    </row>
    <row r="369">
      <c r="A369" s="4" t="s">
        <v>456</v>
      </c>
      <c r="B369" s="4" t="s">
        <v>254</v>
      </c>
      <c r="C369" s="12">
        <f>IFERROR(__xludf.DUMMYFUNCTION("""COMPUTED_VALUE"""),44663.3780324074)</f>
        <v>44663.37803</v>
      </c>
      <c r="D369" s="13">
        <f t="shared" si="1"/>
        <v>12</v>
      </c>
      <c r="E369" s="13">
        <f t="shared" si="2"/>
        <v>9</v>
      </c>
    </row>
    <row r="370">
      <c r="A370" s="4" t="s">
        <v>456</v>
      </c>
      <c r="B370" s="4" t="s">
        <v>254</v>
      </c>
      <c r="C370" s="12">
        <f>IFERROR(__xludf.DUMMYFUNCTION("""COMPUTED_VALUE"""),44663.3780324074)</f>
        <v>44663.37803</v>
      </c>
      <c r="D370" s="13">
        <f t="shared" si="1"/>
        <v>12</v>
      </c>
      <c r="E370" s="13">
        <f t="shared" si="2"/>
        <v>9</v>
      </c>
    </row>
    <row r="371">
      <c r="A371" s="4" t="s">
        <v>457</v>
      </c>
      <c r="B371" s="4" t="s">
        <v>254</v>
      </c>
      <c r="C371" s="12">
        <f>IFERROR(__xludf.DUMMYFUNCTION("""COMPUTED_VALUE"""),44663.378020833334)</f>
        <v>44663.37802</v>
      </c>
      <c r="D371" s="13">
        <f t="shared" si="1"/>
        <v>12</v>
      </c>
      <c r="E371" s="13">
        <f t="shared" si="2"/>
        <v>9</v>
      </c>
    </row>
    <row r="372">
      <c r="A372" s="4" t="s">
        <v>458</v>
      </c>
      <c r="B372" s="4" t="s">
        <v>254</v>
      </c>
      <c r="C372" s="12">
        <f>IFERROR(__xludf.DUMMYFUNCTION("""COMPUTED_VALUE"""),44663.37800925926)</f>
        <v>44663.37801</v>
      </c>
      <c r="D372" s="13">
        <f t="shared" si="1"/>
        <v>12</v>
      </c>
      <c r="E372" s="13">
        <f t="shared" si="2"/>
        <v>9</v>
      </c>
    </row>
    <row r="373">
      <c r="A373" s="4" t="s">
        <v>459</v>
      </c>
      <c r="B373" s="4" t="s">
        <v>254</v>
      </c>
      <c r="C373" s="12">
        <f>IFERROR(__xludf.DUMMYFUNCTION("""COMPUTED_VALUE"""),44663.37799768518)</f>
        <v>44663.378</v>
      </c>
      <c r="D373" s="13">
        <f t="shared" si="1"/>
        <v>12</v>
      </c>
      <c r="E373" s="13">
        <f t="shared" si="2"/>
        <v>9</v>
      </c>
    </row>
    <row r="374">
      <c r="A374" s="4" t="s">
        <v>460</v>
      </c>
      <c r="B374" s="4" t="s">
        <v>254</v>
      </c>
      <c r="C374" s="12">
        <f>IFERROR(__xludf.DUMMYFUNCTION("""COMPUTED_VALUE"""),44663.37798611111)</f>
        <v>44663.37799</v>
      </c>
      <c r="D374" s="13">
        <f t="shared" si="1"/>
        <v>12</v>
      </c>
      <c r="E374" s="13">
        <f t="shared" si="2"/>
        <v>9</v>
      </c>
    </row>
    <row r="375">
      <c r="A375" s="4" t="s">
        <v>461</v>
      </c>
      <c r="B375" s="4" t="s">
        <v>254</v>
      </c>
      <c r="C375" s="12">
        <f>IFERROR(__xludf.DUMMYFUNCTION("""COMPUTED_VALUE"""),44663.377974537034)</f>
        <v>44663.37797</v>
      </c>
      <c r="D375" s="13">
        <f t="shared" si="1"/>
        <v>12</v>
      </c>
      <c r="E375" s="13">
        <f t="shared" si="2"/>
        <v>9</v>
      </c>
    </row>
    <row r="376">
      <c r="A376" s="4" t="s">
        <v>462</v>
      </c>
      <c r="B376" s="4" t="s">
        <v>254</v>
      </c>
      <c r="C376" s="12">
        <f>IFERROR(__xludf.DUMMYFUNCTION("""COMPUTED_VALUE"""),44663.37796296296)</f>
        <v>44663.37796</v>
      </c>
      <c r="D376" s="13">
        <f t="shared" si="1"/>
        <v>12</v>
      </c>
      <c r="E376" s="13">
        <f t="shared" si="2"/>
        <v>9</v>
      </c>
    </row>
    <row r="377">
      <c r="A377" s="4" t="s">
        <v>463</v>
      </c>
      <c r="B377" s="4" t="s">
        <v>254</v>
      </c>
      <c r="C377" s="12">
        <f>IFERROR(__xludf.DUMMYFUNCTION("""COMPUTED_VALUE"""),44663.37795138889)</f>
        <v>44663.37795</v>
      </c>
      <c r="D377" s="13">
        <f t="shared" si="1"/>
        <v>12</v>
      </c>
      <c r="E377" s="13">
        <f t="shared" si="2"/>
        <v>9</v>
      </c>
    </row>
    <row r="378">
      <c r="A378" s="4" t="s">
        <v>463</v>
      </c>
      <c r="B378" s="4" t="s">
        <v>254</v>
      </c>
      <c r="C378" s="12">
        <f>IFERROR(__xludf.DUMMYFUNCTION("""COMPUTED_VALUE"""),44663.37795138889)</f>
        <v>44663.37795</v>
      </c>
      <c r="D378" s="13">
        <f t="shared" si="1"/>
        <v>12</v>
      </c>
      <c r="E378" s="13">
        <f t="shared" si="2"/>
        <v>9</v>
      </c>
    </row>
    <row r="379">
      <c r="A379" s="4" t="s">
        <v>464</v>
      </c>
      <c r="B379" s="4" t="s">
        <v>254</v>
      </c>
      <c r="C379" s="12">
        <f>IFERROR(__xludf.DUMMYFUNCTION("""COMPUTED_VALUE"""),44663.37793981481)</f>
        <v>44663.37794</v>
      </c>
      <c r="D379" s="13">
        <f t="shared" si="1"/>
        <v>12</v>
      </c>
      <c r="E379" s="13">
        <f t="shared" si="2"/>
        <v>9</v>
      </c>
    </row>
    <row r="380">
      <c r="A380" s="4" t="s">
        <v>465</v>
      </c>
      <c r="B380" s="4" t="s">
        <v>254</v>
      </c>
      <c r="C380" s="12">
        <f>IFERROR(__xludf.DUMMYFUNCTION("""COMPUTED_VALUE"""),44663.37792824074)</f>
        <v>44663.37793</v>
      </c>
      <c r="D380" s="13">
        <f t="shared" si="1"/>
        <v>12</v>
      </c>
      <c r="E380" s="13">
        <f t="shared" si="2"/>
        <v>9</v>
      </c>
    </row>
    <row r="381">
      <c r="A381" s="4" t="s">
        <v>466</v>
      </c>
      <c r="B381" s="4" t="s">
        <v>254</v>
      </c>
      <c r="C381" s="12">
        <f>IFERROR(__xludf.DUMMYFUNCTION("""COMPUTED_VALUE"""),44663.377916666665)</f>
        <v>44663.37792</v>
      </c>
      <c r="D381" s="13">
        <f t="shared" si="1"/>
        <v>12</v>
      </c>
      <c r="E381" s="13">
        <f t="shared" si="2"/>
        <v>9</v>
      </c>
    </row>
    <row r="382">
      <c r="A382" s="4" t="s">
        <v>466</v>
      </c>
      <c r="B382" s="4" t="s">
        <v>467</v>
      </c>
      <c r="C382" s="12">
        <f>IFERROR(__xludf.DUMMYFUNCTION("""COMPUTED_VALUE"""),44663.377916666665)</f>
        <v>44663.37792</v>
      </c>
      <c r="D382" s="13">
        <f t="shared" si="1"/>
        <v>12</v>
      </c>
      <c r="E382" s="13">
        <f t="shared" si="2"/>
        <v>9</v>
      </c>
    </row>
    <row r="383">
      <c r="A383" s="4" t="s">
        <v>468</v>
      </c>
      <c r="B383" s="4" t="s">
        <v>254</v>
      </c>
      <c r="C383" s="12">
        <f>IFERROR(__xludf.DUMMYFUNCTION("""COMPUTED_VALUE"""),44663.37790509259)</f>
        <v>44663.37791</v>
      </c>
      <c r="D383" s="13">
        <f t="shared" si="1"/>
        <v>12</v>
      </c>
      <c r="E383" s="13">
        <f t="shared" si="2"/>
        <v>9</v>
      </c>
    </row>
    <row r="384">
      <c r="A384" s="4" t="s">
        <v>468</v>
      </c>
      <c r="B384" s="4" t="s">
        <v>254</v>
      </c>
      <c r="C384" s="12">
        <f>IFERROR(__xludf.DUMMYFUNCTION("""COMPUTED_VALUE"""),44663.37790509259)</f>
        <v>44663.37791</v>
      </c>
      <c r="D384" s="13">
        <f t="shared" si="1"/>
        <v>12</v>
      </c>
      <c r="E384" s="13">
        <f t="shared" si="2"/>
        <v>9</v>
      </c>
    </row>
    <row r="385">
      <c r="A385" s="4" t="s">
        <v>469</v>
      </c>
      <c r="B385" s="4" t="s">
        <v>254</v>
      </c>
      <c r="C385" s="12">
        <f>IFERROR(__xludf.DUMMYFUNCTION("""COMPUTED_VALUE"""),44663.37789351852)</f>
        <v>44663.37789</v>
      </c>
      <c r="D385" s="13">
        <f t="shared" si="1"/>
        <v>12</v>
      </c>
      <c r="E385" s="13">
        <f t="shared" si="2"/>
        <v>9</v>
      </c>
    </row>
    <row r="386">
      <c r="A386" s="4" t="s">
        <v>470</v>
      </c>
      <c r="B386" s="4" t="s">
        <v>254</v>
      </c>
      <c r="C386" s="12">
        <f>IFERROR(__xludf.DUMMYFUNCTION("""COMPUTED_VALUE"""),44663.37788194444)</f>
        <v>44663.37788</v>
      </c>
      <c r="D386" s="13">
        <f t="shared" si="1"/>
        <v>12</v>
      </c>
      <c r="E386" s="13">
        <f t="shared" si="2"/>
        <v>9</v>
      </c>
    </row>
    <row r="387">
      <c r="A387" s="4" t="s">
        <v>471</v>
      </c>
      <c r="B387" s="4" t="s">
        <v>254</v>
      </c>
      <c r="C387" s="12">
        <f>IFERROR(__xludf.DUMMYFUNCTION("""COMPUTED_VALUE"""),44663.377870370365)</f>
        <v>44663.37787</v>
      </c>
      <c r="D387" s="13">
        <f t="shared" si="1"/>
        <v>12</v>
      </c>
      <c r="E387" s="13">
        <f t="shared" si="2"/>
        <v>9</v>
      </c>
    </row>
    <row r="388">
      <c r="A388" s="4" t="s">
        <v>472</v>
      </c>
      <c r="B388" s="4" t="s">
        <v>254</v>
      </c>
      <c r="C388" s="12">
        <f>IFERROR(__xludf.DUMMYFUNCTION("""COMPUTED_VALUE"""),44663.377858796295)</f>
        <v>44663.37786</v>
      </c>
      <c r="D388" s="13">
        <f t="shared" si="1"/>
        <v>12</v>
      </c>
      <c r="E388" s="13">
        <f t="shared" si="2"/>
        <v>9</v>
      </c>
    </row>
    <row r="389">
      <c r="A389" s="4" t="s">
        <v>473</v>
      </c>
      <c r="B389" s="4" t="s">
        <v>254</v>
      </c>
      <c r="C389" s="12">
        <f>IFERROR(__xludf.DUMMYFUNCTION("""COMPUTED_VALUE"""),44663.37784722222)</f>
        <v>44663.37785</v>
      </c>
      <c r="D389" s="13">
        <f t="shared" si="1"/>
        <v>12</v>
      </c>
      <c r="E389" s="13">
        <f t="shared" si="2"/>
        <v>9</v>
      </c>
    </row>
    <row r="390">
      <c r="A390" s="4" t="s">
        <v>474</v>
      </c>
      <c r="B390" s="4" t="s">
        <v>254</v>
      </c>
      <c r="C390" s="12">
        <f>IFERROR(__xludf.DUMMYFUNCTION("""COMPUTED_VALUE"""),44663.37783564815)</f>
        <v>44663.37784</v>
      </c>
      <c r="D390" s="13">
        <f t="shared" si="1"/>
        <v>12</v>
      </c>
      <c r="E390" s="13">
        <f t="shared" si="2"/>
        <v>9</v>
      </c>
    </row>
    <row r="391">
      <c r="A391" s="4" t="s">
        <v>475</v>
      </c>
      <c r="B391" s="4" t="s">
        <v>254</v>
      </c>
      <c r="C391" s="12">
        <f>IFERROR(__xludf.DUMMYFUNCTION("""COMPUTED_VALUE"""),44663.37782407407)</f>
        <v>44663.37782</v>
      </c>
      <c r="D391" s="13">
        <f t="shared" si="1"/>
        <v>12</v>
      </c>
      <c r="E391" s="13">
        <f t="shared" si="2"/>
        <v>9</v>
      </c>
    </row>
    <row r="392">
      <c r="A392" s="4" t="s">
        <v>476</v>
      </c>
      <c r="B392" s="4" t="s">
        <v>254</v>
      </c>
      <c r="C392" s="12">
        <f>IFERROR(__xludf.DUMMYFUNCTION("""COMPUTED_VALUE"""),44663.377812499995)</f>
        <v>44663.37781</v>
      </c>
      <c r="D392" s="13">
        <f t="shared" si="1"/>
        <v>12</v>
      </c>
      <c r="E392" s="13">
        <f t="shared" si="2"/>
        <v>9</v>
      </c>
    </row>
    <row r="393">
      <c r="A393" s="4" t="s">
        <v>476</v>
      </c>
      <c r="B393" s="4" t="s">
        <v>254</v>
      </c>
      <c r="C393" s="12">
        <f>IFERROR(__xludf.DUMMYFUNCTION("""COMPUTED_VALUE"""),44663.377812499995)</f>
        <v>44663.37781</v>
      </c>
      <c r="D393" s="13">
        <f t="shared" si="1"/>
        <v>12</v>
      </c>
      <c r="E393" s="13">
        <f t="shared" si="2"/>
        <v>9</v>
      </c>
    </row>
    <row r="394">
      <c r="A394" s="4" t="s">
        <v>477</v>
      </c>
      <c r="B394" s="4" t="s">
        <v>254</v>
      </c>
      <c r="C394" s="12">
        <f>IFERROR(__xludf.DUMMYFUNCTION("""COMPUTED_VALUE"""),44663.377800925926)</f>
        <v>44663.3778</v>
      </c>
      <c r="D394" s="13">
        <f t="shared" si="1"/>
        <v>12</v>
      </c>
      <c r="E394" s="13">
        <f t="shared" si="2"/>
        <v>9</v>
      </c>
    </row>
    <row r="395">
      <c r="A395" s="4" t="s">
        <v>478</v>
      </c>
      <c r="B395" s="4" t="s">
        <v>254</v>
      </c>
      <c r="C395" s="12">
        <f>IFERROR(__xludf.DUMMYFUNCTION("""COMPUTED_VALUE"""),44663.37778935185)</f>
        <v>44663.37779</v>
      </c>
      <c r="D395" s="13">
        <f t="shared" si="1"/>
        <v>12</v>
      </c>
      <c r="E395" s="13">
        <f t="shared" si="2"/>
        <v>9</v>
      </c>
    </row>
    <row r="396">
      <c r="A396" s="4" t="s">
        <v>479</v>
      </c>
      <c r="B396" s="4" t="s">
        <v>254</v>
      </c>
      <c r="C396" s="12">
        <f>IFERROR(__xludf.DUMMYFUNCTION("""COMPUTED_VALUE"""),44663.37777777777)</f>
        <v>44663.37778</v>
      </c>
      <c r="D396" s="13">
        <f t="shared" si="1"/>
        <v>12</v>
      </c>
      <c r="E396" s="13">
        <f t="shared" si="2"/>
        <v>9</v>
      </c>
    </row>
    <row r="397">
      <c r="A397" s="4" t="s">
        <v>480</v>
      </c>
      <c r="B397" s="4" t="s">
        <v>254</v>
      </c>
      <c r="C397" s="12">
        <f>IFERROR(__xludf.DUMMYFUNCTION("""COMPUTED_VALUE"""),44663.3777662037)</f>
        <v>44663.37777</v>
      </c>
      <c r="D397" s="13">
        <f t="shared" si="1"/>
        <v>12</v>
      </c>
      <c r="E397" s="13">
        <f t="shared" si="2"/>
        <v>9</v>
      </c>
    </row>
    <row r="398">
      <c r="A398" s="4" t="s">
        <v>481</v>
      </c>
      <c r="B398" s="4" t="s">
        <v>254</v>
      </c>
      <c r="C398" s="12">
        <f>IFERROR(__xludf.DUMMYFUNCTION("""COMPUTED_VALUE"""),44663.377754629626)</f>
        <v>44663.37775</v>
      </c>
      <c r="D398" s="13">
        <f t="shared" si="1"/>
        <v>12</v>
      </c>
      <c r="E398" s="13">
        <f t="shared" si="2"/>
        <v>9</v>
      </c>
    </row>
    <row r="399">
      <c r="A399" s="4" t="s">
        <v>482</v>
      </c>
      <c r="B399" s="4" t="s">
        <v>254</v>
      </c>
      <c r="C399" s="12">
        <f>IFERROR(__xludf.DUMMYFUNCTION("""COMPUTED_VALUE"""),44663.37774305556)</f>
        <v>44663.37774</v>
      </c>
      <c r="D399" s="13">
        <f t="shared" si="1"/>
        <v>12</v>
      </c>
      <c r="E399" s="13">
        <f t="shared" si="2"/>
        <v>9</v>
      </c>
    </row>
    <row r="400">
      <c r="A400" s="4" t="s">
        <v>483</v>
      </c>
      <c r="B400" s="4" t="s">
        <v>254</v>
      </c>
      <c r="C400" s="12">
        <f>IFERROR(__xludf.DUMMYFUNCTION("""COMPUTED_VALUE"""),44663.37773148148)</f>
        <v>44663.37773</v>
      </c>
      <c r="D400" s="13">
        <f t="shared" si="1"/>
        <v>12</v>
      </c>
      <c r="E400" s="13">
        <f t="shared" si="2"/>
        <v>9</v>
      </c>
    </row>
    <row r="401">
      <c r="A401" s="4" t="s">
        <v>484</v>
      </c>
      <c r="B401" s="4" t="s">
        <v>254</v>
      </c>
      <c r="C401" s="12">
        <f>IFERROR(__xludf.DUMMYFUNCTION("""COMPUTED_VALUE"""),44663.3777199074)</f>
        <v>44663.37772</v>
      </c>
      <c r="D401" s="13">
        <f t="shared" si="1"/>
        <v>12</v>
      </c>
      <c r="E401" s="13">
        <f t="shared" si="2"/>
        <v>9</v>
      </c>
    </row>
    <row r="402">
      <c r="A402" s="4" t="s">
        <v>484</v>
      </c>
      <c r="B402" s="4" t="s">
        <v>254</v>
      </c>
      <c r="C402" s="12">
        <f>IFERROR(__xludf.DUMMYFUNCTION("""COMPUTED_VALUE"""),44663.3777199074)</f>
        <v>44663.37772</v>
      </c>
      <c r="D402" s="13">
        <f t="shared" si="1"/>
        <v>12</v>
      </c>
      <c r="E402" s="13">
        <f t="shared" si="2"/>
        <v>9</v>
      </c>
    </row>
    <row r="403">
      <c r="A403" s="4" t="s">
        <v>485</v>
      </c>
      <c r="B403" s="4" t="s">
        <v>254</v>
      </c>
      <c r="C403" s="12">
        <f>IFERROR(__xludf.DUMMYFUNCTION("""COMPUTED_VALUE"""),44663.37770833333)</f>
        <v>44663.37771</v>
      </c>
      <c r="D403" s="13">
        <f t="shared" si="1"/>
        <v>12</v>
      </c>
      <c r="E403" s="13">
        <f t="shared" si="2"/>
        <v>9</v>
      </c>
    </row>
    <row r="404">
      <c r="A404" s="4" t="s">
        <v>486</v>
      </c>
      <c r="B404" s="4" t="s">
        <v>254</v>
      </c>
      <c r="C404" s="12">
        <f>IFERROR(__xludf.DUMMYFUNCTION("""COMPUTED_VALUE"""),44663.37769675926)</f>
        <v>44663.3777</v>
      </c>
      <c r="D404" s="13">
        <f t="shared" si="1"/>
        <v>12</v>
      </c>
      <c r="E404" s="13">
        <f t="shared" si="2"/>
        <v>9</v>
      </c>
    </row>
    <row r="405">
      <c r="A405" s="4" t="s">
        <v>487</v>
      </c>
      <c r="B405" s="4" t="s">
        <v>254</v>
      </c>
      <c r="C405" s="12">
        <f>IFERROR(__xludf.DUMMYFUNCTION("""COMPUTED_VALUE"""),44663.37768518518)</f>
        <v>44663.37769</v>
      </c>
      <c r="D405" s="13">
        <f t="shared" si="1"/>
        <v>12</v>
      </c>
      <c r="E405" s="13">
        <f t="shared" si="2"/>
        <v>9</v>
      </c>
    </row>
    <row r="406">
      <c r="A406" s="4" t="s">
        <v>488</v>
      </c>
      <c r="B406" s="4" t="s">
        <v>254</v>
      </c>
      <c r="C406" s="12">
        <f>IFERROR(__xludf.DUMMYFUNCTION("""COMPUTED_VALUE"""),44663.37767361111)</f>
        <v>44663.37767</v>
      </c>
      <c r="D406" s="13">
        <f t="shared" si="1"/>
        <v>12</v>
      </c>
      <c r="E406" s="13">
        <f t="shared" si="2"/>
        <v>9</v>
      </c>
    </row>
    <row r="407">
      <c r="A407" s="4" t="s">
        <v>489</v>
      </c>
      <c r="B407" s="4" t="s">
        <v>254</v>
      </c>
      <c r="C407" s="12">
        <f>IFERROR(__xludf.DUMMYFUNCTION("""COMPUTED_VALUE"""),44663.37766203703)</f>
        <v>44663.37766</v>
      </c>
      <c r="D407" s="13">
        <f t="shared" si="1"/>
        <v>12</v>
      </c>
      <c r="E407" s="13">
        <f t="shared" si="2"/>
        <v>9</v>
      </c>
    </row>
    <row r="408">
      <c r="A408" s="4" t="s">
        <v>490</v>
      </c>
      <c r="B408" s="4" t="s">
        <v>254</v>
      </c>
      <c r="C408" s="12">
        <f>IFERROR(__xludf.DUMMYFUNCTION("""COMPUTED_VALUE"""),44663.377650462964)</f>
        <v>44663.37765</v>
      </c>
      <c r="D408" s="13">
        <f t="shared" si="1"/>
        <v>12</v>
      </c>
      <c r="E408" s="13">
        <f t="shared" si="2"/>
        <v>9</v>
      </c>
    </row>
    <row r="409">
      <c r="A409" s="4" t="s">
        <v>491</v>
      </c>
      <c r="B409" s="4" t="s">
        <v>254</v>
      </c>
      <c r="C409" s="12">
        <f>IFERROR(__xludf.DUMMYFUNCTION("""COMPUTED_VALUE"""),44663.37763888889)</f>
        <v>44663.37764</v>
      </c>
      <c r="D409" s="13">
        <f t="shared" si="1"/>
        <v>12</v>
      </c>
      <c r="E409" s="13">
        <f t="shared" si="2"/>
        <v>9</v>
      </c>
    </row>
    <row r="410">
      <c r="A410" s="4" t="s">
        <v>491</v>
      </c>
      <c r="B410" s="4" t="s">
        <v>254</v>
      </c>
      <c r="C410" s="12">
        <f>IFERROR(__xludf.DUMMYFUNCTION("""COMPUTED_VALUE"""),44663.37763888889)</f>
        <v>44663.37764</v>
      </c>
      <c r="D410" s="13">
        <f t="shared" si="1"/>
        <v>12</v>
      </c>
      <c r="E410" s="13">
        <f t="shared" si="2"/>
        <v>9</v>
      </c>
    </row>
    <row r="411">
      <c r="A411" s="4" t="s">
        <v>492</v>
      </c>
      <c r="B411" s="4" t="s">
        <v>254</v>
      </c>
      <c r="C411" s="12">
        <f>IFERROR(__xludf.DUMMYFUNCTION("""COMPUTED_VALUE"""),44663.37762731481)</f>
        <v>44663.37763</v>
      </c>
      <c r="D411" s="13">
        <f t="shared" si="1"/>
        <v>12</v>
      </c>
      <c r="E411" s="13">
        <f t="shared" si="2"/>
        <v>9</v>
      </c>
    </row>
    <row r="412">
      <c r="A412" s="4" t="s">
        <v>493</v>
      </c>
      <c r="B412" s="4" t="s">
        <v>254</v>
      </c>
      <c r="C412" s="12">
        <f>IFERROR(__xludf.DUMMYFUNCTION("""COMPUTED_VALUE"""),44663.37761574074)</f>
        <v>44663.37762</v>
      </c>
      <c r="D412" s="13">
        <f t="shared" si="1"/>
        <v>12</v>
      </c>
      <c r="E412" s="13">
        <f t="shared" si="2"/>
        <v>9</v>
      </c>
    </row>
    <row r="413">
      <c r="A413" s="4" t="s">
        <v>494</v>
      </c>
      <c r="B413" s="4" t="s">
        <v>254</v>
      </c>
      <c r="C413" s="12">
        <f>IFERROR(__xludf.DUMMYFUNCTION("""COMPUTED_VALUE"""),44663.377604166664)</f>
        <v>44663.3776</v>
      </c>
      <c r="D413" s="13">
        <f t="shared" si="1"/>
        <v>12</v>
      </c>
      <c r="E413" s="13">
        <f t="shared" si="2"/>
        <v>9</v>
      </c>
    </row>
    <row r="414">
      <c r="A414" s="4" t="s">
        <v>495</v>
      </c>
      <c r="B414" s="4" t="s">
        <v>254</v>
      </c>
      <c r="C414" s="12">
        <f>IFERROR(__xludf.DUMMYFUNCTION("""COMPUTED_VALUE"""),44663.37759259259)</f>
        <v>44663.37759</v>
      </c>
      <c r="D414" s="13">
        <f t="shared" si="1"/>
        <v>12</v>
      </c>
      <c r="E414" s="13">
        <f t="shared" si="2"/>
        <v>9</v>
      </c>
    </row>
    <row r="415">
      <c r="A415" s="4" t="s">
        <v>495</v>
      </c>
      <c r="B415" s="4" t="s">
        <v>254</v>
      </c>
      <c r="C415" s="12">
        <f>IFERROR(__xludf.DUMMYFUNCTION("""COMPUTED_VALUE"""),44663.37759259259)</f>
        <v>44663.37759</v>
      </c>
      <c r="D415" s="13">
        <f t="shared" si="1"/>
        <v>12</v>
      </c>
      <c r="E415" s="13">
        <f t="shared" si="2"/>
        <v>9</v>
      </c>
    </row>
    <row r="416">
      <c r="A416" s="4" t="s">
        <v>496</v>
      </c>
      <c r="B416" s="4" t="s">
        <v>254</v>
      </c>
      <c r="C416" s="12">
        <f>IFERROR(__xludf.DUMMYFUNCTION("""COMPUTED_VALUE"""),44663.37758101852)</f>
        <v>44663.37758</v>
      </c>
      <c r="D416" s="13">
        <f t="shared" si="1"/>
        <v>12</v>
      </c>
      <c r="E416" s="13">
        <f t="shared" si="2"/>
        <v>9</v>
      </c>
    </row>
    <row r="417">
      <c r="A417" s="4" t="s">
        <v>497</v>
      </c>
      <c r="B417" s="4" t="s">
        <v>254</v>
      </c>
      <c r="C417" s="12">
        <f>IFERROR(__xludf.DUMMYFUNCTION("""COMPUTED_VALUE"""),44663.37756944444)</f>
        <v>44663.37757</v>
      </c>
      <c r="D417" s="13">
        <f t="shared" si="1"/>
        <v>12</v>
      </c>
      <c r="E417" s="13">
        <f t="shared" si="2"/>
        <v>9</v>
      </c>
    </row>
    <row r="418">
      <c r="A418" s="4" t="s">
        <v>498</v>
      </c>
      <c r="B418" s="4" t="s">
        <v>254</v>
      </c>
      <c r="C418" s="12">
        <f>IFERROR(__xludf.DUMMYFUNCTION("""COMPUTED_VALUE"""),44663.377557870364)</f>
        <v>44663.37756</v>
      </c>
      <c r="D418" s="13">
        <f t="shared" si="1"/>
        <v>12</v>
      </c>
      <c r="E418" s="13">
        <f t="shared" si="2"/>
        <v>9</v>
      </c>
    </row>
    <row r="419">
      <c r="A419" s="4" t="s">
        <v>499</v>
      </c>
      <c r="B419" s="4" t="s">
        <v>254</v>
      </c>
      <c r="C419" s="12">
        <f>IFERROR(__xludf.DUMMYFUNCTION("""COMPUTED_VALUE"""),44663.377546296295)</f>
        <v>44663.37755</v>
      </c>
      <c r="D419" s="13">
        <f t="shared" si="1"/>
        <v>12</v>
      </c>
      <c r="E419" s="13">
        <f t="shared" si="2"/>
        <v>9</v>
      </c>
    </row>
    <row r="420">
      <c r="A420" s="4" t="s">
        <v>500</v>
      </c>
      <c r="B420" s="4" t="s">
        <v>254</v>
      </c>
      <c r="C420" s="12">
        <f>IFERROR(__xludf.DUMMYFUNCTION("""COMPUTED_VALUE"""),44663.37753472222)</f>
        <v>44663.37753</v>
      </c>
      <c r="D420" s="13">
        <f t="shared" si="1"/>
        <v>12</v>
      </c>
      <c r="E420" s="13">
        <f t="shared" si="2"/>
        <v>9</v>
      </c>
    </row>
    <row r="421">
      <c r="A421" s="4" t="s">
        <v>501</v>
      </c>
      <c r="B421" s="4" t="s">
        <v>254</v>
      </c>
      <c r="C421" s="12">
        <f>IFERROR(__xludf.DUMMYFUNCTION("""COMPUTED_VALUE"""),44663.37752314815)</f>
        <v>44663.37752</v>
      </c>
      <c r="D421" s="13">
        <f t="shared" si="1"/>
        <v>12</v>
      </c>
      <c r="E421" s="13">
        <f t="shared" si="2"/>
        <v>9</v>
      </c>
    </row>
    <row r="422">
      <c r="A422" s="4" t="s">
        <v>502</v>
      </c>
      <c r="B422" s="4" t="s">
        <v>254</v>
      </c>
      <c r="C422" s="12">
        <f>IFERROR(__xludf.DUMMYFUNCTION("""COMPUTED_VALUE"""),44663.37751157407)</f>
        <v>44663.37751</v>
      </c>
      <c r="D422" s="13">
        <f t="shared" si="1"/>
        <v>12</v>
      </c>
      <c r="E422" s="13">
        <f t="shared" si="2"/>
        <v>9</v>
      </c>
    </row>
    <row r="423">
      <c r="A423" s="4" t="s">
        <v>503</v>
      </c>
      <c r="B423" s="4" t="s">
        <v>254</v>
      </c>
      <c r="C423" s="12">
        <f>IFERROR(__xludf.DUMMYFUNCTION("""COMPUTED_VALUE"""),44663.377499999995)</f>
        <v>44663.3775</v>
      </c>
      <c r="D423" s="13">
        <f t="shared" si="1"/>
        <v>12</v>
      </c>
      <c r="E423" s="13">
        <f t="shared" si="2"/>
        <v>9</v>
      </c>
    </row>
    <row r="424">
      <c r="A424" s="4" t="s">
        <v>503</v>
      </c>
      <c r="B424" s="4" t="s">
        <v>254</v>
      </c>
      <c r="C424" s="12">
        <f>IFERROR(__xludf.DUMMYFUNCTION("""COMPUTED_VALUE"""),44663.377499999995)</f>
        <v>44663.3775</v>
      </c>
      <c r="D424" s="13">
        <f t="shared" si="1"/>
        <v>12</v>
      </c>
      <c r="E424" s="13">
        <f t="shared" si="2"/>
        <v>9</v>
      </c>
    </row>
    <row r="425">
      <c r="A425" s="4" t="s">
        <v>504</v>
      </c>
      <c r="B425" s="4" t="s">
        <v>254</v>
      </c>
      <c r="C425" s="12">
        <f>IFERROR(__xludf.DUMMYFUNCTION("""COMPUTED_VALUE"""),44663.377488425926)</f>
        <v>44663.37749</v>
      </c>
      <c r="D425" s="13">
        <f t="shared" si="1"/>
        <v>12</v>
      </c>
      <c r="E425" s="13">
        <f t="shared" si="2"/>
        <v>9</v>
      </c>
    </row>
    <row r="426">
      <c r="A426" s="4" t="s">
        <v>505</v>
      </c>
      <c r="B426" s="4" t="s">
        <v>254</v>
      </c>
      <c r="C426" s="12">
        <f>IFERROR(__xludf.DUMMYFUNCTION("""COMPUTED_VALUE"""),44663.37747685185)</f>
        <v>44663.37748</v>
      </c>
      <c r="D426" s="13">
        <f t="shared" si="1"/>
        <v>12</v>
      </c>
      <c r="E426" s="13">
        <f t="shared" si="2"/>
        <v>9</v>
      </c>
    </row>
    <row r="427">
      <c r="A427" s="4" t="s">
        <v>506</v>
      </c>
      <c r="B427" s="4" t="s">
        <v>254</v>
      </c>
      <c r="C427" s="12">
        <f>IFERROR(__xludf.DUMMYFUNCTION("""COMPUTED_VALUE"""),44663.37746527777)</f>
        <v>44663.37747</v>
      </c>
      <c r="D427" s="13">
        <f t="shared" si="1"/>
        <v>12</v>
      </c>
      <c r="E427" s="13">
        <f t="shared" si="2"/>
        <v>9</v>
      </c>
    </row>
    <row r="428">
      <c r="A428" s="4" t="s">
        <v>507</v>
      </c>
      <c r="B428" s="4" t="s">
        <v>254</v>
      </c>
      <c r="C428" s="12">
        <f>IFERROR(__xludf.DUMMYFUNCTION("""COMPUTED_VALUE"""),44663.3774537037)</f>
        <v>44663.37745</v>
      </c>
      <c r="D428" s="13">
        <f t="shared" si="1"/>
        <v>12</v>
      </c>
      <c r="E428" s="13">
        <f t="shared" si="2"/>
        <v>9</v>
      </c>
    </row>
    <row r="429">
      <c r="A429" s="4" t="s">
        <v>508</v>
      </c>
      <c r="B429" s="4" t="s">
        <v>254</v>
      </c>
      <c r="C429" s="12">
        <f>IFERROR(__xludf.DUMMYFUNCTION("""COMPUTED_VALUE"""),44663.377442129626)</f>
        <v>44663.37744</v>
      </c>
      <c r="D429" s="13">
        <f t="shared" si="1"/>
        <v>12</v>
      </c>
      <c r="E429" s="13">
        <f t="shared" si="2"/>
        <v>9</v>
      </c>
    </row>
    <row r="430">
      <c r="A430" s="4" t="s">
        <v>509</v>
      </c>
      <c r="B430" s="4" t="s">
        <v>254</v>
      </c>
      <c r="C430" s="12">
        <f>IFERROR(__xludf.DUMMYFUNCTION("""COMPUTED_VALUE"""),44663.377430555556)</f>
        <v>44663.37743</v>
      </c>
      <c r="D430" s="13">
        <f t="shared" si="1"/>
        <v>12</v>
      </c>
      <c r="E430" s="13">
        <f t="shared" si="2"/>
        <v>9</v>
      </c>
    </row>
    <row r="431">
      <c r="A431" s="4" t="s">
        <v>510</v>
      </c>
      <c r="B431" s="4" t="s">
        <v>254</v>
      </c>
      <c r="C431" s="12">
        <f>IFERROR(__xludf.DUMMYFUNCTION("""COMPUTED_VALUE"""),44663.37741898148)</f>
        <v>44663.37742</v>
      </c>
      <c r="D431" s="13">
        <f t="shared" si="1"/>
        <v>12</v>
      </c>
      <c r="E431" s="13">
        <f t="shared" si="2"/>
        <v>9</v>
      </c>
    </row>
    <row r="432">
      <c r="A432" s="4" t="s">
        <v>510</v>
      </c>
      <c r="B432" s="4" t="s">
        <v>254</v>
      </c>
      <c r="C432" s="12">
        <f>IFERROR(__xludf.DUMMYFUNCTION("""COMPUTED_VALUE"""),44663.37741898148)</f>
        <v>44663.37742</v>
      </c>
      <c r="D432" s="13">
        <f t="shared" si="1"/>
        <v>12</v>
      </c>
      <c r="E432" s="13">
        <f t="shared" si="2"/>
        <v>9</v>
      </c>
    </row>
    <row r="433">
      <c r="A433" s="4" t="s">
        <v>511</v>
      </c>
      <c r="B433" s="4" t="s">
        <v>254</v>
      </c>
      <c r="C433" s="12">
        <f>IFERROR(__xludf.DUMMYFUNCTION("""COMPUTED_VALUE"""),44663.3774074074)</f>
        <v>44663.37741</v>
      </c>
      <c r="D433" s="13">
        <f t="shared" si="1"/>
        <v>12</v>
      </c>
      <c r="E433" s="13">
        <f t="shared" si="2"/>
        <v>9</v>
      </c>
    </row>
    <row r="434">
      <c r="A434" s="4" t="s">
        <v>512</v>
      </c>
      <c r="B434" s="4" t="s">
        <v>254</v>
      </c>
      <c r="C434" s="12">
        <f>IFERROR(__xludf.DUMMYFUNCTION("""COMPUTED_VALUE"""),44663.37739583333)</f>
        <v>44663.3774</v>
      </c>
      <c r="D434" s="13">
        <f t="shared" si="1"/>
        <v>12</v>
      </c>
      <c r="E434" s="13">
        <f t="shared" si="2"/>
        <v>9</v>
      </c>
    </row>
    <row r="435">
      <c r="A435" s="4" t="s">
        <v>513</v>
      </c>
      <c r="B435" s="4" t="s">
        <v>254</v>
      </c>
      <c r="C435" s="12">
        <f>IFERROR(__xludf.DUMMYFUNCTION("""COMPUTED_VALUE"""),44663.377384259256)</f>
        <v>44663.37738</v>
      </c>
      <c r="D435" s="13">
        <f t="shared" si="1"/>
        <v>12</v>
      </c>
      <c r="E435" s="13">
        <f t="shared" si="2"/>
        <v>9</v>
      </c>
    </row>
    <row r="436">
      <c r="A436" s="4" t="s">
        <v>514</v>
      </c>
      <c r="B436" s="4" t="s">
        <v>254</v>
      </c>
      <c r="C436" s="12">
        <f>IFERROR(__xludf.DUMMYFUNCTION("""COMPUTED_VALUE"""),44663.37737268518)</f>
        <v>44663.37737</v>
      </c>
      <c r="D436" s="13">
        <f t="shared" si="1"/>
        <v>12</v>
      </c>
      <c r="E436" s="13">
        <f t="shared" si="2"/>
        <v>9</v>
      </c>
    </row>
    <row r="437">
      <c r="A437" s="4" t="s">
        <v>515</v>
      </c>
      <c r="B437" s="4" t="s">
        <v>254</v>
      </c>
      <c r="C437" s="12">
        <f>IFERROR(__xludf.DUMMYFUNCTION("""COMPUTED_VALUE"""),44663.37736111111)</f>
        <v>44663.37736</v>
      </c>
      <c r="D437" s="13">
        <f t="shared" si="1"/>
        <v>12</v>
      </c>
      <c r="E437" s="13">
        <f t="shared" si="2"/>
        <v>9</v>
      </c>
    </row>
    <row r="438">
      <c r="A438" s="4" t="s">
        <v>516</v>
      </c>
      <c r="B438" s="4" t="s">
        <v>254</v>
      </c>
      <c r="C438" s="12">
        <f>IFERROR(__xludf.DUMMYFUNCTION("""COMPUTED_VALUE"""),44663.37734953703)</f>
        <v>44663.37735</v>
      </c>
      <c r="D438" s="13">
        <f t="shared" si="1"/>
        <v>12</v>
      </c>
      <c r="E438" s="13">
        <f t="shared" si="2"/>
        <v>9</v>
      </c>
    </row>
    <row r="439">
      <c r="A439" s="4" t="s">
        <v>517</v>
      </c>
      <c r="B439" s="4" t="s">
        <v>254</v>
      </c>
      <c r="C439" s="12">
        <f>IFERROR(__xludf.DUMMYFUNCTION("""COMPUTED_VALUE"""),44663.377337962964)</f>
        <v>44663.37734</v>
      </c>
      <c r="D439" s="13">
        <f t="shared" si="1"/>
        <v>12</v>
      </c>
      <c r="E439" s="13">
        <f t="shared" si="2"/>
        <v>9</v>
      </c>
    </row>
    <row r="440">
      <c r="A440" s="4" t="s">
        <v>518</v>
      </c>
      <c r="B440" s="4" t="s">
        <v>254</v>
      </c>
      <c r="C440" s="12">
        <f>IFERROR(__xludf.DUMMYFUNCTION("""COMPUTED_VALUE"""),44663.37732638889)</f>
        <v>44663.37733</v>
      </c>
      <c r="D440" s="13">
        <f t="shared" si="1"/>
        <v>12</v>
      </c>
      <c r="E440" s="13">
        <f t="shared" si="2"/>
        <v>9</v>
      </c>
    </row>
    <row r="441">
      <c r="A441" s="4" t="s">
        <v>519</v>
      </c>
      <c r="B441" s="4" t="s">
        <v>254</v>
      </c>
      <c r="C441" s="12">
        <f>IFERROR(__xludf.DUMMYFUNCTION("""COMPUTED_VALUE"""),44663.37731481481)</f>
        <v>44663.37731</v>
      </c>
      <c r="D441" s="13">
        <f t="shared" si="1"/>
        <v>12</v>
      </c>
      <c r="E441" s="13">
        <f t="shared" si="2"/>
        <v>9</v>
      </c>
    </row>
    <row r="442">
      <c r="A442" s="4" t="s">
        <v>520</v>
      </c>
      <c r="B442" s="4" t="s">
        <v>254</v>
      </c>
      <c r="C442" s="12">
        <f>IFERROR(__xludf.DUMMYFUNCTION("""COMPUTED_VALUE"""),44663.37725694444)</f>
        <v>44663.37726</v>
      </c>
      <c r="D442" s="13">
        <f t="shared" si="1"/>
        <v>12</v>
      </c>
      <c r="E442" s="13">
        <f t="shared" si="2"/>
        <v>9</v>
      </c>
    </row>
    <row r="443">
      <c r="A443" s="4" t="s">
        <v>521</v>
      </c>
      <c r="B443" s="4" t="s">
        <v>254</v>
      </c>
      <c r="C443" s="12">
        <f>IFERROR(__xludf.DUMMYFUNCTION("""COMPUTED_VALUE"""),44663.37724537037)</f>
        <v>44663.37725</v>
      </c>
      <c r="D443" s="13">
        <f t="shared" si="1"/>
        <v>12</v>
      </c>
      <c r="E443" s="13">
        <f t="shared" si="2"/>
        <v>9</v>
      </c>
    </row>
    <row r="444">
      <c r="A444" s="4" t="s">
        <v>522</v>
      </c>
      <c r="B444" s="4" t="s">
        <v>254</v>
      </c>
      <c r="C444" s="12">
        <f>IFERROR(__xludf.DUMMYFUNCTION("""COMPUTED_VALUE"""),44663.377233796295)</f>
        <v>44663.37723</v>
      </c>
      <c r="D444" s="13">
        <f t="shared" si="1"/>
        <v>12</v>
      </c>
      <c r="E444" s="13">
        <f t="shared" si="2"/>
        <v>9</v>
      </c>
    </row>
    <row r="445">
      <c r="A445" s="4" t="s">
        <v>523</v>
      </c>
      <c r="B445" s="4" t="s">
        <v>254</v>
      </c>
      <c r="C445" s="12">
        <f>IFERROR(__xludf.DUMMYFUNCTION("""COMPUTED_VALUE"""),44663.37722222222)</f>
        <v>44663.37722</v>
      </c>
      <c r="D445" s="13">
        <f t="shared" si="1"/>
        <v>12</v>
      </c>
      <c r="E445" s="13">
        <f t="shared" si="2"/>
        <v>9</v>
      </c>
    </row>
    <row r="446">
      <c r="A446" s="4" t="s">
        <v>524</v>
      </c>
      <c r="B446" s="4" t="s">
        <v>254</v>
      </c>
      <c r="C446" s="12">
        <f>IFERROR(__xludf.DUMMYFUNCTION("""COMPUTED_VALUE"""),44663.37721064815)</f>
        <v>44663.37721</v>
      </c>
      <c r="D446" s="13">
        <f t="shared" si="1"/>
        <v>12</v>
      </c>
      <c r="E446" s="13">
        <f t="shared" si="2"/>
        <v>9</v>
      </c>
    </row>
    <row r="447">
      <c r="A447" s="4" t="s">
        <v>525</v>
      </c>
      <c r="B447" s="4" t="s">
        <v>254</v>
      </c>
      <c r="C447" s="12">
        <f>IFERROR(__xludf.DUMMYFUNCTION("""COMPUTED_VALUE"""),44663.37719907407)</f>
        <v>44663.3772</v>
      </c>
      <c r="D447" s="13">
        <f t="shared" si="1"/>
        <v>12</v>
      </c>
      <c r="E447" s="13">
        <f t="shared" si="2"/>
        <v>9</v>
      </c>
    </row>
    <row r="448">
      <c r="A448" s="4" t="s">
        <v>526</v>
      </c>
      <c r="B448" s="4" t="s">
        <v>254</v>
      </c>
      <c r="C448" s="12">
        <f>IFERROR(__xludf.DUMMYFUNCTION("""COMPUTED_VALUE"""),44663.377187499995)</f>
        <v>44663.37719</v>
      </c>
      <c r="D448" s="13">
        <f t="shared" si="1"/>
        <v>12</v>
      </c>
      <c r="E448" s="13">
        <f t="shared" si="2"/>
        <v>9</v>
      </c>
    </row>
    <row r="449">
      <c r="A449" s="4" t="s">
        <v>527</v>
      </c>
      <c r="B449" s="4" t="s">
        <v>254</v>
      </c>
      <c r="C449" s="12">
        <f>IFERROR(__xludf.DUMMYFUNCTION("""COMPUTED_VALUE"""),44663.377175925925)</f>
        <v>44663.37718</v>
      </c>
      <c r="D449" s="13">
        <f t="shared" si="1"/>
        <v>12</v>
      </c>
      <c r="E449" s="13">
        <f t="shared" si="2"/>
        <v>9</v>
      </c>
    </row>
    <row r="450">
      <c r="A450" s="4" t="s">
        <v>527</v>
      </c>
      <c r="B450" s="4" t="s">
        <v>254</v>
      </c>
      <c r="C450" s="12">
        <f>IFERROR(__xludf.DUMMYFUNCTION("""COMPUTED_VALUE"""),44663.377175925925)</f>
        <v>44663.37718</v>
      </c>
      <c r="D450" s="13">
        <f t="shared" si="1"/>
        <v>12</v>
      </c>
      <c r="E450" s="13">
        <f t="shared" si="2"/>
        <v>9</v>
      </c>
    </row>
    <row r="451">
      <c r="A451" s="4" t="s">
        <v>528</v>
      </c>
      <c r="B451" s="4" t="s">
        <v>254</v>
      </c>
      <c r="C451" s="12">
        <f>IFERROR(__xludf.DUMMYFUNCTION("""COMPUTED_VALUE"""),44663.37716435185)</f>
        <v>44663.37716</v>
      </c>
      <c r="D451" s="13">
        <f t="shared" si="1"/>
        <v>12</v>
      </c>
      <c r="E451" s="13">
        <f t="shared" si="2"/>
        <v>9</v>
      </c>
    </row>
    <row r="452">
      <c r="A452" s="4" t="s">
        <v>529</v>
      </c>
      <c r="B452" s="4" t="s">
        <v>254</v>
      </c>
      <c r="C452" s="12">
        <f>IFERROR(__xludf.DUMMYFUNCTION("""COMPUTED_VALUE"""),44663.37715277778)</f>
        <v>44663.37715</v>
      </c>
      <c r="D452" s="13">
        <f t="shared" si="1"/>
        <v>12</v>
      </c>
      <c r="E452" s="13">
        <f t="shared" si="2"/>
        <v>9</v>
      </c>
    </row>
    <row r="453">
      <c r="A453" s="4" t="s">
        <v>530</v>
      </c>
      <c r="B453" s="4" t="s">
        <v>254</v>
      </c>
      <c r="C453" s="12">
        <f>IFERROR(__xludf.DUMMYFUNCTION("""COMPUTED_VALUE"""),44663.3771412037)</f>
        <v>44663.37714</v>
      </c>
      <c r="D453" s="13">
        <f t="shared" si="1"/>
        <v>12</v>
      </c>
      <c r="E453" s="13">
        <f t="shared" si="2"/>
        <v>9</v>
      </c>
    </row>
    <row r="454">
      <c r="A454" s="4" t="s">
        <v>531</v>
      </c>
      <c r="B454" s="4" t="s">
        <v>254</v>
      </c>
      <c r="C454" s="12">
        <f>IFERROR(__xludf.DUMMYFUNCTION("""COMPUTED_VALUE"""),44663.377129629625)</f>
        <v>44663.37713</v>
      </c>
      <c r="D454" s="13">
        <f t="shared" si="1"/>
        <v>12</v>
      </c>
      <c r="E454" s="13">
        <f t="shared" si="2"/>
        <v>9</v>
      </c>
    </row>
    <row r="455">
      <c r="A455" s="4" t="s">
        <v>531</v>
      </c>
      <c r="B455" s="4" t="s">
        <v>254</v>
      </c>
      <c r="C455" s="12">
        <f>IFERROR(__xludf.DUMMYFUNCTION("""COMPUTED_VALUE"""),44663.377129629625)</f>
        <v>44663.37713</v>
      </c>
      <c r="D455" s="13">
        <f t="shared" si="1"/>
        <v>12</v>
      </c>
      <c r="E455" s="13">
        <f t="shared" si="2"/>
        <v>9</v>
      </c>
    </row>
    <row r="456">
      <c r="A456" s="4" t="s">
        <v>532</v>
      </c>
      <c r="B456" s="4" t="s">
        <v>254</v>
      </c>
      <c r="C456" s="12">
        <f>IFERROR(__xludf.DUMMYFUNCTION("""COMPUTED_VALUE"""),44663.377118055556)</f>
        <v>44663.37712</v>
      </c>
      <c r="D456" s="13">
        <f t="shared" si="1"/>
        <v>12</v>
      </c>
      <c r="E456" s="13">
        <f t="shared" si="2"/>
        <v>9</v>
      </c>
    </row>
    <row r="457">
      <c r="A457" s="4" t="s">
        <v>533</v>
      </c>
      <c r="B457" s="4" t="s">
        <v>254</v>
      </c>
      <c r="C457" s="12">
        <f>IFERROR(__xludf.DUMMYFUNCTION("""COMPUTED_VALUE"""),44663.37710648148)</f>
        <v>44663.37711</v>
      </c>
      <c r="D457" s="13">
        <f t="shared" si="1"/>
        <v>12</v>
      </c>
      <c r="E457" s="13">
        <f t="shared" si="2"/>
        <v>9</v>
      </c>
    </row>
    <row r="458">
      <c r="A458" s="4" t="s">
        <v>534</v>
      </c>
      <c r="B458" s="4" t="s">
        <v>254</v>
      </c>
      <c r="C458" s="12">
        <f>IFERROR(__xludf.DUMMYFUNCTION("""COMPUTED_VALUE"""),44663.3770949074)</f>
        <v>44663.37709</v>
      </c>
      <c r="D458" s="13">
        <f t="shared" si="1"/>
        <v>12</v>
      </c>
      <c r="E458" s="13">
        <f t="shared" si="2"/>
        <v>9</v>
      </c>
    </row>
    <row r="459">
      <c r="A459" s="4" t="s">
        <v>535</v>
      </c>
      <c r="B459" s="4" t="s">
        <v>254</v>
      </c>
      <c r="C459" s="12">
        <f>IFERROR(__xludf.DUMMYFUNCTION("""COMPUTED_VALUE"""),44663.37708333333)</f>
        <v>44663.37708</v>
      </c>
      <c r="D459" s="13">
        <f t="shared" si="1"/>
        <v>12</v>
      </c>
      <c r="E459" s="13">
        <f t="shared" si="2"/>
        <v>9</v>
      </c>
    </row>
    <row r="460">
      <c r="A460" s="4" t="s">
        <v>536</v>
      </c>
      <c r="B460" s="4" t="s">
        <v>254</v>
      </c>
      <c r="C460" s="12">
        <f>IFERROR(__xludf.DUMMYFUNCTION("""COMPUTED_VALUE"""),44663.377071759256)</f>
        <v>44663.37707</v>
      </c>
      <c r="D460" s="13">
        <f t="shared" si="1"/>
        <v>12</v>
      </c>
      <c r="E460" s="13">
        <f t="shared" si="2"/>
        <v>9</v>
      </c>
    </row>
    <row r="461">
      <c r="A461" s="4" t="s">
        <v>536</v>
      </c>
      <c r="B461" s="4" t="s">
        <v>254</v>
      </c>
      <c r="C461" s="12">
        <f>IFERROR(__xludf.DUMMYFUNCTION("""COMPUTED_VALUE"""),44663.377071759256)</f>
        <v>44663.37707</v>
      </c>
      <c r="D461" s="13">
        <f t="shared" si="1"/>
        <v>12</v>
      </c>
      <c r="E461" s="13">
        <f t="shared" si="2"/>
        <v>9</v>
      </c>
    </row>
    <row r="462">
      <c r="A462" s="4" t="s">
        <v>537</v>
      </c>
      <c r="B462" s="4" t="s">
        <v>254</v>
      </c>
      <c r="C462" s="12">
        <f>IFERROR(__xludf.DUMMYFUNCTION("""COMPUTED_VALUE"""),44663.37706018518)</f>
        <v>44663.37706</v>
      </c>
      <c r="D462" s="13">
        <f t="shared" si="1"/>
        <v>12</v>
      </c>
      <c r="E462" s="13">
        <f t="shared" si="2"/>
        <v>9</v>
      </c>
    </row>
    <row r="463">
      <c r="A463" s="4" t="s">
        <v>538</v>
      </c>
      <c r="B463" s="4" t="s">
        <v>254</v>
      </c>
      <c r="C463" s="12">
        <f>IFERROR(__xludf.DUMMYFUNCTION("""COMPUTED_VALUE"""),44663.37704861111)</f>
        <v>44663.37705</v>
      </c>
      <c r="D463" s="13">
        <f t="shared" si="1"/>
        <v>12</v>
      </c>
      <c r="E463" s="13">
        <f t="shared" si="2"/>
        <v>9</v>
      </c>
    </row>
    <row r="464">
      <c r="A464" s="4" t="s">
        <v>539</v>
      </c>
      <c r="B464" s="4" t="s">
        <v>254</v>
      </c>
      <c r="C464" s="12">
        <f>IFERROR(__xludf.DUMMYFUNCTION("""COMPUTED_VALUE"""),44663.37703703703)</f>
        <v>44663.37704</v>
      </c>
      <c r="D464" s="13">
        <f t="shared" si="1"/>
        <v>12</v>
      </c>
      <c r="E464" s="13">
        <f t="shared" si="2"/>
        <v>9</v>
      </c>
    </row>
    <row r="465">
      <c r="A465" s="4" t="s">
        <v>540</v>
      </c>
      <c r="B465" s="4" t="s">
        <v>254</v>
      </c>
      <c r="C465" s="12">
        <f>IFERROR(__xludf.DUMMYFUNCTION("""COMPUTED_VALUE"""),44663.37702546296)</f>
        <v>44663.37703</v>
      </c>
      <c r="D465" s="13">
        <f t="shared" si="1"/>
        <v>12</v>
      </c>
      <c r="E465" s="13">
        <f t="shared" si="2"/>
        <v>9</v>
      </c>
    </row>
    <row r="466">
      <c r="A466" s="4" t="s">
        <v>541</v>
      </c>
      <c r="B466" s="4" t="s">
        <v>254</v>
      </c>
      <c r="C466" s="12">
        <f>IFERROR(__xludf.DUMMYFUNCTION("""COMPUTED_VALUE"""),44663.37701388889)</f>
        <v>44663.37701</v>
      </c>
      <c r="D466" s="13">
        <f t="shared" si="1"/>
        <v>12</v>
      </c>
      <c r="E466" s="13">
        <f t="shared" si="2"/>
        <v>9</v>
      </c>
    </row>
    <row r="467">
      <c r="A467" s="4" t="s">
        <v>541</v>
      </c>
      <c r="B467" s="4" t="s">
        <v>254</v>
      </c>
      <c r="C467" s="12">
        <f>IFERROR(__xludf.DUMMYFUNCTION("""COMPUTED_VALUE"""),44663.37701388889)</f>
        <v>44663.37701</v>
      </c>
      <c r="D467" s="13">
        <f t="shared" si="1"/>
        <v>12</v>
      </c>
      <c r="E467" s="13">
        <f t="shared" si="2"/>
        <v>9</v>
      </c>
    </row>
    <row r="468">
      <c r="A468" s="4" t="s">
        <v>541</v>
      </c>
      <c r="B468" s="4" t="s">
        <v>542</v>
      </c>
      <c r="C468" s="12">
        <f>IFERROR(__xludf.DUMMYFUNCTION("""COMPUTED_VALUE"""),44663.37701388889)</f>
        <v>44663.37701</v>
      </c>
      <c r="D468" s="13">
        <f t="shared" si="1"/>
        <v>12</v>
      </c>
      <c r="E468" s="13">
        <f t="shared" si="2"/>
        <v>9</v>
      </c>
    </row>
    <row r="469">
      <c r="A469" s="4" t="s">
        <v>543</v>
      </c>
      <c r="B469" s="4" t="s">
        <v>254</v>
      </c>
      <c r="C469" s="12">
        <f>IFERROR(__xludf.DUMMYFUNCTION("""COMPUTED_VALUE"""),44663.37700231481)</f>
        <v>44663.377</v>
      </c>
      <c r="D469" s="13">
        <f t="shared" si="1"/>
        <v>12</v>
      </c>
      <c r="E469" s="13">
        <f t="shared" si="2"/>
        <v>9</v>
      </c>
    </row>
    <row r="470">
      <c r="A470" s="4" t="s">
        <v>544</v>
      </c>
      <c r="B470" s="4" t="s">
        <v>254</v>
      </c>
      <c r="C470" s="12">
        <f>IFERROR(__xludf.DUMMYFUNCTION("""COMPUTED_VALUE"""),44663.37699074074)</f>
        <v>44663.37699</v>
      </c>
      <c r="D470" s="13">
        <f t="shared" si="1"/>
        <v>12</v>
      </c>
      <c r="E470" s="13">
        <f t="shared" si="2"/>
        <v>9</v>
      </c>
    </row>
    <row r="471">
      <c r="A471" s="4" t="s">
        <v>545</v>
      </c>
      <c r="B471" s="4" t="s">
        <v>254</v>
      </c>
      <c r="C471" s="12">
        <f>IFERROR(__xludf.DUMMYFUNCTION("""COMPUTED_VALUE"""),44663.376979166664)</f>
        <v>44663.37698</v>
      </c>
      <c r="D471" s="13">
        <f t="shared" si="1"/>
        <v>12</v>
      </c>
      <c r="E471" s="13">
        <f t="shared" si="2"/>
        <v>9</v>
      </c>
    </row>
    <row r="472">
      <c r="A472" s="4" t="s">
        <v>545</v>
      </c>
      <c r="B472" s="4" t="s">
        <v>542</v>
      </c>
      <c r="C472" s="12">
        <f>IFERROR(__xludf.DUMMYFUNCTION("""COMPUTED_VALUE"""),44663.376979166664)</f>
        <v>44663.37698</v>
      </c>
      <c r="D472" s="13">
        <f t="shared" si="1"/>
        <v>12</v>
      </c>
      <c r="E472" s="13">
        <f t="shared" si="2"/>
        <v>9</v>
      </c>
    </row>
    <row r="473">
      <c r="A473" s="4" t="s">
        <v>546</v>
      </c>
      <c r="B473" s="4" t="s">
        <v>254</v>
      </c>
      <c r="C473" s="12">
        <f>IFERROR(__xludf.DUMMYFUNCTION("""COMPUTED_VALUE"""),44663.37696759259)</f>
        <v>44663.37697</v>
      </c>
      <c r="D473" s="13">
        <f t="shared" si="1"/>
        <v>12</v>
      </c>
      <c r="E473" s="13">
        <f t="shared" si="2"/>
        <v>9</v>
      </c>
    </row>
    <row r="474">
      <c r="A474" s="4" t="s">
        <v>547</v>
      </c>
      <c r="B474" s="4" t="s">
        <v>254</v>
      </c>
      <c r="C474" s="12">
        <f>IFERROR(__xludf.DUMMYFUNCTION("""COMPUTED_VALUE"""),44663.37695601852)</f>
        <v>44663.37696</v>
      </c>
      <c r="D474" s="13">
        <f t="shared" si="1"/>
        <v>12</v>
      </c>
      <c r="E474" s="13">
        <f t="shared" si="2"/>
        <v>9</v>
      </c>
    </row>
    <row r="475">
      <c r="A475" s="4" t="s">
        <v>548</v>
      </c>
      <c r="B475" s="4" t="s">
        <v>254</v>
      </c>
      <c r="C475" s="12">
        <f>IFERROR(__xludf.DUMMYFUNCTION("""COMPUTED_VALUE"""),44663.37694444444)</f>
        <v>44663.37694</v>
      </c>
      <c r="D475" s="13">
        <f t="shared" si="1"/>
        <v>12</v>
      </c>
      <c r="E475" s="13">
        <f t="shared" si="2"/>
        <v>9</v>
      </c>
    </row>
    <row r="476">
      <c r="A476" s="4" t="s">
        <v>549</v>
      </c>
      <c r="B476" s="4" t="s">
        <v>254</v>
      </c>
      <c r="C476" s="12">
        <f>IFERROR(__xludf.DUMMYFUNCTION("""COMPUTED_VALUE"""),44663.37693287037)</f>
        <v>44663.37693</v>
      </c>
      <c r="D476" s="13">
        <f t="shared" si="1"/>
        <v>12</v>
      </c>
      <c r="E476" s="13">
        <f t="shared" si="2"/>
        <v>9</v>
      </c>
    </row>
    <row r="477">
      <c r="A477" s="4" t="s">
        <v>549</v>
      </c>
      <c r="B477" s="4" t="s">
        <v>254</v>
      </c>
      <c r="C477" s="12">
        <f>IFERROR(__xludf.DUMMYFUNCTION("""COMPUTED_VALUE"""),44663.37693287037)</f>
        <v>44663.37693</v>
      </c>
      <c r="D477" s="13">
        <f t="shared" si="1"/>
        <v>12</v>
      </c>
      <c r="E477" s="13">
        <f t="shared" si="2"/>
        <v>9</v>
      </c>
    </row>
    <row r="478">
      <c r="A478" s="4" t="s">
        <v>550</v>
      </c>
      <c r="B478" s="4" t="s">
        <v>254</v>
      </c>
      <c r="C478" s="12">
        <f>IFERROR(__xludf.DUMMYFUNCTION("""COMPUTED_VALUE"""),44663.376921296294)</f>
        <v>44663.37692</v>
      </c>
      <c r="D478" s="13">
        <f t="shared" si="1"/>
        <v>12</v>
      </c>
      <c r="E478" s="13">
        <f t="shared" si="2"/>
        <v>9</v>
      </c>
    </row>
    <row r="479">
      <c r="A479" s="4" t="s">
        <v>551</v>
      </c>
      <c r="B479" s="4" t="s">
        <v>254</v>
      </c>
      <c r="C479" s="12">
        <f>IFERROR(__xludf.DUMMYFUNCTION("""COMPUTED_VALUE"""),44663.37690972222)</f>
        <v>44663.37691</v>
      </c>
      <c r="D479" s="13">
        <f t="shared" si="1"/>
        <v>12</v>
      </c>
      <c r="E479" s="13">
        <f t="shared" si="2"/>
        <v>9</v>
      </c>
    </row>
    <row r="480">
      <c r="A480" s="4" t="s">
        <v>552</v>
      </c>
      <c r="B480" s="4" t="s">
        <v>254</v>
      </c>
      <c r="C480" s="12">
        <f>IFERROR(__xludf.DUMMYFUNCTION("""COMPUTED_VALUE"""),44663.37689814815)</f>
        <v>44663.3769</v>
      </c>
      <c r="D480" s="13">
        <f t="shared" si="1"/>
        <v>12</v>
      </c>
      <c r="E480" s="13">
        <f t="shared" si="2"/>
        <v>9</v>
      </c>
    </row>
    <row r="481">
      <c r="A481" s="4" t="s">
        <v>553</v>
      </c>
      <c r="B481" s="4" t="s">
        <v>254</v>
      </c>
      <c r="C481" s="12">
        <f>IFERROR(__xludf.DUMMYFUNCTION("""COMPUTED_VALUE"""),44663.37688657407)</f>
        <v>44663.37689</v>
      </c>
      <c r="D481" s="13">
        <f t="shared" si="1"/>
        <v>12</v>
      </c>
      <c r="E481" s="13">
        <f t="shared" si="2"/>
        <v>9</v>
      </c>
    </row>
    <row r="482">
      <c r="A482" s="4" t="s">
        <v>554</v>
      </c>
      <c r="B482" s="16"/>
      <c r="C482" s="12">
        <f>IFERROR(__xludf.DUMMYFUNCTION("""COMPUTED_VALUE"""),44663.376874999994)</f>
        <v>44663.37688</v>
      </c>
      <c r="D482" s="13">
        <f t="shared" si="1"/>
        <v>12</v>
      </c>
      <c r="E482" s="13">
        <f t="shared" si="2"/>
        <v>9</v>
      </c>
    </row>
    <row r="483">
      <c r="A483" s="4" t="s">
        <v>554</v>
      </c>
      <c r="B483" s="4" t="s">
        <v>254</v>
      </c>
      <c r="C483" s="12">
        <f>IFERROR(__xludf.DUMMYFUNCTION("""COMPUTED_VALUE"""),44663.376874999994)</f>
        <v>44663.37688</v>
      </c>
      <c r="D483" s="13">
        <f t="shared" si="1"/>
        <v>12</v>
      </c>
      <c r="E483" s="13">
        <f t="shared" si="2"/>
        <v>9</v>
      </c>
    </row>
    <row r="484">
      <c r="A484" s="4" t="s">
        <v>555</v>
      </c>
      <c r="B484" s="4" t="s">
        <v>254</v>
      </c>
      <c r="C484" s="12">
        <f>IFERROR(__xludf.DUMMYFUNCTION("""COMPUTED_VALUE"""),44663.376863425925)</f>
        <v>44663.37686</v>
      </c>
      <c r="D484" s="13">
        <f t="shared" si="1"/>
        <v>12</v>
      </c>
      <c r="E484" s="13">
        <f t="shared" si="2"/>
        <v>9</v>
      </c>
    </row>
    <row r="485">
      <c r="A485" s="4" t="s">
        <v>555</v>
      </c>
      <c r="B485" s="4" t="s">
        <v>254</v>
      </c>
      <c r="C485" s="12">
        <f>IFERROR(__xludf.DUMMYFUNCTION("""COMPUTED_VALUE"""),44663.376863425925)</f>
        <v>44663.37686</v>
      </c>
      <c r="D485" s="13">
        <f t="shared" si="1"/>
        <v>12</v>
      </c>
      <c r="E485" s="13">
        <f t="shared" si="2"/>
        <v>9</v>
      </c>
    </row>
    <row r="486">
      <c r="A486" s="4" t="s">
        <v>556</v>
      </c>
      <c r="B486" s="4" t="s">
        <v>254</v>
      </c>
      <c r="C486" s="12">
        <f>IFERROR(__xludf.DUMMYFUNCTION("""COMPUTED_VALUE"""),44663.37685185185)</f>
        <v>44663.37685</v>
      </c>
      <c r="D486" s="13">
        <f t="shared" si="1"/>
        <v>12</v>
      </c>
      <c r="E486" s="13">
        <f t="shared" si="2"/>
        <v>9</v>
      </c>
    </row>
    <row r="487">
      <c r="A487" s="4" t="s">
        <v>557</v>
      </c>
      <c r="B487" s="4" t="s">
        <v>254</v>
      </c>
      <c r="C487" s="12">
        <f>IFERROR(__xludf.DUMMYFUNCTION("""COMPUTED_VALUE"""),44663.37684027778)</f>
        <v>44663.37684</v>
      </c>
      <c r="D487" s="13">
        <f t="shared" si="1"/>
        <v>12</v>
      </c>
      <c r="E487" s="13">
        <f t="shared" si="2"/>
        <v>9</v>
      </c>
    </row>
    <row r="488">
      <c r="A488" s="4" t="s">
        <v>558</v>
      </c>
      <c r="B488" s="4" t="s">
        <v>254</v>
      </c>
      <c r="C488" s="12">
        <f>IFERROR(__xludf.DUMMYFUNCTION("""COMPUTED_VALUE"""),44663.3768287037)</f>
        <v>44663.37683</v>
      </c>
      <c r="D488" s="13">
        <f t="shared" si="1"/>
        <v>12</v>
      </c>
      <c r="E488" s="13">
        <f t="shared" si="2"/>
        <v>9</v>
      </c>
    </row>
    <row r="489">
      <c r="A489" s="4" t="s">
        <v>559</v>
      </c>
      <c r="B489" s="4" t="s">
        <v>254</v>
      </c>
      <c r="C489" s="12">
        <f>IFERROR(__xludf.DUMMYFUNCTION("""COMPUTED_VALUE"""),44663.376817129625)</f>
        <v>44663.37682</v>
      </c>
      <c r="D489" s="13">
        <f t="shared" si="1"/>
        <v>12</v>
      </c>
      <c r="E489" s="13">
        <f t="shared" si="2"/>
        <v>9</v>
      </c>
    </row>
    <row r="490">
      <c r="A490" s="4" t="s">
        <v>560</v>
      </c>
      <c r="B490" s="4" t="s">
        <v>254</v>
      </c>
      <c r="C490" s="12">
        <f>IFERROR(__xludf.DUMMYFUNCTION("""COMPUTED_VALUE"""),44663.376805555556)</f>
        <v>44663.37681</v>
      </c>
      <c r="D490" s="13">
        <f t="shared" si="1"/>
        <v>12</v>
      </c>
      <c r="E490" s="13">
        <f t="shared" si="2"/>
        <v>9</v>
      </c>
    </row>
    <row r="491">
      <c r="A491" s="4" t="s">
        <v>560</v>
      </c>
      <c r="B491" s="4" t="s">
        <v>254</v>
      </c>
      <c r="C491" s="12">
        <f>IFERROR(__xludf.DUMMYFUNCTION("""COMPUTED_VALUE"""),44663.376805555556)</f>
        <v>44663.37681</v>
      </c>
      <c r="D491" s="13">
        <f t="shared" si="1"/>
        <v>12</v>
      </c>
      <c r="E491" s="13">
        <f t="shared" si="2"/>
        <v>9</v>
      </c>
    </row>
    <row r="492">
      <c r="A492" s="4" t="s">
        <v>561</v>
      </c>
      <c r="B492" s="4" t="s">
        <v>254</v>
      </c>
      <c r="C492" s="12">
        <f>IFERROR(__xludf.DUMMYFUNCTION("""COMPUTED_VALUE"""),44663.37679398148)</f>
        <v>44663.37679</v>
      </c>
      <c r="D492" s="13">
        <f t="shared" si="1"/>
        <v>12</v>
      </c>
      <c r="E492" s="13">
        <f t="shared" si="2"/>
        <v>9</v>
      </c>
    </row>
    <row r="493">
      <c r="A493" s="4" t="s">
        <v>562</v>
      </c>
      <c r="B493" s="4" t="s">
        <v>254</v>
      </c>
      <c r="C493" s="12">
        <f>IFERROR(__xludf.DUMMYFUNCTION("""COMPUTED_VALUE"""),44663.3767824074)</f>
        <v>44663.37678</v>
      </c>
      <c r="D493" s="13">
        <f t="shared" si="1"/>
        <v>12</v>
      </c>
      <c r="E493" s="13">
        <f t="shared" si="2"/>
        <v>9</v>
      </c>
    </row>
    <row r="494">
      <c r="A494" s="4" t="s">
        <v>563</v>
      </c>
      <c r="B494" s="4" t="s">
        <v>254</v>
      </c>
      <c r="C494" s="12">
        <f>IFERROR(__xludf.DUMMYFUNCTION("""COMPUTED_VALUE"""),44663.37677083333)</f>
        <v>44663.37677</v>
      </c>
      <c r="D494" s="13">
        <f t="shared" si="1"/>
        <v>12</v>
      </c>
      <c r="E494" s="13">
        <f t="shared" si="2"/>
        <v>9</v>
      </c>
    </row>
    <row r="495">
      <c r="A495" s="4" t="s">
        <v>564</v>
      </c>
      <c r="B495" s="4" t="s">
        <v>254</v>
      </c>
      <c r="C495" s="12">
        <f>IFERROR(__xludf.DUMMYFUNCTION("""COMPUTED_VALUE"""),44663.376759259256)</f>
        <v>44663.37676</v>
      </c>
      <c r="D495" s="13">
        <f t="shared" si="1"/>
        <v>12</v>
      </c>
      <c r="E495" s="13">
        <f t="shared" si="2"/>
        <v>9</v>
      </c>
    </row>
    <row r="496">
      <c r="A496" s="4" t="s">
        <v>565</v>
      </c>
      <c r="B496" s="4" t="s">
        <v>254</v>
      </c>
      <c r="C496" s="12">
        <f>IFERROR(__xludf.DUMMYFUNCTION("""COMPUTED_VALUE"""),44663.376747685186)</f>
        <v>44663.37675</v>
      </c>
      <c r="D496" s="13">
        <f t="shared" si="1"/>
        <v>12</v>
      </c>
      <c r="E496" s="13">
        <f t="shared" si="2"/>
        <v>9</v>
      </c>
    </row>
    <row r="497">
      <c r="A497" s="4" t="s">
        <v>565</v>
      </c>
      <c r="B497" s="4" t="s">
        <v>254</v>
      </c>
      <c r="C497" s="12">
        <f>IFERROR(__xludf.DUMMYFUNCTION("""COMPUTED_VALUE"""),44663.376747685186)</f>
        <v>44663.37675</v>
      </c>
      <c r="D497" s="13">
        <f t="shared" si="1"/>
        <v>12</v>
      </c>
      <c r="E497" s="13">
        <f t="shared" si="2"/>
        <v>9</v>
      </c>
    </row>
    <row r="498">
      <c r="A498" s="4" t="s">
        <v>566</v>
      </c>
      <c r="B498" s="4" t="s">
        <v>254</v>
      </c>
      <c r="C498" s="12">
        <f>IFERROR(__xludf.DUMMYFUNCTION("""COMPUTED_VALUE"""),44663.37673611111)</f>
        <v>44663.37674</v>
      </c>
      <c r="D498" s="13">
        <f t="shared" si="1"/>
        <v>12</v>
      </c>
      <c r="E498" s="13">
        <f t="shared" si="2"/>
        <v>9</v>
      </c>
    </row>
    <row r="499">
      <c r="A499" s="4" t="s">
        <v>567</v>
      </c>
      <c r="B499" s="4" t="s">
        <v>254</v>
      </c>
      <c r="C499" s="12">
        <f>IFERROR(__xludf.DUMMYFUNCTION("""COMPUTED_VALUE"""),44663.37672453703)</f>
        <v>44663.37672</v>
      </c>
      <c r="D499" s="13">
        <f t="shared" si="1"/>
        <v>12</v>
      </c>
      <c r="E499" s="13">
        <f t="shared" si="2"/>
        <v>9</v>
      </c>
    </row>
    <row r="500">
      <c r="A500" s="4" t="s">
        <v>568</v>
      </c>
      <c r="B500" s="4" t="s">
        <v>254</v>
      </c>
      <c r="C500" s="12">
        <f>IFERROR(__xludf.DUMMYFUNCTION("""COMPUTED_VALUE"""),44663.37671296296)</f>
        <v>44663.37671</v>
      </c>
      <c r="D500" s="13">
        <f t="shared" si="1"/>
        <v>12</v>
      </c>
      <c r="E500" s="13">
        <f t="shared" si="2"/>
        <v>9</v>
      </c>
    </row>
    <row r="501">
      <c r="A501" s="4" t="s">
        <v>569</v>
      </c>
      <c r="B501" s="4" t="s">
        <v>254</v>
      </c>
      <c r="C501" s="12">
        <f>IFERROR(__xludf.DUMMYFUNCTION("""COMPUTED_VALUE"""),44663.37670138889)</f>
        <v>44663.3767</v>
      </c>
      <c r="D501" s="13">
        <f t="shared" si="1"/>
        <v>12</v>
      </c>
      <c r="E501" s="13">
        <f t="shared" si="2"/>
        <v>9</v>
      </c>
    </row>
    <row r="502">
      <c r="A502" s="4" t="s">
        <v>569</v>
      </c>
      <c r="B502" s="4" t="s">
        <v>254</v>
      </c>
      <c r="C502" s="12">
        <f>IFERROR(__xludf.DUMMYFUNCTION("""COMPUTED_VALUE"""),44663.37670138889)</f>
        <v>44663.3767</v>
      </c>
      <c r="D502" s="13">
        <f t="shared" si="1"/>
        <v>12</v>
      </c>
      <c r="E502" s="13">
        <f t="shared" si="2"/>
        <v>9</v>
      </c>
    </row>
    <row r="503">
      <c r="A503" s="4" t="s">
        <v>570</v>
      </c>
      <c r="B503" s="4" t="s">
        <v>254</v>
      </c>
      <c r="C503" s="12">
        <f>IFERROR(__xludf.DUMMYFUNCTION("""COMPUTED_VALUE"""),44663.37668981481)</f>
        <v>44663.37669</v>
      </c>
      <c r="D503" s="13">
        <f t="shared" si="1"/>
        <v>12</v>
      </c>
      <c r="E503" s="13">
        <f t="shared" si="2"/>
        <v>9</v>
      </c>
    </row>
    <row r="504">
      <c r="A504" s="4" t="s">
        <v>571</v>
      </c>
      <c r="B504" s="4" t="s">
        <v>254</v>
      </c>
      <c r="C504" s="12">
        <f>IFERROR(__xludf.DUMMYFUNCTION("""COMPUTED_VALUE"""),44663.37667824074)</f>
        <v>44663.37668</v>
      </c>
      <c r="D504" s="13">
        <f t="shared" si="1"/>
        <v>12</v>
      </c>
      <c r="E504" s="13">
        <f t="shared" si="2"/>
        <v>9</v>
      </c>
    </row>
    <row r="505">
      <c r="A505" s="4" t="s">
        <v>572</v>
      </c>
      <c r="B505" s="4" t="s">
        <v>254</v>
      </c>
      <c r="C505" s="12">
        <f>IFERROR(__xludf.DUMMYFUNCTION("""COMPUTED_VALUE"""),44663.37666666666)</f>
        <v>44663.37667</v>
      </c>
      <c r="D505" s="13">
        <f t="shared" si="1"/>
        <v>12</v>
      </c>
      <c r="E505" s="13">
        <f t="shared" si="2"/>
        <v>9</v>
      </c>
    </row>
    <row r="506">
      <c r="A506" s="4" t="s">
        <v>573</v>
      </c>
      <c r="B506" s="4" t="s">
        <v>254</v>
      </c>
      <c r="C506" s="12">
        <f>IFERROR(__xludf.DUMMYFUNCTION("""COMPUTED_VALUE"""),44663.37665509259)</f>
        <v>44663.37666</v>
      </c>
      <c r="D506" s="13">
        <f t="shared" si="1"/>
        <v>12</v>
      </c>
      <c r="E506" s="13">
        <f t="shared" si="2"/>
        <v>9</v>
      </c>
    </row>
    <row r="507">
      <c r="A507" s="4" t="s">
        <v>574</v>
      </c>
      <c r="B507" s="4" t="s">
        <v>254</v>
      </c>
      <c r="C507" s="12">
        <f>IFERROR(__xludf.DUMMYFUNCTION("""COMPUTED_VALUE"""),44663.37664351852)</f>
        <v>44663.37664</v>
      </c>
      <c r="D507" s="13">
        <f t="shared" si="1"/>
        <v>12</v>
      </c>
      <c r="E507" s="13">
        <f t="shared" si="2"/>
        <v>9</v>
      </c>
    </row>
    <row r="508">
      <c r="A508" s="4" t="s">
        <v>574</v>
      </c>
      <c r="B508" s="4" t="s">
        <v>254</v>
      </c>
      <c r="C508" s="12">
        <f>IFERROR(__xludf.DUMMYFUNCTION("""COMPUTED_VALUE"""),44663.37664351852)</f>
        <v>44663.37664</v>
      </c>
      <c r="D508" s="13">
        <f t="shared" si="1"/>
        <v>12</v>
      </c>
      <c r="E508" s="13">
        <f t="shared" si="2"/>
        <v>9</v>
      </c>
    </row>
    <row r="509">
      <c r="A509" s="4" t="s">
        <v>575</v>
      </c>
      <c r="B509" s="4" t="s">
        <v>254</v>
      </c>
      <c r="C509" s="12">
        <f>IFERROR(__xludf.DUMMYFUNCTION("""COMPUTED_VALUE"""),44663.37663194444)</f>
        <v>44663.37663</v>
      </c>
      <c r="D509" s="13">
        <f t="shared" si="1"/>
        <v>12</v>
      </c>
      <c r="E509" s="13">
        <f t="shared" si="2"/>
        <v>9</v>
      </c>
    </row>
    <row r="510">
      <c r="A510" s="4" t="s">
        <v>576</v>
      </c>
      <c r="B510" s="4" t="s">
        <v>254</v>
      </c>
      <c r="C510" s="12">
        <f>IFERROR(__xludf.DUMMYFUNCTION("""COMPUTED_VALUE"""),44663.37662037037)</f>
        <v>44663.37662</v>
      </c>
      <c r="D510" s="13">
        <f t="shared" si="1"/>
        <v>12</v>
      </c>
      <c r="E510" s="13">
        <f t="shared" si="2"/>
        <v>9</v>
      </c>
    </row>
    <row r="511">
      <c r="A511" s="4" t="s">
        <v>577</v>
      </c>
      <c r="B511" s="4" t="s">
        <v>254</v>
      </c>
      <c r="C511" s="12">
        <f>IFERROR(__xludf.DUMMYFUNCTION("""COMPUTED_VALUE"""),44663.376608796294)</f>
        <v>44663.37661</v>
      </c>
      <c r="D511" s="13">
        <f t="shared" si="1"/>
        <v>12</v>
      </c>
      <c r="E511" s="13">
        <f t="shared" si="2"/>
        <v>9</v>
      </c>
    </row>
    <row r="512">
      <c r="A512" s="4" t="s">
        <v>578</v>
      </c>
      <c r="B512" s="4" t="s">
        <v>254</v>
      </c>
      <c r="C512" s="12">
        <f>IFERROR(__xludf.DUMMYFUNCTION("""COMPUTED_VALUE"""),44663.37659722222)</f>
        <v>44663.3766</v>
      </c>
      <c r="D512" s="13">
        <f t="shared" si="1"/>
        <v>12</v>
      </c>
      <c r="E512" s="13">
        <f t="shared" si="2"/>
        <v>9</v>
      </c>
    </row>
    <row r="513">
      <c r="A513" s="4" t="s">
        <v>579</v>
      </c>
      <c r="B513" s="4" t="s">
        <v>254</v>
      </c>
      <c r="C513" s="12">
        <f>IFERROR(__xludf.DUMMYFUNCTION("""COMPUTED_VALUE"""),44663.37658564815)</f>
        <v>44663.37659</v>
      </c>
      <c r="D513" s="13">
        <f t="shared" si="1"/>
        <v>12</v>
      </c>
      <c r="E513" s="13">
        <f t="shared" si="2"/>
        <v>9</v>
      </c>
    </row>
    <row r="514">
      <c r="A514" s="4" t="s">
        <v>579</v>
      </c>
      <c r="B514" s="4" t="s">
        <v>254</v>
      </c>
      <c r="C514" s="12">
        <f>IFERROR(__xludf.DUMMYFUNCTION("""COMPUTED_VALUE"""),44663.37658564815)</f>
        <v>44663.37659</v>
      </c>
      <c r="D514" s="13">
        <f t="shared" si="1"/>
        <v>12</v>
      </c>
      <c r="E514" s="13">
        <f t="shared" si="2"/>
        <v>9</v>
      </c>
    </row>
    <row r="515">
      <c r="A515" s="4" t="s">
        <v>580</v>
      </c>
      <c r="B515" s="4" t="s">
        <v>254</v>
      </c>
      <c r="C515" s="12">
        <f>IFERROR(__xludf.DUMMYFUNCTION("""COMPUTED_VALUE"""),44663.37657407407)</f>
        <v>44663.37657</v>
      </c>
      <c r="D515" s="13">
        <f t="shared" si="1"/>
        <v>12</v>
      </c>
      <c r="E515" s="13">
        <f t="shared" si="2"/>
        <v>9</v>
      </c>
    </row>
    <row r="516">
      <c r="A516" s="4" t="s">
        <v>581</v>
      </c>
      <c r="B516" s="4" t="s">
        <v>254</v>
      </c>
      <c r="C516" s="12">
        <f>IFERROR(__xludf.DUMMYFUNCTION("""COMPUTED_VALUE"""),44663.3765162037)</f>
        <v>44663.37652</v>
      </c>
      <c r="D516" s="13">
        <f t="shared" si="1"/>
        <v>12</v>
      </c>
      <c r="E516" s="13">
        <f t="shared" si="2"/>
        <v>9</v>
      </c>
    </row>
    <row r="517">
      <c r="A517" s="4" t="s">
        <v>582</v>
      </c>
      <c r="B517" s="4" t="s">
        <v>254</v>
      </c>
      <c r="C517" s="12">
        <f>IFERROR(__xludf.DUMMYFUNCTION("""COMPUTED_VALUE"""),44663.376504629625)</f>
        <v>44663.3765</v>
      </c>
      <c r="D517" s="13">
        <f t="shared" si="1"/>
        <v>12</v>
      </c>
      <c r="E517" s="13">
        <f t="shared" si="2"/>
        <v>9</v>
      </c>
    </row>
    <row r="518">
      <c r="A518" s="4" t="s">
        <v>583</v>
      </c>
      <c r="B518" s="4" t="s">
        <v>254</v>
      </c>
      <c r="C518" s="12">
        <f>IFERROR(__xludf.DUMMYFUNCTION("""COMPUTED_VALUE"""),44663.376493055555)</f>
        <v>44663.37649</v>
      </c>
      <c r="D518" s="13">
        <f t="shared" si="1"/>
        <v>12</v>
      </c>
      <c r="E518" s="13">
        <f t="shared" si="2"/>
        <v>9</v>
      </c>
    </row>
    <row r="519">
      <c r="A519" s="4" t="s">
        <v>584</v>
      </c>
      <c r="B519" s="4" t="s">
        <v>254</v>
      </c>
      <c r="C519" s="12">
        <f>IFERROR(__xludf.DUMMYFUNCTION("""COMPUTED_VALUE"""),44663.37648148148)</f>
        <v>44663.37648</v>
      </c>
      <c r="D519" s="13">
        <f t="shared" si="1"/>
        <v>12</v>
      </c>
      <c r="E519" s="13">
        <f t="shared" si="2"/>
        <v>9</v>
      </c>
    </row>
    <row r="520">
      <c r="A520" s="4" t="s">
        <v>585</v>
      </c>
      <c r="B520" s="4" t="s">
        <v>254</v>
      </c>
      <c r="C520" s="12">
        <f>IFERROR(__xludf.DUMMYFUNCTION("""COMPUTED_VALUE"""),44663.3764699074)</f>
        <v>44663.37647</v>
      </c>
      <c r="D520" s="13">
        <f t="shared" si="1"/>
        <v>12</v>
      </c>
      <c r="E520" s="13">
        <f t="shared" si="2"/>
        <v>9</v>
      </c>
    </row>
    <row r="521">
      <c r="A521" s="4" t="s">
        <v>586</v>
      </c>
      <c r="B521" s="4" t="s">
        <v>254</v>
      </c>
      <c r="C521" s="12">
        <f>IFERROR(__xludf.DUMMYFUNCTION("""COMPUTED_VALUE"""),44663.37645833333)</f>
        <v>44663.37646</v>
      </c>
      <c r="D521" s="13">
        <f t="shared" si="1"/>
        <v>12</v>
      </c>
      <c r="E521" s="13">
        <f t="shared" si="2"/>
        <v>9</v>
      </c>
    </row>
    <row r="522">
      <c r="A522" s="4" t="s">
        <v>587</v>
      </c>
      <c r="B522" s="4" t="s">
        <v>254</v>
      </c>
      <c r="C522" s="12">
        <f>IFERROR(__xludf.DUMMYFUNCTION("""COMPUTED_VALUE"""),44663.376446759255)</f>
        <v>44663.37645</v>
      </c>
      <c r="D522" s="13">
        <f t="shared" si="1"/>
        <v>12</v>
      </c>
      <c r="E522" s="13">
        <f t="shared" si="2"/>
        <v>9</v>
      </c>
    </row>
    <row r="523">
      <c r="A523" s="4" t="s">
        <v>587</v>
      </c>
      <c r="B523" s="4" t="s">
        <v>254</v>
      </c>
      <c r="C523" s="12">
        <f>IFERROR(__xludf.DUMMYFUNCTION("""COMPUTED_VALUE"""),44663.376446759255)</f>
        <v>44663.37645</v>
      </c>
      <c r="D523" s="13">
        <f t="shared" si="1"/>
        <v>12</v>
      </c>
      <c r="E523" s="13">
        <f t="shared" si="2"/>
        <v>9</v>
      </c>
    </row>
    <row r="524">
      <c r="A524" s="4" t="s">
        <v>588</v>
      </c>
      <c r="B524" s="4" t="s">
        <v>254</v>
      </c>
      <c r="C524" s="12">
        <f>IFERROR(__xludf.DUMMYFUNCTION("""COMPUTED_VALUE"""),44663.376435185186)</f>
        <v>44663.37644</v>
      </c>
      <c r="D524" s="13">
        <f t="shared" si="1"/>
        <v>12</v>
      </c>
      <c r="E524" s="13">
        <f t="shared" si="2"/>
        <v>9</v>
      </c>
    </row>
    <row r="525">
      <c r="A525" s="4" t="s">
        <v>589</v>
      </c>
      <c r="B525" s="4" t="s">
        <v>254</v>
      </c>
      <c r="C525" s="12">
        <f>IFERROR(__xludf.DUMMYFUNCTION("""COMPUTED_VALUE"""),44663.37642361111)</f>
        <v>44663.37642</v>
      </c>
      <c r="D525" s="13">
        <f t="shared" si="1"/>
        <v>12</v>
      </c>
      <c r="E525" s="13">
        <f t="shared" si="2"/>
        <v>9</v>
      </c>
    </row>
    <row r="526">
      <c r="A526" s="4" t="s">
        <v>590</v>
      </c>
      <c r="B526" s="4" t="s">
        <v>254</v>
      </c>
      <c r="C526" s="12">
        <f>IFERROR(__xludf.DUMMYFUNCTION("""COMPUTED_VALUE"""),44663.37641203703)</f>
        <v>44663.37641</v>
      </c>
      <c r="D526" s="13">
        <f t="shared" si="1"/>
        <v>12</v>
      </c>
      <c r="E526" s="13">
        <f t="shared" si="2"/>
        <v>9</v>
      </c>
    </row>
    <row r="527">
      <c r="A527" s="4" t="s">
        <v>591</v>
      </c>
      <c r="B527" s="4" t="s">
        <v>254</v>
      </c>
      <c r="C527" s="12">
        <f>IFERROR(__xludf.DUMMYFUNCTION("""COMPUTED_VALUE"""),44663.37640046296)</f>
        <v>44663.3764</v>
      </c>
      <c r="D527" s="13">
        <f t="shared" si="1"/>
        <v>12</v>
      </c>
      <c r="E527" s="13">
        <f t="shared" si="2"/>
        <v>9</v>
      </c>
    </row>
    <row r="528">
      <c r="A528" s="4" t="s">
        <v>592</v>
      </c>
      <c r="B528" s="4" t="s">
        <v>254</v>
      </c>
      <c r="C528" s="12">
        <f>IFERROR(__xludf.DUMMYFUNCTION("""COMPUTED_VALUE"""),44663.376388888886)</f>
        <v>44663.37639</v>
      </c>
      <c r="D528" s="13">
        <f t="shared" si="1"/>
        <v>12</v>
      </c>
      <c r="E528" s="13">
        <f t="shared" si="2"/>
        <v>9</v>
      </c>
    </row>
    <row r="529">
      <c r="A529" s="4" t="s">
        <v>593</v>
      </c>
      <c r="B529" s="4" t="s">
        <v>254</v>
      </c>
      <c r="C529" s="12">
        <f>IFERROR(__xludf.DUMMYFUNCTION("""COMPUTED_VALUE"""),44663.37637731481)</f>
        <v>44663.37638</v>
      </c>
      <c r="D529" s="13">
        <f t="shared" si="1"/>
        <v>12</v>
      </c>
      <c r="E529" s="13">
        <f t="shared" si="2"/>
        <v>9</v>
      </c>
    </row>
    <row r="530">
      <c r="A530" s="4" t="s">
        <v>594</v>
      </c>
      <c r="B530" s="4" t="s">
        <v>254</v>
      </c>
      <c r="C530" s="12">
        <f>IFERROR(__xludf.DUMMYFUNCTION("""COMPUTED_VALUE"""),44663.37636574074)</f>
        <v>44663.37637</v>
      </c>
      <c r="D530" s="13">
        <f t="shared" si="1"/>
        <v>12</v>
      </c>
      <c r="E530" s="13">
        <f t="shared" si="2"/>
        <v>9</v>
      </c>
    </row>
    <row r="531">
      <c r="A531" s="4" t="s">
        <v>595</v>
      </c>
      <c r="B531" s="4" t="s">
        <v>254</v>
      </c>
      <c r="C531" s="12">
        <f>IFERROR(__xludf.DUMMYFUNCTION("""COMPUTED_VALUE"""),44663.37635416666)</f>
        <v>44663.37635</v>
      </c>
      <c r="D531" s="13">
        <f t="shared" si="1"/>
        <v>12</v>
      </c>
      <c r="E531" s="13">
        <f t="shared" si="2"/>
        <v>9</v>
      </c>
    </row>
    <row r="532">
      <c r="A532" s="4" t="s">
        <v>595</v>
      </c>
      <c r="B532" s="4" t="s">
        <v>254</v>
      </c>
      <c r="C532" s="12">
        <f>IFERROR(__xludf.DUMMYFUNCTION("""COMPUTED_VALUE"""),44663.37635416666)</f>
        <v>44663.37635</v>
      </c>
      <c r="D532" s="13">
        <f t="shared" si="1"/>
        <v>12</v>
      </c>
      <c r="E532" s="13">
        <f t="shared" si="2"/>
        <v>9</v>
      </c>
    </row>
    <row r="533">
      <c r="A533" s="4" t="s">
        <v>596</v>
      </c>
      <c r="B533" s="4" t="s">
        <v>254</v>
      </c>
      <c r="C533" s="12">
        <f>IFERROR(__xludf.DUMMYFUNCTION("""COMPUTED_VALUE"""),44663.37634259259)</f>
        <v>44663.37634</v>
      </c>
      <c r="D533" s="13">
        <f t="shared" si="1"/>
        <v>12</v>
      </c>
      <c r="E533" s="13">
        <f t="shared" si="2"/>
        <v>9</v>
      </c>
    </row>
    <row r="534">
      <c r="A534" s="4" t="s">
        <v>597</v>
      </c>
      <c r="B534" s="4" t="s">
        <v>254</v>
      </c>
      <c r="C534" s="12">
        <f>IFERROR(__xludf.DUMMYFUNCTION("""COMPUTED_VALUE"""),44663.37633101852)</f>
        <v>44663.37633</v>
      </c>
      <c r="D534" s="13">
        <f t="shared" si="1"/>
        <v>12</v>
      </c>
      <c r="E534" s="13">
        <f t="shared" si="2"/>
        <v>9</v>
      </c>
    </row>
    <row r="535">
      <c r="A535" s="4" t="s">
        <v>598</v>
      </c>
      <c r="B535" s="4" t="s">
        <v>254</v>
      </c>
      <c r="C535" s="12">
        <f>IFERROR(__xludf.DUMMYFUNCTION("""COMPUTED_VALUE"""),44663.37631944444)</f>
        <v>44663.37632</v>
      </c>
      <c r="D535" s="13">
        <f t="shared" si="1"/>
        <v>12</v>
      </c>
      <c r="E535" s="13">
        <f t="shared" si="2"/>
        <v>9</v>
      </c>
    </row>
    <row r="536">
      <c r="A536" s="4" t="s">
        <v>599</v>
      </c>
      <c r="B536" s="4" t="s">
        <v>254</v>
      </c>
      <c r="C536" s="12">
        <f>IFERROR(__xludf.DUMMYFUNCTION("""COMPUTED_VALUE"""),44663.37630787037)</f>
        <v>44663.37631</v>
      </c>
      <c r="D536" s="13">
        <f t="shared" si="1"/>
        <v>12</v>
      </c>
      <c r="E536" s="13">
        <f t="shared" si="2"/>
        <v>9</v>
      </c>
    </row>
    <row r="537">
      <c r="A537" s="4" t="s">
        <v>600</v>
      </c>
      <c r="B537" s="4" t="s">
        <v>254</v>
      </c>
      <c r="C537" s="12">
        <f>IFERROR(__xludf.DUMMYFUNCTION("""COMPUTED_VALUE"""),44663.376296296294)</f>
        <v>44663.3763</v>
      </c>
      <c r="D537" s="13">
        <f t="shared" si="1"/>
        <v>12</v>
      </c>
      <c r="E537" s="13">
        <f t="shared" si="2"/>
        <v>9</v>
      </c>
    </row>
    <row r="538">
      <c r="A538" s="4" t="s">
        <v>600</v>
      </c>
      <c r="B538" s="4" t="s">
        <v>254</v>
      </c>
      <c r="C538" s="12">
        <f>IFERROR(__xludf.DUMMYFUNCTION("""COMPUTED_VALUE"""),44663.376296296294)</f>
        <v>44663.3763</v>
      </c>
      <c r="D538" s="13">
        <f t="shared" si="1"/>
        <v>12</v>
      </c>
      <c r="E538" s="13">
        <f t="shared" si="2"/>
        <v>9</v>
      </c>
    </row>
    <row r="539">
      <c r="A539" s="4" t="s">
        <v>601</v>
      </c>
      <c r="B539" s="4" t="s">
        <v>254</v>
      </c>
      <c r="C539" s="12">
        <f>IFERROR(__xludf.DUMMYFUNCTION("""COMPUTED_VALUE"""),44663.37628472222)</f>
        <v>44663.37628</v>
      </c>
      <c r="D539" s="13">
        <f t="shared" si="1"/>
        <v>12</v>
      </c>
      <c r="E539" s="13">
        <f t="shared" si="2"/>
        <v>9</v>
      </c>
    </row>
    <row r="540">
      <c r="A540" s="4" t="s">
        <v>602</v>
      </c>
      <c r="B540" s="4" t="s">
        <v>254</v>
      </c>
      <c r="C540" s="12">
        <f>IFERROR(__xludf.DUMMYFUNCTION("""COMPUTED_VALUE"""),44663.37627314815)</f>
        <v>44663.37627</v>
      </c>
      <c r="D540" s="13">
        <f t="shared" si="1"/>
        <v>12</v>
      </c>
      <c r="E540" s="13">
        <f t="shared" si="2"/>
        <v>9</v>
      </c>
    </row>
    <row r="541">
      <c r="A541" s="4" t="s">
        <v>603</v>
      </c>
      <c r="B541" s="4" t="s">
        <v>254</v>
      </c>
      <c r="C541" s="12">
        <f>IFERROR(__xludf.DUMMYFUNCTION("""COMPUTED_VALUE"""),44663.37626157407)</f>
        <v>44663.37626</v>
      </c>
      <c r="D541" s="13">
        <f t="shared" si="1"/>
        <v>12</v>
      </c>
      <c r="E541" s="13">
        <f t="shared" si="2"/>
        <v>9</v>
      </c>
    </row>
    <row r="542">
      <c r="A542" s="4" t="s">
        <v>604</v>
      </c>
      <c r="B542" s="4" t="s">
        <v>254</v>
      </c>
      <c r="C542" s="12">
        <f>IFERROR(__xludf.DUMMYFUNCTION("""COMPUTED_VALUE"""),44663.37625)</f>
        <v>44663.37625</v>
      </c>
      <c r="D542" s="13">
        <f t="shared" si="1"/>
        <v>12</v>
      </c>
      <c r="E542" s="13">
        <f t="shared" si="2"/>
        <v>9</v>
      </c>
    </row>
    <row r="543">
      <c r="A543" s="4" t="s">
        <v>605</v>
      </c>
      <c r="B543" s="4" t="s">
        <v>254</v>
      </c>
      <c r="C543" s="12">
        <f>IFERROR(__xludf.DUMMYFUNCTION("""COMPUTED_VALUE"""),44663.376238425924)</f>
        <v>44663.37624</v>
      </c>
      <c r="D543" s="13">
        <f t="shared" si="1"/>
        <v>12</v>
      </c>
      <c r="E543" s="13">
        <f t="shared" si="2"/>
        <v>9</v>
      </c>
    </row>
    <row r="544">
      <c r="A544" s="4" t="s">
        <v>606</v>
      </c>
      <c r="B544" s="4" t="s">
        <v>254</v>
      </c>
      <c r="C544" s="12">
        <f>IFERROR(__xludf.DUMMYFUNCTION("""COMPUTED_VALUE"""),44663.37622685185)</f>
        <v>44663.37623</v>
      </c>
      <c r="D544" s="13">
        <f t="shared" si="1"/>
        <v>12</v>
      </c>
      <c r="E544" s="13">
        <f t="shared" si="2"/>
        <v>9</v>
      </c>
    </row>
    <row r="545">
      <c r="A545" s="4" t="s">
        <v>606</v>
      </c>
      <c r="B545" s="4" t="s">
        <v>254</v>
      </c>
      <c r="C545" s="12">
        <f>IFERROR(__xludf.DUMMYFUNCTION("""COMPUTED_VALUE"""),44663.37622685185)</f>
        <v>44663.37623</v>
      </c>
      <c r="D545" s="13">
        <f t="shared" si="1"/>
        <v>12</v>
      </c>
      <c r="E545" s="13">
        <f t="shared" si="2"/>
        <v>9</v>
      </c>
    </row>
    <row r="546">
      <c r="A546" s="4" t="s">
        <v>607</v>
      </c>
      <c r="B546" s="4" t="s">
        <v>254</v>
      </c>
      <c r="C546" s="12">
        <f>IFERROR(__xludf.DUMMYFUNCTION("""COMPUTED_VALUE"""),44663.37621527778)</f>
        <v>44663.37622</v>
      </c>
      <c r="D546" s="13">
        <f t="shared" si="1"/>
        <v>12</v>
      </c>
      <c r="E546" s="13">
        <f t="shared" si="2"/>
        <v>9</v>
      </c>
    </row>
    <row r="547">
      <c r="A547" s="4" t="s">
        <v>608</v>
      </c>
      <c r="B547" s="4" t="s">
        <v>254</v>
      </c>
      <c r="C547" s="12">
        <f>IFERROR(__xludf.DUMMYFUNCTION("""COMPUTED_VALUE"""),44663.3762037037)</f>
        <v>44663.3762</v>
      </c>
      <c r="D547" s="13">
        <f t="shared" si="1"/>
        <v>12</v>
      </c>
      <c r="E547" s="13">
        <f t="shared" si="2"/>
        <v>9</v>
      </c>
    </row>
    <row r="548">
      <c r="A548" s="4" t="s">
        <v>609</v>
      </c>
      <c r="B548" s="4" t="s">
        <v>254</v>
      </c>
      <c r="C548" s="12">
        <f>IFERROR(__xludf.DUMMYFUNCTION("""COMPUTED_VALUE"""),44663.376192129625)</f>
        <v>44663.37619</v>
      </c>
      <c r="D548" s="13">
        <f t="shared" si="1"/>
        <v>12</v>
      </c>
      <c r="E548" s="13">
        <f t="shared" si="2"/>
        <v>9</v>
      </c>
    </row>
    <row r="549">
      <c r="A549" s="4" t="s">
        <v>610</v>
      </c>
      <c r="B549" s="4" t="s">
        <v>254</v>
      </c>
      <c r="C549" s="12">
        <f>IFERROR(__xludf.DUMMYFUNCTION("""COMPUTED_VALUE"""),44663.376180555555)</f>
        <v>44663.37618</v>
      </c>
      <c r="D549" s="13">
        <f t="shared" si="1"/>
        <v>12</v>
      </c>
      <c r="E549" s="13">
        <f t="shared" si="2"/>
        <v>9</v>
      </c>
    </row>
    <row r="550">
      <c r="A550" s="4" t="s">
        <v>611</v>
      </c>
      <c r="B550" s="4" t="s">
        <v>254</v>
      </c>
      <c r="C550" s="12">
        <f>IFERROR(__xludf.DUMMYFUNCTION("""COMPUTED_VALUE"""),44663.37616898148)</f>
        <v>44663.37617</v>
      </c>
      <c r="D550" s="13">
        <f t="shared" si="1"/>
        <v>12</v>
      </c>
      <c r="E550" s="13">
        <f t="shared" si="2"/>
        <v>9</v>
      </c>
    </row>
    <row r="551">
      <c r="A551" s="4" t="s">
        <v>612</v>
      </c>
      <c r="B551" s="4" t="s">
        <v>254</v>
      </c>
      <c r="C551" s="12">
        <f>IFERROR(__xludf.DUMMYFUNCTION("""COMPUTED_VALUE"""),44663.37611111111)</f>
        <v>44663.37611</v>
      </c>
      <c r="D551" s="13">
        <f t="shared" si="1"/>
        <v>12</v>
      </c>
      <c r="E551" s="13">
        <f t="shared" si="2"/>
        <v>9</v>
      </c>
    </row>
    <row r="552">
      <c r="A552" s="4" t="s">
        <v>613</v>
      </c>
      <c r="B552" s="4" t="s">
        <v>254</v>
      </c>
      <c r="C552" s="12">
        <f>IFERROR(__xludf.DUMMYFUNCTION("""COMPUTED_VALUE"""),44663.37609953703)</f>
        <v>44663.3761</v>
      </c>
      <c r="D552" s="13">
        <f t="shared" si="1"/>
        <v>12</v>
      </c>
      <c r="E552" s="13">
        <f t="shared" si="2"/>
        <v>9</v>
      </c>
    </row>
    <row r="553">
      <c r="A553" s="4" t="s">
        <v>613</v>
      </c>
      <c r="B553" s="4" t="s">
        <v>254</v>
      </c>
      <c r="C553" s="12">
        <f>IFERROR(__xludf.DUMMYFUNCTION("""COMPUTED_VALUE"""),44663.37609953703)</f>
        <v>44663.3761</v>
      </c>
      <c r="D553" s="13">
        <f t="shared" si="1"/>
        <v>12</v>
      </c>
      <c r="E553" s="13">
        <f t="shared" si="2"/>
        <v>9</v>
      </c>
    </row>
    <row r="554">
      <c r="A554" s="4" t="s">
        <v>614</v>
      </c>
      <c r="B554" s="4" t="s">
        <v>254</v>
      </c>
      <c r="C554" s="12">
        <f>IFERROR(__xludf.DUMMYFUNCTION("""COMPUTED_VALUE"""),44663.37608796296)</f>
        <v>44663.37609</v>
      </c>
      <c r="D554" s="13">
        <f t="shared" si="1"/>
        <v>12</v>
      </c>
      <c r="E554" s="13">
        <f t="shared" si="2"/>
        <v>9</v>
      </c>
    </row>
    <row r="555">
      <c r="A555" s="4" t="s">
        <v>615</v>
      </c>
      <c r="B555" s="16"/>
      <c r="C555" s="12">
        <f>IFERROR(__xludf.DUMMYFUNCTION("""COMPUTED_VALUE"""),44663.376076388886)</f>
        <v>44663.37608</v>
      </c>
      <c r="D555" s="13">
        <f t="shared" si="1"/>
        <v>12</v>
      </c>
      <c r="E555" s="13">
        <f t="shared" si="2"/>
        <v>9</v>
      </c>
    </row>
    <row r="556">
      <c r="A556" s="4" t="s">
        <v>615</v>
      </c>
      <c r="B556" s="4" t="s">
        <v>254</v>
      </c>
      <c r="C556" s="12">
        <f>IFERROR(__xludf.DUMMYFUNCTION("""COMPUTED_VALUE"""),44663.376076388886)</f>
        <v>44663.37608</v>
      </c>
      <c r="D556" s="13">
        <f t="shared" si="1"/>
        <v>12</v>
      </c>
      <c r="E556" s="13">
        <f t="shared" si="2"/>
        <v>9</v>
      </c>
    </row>
    <row r="557">
      <c r="A557" s="4" t="s">
        <v>616</v>
      </c>
      <c r="B557" s="4" t="s">
        <v>254</v>
      </c>
      <c r="C557" s="12">
        <f>IFERROR(__xludf.DUMMYFUNCTION("""COMPUTED_VALUE"""),44663.37606481481)</f>
        <v>44663.37606</v>
      </c>
      <c r="D557" s="13">
        <f t="shared" si="1"/>
        <v>12</v>
      </c>
      <c r="E557" s="13">
        <f t="shared" si="2"/>
        <v>9</v>
      </c>
    </row>
    <row r="558">
      <c r="A558" s="4" t="s">
        <v>617</v>
      </c>
      <c r="B558" s="4" t="s">
        <v>254</v>
      </c>
      <c r="C558" s="12">
        <f>IFERROR(__xludf.DUMMYFUNCTION("""COMPUTED_VALUE"""),44663.37605324074)</f>
        <v>44663.37605</v>
      </c>
      <c r="D558" s="13">
        <f t="shared" si="1"/>
        <v>12</v>
      </c>
      <c r="E558" s="13">
        <f t="shared" si="2"/>
        <v>9</v>
      </c>
    </row>
    <row r="559">
      <c r="A559" s="4" t="s">
        <v>618</v>
      </c>
      <c r="B559" s="4" t="s">
        <v>254</v>
      </c>
      <c r="C559" s="12">
        <f>IFERROR(__xludf.DUMMYFUNCTION("""COMPUTED_VALUE"""),44663.37604166666)</f>
        <v>44663.37604</v>
      </c>
      <c r="D559" s="13">
        <f t="shared" si="1"/>
        <v>12</v>
      </c>
      <c r="E559" s="13">
        <f t="shared" si="2"/>
        <v>9</v>
      </c>
    </row>
    <row r="560">
      <c r="A560" s="4" t="s">
        <v>619</v>
      </c>
      <c r="B560" s="4" t="s">
        <v>254</v>
      </c>
      <c r="C560" s="12">
        <f>IFERROR(__xludf.DUMMYFUNCTION("""COMPUTED_VALUE"""),44663.37603009259)</f>
        <v>44663.37603</v>
      </c>
      <c r="D560" s="13">
        <f t="shared" si="1"/>
        <v>12</v>
      </c>
      <c r="E560" s="13">
        <f t="shared" si="2"/>
        <v>9</v>
      </c>
    </row>
    <row r="561">
      <c r="A561" s="4" t="s">
        <v>619</v>
      </c>
      <c r="B561" s="4" t="s">
        <v>254</v>
      </c>
      <c r="C561" s="12">
        <f>IFERROR(__xludf.DUMMYFUNCTION("""COMPUTED_VALUE"""),44663.37603009259)</f>
        <v>44663.37603</v>
      </c>
      <c r="D561" s="13">
        <f t="shared" si="1"/>
        <v>12</v>
      </c>
      <c r="E561" s="13">
        <f t="shared" si="2"/>
        <v>9</v>
      </c>
    </row>
    <row r="562">
      <c r="A562" s="4" t="s">
        <v>620</v>
      </c>
      <c r="B562" s="4" t="s">
        <v>254</v>
      </c>
      <c r="C562" s="12">
        <f>IFERROR(__xludf.DUMMYFUNCTION("""COMPUTED_VALUE"""),44663.37601851852)</f>
        <v>44663.37602</v>
      </c>
      <c r="D562" s="13">
        <f t="shared" si="1"/>
        <v>12</v>
      </c>
      <c r="E562" s="13">
        <f t="shared" si="2"/>
        <v>9</v>
      </c>
    </row>
    <row r="563">
      <c r="A563" s="4" t="s">
        <v>621</v>
      </c>
      <c r="B563" s="4" t="s">
        <v>254</v>
      </c>
      <c r="C563" s="12">
        <f>IFERROR(__xludf.DUMMYFUNCTION("""COMPUTED_VALUE"""),44663.37600694444)</f>
        <v>44663.37601</v>
      </c>
      <c r="D563" s="13">
        <f t="shared" si="1"/>
        <v>12</v>
      </c>
      <c r="E563" s="13">
        <f t="shared" si="2"/>
        <v>9</v>
      </c>
    </row>
    <row r="564">
      <c r="A564" s="4" t="s">
        <v>622</v>
      </c>
      <c r="B564" s="4" t="s">
        <v>254</v>
      </c>
      <c r="C564" s="12">
        <f>IFERROR(__xludf.DUMMYFUNCTION("""COMPUTED_VALUE"""),44663.37599537037)</f>
        <v>44663.376</v>
      </c>
      <c r="D564" s="13">
        <f t="shared" si="1"/>
        <v>12</v>
      </c>
      <c r="E564" s="13">
        <f t="shared" si="2"/>
        <v>9</v>
      </c>
    </row>
    <row r="565">
      <c r="A565" s="4" t="s">
        <v>623</v>
      </c>
      <c r="B565" s="4" t="s">
        <v>254</v>
      </c>
      <c r="C565" s="12">
        <f>IFERROR(__xludf.DUMMYFUNCTION("""COMPUTED_VALUE"""),44663.37598379629)</f>
        <v>44663.37598</v>
      </c>
      <c r="D565" s="13">
        <f t="shared" si="1"/>
        <v>12</v>
      </c>
      <c r="E565" s="13">
        <f t="shared" si="2"/>
        <v>9</v>
      </c>
    </row>
    <row r="566">
      <c r="A566" s="4" t="s">
        <v>624</v>
      </c>
      <c r="B566" s="4" t="s">
        <v>254</v>
      </c>
      <c r="C566" s="12">
        <f>IFERROR(__xludf.DUMMYFUNCTION("""COMPUTED_VALUE"""),44663.37597222222)</f>
        <v>44663.37597</v>
      </c>
      <c r="D566" s="13">
        <f t="shared" si="1"/>
        <v>12</v>
      </c>
      <c r="E566" s="13">
        <f t="shared" si="2"/>
        <v>9</v>
      </c>
    </row>
    <row r="567">
      <c r="A567" s="4" t="s">
        <v>625</v>
      </c>
      <c r="B567" s="4" t="s">
        <v>254</v>
      </c>
      <c r="C567" s="12">
        <f>IFERROR(__xludf.DUMMYFUNCTION("""COMPUTED_VALUE"""),44663.37596064815)</f>
        <v>44663.37596</v>
      </c>
      <c r="D567" s="13">
        <f t="shared" si="1"/>
        <v>12</v>
      </c>
      <c r="E567" s="13">
        <f t="shared" si="2"/>
        <v>9</v>
      </c>
    </row>
    <row r="568">
      <c r="A568" s="4" t="s">
        <v>625</v>
      </c>
      <c r="B568" s="4" t="s">
        <v>254</v>
      </c>
      <c r="C568" s="12">
        <f>IFERROR(__xludf.DUMMYFUNCTION("""COMPUTED_VALUE"""),44663.37596064815)</f>
        <v>44663.37596</v>
      </c>
      <c r="D568" s="13">
        <f t="shared" si="1"/>
        <v>12</v>
      </c>
      <c r="E568" s="13">
        <f t="shared" si="2"/>
        <v>9</v>
      </c>
    </row>
    <row r="569">
      <c r="A569" s="4" t="s">
        <v>626</v>
      </c>
      <c r="B569" s="4" t="s">
        <v>254</v>
      </c>
      <c r="C569" s="12">
        <f>IFERROR(__xludf.DUMMYFUNCTION("""COMPUTED_VALUE"""),44663.37594907407)</f>
        <v>44663.37595</v>
      </c>
      <c r="D569" s="13">
        <f t="shared" si="1"/>
        <v>12</v>
      </c>
      <c r="E569" s="13">
        <f t="shared" si="2"/>
        <v>9</v>
      </c>
    </row>
    <row r="570">
      <c r="A570" s="4" t="s">
        <v>627</v>
      </c>
      <c r="B570" s="4" t="s">
        <v>254</v>
      </c>
      <c r="C570" s="12">
        <f>IFERROR(__xludf.DUMMYFUNCTION("""COMPUTED_VALUE"""),44663.3759375)</f>
        <v>44663.37594</v>
      </c>
      <c r="D570" s="13">
        <f t="shared" si="1"/>
        <v>12</v>
      </c>
      <c r="E570" s="13">
        <f t="shared" si="2"/>
        <v>9</v>
      </c>
    </row>
    <row r="571">
      <c r="A571" s="4" t="s">
        <v>628</v>
      </c>
      <c r="B571" s="4" t="s">
        <v>254</v>
      </c>
      <c r="C571" s="12">
        <f>IFERROR(__xludf.DUMMYFUNCTION("""COMPUTED_VALUE"""),44663.375925925924)</f>
        <v>44663.37593</v>
      </c>
      <c r="D571" s="13">
        <f t="shared" si="1"/>
        <v>12</v>
      </c>
      <c r="E571" s="13">
        <f t="shared" si="2"/>
        <v>9</v>
      </c>
    </row>
    <row r="572">
      <c r="A572" s="4" t="s">
        <v>629</v>
      </c>
      <c r="B572" s="4" t="s">
        <v>254</v>
      </c>
      <c r="C572" s="12">
        <f>IFERROR(__xludf.DUMMYFUNCTION("""COMPUTED_VALUE"""),44663.37591435185)</f>
        <v>44663.37591</v>
      </c>
      <c r="D572" s="13">
        <f t="shared" si="1"/>
        <v>12</v>
      </c>
      <c r="E572" s="13">
        <f t="shared" si="2"/>
        <v>9</v>
      </c>
    </row>
    <row r="573">
      <c r="A573" s="4" t="s">
        <v>630</v>
      </c>
      <c r="B573" s="4" t="s">
        <v>254</v>
      </c>
      <c r="C573" s="12">
        <f>IFERROR(__xludf.DUMMYFUNCTION("""COMPUTED_VALUE"""),44663.37590277778)</f>
        <v>44663.3759</v>
      </c>
      <c r="D573" s="13">
        <f t="shared" si="1"/>
        <v>12</v>
      </c>
      <c r="E573" s="13">
        <f t="shared" si="2"/>
        <v>9</v>
      </c>
    </row>
    <row r="574">
      <c r="A574" s="4" t="s">
        <v>631</v>
      </c>
      <c r="B574" s="4" t="s">
        <v>254</v>
      </c>
      <c r="C574" s="12">
        <f>IFERROR(__xludf.DUMMYFUNCTION("""COMPUTED_VALUE"""),44663.3758912037)</f>
        <v>44663.37589</v>
      </c>
      <c r="D574" s="13">
        <f t="shared" si="1"/>
        <v>12</v>
      </c>
      <c r="E574" s="13">
        <f t="shared" si="2"/>
        <v>9</v>
      </c>
    </row>
    <row r="575">
      <c r="A575" s="4" t="s">
        <v>631</v>
      </c>
      <c r="B575" s="4" t="s">
        <v>254</v>
      </c>
      <c r="C575" s="12">
        <f>IFERROR(__xludf.DUMMYFUNCTION("""COMPUTED_VALUE"""),44663.3758912037)</f>
        <v>44663.37589</v>
      </c>
      <c r="D575" s="13">
        <f t="shared" si="1"/>
        <v>12</v>
      </c>
      <c r="E575" s="13">
        <f t="shared" si="2"/>
        <v>9</v>
      </c>
    </row>
    <row r="576">
      <c r="A576" s="4" t="s">
        <v>632</v>
      </c>
      <c r="B576" s="4" t="s">
        <v>254</v>
      </c>
      <c r="C576" s="12">
        <f>IFERROR(__xludf.DUMMYFUNCTION("""COMPUTED_VALUE"""),44663.375879629624)</f>
        <v>44663.37588</v>
      </c>
      <c r="D576" s="13">
        <f t="shared" si="1"/>
        <v>12</v>
      </c>
      <c r="E576" s="13">
        <f t="shared" si="2"/>
        <v>9</v>
      </c>
    </row>
    <row r="577">
      <c r="A577" s="4" t="s">
        <v>633</v>
      </c>
      <c r="B577" s="4" t="s">
        <v>254</v>
      </c>
      <c r="C577" s="12">
        <f>IFERROR(__xludf.DUMMYFUNCTION("""COMPUTED_VALUE"""),44663.375868055555)</f>
        <v>44663.37587</v>
      </c>
      <c r="D577" s="13">
        <f t="shared" si="1"/>
        <v>12</v>
      </c>
      <c r="E577" s="13">
        <f t="shared" si="2"/>
        <v>9</v>
      </c>
    </row>
    <row r="578">
      <c r="A578" s="4" t="s">
        <v>634</v>
      </c>
      <c r="B578" s="4" t="s">
        <v>254</v>
      </c>
      <c r="C578" s="12">
        <f>IFERROR(__xludf.DUMMYFUNCTION("""COMPUTED_VALUE"""),44663.37571759259)</f>
        <v>44663.37572</v>
      </c>
      <c r="D578" s="13">
        <f t="shared" si="1"/>
        <v>12</v>
      </c>
      <c r="E578" s="13">
        <f t="shared" si="2"/>
        <v>9</v>
      </c>
    </row>
    <row r="579">
      <c r="A579" s="4" t="s">
        <v>635</v>
      </c>
      <c r="B579" s="16"/>
      <c r="C579" s="12">
        <f>IFERROR(__xludf.DUMMYFUNCTION("""COMPUTED_VALUE"""),44663.37479166666)</f>
        <v>44663.37479</v>
      </c>
      <c r="D579" s="13">
        <f t="shared" si="1"/>
        <v>12</v>
      </c>
      <c r="E579" s="13">
        <f t="shared" si="2"/>
        <v>8</v>
      </c>
    </row>
    <row r="580">
      <c r="A580" s="4" t="s">
        <v>636</v>
      </c>
      <c r="B580" s="16"/>
      <c r="C580" s="12">
        <f>IFERROR(__xludf.DUMMYFUNCTION("""COMPUTED_VALUE"""),44663.374085648145)</f>
        <v>44663.37409</v>
      </c>
      <c r="D580" s="13">
        <f t="shared" si="1"/>
        <v>12</v>
      </c>
      <c r="E580" s="13">
        <f t="shared" si="2"/>
        <v>8</v>
      </c>
    </row>
    <row r="581">
      <c r="A581" s="4" t="s">
        <v>637</v>
      </c>
      <c r="B581" s="16"/>
      <c r="C581" s="12">
        <f>IFERROR(__xludf.DUMMYFUNCTION("""COMPUTED_VALUE"""),44663.372673611106)</f>
        <v>44663.37267</v>
      </c>
      <c r="D581" s="13">
        <f t="shared" si="1"/>
        <v>12</v>
      </c>
      <c r="E581" s="13">
        <f t="shared" si="2"/>
        <v>8</v>
      </c>
    </row>
    <row r="582">
      <c r="A582" s="4" t="s">
        <v>638</v>
      </c>
      <c r="B582" s="16"/>
      <c r="C582" s="12">
        <f>IFERROR(__xludf.DUMMYFUNCTION("""COMPUTED_VALUE"""),44663.372662037036)</f>
        <v>44663.37266</v>
      </c>
      <c r="D582" s="13">
        <f t="shared" si="1"/>
        <v>12</v>
      </c>
      <c r="E582" s="13">
        <f t="shared" si="2"/>
        <v>8</v>
      </c>
    </row>
    <row r="583">
      <c r="A583" s="4" t="s">
        <v>639</v>
      </c>
      <c r="B583" s="16"/>
      <c r="C583" s="12">
        <f>IFERROR(__xludf.DUMMYFUNCTION("""COMPUTED_VALUE"""),44663.37208333333)</f>
        <v>44663.37208</v>
      </c>
      <c r="D583" s="13">
        <f t="shared" si="1"/>
        <v>12</v>
      </c>
      <c r="E583" s="13">
        <f t="shared" si="2"/>
        <v>8</v>
      </c>
    </row>
    <row r="584">
      <c r="A584" s="4" t="s">
        <v>640</v>
      </c>
      <c r="B584" s="4" t="s">
        <v>264</v>
      </c>
      <c r="C584" s="12">
        <f>IFERROR(__xludf.DUMMYFUNCTION("""COMPUTED_VALUE"""),44663.37201388889)</f>
        <v>44663.37201</v>
      </c>
      <c r="D584" s="13">
        <f t="shared" si="1"/>
        <v>12</v>
      </c>
      <c r="E584" s="13">
        <f t="shared" si="2"/>
        <v>8</v>
      </c>
    </row>
    <row r="585">
      <c r="A585" s="4" t="s">
        <v>641</v>
      </c>
      <c r="B585" s="16"/>
      <c r="C585" s="12">
        <f>IFERROR(__xludf.DUMMYFUNCTION("""COMPUTED_VALUE"""),44663.37195601851)</f>
        <v>44663.37196</v>
      </c>
      <c r="D585" s="13">
        <f t="shared" si="1"/>
        <v>12</v>
      </c>
      <c r="E585" s="13">
        <f t="shared" si="2"/>
        <v>8</v>
      </c>
    </row>
    <row r="586">
      <c r="A586" s="4" t="s">
        <v>642</v>
      </c>
      <c r="B586" s="16"/>
      <c r="C586" s="12">
        <f>IFERROR(__xludf.DUMMYFUNCTION("""COMPUTED_VALUE"""),44663.37158564814)</f>
        <v>44663.37159</v>
      </c>
      <c r="D586" s="13">
        <f t="shared" si="1"/>
        <v>12</v>
      </c>
      <c r="E586" s="13">
        <f t="shared" si="2"/>
        <v>8</v>
      </c>
    </row>
    <row r="587">
      <c r="A587" s="4" t="s">
        <v>643</v>
      </c>
      <c r="B587" s="16"/>
      <c r="C587" s="12">
        <f>IFERROR(__xludf.DUMMYFUNCTION("""COMPUTED_VALUE"""),44663.3715625)</f>
        <v>44663.37156</v>
      </c>
      <c r="D587" s="13">
        <f t="shared" si="1"/>
        <v>12</v>
      </c>
      <c r="E587" s="13">
        <f t="shared" si="2"/>
        <v>8</v>
      </c>
    </row>
    <row r="588">
      <c r="A588" s="4" t="s">
        <v>644</v>
      </c>
      <c r="B588" s="4" t="s">
        <v>106</v>
      </c>
      <c r="C588" s="12">
        <f>IFERROR(__xludf.DUMMYFUNCTION("""COMPUTED_VALUE"""),44663.37027777777)</f>
        <v>44663.37028</v>
      </c>
      <c r="D588" s="13">
        <f t="shared" si="1"/>
        <v>12</v>
      </c>
      <c r="E588" s="13">
        <f t="shared" si="2"/>
        <v>8</v>
      </c>
    </row>
    <row r="589">
      <c r="A589" s="4" t="s">
        <v>645</v>
      </c>
      <c r="B589" s="4" t="s">
        <v>106</v>
      </c>
      <c r="C589" s="12">
        <f>IFERROR(__xludf.DUMMYFUNCTION("""COMPUTED_VALUE"""),44663.3702662037)</f>
        <v>44663.37027</v>
      </c>
      <c r="D589" s="13">
        <f t="shared" si="1"/>
        <v>12</v>
      </c>
      <c r="E589" s="13">
        <f t="shared" si="2"/>
        <v>8</v>
      </c>
    </row>
    <row r="590">
      <c r="A590" s="4" t="s">
        <v>646</v>
      </c>
      <c r="B590" s="4" t="s">
        <v>106</v>
      </c>
      <c r="C590" s="12">
        <f>IFERROR(__xludf.DUMMYFUNCTION("""COMPUTED_VALUE"""),44663.370254629626)</f>
        <v>44663.37025</v>
      </c>
      <c r="D590" s="13">
        <f t="shared" si="1"/>
        <v>12</v>
      </c>
      <c r="E590" s="13">
        <f t="shared" si="2"/>
        <v>8</v>
      </c>
    </row>
    <row r="591">
      <c r="A591" s="4" t="s">
        <v>647</v>
      </c>
      <c r="B591" s="4" t="s">
        <v>106</v>
      </c>
      <c r="C591" s="12">
        <f>IFERROR(__xludf.DUMMYFUNCTION("""COMPUTED_VALUE"""),44663.37023148148)</f>
        <v>44663.37023</v>
      </c>
      <c r="D591" s="13">
        <f t="shared" si="1"/>
        <v>12</v>
      </c>
      <c r="E591" s="13">
        <f t="shared" si="2"/>
        <v>8</v>
      </c>
    </row>
    <row r="592">
      <c r="A592" s="4" t="s">
        <v>648</v>
      </c>
      <c r="B592" s="4" t="s">
        <v>106</v>
      </c>
      <c r="C592" s="12">
        <f>IFERROR(__xludf.DUMMYFUNCTION("""COMPUTED_VALUE"""),44663.3702199074)</f>
        <v>44663.37022</v>
      </c>
      <c r="D592" s="13">
        <f t="shared" si="1"/>
        <v>12</v>
      </c>
      <c r="E592" s="13">
        <f t="shared" si="2"/>
        <v>8</v>
      </c>
    </row>
    <row r="593">
      <c r="A593" s="4" t="s">
        <v>649</v>
      </c>
      <c r="B593" s="4" t="s">
        <v>106</v>
      </c>
      <c r="C593" s="12">
        <f>IFERROR(__xludf.DUMMYFUNCTION("""COMPUTED_VALUE"""),44663.370208333334)</f>
        <v>44663.37021</v>
      </c>
      <c r="D593" s="13">
        <f t="shared" si="1"/>
        <v>12</v>
      </c>
      <c r="E593" s="13">
        <f t="shared" si="2"/>
        <v>8</v>
      </c>
    </row>
    <row r="594">
      <c r="A594" s="4" t="s">
        <v>650</v>
      </c>
      <c r="B594" s="4" t="s">
        <v>106</v>
      </c>
      <c r="C594" s="12">
        <f>IFERROR(__xludf.DUMMYFUNCTION("""COMPUTED_VALUE"""),44663.37019675926)</f>
        <v>44663.3702</v>
      </c>
      <c r="D594" s="13">
        <f t="shared" si="1"/>
        <v>12</v>
      </c>
      <c r="E594" s="13">
        <f t="shared" si="2"/>
        <v>8</v>
      </c>
    </row>
    <row r="595">
      <c r="A595" s="4" t="s">
        <v>651</v>
      </c>
      <c r="B595" s="4" t="s">
        <v>106</v>
      </c>
      <c r="C595" s="12">
        <f>IFERROR(__xludf.DUMMYFUNCTION("""COMPUTED_VALUE"""),44663.37017361111)</f>
        <v>44663.37017</v>
      </c>
      <c r="D595" s="13">
        <f t="shared" si="1"/>
        <v>12</v>
      </c>
      <c r="E595" s="13">
        <f t="shared" si="2"/>
        <v>8</v>
      </c>
    </row>
    <row r="596">
      <c r="A596" s="4" t="s">
        <v>652</v>
      </c>
      <c r="B596" s="4" t="s">
        <v>106</v>
      </c>
      <c r="C596" s="12">
        <f>IFERROR(__xludf.DUMMYFUNCTION("""COMPUTED_VALUE"""),44663.37015046296)</f>
        <v>44663.37015</v>
      </c>
      <c r="D596" s="13">
        <f t="shared" si="1"/>
        <v>12</v>
      </c>
      <c r="E596" s="13">
        <f t="shared" si="2"/>
        <v>8</v>
      </c>
    </row>
    <row r="597">
      <c r="A597" s="4" t="s">
        <v>653</v>
      </c>
      <c r="B597" s="4" t="s">
        <v>106</v>
      </c>
      <c r="C597" s="12">
        <f>IFERROR(__xludf.DUMMYFUNCTION("""COMPUTED_VALUE"""),44663.37013888889)</f>
        <v>44663.37014</v>
      </c>
      <c r="D597" s="13">
        <f t="shared" si="1"/>
        <v>12</v>
      </c>
      <c r="E597" s="13">
        <f t="shared" si="2"/>
        <v>8</v>
      </c>
    </row>
    <row r="598">
      <c r="A598" s="4" t="s">
        <v>654</v>
      </c>
      <c r="B598" s="16"/>
      <c r="C598" s="12">
        <f>IFERROR(__xludf.DUMMYFUNCTION("""COMPUTED_VALUE"""),44663.3695949074)</f>
        <v>44663.36959</v>
      </c>
      <c r="D598" s="13">
        <f t="shared" si="1"/>
        <v>12</v>
      </c>
      <c r="E598" s="13">
        <f t="shared" si="2"/>
        <v>8</v>
      </c>
    </row>
    <row r="599">
      <c r="A599" s="4" t="s">
        <v>655</v>
      </c>
      <c r="B599" s="4" t="s">
        <v>656</v>
      </c>
      <c r="C599" s="12">
        <f>IFERROR(__xludf.DUMMYFUNCTION("""COMPUTED_VALUE"""),44663.36895833333)</f>
        <v>44663.36896</v>
      </c>
      <c r="D599" s="13">
        <f t="shared" si="1"/>
        <v>12</v>
      </c>
      <c r="E599" s="13">
        <f t="shared" si="2"/>
        <v>8</v>
      </c>
    </row>
    <row r="600">
      <c r="A600" s="4" t="s">
        <v>657</v>
      </c>
      <c r="B600" s="16"/>
      <c r="C600" s="12">
        <f>IFERROR(__xludf.DUMMYFUNCTION("""COMPUTED_VALUE"""),44663.36878472222)</f>
        <v>44663.36878</v>
      </c>
      <c r="D600" s="13">
        <f t="shared" si="1"/>
        <v>12</v>
      </c>
      <c r="E600" s="13">
        <f t="shared" si="2"/>
        <v>8</v>
      </c>
    </row>
    <row r="601">
      <c r="A601" s="4" t="s">
        <v>658</v>
      </c>
      <c r="B601" s="4" t="s">
        <v>659</v>
      </c>
      <c r="C601" s="12">
        <f>IFERROR(__xludf.DUMMYFUNCTION("""COMPUTED_VALUE"""),44663.36715277778)</f>
        <v>44663.36715</v>
      </c>
      <c r="D601" s="13">
        <f t="shared" si="1"/>
        <v>12</v>
      </c>
      <c r="E601" s="13">
        <f t="shared" si="2"/>
        <v>8</v>
      </c>
    </row>
    <row r="602">
      <c r="A602" s="4" t="s">
        <v>660</v>
      </c>
      <c r="B602" s="16"/>
      <c r="C602" s="12">
        <f>IFERROR(__xludf.DUMMYFUNCTION("""COMPUTED_VALUE"""),44663.3665162037)</f>
        <v>44663.36652</v>
      </c>
      <c r="D602" s="13">
        <f t="shared" si="1"/>
        <v>12</v>
      </c>
      <c r="E602" s="13">
        <f t="shared" si="2"/>
        <v>8</v>
      </c>
    </row>
    <row r="603">
      <c r="A603" s="4" t="s">
        <v>661</v>
      </c>
      <c r="B603" s="4" t="s">
        <v>662</v>
      </c>
      <c r="C603" s="12">
        <f>IFERROR(__xludf.DUMMYFUNCTION("""COMPUTED_VALUE"""),44663.365706018514)</f>
        <v>44663.36571</v>
      </c>
      <c r="D603" s="13">
        <f t="shared" si="1"/>
        <v>12</v>
      </c>
      <c r="E603" s="13">
        <f t="shared" si="2"/>
        <v>8</v>
      </c>
    </row>
    <row r="604">
      <c r="A604" s="4" t="s">
        <v>663</v>
      </c>
      <c r="B604" s="4" t="s">
        <v>664</v>
      </c>
      <c r="C604" s="12">
        <f>IFERROR(__xludf.DUMMYFUNCTION("""COMPUTED_VALUE"""),44663.365590277775)</f>
        <v>44663.36559</v>
      </c>
      <c r="D604" s="13">
        <f t="shared" si="1"/>
        <v>12</v>
      </c>
      <c r="E604" s="13">
        <f t="shared" si="2"/>
        <v>8</v>
      </c>
    </row>
    <row r="605">
      <c r="A605" s="4" t="s">
        <v>665</v>
      </c>
      <c r="B605" s="4" t="s">
        <v>662</v>
      </c>
      <c r="C605" s="12">
        <f>IFERROR(__xludf.DUMMYFUNCTION("""COMPUTED_VALUE"""),44663.36481481481)</f>
        <v>44663.36481</v>
      </c>
      <c r="D605" s="13">
        <f t="shared" si="1"/>
        <v>12</v>
      </c>
      <c r="E605" s="13">
        <f t="shared" si="2"/>
        <v>8</v>
      </c>
    </row>
    <row r="606">
      <c r="A606" s="4" t="s">
        <v>666</v>
      </c>
      <c r="B606" s="4" t="s">
        <v>662</v>
      </c>
      <c r="C606" s="12">
        <f>IFERROR(__xludf.DUMMYFUNCTION("""COMPUTED_VALUE"""),44663.364756944444)</f>
        <v>44663.36476</v>
      </c>
      <c r="D606" s="13">
        <f t="shared" si="1"/>
        <v>12</v>
      </c>
      <c r="E606" s="13">
        <f t="shared" si="2"/>
        <v>8</v>
      </c>
    </row>
    <row r="607">
      <c r="A607" s="4" t="s">
        <v>667</v>
      </c>
      <c r="B607" s="4" t="s">
        <v>662</v>
      </c>
      <c r="C607" s="12">
        <f>IFERROR(__xludf.DUMMYFUNCTION("""COMPUTED_VALUE"""),44663.36466435185)</f>
        <v>44663.36466</v>
      </c>
      <c r="D607" s="13">
        <f t="shared" si="1"/>
        <v>12</v>
      </c>
      <c r="E607" s="13">
        <f t="shared" si="2"/>
        <v>8</v>
      </c>
    </row>
    <row r="608">
      <c r="A608" s="4" t="s">
        <v>668</v>
      </c>
      <c r="B608" s="4" t="s">
        <v>669</v>
      </c>
      <c r="C608" s="12">
        <f>IFERROR(__xludf.DUMMYFUNCTION("""COMPUTED_VALUE"""),44663.36451388889)</f>
        <v>44663.36451</v>
      </c>
      <c r="D608" s="13">
        <f t="shared" si="1"/>
        <v>12</v>
      </c>
      <c r="E608" s="13">
        <f t="shared" si="2"/>
        <v>8</v>
      </c>
    </row>
    <row r="609">
      <c r="A609" s="4" t="s">
        <v>670</v>
      </c>
      <c r="B609" s="16"/>
      <c r="C609" s="12">
        <f>IFERROR(__xludf.DUMMYFUNCTION("""COMPUTED_VALUE"""),44663.36418981481)</f>
        <v>44663.36419</v>
      </c>
      <c r="D609" s="13">
        <f t="shared" si="1"/>
        <v>12</v>
      </c>
      <c r="E609" s="13">
        <f t="shared" si="2"/>
        <v>8</v>
      </c>
    </row>
    <row r="610">
      <c r="A610" s="4" t="s">
        <v>671</v>
      </c>
      <c r="B610" s="4" t="s">
        <v>672</v>
      </c>
      <c r="C610" s="12">
        <f>IFERROR(__xludf.DUMMYFUNCTION("""COMPUTED_VALUE"""),44663.364074074074)</f>
        <v>44663.36407</v>
      </c>
      <c r="D610" s="13">
        <f t="shared" si="1"/>
        <v>12</v>
      </c>
      <c r="E610" s="13">
        <f t="shared" si="2"/>
        <v>8</v>
      </c>
    </row>
    <row r="611">
      <c r="A611" s="4" t="s">
        <v>673</v>
      </c>
      <c r="B611" s="16"/>
      <c r="C611" s="12">
        <f>IFERROR(__xludf.DUMMYFUNCTION("""COMPUTED_VALUE"""),44663.36364583333)</f>
        <v>44663.36365</v>
      </c>
      <c r="D611" s="13">
        <f t="shared" si="1"/>
        <v>12</v>
      </c>
      <c r="E611" s="13">
        <f t="shared" si="2"/>
        <v>8</v>
      </c>
    </row>
    <row r="612">
      <c r="A612" s="4" t="s">
        <v>674</v>
      </c>
      <c r="B612" s="4" t="s">
        <v>669</v>
      </c>
      <c r="C612" s="12">
        <f>IFERROR(__xludf.DUMMYFUNCTION("""COMPUTED_VALUE"""),44663.36362268518)</f>
        <v>44663.36362</v>
      </c>
      <c r="D612" s="13">
        <f t="shared" si="1"/>
        <v>12</v>
      </c>
      <c r="E612" s="13">
        <f t="shared" si="2"/>
        <v>8</v>
      </c>
    </row>
    <row r="613">
      <c r="A613" s="4" t="s">
        <v>675</v>
      </c>
      <c r="B613" s="4" t="s">
        <v>676</v>
      </c>
      <c r="C613" s="12">
        <f>IFERROR(__xludf.DUMMYFUNCTION("""COMPUTED_VALUE"""),44663.36273148148)</f>
        <v>44663.36273</v>
      </c>
      <c r="D613" s="13">
        <f t="shared" si="1"/>
        <v>12</v>
      </c>
      <c r="E613" s="13">
        <f t="shared" si="2"/>
        <v>8</v>
      </c>
    </row>
    <row r="614">
      <c r="A614" s="4" t="s">
        <v>677</v>
      </c>
      <c r="B614" s="16"/>
      <c r="C614" s="12">
        <f>IFERROR(__xludf.DUMMYFUNCTION("""COMPUTED_VALUE"""),44663.362245370365)</f>
        <v>44663.36225</v>
      </c>
      <c r="D614" s="13">
        <f t="shared" si="1"/>
        <v>12</v>
      </c>
      <c r="E614" s="13">
        <f t="shared" si="2"/>
        <v>8</v>
      </c>
    </row>
    <row r="615">
      <c r="A615" s="4" t="s">
        <v>678</v>
      </c>
      <c r="B615" s="4" t="s">
        <v>679</v>
      </c>
      <c r="C615" s="12">
        <f>IFERROR(__xludf.DUMMYFUNCTION("""COMPUTED_VALUE"""),44663.3620949074)</f>
        <v>44663.36209</v>
      </c>
      <c r="D615" s="13">
        <f t="shared" si="1"/>
        <v>12</v>
      </c>
      <c r="E615" s="13">
        <f t="shared" si="2"/>
        <v>8</v>
      </c>
    </row>
    <row r="616">
      <c r="A616" s="4" t="s">
        <v>680</v>
      </c>
      <c r="B616" s="16"/>
      <c r="C616" s="12">
        <f>IFERROR(__xludf.DUMMYFUNCTION("""COMPUTED_VALUE"""),44663.361493055556)</f>
        <v>44663.36149</v>
      </c>
      <c r="D616" s="13">
        <f t="shared" si="1"/>
        <v>12</v>
      </c>
      <c r="E616" s="13">
        <f t="shared" si="2"/>
        <v>8</v>
      </c>
    </row>
    <row r="617">
      <c r="A617" s="4" t="s">
        <v>681</v>
      </c>
      <c r="B617" s="16"/>
      <c r="C617" s="12">
        <f>IFERROR(__xludf.DUMMYFUNCTION("""COMPUTED_VALUE"""),44663.36109953703)</f>
        <v>44663.3611</v>
      </c>
      <c r="D617" s="13">
        <f t="shared" si="1"/>
        <v>12</v>
      </c>
      <c r="E617" s="13">
        <f t="shared" si="2"/>
        <v>8</v>
      </c>
    </row>
    <row r="618">
      <c r="A618" s="4" t="s">
        <v>682</v>
      </c>
      <c r="B618" s="16"/>
      <c r="C618" s="12">
        <f>IFERROR(__xludf.DUMMYFUNCTION("""COMPUTED_VALUE"""),44663.36106481481)</f>
        <v>44663.36106</v>
      </c>
      <c r="D618" s="13">
        <f t="shared" si="1"/>
        <v>12</v>
      </c>
      <c r="E618" s="13">
        <f t="shared" si="2"/>
        <v>8</v>
      </c>
    </row>
    <row r="619">
      <c r="A619" s="4" t="s">
        <v>683</v>
      </c>
      <c r="B619" s="4" t="s">
        <v>684</v>
      </c>
      <c r="C619" s="12">
        <f>IFERROR(__xludf.DUMMYFUNCTION("""COMPUTED_VALUE"""),44663.36035879629)</f>
        <v>44663.36036</v>
      </c>
      <c r="D619" s="13">
        <f t="shared" si="1"/>
        <v>12</v>
      </c>
      <c r="E619" s="13">
        <f t="shared" si="2"/>
        <v>8</v>
      </c>
    </row>
    <row r="620">
      <c r="A620" s="4" t="s">
        <v>685</v>
      </c>
      <c r="B620" s="16"/>
      <c r="C620" s="12">
        <f>IFERROR(__xludf.DUMMYFUNCTION("""COMPUTED_VALUE"""),44663.35984953703)</f>
        <v>44663.35985</v>
      </c>
      <c r="D620" s="13">
        <f t="shared" si="1"/>
        <v>12</v>
      </c>
      <c r="E620" s="13">
        <f t="shared" si="2"/>
        <v>8</v>
      </c>
    </row>
    <row r="621">
      <c r="A621" s="4" t="s">
        <v>686</v>
      </c>
      <c r="B621" s="16"/>
      <c r="C621" s="12">
        <f>IFERROR(__xludf.DUMMYFUNCTION("""COMPUTED_VALUE"""),44663.358726851846)</f>
        <v>44663.35873</v>
      </c>
      <c r="D621" s="13">
        <f t="shared" si="1"/>
        <v>12</v>
      </c>
      <c r="E621" s="13">
        <f t="shared" si="2"/>
        <v>8</v>
      </c>
    </row>
    <row r="622">
      <c r="A622" s="4" t="s">
        <v>687</v>
      </c>
      <c r="B622" s="16"/>
      <c r="C622" s="12">
        <f>IFERROR(__xludf.DUMMYFUNCTION("""COMPUTED_VALUE"""),44663.35863425925)</f>
        <v>44663.35863</v>
      </c>
      <c r="D622" s="13">
        <f t="shared" si="1"/>
        <v>12</v>
      </c>
      <c r="E622" s="13">
        <f t="shared" si="2"/>
        <v>8</v>
      </c>
    </row>
    <row r="623">
      <c r="A623" s="4" t="s">
        <v>688</v>
      </c>
      <c r="B623" s="16"/>
      <c r="C623" s="12">
        <f>IFERROR(__xludf.DUMMYFUNCTION("""COMPUTED_VALUE"""),44663.358518518515)</f>
        <v>44663.35852</v>
      </c>
      <c r="D623" s="13">
        <f t="shared" si="1"/>
        <v>12</v>
      </c>
      <c r="E623" s="13">
        <f t="shared" si="2"/>
        <v>8</v>
      </c>
    </row>
    <row r="624">
      <c r="A624" s="4" t="s">
        <v>689</v>
      </c>
      <c r="B624" s="16"/>
      <c r="C624" s="12">
        <f>IFERROR(__xludf.DUMMYFUNCTION("""COMPUTED_VALUE"""),44663.35841435185)</f>
        <v>44663.35841</v>
      </c>
      <c r="D624" s="13">
        <f t="shared" si="1"/>
        <v>12</v>
      </c>
      <c r="E624" s="13">
        <f t="shared" si="2"/>
        <v>8</v>
      </c>
    </row>
    <row r="625">
      <c r="A625" s="4" t="s">
        <v>690</v>
      </c>
      <c r="B625" s="16"/>
      <c r="C625" s="12">
        <f>IFERROR(__xludf.DUMMYFUNCTION("""COMPUTED_VALUE"""),44663.35836805555)</f>
        <v>44663.35837</v>
      </c>
      <c r="D625" s="13">
        <f t="shared" si="1"/>
        <v>12</v>
      </c>
      <c r="E625" s="13">
        <f t="shared" si="2"/>
        <v>8</v>
      </c>
    </row>
    <row r="626">
      <c r="A626" s="4" t="s">
        <v>691</v>
      </c>
      <c r="B626" s="16"/>
      <c r="C626" s="12">
        <f>IFERROR(__xludf.DUMMYFUNCTION("""COMPUTED_VALUE"""),44663.35832175926)</f>
        <v>44663.35832</v>
      </c>
      <c r="D626" s="13">
        <f t="shared" si="1"/>
        <v>12</v>
      </c>
      <c r="E626" s="13">
        <f t="shared" si="2"/>
        <v>8</v>
      </c>
    </row>
    <row r="627">
      <c r="A627" s="4" t="s">
        <v>692</v>
      </c>
      <c r="B627" s="16"/>
      <c r="C627" s="12">
        <f>IFERROR(__xludf.DUMMYFUNCTION("""COMPUTED_VALUE"""),44663.35828703704)</f>
        <v>44663.35829</v>
      </c>
      <c r="D627" s="13">
        <f t="shared" si="1"/>
        <v>12</v>
      </c>
      <c r="E627" s="13">
        <f t="shared" si="2"/>
        <v>8</v>
      </c>
    </row>
    <row r="628">
      <c r="A628" s="4" t="s">
        <v>692</v>
      </c>
      <c r="B628" s="4" t="s">
        <v>693</v>
      </c>
      <c r="C628" s="12">
        <f>IFERROR(__xludf.DUMMYFUNCTION("""COMPUTED_VALUE"""),44663.35828703704)</f>
        <v>44663.35829</v>
      </c>
      <c r="D628" s="13">
        <f t="shared" si="1"/>
        <v>12</v>
      </c>
      <c r="E628" s="13">
        <f t="shared" si="2"/>
        <v>8</v>
      </c>
    </row>
    <row r="629">
      <c r="A629" s="4" t="s">
        <v>694</v>
      </c>
      <c r="B629" s="4" t="s">
        <v>693</v>
      </c>
      <c r="C629" s="12">
        <f>IFERROR(__xludf.DUMMYFUNCTION("""COMPUTED_VALUE"""),44663.35821759259)</f>
        <v>44663.35822</v>
      </c>
      <c r="D629" s="13">
        <f t="shared" si="1"/>
        <v>12</v>
      </c>
      <c r="E629" s="13">
        <f t="shared" si="2"/>
        <v>8</v>
      </c>
    </row>
    <row r="630">
      <c r="A630" s="4" t="s">
        <v>695</v>
      </c>
      <c r="B630" s="16"/>
      <c r="C630" s="12">
        <f>IFERROR(__xludf.DUMMYFUNCTION("""COMPUTED_VALUE"""),44663.35815972222)</f>
        <v>44663.35816</v>
      </c>
      <c r="D630" s="13">
        <f t="shared" si="1"/>
        <v>12</v>
      </c>
      <c r="E630" s="13">
        <f t="shared" si="2"/>
        <v>8</v>
      </c>
    </row>
    <row r="631">
      <c r="A631" s="4" t="s">
        <v>696</v>
      </c>
      <c r="B631" s="16"/>
      <c r="C631" s="12">
        <f>IFERROR(__xludf.DUMMYFUNCTION("""COMPUTED_VALUE"""),44663.35811342592)</f>
        <v>44663.35811</v>
      </c>
      <c r="D631" s="13">
        <f t="shared" si="1"/>
        <v>12</v>
      </c>
      <c r="E631" s="13">
        <f t="shared" si="2"/>
        <v>8</v>
      </c>
    </row>
    <row r="632">
      <c r="A632" s="4" t="s">
        <v>697</v>
      </c>
      <c r="B632" s="16"/>
      <c r="C632" s="12">
        <f>IFERROR(__xludf.DUMMYFUNCTION("""COMPUTED_VALUE"""),44663.35734953704)</f>
        <v>44663.35735</v>
      </c>
      <c r="D632" s="13">
        <f t="shared" si="1"/>
        <v>12</v>
      </c>
      <c r="E632" s="13">
        <f t="shared" si="2"/>
        <v>8</v>
      </c>
    </row>
    <row r="633">
      <c r="A633" s="4" t="s">
        <v>698</v>
      </c>
      <c r="B633" s="16"/>
      <c r="C633" s="12">
        <f>IFERROR(__xludf.DUMMYFUNCTION("""COMPUTED_VALUE"""),44663.35733796296)</f>
        <v>44663.35734</v>
      </c>
      <c r="D633" s="13">
        <f t="shared" si="1"/>
        <v>12</v>
      </c>
      <c r="E633" s="13">
        <f t="shared" si="2"/>
        <v>8</v>
      </c>
    </row>
    <row r="634">
      <c r="A634" s="4" t="s">
        <v>699</v>
      </c>
      <c r="B634" s="16"/>
      <c r="C634" s="12">
        <f>IFERROR(__xludf.DUMMYFUNCTION("""COMPUTED_VALUE"""),44663.35731481481)</f>
        <v>44663.35731</v>
      </c>
      <c r="D634" s="13">
        <f t="shared" si="1"/>
        <v>12</v>
      </c>
      <c r="E634" s="13">
        <f t="shared" si="2"/>
        <v>8</v>
      </c>
    </row>
    <row r="635">
      <c r="A635" s="4" t="s">
        <v>700</v>
      </c>
      <c r="B635" s="16"/>
      <c r="C635" s="12">
        <f>IFERROR(__xludf.DUMMYFUNCTION("""COMPUTED_VALUE"""),44663.35729166667)</f>
        <v>44663.35729</v>
      </c>
      <c r="D635" s="13">
        <f t="shared" si="1"/>
        <v>12</v>
      </c>
      <c r="E635" s="13">
        <f t="shared" si="2"/>
        <v>8</v>
      </c>
    </row>
    <row r="636">
      <c r="A636" s="4" t="s">
        <v>701</v>
      </c>
      <c r="B636" s="16"/>
      <c r="C636" s="12">
        <f>IFERROR(__xludf.DUMMYFUNCTION("""COMPUTED_VALUE"""),44663.35728009259)</f>
        <v>44663.35728</v>
      </c>
      <c r="D636" s="13">
        <f t="shared" si="1"/>
        <v>12</v>
      </c>
      <c r="E636" s="13">
        <f t="shared" si="2"/>
        <v>8</v>
      </c>
    </row>
    <row r="637">
      <c r="A637" s="4" t="s">
        <v>702</v>
      </c>
      <c r="B637" s="16"/>
      <c r="C637" s="12">
        <f>IFERROR(__xludf.DUMMYFUNCTION("""COMPUTED_VALUE"""),44663.357256944444)</f>
        <v>44663.35726</v>
      </c>
      <c r="D637" s="13">
        <f t="shared" si="1"/>
        <v>12</v>
      </c>
      <c r="E637" s="13">
        <f t="shared" si="2"/>
        <v>8</v>
      </c>
    </row>
    <row r="638">
      <c r="A638" s="4" t="s">
        <v>703</v>
      </c>
      <c r="B638" s="16"/>
      <c r="C638" s="12">
        <f>IFERROR(__xludf.DUMMYFUNCTION("""COMPUTED_VALUE"""),44663.35723379629)</f>
        <v>44663.35723</v>
      </c>
      <c r="D638" s="13">
        <f t="shared" si="1"/>
        <v>12</v>
      </c>
      <c r="E638" s="13">
        <f t="shared" si="2"/>
        <v>8</v>
      </c>
    </row>
    <row r="639">
      <c r="A639" s="4" t="s">
        <v>704</v>
      </c>
      <c r="B639" s="16"/>
      <c r="C639" s="12">
        <f>IFERROR(__xludf.DUMMYFUNCTION("""COMPUTED_VALUE"""),44663.3571875)</f>
        <v>44663.35719</v>
      </c>
      <c r="D639" s="13">
        <f t="shared" si="1"/>
        <v>12</v>
      </c>
      <c r="E639" s="13">
        <f t="shared" si="2"/>
        <v>8</v>
      </c>
    </row>
    <row r="640">
      <c r="A640" s="4" t="s">
        <v>705</v>
      </c>
      <c r="B640" s="16"/>
      <c r="C640" s="12">
        <f>IFERROR(__xludf.DUMMYFUNCTION("""COMPUTED_VALUE"""),44663.35701388889)</f>
        <v>44663.35701</v>
      </c>
      <c r="D640" s="13">
        <f t="shared" si="1"/>
        <v>12</v>
      </c>
      <c r="E640" s="13">
        <f t="shared" si="2"/>
        <v>8</v>
      </c>
    </row>
    <row r="641">
      <c r="A641" s="4" t="s">
        <v>706</v>
      </c>
      <c r="B641" s="4" t="s">
        <v>693</v>
      </c>
      <c r="C641" s="12">
        <f>IFERROR(__xludf.DUMMYFUNCTION("""COMPUTED_VALUE"""),44663.35699074074)</f>
        <v>44663.35699</v>
      </c>
      <c r="D641" s="13">
        <f t="shared" si="1"/>
        <v>12</v>
      </c>
      <c r="E641" s="13">
        <f t="shared" si="2"/>
        <v>8</v>
      </c>
    </row>
    <row r="642">
      <c r="A642" s="4" t="s">
        <v>707</v>
      </c>
      <c r="B642" s="16"/>
      <c r="C642" s="12">
        <f>IFERROR(__xludf.DUMMYFUNCTION("""COMPUTED_VALUE"""),44663.35693287037)</f>
        <v>44663.35693</v>
      </c>
      <c r="D642" s="13">
        <f t="shared" si="1"/>
        <v>12</v>
      </c>
      <c r="E642" s="13">
        <f t="shared" si="2"/>
        <v>8</v>
      </c>
    </row>
    <row r="643">
      <c r="A643" s="4" t="s">
        <v>708</v>
      </c>
      <c r="B643" s="16"/>
      <c r="C643" s="12">
        <f>IFERROR(__xludf.DUMMYFUNCTION("""COMPUTED_VALUE"""),44663.35608796296)</f>
        <v>44663.35609</v>
      </c>
      <c r="D643" s="13">
        <f t="shared" si="1"/>
        <v>12</v>
      </c>
      <c r="E643" s="13">
        <f t="shared" si="2"/>
        <v>8</v>
      </c>
    </row>
    <row r="644">
      <c r="A644" s="4" t="s">
        <v>709</v>
      </c>
      <c r="B644" s="4" t="s">
        <v>710</v>
      </c>
      <c r="C644" s="12">
        <f>IFERROR(__xludf.DUMMYFUNCTION("""COMPUTED_VALUE"""),44663.355844907404)</f>
        <v>44663.35584</v>
      </c>
      <c r="D644" s="13">
        <f t="shared" si="1"/>
        <v>12</v>
      </c>
      <c r="E644" s="13">
        <f t="shared" si="2"/>
        <v>8</v>
      </c>
    </row>
    <row r="645">
      <c r="A645" s="4" t="s">
        <v>711</v>
      </c>
      <c r="B645" s="16"/>
      <c r="C645" s="12">
        <f>IFERROR(__xludf.DUMMYFUNCTION("""COMPUTED_VALUE"""),44663.35564814814)</f>
        <v>44663.35565</v>
      </c>
      <c r="D645" s="13">
        <f t="shared" si="1"/>
        <v>12</v>
      </c>
      <c r="E645" s="13">
        <f t="shared" si="2"/>
        <v>8</v>
      </c>
    </row>
    <row r="646">
      <c r="A646" s="4" t="s">
        <v>712</v>
      </c>
      <c r="B646" s="16"/>
      <c r="C646" s="12">
        <f>IFERROR(__xludf.DUMMYFUNCTION("""COMPUTED_VALUE"""),44663.35561342593)</f>
        <v>44663.35561</v>
      </c>
      <c r="D646" s="13">
        <f t="shared" si="1"/>
        <v>12</v>
      </c>
      <c r="E646" s="13">
        <f t="shared" si="2"/>
        <v>8</v>
      </c>
    </row>
    <row r="647">
      <c r="A647" s="4" t="s">
        <v>713</v>
      </c>
      <c r="B647" s="4" t="s">
        <v>710</v>
      </c>
      <c r="C647" s="12">
        <f>IFERROR(__xludf.DUMMYFUNCTION("""COMPUTED_VALUE"""),44663.35548611111)</f>
        <v>44663.35549</v>
      </c>
      <c r="D647" s="13">
        <f t="shared" si="1"/>
        <v>12</v>
      </c>
      <c r="E647" s="13">
        <f t="shared" si="2"/>
        <v>8</v>
      </c>
    </row>
    <row r="648">
      <c r="A648" s="4" t="s">
        <v>714</v>
      </c>
      <c r="B648" s="16"/>
      <c r="C648" s="12">
        <f>IFERROR(__xludf.DUMMYFUNCTION("""COMPUTED_VALUE"""),44663.35538194444)</f>
        <v>44663.35538</v>
      </c>
      <c r="D648" s="13">
        <f t="shared" si="1"/>
        <v>12</v>
      </c>
      <c r="E648" s="13">
        <f t="shared" si="2"/>
        <v>8</v>
      </c>
    </row>
    <row r="649">
      <c r="A649" s="4" t="s">
        <v>715</v>
      </c>
      <c r="B649" s="4" t="s">
        <v>684</v>
      </c>
      <c r="C649" s="12">
        <f>IFERROR(__xludf.DUMMYFUNCTION("""COMPUTED_VALUE"""),44663.35524305555)</f>
        <v>44663.35524</v>
      </c>
      <c r="D649" s="13">
        <f t="shared" si="1"/>
        <v>12</v>
      </c>
      <c r="E649" s="13">
        <f t="shared" si="2"/>
        <v>8</v>
      </c>
    </row>
    <row r="650">
      <c r="A650" s="4" t="s">
        <v>716</v>
      </c>
      <c r="B650" s="16"/>
      <c r="C650" s="12">
        <f>IFERROR(__xludf.DUMMYFUNCTION("""COMPUTED_VALUE"""),44663.355046296296)</f>
        <v>44663.35505</v>
      </c>
      <c r="D650" s="13">
        <f t="shared" si="1"/>
        <v>12</v>
      </c>
      <c r="E650" s="13">
        <f t="shared" si="2"/>
        <v>8</v>
      </c>
    </row>
    <row r="651">
      <c r="A651" s="4" t="s">
        <v>717</v>
      </c>
      <c r="B651" s="16"/>
      <c r="C651" s="12">
        <f>IFERROR(__xludf.DUMMYFUNCTION("""COMPUTED_VALUE"""),44663.35475694444)</f>
        <v>44663.35476</v>
      </c>
      <c r="D651" s="13">
        <f t="shared" si="1"/>
        <v>12</v>
      </c>
      <c r="E651" s="13">
        <f t="shared" si="2"/>
        <v>8</v>
      </c>
    </row>
    <row r="652">
      <c r="A652" s="4" t="s">
        <v>718</v>
      </c>
      <c r="B652" s="16"/>
      <c r="C652" s="12">
        <f>IFERROR(__xludf.DUMMYFUNCTION("""COMPUTED_VALUE"""),44663.35456018518)</f>
        <v>44663.35456</v>
      </c>
      <c r="D652" s="13">
        <f t="shared" si="1"/>
        <v>12</v>
      </c>
      <c r="E652" s="13">
        <f t="shared" si="2"/>
        <v>8</v>
      </c>
    </row>
    <row r="653">
      <c r="A653" s="4" t="s">
        <v>719</v>
      </c>
      <c r="B653" s="16"/>
      <c r="C653" s="12">
        <f>IFERROR(__xludf.DUMMYFUNCTION("""COMPUTED_VALUE"""),44663.354537037034)</f>
        <v>44663.35454</v>
      </c>
      <c r="D653" s="13">
        <f t="shared" si="1"/>
        <v>12</v>
      </c>
      <c r="E653" s="13">
        <f t="shared" si="2"/>
        <v>8</v>
      </c>
    </row>
    <row r="654">
      <c r="A654" s="4" t="s">
        <v>720</v>
      </c>
      <c r="B654" s="16"/>
      <c r="C654" s="12">
        <f>IFERROR(__xludf.DUMMYFUNCTION("""COMPUTED_VALUE"""),44663.35451388889)</f>
        <v>44663.35451</v>
      </c>
      <c r="D654" s="13">
        <f t="shared" si="1"/>
        <v>12</v>
      </c>
      <c r="E654" s="13">
        <f t="shared" si="2"/>
        <v>8</v>
      </c>
    </row>
    <row r="655">
      <c r="A655" s="4" t="s">
        <v>721</v>
      </c>
      <c r="B655" s="4" t="s">
        <v>722</v>
      </c>
      <c r="C655" s="12">
        <f>IFERROR(__xludf.DUMMYFUNCTION("""COMPUTED_VALUE"""),44663.354421296295)</f>
        <v>44663.35442</v>
      </c>
      <c r="D655" s="13">
        <f t="shared" si="1"/>
        <v>12</v>
      </c>
      <c r="E655" s="13">
        <f t="shared" si="2"/>
        <v>8</v>
      </c>
    </row>
    <row r="656">
      <c r="A656" s="4" t="s">
        <v>721</v>
      </c>
      <c r="B656" s="4" t="s">
        <v>723</v>
      </c>
      <c r="C656" s="12">
        <f>IFERROR(__xludf.DUMMYFUNCTION("""COMPUTED_VALUE"""),44663.354421296295)</f>
        <v>44663.35442</v>
      </c>
      <c r="D656" s="13">
        <f t="shared" si="1"/>
        <v>12</v>
      </c>
      <c r="E656" s="13">
        <f t="shared" si="2"/>
        <v>8</v>
      </c>
    </row>
    <row r="657">
      <c r="A657" s="4" t="s">
        <v>724</v>
      </c>
      <c r="B657" s="4" t="s">
        <v>94</v>
      </c>
      <c r="C657" s="12">
        <f>IFERROR(__xludf.DUMMYFUNCTION("""COMPUTED_VALUE"""),44663.35429398148)</f>
        <v>44663.35429</v>
      </c>
      <c r="D657" s="13">
        <f t="shared" si="1"/>
        <v>12</v>
      </c>
      <c r="E657" s="13">
        <f t="shared" si="2"/>
        <v>8</v>
      </c>
    </row>
    <row r="658">
      <c r="A658" s="4" t="s">
        <v>725</v>
      </c>
      <c r="B658" s="16"/>
      <c r="C658" s="12">
        <f>IFERROR(__xludf.DUMMYFUNCTION("""COMPUTED_VALUE"""),44663.35413194444)</f>
        <v>44663.35413</v>
      </c>
      <c r="D658" s="13">
        <f t="shared" si="1"/>
        <v>12</v>
      </c>
      <c r="E658" s="13">
        <f t="shared" si="2"/>
        <v>8</v>
      </c>
    </row>
    <row r="659">
      <c r="A659" s="4" t="s">
        <v>726</v>
      </c>
      <c r="B659" s="16"/>
      <c r="C659" s="12">
        <f>IFERROR(__xludf.DUMMYFUNCTION("""COMPUTED_VALUE"""),44663.353692129625)</f>
        <v>44663.35369</v>
      </c>
      <c r="D659" s="13">
        <f t="shared" si="1"/>
        <v>12</v>
      </c>
      <c r="E659" s="13">
        <f t="shared" si="2"/>
        <v>8</v>
      </c>
    </row>
    <row r="660">
      <c r="A660" s="4" t="s">
        <v>727</v>
      </c>
      <c r="B660" s="16"/>
      <c r="C660" s="12">
        <f>IFERROR(__xludf.DUMMYFUNCTION("""COMPUTED_VALUE"""),44663.35361111111)</f>
        <v>44663.35361</v>
      </c>
      <c r="D660" s="13">
        <f t="shared" si="1"/>
        <v>12</v>
      </c>
      <c r="E660" s="13">
        <f t="shared" si="2"/>
        <v>8</v>
      </c>
    </row>
    <row r="661">
      <c r="A661" s="4" t="s">
        <v>728</v>
      </c>
      <c r="B661" s="4" t="s">
        <v>729</v>
      </c>
      <c r="C661" s="12">
        <f>IFERROR(__xludf.DUMMYFUNCTION("""COMPUTED_VALUE"""),44663.353437499994)</f>
        <v>44663.35344</v>
      </c>
      <c r="D661" s="13">
        <f t="shared" si="1"/>
        <v>12</v>
      </c>
      <c r="E661" s="13">
        <f t="shared" si="2"/>
        <v>8</v>
      </c>
    </row>
    <row r="662">
      <c r="A662" s="4" t="s">
        <v>730</v>
      </c>
      <c r="B662" s="4" t="s">
        <v>729</v>
      </c>
      <c r="C662" s="12">
        <f>IFERROR(__xludf.DUMMYFUNCTION("""COMPUTED_VALUE"""),44663.352997685186)</f>
        <v>44663.353</v>
      </c>
      <c r="D662" s="13">
        <f t="shared" si="1"/>
        <v>12</v>
      </c>
      <c r="E662" s="13">
        <f t="shared" si="2"/>
        <v>8</v>
      </c>
    </row>
    <row r="663">
      <c r="A663" s="4" t="s">
        <v>731</v>
      </c>
      <c r="B663" s="4" t="s">
        <v>732</v>
      </c>
      <c r="C663" s="12">
        <f>IFERROR(__xludf.DUMMYFUNCTION("""COMPUTED_VALUE"""),44663.35290509259)</f>
        <v>44663.35291</v>
      </c>
      <c r="D663" s="13">
        <f t="shared" si="1"/>
        <v>12</v>
      </c>
      <c r="E663" s="13">
        <f t="shared" si="2"/>
        <v>8</v>
      </c>
    </row>
    <row r="664">
      <c r="A664" s="4" t="s">
        <v>733</v>
      </c>
      <c r="B664" s="4" t="s">
        <v>734</v>
      </c>
      <c r="C664" s="12">
        <f>IFERROR(__xludf.DUMMYFUNCTION("""COMPUTED_VALUE"""),44663.34947916667)</f>
        <v>44663.34948</v>
      </c>
      <c r="D664" s="13">
        <f t="shared" si="1"/>
        <v>12</v>
      </c>
      <c r="E664" s="13">
        <f t="shared" si="2"/>
        <v>8</v>
      </c>
    </row>
    <row r="665">
      <c r="A665" s="4" t="s">
        <v>735</v>
      </c>
      <c r="B665" s="16"/>
      <c r="C665" s="12">
        <f>IFERROR(__xludf.DUMMYFUNCTION("""COMPUTED_VALUE"""),44663.34887731481)</f>
        <v>44663.34888</v>
      </c>
      <c r="D665" s="13">
        <f t="shared" si="1"/>
        <v>12</v>
      </c>
      <c r="E665" s="13">
        <f t="shared" si="2"/>
        <v>8</v>
      </c>
    </row>
    <row r="666">
      <c r="A666" s="4" t="s">
        <v>736</v>
      </c>
      <c r="B666" s="16"/>
      <c r="C666" s="12">
        <f>IFERROR(__xludf.DUMMYFUNCTION("""COMPUTED_VALUE"""),44663.346238425926)</f>
        <v>44663.34624</v>
      </c>
      <c r="D666" s="13">
        <f t="shared" si="1"/>
        <v>12</v>
      </c>
      <c r="E666" s="13">
        <f t="shared" si="2"/>
        <v>8</v>
      </c>
    </row>
    <row r="667">
      <c r="A667" s="4" t="s">
        <v>737</v>
      </c>
      <c r="B667" s="4" t="s">
        <v>738</v>
      </c>
      <c r="C667" s="12">
        <f>IFERROR(__xludf.DUMMYFUNCTION("""COMPUTED_VALUE"""),44663.34396990741)</f>
        <v>44663.34397</v>
      </c>
      <c r="D667" s="13">
        <f t="shared" si="1"/>
        <v>12</v>
      </c>
      <c r="E667" s="13">
        <f t="shared" si="2"/>
        <v>8</v>
      </c>
    </row>
    <row r="668">
      <c r="A668" s="4" t="s">
        <v>739</v>
      </c>
      <c r="B668" s="4" t="s">
        <v>740</v>
      </c>
      <c r="C668" s="12">
        <f>IFERROR(__xludf.DUMMYFUNCTION("""COMPUTED_VALUE"""),44663.33976851852)</f>
        <v>44663.33977</v>
      </c>
      <c r="D668" s="13">
        <f t="shared" si="1"/>
        <v>12</v>
      </c>
      <c r="E668" s="13">
        <f t="shared" si="2"/>
        <v>8</v>
      </c>
    </row>
    <row r="669">
      <c r="A669" s="4" t="s">
        <v>741</v>
      </c>
      <c r="B669" s="16"/>
      <c r="C669" s="12">
        <f>IFERROR(__xludf.DUMMYFUNCTION("""COMPUTED_VALUE"""),44663.33504629629)</f>
        <v>44663.33505</v>
      </c>
      <c r="D669" s="13">
        <f t="shared" si="1"/>
        <v>12</v>
      </c>
      <c r="E669" s="13">
        <f t="shared" si="2"/>
        <v>8</v>
      </c>
    </row>
    <row r="670">
      <c r="A670" s="4" t="s">
        <v>742</v>
      </c>
      <c r="B670" s="4" t="s">
        <v>743</v>
      </c>
      <c r="C670" s="12">
        <f>IFERROR(__xludf.DUMMYFUNCTION("""COMPUTED_VALUE"""),44663.33459490741)</f>
        <v>44663.33459</v>
      </c>
      <c r="D670" s="13">
        <f t="shared" si="1"/>
        <v>12</v>
      </c>
      <c r="E670" s="13">
        <f t="shared" si="2"/>
        <v>8</v>
      </c>
    </row>
    <row r="671">
      <c r="A671" s="4" t="s">
        <v>744</v>
      </c>
      <c r="B671" s="16"/>
      <c r="C671" s="12">
        <f>IFERROR(__xludf.DUMMYFUNCTION("""COMPUTED_VALUE"""),44663.33395833333)</f>
        <v>44663.33396</v>
      </c>
      <c r="D671" s="13">
        <f t="shared" si="1"/>
        <v>12</v>
      </c>
      <c r="E671" s="13">
        <f t="shared" si="2"/>
        <v>8</v>
      </c>
    </row>
    <row r="672">
      <c r="A672" s="4" t="s">
        <v>745</v>
      </c>
      <c r="B672" s="16"/>
      <c r="C672" s="12">
        <f>IFERROR(__xludf.DUMMYFUNCTION("""COMPUTED_VALUE"""),44663.33368055555)</f>
        <v>44663.33368</v>
      </c>
      <c r="D672" s="13">
        <f t="shared" si="1"/>
        <v>12</v>
      </c>
      <c r="E672" s="13">
        <f t="shared" si="2"/>
        <v>8</v>
      </c>
    </row>
    <row r="673">
      <c r="A673" s="4" t="s">
        <v>746</v>
      </c>
      <c r="B673" s="16"/>
      <c r="C673" s="12">
        <f>IFERROR(__xludf.DUMMYFUNCTION("""COMPUTED_VALUE"""),44663.33362268518)</f>
        <v>44663.33362</v>
      </c>
      <c r="D673" s="13">
        <f t="shared" si="1"/>
        <v>12</v>
      </c>
      <c r="E673" s="13">
        <f t="shared" si="2"/>
        <v>8</v>
      </c>
    </row>
    <row r="674">
      <c r="A674" s="4" t="s">
        <v>747</v>
      </c>
      <c r="B674" s="16"/>
      <c r="C674" s="12">
        <f>IFERROR(__xludf.DUMMYFUNCTION("""COMPUTED_VALUE"""),44663.33337962963)</f>
        <v>44663.33338</v>
      </c>
      <c r="D674" s="13">
        <f t="shared" si="1"/>
        <v>12</v>
      </c>
      <c r="E674" s="13">
        <f t="shared" si="2"/>
        <v>8</v>
      </c>
    </row>
    <row r="675">
      <c r="A675" s="4" t="s">
        <v>748</v>
      </c>
      <c r="B675" s="16"/>
      <c r="C675" s="12">
        <f>IFERROR(__xludf.DUMMYFUNCTION("""COMPUTED_VALUE"""),44663.33251157407)</f>
        <v>44663.33251</v>
      </c>
      <c r="D675" s="13">
        <f t="shared" si="1"/>
        <v>12</v>
      </c>
      <c r="E675" s="13">
        <f t="shared" si="2"/>
        <v>7</v>
      </c>
    </row>
    <row r="676">
      <c r="A676" s="4" t="s">
        <v>749</v>
      </c>
      <c r="B676" s="16"/>
      <c r="C676" s="12">
        <f>IFERROR(__xludf.DUMMYFUNCTION("""COMPUTED_VALUE"""),44663.3314699074)</f>
        <v>44663.33147</v>
      </c>
      <c r="D676" s="13">
        <f t="shared" si="1"/>
        <v>12</v>
      </c>
      <c r="E676" s="13">
        <f t="shared" si="2"/>
        <v>7</v>
      </c>
    </row>
    <row r="677">
      <c r="A677" s="4" t="s">
        <v>750</v>
      </c>
      <c r="B677" s="16"/>
      <c r="C677" s="12">
        <f>IFERROR(__xludf.DUMMYFUNCTION("""COMPUTED_VALUE"""),44663.32946759259)</f>
        <v>44663.32947</v>
      </c>
      <c r="D677" s="13">
        <f t="shared" si="1"/>
        <v>12</v>
      </c>
      <c r="E677" s="13">
        <f t="shared" si="2"/>
        <v>7</v>
      </c>
    </row>
    <row r="678">
      <c r="A678" s="4" t="s">
        <v>751</v>
      </c>
      <c r="B678" s="16"/>
      <c r="C678" s="12">
        <f>IFERROR(__xludf.DUMMYFUNCTION("""COMPUTED_VALUE"""),44663.328993055555)</f>
        <v>44663.32899</v>
      </c>
      <c r="D678" s="13">
        <f t="shared" si="1"/>
        <v>12</v>
      </c>
      <c r="E678" s="13">
        <f t="shared" si="2"/>
        <v>7</v>
      </c>
    </row>
    <row r="679">
      <c r="A679" s="4" t="s">
        <v>752</v>
      </c>
      <c r="B679" s="4" t="s">
        <v>753</v>
      </c>
      <c r="C679" s="12">
        <f>IFERROR(__xludf.DUMMYFUNCTION("""COMPUTED_VALUE"""),44663.32810185185)</f>
        <v>44663.3281</v>
      </c>
      <c r="D679" s="13">
        <f t="shared" si="1"/>
        <v>12</v>
      </c>
      <c r="E679" s="13">
        <f t="shared" si="2"/>
        <v>7</v>
      </c>
    </row>
    <row r="680">
      <c r="A680" s="4" t="s">
        <v>754</v>
      </c>
      <c r="B680" s="16"/>
      <c r="C680" s="12">
        <f>IFERROR(__xludf.DUMMYFUNCTION("""COMPUTED_VALUE"""),44663.326261574075)</f>
        <v>44663.32626</v>
      </c>
      <c r="D680" s="13">
        <f t="shared" si="1"/>
        <v>12</v>
      </c>
      <c r="E680" s="13">
        <f t="shared" si="2"/>
        <v>7</v>
      </c>
    </row>
    <row r="681">
      <c r="A681" s="4" t="s">
        <v>755</v>
      </c>
      <c r="B681" s="4" t="s">
        <v>756</v>
      </c>
      <c r="C681" s="12">
        <f>IFERROR(__xludf.DUMMYFUNCTION("""COMPUTED_VALUE"""),44663.32623842592)</f>
        <v>44663.32624</v>
      </c>
      <c r="D681" s="13">
        <f t="shared" si="1"/>
        <v>12</v>
      </c>
      <c r="E681" s="13">
        <f t="shared" si="2"/>
        <v>7</v>
      </c>
    </row>
    <row r="682">
      <c r="A682" s="4" t="s">
        <v>757</v>
      </c>
      <c r="B682" s="4" t="s">
        <v>268</v>
      </c>
      <c r="C682" s="12">
        <f>IFERROR(__xludf.DUMMYFUNCTION("""COMPUTED_VALUE"""),44663.32530092592)</f>
        <v>44663.3253</v>
      </c>
      <c r="D682" s="13">
        <f t="shared" si="1"/>
        <v>12</v>
      </c>
      <c r="E682" s="13">
        <f t="shared" si="2"/>
        <v>7</v>
      </c>
    </row>
    <row r="683">
      <c r="A683" s="4" t="s">
        <v>758</v>
      </c>
      <c r="B683" s="4" t="s">
        <v>759</v>
      </c>
      <c r="C683" s="12">
        <f>IFERROR(__xludf.DUMMYFUNCTION("""COMPUTED_VALUE"""),44663.32493055555)</f>
        <v>44663.32493</v>
      </c>
      <c r="D683" s="13">
        <f t="shared" si="1"/>
        <v>12</v>
      </c>
      <c r="E683" s="13">
        <f t="shared" si="2"/>
        <v>7</v>
      </c>
    </row>
    <row r="684">
      <c r="A684" s="4" t="s">
        <v>760</v>
      </c>
      <c r="B684" s="16"/>
      <c r="C684" s="12">
        <f>IFERROR(__xludf.DUMMYFUNCTION("""COMPUTED_VALUE"""),44663.324849537035)</f>
        <v>44663.32485</v>
      </c>
      <c r="D684" s="13">
        <f t="shared" si="1"/>
        <v>12</v>
      </c>
      <c r="E684" s="13">
        <f t="shared" si="2"/>
        <v>7</v>
      </c>
    </row>
    <row r="685">
      <c r="A685" s="4" t="s">
        <v>761</v>
      </c>
      <c r="B685" s="4" t="s">
        <v>762</v>
      </c>
      <c r="C685" s="12">
        <f>IFERROR(__xludf.DUMMYFUNCTION("""COMPUTED_VALUE"""),44663.324178240735)</f>
        <v>44663.32418</v>
      </c>
      <c r="D685" s="13">
        <f t="shared" si="1"/>
        <v>12</v>
      </c>
      <c r="E685" s="13">
        <f t="shared" si="2"/>
        <v>7</v>
      </c>
    </row>
    <row r="686">
      <c r="A686" s="4" t="s">
        <v>763</v>
      </c>
      <c r="B686" s="4" t="s">
        <v>764</v>
      </c>
      <c r="C686" s="12">
        <f>IFERROR(__xludf.DUMMYFUNCTION("""COMPUTED_VALUE"""),44663.32313657407)</f>
        <v>44663.32314</v>
      </c>
      <c r="D686" s="13">
        <f t="shared" si="1"/>
        <v>12</v>
      </c>
      <c r="E686" s="13">
        <f t="shared" si="2"/>
        <v>7</v>
      </c>
    </row>
    <row r="687">
      <c r="A687" s="4" t="s">
        <v>765</v>
      </c>
      <c r="B687" s="16"/>
      <c r="C687" s="12">
        <f>IFERROR(__xludf.DUMMYFUNCTION("""COMPUTED_VALUE"""),44663.32166666666)</f>
        <v>44663.32167</v>
      </c>
      <c r="D687" s="13">
        <f t="shared" si="1"/>
        <v>12</v>
      </c>
      <c r="E687" s="13">
        <f t="shared" si="2"/>
        <v>7</v>
      </c>
    </row>
    <row r="688">
      <c r="A688" s="4" t="s">
        <v>766</v>
      </c>
      <c r="B688" s="4" t="s">
        <v>394</v>
      </c>
      <c r="C688" s="12">
        <f>IFERROR(__xludf.DUMMYFUNCTION("""COMPUTED_VALUE"""),44663.32079861111)</f>
        <v>44663.3208</v>
      </c>
      <c r="D688" s="13">
        <f t="shared" si="1"/>
        <v>12</v>
      </c>
      <c r="E688" s="13">
        <f t="shared" si="2"/>
        <v>7</v>
      </c>
    </row>
    <row r="689">
      <c r="A689" s="4" t="s">
        <v>767</v>
      </c>
      <c r="B689" s="16"/>
      <c r="C689" s="12">
        <f>IFERROR(__xludf.DUMMYFUNCTION("""COMPUTED_VALUE"""),44663.31872685185)</f>
        <v>44663.31873</v>
      </c>
      <c r="D689" s="13">
        <f t="shared" si="1"/>
        <v>12</v>
      </c>
      <c r="E689" s="13">
        <f t="shared" si="2"/>
        <v>7</v>
      </c>
    </row>
    <row r="690">
      <c r="A690" s="4" t="s">
        <v>768</v>
      </c>
      <c r="B690" s="16"/>
      <c r="C690" s="12">
        <f>IFERROR(__xludf.DUMMYFUNCTION("""COMPUTED_VALUE"""),44663.31835648148)</f>
        <v>44663.31836</v>
      </c>
      <c r="D690" s="13">
        <f t="shared" si="1"/>
        <v>12</v>
      </c>
      <c r="E690" s="13">
        <f t="shared" si="2"/>
        <v>7</v>
      </c>
    </row>
    <row r="691">
      <c r="A691" s="4" t="s">
        <v>769</v>
      </c>
      <c r="B691" s="16"/>
      <c r="C691" s="12">
        <f>IFERROR(__xludf.DUMMYFUNCTION("""COMPUTED_VALUE"""),44663.31833333333)</f>
        <v>44663.31833</v>
      </c>
      <c r="D691" s="13">
        <f t="shared" si="1"/>
        <v>12</v>
      </c>
      <c r="E691" s="13">
        <f t="shared" si="2"/>
        <v>7</v>
      </c>
    </row>
    <row r="692">
      <c r="A692" s="4" t="s">
        <v>770</v>
      </c>
      <c r="B692" s="4" t="s">
        <v>268</v>
      </c>
      <c r="C692" s="12">
        <f>IFERROR(__xludf.DUMMYFUNCTION("""COMPUTED_VALUE"""),44663.31612268518)</f>
        <v>44663.31612</v>
      </c>
      <c r="D692" s="13">
        <f t="shared" si="1"/>
        <v>12</v>
      </c>
      <c r="E692" s="13">
        <f t="shared" si="2"/>
        <v>7</v>
      </c>
    </row>
    <row r="693">
      <c r="A693" s="4" t="s">
        <v>771</v>
      </c>
      <c r="B693" s="4" t="s">
        <v>268</v>
      </c>
      <c r="C693" s="12">
        <f>IFERROR(__xludf.DUMMYFUNCTION("""COMPUTED_VALUE"""),44663.316099537034)</f>
        <v>44663.3161</v>
      </c>
      <c r="D693" s="13">
        <f t="shared" si="1"/>
        <v>12</v>
      </c>
      <c r="E693" s="13">
        <f t="shared" si="2"/>
        <v>7</v>
      </c>
    </row>
    <row r="694">
      <c r="A694" s="4" t="s">
        <v>772</v>
      </c>
      <c r="B694" s="16"/>
      <c r="C694" s="12">
        <f>IFERROR(__xludf.DUMMYFUNCTION("""COMPUTED_VALUE"""),44663.31601851852)</f>
        <v>44663.31602</v>
      </c>
      <c r="D694" s="13">
        <f t="shared" si="1"/>
        <v>12</v>
      </c>
      <c r="E694" s="13">
        <f t="shared" si="2"/>
        <v>7</v>
      </c>
    </row>
    <row r="695">
      <c r="A695" s="4" t="s">
        <v>773</v>
      </c>
      <c r="B695" s="4" t="s">
        <v>268</v>
      </c>
      <c r="C695" s="12">
        <f>IFERROR(__xludf.DUMMYFUNCTION("""COMPUTED_VALUE"""),44663.315983796296)</f>
        <v>44663.31598</v>
      </c>
      <c r="D695" s="13">
        <f t="shared" si="1"/>
        <v>12</v>
      </c>
      <c r="E695" s="13">
        <f t="shared" si="2"/>
        <v>7</v>
      </c>
    </row>
    <row r="696">
      <c r="A696" s="4" t="s">
        <v>774</v>
      </c>
      <c r="B696" s="4" t="s">
        <v>394</v>
      </c>
      <c r="C696" s="12">
        <f>IFERROR(__xludf.DUMMYFUNCTION("""COMPUTED_VALUE"""),44663.31392361111)</f>
        <v>44663.31392</v>
      </c>
      <c r="D696" s="13">
        <f t="shared" si="1"/>
        <v>12</v>
      </c>
      <c r="E696" s="13">
        <f t="shared" si="2"/>
        <v>7</v>
      </c>
    </row>
    <row r="697">
      <c r="A697" s="4" t="s">
        <v>775</v>
      </c>
      <c r="B697" s="16"/>
      <c r="C697" s="12">
        <f>IFERROR(__xludf.DUMMYFUNCTION("""COMPUTED_VALUE"""),44663.312002314815)</f>
        <v>44663.312</v>
      </c>
      <c r="D697" s="13">
        <f t="shared" si="1"/>
        <v>12</v>
      </c>
      <c r="E697" s="13">
        <f t="shared" si="2"/>
        <v>7</v>
      </c>
    </row>
    <row r="698">
      <c r="A698" s="4" t="s">
        <v>776</v>
      </c>
      <c r="B698" s="4" t="s">
        <v>662</v>
      </c>
      <c r="C698" s="12">
        <f>IFERROR(__xludf.DUMMYFUNCTION("""COMPUTED_VALUE"""),44663.30974537037)</f>
        <v>44663.30975</v>
      </c>
      <c r="D698" s="13">
        <f t="shared" si="1"/>
        <v>12</v>
      </c>
      <c r="E698" s="13">
        <f t="shared" si="2"/>
        <v>7</v>
      </c>
    </row>
    <row r="699">
      <c r="A699" s="4" t="s">
        <v>777</v>
      </c>
      <c r="B699" s="4" t="s">
        <v>778</v>
      </c>
      <c r="C699" s="12">
        <f>IFERROR(__xludf.DUMMYFUNCTION("""COMPUTED_VALUE"""),44663.30972222222)</f>
        <v>44663.30972</v>
      </c>
      <c r="D699" s="13">
        <f t="shared" si="1"/>
        <v>12</v>
      </c>
      <c r="E699" s="13">
        <f t="shared" si="2"/>
        <v>7</v>
      </c>
    </row>
    <row r="700">
      <c r="A700" s="4" t="s">
        <v>779</v>
      </c>
      <c r="B700" s="4" t="s">
        <v>780</v>
      </c>
      <c r="C700" s="12">
        <f>IFERROR(__xludf.DUMMYFUNCTION("""COMPUTED_VALUE"""),44663.309328703705)</f>
        <v>44663.30933</v>
      </c>
      <c r="D700" s="13">
        <f t="shared" si="1"/>
        <v>12</v>
      </c>
      <c r="E700" s="13">
        <f t="shared" si="2"/>
        <v>7</v>
      </c>
    </row>
    <row r="701">
      <c r="A701" s="4" t="s">
        <v>781</v>
      </c>
      <c r="B701" s="4" t="s">
        <v>782</v>
      </c>
      <c r="C701" s="12">
        <f>IFERROR(__xludf.DUMMYFUNCTION("""COMPUTED_VALUE"""),44663.30872685185)</f>
        <v>44663.30873</v>
      </c>
      <c r="D701" s="13">
        <f t="shared" si="1"/>
        <v>12</v>
      </c>
      <c r="E701" s="13">
        <f t="shared" si="2"/>
        <v>7</v>
      </c>
    </row>
    <row r="702">
      <c r="A702" s="4" t="s">
        <v>783</v>
      </c>
      <c r="B702" s="16"/>
      <c r="C702" s="12">
        <f>IFERROR(__xludf.DUMMYFUNCTION("""COMPUTED_VALUE"""),44663.308703703704)</f>
        <v>44663.3087</v>
      </c>
      <c r="D702" s="13">
        <f t="shared" si="1"/>
        <v>12</v>
      </c>
      <c r="E702" s="13">
        <f t="shared" si="2"/>
        <v>7</v>
      </c>
    </row>
    <row r="703">
      <c r="A703" s="4" t="s">
        <v>784</v>
      </c>
      <c r="B703" s="4" t="s">
        <v>785</v>
      </c>
      <c r="C703" s="12">
        <f>IFERROR(__xludf.DUMMYFUNCTION("""COMPUTED_VALUE"""),44663.30813657407)</f>
        <v>44663.30814</v>
      </c>
      <c r="D703" s="13">
        <f t="shared" si="1"/>
        <v>12</v>
      </c>
      <c r="E703" s="13">
        <f t="shared" si="2"/>
        <v>7</v>
      </c>
    </row>
    <row r="704">
      <c r="A704" s="4" t="s">
        <v>786</v>
      </c>
      <c r="B704" s="4" t="s">
        <v>787</v>
      </c>
      <c r="C704" s="12">
        <f>IFERROR(__xludf.DUMMYFUNCTION("""COMPUTED_VALUE"""),44663.307488425926)</f>
        <v>44663.30749</v>
      </c>
      <c r="D704" s="13">
        <f t="shared" si="1"/>
        <v>12</v>
      </c>
      <c r="E704" s="13">
        <f t="shared" si="2"/>
        <v>7</v>
      </c>
    </row>
    <row r="705">
      <c r="A705" s="4" t="s">
        <v>788</v>
      </c>
      <c r="B705" s="4" t="s">
        <v>789</v>
      </c>
      <c r="C705" s="12">
        <f>IFERROR(__xludf.DUMMYFUNCTION("""COMPUTED_VALUE"""),44663.30719907407)</f>
        <v>44663.3072</v>
      </c>
      <c r="D705" s="13">
        <f t="shared" si="1"/>
        <v>12</v>
      </c>
      <c r="E705" s="13">
        <f t="shared" si="2"/>
        <v>7</v>
      </c>
    </row>
    <row r="706">
      <c r="A706" s="4" t="s">
        <v>790</v>
      </c>
      <c r="B706" s="4" t="s">
        <v>791</v>
      </c>
      <c r="C706" s="12">
        <f>IFERROR(__xludf.DUMMYFUNCTION("""COMPUTED_VALUE"""),44663.307129629626)</f>
        <v>44663.30713</v>
      </c>
      <c r="D706" s="13">
        <f t="shared" si="1"/>
        <v>12</v>
      </c>
      <c r="E706" s="13">
        <f t="shared" si="2"/>
        <v>7</v>
      </c>
    </row>
    <row r="707">
      <c r="A707" s="4" t="s">
        <v>792</v>
      </c>
      <c r="B707" s="4" t="s">
        <v>268</v>
      </c>
      <c r="C707" s="12">
        <f>IFERROR(__xludf.DUMMYFUNCTION("""COMPUTED_VALUE"""),44663.302094907405)</f>
        <v>44663.30209</v>
      </c>
      <c r="D707" s="13">
        <f t="shared" si="1"/>
        <v>12</v>
      </c>
      <c r="E707" s="13">
        <f t="shared" si="2"/>
        <v>7</v>
      </c>
    </row>
    <row r="708">
      <c r="A708" s="4" t="s">
        <v>793</v>
      </c>
      <c r="B708" s="4" t="s">
        <v>268</v>
      </c>
      <c r="C708" s="12">
        <f>IFERROR(__xludf.DUMMYFUNCTION("""COMPUTED_VALUE"""),44663.30206018518)</f>
        <v>44663.30206</v>
      </c>
      <c r="D708" s="13">
        <f t="shared" si="1"/>
        <v>12</v>
      </c>
      <c r="E708" s="13">
        <f t="shared" si="2"/>
        <v>7</v>
      </c>
    </row>
    <row r="709">
      <c r="A709" s="4" t="s">
        <v>794</v>
      </c>
      <c r="B709" s="4" t="s">
        <v>268</v>
      </c>
      <c r="C709" s="12">
        <f>IFERROR(__xludf.DUMMYFUNCTION("""COMPUTED_VALUE"""),44663.30197916667)</f>
        <v>44663.30198</v>
      </c>
      <c r="D709" s="13">
        <f t="shared" si="1"/>
        <v>12</v>
      </c>
      <c r="E709" s="13">
        <f t="shared" si="2"/>
        <v>7</v>
      </c>
    </row>
    <row r="710">
      <c r="A710" s="4" t="s">
        <v>795</v>
      </c>
      <c r="B710" s="4" t="s">
        <v>796</v>
      </c>
      <c r="C710" s="12">
        <f>IFERROR(__xludf.DUMMYFUNCTION("""COMPUTED_VALUE"""),44663.30193287037)</f>
        <v>44663.30193</v>
      </c>
      <c r="D710" s="13">
        <f t="shared" si="1"/>
        <v>12</v>
      </c>
      <c r="E710" s="13">
        <f t="shared" si="2"/>
        <v>7</v>
      </c>
    </row>
    <row r="711">
      <c r="A711" s="4" t="s">
        <v>797</v>
      </c>
      <c r="B711" s="4" t="s">
        <v>268</v>
      </c>
      <c r="C711" s="12">
        <f>IFERROR(__xludf.DUMMYFUNCTION("""COMPUTED_VALUE"""),44663.30179398148)</f>
        <v>44663.30179</v>
      </c>
      <c r="D711" s="13">
        <f t="shared" si="1"/>
        <v>12</v>
      </c>
      <c r="E711" s="13">
        <f t="shared" si="2"/>
        <v>7</v>
      </c>
    </row>
    <row r="712">
      <c r="A712" s="4" t="s">
        <v>798</v>
      </c>
      <c r="B712" s="16"/>
      <c r="C712" s="12">
        <f>IFERROR(__xludf.DUMMYFUNCTION("""COMPUTED_VALUE"""),44663.30177083333)</f>
        <v>44663.30177</v>
      </c>
      <c r="D712" s="13">
        <f t="shared" si="1"/>
        <v>12</v>
      </c>
      <c r="E712" s="13">
        <f t="shared" si="2"/>
        <v>7</v>
      </c>
    </row>
    <row r="713">
      <c r="A713" s="4" t="s">
        <v>799</v>
      </c>
      <c r="B713" s="16"/>
      <c r="C713" s="12">
        <f>IFERROR(__xludf.DUMMYFUNCTION("""COMPUTED_VALUE"""),44663.30174768518)</f>
        <v>44663.30175</v>
      </c>
      <c r="D713" s="13">
        <f t="shared" si="1"/>
        <v>12</v>
      </c>
      <c r="E713" s="13">
        <f t="shared" si="2"/>
        <v>7</v>
      </c>
    </row>
    <row r="714">
      <c r="A714" s="4" t="s">
        <v>800</v>
      </c>
      <c r="B714" s="4" t="s">
        <v>268</v>
      </c>
      <c r="C714" s="12">
        <f>IFERROR(__xludf.DUMMYFUNCTION("""COMPUTED_VALUE"""),44663.301724537036)</f>
        <v>44663.30172</v>
      </c>
      <c r="D714" s="13">
        <f t="shared" si="1"/>
        <v>12</v>
      </c>
      <c r="E714" s="13">
        <f t="shared" si="2"/>
        <v>7</v>
      </c>
    </row>
    <row r="715">
      <c r="A715" s="4" t="s">
        <v>801</v>
      </c>
      <c r="B715" s="16"/>
      <c r="C715" s="12">
        <f>IFERROR(__xludf.DUMMYFUNCTION("""COMPUTED_VALUE"""),44663.301678240736)</f>
        <v>44663.30168</v>
      </c>
      <c r="D715" s="13">
        <f t="shared" si="1"/>
        <v>12</v>
      </c>
      <c r="E715" s="13">
        <f t="shared" si="2"/>
        <v>7</v>
      </c>
    </row>
    <row r="716">
      <c r="A716" s="4" t="s">
        <v>802</v>
      </c>
      <c r="B716" s="4" t="s">
        <v>268</v>
      </c>
      <c r="C716" s="12">
        <f>IFERROR(__xludf.DUMMYFUNCTION("""COMPUTED_VALUE"""),44663.30153935185)</f>
        <v>44663.30154</v>
      </c>
      <c r="D716" s="13">
        <f t="shared" si="1"/>
        <v>12</v>
      </c>
      <c r="E716" s="13">
        <f t="shared" si="2"/>
        <v>7</v>
      </c>
    </row>
    <row r="717">
      <c r="A717" s="4" t="s">
        <v>803</v>
      </c>
      <c r="B717" s="4" t="s">
        <v>804</v>
      </c>
      <c r="C717" s="12">
        <f>IFERROR(__xludf.DUMMYFUNCTION("""COMPUTED_VALUE"""),44663.30060185185)</f>
        <v>44663.3006</v>
      </c>
      <c r="D717" s="13">
        <f t="shared" si="1"/>
        <v>12</v>
      </c>
      <c r="E717" s="13">
        <f t="shared" si="2"/>
        <v>7</v>
      </c>
    </row>
    <row r="718">
      <c r="A718" s="4" t="s">
        <v>805</v>
      </c>
      <c r="B718" s="4" t="s">
        <v>806</v>
      </c>
      <c r="C718" s="12">
        <f>IFERROR(__xludf.DUMMYFUNCTION("""COMPUTED_VALUE"""),44663.30019675926)</f>
        <v>44663.3002</v>
      </c>
      <c r="D718" s="13">
        <f t="shared" si="1"/>
        <v>12</v>
      </c>
      <c r="E718" s="13">
        <f t="shared" si="2"/>
        <v>7</v>
      </c>
    </row>
    <row r="719">
      <c r="A719" s="4" t="s">
        <v>807</v>
      </c>
      <c r="B719" s="4" t="s">
        <v>806</v>
      </c>
      <c r="C719" s="12">
        <f>IFERROR(__xludf.DUMMYFUNCTION("""COMPUTED_VALUE"""),44663.30017361111)</f>
        <v>44663.30017</v>
      </c>
      <c r="D719" s="13">
        <f t="shared" si="1"/>
        <v>12</v>
      </c>
      <c r="E719" s="13">
        <f t="shared" si="2"/>
        <v>7</v>
      </c>
    </row>
    <row r="720">
      <c r="A720" s="4" t="s">
        <v>807</v>
      </c>
      <c r="B720" s="4" t="s">
        <v>808</v>
      </c>
      <c r="C720" s="12">
        <f>IFERROR(__xludf.DUMMYFUNCTION("""COMPUTED_VALUE"""),44663.30017361111)</f>
        <v>44663.30017</v>
      </c>
      <c r="D720" s="13">
        <f t="shared" si="1"/>
        <v>12</v>
      </c>
      <c r="E720" s="13">
        <f t="shared" si="2"/>
        <v>7</v>
      </c>
    </row>
    <row r="721">
      <c r="A721" s="4" t="s">
        <v>809</v>
      </c>
      <c r="B721" s="4" t="s">
        <v>810</v>
      </c>
      <c r="C721" s="12">
        <f>IFERROR(__xludf.DUMMYFUNCTION("""COMPUTED_VALUE"""),44663.29829861111)</f>
        <v>44663.2983</v>
      </c>
      <c r="D721" s="13">
        <f t="shared" si="1"/>
        <v>12</v>
      </c>
      <c r="E721" s="13">
        <f t="shared" si="2"/>
        <v>7</v>
      </c>
    </row>
    <row r="722">
      <c r="A722" s="4" t="s">
        <v>811</v>
      </c>
      <c r="B722" s="4" t="s">
        <v>778</v>
      </c>
      <c r="C722" s="12">
        <f>IFERROR(__xludf.DUMMYFUNCTION("""COMPUTED_VALUE"""),44663.2980787037)</f>
        <v>44663.29808</v>
      </c>
      <c r="D722" s="13">
        <f t="shared" si="1"/>
        <v>12</v>
      </c>
      <c r="E722" s="13">
        <f t="shared" si="2"/>
        <v>7</v>
      </c>
    </row>
    <row r="723">
      <c r="A723" s="4" t="s">
        <v>812</v>
      </c>
      <c r="B723" s="4" t="s">
        <v>813</v>
      </c>
      <c r="C723" s="12">
        <f>IFERROR(__xludf.DUMMYFUNCTION("""COMPUTED_VALUE"""),44663.29791666666)</f>
        <v>44663.29792</v>
      </c>
      <c r="D723" s="13">
        <f t="shared" si="1"/>
        <v>12</v>
      </c>
      <c r="E723" s="13">
        <f t="shared" si="2"/>
        <v>7</v>
      </c>
    </row>
    <row r="724">
      <c r="A724" s="4" t="s">
        <v>814</v>
      </c>
      <c r="B724" s="16"/>
      <c r="C724" s="12">
        <f>IFERROR(__xludf.DUMMYFUNCTION("""COMPUTED_VALUE"""),44663.29784722222)</f>
        <v>44663.29785</v>
      </c>
      <c r="D724" s="13">
        <f t="shared" si="1"/>
        <v>12</v>
      </c>
      <c r="E724" s="13">
        <f t="shared" si="2"/>
        <v>7</v>
      </c>
    </row>
    <row r="725">
      <c r="A725" s="4" t="s">
        <v>815</v>
      </c>
      <c r="B725" s="16"/>
      <c r="C725" s="12">
        <f>IFERROR(__xludf.DUMMYFUNCTION("""COMPUTED_VALUE"""),44663.29782407407)</f>
        <v>44663.29782</v>
      </c>
      <c r="D725" s="13">
        <f t="shared" si="1"/>
        <v>12</v>
      </c>
      <c r="E725" s="13">
        <f t="shared" si="2"/>
        <v>7</v>
      </c>
    </row>
    <row r="726">
      <c r="A726" s="4" t="s">
        <v>816</v>
      </c>
      <c r="B726" s="16"/>
      <c r="C726" s="12">
        <f>IFERROR(__xludf.DUMMYFUNCTION("""COMPUTED_VALUE"""),44663.29436342592)</f>
        <v>44663.29436</v>
      </c>
      <c r="D726" s="13">
        <f t="shared" si="1"/>
        <v>12</v>
      </c>
      <c r="E726" s="13">
        <f t="shared" si="2"/>
        <v>7</v>
      </c>
    </row>
    <row r="727">
      <c r="A727" s="4" t="s">
        <v>817</v>
      </c>
      <c r="B727" s="16"/>
      <c r="C727" s="12">
        <f>IFERROR(__xludf.DUMMYFUNCTION("""COMPUTED_VALUE"""),44663.29364583333)</f>
        <v>44663.29365</v>
      </c>
      <c r="D727" s="13">
        <f t="shared" si="1"/>
        <v>12</v>
      </c>
      <c r="E727" s="13">
        <f t="shared" si="2"/>
        <v>7</v>
      </c>
    </row>
    <row r="728">
      <c r="A728" s="4" t="s">
        <v>818</v>
      </c>
      <c r="B728" s="4" t="s">
        <v>819</v>
      </c>
      <c r="C728" s="12">
        <f>IFERROR(__xludf.DUMMYFUNCTION("""COMPUTED_VALUE"""),44663.29313657407)</f>
        <v>44663.29314</v>
      </c>
      <c r="D728" s="13">
        <f t="shared" si="1"/>
        <v>12</v>
      </c>
      <c r="E728" s="13">
        <f t="shared" si="2"/>
        <v>7</v>
      </c>
    </row>
    <row r="729">
      <c r="A729" s="4" t="s">
        <v>820</v>
      </c>
      <c r="B729" s="16"/>
      <c r="C729" s="12">
        <f>IFERROR(__xludf.DUMMYFUNCTION("""COMPUTED_VALUE"""),44663.29309027777)</f>
        <v>44663.29309</v>
      </c>
      <c r="D729" s="13">
        <f t="shared" si="1"/>
        <v>12</v>
      </c>
      <c r="E729" s="13">
        <f t="shared" si="2"/>
        <v>7</v>
      </c>
    </row>
    <row r="730">
      <c r="A730" s="4" t="s">
        <v>821</v>
      </c>
      <c r="B730" s="16"/>
      <c r="C730" s="12">
        <f>IFERROR(__xludf.DUMMYFUNCTION("""COMPUTED_VALUE"""),44663.29268518518)</f>
        <v>44663.29269</v>
      </c>
      <c r="D730" s="13">
        <f t="shared" si="1"/>
        <v>12</v>
      </c>
      <c r="E730" s="13">
        <f t="shared" si="2"/>
        <v>7</v>
      </c>
    </row>
    <row r="731">
      <c r="A731" s="4" t="s">
        <v>822</v>
      </c>
      <c r="B731" s="16"/>
      <c r="C731" s="12">
        <f>IFERROR(__xludf.DUMMYFUNCTION("""COMPUTED_VALUE"""),44663.29267361111)</f>
        <v>44663.29267</v>
      </c>
      <c r="D731" s="13">
        <f t="shared" si="1"/>
        <v>12</v>
      </c>
      <c r="E731" s="13">
        <f t="shared" si="2"/>
        <v>7</v>
      </c>
    </row>
    <row r="732">
      <c r="A732" s="4" t="s">
        <v>823</v>
      </c>
      <c r="B732" s="16"/>
      <c r="C732" s="12">
        <f>IFERROR(__xludf.DUMMYFUNCTION("""COMPUTED_VALUE"""),44663.29263888889)</f>
        <v>44663.29264</v>
      </c>
      <c r="D732" s="13">
        <f t="shared" si="1"/>
        <v>12</v>
      </c>
      <c r="E732" s="13">
        <f t="shared" si="2"/>
        <v>7</v>
      </c>
    </row>
    <row r="733">
      <c r="A733" s="4" t="s">
        <v>824</v>
      </c>
      <c r="B733" s="16"/>
      <c r="C733" s="12">
        <f>IFERROR(__xludf.DUMMYFUNCTION("""COMPUTED_VALUE"""),44663.292604166665)</f>
        <v>44663.2926</v>
      </c>
      <c r="D733" s="13">
        <f t="shared" si="1"/>
        <v>12</v>
      </c>
      <c r="E733" s="13">
        <f t="shared" si="2"/>
        <v>7</v>
      </c>
    </row>
    <row r="734">
      <c r="A734" s="4" t="s">
        <v>825</v>
      </c>
      <c r="B734" s="16"/>
      <c r="C734" s="12">
        <f>IFERROR(__xludf.DUMMYFUNCTION("""COMPUTED_VALUE"""),44663.29259259259)</f>
        <v>44663.29259</v>
      </c>
      <c r="D734" s="13">
        <f t="shared" si="1"/>
        <v>12</v>
      </c>
      <c r="E734" s="13">
        <f t="shared" si="2"/>
        <v>7</v>
      </c>
    </row>
    <row r="735">
      <c r="A735" s="4" t="s">
        <v>826</v>
      </c>
      <c r="B735" s="4" t="s">
        <v>806</v>
      </c>
      <c r="C735" s="12">
        <f>IFERROR(__xludf.DUMMYFUNCTION("""COMPUTED_VALUE"""),44663.29072916666)</f>
        <v>44663.29073</v>
      </c>
      <c r="D735" s="13">
        <f t="shared" si="1"/>
        <v>12</v>
      </c>
      <c r="E735" s="13">
        <f t="shared" si="2"/>
        <v>6</v>
      </c>
    </row>
    <row r="736">
      <c r="A736" s="4" t="s">
        <v>827</v>
      </c>
      <c r="B736" s="4" t="s">
        <v>806</v>
      </c>
      <c r="C736" s="12">
        <f>IFERROR(__xludf.DUMMYFUNCTION("""COMPUTED_VALUE"""),44663.29070601852)</f>
        <v>44663.29071</v>
      </c>
      <c r="D736" s="13">
        <f t="shared" si="1"/>
        <v>12</v>
      </c>
      <c r="E736" s="13">
        <f t="shared" si="2"/>
        <v>6</v>
      </c>
    </row>
    <row r="737">
      <c r="A737" s="4" t="s">
        <v>828</v>
      </c>
      <c r="B737" s="4" t="s">
        <v>829</v>
      </c>
      <c r="C737" s="12">
        <f>IFERROR(__xludf.DUMMYFUNCTION("""COMPUTED_VALUE"""),44663.290671296294)</f>
        <v>44663.29067</v>
      </c>
      <c r="D737" s="13">
        <f t="shared" si="1"/>
        <v>12</v>
      </c>
      <c r="E737" s="13">
        <f t="shared" si="2"/>
        <v>6</v>
      </c>
    </row>
    <row r="738">
      <c r="A738" s="4" t="s">
        <v>830</v>
      </c>
      <c r="B738" s="4" t="s">
        <v>829</v>
      </c>
      <c r="C738" s="12">
        <f>IFERROR(__xludf.DUMMYFUNCTION("""COMPUTED_VALUE"""),44663.29063657407)</f>
        <v>44663.29064</v>
      </c>
      <c r="D738" s="13">
        <f t="shared" si="1"/>
        <v>12</v>
      </c>
      <c r="E738" s="13">
        <f t="shared" si="2"/>
        <v>6</v>
      </c>
    </row>
    <row r="739">
      <c r="A739" s="4" t="s">
        <v>831</v>
      </c>
      <c r="B739" s="4" t="s">
        <v>829</v>
      </c>
      <c r="C739" s="12">
        <f>IFERROR(__xludf.DUMMYFUNCTION("""COMPUTED_VALUE"""),44663.290613425925)</f>
        <v>44663.29061</v>
      </c>
      <c r="D739" s="13">
        <f t="shared" si="1"/>
        <v>12</v>
      </c>
      <c r="E739" s="13">
        <f t="shared" si="2"/>
        <v>6</v>
      </c>
    </row>
    <row r="740">
      <c r="A740" s="4" t="s">
        <v>832</v>
      </c>
      <c r="B740" s="4" t="s">
        <v>833</v>
      </c>
      <c r="C740" s="12">
        <f>IFERROR(__xludf.DUMMYFUNCTION("""COMPUTED_VALUE"""),44663.28929398148)</f>
        <v>44663.28929</v>
      </c>
      <c r="D740" s="13">
        <f t="shared" si="1"/>
        <v>12</v>
      </c>
      <c r="E740" s="13">
        <f t="shared" si="2"/>
        <v>6</v>
      </c>
    </row>
    <row r="741">
      <c r="A741" s="4" t="s">
        <v>834</v>
      </c>
      <c r="B741" s="4" t="s">
        <v>835</v>
      </c>
      <c r="C741" s="12">
        <f>IFERROR(__xludf.DUMMYFUNCTION("""COMPUTED_VALUE"""),44663.28859953704)</f>
        <v>44663.2886</v>
      </c>
      <c r="D741" s="13">
        <f t="shared" si="1"/>
        <v>12</v>
      </c>
      <c r="E741" s="13">
        <f t="shared" si="2"/>
        <v>6</v>
      </c>
    </row>
    <row r="742">
      <c r="A742" s="4" t="s">
        <v>836</v>
      </c>
      <c r="B742" s="4" t="s">
        <v>837</v>
      </c>
      <c r="C742" s="12">
        <f>IFERROR(__xludf.DUMMYFUNCTION("""COMPUTED_VALUE"""),44663.28803240741)</f>
        <v>44663.28803</v>
      </c>
      <c r="D742" s="13">
        <f t="shared" si="1"/>
        <v>12</v>
      </c>
      <c r="E742" s="13">
        <f t="shared" si="2"/>
        <v>6</v>
      </c>
    </row>
    <row r="743">
      <c r="A743" s="4" t="s">
        <v>838</v>
      </c>
      <c r="B743" s="4" t="s">
        <v>839</v>
      </c>
      <c r="C743" s="12">
        <f>IFERROR(__xludf.DUMMYFUNCTION("""COMPUTED_VALUE"""),44663.28744212963)</f>
        <v>44663.28744</v>
      </c>
      <c r="D743" s="13">
        <f t="shared" si="1"/>
        <v>12</v>
      </c>
      <c r="E743" s="13">
        <f t="shared" si="2"/>
        <v>6</v>
      </c>
    </row>
    <row r="744">
      <c r="A744" s="4" t="s">
        <v>840</v>
      </c>
      <c r="B744" s="4" t="s">
        <v>841</v>
      </c>
      <c r="C744" s="12">
        <f>IFERROR(__xludf.DUMMYFUNCTION("""COMPUTED_VALUE"""),44663.287418981476)</f>
        <v>44663.28742</v>
      </c>
      <c r="D744" s="13">
        <f t="shared" si="1"/>
        <v>12</v>
      </c>
      <c r="E744" s="13">
        <f t="shared" si="2"/>
        <v>6</v>
      </c>
    </row>
    <row r="745">
      <c r="A745" s="4" t="s">
        <v>842</v>
      </c>
      <c r="B745" s="4" t="s">
        <v>843</v>
      </c>
      <c r="C745" s="12">
        <f>IFERROR(__xludf.DUMMYFUNCTION("""COMPUTED_VALUE"""),44663.28600694444)</f>
        <v>44663.28601</v>
      </c>
      <c r="D745" s="13">
        <f t="shared" si="1"/>
        <v>12</v>
      </c>
      <c r="E745" s="13">
        <f t="shared" si="2"/>
        <v>6</v>
      </c>
    </row>
    <row r="746">
      <c r="A746" s="4" t="s">
        <v>844</v>
      </c>
      <c r="B746" s="16"/>
      <c r="C746" s="12">
        <f>IFERROR(__xludf.DUMMYFUNCTION("""COMPUTED_VALUE"""),44663.285474537035)</f>
        <v>44663.28547</v>
      </c>
      <c r="D746" s="13">
        <f t="shared" si="1"/>
        <v>12</v>
      </c>
      <c r="E746" s="13">
        <f t="shared" si="2"/>
        <v>6</v>
      </c>
    </row>
    <row r="747">
      <c r="A747" s="4" t="s">
        <v>845</v>
      </c>
      <c r="B747" s="4" t="s">
        <v>833</v>
      </c>
      <c r="C747" s="12">
        <f>IFERROR(__xludf.DUMMYFUNCTION("""COMPUTED_VALUE"""),44663.28481481481)</f>
        <v>44663.28481</v>
      </c>
      <c r="D747" s="13">
        <f t="shared" si="1"/>
        <v>12</v>
      </c>
      <c r="E747" s="13">
        <f t="shared" si="2"/>
        <v>6</v>
      </c>
    </row>
    <row r="748">
      <c r="A748" s="4" t="s">
        <v>846</v>
      </c>
      <c r="B748" s="16"/>
      <c r="C748" s="12">
        <f>IFERROR(__xludf.DUMMYFUNCTION("""COMPUTED_VALUE"""),44663.284537037034)</f>
        <v>44663.28454</v>
      </c>
      <c r="D748" s="13">
        <f t="shared" si="1"/>
        <v>12</v>
      </c>
      <c r="E748" s="13">
        <f t="shared" si="2"/>
        <v>6</v>
      </c>
    </row>
    <row r="749">
      <c r="A749" s="4" t="s">
        <v>847</v>
      </c>
      <c r="B749" s="4" t="s">
        <v>833</v>
      </c>
      <c r="C749" s="12">
        <f>IFERROR(__xludf.DUMMYFUNCTION("""COMPUTED_VALUE"""),44663.28429398148)</f>
        <v>44663.28429</v>
      </c>
      <c r="D749" s="13">
        <f t="shared" si="1"/>
        <v>12</v>
      </c>
      <c r="E749" s="13">
        <f t="shared" si="2"/>
        <v>6</v>
      </c>
    </row>
    <row r="750">
      <c r="A750" s="4" t="s">
        <v>848</v>
      </c>
      <c r="B750" s="16"/>
      <c r="C750" s="12">
        <f>IFERROR(__xludf.DUMMYFUNCTION("""COMPUTED_VALUE"""),44663.28291666666)</f>
        <v>44663.28292</v>
      </c>
      <c r="D750" s="13">
        <f t="shared" si="1"/>
        <v>12</v>
      </c>
      <c r="E750" s="13">
        <f t="shared" si="2"/>
        <v>6</v>
      </c>
    </row>
    <row r="751">
      <c r="A751" s="4" t="s">
        <v>849</v>
      </c>
      <c r="B751" s="4" t="s">
        <v>829</v>
      </c>
      <c r="C751" s="12">
        <f>IFERROR(__xludf.DUMMYFUNCTION("""COMPUTED_VALUE"""),44663.282638888886)</f>
        <v>44663.28264</v>
      </c>
      <c r="D751" s="13">
        <f t="shared" si="1"/>
        <v>12</v>
      </c>
      <c r="E751" s="13">
        <f t="shared" si="2"/>
        <v>6</v>
      </c>
    </row>
    <row r="752">
      <c r="A752" s="4" t="s">
        <v>850</v>
      </c>
      <c r="B752" s="16"/>
      <c r="C752" s="12">
        <f>IFERROR(__xludf.DUMMYFUNCTION("""COMPUTED_VALUE"""),44663.27798611111)</f>
        <v>44663.27799</v>
      </c>
      <c r="D752" s="13">
        <f t="shared" si="1"/>
        <v>12</v>
      </c>
      <c r="E752" s="13">
        <f t="shared" si="2"/>
        <v>6</v>
      </c>
    </row>
    <row r="753">
      <c r="A753" s="4" t="s">
        <v>851</v>
      </c>
      <c r="B753" s="4" t="s">
        <v>852</v>
      </c>
      <c r="C753" s="12">
        <f>IFERROR(__xludf.DUMMYFUNCTION("""COMPUTED_VALUE"""),44663.27796296296)</f>
        <v>44663.27796</v>
      </c>
      <c r="D753" s="13">
        <f t="shared" si="1"/>
        <v>12</v>
      </c>
      <c r="E753" s="13">
        <f t="shared" si="2"/>
        <v>6</v>
      </c>
    </row>
    <row r="754">
      <c r="A754" s="4" t="s">
        <v>853</v>
      </c>
      <c r="B754" s="4" t="s">
        <v>854</v>
      </c>
      <c r="C754" s="12">
        <f>IFERROR(__xludf.DUMMYFUNCTION("""COMPUTED_VALUE"""),44663.27736111111)</f>
        <v>44663.27736</v>
      </c>
      <c r="D754" s="13">
        <f t="shared" si="1"/>
        <v>12</v>
      </c>
      <c r="E754" s="13">
        <f t="shared" si="2"/>
        <v>6</v>
      </c>
    </row>
    <row r="755">
      <c r="A755" s="4" t="s">
        <v>855</v>
      </c>
      <c r="B755" s="4" t="s">
        <v>819</v>
      </c>
      <c r="C755" s="12">
        <f>IFERROR(__xludf.DUMMYFUNCTION("""COMPUTED_VALUE"""),44663.27663194444)</f>
        <v>44663.27663</v>
      </c>
      <c r="D755" s="13">
        <f t="shared" si="1"/>
        <v>12</v>
      </c>
      <c r="E755" s="13">
        <f t="shared" si="2"/>
        <v>6</v>
      </c>
    </row>
    <row r="756">
      <c r="A756" s="4" t="s">
        <v>856</v>
      </c>
      <c r="B756" s="16"/>
      <c r="C756" s="12">
        <f>IFERROR(__xludf.DUMMYFUNCTION("""COMPUTED_VALUE"""),44663.2758449074)</f>
        <v>44663.27584</v>
      </c>
      <c r="D756" s="13">
        <f t="shared" si="1"/>
        <v>12</v>
      </c>
      <c r="E756" s="13">
        <f t="shared" si="2"/>
        <v>6</v>
      </c>
    </row>
    <row r="757">
      <c r="A757" s="4" t="s">
        <v>857</v>
      </c>
      <c r="B757" s="16"/>
      <c r="C757" s="12">
        <f>IFERROR(__xludf.DUMMYFUNCTION("""COMPUTED_VALUE"""),44663.27581018518)</f>
        <v>44663.27581</v>
      </c>
      <c r="D757" s="13">
        <f t="shared" si="1"/>
        <v>12</v>
      </c>
      <c r="E757" s="13">
        <f t="shared" si="2"/>
        <v>6</v>
      </c>
    </row>
    <row r="758">
      <c r="A758" s="4" t="s">
        <v>858</v>
      </c>
      <c r="B758" s="16"/>
      <c r="C758" s="12">
        <f>IFERROR(__xludf.DUMMYFUNCTION("""COMPUTED_VALUE"""),44663.27578703703)</f>
        <v>44663.27579</v>
      </c>
      <c r="D758" s="13">
        <f t="shared" si="1"/>
        <v>12</v>
      </c>
      <c r="E758" s="13">
        <f t="shared" si="2"/>
        <v>6</v>
      </c>
    </row>
    <row r="759">
      <c r="A759" s="4" t="s">
        <v>859</v>
      </c>
      <c r="B759" s="16"/>
      <c r="C759" s="12">
        <f>IFERROR(__xludf.DUMMYFUNCTION("""COMPUTED_VALUE"""),44663.27575231481)</f>
        <v>44663.27575</v>
      </c>
      <c r="D759" s="13">
        <f t="shared" si="1"/>
        <v>12</v>
      </c>
      <c r="E759" s="13">
        <f t="shared" si="2"/>
        <v>6</v>
      </c>
    </row>
    <row r="760">
      <c r="A760" s="4" t="s">
        <v>860</v>
      </c>
      <c r="B760" s="4" t="s">
        <v>854</v>
      </c>
      <c r="C760" s="12">
        <f>IFERROR(__xludf.DUMMYFUNCTION("""COMPUTED_VALUE"""),44663.274826388886)</f>
        <v>44663.27483</v>
      </c>
      <c r="D760" s="13">
        <f t="shared" si="1"/>
        <v>12</v>
      </c>
      <c r="E760" s="13">
        <f t="shared" si="2"/>
        <v>6</v>
      </c>
    </row>
    <row r="761">
      <c r="A761" s="4" t="s">
        <v>861</v>
      </c>
      <c r="B761" s="16"/>
      <c r="C761" s="12">
        <f>IFERROR(__xludf.DUMMYFUNCTION("""COMPUTED_VALUE"""),44663.274618055555)</f>
        <v>44663.27462</v>
      </c>
      <c r="D761" s="13">
        <f t="shared" si="1"/>
        <v>12</v>
      </c>
      <c r="E761" s="13">
        <f t="shared" si="2"/>
        <v>6</v>
      </c>
    </row>
    <row r="762">
      <c r="A762" s="4" t="s">
        <v>862</v>
      </c>
      <c r="B762" s="16"/>
      <c r="C762" s="12">
        <f>IFERROR(__xludf.DUMMYFUNCTION("""COMPUTED_VALUE"""),44663.27375)</f>
        <v>44663.27375</v>
      </c>
      <c r="D762" s="13">
        <f t="shared" si="1"/>
        <v>12</v>
      </c>
      <c r="E762" s="13">
        <f t="shared" si="2"/>
        <v>6</v>
      </c>
    </row>
    <row r="763">
      <c r="A763" s="4" t="s">
        <v>863</v>
      </c>
      <c r="B763" s="4" t="s">
        <v>864</v>
      </c>
      <c r="C763" s="12">
        <f>IFERROR(__xludf.DUMMYFUNCTION("""COMPUTED_VALUE"""),44663.27366898148)</f>
        <v>44663.27367</v>
      </c>
      <c r="D763" s="13">
        <f t="shared" si="1"/>
        <v>12</v>
      </c>
      <c r="E763" s="13">
        <f t="shared" si="2"/>
        <v>6</v>
      </c>
    </row>
    <row r="764">
      <c r="A764" s="4" t="s">
        <v>865</v>
      </c>
      <c r="B764" s="4" t="s">
        <v>864</v>
      </c>
      <c r="C764" s="12">
        <f>IFERROR(__xludf.DUMMYFUNCTION("""COMPUTED_VALUE"""),44663.273564814815)</f>
        <v>44663.27356</v>
      </c>
      <c r="D764" s="13">
        <f t="shared" si="1"/>
        <v>12</v>
      </c>
      <c r="E764" s="13">
        <f t="shared" si="2"/>
        <v>6</v>
      </c>
    </row>
    <row r="765">
      <c r="A765" s="4" t="s">
        <v>866</v>
      </c>
      <c r="B765" s="16"/>
      <c r="C765" s="12">
        <f>IFERROR(__xludf.DUMMYFUNCTION("""COMPUTED_VALUE"""),44663.272939814815)</f>
        <v>44663.27294</v>
      </c>
      <c r="D765" s="13">
        <f t="shared" si="1"/>
        <v>12</v>
      </c>
      <c r="E765" s="13">
        <f t="shared" si="2"/>
        <v>6</v>
      </c>
    </row>
    <row r="766">
      <c r="A766" s="4" t="s">
        <v>867</v>
      </c>
      <c r="B766" s="16"/>
      <c r="C766" s="12">
        <f>IFERROR(__xludf.DUMMYFUNCTION("""COMPUTED_VALUE"""),44663.271793981476)</f>
        <v>44663.27179</v>
      </c>
      <c r="D766" s="13">
        <f t="shared" si="1"/>
        <v>12</v>
      </c>
      <c r="E766" s="13">
        <f t="shared" si="2"/>
        <v>6</v>
      </c>
    </row>
    <row r="767">
      <c r="A767" s="4" t="s">
        <v>868</v>
      </c>
      <c r="B767" s="16"/>
      <c r="C767" s="12">
        <f>IFERROR(__xludf.DUMMYFUNCTION("""COMPUTED_VALUE"""),44663.27009259259)</f>
        <v>44663.27009</v>
      </c>
      <c r="D767" s="13">
        <f t="shared" si="1"/>
        <v>12</v>
      </c>
      <c r="E767" s="13">
        <f t="shared" si="2"/>
        <v>6</v>
      </c>
    </row>
    <row r="768">
      <c r="A768" s="4" t="s">
        <v>869</v>
      </c>
      <c r="B768" s="16"/>
      <c r="C768" s="12">
        <f>IFERROR(__xludf.DUMMYFUNCTION("""COMPUTED_VALUE"""),44663.269479166665)</f>
        <v>44663.26948</v>
      </c>
      <c r="D768" s="13">
        <f t="shared" si="1"/>
        <v>12</v>
      </c>
      <c r="E768" s="13">
        <f t="shared" si="2"/>
        <v>6</v>
      </c>
    </row>
    <row r="769">
      <c r="A769" s="4" t="s">
        <v>870</v>
      </c>
      <c r="B769" s="4" t="s">
        <v>871</v>
      </c>
      <c r="C769" s="12">
        <f>IFERROR(__xludf.DUMMYFUNCTION("""COMPUTED_VALUE"""),44663.26640046296)</f>
        <v>44663.2664</v>
      </c>
      <c r="D769" s="13">
        <f t="shared" si="1"/>
        <v>12</v>
      </c>
      <c r="E769" s="13">
        <f t="shared" si="2"/>
        <v>6</v>
      </c>
    </row>
    <row r="770">
      <c r="A770" s="4" t="s">
        <v>872</v>
      </c>
      <c r="B770" s="4" t="s">
        <v>873</v>
      </c>
      <c r="C770" s="12">
        <f>IFERROR(__xludf.DUMMYFUNCTION("""COMPUTED_VALUE"""),44663.26554398148)</f>
        <v>44663.26554</v>
      </c>
      <c r="D770" s="13">
        <f t="shared" si="1"/>
        <v>12</v>
      </c>
      <c r="E770" s="13">
        <f t="shared" si="2"/>
        <v>6</v>
      </c>
    </row>
    <row r="771">
      <c r="A771" s="4" t="s">
        <v>874</v>
      </c>
      <c r="B771" s="4" t="s">
        <v>875</v>
      </c>
      <c r="C771" s="12">
        <f>IFERROR(__xludf.DUMMYFUNCTION("""COMPUTED_VALUE"""),44663.25708333333)</f>
        <v>44663.25708</v>
      </c>
      <c r="D771" s="13">
        <f t="shared" si="1"/>
        <v>12</v>
      </c>
      <c r="E771" s="13">
        <f t="shared" si="2"/>
        <v>6</v>
      </c>
    </row>
    <row r="772">
      <c r="A772" s="4" t="s">
        <v>876</v>
      </c>
      <c r="B772" s="4" t="s">
        <v>877</v>
      </c>
      <c r="C772" s="12">
        <f>IFERROR(__xludf.DUMMYFUNCTION("""COMPUTED_VALUE"""),44663.25619212963)</f>
        <v>44663.25619</v>
      </c>
      <c r="D772" s="13">
        <f t="shared" si="1"/>
        <v>12</v>
      </c>
      <c r="E772" s="13">
        <f t="shared" si="2"/>
        <v>6</v>
      </c>
    </row>
    <row r="773">
      <c r="A773" s="4" t="s">
        <v>878</v>
      </c>
      <c r="B773" s="16"/>
      <c r="C773" s="12">
        <f>IFERROR(__xludf.DUMMYFUNCTION("""COMPUTED_VALUE"""),44663.25568287037)</f>
        <v>44663.25568</v>
      </c>
      <c r="D773" s="13">
        <f t="shared" si="1"/>
        <v>12</v>
      </c>
      <c r="E773" s="13">
        <f t="shared" si="2"/>
        <v>6</v>
      </c>
    </row>
    <row r="774">
      <c r="A774" s="4" t="s">
        <v>879</v>
      </c>
      <c r="B774" s="4" t="s">
        <v>880</v>
      </c>
      <c r="C774" s="12">
        <f>IFERROR(__xludf.DUMMYFUNCTION("""COMPUTED_VALUE"""),44663.255648148144)</f>
        <v>44663.25565</v>
      </c>
      <c r="D774" s="13">
        <f t="shared" si="1"/>
        <v>12</v>
      </c>
      <c r="E774" s="13">
        <f t="shared" si="2"/>
        <v>6</v>
      </c>
    </row>
    <row r="775">
      <c r="A775" s="4" t="s">
        <v>881</v>
      </c>
      <c r="B775" s="16"/>
      <c r="C775" s="12">
        <f>IFERROR(__xludf.DUMMYFUNCTION("""COMPUTED_VALUE"""),44663.25408564814)</f>
        <v>44663.25409</v>
      </c>
      <c r="D775" s="13">
        <f t="shared" si="1"/>
        <v>12</v>
      </c>
      <c r="E775" s="13">
        <f t="shared" si="2"/>
        <v>6</v>
      </c>
    </row>
    <row r="776">
      <c r="A776" s="4" t="s">
        <v>882</v>
      </c>
      <c r="B776" s="4" t="s">
        <v>883</v>
      </c>
      <c r="C776" s="12">
        <f>IFERROR(__xludf.DUMMYFUNCTION("""COMPUTED_VALUE"""),44663.252118055556)</f>
        <v>44663.25212</v>
      </c>
      <c r="D776" s="13">
        <f t="shared" si="1"/>
        <v>12</v>
      </c>
      <c r="E776" s="13">
        <f t="shared" si="2"/>
        <v>6</v>
      </c>
    </row>
    <row r="777">
      <c r="A777" s="4" t="s">
        <v>884</v>
      </c>
      <c r="B777" s="4" t="s">
        <v>883</v>
      </c>
      <c r="C777" s="12">
        <f>IFERROR(__xludf.DUMMYFUNCTION("""COMPUTED_VALUE"""),44663.252071759256)</f>
        <v>44663.25207</v>
      </c>
      <c r="D777" s="13">
        <f t="shared" si="1"/>
        <v>12</v>
      </c>
      <c r="E777" s="13">
        <f t="shared" si="2"/>
        <v>6</v>
      </c>
    </row>
    <row r="778">
      <c r="A778" s="4" t="s">
        <v>885</v>
      </c>
      <c r="B778" s="16"/>
      <c r="C778" s="12">
        <f>IFERROR(__xludf.DUMMYFUNCTION("""COMPUTED_VALUE"""),44663.25203703703)</f>
        <v>44663.25204</v>
      </c>
      <c r="D778" s="13">
        <f t="shared" si="1"/>
        <v>12</v>
      </c>
      <c r="E778" s="13">
        <f t="shared" si="2"/>
        <v>6</v>
      </c>
    </row>
    <row r="779">
      <c r="A779" s="4" t="s">
        <v>886</v>
      </c>
      <c r="B779" s="16"/>
      <c r="C779" s="12">
        <f>IFERROR(__xludf.DUMMYFUNCTION("""COMPUTED_VALUE"""),44663.248715277776)</f>
        <v>44663.24872</v>
      </c>
      <c r="D779" s="13">
        <f t="shared" si="1"/>
        <v>12</v>
      </c>
      <c r="E779" s="13">
        <f t="shared" si="2"/>
        <v>5</v>
      </c>
    </row>
    <row r="780">
      <c r="A780" s="4" t="s">
        <v>887</v>
      </c>
      <c r="B780" s="16"/>
      <c r="C780" s="12">
        <f>IFERROR(__xludf.DUMMYFUNCTION("""COMPUTED_VALUE"""),44663.248564814814)</f>
        <v>44663.24856</v>
      </c>
      <c r="D780" s="13">
        <f t="shared" si="1"/>
        <v>12</v>
      </c>
      <c r="E780" s="13">
        <f t="shared" si="2"/>
        <v>5</v>
      </c>
    </row>
    <row r="781">
      <c r="A781" s="4" t="s">
        <v>888</v>
      </c>
      <c r="B781" s="16"/>
      <c r="C781" s="12">
        <f>IFERROR(__xludf.DUMMYFUNCTION("""COMPUTED_VALUE"""),44663.248518518514)</f>
        <v>44663.24852</v>
      </c>
      <c r="D781" s="13">
        <f t="shared" si="1"/>
        <v>12</v>
      </c>
      <c r="E781" s="13">
        <f t="shared" si="2"/>
        <v>5</v>
      </c>
    </row>
    <row r="782">
      <c r="A782" s="4" t="s">
        <v>889</v>
      </c>
      <c r="B782" s="16"/>
      <c r="C782" s="12">
        <f>IFERROR(__xludf.DUMMYFUNCTION("""COMPUTED_VALUE"""),44663.24848379629)</f>
        <v>44663.24848</v>
      </c>
      <c r="D782" s="13">
        <f t="shared" si="1"/>
        <v>12</v>
      </c>
      <c r="E782" s="13">
        <f t="shared" si="2"/>
        <v>5</v>
      </c>
    </row>
    <row r="783">
      <c r="A783" s="4" t="s">
        <v>890</v>
      </c>
      <c r="B783" s="16"/>
      <c r="C783" s="12">
        <f>IFERROR(__xludf.DUMMYFUNCTION("""COMPUTED_VALUE"""),44663.24842592592)</f>
        <v>44663.24843</v>
      </c>
      <c r="D783" s="13">
        <f t="shared" si="1"/>
        <v>12</v>
      </c>
      <c r="E783" s="13">
        <f t="shared" si="2"/>
        <v>5</v>
      </c>
    </row>
    <row r="784">
      <c r="A784" s="4" t="s">
        <v>891</v>
      </c>
      <c r="B784" s="16"/>
      <c r="C784" s="12">
        <f>IFERROR(__xludf.DUMMYFUNCTION("""COMPUTED_VALUE"""),44663.24810185185)</f>
        <v>44663.2481</v>
      </c>
      <c r="D784" s="13">
        <f t="shared" si="1"/>
        <v>12</v>
      </c>
      <c r="E784" s="13">
        <f t="shared" si="2"/>
        <v>5</v>
      </c>
    </row>
    <row r="785">
      <c r="A785" s="4" t="s">
        <v>892</v>
      </c>
      <c r="B785" s="16"/>
      <c r="C785" s="12">
        <f>IFERROR(__xludf.DUMMYFUNCTION("""COMPUTED_VALUE"""),44663.24805555555)</f>
        <v>44663.24806</v>
      </c>
      <c r="D785" s="13">
        <f t="shared" si="1"/>
        <v>12</v>
      </c>
      <c r="E785" s="13">
        <f t="shared" si="2"/>
        <v>5</v>
      </c>
    </row>
    <row r="786">
      <c r="A786" s="4" t="s">
        <v>893</v>
      </c>
      <c r="B786" s="16"/>
      <c r="C786" s="12">
        <f>IFERROR(__xludf.DUMMYFUNCTION("""COMPUTED_VALUE"""),44663.24775462963)</f>
        <v>44663.24775</v>
      </c>
      <c r="D786" s="13">
        <f t="shared" si="1"/>
        <v>12</v>
      </c>
      <c r="E786" s="13">
        <f t="shared" si="2"/>
        <v>5</v>
      </c>
    </row>
    <row r="787">
      <c r="A787" s="4" t="s">
        <v>894</v>
      </c>
      <c r="B787" s="4" t="s">
        <v>883</v>
      </c>
      <c r="C787" s="12">
        <f>IFERROR(__xludf.DUMMYFUNCTION("""COMPUTED_VALUE"""),44663.247719907406)</f>
        <v>44663.24772</v>
      </c>
      <c r="D787" s="13">
        <f t="shared" si="1"/>
        <v>12</v>
      </c>
      <c r="E787" s="13">
        <f t="shared" si="2"/>
        <v>5</v>
      </c>
    </row>
    <row r="788">
      <c r="A788" s="4" t="s">
        <v>895</v>
      </c>
      <c r="B788" s="16"/>
      <c r="C788" s="12">
        <f>IFERROR(__xludf.DUMMYFUNCTION("""COMPUTED_VALUE"""),44663.247569444444)</f>
        <v>44663.24757</v>
      </c>
      <c r="D788" s="13">
        <f t="shared" si="1"/>
        <v>12</v>
      </c>
      <c r="E788" s="13">
        <f t="shared" si="2"/>
        <v>5</v>
      </c>
    </row>
    <row r="789">
      <c r="A789" s="4" t="s">
        <v>896</v>
      </c>
      <c r="B789" s="4" t="s">
        <v>897</v>
      </c>
      <c r="C789" s="12">
        <f>IFERROR(__xludf.DUMMYFUNCTION("""COMPUTED_VALUE"""),44663.24753472222)</f>
        <v>44663.24753</v>
      </c>
      <c r="D789" s="13">
        <f t="shared" si="1"/>
        <v>12</v>
      </c>
      <c r="E789" s="13">
        <f t="shared" si="2"/>
        <v>5</v>
      </c>
    </row>
    <row r="790">
      <c r="A790" s="4" t="s">
        <v>898</v>
      </c>
      <c r="B790" s="4" t="s">
        <v>883</v>
      </c>
      <c r="C790" s="12">
        <f>IFERROR(__xludf.DUMMYFUNCTION("""COMPUTED_VALUE"""),44663.247361111105)</f>
        <v>44663.24736</v>
      </c>
      <c r="D790" s="13">
        <f t="shared" si="1"/>
        <v>12</v>
      </c>
      <c r="E790" s="13">
        <f t="shared" si="2"/>
        <v>5</v>
      </c>
    </row>
    <row r="791">
      <c r="A791" s="4" t="s">
        <v>899</v>
      </c>
      <c r="B791" s="4" t="s">
        <v>883</v>
      </c>
      <c r="C791" s="12">
        <f>IFERROR(__xludf.DUMMYFUNCTION("""COMPUTED_VALUE"""),44663.24731481481)</f>
        <v>44663.24731</v>
      </c>
      <c r="D791" s="13">
        <f t="shared" si="1"/>
        <v>12</v>
      </c>
      <c r="E791" s="13">
        <f t="shared" si="2"/>
        <v>5</v>
      </c>
    </row>
    <row r="792">
      <c r="A792" s="4" t="s">
        <v>900</v>
      </c>
      <c r="B792" s="4" t="s">
        <v>901</v>
      </c>
      <c r="C792" s="12">
        <f>IFERROR(__xludf.DUMMYFUNCTION("""COMPUTED_VALUE"""),44663.24725694444)</f>
        <v>44663.24726</v>
      </c>
      <c r="D792" s="13">
        <f t="shared" si="1"/>
        <v>12</v>
      </c>
      <c r="E792" s="13">
        <f t="shared" si="2"/>
        <v>5</v>
      </c>
    </row>
    <row r="793">
      <c r="A793" s="4" t="s">
        <v>902</v>
      </c>
      <c r="B793" s="4" t="s">
        <v>883</v>
      </c>
      <c r="C793" s="12">
        <f>IFERROR(__xludf.DUMMYFUNCTION("""COMPUTED_VALUE"""),44663.24722222222)</f>
        <v>44663.24722</v>
      </c>
      <c r="D793" s="13">
        <f t="shared" si="1"/>
        <v>12</v>
      </c>
      <c r="E793" s="13">
        <f t="shared" si="2"/>
        <v>5</v>
      </c>
    </row>
    <row r="794">
      <c r="A794" s="4" t="s">
        <v>903</v>
      </c>
      <c r="B794" s="4" t="s">
        <v>901</v>
      </c>
      <c r="C794" s="12">
        <f>IFERROR(__xludf.DUMMYFUNCTION("""COMPUTED_VALUE"""),44663.24716435185)</f>
        <v>44663.24716</v>
      </c>
      <c r="D794" s="13">
        <f t="shared" si="1"/>
        <v>12</v>
      </c>
      <c r="E794" s="13">
        <f t="shared" si="2"/>
        <v>5</v>
      </c>
    </row>
    <row r="795">
      <c r="A795" s="4" t="s">
        <v>904</v>
      </c>
      <c r="B795" s="16"/>
      <c r="C795" s="12">
        <f>IFERROR(__xludf.DUMMYFUNCTION("""COMPUTED_VALUE"""),44663.24708333333)</f>
        <v>44663.24708</v>
      </c>
      <c r="D795" s="13">
        <f t="shared" si="1"/>
        <v>12</v>
      </c>
      <c r="E795" s="13">
        <f t="shared" si="2"/>
        <v>5</v>
      </c>
    </row>
    <row r="796">
      <c r="A796" s="4" t="s">
        <v>905</v>
      </c>
      <c r="B796" s="4" t="s">
        <v>883</v>
      </c>
      <c r="C796" s="12">
        <f>IFERROR(__xludf.DUMMYFUNCTION("""COMPUTED_VALUE"""),44663.24668981481)</f>
        <v>44663.24669</v>
      </c>
      <c r="D796" s="13">
        <f t="shared" si="1"/>
        <v>12</v>
      </c>
      <c r="E796" s="13">
        <f t="shared" si="2"/>
        <v>5</v>
      </c>
    </row>
    <row r="797">
      <c r="A797" s="4" t="s">
        <v>906</v>
      </c>
      <c r="B797" s="4" t="s">
        <v>907</v>
      </c>
      <c r="C797" s="12">
        <f>IFERROR(__xludf.DUMMYFUNCTION("""COMPUTED_VALUE"""),44663.24527777777)</f>
        <v>44663.24528</v>
      </c>
      <c r="D797" s="13">
        <f t="shared" si="1"/>
        <v>12</v>
      </c>
      <c r="E797" s="13">
        <f t="shared" si="2"/>
        <v>5</v>
      </c>
    </row>
    <row r="798">
      <c r="A798" s="4" t="s">
        <v>908</v>
      </c>
      <c r="B798" s="16"/>
      <c r="C798" s="12">
        <f>IFERROR(__xludf.DUMMYFUNCTION("""COMPUTED_VALUE"""),44663.245208333334)</f>
        <v>44663.24521</v>
      </c>
      <c r="D798" s="13">
        <f t="shared" si="1"/>
        <v>12</v>
      </c>
      <c r="E798" s="13">
        <f t="shared" si="2"/>
        <v>5</v>
      </c>
    </row>
    <row r="799">
      <c r="A799" s="4" t="s">
        <v>909</v>
      </c>
      <c r="B799" s="16"/>
      <c r="C799" s="12">
        <f>IFERROR(__xludf.DUMMYFUNCTION("""COMPUTED_VALUE"""),44663.24246527778)</f>
        <v>44663.24247</v>
      </c>
      <c r="D799" s="13">
        <f t="shared" si="1"/>
        <v>12</v>
      </c>
      <c r="E799" s="13">
        <f t="shared" si="2"/>
        <v>5</v>
      </c>
    </row>
    <row r="800">
      <c r="A800" s="4" t="s">
        <v>910</v>
      </c>
      <c r="B800" s="4" t="s">
        <v>911</v>
      </c>
      <c r="C800" s="12">
        <f>IFERROR(__xludf.DUMMYFUNCTION("""COMPUTED_VALUE"""),44663.2424537037)</f>
        <v>44663.24245</v>
      </c>
      <c r="D800" s="13">
        <f t="shared" si="1"/>
        <v>12</v>
      </c>
      <c r="E800" s="13">
        <f t="shared" si="2"/>
        <v>5</v>
      </c>
    </row>
    <row r="801">
      <c r="A801" s="4" t="s">
        <v>912</v>
      </c>
      <c r="B801" s="16"/>
      <c r="C801" s="12">
        <f>IFERROR(__xludf.DUMMYFUNCTION("""COMPUTED_VALUE"""),44663.242430555554)</f>
        <v>44663.24243</v>
      </c>
      <c r="D801" s="13">
        <f t="shared" si="1"/>
        <v>12</v>
      </c>
      <c r="E801" s="13">
        <f t="shared" si="2"/>
        <v>5</v>
      </c>
    </row>
    <row r="802">
      <c r="A802" s="4" t="s">
        <v>913</v>
      </c>
      <c r="B802" s="16"/>
      <c r="C802" s="12">
        <f>IFERROR(__xludf.DUMMYFUNCTION("""COMPUTED_VALUE"""),44663.24097222222)</f>
        <v>44663.24097</v>
      </c>
      <c r="D802" s="13">
        <f t="shared" si="1"/>
        <v>12</v>
      </c>
      <c r="E802" s="13">
        <f t="shared" si="2"/>
        <v>5</v>
      </c>
    </row>
    <row r="803">
      <c r="A803" s="4" t="s">
        <v>914</v>
      </c>
      <c r="B803" s="16"/>
      <c r="C803" s="12">
        <f>IFERROR(__xludf.DUMMYFUNCTION("""COMPUTED_VALUE"""),44663.24091435185)</f>
        <v>44663.24091</v>
      </c>
      <c r="D803" s="13">
        <f t="shared" si="1"/>
        <v>12</v>
      </c>
      <c r="E803" s="13">
        <f t="shared" si="2"/>
        <v>5</v>
      </c>
    </row>
    <row r="804">
      <c r="A804" s="4" t="s">
        <v>915</v>
      </c>
      <c r="B804" s="16"/>
      <c r="C804" s="12">
        <f>IFERROR(__xludf.DUMMYFUNCTION("""COMPUTED_VALUE"""),44663.24078703704)</f>
        <v>44663.24079</v>
      </c>
      <c r="D804" s="13">
        <f t="shared" si="1"/>
        <v>12</v>
      </c>
      <c r="E804" s="13">
        <f t="shared" si="2"/>
        <v>5</v>
      </c>
    </row>
    <row r="805">
      <c r="A805" s="4" t="s">
        <v>916</v>
      </c>
      <c r="B805" s="16"/>
      <c r="C805" s="12">
        <f>IFERROR(__xludf.DUMMYFUNCTION("""COMPUTED_VALUE"""),44663.240694444445)</f>
        <v>44663.24069</v>
      </c>
      <c r="D805" s="13">
        <f t="shared" si="1"/>
        <v>12</v>
      </c>
      <c r="E805" s="13">
        <f t="shared" si="2"/>
        <v>5</v>
      </c>
    </row>
    <row r="806">
      <c r="A806" s="4" t="s">
        <v>917</v>
      </c>
      <c r="B806" s="16"/>
      <c r="C806" s="12">
        <f>IFERROR(__xludf.DUMMYFUNCTION("""COMPUTED_VALUE"""),44663.240648148145)</f>
        <v>44663.24065</v>
      </c>
      <c r="D806" s="13">
        <f t="shared" si="1"/>
        <v>12</v>
      </c>
      <c r="E806" s="13">
        <f t="shared" si="2"/>
        <v>5</v>
      </c>
    </row>
    <row r="807">
      <c r="A807" s="4" t="s">
        <v>918</v>
      </c>
      <c r="B807" s="16"/>
      <c r="C807" s="12">
        <f>IFERROR(__xludf.DUMMYFUNCTION("""COMPUTED_VALUE"""),44663.240625)</f>
        <v>44663.24063</v>
      </c>
      <c r="D807" s="13">
        <f t="shared" si="1"/>
        <v>12</v>
      </c>
      <c r="E807" s="13">
        <f t="shared" si="2"/>
        <v>5</v>
      </c>
    </row>
    <row r="808">
      <c r="A808" s="4" t="s">
        <v>919</v>
      </c>
      <c r="B808" s="16"/>
      <c r="C808" s="12">
        <f>IFERROR(__xludf.DUMMYFUNCTION("""COMPUTED_VALUE"""),44663.240590277775)</f>
        <v>44663.24059</v>
      </c>
      <c r="D808" s="13">
        <f t="shared" si="1"/>
        <v>12</v>
      </c>
      <c r="E808" s="13">
        <f t="shared" si="2"/>
        <v>5</v>
      </c>
    </row>
    <row r="809">
      <c r="A809" s="4" t="s">
        <v>920</v>
      </c>
      <c r="B809" s="16"/>
      <c r="C809" s="12">
        <f>IFERROR(__xludf.DUMMYFUNCTION("""COMPUTED_VALUE"""),44663.24034722222)</f>
        <v>44663.24035</v>
      </c>
      <c r="D809" s="13">
        <f t="shared" si="1"/>
        <v>12</v>
      </c>
      <c r="E809" s="13">
        <f t="shared" si="2"/>
        <v>5</v>
      </c>
    </row>
    <row r="810">
      <c r="A810" s="4" t="s">
        <v>921</v>
      </c>
      <c r="B810" s="16"/>
      <c r="C810" s="12">
        <f>IFERROR(__xludf.DUMMYFUNCTION("""COMPUTED_VALUE"""),44663.2402662037)</f>
        <v>44663.24027</v>
      </c>
      <c r="D810" s="13">
        <f t="shared" si="1"/>
        <v>12</v>
      </c>
      <c r="E810" s="13">
        <f t="shared" si="2"/>
        <v>5</v>
      </c>
    </row>
    <row r="811">
      <c r="A811" s="4" t="s">
        <v>922</v>
      </c>
      <c r="B811" s="16"/>
      <c r="C811" s="12">
        <f>IFERROR(__xludf.DUMMYFUNCTION("""COMPUTED_VALUE"""),44663.24019675926)</f>
        <v>44663.2402</v>
      </c>
      <c r="D811" s="13">
        <f t="shared" si="1"/>
        <v>12</v>
      </c>
      <c r="E811" s="13">
        <f t="shared" si="2"/>
        <v>5</v>
      </c>
    </row>
    <row r="812">
      <c r="A812" s="4" t="s">
        <v>923</v>
      </c>
      <c r="B812" s="16"/>
      <c r="C812" s="12">
        <f>IFERROR(__xludf.DUMMYFUNCTION("""COMPUTED_VALUE"""),44663.24016203704)</f>
        <v>44663.24016</v>
      </c>
      <c r="D812" s="13">
        <f t="shared" si="1"/>
        <v>12</v>
      </c>
      <c r="E812" s="13">
        <f t="shared" si="2"/>
        <v>5</v>
      </c>
    </row>
    <row r="813">
      <c r="A813" s="4" t="s">
        <v>924</v>
      </c>
      <c r="B813" s="16"/>
      <c r="C813" s="12">
        <f>IFERROR(__xludf.DUMMYFUNCTION("""COMPUTED_VALUE"""),44663.24012731481)</f>
        <v>44663.24013</v>
      </c>
      <c r="D813" s="13">
        <f t="shared" si="1"/>
        <v>12</v>
      </c>
      <c r="E813" s="13">
        <f t="shared" si="2"/>
        <v>5</v>
      </c>
    </row>
    <row r="814">
      <c r="A814" s="4" t="s">
        <v>925</v>
      </c>
      <c r="B814" s="4" t="s">
        <v>926</v>
      </c>
      <c r="C814" s="12">
        <f>IFERROR(__xludf.DUMMYFUNCTION("""COMPUTED_VALUE"""),44663.24009259259)</f>
        <v>44663.24009</v>
      </c>
      <c r="D814" s="13">
        <f t="shared" si="1"/>
        <v>12</v>
      </c>
      <c r="E814" s="13">
        <f t="shared" si="2"/>
        <v>5</v>
      </c>
    </row>
    <row r="815">
      <c r="A815" s="4" t="s">
        <v>927</v>
      </c>
      <c r="B815" s="4" t="s">
        <v>928</v>
      </c>
      <c r="C815" s="12">
        <f>IFERROR(__xludf.DUMMYFUNCTION("""COMPUTED_VALUE"""),44663.23645833333)</f>
        <v>44663.23646</v>
      </c>
      <c r="D815" s="13">
        <f t="shared" si="1"/>
        <v>12</v>
      </c>
      <c r="E815" s="13">
        <f t="shared" si="2"/>
        <v>5</v>
      </c>
    </row>
    <row r="816">
      <c r="A816" s="4" t="s">
        <v>929</v>
      </c>
      <c r="B816" s="4" t="s">
        <v>880</v>
      </c>
      <c r="C816" s="12">
        <f>IFERROR(__xludf.DUMMYFUNCTION("""COMPUTED_VALUE"""),44663.235671296294)</f>
        <v>44663.23567</v>
      </c>
      <c r="D816" s="13">
        <f t="shared" si="1"/>
        <v>12</v>
      </c>
      <c r="E816" s="13">
        <f t="shared" si="2"/>
        <v>5</v>
      </c>
    </row>
    <row r="817">
      <c r="A817" s="4" t="s">
        <v>930</v>
      </c>
      <c r="B817" s="16"/>
      <c r="C817" s="12">
        <f>IFERROR(__xludf.DUMMYFUNCTION("""COMPUTED_VALUE"""),44663.230428240735)</f>
        <v>44663.23043</v>
      </c>
      <c r="D817" s="13">
        <f t="shared" si="1"/>
        <v>12</v>
      </c>
      <c r="E817" s="13">
        <f t="shared" si="2"/>
        <v>5</v>
      </c>
    </row>
    <row r="818">
      <c r="A818" s="4" t="s">
        <v>931</v>
      </c>
      <c r="B818" s="4" t="s">
        <v>932</v>
      </c>
      <c r="C818" s="12">
        <f>IFERROR(__xludf.DUMMYFUNCTION("""COMPUTED_VALUE"""),44663.230416666665)</f>
        <v>44663.23042</v>
      </c>
      <c r="D818" s="13">
        <f t="shared" si="1"/>
        <v>12</v>
      </c>
      <c r="E818" s="13">
        <f t="shared" si="2"/>
        <v>5</v>
      </c>
    </row>
    <row r="819">
      <c r="A819" s="4" t="s">
        <v>933</v>
      </c>
      <c r="B819" s="16"/>
      <c r="C819" s="12">
        <f>IFERROR(__xludf.DUMMYFUNCTION("""COMPUTED_VALUE"""),44663.23039351852)</f>
        <v>44663.23039</v>
      </c>
      <c r="D819" s="13">
        <f t="shared" si="1"/>
        <v>12</v>
      </c>
      <c r="E819" s="13">
        <f t="shared" si="2"/>
        <v>5</v>
      </c>
    </row>
    <row r="820">
      <c r="A820" s="4" t="s">
        <v>933</v>
      </c>
      <c r="B820" s="4" t="s">
        <v>932</v>
      </c>
      <c r="C820" s="12">
        <f>IFERROR(__xludf.DUMMYFUNCTION("""COMPUTED_VALUE"""),44663.23039351852)</f>
        <v>44663.23039</v>
      </c>
      <c r="D820" s="13">
        <f t="shared" si="1"/>
        <v>12</v>
      </c>
      <c r="E820" s="13">
        <f t="shared" si="2"/>
        <v>5</v>
      </c>
    </row>
    <row r="821">
      <c r="A821" s="4" t="s">
        <v>934</v>
      </c>
      <c r="B821" s="16"/>
      <c r="C821" s="12">
        <f>IFERROR(__xludf.DUMMYFUNCTION("""COMPUTED_VALUE"""),44663.230370370366)</f>
        <v>44663.23037</v>
      </c>
      <c r="D821" s="13">
        <f t="shared" si="1"/>
        <v>12</v>
      </c>
      <c r="E821" s="13">
        <f t="shared" si="2"/>
        <v>5</v>
      </c>
    </row>
    <row r="822">
      <c r="A822" s="4" t="s">
        <v>935</v>
      </c>
      <c r="B822" s="16"/>
      <c r="C822" s="12">
        <f>IFERROR(__xludf.DUMMYFUNCTION("""COMPUTED_VALUE"""),44663.23032407407)</f>
        <v>44663.23032</v>
      </c>
      <c r="D822" s="13">
        <f t="shared" si="1"/>
        <v>12</v>
      </c>
      <c r="E822" s="13">
        <f t="shared" si="2"/>
        <v>5</v>
      </c>
    </row>
    <row r="823">
      <c r="A823" s="4" t="s">
        <v>936</v>
      </c>
      <c r="B823" s="16"/>
      <c r="C823" s="12">
        <f>IFERROR(__xludf.DUMMYFUNCTION("""COMPUTED_VALUE"""),44663.23028935185)</f>
        <v>44663.23029</v>
      </c>
      <c r="D823" s="13">
        <f t="shared" si="1"/>
        <v>12</v>
      </c>
      <c r="E823" s="13">
        <f t="shared" si="2"/>
        <v>5</v>
      </c>
    </row>
    <row r="824">
      <c r="A824" s="4" t="s">
        <v>937</v>
      </c>
      <c r="B824" s="4" t="s">
        <v>938</v>
      </c>
      <c r="C824" s="12">
        <f>IFERROR(__xludf.DUMMYFUNCTION("""COMPUTED_VALUE"""),44663.230046296296)</f>
        <v>44663.23005</v>
      </c>
      <c r="D824" s="13">
        <f t="shared" si="1"/>
        <v>12</v>
      </c>
      <c r="E824" s="13">
        <f t="shared" si="2"/>
        <v>5</v>
      </c>
    </row>
    <row r="825">
      <c r="A825" s="4" t="s">
        <v>939</v>
      </c>
      <c r="B825" s="16"/>
      <c r="C825" s="12">
        <f>IFERROR(__xludf.DUMMYFUNCTION("""COMPUTED_VALUE"""),44663.22980324074)</f>
        <v>44663.2298</v>
      </c>
      <c r="D825" s="13">
        <f t="shared" si="1"/>
        <v>12</v>
      </c>
      <c r="E825" s="13">
        <f t="shared" si="2"/>
        <v>5</v>
      </c>
    </row>
    <row r="826">
      <c r="A826" s="4" t="s">
        <v>940</v>
      </c>
      <c r="B826" s="16"/>
      <c r="C826" s="12">
        <f>IFERROR(__xludf.DUMMYFUNCTION("""COMPUTED_VALUE"""),44663.229791666665)</f>
        <v>44663.22979</v>
      </c>
      <c r="D826" s="13">
        <f t="shared" si="1"/>
        <v>12</v>
      </c>
      <c r="E826" s="13">
        <f t="shared" si="2"/>
        <v>5</v>
      </c>
    </row>
    <row r="827">
      <c r="A827" s="4" t="s">
        <v>941</v>
      </c>
      <c r="B827" s="16"/>
      <c r="C827" s="12">
        <f>IFERROR(__xludf.DUMMYFUNCTION("""COMPUTED_VALUE"""),44663.22976851852)</f>
        <v>44663.22977</v>
      </c>
      <c r="D827" s="13">
        <f t="shared" si="1"/>
        <v>12</v>
      </c>
      <c r="E827" s="13">
        <f t="shared" si="2"/>
        <v>5</v>
      </c>
    </row>
    <row r="828">
      <c r="A828" s="4" t="s">
        <v>942</v>
      </c>
      <c r="B828" s="16"/>
      <c r="C828" s="12">
        <f>IFERROR(__xludf.DUMMYFUNCTION("""COMPUTED_VALUE"""),44663.22460648148)</f>
        <v>44663.22461</v>
      </c>
      <c r="D828" s="13">
        <f t="shared" si="1"/>
        <v>12</v>
      </c>
      <c r="E828" s="13">
        <f t="shared" si="2"/>
        <v>5</v>
      </c>
    </row>
    <row r="829">
      <c r="A829" s="4" t="s">
        <v>943</v>
      </c>
      <c r="B829" s="16"/>
      <c r="C829" s="12">
        <f>IFERROR(__xludf.DUMMYFUNCTION("""COMPUTED_VALUE"""),44663.22233796296)</f>
        <v>44663.22234</v>
      </c>
      <c r="D829" s="13">
        <f t="shared" si="1"/>
        <v>12</v>
      </c>
      <c r="E829" s="13">
        <f t="shared" si="2"/>
        <v>5</v>
      </c>
    </row>
    <row r="830">
      <c r="A830" s="4" t="s">
        <v>944</v>
      </c>
      <c r="B830" s="16"/>
      <c r="C830" s="12">
        <f>IFERROR(__xludf.DUMMYFUNCTION("""COMPUTED_VALUE"""),44663.22231481481)</f>
        <v>44663.22231</v>
      </c>
      <c r="D830" s="13">
        <f t="shared" si="1"/>
        <v>12</v>
      </c>
      <c r="E830" s="13">
        <f t="shared" si="2"/>
        <v>5</v>
      </c>
    </row>
    <row r="831">
      <c r="A831" s="4" t="s">
        <v>945</v>
      </c>
      <c r="B831" s="16"/>
      <c r="C831" s="12">
        <f>IFERROR(__xludf.DUMMYFUNCTION("""COMPUTED_VALUE"""),44663.22077546296)</f>
        <v>44663.22078</v>
      </c>
      <c r="D831" s="13">
        <f t="shared" si="1"/>
        <v>12</v>
      </c>
      <c r="E831" s="13">
        <f t="shared" si="2"/>
        <v>5</v>
      </c>
    </row>
    <row r="832">
      <c r="A832" s="4" t="s">
        <v>946</v>
      </c>
      <c r="B832" s="16"/>
      <c r="C832" s="12">
        <f>IFERROR(__xludf.DUMMYFUNCTION("""COMPUTED_VALUE"""),44663.22074074074)</f>
        <v>44663.22074</v>
      </c>
      <c r="D832" s="13">
        <f t="shared" si="1"/>
        <v>12</v>
      </c>
      <c r="E832" s="13">
        <f t="shared" si="2"/>
        <v>5</v>
      </c>
    </row>
    <row r="833">
      <c r="A833" s="4" t="s">
        <v>947</v>
      </c>
      <c r="B833" s="4" t="s">
        <v>948</v>
      </c>
      <c r="C833" s="12">
        <f>IFERROR(__xludf.DUMMYFUNCTION("""COMPUTED_VALUE"""),44663.21796296296)</f>
        <v>44663.21796</v>
      </c>
      <c r="D833" s="13">
        <f t="shared" si="1"/>
        <v>12</v>
      </c>
      <c r="E833" s="13">
        <f t="shared" si="2"/>
        <v>5</v>
      </c>
    </row>
    <row r="834">
      <c r="A834" s="4" t="s">
        <v>949</v>
      </c>
      <c r="B834" s="4" t="s">
        <v>950</v>
      </c>
      <c r="C834" s="12">
        <f>IFERROR(__xludf.DUMMYFUNCTION("""COMPUTED_VALUE"""),44663.2124074074)</f>
        <v>44663.21241</v>
      </c>
      <c r="D834" s="13">
        <f t="shared" si="1"/>
        <v>12</v>
      </c>
      <c r="E834" s="13">
        <f t="shared" si="2"/>
        <v>5</v>
      </c>
    </row>
    <row r="835">
      <c r="A835" s="4" t="s">
        <v>951</v>
      </c>
      <c r="B835" s="16"/>
      <c r="C835" s="12">
        <f>IFERROR(__xludf.DUMMYFUNCTION("""COMPUTED_VALUE"""),44663.212372685186)</f>
        <v>44663.21237</v>
      </c>
      <c r="D835" s="13">
        <f t="shared" si="1"/>
        <v>12</v>
      </c>
      <c r="E835" s="13">
        <f t="shared" si="2"/>
        <v>5</v>
      </c>
    </row>
    <row r="836">
      <c r="A836" s="4" t="s">
        <v>952</v>
      </c>
      <c r="B836" s="4" t="s">
        <v>950</v>
      </c>
      <c r="C836" s="12">
        <f>IFERROR(__xludf.DUMMYFUNCTION("""COMPUTED_VALUE"""),44663.212071759255)</f>
        <v>44663.21207</v>
      </c>
      <c r="D836" s="13">
        <f t="shared" si="1"/>
        <v>12</v>
      </c>
      <c r="E836" s="13">
        <f t="shared" si="2"/>
        <v>5</v>
      </c>
    </row>
    <row r="837">
      <c r="A837" s="4" t="s">
        <v>953</v>
      </c>
      <c r="B837" s="4" t="s">
        <v>950</v>
      </c>
      <c r="C837" s="12">
        <f>IFERROR(__xludf.DUMMYFUNCTION("""COMPUTED_VALUE"""),44663.212060185186)</f>
        <v>44663.21206</v>
      </c>
      <c r="D837" s="13">
        <f t="shared" si="1"/>
        <v>12</v>
      </c>
      <c r="E837" s="13">
        <f t="shared" si="2"/>
        <v>5</v>
      </c>
    </row>
    <row r="838">
      <c r="A838" s="4" t="s">
        <v>954</v>
      </c>
      <c r="B838" s="16"/>
      <c r="C838" s="12">
        <f>IFERROR(__xludf.DUMMYFUNCTION("""COMPUTED_VALUE"""),44663.212013888886)</f>
        <v>44663.21201</v>
      </c>
      <c r="D838" s="13">
        <f t="shared" si="1"/>
        <v>12</v>
      </c>
      <c r="E838" s="13">
        <f t="shared" si="2"/>
        <v>5</v>
      </c>
    </row>
    <row r="839">
      <c r="A839" s="4" t="s">
        <v>955</v>
      </c>
      <c r="B839" s="4" t="s">
        <v>950</v>
      </c>
      <c r="C839" s="12">
        <f>IFERROR(__xludf.DUMMYFUNCTION("""COMPUTED_VALUE"""),44663.21196759259)</f>
        <v>44663.21197</v>
      </c>
      <c r="D839" s="13">
        <f t="shared" si="1"/>
        <v>12</v>
      </c>
      <c r="E839" s="13">
        <f t="shared" si="2"/>
        <v>5</v>
      </c>
    </row>
    <row r="840">
      <c r="A840" s="4" t="s">
        <v>956</v>
      </c>
      <c r="B840" s="4" t="s">
        <v>950</v>
      </c>
      <c r="C840" s="12">
        <f>IFERROR(__xludf.DUMMYFUNCTION("""COMPUTED_VALUE"""),44663.211504629624)</f>
        <v>44663.2115</v>
      </c>
      <c r="D840" s="13">
        <f t="shared" si="1"/>
        <v>12</v>
      </c>
      <c r="E840" s="13">
        <f t="shared" si="2"/>
        <v>5</v>
      </c>
    </row>
    <row r="841">
      <c r="A841" s="4" t="s">
        <v>957</v>
      </c>
      <c r="B841" s="4" t="s">
        <v>143</v>
      </c>
      <c r="C841" s="12">
        <f>IFERROR(__xludf.DUMMYFUNCTION("""COMPUTED_VALUE"""),44663.20909722222)</f>
        <v>44663.2091</v>
      </c>
      <c r="D841" s="13">
        <f t="shared" si="1"/>
        <v>12</v>
      </c>
      <c r="E841" s="13">
        <f t="shared" si="2"/>
        <v>5</v>
      </c>
    </row>
    <row r="842">
      <c r="A842" s="4" t="s">
        <v>958</v>
      </c>
      <c r="B842" s="4" t="s">
        <v>143</v>
      </c>
      <c r="C842" s="12">
        <f>IFERROR(__xludf.DUMMYFUNCTION("""COMPUTED_VALUE"""),44663.2090625)</f>
        <v>44663.20906</v>
      </c>
      <c r="D842" s="13">
        <f t="shared" si="1"/>
        <v>12</v>
      </c>
      <c r="E842" s="13">
        <f t="shared" si="2"/>
        <v>5</v>
      </c>
    </row>
    <row r="843">
      <c r="A843" s="4" t="s">
        <v>959</v>
      </c>
      <c r="B843" s="4" t="s">
        <v>960</v>
      </c>
      <c r="C843" s="12">
        <f>IFERROR(__xludf.DUMMYFUNCTION("""COMPUTED_VALUE"""),44663.206238425926)</f>
        <v>44663.20624</v>
      </c>
      <c r="D843" s="13">
        <f t="shared" si="1"/>
        <v>12</v>
      </c>
      <c r="E843" s="13">
        <f t="shared" si="2"/>
        <v>4</v>
      </c>
    </row>
    <row r="844">
      <c r="A844" s="4" t="s">
        <v>961</v>
      </c>
      <c r="B844" s="16"/>
      <c r="C844" s="12">
        <f>IFERROR(__xludf.DUMMYFUNCTION("""COMPUTED_VALUE"""),44663.20600694444)</f>
        <v>44663.20601</v>
      </c>
      <c r="D844" s="13">
        <f t="shared" si="1"/>
        <v>12</v>
      </c>
      <c r="E844" s="13">
        <f t="shared" si="2"/>
        <v>4</v>
      </c>
    </row>
    <row r="845">
      <c r="A845" s="4" t="s">
        <v>962</v>
      </c>
      <c r="B845" s="4" t="s">
        <v>960</v>
      </c>
      <c r="C845" s="12">
        <f>IFERROR(__xludf.DUMMYFUNCTION("""COMPUTED_VALUE"""),44663.20443287037)</f>
        <v>44663.20443</v>
      </c>
      <c r="D845" s="13">
        <f t="shared" si="1"/>
        <v>12</v>
      </c>
      <c r="E845" s="13">
        <f t="shared" si="2"/>
        <v>4</v>
      </c>
    </row>
    <row r="846">
      <c r="A846" s="4" t="s">
        <v>963</v>
      </c>
      <c r="B846" s="4" t="s">
        <v>960</v>
      </c>
      <c r="C846" s="12">
        <f>IFERROR(__xludf.DUMMYFUNCTION("""COMPUTED_VALUE"""),44663.2042824074)</f>
        <v>44663.20428</v>
      </c>
      <c r="D846" s="13">
        <f t="shared" si="1"/>
        <v>12</v>
      </c>
      <c r="E846" s="13">
        <f t="shared" si="2"/>
        <v>4</v>
      </c>
    </row>
    <row r="847">
      <c r="A847" s="4" t="s">
        <v>964</v>
      </c>
      <c r="B847" s="16"/>
      <c r="C847" s="12">
        <f>IFERROR(__xludf.DUMMYFUNCTION("""COMPUTED_VALUE"""),44663.2003587963)</f>
        <v>44663.20036</v>
      </c>
      <c r="D847" s="13">
        <f t="shared" si="1"/>
        <v>12</v>
      </c>
      <c r="E847" s="13">
        <f t="shared" si="2"/>
        <v>4</v>
      </c>
    </row>
    <row r="848">
      <c r="A848" s="4" t="s">
        <v>965</v>
      </c>
      <c r="B848" s="16"/>
      <c r="C848" s="12">
        <f>IFERROR(__xludf.DUMMYFUNCTION("""COMPUTED_VALUE"""),44663.2003125)</f>
        <v>44663.20031</v>
      </c>
      <c r="D848" s="13">
        <f t="shared" si="1"/>
        <v>12</v>
      </c>
      <c r="E848" s="13">
        <f t="shared" si="2"/>
        <v>4</v>
      </c>
    </row>
    <row r="849">
      <c r="A849" s="4" t="s">
        <v>966</v>
      </c>
      <c r="B849" s="16"/>
      <c r="C849" s="12">
        <f>IFERROR(__xludf.DUMMYFUNCTION("""COMPUTED_VALUE"""),44663.19976851852)</f>
        <v>44663.19977</v>
      </c>
      <c r="D849" s="13">
        <f t="shared" si="1"/>
        <v>12</v>
      </c>
      <c r="E849" s="13">
        <f t="shared" si="2"/>
        <v>4</v>
      </c>
    </row>
    <row r="850">
      <c r="A850" s="4" t="s">
        <v>967</v>
      </c>
      <c r="B850" s="16"/>
      <c r="C850" s="12">
        <f>IFERROR(__xludf.DUMMYFUNCTION("""COMPUTED_VALUE"""),44663.19846064815)</f>
        <v>44663.19846</v>
      </c>
      <c r="D850" s="13">
        <f t="shared" si="1"/>
        <v>12</v>
      </c>
      <c r="E850" s="13">
        <f t="shared" si="2"/>
        <v>4</v>
      </c>
    </row>
    <row r="851">
      <c r="A851" s="4" t="s">
        <v>968</v>
      </c>
      <c r="B851" s="16"/>
      <c r="C851" s="12">
        <f>IFERROR(__xludf.DUMMYFUNCTION("""COMPUTED_VALUE"""),44663.19826388889)</f>
        <v>44663.19826</v>
      </c>
      <c r="D851" s="13">
        <f t="shared" si="1"/>
        <v>12</v>
      </c>
      <c r="E851" s="13">
        <f t="shared" si="2"/>
        <v>4</v>
      </c>
    </row>
    <row r="852">
      <c r="A852" s="4" t="s">
        <v>969</v>
      </c>
      <c r="B852" s="16"/>
      <c r="C852" s="12">
        <f>IFERROR(__xludf.DUMMYFUNCTION("""COMPUTED_VALUE"""),44663.19278935185)</f>
        <v>44663.19279</v>
      </c>
      <c r="D852" s="13">
        <f t="shared" si="1"/>
        <v>12</v>
      </c>
      <c r="E852" s="13">
        <f t="shared" si="2"/>
        <v>4</v>
      </c>
    </row>
    <row r="853">
      <c r="A853" s="4" t="s">
        <v>970</v>
      </c>
      <c r="B853" s="4" t="s">
        <v>971</v>
      </c>
      <c r="C853" s="12">
        <f>IFERROR(__xludf.DUMMYFUNCTION("""COMPUTED_VALUE"""),44663.19003472222)</f>
        <v>44663.19003</v>
      </c>
      <c r="D853" s="13">
        <f t="shared" si="1"/>
        <v>12</v>
      </c>
      <c r="E853" s="13">
        <f t="shared" si="2"/>
        <v>4</v>
      </c>
    </row>
    <row r="854">
      <c r="A854" s="4" t="s">
        <v>972</v>
      </c>
      <c r="B854" s="16"/>
      <c r="C854" s="12">
        <f>IFERROR(__xludf.DUMMYFUNCTION("""COMPUTED_VALUE"""),44663.17760416667)</f>
        <v>44663.1776</v>
      </c>
      <c r="D854" s="13">
        <f t="shared" si="1"/>
        <v>12</v>
      </c>
      <c r="E854" s="13">
        <f t="shared" si="2"/>
        <v>4</v>
      </c>
    </row>
    <row r="855">
      <c r="A855" s="4" t="s">
        <v>973</v>
      </c>
      <c r="B855" s="16"/>
      <c r="C855" s="12">
        <f>IFERROR(__xludf.DUMMYFUNCTION("""COMPUTED_VALUE"""),44663.164317129624)</f>
        <v>44663.16432</v>
      </c>
      <c r="D855" s="13">
        <f t="shared" si="1"/>
        <v>12</v>
      </c>
      <c r="E855" s="13">
        <f t="shared" si="2"/>
        <v>3</v>
      </c>
    </row>
    <row r="856">
      <c r="A856" s="4" t="s">
        <v>974</v>
      </c>
      <c r="B856" s="16"/>
      <c r="C856" s="12">
        <f>IFERROR(__xludf.DUMMYFUNCTION("""COMPUTED_VALUE"""),44663.145902777775)</f>
        <v>44663.1459</v>
      </c>
      <c r="D856" s="13">
        <f t="shared" si="1"/>
        <v>12</v>
      </c>
      <c r="E856" s="13">
        <f t="shared" si="2"/>
        <v>3</v>
      </c>
    </row>
    <row r="857">
      <c r="A857" s="4" t="s">
        <v>975</v>
      </c>
      <c r="B857" s="4" t="s">
        <v>976</v>
      </c>
      <c r="C857" s="12">
        <f>IFERROR(__xludf.DUMMYFUNCTION("""COMPUTED_VALUE"""),44663.14457175926)</f>
        <v>44663.14457</v>
      </c>
      <c r="D857" s="13">
        <f t="shared" si="1"/>
        <v>12</v>
      </c>
      <c r="E857" s="13">
        <f t="shared" si="2"/>
        <v>3</v>
      </c>
    </row>
    <row r="858">
      <c r="A858" s="4" t="s">
        <v>977</v>
      </c>
      <c r="B858" s="4" t="s">
        <v>978</v>
      </c>
      <c r="C858" s="12">
        <f>IFERROR(__xludf.DUMMYFUNCTION("""COMPUTED_VALUE"""),44663.139965277776)</f>
        <v>44663.13997</v>
      </c>
      <c r="D858" s="13">
        <f t="shared" si="1"/>
        <v>12</v>
      </c>
      <c r="E858" s="13">
        <f t="shared" si="2"/>
        <v>3</v>
      </c>
    </row>
    <row r="859">
      <c r="A859" s="4" t="s">
        <v>979</v>
      </c>
      <c r="B859" s="4" t="s">
        <v>978</v>
      </c>
      <c r="C859" s="12">
        <f>IFERROR(__xludf.DUMMYFUNCTION("""COMPUTED_VALUE"""),44663.139756944445)</f>
        <v>44663.13976</v>
      </c>
      <c r="D859" s="13">
        <f t="shared" si="1"/>
        <v>12</v>
      </c>
      <c r="E859" s="13">
        <f t="shared" si="2"/>
        <v>3</v>
      </c>
    </row>
    <row r="860">
      <c r="A860" s="4" t="s">
        <v>980</v>
      </c>
      <c r="B860" s="4" t="s">
        <v>978</v>
      </c>
      <c r="C860" s="12">
        <f>IFERROR(__xludf.DUMMYFUNCTION("""COMPUTED_VALUE"""),44663.13967592592)</f>
        <v>44663.13968</v>
      </c>
      <c r="D860" s="13">
        <f t="shared" si="1"/>
        <v>12</v>
      </c>
      <c r="E860" s="13">
        <f t="shared" si="2"/>
        <v>3</v>
      </c>
    </row>
    <row r="861">
      <c r="A861" s="4" t="s">
        <v>981</v>
      </c>
      <c r="B861" s="4" t="s">
        <v>982</v>
      </c>
      <c r="C861" s="12">
        <f>IFERROR(__xludf.DUMMYFUNCTION("""COMPUTED_VALUE"""),44663.13837962963)</f>
        <v>44663.13838</v>
      </c>
      <c r="D861" s="13">
        <f t="shared" si="1"/>
        <v>12</v>
      </c>
      <c r="E861" s="13">
        <f t="shared" si="2"/>
        <v>3</v>
      </c>
    </row>
    <row r="862">
      <c r="A862" s="4" t="s">
        <v>983</v>
      </c>
      <c r="B862" s="16"/>
      <c r="C862" s="12">
        <f>IFERROR(__xludf.DUMMYFUNCTION("""COMPUTED_VALUE"""),44663.134988425925)</f>
        <v>44663.13499</v>
      </c>
      <c r="D862" s="13">
        <f t="shared" si="1"/>
        <v>12</v>
      </c>
      <c r="E862" s="13">
        <f t="shared" si="2"/>
        <v>3</v>
      </c>
    </row>
    <row r="863">
      <c r="A863" s="4" t="s">
        <v>984</v>
      </c>
      <c r="B863" s="4" t="s">
        <v>985</v>
      </c>
      <c r="C863" s="12">
        <f>IFERROR(__xludf.DUMMYFUNCTION("""COMPUTED_VALUE"""),44663.09663194444)</f>
        <v>44663.09663</v>
      </c>
      <c r="D863" s="13">
        <f t="shared" si="1"/>
        <v>12</v>
      </c>
      <c r="E863" s="13">
        <f t="shared" si="2"/>
        <v>2</v>
      </c>
    </row>
    <row r="864">
      <c r="A864" s="4" t="s">
        <v>986</v>
      </c>
      <c r="B864" s="16"/>
      <c r="C864" s="12">
        <f>IFERROR(__xludf.DUMMYFUNCTION("""COMPUTED_VALUE"""),44663.06876157407)</f>
        <v>44663.06876</v>
      </c>
      <c r="D864" s="13">
        <f t="shared" si="1"/>
        <v>12</v>
      </c>
      <c r="E864" s="13">
        <f t="shared" si="2"/>
        <v>1</v>
      </c>
    </row>
    <row r="865">
      <c r="A865" s="4" t="s">
        <v>987</v>
      </c>
      <c r="B865" s="4" t="s">
        <v>988</v>
      </c>
      <c r="C865" s="12">
        <f>IFERROR(__xludf.DUMMYFUNCTION("""COMPUTED_VALUE"""),44663.067037037035)</f>
        <v>44663.06704</v>
      </c>
      <c r="D865" s="13">
        <f t="shared" si="1"/>
        <v>12</v>
      </c>
      <c r="E865" s="13">
        <f t="shared" si="2"/>
        <v>1</v>
      </c>
    </row>
    <row r="866">
      <c r="A866" s="4" t="s">
        <v>989</v>
      </c>
      <c r="B866" s="4" t="s">
        <v>990</v>
      </c>
      <c r="C866" s="12">
        <f>IFERROR(__xludf.DUMMYFUNCTION("""COMPUTED_VALUE"""),44663.06511574074)</f>
        <v>44663.06512</v>
      </c>
      <c r="D866" s="13">
        <f t="shared" si="1"/>
        <v>12</v>
      </c>
      <c r="E866" s="13">
        <f t="shared" si="2"/>
        <v>1</v>
      </c>
    </row>
    <row r="867">
      <c r="A867" s="4" t="s">
        <v>991</v>
      </c>
      <c r="B867" s="16"/>
      <c r="C867" s="12">
        <f>IFERROR(__xludf.DUMMYFUNCTION("""COMPUTED_VALUE"""),44663.06324074074)</f>
        <v>44663.06324</v>
      </c>
      <c r="D867" s="13">
        <f t="shared" si="1"/>
        <v>12</v>
      </c>
      <c r="E867" s="13">
        <f t="shared" si="2"/>
        <v>1</v>
      </c>
    </row>
    <row r="868">
      <c r="A868" s="4" t="s">
        <v>992</v>
      </c>
      <c r="B868" s="16"/>
      <c r="C868" s="12">
        <f>IFERROR(__xludf.DUMMYFUNCTION("""COMPUTED_VALUE"""),44663.05583333333)</f>
        <v>44663.05583</v>
      </c>
      <c r="D868" s="13">
        <f t="shared" si="1"/>
        <v>12</v>
      </c>
      <c r="E868" s="13">
        <f t="shared" si="2"/>
        <v>1</v>
      </c>
    </row>
    <row r="869">
      <c r="A869" s="4" t="s">
        <v>993</v>
      </c>
      <c r="B869" s="16"/>
      <c r="C869" s="12">
        <f>IFERROR(__xludf.DUMMYFUNCTION("""COMPUTED_VALUE"""),44663.054143518515)</f>
        <v>44663.05414</v>
      </c>
      <c r="D869" s="13">
        <f t="shared" si="1"/>
        <v>12</v>
      </c>
      <c r="E869" s="13">
        <f t="shared" si="2"/>
        <v>1</v>
      </c>
    </row>
    <row r="870">
      <c r="A870" s="4" t="s">
        <v>994</v>
      </c>
      <c r="B870" s="16"/>
      <c r="C870" s="12">
        <f>IFERROR(__xludf.DUMMYFUNCTION("""COMPUTED_VALUE"""),44663.054085648146)</f>
        <v>44663.05409</v>
      </c>
      <c r="D870" s="13">
        <f t="shared" si="1"/>
        <v>12</v>
      </c>
      <c r="E870" s="13">
        <f t="shared" si="2"/>
        <v>1</v>
      </c>
    </row>
    <row r="871">
      <c r="A871" s="4" t="s">
        <v>995</v>
      </c>
      <c r="B871" s="16"/>
      <c r="C871" s="12">
        <f>IFERROR(__xludf.DUMMYFUNCTION("""COMPUTED_VALUE"""),44663.04133101852)</f>
        <v>44663.04133</v>
      </c>
      <c r="D871" s="13">
        <f t="shared" si="1"/>
        <v>12</v>
      </c>
      <c r="E871" s="13">
        <f t="shared" si="2"/>
        <v>0</v>
      </c>
    </row>
    <row r="872">
      <c r="A872" s="4" t="s">
        <v>996</v>
      </c>
      <c r="B872" s="16"/>
      <c r="C872" s="12">
        <f>IFERROR(__xludf.DUMMYFUNCTION("""COMPUTED_VALUE"""),44663.03755787037)</f>
        <v>44663.03756</v>
      </c>
      <c r="D872" s="13">
        <f t="shared" si="1"/>
        <v>12</v>
      </c>
      <c r="E872" s="13">
        <f t="shared" si="2"/>
        <v>0</v>
      </c>
    </row>
    <row r="873">
      <c r="A873" s="4" t="s">
        <v>997</v>
      </c>
      <c r="B873" s="4" t="s">
        <v>998</v>
      </c>
      <c r="C873" s="12">
        <f>IFERROR(__xludf.DUMMYFUNCTION("""COMPUTED_VALUE"""),44663.03603009259)</f>
        <v>44663.03603</v>
      </c>
      <c r="D873" s="13">
        <f t="shared" si="1"/>
        <v>12</v>
      </c>
      <c r="E873" s="13">
        <f t="shared" si="2"/>
        <v>0</v>
      </c>
    </row>
    <row r="874">
      <c r="A874" s="4" t="s">
        <v>999</v>
      </c>
      <c r="B874" s="16"/>
      <c r="C874" s="12">
        <f>IFERROR(__xludf.DUMMYFUNCTION("""COMPUTED_VALUE"""),44663.03600694444)</f>
        <v>44663.03601</v>
      </c>
      <c r="D874" s="13">
        <f t="shared" si="1"/>
        <v>12</v>
      </c>
      <c r="E874" s="13">
        <f t="shared" si="2"/>
        <v>0</v>
      </c>
    </row>
    <row r="875">
      <c r="A875" s="4" t="s">
        <v>1000</v>
      </c>
      <c r="B875" s="4" t="s">
        <v>998</v>
      </c>
      <c r="C875" s="12">
        <f>IFERROR(__xludf.DUMMYFUNCTION("""COMPUTED_VALUE"""),44663.03597222222)</f>
        <v>44663.03597</v>
      </c>
      <c r="D875" s="13">
        <f t="shared" si="1"/>
        <v>12</v>
      </c>
      <c r="E875" s="13">
        <f t="shared" si="2"/>
        <v>0</v>
      </c>
    </row>
    <row r="876">
      <c r="A876" s="4" t="s">
        <v>1001</v>
      </c>
      <c r="B876" s="4" t="s">
        <v>998</v>
      </c>
      <c r="C876" s="12">
        <f>IFERROR(__xludf.DUMMYFUNCTION("""COMPUTED_VALUE"""),44663.035844907405)</f>
        <v>44663.03584</v>
      </c>
      <c r="D876" s="13">
        <f t="shared" si="1"/>
        <v>12</v>
      </c>
      <c r="E876" s="13">
        <f t="shared" si="2"/>
        <v>0</v>
      </c>
    </row>
    <row r="877">
      <c r="A877" s="4" t="s">
        <v>1002</v>
      </c>
      <c r="B877" s="16"/>
      <c r="C877" s="12">
        <f>IFERROR(__xludf.DUMMYFUNCTION("""COMPUTED_VALUE"""),44663.03434027777)</f>
        <v>44663.03434</v>
      </c>
      <c r="D877" s="13">
        <f t="shared" si="1"/>
        <v>12</v>
      </c>
      <c r="E877" s="13">
        <f t="shared" si="2"/>
        <v>0</v>
      </c>
    </row>
    <row r="878">
      <c r="A878" s="4" t="s">
        <v>1003</v>
      </c>
      <c r="B878" s="16"/>
      <c r="C878" s="12">
        <f>IFERROR(__xludf.DUMMYFUNCTION("""COMPUTED_VALUE"""),44663.03425925926)</f>
        <v>44663.03426</v>
      </c>
      <c r="D878" s="13">
        <f t="shared" si="1"/>
        <v>12</v>
      </c>
      <c r="E878" s="13">
        <f t="shared" si="2"/>
        <v>0</v>
      </c>
    </row>
    <row r="879">
      <c r="A879" s="4" t="s">
        <v>1004</v>
      </c>
      <c r="B879" s="16"/>
      <c r="C879" s="12">
        <f>IFERROR(__xludf.DUMMYFUNCTION("""COMPUTED_VALUE"""),44663.02583333333)</f>
        <v>44663.02583</v>
      </c>
      <c r="D879" s="13">
        <f t="shared" si="1"/>
        <v>12</v>
      </c>
      <c r="E879" s="13">
        <f t="shared" si="2"/>
        <v>0</v>
      </c>
    </row>
    <row r="880">
      <c r="A880" s="4" t="s">
        <v>1005</v>
      </c>
      <c r="B880" s="16"/>
      <c r="C880" s="12">
        <f>IFERROR(__xludf.DUMMYFUNCTION("""COMPUTED_VALUE"""),44663.02579861111)</f>
        <v>44663.0258</v>
      </c>
      <c r="D880" s="13">
        <f t="shared" si="1"/>
        <v>12</v>
      </c>
      <c r="E880" s="13">
        <f t="shared" si="2"/>
        <v>0</v>
      </c>
    </row>
    <row r="881">
      <c r="A881" s="4" t="s">
        <v>1006</v>
      </c>
      <c r="B881" s="16"/>
      <c r="C881" s="12">
        <f>IFERROR(__xludf.DUMMYFUNCTION("""COMPUTED_VALUE"""),44663.02340277778)</f>
        <v>44663.0234</v>
      </c>
      <c r="D881" s="13">
        <f t="shared" si="1"/>
        <v>12</v>
      </c>
      <c r="E881" s="13">
        <f t="shared" si="2"/>
        <v>0</v>
      </c>
    </row>
    <row r="882">
      <c r="A882" s="4" t="s">
        <v>1007</v>
      </c>
      <c r="B882" s="4" t="s">
        <v>1008</v>
      </c>
      <c r="C882" s="12">
        <f>IFERROR(__xludf.DUMMYFUNCTION("""COMPUTED_VALUE"""),44663.02269675925)</f>
        <v>44663.0227</v>
      </c>
      <c r="D882" s="13">
        <f t="shared" si="1"/>
        <v>12</v>
      </c>
      <c r="E882" s="13">
        <f t="shared" si="2"/>
        <v>0</v>
      </c>
    </row>
    <row r="883">
      <c r="A883" s="4" t="s">
        <v>1007</v>
      </c>
      <c r="B883" s="4" t="s">
        <v>1008</v>
      </c>
      <c r="C883" s="12">
        <f>IFERROR(__xludf.DUMMYFUNCTION("""COMPUTED_VALUE"""),44663.02269675925)</f>
        <v>44663.0227</v>
      </c>
      <c r="D883" s="13">
        <f t="shared" si="1"/>
        <v>12</v>
      </c>
      <c r="E883" s="13">
        <f t="shared" si="2"/>
        <v>0</v>
      </c>
    </row>
    <row r="884">
      <c r="A884" s="4" t="s">
        <v>1007</v>
      </c>
      <c r="B884" s="4" t="s">
        <v>1008</v>
      </c>
      <c r="C884" s="12">
        <f>IFERROR(__xludf.DUMMYFUNCTION("""COMPUTED_VALUE"""),44663.02269675925)</f>
        <v>44663.0227</v>
      </c>
      <c r="D884" s="13">
        <f t="shared" si="1"/>
        <v>12</v>
      </c>
      <c r="E884" s="13">
        <f t="shared" si="2"/>
        <v>0</v>
      </c>
    </row>
    <row r="885">
      <c r="A885" s="4" t="s">
        <v>1007</v>
      </c>
      <c r="B885" s="4" t="s">
        <v>1008</v>
      </c>
      <c r="C885" s="12">
        <f>IFERROR(__xludf.DUMMYFUNCTION("""COMPUTED_VALUE"""),44663.02269675925)</f>
        <v>44663.0227</v>
      </c>
      <c r="D885" s="13">
        <f t="shared" si="1"/>
        <v>12</v>
      </c>
      <c r="E885" s="13">
        <f t="shared" si="2"/>
        <v>0</v>
      </c>
    </row>
    <row r="886">
      <c r="A886" s="4" t="s">
        <v>1007</v>
      </c>
      <c r="B886" s="4" t="s">
        <v>1008</v>
      </c>
      <c r="C886" s="12">
        <f>IFERROR(__xludf.DUMMYFUNCTION("""COMPUTED_VALUE"""),44663.02269675925)</f>
        <v>44663.0227</v>
      </c>
      <c r="D886" s="13">
        <f t="shared" si="1"/>
        <v>12</v>
      </c>
      <c r="E886" s="13">
        <f t="shared" si="2"/>
        <v>0</v>
      </c>
    </row>
    <row r="887">
      <c r="A887" s="4" t="s">
        <v>1007</v>
      </c>
      <c r="B887" s="16"/>
      <c r="C887" s="12">
        <f>IFERROR(__xludf.DUMMYFUNCTION("""COMPUTED_VALUE"""),44663.02269675925)</f>
        <v>44663.0227</v>
      </c>
      <c r="D887" s="13">
        <f t="shared" si="1"/>
        <v>12</v>
      </c>
      <c r="E887" s="13">
        <f t="shared" si="2"/>
        <v>0</v>
      </c>
    </row>
    <row r="888">
      <c r="A888" s="4" t="s">
        <v>1009</v>
      </c>
      <c r="B888" s="16"/>
      <c r="C888" s="12">
        <f>IFERROR(__xludf.DUMMYFUNCTION("""COMPUTED_VALUE"""),44663.022314814814)</f>
        <v>44663.02231</v>
      </c>
      <c r="D888" s="13">
        <f t="shared" si="1"/>
        <v>12</v>
      </c>
      <c r="E888" s="13">
        <f t="shared" si="2"/>
        <v>0</v>
      </c>
    </row>
    <row r="889">
      <c r="A889" s="4" t="s">
        <v>1010</v>
      </c>
      <c r="B889" s="16"/>
      <c r="C889" s="12">
        <f>IFERROR(__xludf.DUMMYFUNCTION("""COMPUTED_VALUE"""),44663.02113425926)</f>
        <v>44663.02113</v>
      </c>
      <c r="D889" s="13">
        <f t="shared" si="1"/>
        <v>12</v>
      </c>
      <c r="E889" s="13">
        <f t="shared" si="2"/>
        <v>0</v>
      </c>
    </row>
    <row r="890">
      <c r="A890" s="4" t="s">
        <v>1011</v>
      </c>
      <c r="B890" s="4" t="s">
        <v>1012</v>
      </c>
      <c r="C890" s="12">
        <f>IFERROR(__xludf.DUMMYFUNCTION("""COMPUTED_VALUE"""),44663.02071759259)</f>
        <v>44663.02072</v>
      </c>
      <c r="D890" s="13">
        <f t="shared" si="1"/>
        <v>12</v>
      </c>
      <c r="E890" s="13">
        <f t="shared" si="2"/>
        <v>0</v>
      </c>
    </row>
    <row r="891">
      <c r="A891" s="4" t="s">
        <v>1013</v>
      </c>
      <c r="B891" s="16"/>
      <c r="C891" s="12">
        <f>IFERROR(__xludf.DUMMYFUNCTION("""COMPUTED_VALUE"""),44663.02069444444)</f>
        <v>44663.02069</v>
      </c>
      <c r="D891" s="13">
        <f t="shared" si="1"/>
        <v>12</v>
      </c>
      <c r="E891" s="13">
        <f t="shared" si="2"/>
        <v>0</v>
      </c>
    </row>
    <row r="892">
      <c r="A892" s="4" t="s">
        <v>1014</v>
      </c>
      <c r="B892" s="16"/>
      <c r="C892" s="12">
        <f>IFERROR(__xludf.DUMMYFUNCTION("""COMPUTED_VALUE"""),44663.02065972222)</f>
        <v>44663.02066</v>
      </c>
      <c r="D892" s="13">
        <f t="shared" si="1"/>
        <v>12</v>
      </c>
      <c r="E892" s="13">
        <f t="shared" si="2"/>
        <v>0</v>
      </c>
    </row>
    <row r="893">
      <c r="A893" s="4" t="s">
        <v>1015</v>
      </c>
      <c r="B893" s="4" t="s">
        <v>1016</v>
      </c>
      <c r="C893" s="12">
        <f>IFERROR(__xludf.DUMMYFUNCTION("""COMPUTED_VALUE"""),44663.020625)</f>
        <v>44663.02063</v>
      </c>
      <c r="D893" s="13">
        <f t="shared" si="1"/>
        <v>12</v>
      </c>
      <c r="E893" s="13">
        <f t="shared" si="2"/>
        <v>0</v>
      </c>
    </row>
    <row r="894">
      <c r="A894" s="4" t="s">
        <v>1017</v>
      </c>
      <c r="B894" s="4" t="s">
        <v>1018</v>
      </c>
      <c r="C894" s="12">
        <f>IFERROR(__xludf.DUMMYFUNCTION("""COMPUTED_VALUE"""),44663.02024305555)</f>
        <v>44663.02024</v>
      </c>
      <c r="D894" s="13">
        <f t="shared" si="1"/>
        <v>12</v>
      </c>
      <c r="E894" s="13">
        <f t="shared" si="2"/>
        <v>0</v>
      </c>
    </row>
    <row r="895">
      <c r="A895" s="4" t="s">
        <v>1019</v>
      </c>
      <c r="B895" s="4" t="s">
        <v>1020</v>
      </c>
      <c r="C895" s="12">
        <f>IFERROR(__xludf.DUMMYFUNCTION("""COMPUTED_VALUE"""),44663.01978009259)</f>
        <v>44663.01978</v>
      </c>
      <c r="D895" s="13">
        <f t="shared" si="1"/>
        <v>12</v>
      </c>
      <c r="E895" s="13">
        <f t="shared" si="2"/>
        <v>0</v>
      </c>
    </row>
    <row r="896">
      <c r="A896" s="4" t="s">
        <v>1021</v>
      </c>
      <c r="B896" s="4" t="s">
        <v>1020</v>
      </c>
      <c r="C896" s="12">
        <f>IFERROR(__xludf.DUMMYFUNCTION("""COMPUTED_VALUE"""),44663.01975694444)</f>
        <v>44663.01976</v>
      </c>
      <c r="D896" s="13">
        <f t="shared" si="1"/>
        <v>12</v>
      </c>
      <c r="E896" s="13">
        <f t="shared" si="2"/>
        <v>0</v>
      </c>
    </row>
    <row r="897">
      <c r="A897" s="4" t="s">
        <v>1022</v>
      </c>
      <c r="B897" s="4" t="s">
        <v>1020</v>
      </c>
      <c r="C897" s="12">
        <f>IFERROR(__xludf.DUMMYFUNCTION("""COMPUTED_VALUE"""),44663.019733796296)</f>
        <v>44663.01973</v>
      </c>
      <c r="D897" s="13">
        <f t="shared" si="1"/>
        <v>12</v>
      </c>
      <c r="E897" s="13">
        <f t="shared" si="2"/>
        <v>0</v>
      </c>
    </row>
    <row r="898">
      <c r="A898" s="4" t="s">
        <v>1023</v>
      </c>
      <c r="B898" s="4" t="s">
        <v>1020</v>
      </c>
      <c r="C898" s="12">
        <f>IFERROR(__xludf.DUMMYFUNCTION("""COMPUTED_VALUE"""),44663.0196875)</f>
        <v>44663.01969</v>
      </c>
      <c r="D898" s="13">
        <f t="shared" si="1"/>
        <v>12</v>
      </c>
      <c r="E898" s="13">
        <f t="shared" si="2"/>
        <v>0</v>
      </c>
    </row>
    <row r="899">
      <c r="A899" s="4" t="s">
        <v>1024</v>
      </c>
      <c r="B899" s="4" t="s">
        <v>1012</v>
      </c>
      <c r="C899" s="12">
        <f>IFERROR(__xludf.DUMMYFUNCTION("""COMPUTED_VALUE"""),44663.01958333333)</f>
        <v>44663.01958</v>
      </c>
      <c r="D899" s="13">
        <f t="shared" si="1"/>
        <v>12</v>
      </c>
      <c r="E899" s="13">
        <f t="shared" si="2"/>
        <v>0</v>
      </c>
    </row>
    <row r="900">
      <c r="A900" s="4" t="s">
        <v>1025</v>
      </c>
      <c r="B900" s="4" t="s">
        <v>1020</v>
      </c>
      <c r="C900" s="12">
        <f>IFERROR(__xludf.DUMMYFUNCTION("""COMPUTED_VALUE"""),44663.019432870366)</f>
        <v>44663.01943</v>
      </c>
      <c r="D900" s="13">
        <f t="shared" si="1"/>
        <v>12</v>
      </c>
      <c r="E900" s="13">
        <f t="shared" si="2"/>
        <v>0</v>
      </c>
    </row>
    <row r="901">
      <c r="A901" s="4" t="s">
        <v>1026</v>
      </c>
      <c r="B901" s="4" t="s">
        <v>1020</v>
      </c>
      <c r="C901" s="12">
        <f>IFERROR(__xludf.DUMMYFUNCTION("""COMPUTED_VALUE"""),44663.01934027777)</f>
        <v>44663.01934</v>
      </c>
      <c r="D901" s="13">
        <f t="shared" si="1"/>
        <v>12</v>
      </c>
      <c r="E901" s="13">
        <f t="shared" si="2"/>
        <v>0</v>
      </c>
    </row>
    <row r="902">
      <c r="A902" s="4" t="s">
        <v>1027</v>
      </c>
      <c r="B902" s="4" t="s">
        <v>1020</v>
      </c>
      <c r="C902" s="12">
        <f>IFERROR(__xludf.DUMMYFUNCTION("""COMPUTED_VALUE"""),44663.01920138889)</f>
        <v>44663.0192</v>
      </c>
      <c r="D902" s="13">
        <f t="shared" si="1"/>
        <v>12</v>
      </c>
      <c r="E902" s="13">
        <f t="shared" si="2"/>
        <v>0</v>
      </c>
    </row>
    <row r="903">
      <c r="A903" s="4" t="s">
        <v>1028</v>
      </c>
      <c r="B903" s="4" t="s">
        <v>791</v>
      </c>
      <c r="C903" s="12">
        <f>IFERROR(__xludf.DUMMYFUNCTION("""COMPUTED_VALUE"""),44663.01473379629)</f>
        <v>44663.01473</v>
      </c>
      <c r="D903" s="13">
        <f t="shared" si="1"/>
        <v>12</v>
      </c>
      <c r="E903" s="13">
        <f t="shared" si="2"/>
        <v>0</v>
      </c>
    </row>
    <row r="904">
      <c r="A904" s="4" t="s">
        <v>1029</v>
      </c>
      <c r="B904" s="4" t="s">
        <v>1030</v>
      </c>
      <c r="C904" s="12">
        <f>IFERROR(__xludf.DUMMYFUNCTION("""COMPUTED_VALUE"""),44663.01332175926)</f>
        <v>44663.01332</v>
      </c>
      <c r="D904" s="13">
        <f t="shared" si="1"/>
        <v>12</v>
      </c>
      <c r="E904" s="13">
        <f t="shared" si="2"/>
        <v>0</v>
      </c>
    </row>
    <row r="905">
      <c r="A905" s="4" t="s">
        <v>1031</v>
      </c>
      <c r="B905" s="16"/>
      <c r="C905" s="12">
        <f>IFERROR(__xludf.DUMMYFUNCTION("""COMPUTED_VALUE"""),44663.013298611106)</f>
        <v>44663.0133</v>
      </c>
      <c r="D905" s="13">
        <f t="shared" si="1"/>
        <v>12</v>
      </c>
      <c r="E905" s="13">
        <f t="shared" si="2"/>
        <v>0</v>
      </c>
    </row>
    <row r="906">
      <c r="A906" s="4" t="s">
        <v>1032</v>
      </c>
      <c r="B906" s="4" t="s">
        <v>1030</v>
      </c>
      <c r="C906" s="12">
        <f>IFERROR(__xludf.DUMMYFUNCTION("""COMPUTED_VALUE"""),44663.01327546296)</f>
        <v>44663.01328</v>
      </c>
      <c r="D906" s="13">
        <f t="shared" si="1"/>
        <v>12</v>
      </c>
      <c r="E906" s="13">
        <f t="shared" si="2"/>
        <v>0</v>
      </c>
    </row>
    <row r="907">
      <c r="A907" s="4" t="s">
        <v>1033</v>
      </c>
      <c r="B907" s="4" t="s">
        <v>1034</v>
      </c>
      <c r="C907" s="12">
        <f>IFERROR(__xludf.DUMMYFUNCTION("""COMPUTED_VALUE"""),44663.01318287037)</f>
        <v>44663.01318</v>
      </c>
      <c r="D907" s="13">
        <f t="shared" si="1"/>
        <v>12</v>
      </c>
      <c r="E907" s="13">
        <f t="shared" si="2"/>
        <v>0</v>
      </c>
    </row>
    <row r="908">
      <c r="A908" s="4" t="s">
        <v>1035</v>
      </c>
      <c r="B908" s="16"/>
      <c r="C908" s="12">
        <f>IFERROR(__xludf.DUMMYFUNCTION("""COMPUTED_VALUE"""),44663.013032407405)</f>
        <v>44663.01303</v>
      </c>
      <c r="D908" s="13">
        <f t="shared" si="1"/>
        <v>12</v>
      </c>
      <c r="E908" s="13">
        <f t="shared" si="2"/>
        <v>0</v>
      </c>
    </row>
    <row r="909">
      <c r="A909" s="4" t="s">
        <v>1036</v>
      </c>
      <c r="B909" s="16"/>
      <c r="C909" s="12">
        <f>IFERROR(__xludf.DUMMYFUNCTION("""COMPUTED_VALUE"""),44663.01296296296)</f>
        <v>44663.01296</v>
      </c>
      <c r="D909" s="13">
        <f t="shared" si="1"/>
        <v>12</v>
      </c>
      <c r="E909" s="13">
        <f t="shared" si="2"/>
        <v>0</v>
      </c>
    </row>
    <row r="910">
      <c r="A910" s="4" t="s">
        <v>1037</v>
      </c>
      <c r="B910" s="16"/>
      <c r="C910" s="12">
        <f>IFERROR(__xludf.DUMMYFUNCTION("""COMPUTED_VALUE"""),44663.012928240736)</f>
        <v>44663.01293</v>
      </c>
      <c r="D910" s="13">
        <f t="shared" si="1"/>
        <v>12</v>
      </c>
      <c r="E910" s="13">
        <f t="shared" si="2"/>
        <v>0</v>
      </c>
    </row>
    <row r="911">
      <c r="A911" s="4" t="s">
        <v>1038</v>
      </c>
      <c r="B911" s="16"/>
      <c r="C911" s="12">
        <f>IFERROR(__xludf.DUMMYFUNCTION("""COMPUTED_VALUE"""),44663.01047453703)</f>
        <v>44663.01047</v>
      </c>
      <c r="D911" s="13">
        <f t="shared" si="1"/>
        <v>12</v>
      </c>
      <c r="E911" s="13">
        <f t="shared" si="2"/>
        <v>0</v>
      </c>
    </row>
    <row r="912">
      <c r="A912" s="4" t="s">
        <v>1039</v>
      </c>
      <c r="B912" s="4" t="s">
        <v>162</v>
      </c>
      <c r="C912" s="12">
        <f>IFERROR(__xludf.DUMMYFUNCTION("""COMPUTED_VALUE"""),44663.009930555556)</f>
        <v>44663.00993</v>
      </c>
      <c r="D912" s="13">
        <f t="shared" si="1"/>
        <v>12</v>
      </c>
      <c r="E912" s="13">
        <f t="shared" si="2"/>
        <v>0</v>
      </c>
    </row>
    <row r="913">
      <c r="A913" s="4" t="s">
        <v>1040</v>
      </c>
      <c r="B913" s="16"/>
      <c r="C913" s="12">
        <f>IFERROR(__xludf.DUMMYFUNCTION("""COMPUTED_VALUE"""),44663.006701388884)</f>
        <v>44663.0067</v>
      </c>
      <c r="D913" s="13">
        <f t="shared" si="1"/>
        <v>12</v>
      </c>
      <c r="E913" s="13">
        <f t="shared" si="2"/>
        <v>0</v>
      </c>
    </row>
    <row r="914">
      <c r="A914" s="4" t="s">
        <v>1041</v>
      </c>
      <c r="B914" s="16"/>
      <c r="C914" s="12">
        <f>IFERROR(__xludf.DUMMYFUNCTION("""COMPUTED_VALUE"""),44663.00642361111)</f>
        <v>44663.00642</v>
      </c>
      <c r="D914" s="13">
        <f t="shared" si="1"/>
        <v>12</v>
      </c>
      <c r="E914" s="13">
        <f t="shared" si="2"/>
        <v>0</v>
      </c>
    </row>
    <row r="915">
      <c r="A915" s="4" t="s">
        <v>1042</v>
      </c>
      <c r="B915" s="4" t="s">
        <v>1043</v>
      </c>
      <c r="C915" s="12">
        <f>IFERROR(__xludf.DUMMYFUNCTION("""COMPUTED_VALUE"""),44663.00567129629)</f>
        <v>44663.00567</v>
      </c>
      <c r="D915" s="13">
        <f t="shared" si="1"/>
        <v>12</v>
      </c>
      <c r="E915" s="13">
        <f t="shared" si="2"/>
        <v>0</v>
      </c>
    </row>
    <row r="916">
      <c r="A916" s="4" t="s">
        <v>1044</v>
      </c>
      <c r="B916" s="16"/>
      <c r="C916" s="12">
        <f>IFERROR(__xludf.DUMMYFUNCTION("""COMPUTED_VALUE"""),44663.00487268518)</f>
        <v>44663.00487</v>
      </c>
      <c r="D916" s="13">
        <f t="shared" si="1"/>
        <v>12</v>
      </c>
      <c r="E916" s="13">
        <f t="shared" si="2"/>
        <v>0</v>
      </c>
    </row>
    <row r="917">
      <c r="A917" s="4" t="s">
        <v>1045</v>
      </c>
      <c r="B917" s="16"/>
      <c r="C917" s="12">
        <f>IFERROR(__xludf.DUMMYFUNCTION("""COMPUTED_VALUE"""),44663.004652777774)</f>
        <v>44663.00465</v>
      </c>
      <c r="D917" s="13">
        <f t="shared" si="1"/>
        <v>12</v>
      </c>
      <c r="E917" s="13">
        <f t="shared" si="2"/>
        <v>0</v>
      </c>
    </row>
    <row r="918">
      <c r="A918" s="4" t="s">
        <v>1046</v>
      </c>
      <c r="B918" s="4" t="s">
        <v>1047</v>
      </c>
      <c r="C918" s="12">
        <f>IFERROR(__xludf.DUMMYFUNCTION("""COMPUTED_VALUE"""),44663.00462962963)</f>
        <v>44663.00463</v>
      </c>
      <c r="D918" s="13">
        <f t="shared" si="1"/>
        <v>12</v>
      </c>
      <c r="E918" s="13">
        <f t="shared" si="2"/>
        <v>0</v>
      </c>
    </row>
    <row r="919">
      <c r="A919" s="4" t="s">
        <v>1048</v>
      </c>
      <c r="B919" s="16"/>
      <c r="C919" s="12">
        <f>IFERROR(__xludf.DUMMYFUNCTION("""COMPUTED_VALUE"""),44663.00460648148)</f>
        <v>44663.00461</v>
      </c>
      <c r="D919" s="13">
        <f t="shared" si="1"/>
        <v>12</v>
      </c>
      <c r="E919" s="13">
        <f t="shared" si="2"/>
        <v>0</v>
      </c>
    </row>
    <row r="920">
      <c r="A920" s="4" t="s">
        <v>1049</v>
      </c>
      <c r="B920" s="4" t="s">
        <v>1050</v>
      </c>
      <c r="C920" s="12">
        <f>IFERROR(__xludf.DUMMYFUNCTION("""COMPUTED_VALUE"""),44663.00159722222)</f>
        <v>44663.0016</v>
      </c>
      <c r="D920" s="13">
        <f t="shared" si="1"/>
        <v>12</v>
      </c>
      <c r="E920" s="13">
        <f t="shared" si="2"/>
        <v>0</v>
      </c>
    </row>
    <row r="921">
      <c r="A921" s="4" t="s">
        <v>1051</v>
      </c>
      <c r="B921" s="4" t="s">
        <v>1052</v>
      </c>
      <c r="C921" s="12">
        <f>IFERROR(__xludf.DUMMYFUNCTION("""COMPUTED_VALUE"""),44662.99961805555)</f>
        <v>44662.99962</v>
      </c>
      <c r="D921" s="13">
        <f t="shared" si="1"/>
        <v>11</v>
      </c>
      <c r="E921" s="13">
        <f t="shared" si="2"/>
        <v>23</v>
      </c>
    </row>
    <row r="922">
      <c r="A922" s="4" t="s">
        <v>1053</v>
      </c>
      <c r="B922" s="16"/>
      <c r="C922" s="12">
        <f>IFERROR(__xludf.DUMMYFUNCTION("""COMPUTED_VALUE"""),44662.999571759254)</f>
        <v>44662.99957</v>
      </c>
      <c r="D922" s="13">
        <f t="shared" si="1"/>
        <v>11</v>
      </c>
      <c r="E922" s="13">
        <f t="shared" si="2"/>
        <v>23</v>
      </c>
    </row>
    <row r="923">
      <c r="A923" s="4" t="s">
        <v>1054</v>
      </c>
      <c r="B923" s="16"/>
      <c r="C923" s="12">
        <f>IFERROR(__xludf.DUMMYFUNCTION("""COMPUTED_VALUE"""),44662.999502314815)</f>
        <v>44662.9995</v>
      </c>
      <c r="D923" s="13">
        <f t="shared" si="1"/>
        <v>11</v>
      </c>
      <c r="E923" s="13">
        <f t="shared" si="2"/>
        <v>23</v>
      </c>
    </row>
    <row r="924">
      <c r="A924" s="4" t="s">
        <v>1055</v>
      </c>
      <c r="B924" s="16"/>
      <c r="C924" s="12">
        <f>IFERROR(__xludf.DUMMYFUNCTION("""COMPUTED_VALUE"""),44662.999444444446)</f>
        <v>44662.99944</v>
      </c>
      <c r="D924" s="13">
        <f t="shared" si="1"/>
        <v>11</v>
      </c>
      <c r="E924" s="13">
        <f t="shared" si="2"/>
        <v>23</v>
      </c>
    </row>
    <row r="925">
      <c r="A925" s="4" t="s">
        <v>1056</v>
      </c>
      <c r="B925" s="16"/>
      <c r="C925" s="12">
        <f>IFERROR(__xludf.DUMMYFUNCTION("""COMPUTED_VALUE"""),44662.999398148146)</f>
        <v>44662.9994</v>
      </c>
      <c r="D925" s="13">
        <f t="shared" si="1"/>
        <v>11</v>
      </c>
      <c r="E925" s="13">
        <f t="shared" si="2"/>
        <v>23</v>
      </c>
    </row>
    <row r="926">
      <c r="A926" s="4" t="s">
        <v>1057</v>
      </c>
      <c r="B926" s="16"/>
      <c r="C926" s="12">
        <f>IFERROR(__xludf.DUMMYFUNCTION("""COMPUTED_VALUE"""),44662.999351851846)</f>
        <v>44662.99935</v>
      </c>
      <c r="D926" s="13">
        <f t="shared" si="1"/>
        <v>11</v>
      </c>
      <c r="E926" s="13">
        <f t="shared" si="2"/>
        <v>23</v>
      </c>
    </row>
    <row r="927">
      <c r="A927" s="4" t="s">
        <v>1058</v>
      </c>
      <c r="B927" s="16"/>
      <c r="C927" s="12">
        <f>IFERROR(__xludf.DUMMYFUNCTION("""COMPUTED_VALUE"""),44662.9969212963)</f>
        <v>44662.99692</v>
      </c>
      <c r="D927" s="13">
        <f t="shared" si="1"/>
        <v>11</v>
      </c>
      <c r="E927" s="13">
        <f t="shared" si="2"/>
        <v>23</v>
      </c>
    </row>
    <row r="928">
      <c r="A928" s="4" t="s">
        <v>1059</v>
      </c>
      <c r="B928" s="16"/>
      <c r="C928" s="12">
        <f>IFERROR(__xludf.DUMMYFUNCTION("""COMPUTED_VALUE"""),44662.994791666664)</f>
        <v>44662.99479</v>
      </c>
      <c r="D928" s="13">
        <f t="shared" si="1"/>
        <v>11</v>
      </c>
      <c r="E928" s="13">
        <f t="shared" si="2"/>
        <v>23</v>
      </c>
    </row>
    <row r="929">
      <c r="A929" s="4" t="s">
        <v>1060</v>
      </c>
      <c r="B929" s="16"/>
      <c r="C929" s="12">
        <f>IFERROR(__xludf.DUMMYFUNCTION("""COMPUTED_VALUE"""),44662.99212962963)</f>
        <v>44662.99213</v>
      </c>
      <c r="D929" s="13">
        <f t="shared" si="1"/>
        <v>11</v>
      </c>
      <c r="E929" s="13">
        <f t="shared" si="2"/>
        <v>23</v>
      </c>
    </row>
    <row r="930">
      <c r="A930" s="4" t="s">
        <v>1061</v>
      </c>
      <c r="B930" s="4" t="s">
        <v>1062</v>
      </c>
      <c r="C930" s="12">
        <f>IFERROR(__xludf.DUMMYFUNCTION("""COMPUTED_VALUE"""),44662.98038194444)</f>
        <v>44662.98038</v>
      </c>
      <c r="D930" s="13">
        <f t="shared" si="1"/>
        <v>11</v>
      </c>
      <c r="E930" s="13">
        <f t="shared" si="2"/>
        <v>23</v>
      </c>
    </row>
    <row r="931">
      <c r="A931" s="4" t="s">
        <v>1063</v>
      </c>
      <c r="B931" s="16"/>
      <c r="C931" s="12">
        <f>IFERROR(__xludf.DUMMYFUNCTION("""COMPUTED_VALUE"""),44662.97956018518)</f>
        <v>44662.97956</v>
      </c>
      <c r="D931" s="13">
        <f t="shared" si="1"/>
        <v>11</v>
      </c>
      <c r="E931" s="13">
        <f t="shared" si="2"/>
        <v>23</v>
      </c>
    </row>
    <row r="932">
      <c r="A932" s="4" t="s">
        <v>1064</v>
      </c>
      <c r="B932" s="16"/>
      <c r="C932" s="12">
        <f>IFERROR(__xludf.DUMMYFUNCTION("""COMPUTED_VALUE"""),44662.97731481481)</f>
        <v>44662.97731</v>
      </c>
      <c r="D932" s="13">
        <f t="shared" si="1"/>
        <v>11</v>
      </c>
      <c r="E932" s="13">
        <f t="shared" si="2"/>
        <v>23</v>
      </c>
    </row>
    <row r="933">
      <c r="A933" s="4" t="s">
        <v>1065</v>
      </c>
      <c r="B933" s="4" t="s">
        <v>1066</v>
      </c>
      <c r="C933" s="12">
        <f>IFERROR(__xludf.DUMMYFUNCTION("""COMPUTED_VALUE"""),44662.975694444445)</f>
        <v>44662.97569</v>
      </c>
      <c r="D933" s="13">
        <f t="shared" si="1"/>
        <v>11</v>
      </c>
      <c r="E933" s="13">
        <f t="shared" si="2"/>
        <v>23</v>
      </c>
    </row>
    <row r="934">
      <c r="A934" s="4" t="s">
        <v>1067</v>
      </c>
      <c r="B934" s="4" t="s">
        <v>1068</v>
      </c>
      <c r="C934" s="12">
        <f>IFERROR(__xludf.DUMMYFUNCTION("""COMPUTED_VALUE"""),44662.97141203703)</f>
        <v>44662.97141</v>
      </c>
      <c r="D934" s="13">
        <f t="shared" si="1"/>
        <v>11</v>
      </c>
      <c r="E934" s="13">
        <f t="shared" si="2"/>
        <v>23</v>
      </c>
    </row>
    <row r="935">
      <c r="A935" s="4" t="s">
        <v>1069</v>
      </c>
      <c r="B935" s="16"/>
      <c r="C935" s="12">
        <f>IFERROR(__xludf.DUMMYFUNCTION("""COMPUTED_VALUE"""),44662.96978009259)</f>
        <v>44662.96978</v>
      </c>
      <c r="D935" s="13">
        <f t="shared" si="1"/>
        <v>11</v>
      </c>
      <c r="E935" s="13">
        <f t="shared" si="2"/>
        <v>23</v>
      </c>
    </row>
    <row r="936">
      <c r="A936" s="4" t="s">
        <v>1070</v>
      </c>
      <c r="B936" s="4" t="s">
        <v>1071</v>
      </c>
      <c r="C936" s="12">
        <f>IFERROR(__xludf.DUMMYFUNCTION("""COMPUTED_VALUE"""),44662.96828703704)</f>
        <v>44662.96829</v>
      </c>
      <c r="D936" s="13">
        <f t="shared" si="1"/>
        <v>11</v>
      </c>
      <c r="E936" s="13">
        <f t="shared" si="2"/>
        <v>23</v>
      </c>
    </row>
    <row r="937">
      <c r="A937" s="4" t="s">
        <v>1072</v>
      </c>
      <c r="B937" s="16"/>
      <c r="C937" s="12">
        <f>IFERROR(__xludf.DUMMYFUNCTION("""COMPUTED_VALUE"""),44662.96815972222)</f>
        <v>44662.96816</v>
      </c>
      <c r="D937" s="13">
        <f t="shared" si="1"/>
        <v>11</v>
      </c>
      <c r="E937" s="13">
        <f t="shared" si="2"/>
        <v>23</v>
      </c>
    </row>
    <row r="938">
      <c r="A938" s="4" t="s">
        <v>1073</v>
      </c>
      <c r="B938" s="4" t="s">
        <v>1074</v>
      </c>
      <c r="C938" s="12">
        <f>IFERROR(__xludf.DUMMYFUNCTION("""COMPUTED_VALUE"""),44662.96697916667)</f>
        <v>44662.96698</v>
      </c>
      <c r="D938" s="13">
        <f t="shared" si="1"/>
        <v>11</v>
      </c>
      <c r="E938" s="13">
        <f t="shared" si="2"/>
        <v>23</v>
      </c>
    </row>
    <row r="939">
      <c r="A939" s="4" t="s">
        <v>1075</v>
      </c>
      <c r="B939" s="4" t="s">
        <v>1076</v>
      </c>
      <c r="C939" s="12">
        <f>IFERROR(__xludf.DUMMYFUNCTION("""COMPUTED_VALUE"""),44662.965740740736)</f>
        <v>44662.96574</v>
      </c>
      <c r="D939" s="13">
        <f t="shared" si="1"/>
        <v>11</v>
      </c>
      <c r="E939" s="13">
        <f t="shared" si="2"/>
        <v>23</v>
      </c>
    </row>
    <row r="940">
      <c r="A940" s="4" t="s">
        <v>1077</v>
      </c>
      <c r="B940" s="4" t="s">
        <v>1078</v>
      </c>
      <c r="C940" s="12">
        <f>IFERROR(__xludf.DUMMYFUNCTION("""COMPUTED_VALUE"""),44662.965474537035)</f>
        <v>44662.96547</v>
      </c>
      <c r="D940" s="13">
        <f t="shared" si="1"/>
        <v>11</v>
      </c>
      <c r="E940" s="13">
        <f t="shared" si="2"/>
        <v>23</v>
      </c>
    </row>
    <row r="941">
      <c r="A941" s="4" t="s">
        <v>1079</v>
      </c>
      <c r="B941" s="16"/>
      <c r="C941" s="12">
        <f>IFERROR(__xludf.DUMMYFUNCTION("""COMPUTED_VALUE"""),44662.96456018518)</f>
        <v>44662.96456</v>
      </c>
      <c r="D941" s="13">
        <f t="shared" si="1"/>
        <v>11</v>
      </c>
      <c r="E941" s="13">
        <f t="shared" si="2"/>
        <v>23</v>
      </c>
    </row>
    <row r="942">
      <c r="A942" s="4" t="s">
        <v>1080</v>
      </c>
      <c r="B942" s="4" t="s">
        <v>42</v>
      </c>
      <c r="C942" s="12">
        <f>IFERROR(__xludf.DUMMYFUNCTION("""COMPUTED_VALUE"""),44662.96446759259)</f>
        <v>44662.96447</v>
      </c>
      <c r="D942" s="13">
        <f t="shared" si="1"/>
        <v>11</v>
      </c>
      <c r="E942" s="13">
        <f t="shared" si="2"/>
        <v>23</v>
      </c>
    </row>
    <row r="943">
      <c r="A943" s="4" t="s">
        <v>1081</v>
      </c>
      <c r="B943" s="4" t="s">
        <v>1082</v>
      </c>
      <c r="C943" s="12">
        <f>IFERROR(__xludf.DUMMYFUNCTION("""COMPUTED_VALUE"""),44662.964120370365)</f>
        <v>44662.96412</v>
      </c>
      <c r="D943" s="13">
        <f t="shared" si="1"/>
        <v>11</v>
      </c>
      <c r="E943" s="13">
        <f t="shared" si="2"/>
        <v>23</v>
      </c>
    </row>
    <row r="944">
      <c r="A944" s="4" t="s">
        <v>1083</v>
      </c>
      <c r="B944" s="4" t="s">
        <v>1084</v>
      </c>
      <c r="C944" s="12">
        <f>IFERROR(__xludf.DUMMYFUNCTION("""COMPUTED_VALUE"""),44662.96295138889)</f>
        <v>44662.96295</v>
      </c>
      <c r="D944" s="13">
        <f t="shared" si="1"/>
        <v>11</v>
      </c>
      <c r="E944" s="13">
        <f t="shared" si="2"/>
        <v>23</v>
      </c>
    </row>
    <row r="945">
      <c r="A945" s="4" t="s">
        <v>1085</v>
      </c>
      <c r="B945" s="4" t="s">
        <v>1086</v>
      </c>
      <c r="C945" s="12">
        <f>IFERROR(__xludf.DUMMYFUNCTION("""COMPUTED_VALUE"""),44662.96157407407)</f>
        <v>44662.96157</v>
      </c>
      <c r="D945" s="13">
        <f t="shared" si="1"/>
        <v>11</v>
      </c>
      <c r="E945" s="13">
        <f t="shared" si="2"/>
        <v>23</v>
      </c>
    </row>
    <row r="946">
      <c r="A946" s="4" t="s">
        <v>1087</v>
      </c>
      <c r="B946" s="4" t="s">
        <v>1088</v>
      </c>
      <c r="C946" s="12">
        <f>IFERROR(__xludf.DUMMYFUNCTION("""COMPUTED_VALUE"""),44662.96153935185)</f>
        <v>44662.96154</v>
      </c>
      <c r="D946" s="13">
        <f t="shared" si="1"/>
        <v>11</v>
      </c>
      <c r="E946" s="13">
        <f t="shared" si="2"/>
        <v>23</v>
      </c>
    </row>
    <row r="947">
      <c r="A947" s="4" t="s">
        <v>1087</v>
      </c>
      <c r="B947" s="4" t="s">
        <v>254</v>
      </c>
      <c r="C947" s="12">
        <f>IFERROR(__xludf.DUMMYFUNCTION("""COMPUTED_VALUE"""),44662.96153935185)</f>
        <v>44662.96154</v>
      </c>
      <c r="D947" s="13">
        <f t="shared" si="1"/>
        <v>11</v>
      </c>
      <c r="E947" s="13">
        <f t="shared" si="2"/>
        <v>23</v>
      </c>
    </row>
    <row r="948">
      <c r="A948" s="4" t="s">
        <v>1089</v>
      </c>
      <c r="B948" s="4" t="s">
        <v>254</v>
      </c>
      <c r="C948" s="12">
        <f>IFERROR(__xludf.DUMMYFUNCTION("""COMPUTED_VALUE"""),44662.961493055554)</f>
        <v>44662.96149</v>
      </c>
      <c r="D948" s="13">
        <f t="shared" si="1"/>
        <v>11</v>
      </c>
      <c r="E948" s="13">
        <f t="shared" si="2"/>
        <v>23</v>
      </c>
    </row>
    <row r="949">
      <c r="A949" s="4" t="s">
        <v>1090</v>
      </c>
      <c r="B949" s="4" t="s">
        <v>1091</v>
      </c>
      <c r="C949" s="12">
        <f>IFERROR(__xludf.DUMMYFUNCTION("""COMPUTED_VALUE"""),44662.96094907407)</f>
        <v>44662.96095</v>
      </c>
      <c r="D949" s="13">
        <f t="shared" si="1"/>
        <v>11</v>
      </c>
      <c r="E949" s="13">
        <f t="shared" si="2"/>
        <v>23</v>
      </c>
    </row>
    <row r="950">
      <c r="A950" s="4" t="s">
        <v>1092</v>
      </c>
      <c r="B950" s="4" t="s">
        <v>1093</v>
      </c>
      <c r="C950" s="12">
        <f>IFERROR(__xludf.DUMMYFUNCTION("""COMPUTED_VALUE"""),44662.96068287037)</f>
        <v>44662.96068</v>
      </c>
      <c r="D950" s="13">
        <f t="shared" si="1"/>
        <v>11</v>
      </c>
      <c r="E950" s="13">
        <f t="shared" si="2"/>
        <v>23</v>
      </c>
    </row>
    <row r="951">
      <c r="A951" s="4" t="s">
        <v>1094</v>
      </c>
      <c r="B951" s="4" t="s">
        <v>1093</v>
      </c>
      <c r="C951" s="12">
        <f>IFERROR(__xludf.DUMMYFUNCTION("""COMPUTED_VALUE"""),44662.96063657407)</f>
        <v>44662.96064</v>
      </c>
      <c r="D951" s="13">
        <f t="shared" si="1"/>
        <v>11</v>
      </c>
      <c r="E951" s="13">
        <f t="shared" si="2"/>
        <v>23</v>
      </c>
    </row>
    <row r="952">
      <c r="A952" s="4" t="s">
        <v>1095</v>
      </c>
      <c r="B952" s="4" t="s">
        <v>1096</v>
      </c>
      <c r="C952" s="12">
        <f>IFERROR(__xludf.DUMMYFUNCTION("""COMPUTED_VALUE"""),44662.96005787037)</f>
        <v>44662.96006</v>
      </c>
      <c r="D952" s="13">
        <f t="shared" si="1"/>
        <v>11</v>
      </c>
      <c r="E952" s="13">
        <f t="shared" si="2"/>
        <v>23</v>
      </c>
    </row>
    <row r="953">
      <c r="A953" s="4" t="s">
        <v>1097</v>
      </c>
      <c r="B953" s="16"/>
      <c r="C953" s="12">
        <f>IFERROR(__xludf.DUMMYFUNCTION("""COMPUTED_VALUE"""),44662.959872685184)</f>
        <v>44662.95987</v>
      </c>
      <c r="D953" s="13">
        <f t="shared" si="1"/>
        <v>11</v>
      </c>
      <c r="E953" s="13">
        <f t="shared" si="2"/>
        <v>23</v>
      </c>
    </row>
    <row r="954">
      <c r="A954" s="4" t="s">
        <v>1097</v>
      </c>
      <c r="B954" s="4" t="s">
        <v>1098</v>
      </c>
      <c r="C954" s="12">
        <f>IFERROR(__xludf.DUMMYFUNCTION("""COMPUTED_VALUE"""),44662.959872685184)</f>
        <v>44662.95987</v>
      </c>
      <c r="D954" s="13">
        <f t="shared" si="1"/>
        <v>11</v>
      </c>
      <c r="E954" s="13">
        <f t="shared" si="2"/>
        <v>23</v>
      </c>
    </row>
    <row r="955">
      <c r="A955" s="4" t="s">
        <v>1099</v>
      </c>
      <c r="B955" s="4" t="s">
        <v>1100</v>
      </c>
      <c r="C955" s="12">
        <f>IFERROR(__xludf.DUMMYFUNCTION("""COMPUTED_VALUE"""),44662.959826388884)</f>
        <v>44662.95983</v>
      </c>
      <c r="D955" s="13">
        <f t="shared" si="1"/>
        <v>11</v>
      </c>
      <c r="E955" s="13">
        <f t="shared" si="2"/>
        <v>23</v>
      </c>
    </row>
    <row r="956">
      <c r="A956" s="4" t="s">
        <v>1101</v>
      </c>
      <c r="B956" s="16"/>
      <c r="C956" s="12">
        <f>IFERROR(__xludf.DUMMYFUNCTION("""COMPUTED_VALUE"""),44662.9596875)</f>
        <v>44662.95969</v>
      </c>
      <c r="D956" s="13">
        <f t="shared" si="1"/>
        <v>11</v>
      </c>
      <c r="E956" s="13">
        <f t="shared" si="2"/>
        <v>23</v>
      </c>
    </row>
    <row r="957">
      <c r="A957" s="4" t="s">
        <v>1102</v>
      </c>
      <c r="B957" s="4" t="s">
        <v>1103</v>
      </c>
      <c r="C957" s="12">
        <f>IFERROR(__xludf.DUMMYFUNCTION("""COMPUTED_VALUE"""),44662.95864583333)</f>
        <v>44662.95865</v>
      </c>
      <c r="D957" s="13">
        <f t="shared" si="1"/>
        <v>11</v>
      </c>
      <c r="E957" s="13">
        <f t="shared" si="2"/>
        <v>23</v>
      </c>
    </row>
    <row r="958">
      <c r="A958" s="4" t="s">
        <v>1104</v>
      </c>
      <c r="B958" s="4" t="s">
        <v>1105</v>
      </c>
      <c r="C958" s="12">
        <f>IFERROR(__xludf.DUMMYFUNCTION("""COMPUTED_VALUE"""),44662.95826388889)</f>
        <v>44662.95826</v>
      </c>
      <c r="D958" s="13">
        <f t="shared" si="1"/>
        <v>11</v>
      </c>
      <c r="E958" s="13">
        <f t="shared" si="2"/>
        <v>22</v>
      </c>
    </row>
    <row r="959">
      <c r="A959" s="4" t="s">
        <v>1106</v>
      </c>
      <c r="B959" s="4" t="s">
        <v>1107</v>
      </c>
      <c r="C959" s="12">
        <f>IFERROR(__xludf.DUMMYFUNCTION("""COMPUTED_VALUE"""),44662.95811342592)</f>
        <v>44662.95811</v>
      </c>
      <c r="D959" s="13">
        <f t="shared" si="1"/>
        <v>11</v>
      </c>
      <c r="E959" s="13">
        <f t="shared" si="2"/>
        <v>22</v>
      </c>
    </row>
    <row r="960">
      <c r="A960" s="4" t="s">
        <v>1108</v>
      </c>
      <c r="B960" s="16"/>
      <c r="C960" s="12">
        <f>IFERROR(__xludf.DUMMYFUNCTION("""COMPUTED_VALUE"""),44662.958032407405)</f>
        <v>44662.95803</v>
      </c>
      <c r="D960" s="13">
        <f t="shared" si="1"/>
        <v>11</v>
      </c>
      <c r="E960" s="13">
        <f t="shared" si="2"/>
        <v>22</v>
      </c>
    </row>
    <row r="961">
      <c r="A961" s="4" t="s">
        <v>1109</v>
      </c>
      <c r="B961" s="4" t="s">
        <v>1078</v>
      </c>
      <c r="C961" s="12">
        <f>IFERROR(__xludf.DUMMYFUNCTION("""COMPUTED_VALUE"""),44662.957974537036)</f>
        <v>44662.95797</v>
      </c>
      <c r="D961" s="13">
        <f t="shared" si="1"/>
        <v>11</v>
      </c>
      <c r="E961" s="13">
        <f t="shared" si="2"/>
        <v>22</v>
      </c>
    </row>
    <row r="962">
      <c r="A962" s="4" t="s">
        <v>1110</v>
      </c>
      <c r="B962" s="4" t="s">
        <v>1078</v>
      </c>
      <c r="C962" s="12">
        <f>IFERROR(__xludf.DUMMYFUNCTION("""COMPUTED_VALUE"""),44662.957928240736)</f>
        <v>44662.95793</v>
      </c>
      <c r="D962" s="13">
        <f t="shared" si="1"/>
        <v>11</v>
      </c>
      <c r="E962" s="13">
        <f t="shared" si="2"/>
        <v>22</v>
      </c>
    </row>
    <row r="963">
      <c r="A963" s="4" t="s">
        <v>1111</v>
      </c>
      <c r="B963" s="4" t="s">
        <v>1112</v>
      </c>
      <c r="C963" s="12">
        <f>IFERROR(__xludf.DUMMYFUNCTION("""COMPUTED_VALUE"""),44662.957916666666)</f>
        <v>44662.95792</v>
      </c>
      <c r="D963" s="13">
        <f t="shared" si="1"/>
        <v>11</v>
      </c>
      <c r="E963" s="13">
        <f t="shared" si="2"/>
        <v>22</v>
      </c>
    </row>
    <row r="964">
      <c r="A964" s="4" t="s">
        <v>1113</v>
      </c>
      <c r="B964" s="16"/>
      <c r="C964" s="12">
        <f>IFERROR(__xludf.DUMMYFUNCTION("""COMPUTED_VALUE"""),44662.95768518518)</f>
        <v>44662.95769</v>
      </c>
      <c r="D964" s="13">
        <f t="shared" si="1"/>
        <v>11</v>
      </c>
      <c r="E964" s="13">
        <f t="shared" si="2"/>
        <v>22</v>
      </c>
    </row>
    <row r="965">
      <c r="A965" s="4" t="s">
        <v>1114</v>
      </c>
      <c r="B965" s="4" t="s">
        <v>42</v>
      </c>
      <c r="C965" s="12">
        <f>IFERROR(__xludf.DUMMYFUNCTION("""COMPUTED_VALUE"""),44662.95763888889)</f>
        <v>44662.95764</v>
      </c>
      <c r="D965" s="13">
        <f t="shared" si="1"/>
        <v>11</v>
      </c>
      <c r="E965" s="13">
        <f t="shared" si="2"/>
        <v>22</v>
      </c>
    </row>
    <row r="966">
      <c r="A966" s="4" t="s">
        <v>1115</v>
      </c>
      <c r="B966" s="4" t="s">
        <v>1116</v>
      </c>
      <c r="C966" s="12">
        <f>IFERROR(__xludf.DUMMYFUNCTION("""COMPUTED_VALUE"""),44662.95733796296)</f>
        <v>44662.95734</v>
      </c>
      <c r="D966" s="13">
        <f t="shared" si="1"/>
        <v>11</v>
      </c>
      <c r="E966" s="13">
        <f t="shared" si="2"/>
        <v>22</v>
      </c>
    </row>
    <row r="967">
      <c r="A967" s="4" t="s">
        <v>1117</v>
      </c>
      <c r="B967" s="16"/>
      <c r="C967" s="12">
        <f>IFERROR(__xludf.DUMMYFUNCTION("""COMPUTED_VALUE"""),44662.95715277777)</f>
        <v>44662.95715</v>
      </c>
      <c r="D967" s="13">
        <f t="shared" si="1"/>
        <v>11</v>
      </c>
      <c r="E967" s="13">
        <f t="shared" si="2"/>
        <v>22</v>
      </c>
    </row>
    <row r="968">
      <c r="A968" s="4" t="s">
        <v>1118</v>
      </c>
      <c r="B968" s="4" t="s">
        <v>42</v>
      </c>
      <c r="C968" s="12">
        <f>IFERROR(__xludf.DUMMYFUNCTION("""COMPUTED_VALUE"""),44662.957141203704)</f>
        <v>44662.95714</v>
      </c>
      <c r="D968" s="13">
        <f t="shared" si="1"/>
        <v>11</v>
      </c>
      <c r="E968" s="13">
        <f t="shared" si="2"/>
        <v>22</v>
      </c>
    </row>
    <row r="969">
      <c r="A969" s="4" t="s">
        <v>1119</v>
      </c>
      <c r="B969" s="16"/>
      <c r="C969" s="12">
        <f>IFERROR(__xludf.DUMMYFUNCTION("""COMPUTED_VALUE"""),44662.95712962963)</f>
        <v>44662.95713</v>
      </c>
      <c r="D969" s="13">
        <f t="shared" si="1"/>
        <v>11</v>
      </c>
      <c r="E969" s="13">
        <f t="shared" si="2"/>
        <v>22</v>
      </c>
    </row>
    <row r="970">
      <c r="A970" s="4" t="s">
        <v>1120</v>
      </c>
      <c r="B970" s="16"/>
      <c r="C970" s="12">
        <f>IFERROR(__xludf.DUMMYFUNCTION("""COMPUTED_VALUE"""),44662.957094907404)</f>
        <v>44662.95709</v>
      </c>
      <c r="D970" s="13">
        <f t="shared" si="1"/>
        <v>11</v>
      </c>
      <c r="E970" s="13">
        <f t="shared" si="2"/>
        <v>22</v>
      </c>
    </row>
    <row r="971">
      <c r="A971" s="4" t="s">
        <v>1121</v>
      </c>
      <c r="B971" s="16"/>
      <c r="C971" s="12">
        <f>IFERROR(__xludf.DUMMYFUNCTION("""COMPUTED_VALUE"""),44662.95706018518)</f>
        <v>44662.95706</v>
      </c>
      <c r="D971" s="13">
        <f t="shared" si="1"/>
        <v>11</v>
      </c>
      <c r="E971" s="13">
        <f t="shared" si="2"/>
        <v>22</v>
      </c>
    </row>
    <row r="972">
      <c r="A972" s="4" t="s">
        <v>1122</v>
      </c>
      <c r="B972" s="4" t="s">
        <v>42</v>
      </c>
      <c r="C972" s="12">
        <f>IFERROR(__xludf.DUMMYFUNCTION("""COMPUTED_VALUE"""),44662.95702546296)</f>
        <v>44662.95703</v>
      </c>
      <c r="D972" s="13">
        <f t="shared" si="1"/>
        <v>11</v>
      </c>
      <c r="E972" s="13">
        <f t="shared" si="2"/>
        <v>22</v>
      </c>
    </row>
    <row r="973">
      <c r="A973" s="4" t="s">
        <v>1123</v>
      </c>
      <c r="B973" s="16"/>
      <c r="C973" s="12">
        <f>IFERROR(__xludf.DUMMYFUNCTION("""COMPUTED_VALUE"""),44662.95701388889)</f>
        <v>44662.95701</v>
      </c>
      <c r="D973" s="13">
        <f t="shared" si="1"/>
        <v>11</v>
      </c>
      <c r="E973" s="13">
        <f t="shared" si="2"/>
        <v>22</v>
      </c>
    </row>
    <row r="974">
      <c r="A974" s="4" t="s">
        <v>1124</v>
      </c>
      <c r="B974" s="16"/>
      <c r="C974" s="12">
        <f>IFERROR(__xludf.DUMMYFUNCTION("""COMPUTED_VALUE"""),44662.956990740735)</f>
        <v>44662.95699</v>
      </c>
      <c r="D974" s="13">
        <f t="shared" si="1"/>
        <v>11</v>
      </c>
      <c r="E974" s="13">
        <f t="shared" si="2"/>
        <v>22</v>
      </c>
    </row>
    <row r="975">
      <c r="A975" s="4" t="s">
        <v>1124</v>
      </c>
      <c r="B975" s="4" t="s">
        <v>1116</v>
      </c>
      <c r="C975" s="12">
        <f>IFERROR(__xludf.DUMMYFUNCTION("""COMPUTED_VALUE"""),44662.956990740735)</f>
        <v>44662.95699</v>
      </c>
      <c r="D975" s="13">
        <f t="shared" si="1"/>
        <v>11</v>
      </c>
      <c r="E975" s="13">
        <f t="shared" si="2"/>
        <v>22</v>
      </c>
    </row>
    <row r="976">
      <c r="A976" s="4" t="s">
        <v>1125</v>
      </c>
      <c r="B976" s="16"/>
      <c r="C976" s="12">
        <f>IFERROR(__xludf.DUMMYFUNCTION("""COMPUTED_VALUE"""),44662.95696759259)</f>
        <v>44662.95697</v>
      </c>
      <c r="D976" s="13">
        <f t="shared" si="1"/>
        <v>11</v>
      </c>
      <c r="E976" s="13">
        <f t="shared" si="2"/>
        <v>22</v>
      </c>
    </row>
    <row r="977">
      <c r="A977" s="4" t="s">
        <v>1126</v>
      </c>
      <c r="B977" s="4" t="s">
        <v>42</v>
      </c>
      <c r="C977" s="12">
        <f>IFERROR(__xludf.DUMMYFUNCTION("""COMPUTED_VALUE"""),44662.95694444444)</f>
        <v>44662.95694</v>
      </c>
      <c r="D977" s="13">
        <f t="shared" si="1"/>
        <v>11</v>
      </c>
      <c r="E977" s="13">
        <f t="shared" si="2"/>
        <v>22</v>
      </c>
    </row>
    <row r="978">
      <c r="A978" s="4" t="s">
        <v>1127</v>
      </c>
      <c r="B978" s="16"/>
      <c r="C978" s="12">
        <f>IFERROR(__xludf.DUMMYFUNCTION("""COMPUTED_VALUE"""),44662.95688657407)</f>
        <v>44662.95689</v>
      </c>
      <c r="D978" s="13">
        <f t="shared" si="1"/>
        <v>11</v>
      </c>
      <c r="E978" s="13">
        <f t="shared" si="2"/>
        <v>22</v>
      </c>
    </row>
    <row r="979">
      <c r="A979" s="4" t="s">
        <v>1128</v>
      </c>
      <c r="B979" s="16"/>
      <c r="C979" s="12">
        <f>IFERROR(__xludf.DUMMYFUNCTION("""COMPUTED_VALUE"""),44662.95686342593)</f>
        <v>44662.95686</v>
      </c>
      <c r="D979" s="13">
        <f t="shared" si="1"/>
        <v>11</v>
      </c>
      <c r="E979" s="13">
        <f t="shared" si="2"/>
        <v>22</v>
      </c>
    </row>
    <row r="980">
      <c r="A980" s="4" t="s">
        <v>1129</v>
      </c>
      <c r="B980" s="16"/>
      <c r="C980" s="12">
        <f>IFERROR(__xludf.DUMMYFUNCTION("""COMPUTED_VALUE"""),44662.95684027777)</f>
        <v>44662.95684</v>
      </c>
      <c r="D980" s="13">
        <f t="shared" si="1"/>
        <v>11</v>
      </c>
      <c r="E980" s="13">
        <f t="shared" si="2"/>
        <v>22</v>
      </c>
    </row>
    <row r="981">
      <c r="A981" s="4" t="s">
        <v>1130</v>
      </c>
      <c r="B981" s="16"/>
      <c r="C981" s="12">
        <f>IFERROR(__xludf.DUMMYFUNCTION("""COMPUTED_VALUE"""),44662.95681712963)</f>
        <v>44662.95682</v>
      </c>
      <c r="D981" s="13">
        <f t="shared" si="1"/>
        <v>11</v>
      </c>
      <c r="E981" s="13">
        <f t="shared" si="2"/>
        <v>22</v>
      </c>
    </row>
    <row r="982">
      <c r="A982" s="4" t="s">
        <v>1131</v>
      </c>
      <c r="B982" s="16"/>
      <c r="C982" s="12">
        <f>IFERROR(__xludf.DUMMYFUNCTION("""COMPUTED_VALUE"""),44662.956770833334)</f>
        <v>44662.95677</v>
      </c>
      <c r="D982" s="13">
        <f t="shared" si="1"/>
        <v>11</v>
      </c>
      <c r="E982" s="13">
        <f t="shared" si="2"/>
        <v>22</v>
      </c>
    </row>
    <row r="983">
      <c r="A983" s="4" t="s">
        <v>1131</v>
      </c>
      <c r="B983" s="4" t="s">
        <v>42</v>
      </c>
      <c r="C983" s="12">
        <f>IFERROR(__xludf.DUMMYFUNCTION("""COMPUTED_VALUE"""),44662.956770833334)</f>
        <v>44662.95677</v>
      </c>
      <c r="D983" s="13">
        <f t="shared" si="1"/>
        <v>11</v>
      </c>
      <c r="E983" s="13">
        <f t="shared" si="2"/>
        <v>22</v>
      </c>
    </row>
    <row r="984">
      <c r="A984" s="4" t="s">
        <v>1132</v>
      </c>
      <c r="B984" s="4" t="s">
        <v>1116</v>
      </c>
      <c r="C984" s="12">
        <f>IFERROR(__xludf.DUMMYFUNCTION("""COMPUTED_VALUE"""),44662.95675925926)</f>
        <v>44662.95676</v>
      </c>
      <c r="D984" s="13">
        <f t="shared" si="1"/>
        <v>11</v>
      </c>
      <c r="E984" s="13">
        <f t="shared" si="2"/>
        <v>22</v>
      </c>
    </row>
    <row r="985">
      <c r="A985" s="4" t="s">
        <v>1133</v>
      </c>
      <c r="B985" s="16"/>
      <c r="C985" s="12">
        <f>IFERROR(__xludf.DUMMYFUNCTION("""COMPUTED_VALUE"""),44662.95673611111)</f>
        <v>44662.95674</v>
      </c>
      <c r="D985" s="13">
        <f t="shared" si="1"/>
        <v>11</v>
      </c>
      <c r="E985" s="13">
        <f t="shared" si="2"/>
        <v>22</v>
      </c>
    </row>
    <row r="986">
      <c r="A986" s="4" t="s">
        <v>1134</v>
      </c>
      <c r="B986" s="4" t="s">
        <v>42</v>
      </c>
      <c r="C986" s="12">
        <f>IFERROR(__xludf.DUMMYFUNCTION("""COMPUTED_VALUE"""),44662.95670138889)</f>
        <v>44662.9567</v>
      </c>
      <c r="D986" s="13">
        <f t="shared" si="1"/>
        <v>11</v>
      </c>
      <c r="E986" s="13">
        <f t="shared" si="2"/>
        <v>22</v>
      </c>
    </row>
    <row r="987">
      <c r="A987" s="4" t="s">
        <v>1134</v>
      </c>
      <c r="B987" s="4" t="s">
        <v>1116</v>
      </c>
      <c r="C987" s="12">
        <f>IFERROR(__xludf.DUMMYFUNCTION("""COMPUTED_VALUE"""),44662.95670138889)</f>
        <v>44662.9567</v>
      </c>
      <c r="D987" s="13">
        <f t="shared" si="1"/>
        <v>11</v>
      </c>
      <c r="E987" s="13">
        <f t="shared" si="2"/>
        <v>22</v>
      </c>
    </row>
    <row r="988">
      <c r="A988" s="4" t="s">
        <v>1135</v>
      </c>
      <c r="B988" s="4" t="s">
        <v>1071</v>
      </c>
      <c r="C988" s="12">
        <f>IFERROR(__xludf.DUMMYFUNCTION("""COMPUTED_VALUE"""),44662.95663194444)</f>
        <v>44662.95663</v>
      </c>
      <c r="D988" s="13">
        <f t="shared" si="1"/>
        <v>11</v>
      </c>
      <c r="E988" s="13">
        <f t="shared" si="2"/>
        <v>22</v>
      </c>
    </row>
    <row r="989">
      <c r="A989" s="4" t="s">
        <v>1136</v>
      </c>
      <c r="B989" s="4" t="s">
        <v>42</v>
      </c>
      <c r="C989" s="12">
        <f>IFERROR(__xludf.DUMMYFUNCTION("""COMPUTED_VALUE"""),44662.956620370365)</f>
        <v>44662.95662</v>
      </c>
      <c r="D989" s="13">
        <f t="shared" si="1"/>
        <v>11</v>
      </c>
      <c r="E989" s="13">
        <f t="shared" si="2"/>
        <v>22</v>
      </c>
    </row>
    <row r="990">
      <c r="A990" s="4" t="s">
        <v>1137</v>
      </c>
      <c r="B990" s="4" t="s">
        <v>42</v>
      </c>
      <c r="C990" s="12">
        <f>IFERROR(__xludf.DUMMYFUNCTION("""COMPUTED_VALUE"""),44662.95652777777)</f>
        <v>44662.95653</v>
      </c>
      <c r="D990" s="13">
        <f t="shared" si="1"/>
        <v>11</v>
      </c>
      <c r="E990" s="13">
        <f t="shared" si="2"/>
        <v>22</v>
      </c>
    </row>
    <row r="991">
      <c r="A991" s="4" t="s">
        <v>1138</v>
      </c>
      <c r="B991" s="4" t="s">
        <v>42</v>
      </c>
      <c r="C991" s="12">
        <f>IFERROR(__xludf.DUMMYFUNCTION("""COMPUTED_VALUE"""),44662.95649305555)</f>
        <v>44662.95649</v>
      </c>
      <c r="D991" s="13">
        <f t="shared" si="1"/>
        <v>11</v>
      </c>
      <c r="E991" s="13">
        <f t="shared" si="2"/>
        <v>22</v>
      </c>
    </row>
    <row r="992">
      <c r="A992" s="4" t="s">
        <v>1139</v>
      </c>
      <c r="B992" s="16"/>
      <c r="C992" s="12">
        <f>IFERROR(__xludf.DUMMYFUNCTION("""COMPUTED_VALUE"""),44662.95648148148)</f>
        <v>44662.95648</v>
      </c>
      <c r="D992" s="13">
        <f t="shared" si="1"/>
        <v>11</v>
      </c>
      <c r="E992" s="13">
        <f t="shared" si="2"/>
        <v>22</v>
      </c>
    </row>
    <row r="993">
      <c r="A993" s="4" t="s">
        <v>1140</v>
      </c>
      <c r="B993" s="4" t="s">
        <v>1116</v>
      </c>
      <c r="C993" s="12">
        <f>IFERROR(__xludf.DUMMYFUNCTION("""COMPUTED_VALUE"""),44662.95644675926)</f>
        <v>44662.95645</v>
      </c>
      <c r="D993" s="13">
        <f t="shared" si="1"/>
        <v>11</v>
      </c>
      <c r="E993" s="13">
        <f t="shared" si="2"/>
        <v>22</v>
      </c>
    </row>
    <row r="994">
      <c r="A994" s="4" t="s">
        <v>1141</v>
      </c>
      <c r="B994" s="4" t="s">
        <v>42</v>
      </c>
      <c r="C994" s="12">
        <f>IFERROR(__xludf.DUMMYFUNCTION("""COMPUTED_VALUE"""),44662.95643518518)</f>
        <v>44662.95644</v>
      </c>
      <c r="D994" s="13">
        <f t="shared" si="1"/>
        <v>11</v>
      </c>
      <c r="E994" s="13">
        <f t="shared" si="2"/>
        <v>22</v>
      </c>
    </row>
    <row r="995">
      <c r="A995" s="4" t="s">
        <v>1142</v>
      </c>
      <c r="B995" s="16"/>
      <c r="C995" s="12">
        <f>IFERROR(__xludf.DUMMYFUNCTION("""COMPUTED_VALUE"""),44662.95642361111)</f>
        <v>44662.95642</v>
      </c>
      <c r="D995" s="13">
        <f t="shared" si="1"/>
        <v>11</v>
      </c>
      <c r="E995" s="13">
        <f t="shared" si="2"/>
        <v>22</v>
      </c>
    </row>
    <row r="996">
      <c r="A996" s="4" t="s">
        <v>1143</v>
      </c>
      <c r="B996" s="16"/>
      <c r="C996" s="12">
        <f>IFERROR(__xludf.DUMMYFUNCTION("""COMPUTED_VALUE"""),44662.95640046296)</f>
        <v>44662.9564</v>
      </c>
      <c r="D996" s="13">
        <f t="shared" si="1"/>
        <v>11</v>
      </c>
      <c r="E996" s="13">
        <f t="shared" si="2"/>
        <v>22</v>
      </c>
    </row>
    <row r="997">
      <c r="A997" s="4" t="s">
        <v>1144</v>
      </c>
      <c r="B997" s="16"/>
      <c r="C997" s="12">
        <f>IFERROR(__xludf.DUMMYFUNCTION("""COMPUTED_VALUE"""),44662.95637731481)</f>
        <v>44662.95638</v>
      </c>
      <c r="D997" s="13">
        <f t="shared" si="1"/>
        <v>11</v>
      </c>
      <c r="E997" s="13">
        <f t="shared" si="2"/>
        <v>22</v>
      </c>
    </row>
    <row r="998">
      <c r="A998" s="4" t="s">
        <v>1145</v>
      </c>
      <c r="B998" s="16"/>
      <c r="C998" s="12">
        <f>IFERROR(__xludf.DUMMYFUNCTION("""COMPUTED_VALUE"""),44662.95634259259)</f>
        <v>44662.95634</v>
      </c>
      <c r="D998" s="13">
        <f t="shared" si="1"/>
        <v>11</v>
      </c>
      <c r="E998" s="13">
        <f t="shared" si="2"/>
        <v>22</v>
      </c>
    </row>
    <row r="999">
      <c r="A999" s="4" t="s">
        <v>1145</v>
      </c>
      <c r="B999" s="4" t="s">
        <v>42</v>
      </c>
      <c r="C999" s="12">
        <f>IFERROR(__xludf.DUMMYFUNCTION("""COMPUTED_VALUE"""),44662.95634259259)</f>
        <v>44662.95634</v>
      </c>
      <c r="D999" s="13">
        <f t="shared" si="1"/>
        <v>11</v>
      </c>
      <c r="E999" s="13">
        <f t="shared" si="2"/>
        <v>22</v>
      </c>
    </row>
    <row r="1000">
      <c r="A1000" s="4" t="s">
        <v>1146</v>
      </c>
      <c r="B1000" s="16"/>
      <c r="C1000" s="12">
        <f>IFERROR(__xludf.DUMMYFUNCTION("""COMPUTED_VALUE"""),44662.95626157407)</f>
        <v>44662.95626</v>
      </c>
      <c r="D1000" s="13">
        <f t="shared" si="1"/>
        <v>11</v>
      </c>
      <c r="E1000" s="13">
        <f t="shared" si="2"/>
        <v>22</v>
      </c>
    </row>
    <row r="1001">
      <c r="A1001" s="4" t="s">
        <v>1147</v>
      </c>
      <c r="B1001" s="4" t="s">
        <v>42</v>
      </c>
      <c r="C1001" s="12">
        <f>IFERROR(__xludf.DUMMYFUNCTION("""COMPUTED_VALUE"""),44662.956238425926)</f>
        <v>44662.95624</v>
      </c>
      <c r="D1001" s="13">
        <f t="shared" si="1"/>
        <v>11</v>
      </c>
      <c r="E1001" s="13">
        <f t="shared" si="2"/>
        <v>22</v>
      </c>
    </row>
    <row r="1002">
      <c r="A1002" s="4" t="s">
        <v>1148</v>
      </c>
      <c r="B1002" s="16"/>
      <c r="C1002" s="12">
        <f>IFERROR(__xludf.DUMMYFUNCTION("""COMPUTED_VALUE"""),44662.95621527777)</f>
        <v>44662.95622</v>
      </c>
      <c r="D1002" s="13">
        <f t="shared" si="1"/>
        <v>11</v>
      </c>
      <c r="E1002" s="13">
        <f t="shared" si="2"/>
        <v>22</v>
      </c>
    </row>
    <row r="1003">
      <c r="A1003" s="4" t="s">
        <v>1148</v>
      </c>
      <c r="B1003" s="4" t="s">
        <v>42</v>
      </c>
      <c r="C1003" s="12">
        <f>IFERROR(__xludf.DUMMYFUNCTION("""COMPUTED_VALUE"""),44662.95621527777)</f>
        <v>44662.95622</v>
      </c>
      <c r="D1003" s="13">
        <f t="shared" si="1"/>
        <v>11</v>
      </c>
      <c r="E1003" s="13">
        <f t="shared" si="2"/>
        <v>22</v>
      </c>
    </row>
    <row r="1004">
      <c r="A1004" s="4" t="s">
        <v>1149</v>
      </c>
      <c r="B1004" s="4" t="s">
        <v>42</v>
      </c>
      <c r="C1004" s="12">
        <f>IFERROR(__xludf.DUMMYFUNCTION("""COMPUTED_VALUE"""),44662.95618055555)</f>
        <v>44662.95618</v>
      </c>
      <c r="D1004" s="13">
        <f t="shared" si="1"/>
        <v>11</v>
      </c>
      <c r="E1004" s="13">
        <f t="shared" si="2"/>
        <v>22</v>
      </c>
    </row>
    <row r="1005">
      <c r="A1005" s="4" t="s">
        <v>1150</v>
      </c>
      <c r="B1005" s="16"/>
      <c r="C1005" s="12">
        <f>IFERROR(__xludf.DUMMYFUNCTION("""COMPUTED_VALUE"""),44662.95616898148)</f>
        <v>44662.95617</v>
      </c>
      <c r="D1005" s="13">
        <f t="shared" si="1"/>
        <v>11</v>
      </c>
      <c r="E1005" s="13">
        <f t="shared" si="2"/>
        <v>22</v>
      </c>
    </row>
    <row r="1006">
      <c r="A1006" s="4" t="s">
        <v>1151</v>
      </c>
      <c r="B1006" s="16"/>
      <c r="C1006" s="12">
        <f>IFERROR(__xludf.DUMMYFUNCTION("""COMPUTED_VALUE"""),44662.956145833334)</f>
        <v>44662.95615</v>
      </c>
      <c r="D1006" s="13">
        <f t="shared" si="1"/>
        <v>11</v>
      </c>
      <c r="E1006" s="13">
        <f t="shared" si="2"/>
        <v>22</v>
      </c>
    </row>
    <row r="1007">
      <c r="A1007" s="4" t="s">
        <v>1152</v>
      </c>
      <c r="B1007" s="16"/>
      <c r="C1007" s="12">
        <f>IFERROR(__xludf.DUMMYFUNCTION("""COMPUTED_VALUE"""),44662.95613425926)</f>
        <v>44662.95613</v>
      </c>
      <c r="D1007" s="13">
        <f t="shared" si="1"/>
        <v>11</v>
      </c>
      <c r="E1007" s="13">
        <f t="shared" si="2"/>
        <v>22</v>
      </c>
    </row>
    <row r="1008">
      <c r="A1008" s="4" t="s">
        <v>1152</v>
      </c>
      <c r="B1008" s="4" t="s">
        <v>42</v>
      </c>
      <c r="C1008" s="12">
        <f>IFERROR(__xludf.DUMMYFUNCTION("""COMPUTED_VALUE"""),44662.95613425926)</f>
        <v>44662.95613</v>
      </c>
      <c r="D1008" s="13">
        <f t="shared" si="1"/>
        <v>11</v>
      </c>
      <c r="E1008" s="13">
        <f t="shared" si="2"/>
        <v>22</v>
      </c>
    </row>
    <row r="1009">
      <c r="A1009" s="4" t="s">
        <v>1153</v>
      </c>
      <c r="B1009" s="4" t="s">
        <v>1082</v>
      </c>
      <c r="C1009" s="12">
        <f>IFERROR(__xludf.DUMMYFUNCTION("""COMPUTED_VALUE"""),44662.95612268518)</f>
        <v>44662.95612</v>
      </c>
      <c r="D1009" s="13">
        <f t="shared" si="1"/>
        <v>11</v>
      </c>
      <c r="E1009" s="13">
        <f t="shared" si="2"/>
        <v>22</v>
      </c>
    </row>
    <row r="1010">
      <c r="A1010" s="4" t="s">
        <v>1154</v>
      </c>
      <c r="B1010" s="4" t="s">
        <v>1082</v>
      </c>
      <c r="C1010" s="12">
        <f>IFERROR(__xludf.DUMMYFUNCTION("""COMPUTED_VALUE"""),44662.956099537034)</f>
        <v>44662.9561</v>
      </c>
      <c r="D1010" s="13">
        <f t="shared" si="1"/>
        <v>11</v>
      </c>
      <c r="E1010" s="13">
        <f t="shared" si="2"/>
        <v>22</v>
      </c>
    </row>
    <row r="1011">
      <c r="A1011" s="4" t="s">
        <v>1155</v>
      </c>
      <c r="B1011" s="16"/>
      <c r="C1011" s="12">
        <f>IFERROR(__xludf.DUMMYFUNCTION("""COMPUTED_VALUE"""),44662.95608796296)</f>
        <v>44662.95609</v>
      </c>
      <c r="D1011" s="13">
        <f t="shared" si="1"/>
        <v>11</v>
      </c>
      <c r="E1011" s="13">
        <f t="shared" si="2"/>
        <v>22</v>
      </c>
    </row>
    <row r="1012">
      <c r="A1012" s="4" t="s">
        <v>1156</v>
      </c>
      <c r="B1012" s="4" t="s">
        <v>42</v>
      </c>
      <c r="C1012" s="12">
        <f>IFERROR(__xludf.DUMMYFUNCTION("""COMPUTED_VALUE"""),44662.95607638889)</f>
        <v>44662.95608</v>
      </c>
      <c r="D1012" s="13">
        <f t="shared" si="1"/>
        <v>11</v>
      </c>
      <c r="E1012" s="13">
        <f t="shared" si="2"/>
        <v>22</v>
      </c>
    </row>
    <row r="1013">
      <c r="A1013" s="4" t="s">
        <v>1157</v>
      </c>
      <c r="B1013" s="16"/>
      <c r="C1013" s="12">
        <f>IFERROR(__xludf.DUMMYFUNCTION("""COMPUTED_VALUE"""),44662.95600694444)</f>
        <v>44662.95601</v>
      </c>
      <c r="D1013" s="13">
        <f t="shared" si="1"/>
        <v>11</v>
      </c>
      <c r="E1013" s="13">
        <f t="shared" si="2"/>
        <v>22</v>
      </c>
    </row>
    <row r="1014">
      <c r="A1014" s="4" t="s">
        <v>1158</v>
      </c>
      <c r="B1014" s="16"/>
      <c r="C1014" s="12">
        <f>IFERROR(__xludf.DUMMYFUNCTION("""COMPUTED_VALUE"""),44662.955983796295)</f>
        <v>44662.95598</v>
      </c>
      <c r="D1014" s="13">
        <f t="shared" si="1"/>
        <v>11</v>
      </c>
      <c r="E1014" s="13">
        <f t="shared" si="2"/>
        <v>22</v>
      </c>
    </row>
    <row r="1015">
      <c r="A1015" s="4" t="s">
        <v>1159</v>
      </c>
      <c r="B1015" s="4" t="s">
        <v>42</v>
      </c>
      <c r="C1015" s="12">
        <f>IFERROR(__xludf.DUMMYFUNCTION("""COMPUTED_VALUE"""),44662.955312499995)</f>
        <v>44662.95531</v>
      </c>
      <c r="D1015" s="13">
        <f t="shared" si="1"/>
        <v>11</v>
      </c>
      <c r="E1015" s="13">
        <f t="shared" si="2"/>
        <v>22</v>
      </c>
    </row>
    <row r="1016">
      <c r="A1016" s="4" t="s">
        <v>1160</v>
      </c>
      <c r="B1016" s="4" t="s">
        <v>42</v>
      </c>
      <c r="C1016" s="12">
        <f>IFERROR(__xludf.DUMMYFUNCTION("""COMPUTED_VALUE"""),44662.9552662037)</f>
        <v>44662.95527</v>
      </c>
      <c r="D1016" s="13">
        <f t="shared" si="1"/>
        <v>11</v>
      </c>
      <c r="E1016" s="13">
        <f t="shared" si="2"/>
        <v>22</v>
      </c>
    </row>
    <row r="1017">
      <c r="A1017" s="4" t="s">
        <v>1161</v>
      </c>
      <c r="B1017" s="16"/>
      <c r="C1017" s="12">
        <f>IFERROR(__xludf.DUMMYFUNCTION("""COMPUTED_VALUE"""),44662.9552199074)</f>
        <v>44662.95522</v>
      </c>
      <c r="D1017" s="13">
        <f t="shared" si="1"/>
        <v>11</v>
      </c>
      <c r="E1017" s="13">
        <f t="shared" si="2"/>
        <v>22</v>
      </c>
    </row>
    <row r="1018">
      <c r="A1018" s="4" t="s">
        <v>1162</v>
      </c>
      <c r="B1018" s="16"/>
      <c r="C1018" s="12">
        <f>IFERROR(__xludf.DUMMYFUNCTION("""COMPUTED_VALUE"""),44662.95506944444)</f>
        <v>44662.95507</v>
      </c>
      <c r="D1018" s="13">
        <f t="shared" si="1"/>
        <v>11</v>
      </c>
      <c r="E1018" s="13">
        <f t="shared" si="2"/>
        <v>22</v>
      </c>
    </row>
    <row r="1019">
      <c r="A1019" s="4" t="s">
        <v>1163</v>
      </c>
      <c r="B1019" s="4" t="s">
        <v>42</v>
      </c>
      <c r="C1019" s="12">
        <f>IFERROR(__xludf.DUMMYFUNCTION("""COMPUTED_VALUE"""),44662.954942129625)</f>
        <v>44662.95494</v>
      </c>
      <c r="D1019" s="13">
        <f t="shared" si="1"/>
        <v>11</v>
      </c>
      <c r="E1019" s="13">
        <f t="shared" si="2"/>
        <v>22</v>
      </c>
    </row>
    <row r="1020">
      <c r="A1020" s="4" t="s">
        <v>1164</v>
      </c>
      <c r="B1020" s="4" t="s">
        <v>1165</v>
      </c>
      <c r="C1020" s="12">
        <f>IFERROR(__xludf.DUMMYFUNCTION("""COMPUTED_VALUE"""),44662.954687499994)</f>
        <v>44662.95469</v>
      </c>
      <c r="D1020" s="13">
        <f t="shared" si="1"/>
        <v>11</v>
      </c>
      <c r="E1020" s="13">
        <f t="shared" si="2"/>
        <v>22</v>
      </c>
    </row>
    <row r="1021">
      <c r="A1021" s="4" t="s">
        <v>1166</v>
      </c>
      <c r="B1021" s="4" t="s">
        <v>227</v>
      </c>
      <c r="C1021" s="12">
        <f>IFERROR(__xludf.DUMMYFUNCTION("""COMPUTED_VALUE"""),44662.953680555554)</f>
        <v>44662.95368</v>
      </c>
      <c r="D1021" s="13">
        <f t="shared" si="1"/>
        <v>11</v>
      </c>
      <c r="E1021" s="13">
        <f t="shared" si="2"/>
        <v>22</v>
      </c>
    </row>
    <row r="1022">
      <c r="A1022" s="4" t="s">
        <v>1167</v>
      </c>
      <c r="B1022" s="4" t="s">
        <v>227</v>
      </c>
      <c r="C1022" s="12">
        <f>IFERROR(__xludf.DUMMYFUNCTION("""COMPUTED_VALUE"""),44662.953634259255)</f>
        <v>44662.95363</v>
      </c>
      <c r="D1022" s="13">
        <f t="shared" si="1"/>
        <v>11</v>
      </c>
      <c r="E1022" s="13">
        <f t="shared" si="2"/>
        <v>22</v>
      </c>
    </row>
    <row r="1023">
      <c r="A1023" s="4" t="s">
        <v>1168</v>
      </c>
      <c r="B1023" s="4" t="s">
        <v>227</v>
      </c>
      <c r="C1023" s="12">
        <f>IFERROR(__xludf.DUMMYFUNCTION("""COMPUTED_VALUE"""),44662.95361111111)</f>
        <v>44662.95361</v>
      </c>
      <c r="D1023" s="13">
        <f t="shared" si="1"/>
        <v>11</v>
      </c>
      <c r="E1023" s="13">
        <f t="shared" si="2"/>
        <v>22</v>
      </c>
    </row>
    <row r="1024">
      <c r="A1024" s="4" t="s">
        <v>1169</v>
      </c>
      <c r="B1024" s="4" t="s">
        <v>227</v>
      </c>
      <c r="C1024" s="12">
        <f>IFERROR(__xludf.DUMMYFUNCTION("""COMPUTED_VALUE"""),44662.95358796296)</f>
        <v>44662.95359</v>
      </c>
      <c r="D1024" s="13">
        <f t="shared" si="1"/>
        <v>11</v>
      </c>
      <c r="E1024" s="13">
        <f t="shared" si="2"/>
        <v>22</v>
      </c>
    </row>
    <row r="1025">
      <c r="A1025" s="4" t="s">
        <v>1170</v>
      </c>
      <c r="B1025" s="4" t="s">
        <v>1171</v>
      </c>
      <c r="C1025" s="12">
        <f>IFERROR(__xludf.DUMMYFUNCTION("""COMPUTED_VALUE"""),44662.95348379629)</f>
        <v>44662.95348</v>
      </c>
      <c r="D1025" s="13">
        <f t="shared" si="1"/>
        <v>11</v>
      </c>
      <c r="E1025" s="13">
        <f t="shared" si="2"/>
        <v>22</v>
      </c>
    </row>
    <row r="1026">
      <c r="A1026" s="4" t="s">
        <v>1172</v>
      </c>
      <c r="B1026" s="16"/>
      <c r="C1026" s="12">
        <f>IFERROR(__xludf.DUMMYFUNCTION("""COMPUTED_VALUE"""),44662.953321759254)</f>
        <v>44662.95332</v>
      </c>
      <c r="D1026" s="13">
        <f t="shared" si="1"/>
        <v>11</v>
      </c>
      <c r="E1026" s="13">
        <f t="shared" si="2"/>
        <v>22</v>
      </c>
    </row>
    <row r="1027">
      <c r="A1027" s="4" t="s">
        <v>1173</v>
      </c>
      <c r="B1027" s="4" t="s">
        <v>227</v>
      </c>
      <c r="C1027" s="12">
        <f>IFERROR(__xludf.DUMMYFUNCTION("""COMPUTED_VALUE"""),44662.95327546296)</f>
        <v>44662.95328</v>
      </c>
      <c r="D1027" s="13">
        <f t="shared" si="1"/>
        <v>11</v>
      </c>
      <c r="E1027" s="13">
        <f t="shared" si="2"/>
        <v>22</v>
      </c>
    </row>
    <row r="1028">
      <c r="A1028" s="4" t="s">
        <v>1174</v>
      </c>
      <c r="B1028" s="4" t="s">
        <v>227</v>
      </c>
      <c r="C1028" s="12">
        <f>IFERROR(__xludf.DUMMYFUNCTION("""COMPUTED_VALUE"""),44662.953252314815)</f>
        <v>44662.95325</v>
      </c>
      <c r="D1028" s="13">
        <f t="shared" si="1"/>
        <v>11</v>
      </c>
      <c r="E1028" s="13">
        <f t="shared" si="2"/>
        <v>22</v>
      </c>
    </row>
    <row r="1029">
      <c r="A1029" s="4" t="s">
        <v>1175</v>
      </c>
      <c r="B1029" s="16"/>
      <c r="C1029" s="12">
        <f>IFERROR(__xludf.DUMMYFUNCTION("""COMPUTED_VALUE"""),44662.95321759259)</f>
        <v>44662.95322</v>
      </c>
      <c r="D1029" s="13">
        <f t="shared" si="1"/>
        <v>11</v>
      </c>
      <c r="E1029" s="13">
        <f t="shared" si="2"/>
        <v>22</v>
      </c>
    </row>
    <row r="1030">
      <c r="A1030" s="4" t="s">
        <v>1176</v>
      </c>
      <c r="B1030" s="16"/>
      <c r="C1030" s="12">
        <f>IFERROR(__xludf.DUMMYFUNCTION("""COMPUTED_VALUE"""),44662.95311342592)</f>
        <v>44662.95311</v>
      </c>
      <c r="D1030" s="13">
        <f t="shared" si="1"/>
        <v>11</v>
      </c>
      <c r="E1030" s="13">
        <f t="shared" si="2"/>
        <v>22</v>
      </c>
    </row>
    <row r="1031">
      <c r="A1031" s="4" t="s">
        <v>1177</v>
      </c>
      <c r="B1031" s="16"/>
      <c r="C1031" s="12">
        <f>IFERROR(__xludf.DUMMYFUNCTION("""COMPUTED_VALUE"""),44662.9530787037)</f>
        <v>44662.95308</v>
      </c>
      <c r="D1031" s="13">
        <f t="shared" si="1"/>
        <v>11</v>
      </c>
      <c r="E1031" s="13">
        <f t="shared" si="2"/>
        <v>22</v>
      </c>
    </row>
    <row r="1032">
      <c r="A1032" s="4" t="s">
        <v>1178</v>
      </c>
      <c r="B1032" s="4" t="s">
        <v>1179</v>
      </c>
      <c r="C1032" s="12">
        <f>IFERROR(__xludf.DUMMYFUNCTION("""COMPUTED_VALUE"""),44662.953009259254)</f>
        <v>44662.95301</v>
      </c>
      <c r="D1032" s="13">
        <f t="shared" si="1"/>
        <v>11</v>
      </c>
      <c r="E1032" s="13">
        <f t="shared" si="2"/>
        <v>22</v>
      </c>
    </row>
    <row r="1033">
      <c r="A1033" s="4" t="s">
        <v>1180</v>
      </c>
      <c r="B1033" s="4" t="s">
        <v>1181</v>
      </c>
      <c r="C1033" s="12">
        <f>IFERROR(__xludf.DUMMYFUNCTION("""COMPUTED_VALUE"""),44662.95298611111)</f>
        <v>44662.95299</v>
      </c>
      <c r="D1033" s="13">
        <f t="shared" si="1"/>
        <v>11</v>
      </c>
      <c r="E1033" s="13">
        <f t="shared" si="2"/>
        <v>22</v>
      </c>
    </row>
    <row r="1034">
      <c r="A1034" s="4" t="s">
        <v>1182</v>
      </c>
      <c r="B1034" s="4" t="s">
        <v>1183</v>
      </c>
      <c r="C1034" s="12">
        <f>IFERROR(__xludf.DUMMYFUNCTION("""COMPUTED_VALUE"""),44662.95282407407)</f>
        <v>44662.95282</v>
      </c>
      <c r="D1034" s="13">
        <f t="shared" si="1"/>
        <v>11</v>
      </c>
      <c r="E1034" s="13">
        <f t="shared" si="2"/>
        <v>22</v>
      </c>
    </row>
    <row r="1035">
      <c r="A1035" s="4" t="s">
        <v>1184</v>
      </c>
      <c r="B1035" s="4" t="s">
        <v>1183</v>
      </c>
      <c r="C1035" s="12">
        <f>IFERROR(__xludf.DUMMYFUNCTION("""COMPUTED_VALUE"""),44662.95248842592)</f>
        <v>44662.95249</v>
      </c>
      <c r="D1035" s="13">
        <f t="shared" si="1"/>
        <v>11</v>
      </c>
      <c r="E1035" s="13">
        <f t="shared" si="2"/>
        <v>22</v>
      </c>
    </row>
    <row r="1036">
      <c r="A1036" s="4" t="s">
        <v>1185</v>
      </c>
      <c r="B1036" s="16"/>
      <c r="C1036" s="12">
        <f>IFERROR(__xludf.DUMMYFUNCTION("""COMPUTED_VALUE"""),44662.95240740741)</f>
        <v>44662.95241</v>
      </c>
      <c r="D1036" s="13">
        <f t="shared" si="1"/>
        <v>11</v>
      </c>
      <c r="E1036" s="13">
        <f t="shared" si="2"/>
        <v>22</v>
      </c>
    </row>
    <row r="1037">
      <c r="A1037" s="4" t="s">
        <v>1185</v>
      </c>
      <c r="B1037" s="4" t="s">
        <v>1186</v>
      </c>
      <c r="C1037" s="12">
        <f>IFERROR(__xludf.DUMMYFUNCTION("""COMPUTED_VALUE"""),44662.95240740741)</f>
        <v>44662.95241</v>
      </c>
      <c r="D1037" s="13">
        <f t="shared" si="1"/>
        <v>11</v>
      </c>
      <c r="E1037" s="13">
        <f t="shared" si="2"/>
        <v>22</v>
      </c>
    </row>
    <row r="1038">
      <c r="A1038" s="4" t="s">
        <v>1187</v>
      </c>
      <c r="B1038" s="4" t="s">
        <v>1188</v>
      </c>
      <c r="C1038" s="12">
        <f>IFERROR(__xludf.DUMMYFUNCTION("""COMPUTED_VALUE"""),44662.95239583333)</f>
        <v>44662.9524</v>
      </c>
      <c r="D1038" s="13">
        <f t="shared" si="1"/>
        <v>11</v>
      </c>
      <c r="E1038" s="13">
        <f t="shared" si="2"/>
        <v>22</v>
      </c>
    </row>
    <row r="1039">
      <c r="A1039" s="4" t="s">
        <v>1189</v>
      </c>
      <c r="B1039" s="4" t="s">
        <v>1190</v>
      </c>
      <c r="C1039" s="12">
        <f>IFERROR(__xludf.DUMMYFUNCTION("""COMPUTED_VALUE"""),44662.95208333333)</f>
        <v>44662.95208</v>
      </c>
      <c r="D1039" s="13">
        <f t="shared" si="1"/>
        <v>11</v>
      </c>
      <c r="E1039" s="13">
        <f t="shared" si="2"/>
        <v>22</v>
      </c>
    </row>
    <row r="1040">
      <c r="A1040" s="4" t="s">
        <v>1191</v>
      </c>
      <c r="B1040" s="4" t="s">
        <v>1192</v>
      </c>
      <c r="C1040" s="12">
        <f>IFERROR(__xludf.DUMMYFUNCTION("""COMPUTED_VALUE"""),44662.95144675926)</f>
        <v>44662.95145</v>
      </c>
      <c r="D1040" s="13">
        <f t="shared" si="1"/>
        <v>11</v>
      </c>
      <c r="E1040" s="13">
        <f t="shared" si="2"/>
        <v>22</v>
      </c>
    </row>
    <row r="1041">
      <c r="A1041" s="4" t="s">
        <v>1193</v>
      </c>
      <c r="B1041" s="16"/>
      <c r="C1041" s="12">
        <f>IFERROR(__xludf.DUMMYFUNCTION("""COMPUTED_VALUE"""),44662.95134259259)</f>
        <v>44662.95134</v>
      </c>
      <c r="D1041" s="13">
        <f t="shared" si="1"/>
        <v>11</v>
      </c>
      <c r="E1041" s="13">
        <f t="shared" si="2"/>
        <v>22</v>
      </c>
    </row>
    <row r="1042">
      <c r="A1042" s="4" t="s">
        <v>1194</v>
      </c>
      <c r="B1042" s="4" t="s">
        <v>1195</v>
      </c>
      <c r="C1042" s="12">
        <f>IFERROR(__xludf.DUMMYFUNCTION("""COMPUTED_VALUE"""),44662.94915509259)</f>
        <v>44662.94916</v>
      </c>
      <c r="D1042" s="13">
        <f t="shared" si="1"/>
        <v>11</v>
      </c>
      <c r="E1042" s="13">
        <f t="shared" si="2"/>
        <v>22</v>
      </c>
    </row>
    <row r="1043">
      <c r="A1043" s="4" t="s">
        <v>1196</v>
      </c>
      <c r="B1043" s="4" t="s">
        <v>1195</v>
      </c>
      <c r="C1043" s="12">
        <f>IFERROR(__xludf.DUMMYFUNCTION("""COMPUTED_VALUE"""),44662.94909722222)</f>
        <v>44662.9491</v>
      </c>
      <c r="D1043" s="13">
        <f t="shared" si="1"/>
        <v>11</v>
      </c>
      <c r="E1043" s="13">
        <f t="shared" si="2"/>
        <v>22</v>
      </c>
    </row>
    <row r="1044">
      <c r="A1044" s="4" t="s">
        <v>1197</v>
      </c>
      <c r="B1044" s="4" t="s">
        <v>1195</v>
      </c>
      <c r="C1044" s="12">
        <f>IFERROR(__xludf.DUMMYFUNCTION("""COMPUTED_VALUE"""),44662.94905092593)</f>
        <v>44662.94905</v>
      </c>
      <c r="D1044" s="13">
        <f t="shared" si="1"/>
        <v>11</v>
      </c>
      <c r="E1044" s="13">
        <f t="shared" si="2"/>
        <v>22</v>
      </c>
    </row>
    <row r="1045">
      <c r="A1045" s="4" t="s">
        <v>1198</v>
      </c>
      <c r="B1045" s="4" t="s">
        <v>1195</v>
      </c>
      <c r="C1045" s="12">
        <f>IFERROR(__xludf.DUMMYFUNCTION("""COMPUTED_VALUE"""),44662.94900462963)</f>
        <v>44662.949</v>
      </c>
      <c r="D1045" s="13">
        <f t="shared" si="1"/>
        <v>11</v>
      </c>
      <c r="E1045" s="13">
        <f t="shared" si="2"/>
        <v>22</v>
      </c>
    </row>
    <row r="1046">
      <c r="A1046" s="4" t="s">
        <v>1199</v>
      </c>
      <c r="B1046" s="16"/>
      <c r="C1046" s="12">
        <f>IFERROR(__xludf.DUMMYFUNCTION("""COMPUTED_VALUE"""),44662.94893518518)</f>
        <v>44662.94894</v>
      </c>
      <c r="D1046" s="13">
        <f t="shared" si="1"/>
        <v>11</v>
      </c>
      <c r="E1046" s="13">
        <f t="shared" si="2"/>
        <v>22</v>
      </c>
    </row>
    <row r="1047">
      <c r="A1047" s="4" t="s">
        <v>1200</v>
      </c>
      <c r="B1047" s="4" t="s">
        <v>1195</v>
      </c>
      <c r="C1047" s="12">
        <f>IFERROR(__xludf.DUMMYFUNCTION("""COMPUTED_VALUE"""),44662.948912037034)</f>
        <v>44662.94891</v>
      </c>
      <c r="D1047" s="13">
        <f t="shared" si="1"/>
        <v>11</v>
      </c>
      <c r="E1047" s="13">
        <f t="shared" si="2"/>
        <v>22</v>
      </c>
    </row>
    <row r="1048">
      <c r="A1048" s="4" t="s">
        <v>1201</v>
      </c>
      <c r="B1048" s="16"/>
      <c r="C1048" s="12">
        <f>IFERROR(__xludf.DUMMYFUNCTION("""COMPUTED_VALUE"""),44662.94890046296)</f>
        <v>44662.9489</v>
      </c>
      <c r="D1048" s="13">
        <f t="shared" si="1"/>
        <v>11</v>
      </c>
      <c r="E1048" s="13">
        <f t="shared" si="2"/>
        <v>22</v>
      </c>
    </row>
    <row r="1049">
      <c r="A1049" s="4" t="s">
        <v>1202</v>
      </c>
      <c r="B1049" s="4" t="s">
        <v>1203</v>
      </c>
      <c r="C1049" s="12">
        <f>IFERROR(__xludf.DUMMYFUNCTION("""COMPUTED_VALUE"""),44662.948854166665)</f>
        <v>44662.94885</v>
      </c>
      <c r="D1049" s="13">
        <f t="shared" si="1"/>
        <v>11</v>
      </c>
      <c r="E1049" s="13">
        <f t="shared" si="2"/>
        <v>22</v>
      </c>
    </row>
    <row r="1050">
      <c r="A1050" s="4" t="s">
        <v>1204</v>
      </c>
      <c r="B1050" s="4" t="s">
        <v>1195</v>
      </c>
      <c r="C1050" s="12">
        <f>IFERROR(__xludf.DUMMYFUNCTION("""COMPUTED_VALUE"""),44662.948796296296)</f>
        <v>44662.9488</v>
      </c>
      <c r="D1050" s="13">
        <f t="shared" si="1"/>
        <v>11</v>
      </c>
      <c r="E1050" s="13">
        <f t="shared" si="2"/>
        <v>22</v>
      </c>
    </row>
    <row r="1051">
      <c r="A1051" s="4" t="s">
        <v>1205</v>
      </c>
      <c r="B1051" s="4" t="s">
        <v>1195</v>
      </c>
      <c r="C1051" s="12">
        <f>IFERROR(__xludf.DUMMYFUNCTION("""COMPUTED_VALUE"""),44662.9487037037)</f>
        <v>44662.9487</v>
      </c>
      <c r="D1051" s="13">
        <f t="shared" si="1"/>
        <v>11</v>
      </c>
      <c r="E1051" s="13">
        <f t="shared" si="2"/>
        <v>22</v>
      </c>
    </row>
    <row r="1052">
      <c r="A1052" s="4" t="s">
        <v>1206</v>
      </c>
      <c r="B1052" s="4" t="s">
        <v>1195</v>
      </c>
      <c r="C1052" s="12">
        <f>IFERROR(__xludf.DUMMYFUNCTION("""COMPUTED_VALUE"""),44662.94866898148)</f>
        <v>44662.94867</v>
      </c>
      <c r="D1052" s="13">
        <f t="shared" si="1"/>
        <v>11</v>
      </c>
      <c r="E1052" s="13">
        <f t="shared" si="2"/>
        <v>22</v>
      </c>
    </row>
    <row r="1053">
      <c r="A1053" s="4" t="s">
        <v>1207</v>
      </c>
      <c r="B1053" s="16"/>
      <c r="C1053" s="12">
        <f>IFERROR(__xludf.DUMMYFUNCTION("""COMPUTED_VALUE"""),44662.94850694444)</f>
        <v>44662.94851</v>
      </c>
      <c r="D1053" s="13">
        <f t="shared" si="1"/>
        <v>11</v>
      </c>
      <c r="E1053" s="13">
        <f t="shared" si="2"/>
        <v>22</v>
      </c>
    </row>
    <row r="1054">
      <c r="A1054" s="4" t="s">
        <v>1208</v>
      </c>
      <c r="B1054" s="4" t="s">
        <v>1190</v>
      </c>
      <c r="C1054" s="12">
        <f>IFERROR(__xludf.DUMMYFUNCTION("""COMPUTED_VALUE"""),44662.9464699074)</f>
        <v>44662.94647</v>
      </c>
      <c r="D1054" s="13">
        <f t="shared" si="1"/>
        <v>11</v>
      </c>
      <c r="E1054" s="13">
        <f t="shared" si="2"/>
        <v>22</v>
      </c>
    </row>
    <row r="1055">
      <c r="A1055" s="4" t="s">
        <v>1209</v>
      </c>
      <c r="B1055" s="4" t="s">
        <v>791</v>
      </c>
      <c r="C1055" s="12">
        <f>IFERROR(__xludf.DUMMYFUNCTION("""COMPUTED_VALUE"""),44662.94585648148)</f>
        <v>44662.94586</v>
      </c>
      <c r="D1055" s="13">
        <f t="shared" si="1"/>
        <v>11</v>
      </c>
      <c r="E1055" s="13">
        <f t="shared" si="2"/>
        <v>22</v>
      </c>
    </row>
    <row r="1056">
      <c r="A1056" s="4" t="s">
        <v>1210</v>
      </c>
      <c r="B1056" s="4" t="s">
        <v>791</v>
      </c>
      <c r="C1056" s="12">
        <f>IFERROR(__xludf.DUMMYFUNCTION("""COMPUTED_VALUE"""),44662.945821759255)</f>
        <v>44662.94582</v>
      </c>
      <c r="D1056" s="13">
        <f t="shared" si="1"/>
        <v>11</v>
      </c>
      <c r="E1056" s="13">
        <f t="shared" si="2"/>
        <v>22</v>
      </c>
    </row>
    <row r="1057">
      <c r="A1057" s="4" t="s">
        <v>1211</v>
      </c>
      <c r="B1057" s="4" t="s">
        <v>791</v>
      </c>
      <c r="C1057" s="12">
        <f>IFERROR(__xludf.DUMMYFUNCTION("""COMPUTED_VALUE"""),44662.945763888885)</f>
        <v>44662.94576</v>
      </c>
      <c r="D1057" s="13">
        <f t="shared" si="1"/>
        <v>11</v>
      </c>
      <c r="E1057" s="13">
        <f t="shared" si="2"/>
        <v>22</v>
      </c>
    </row>
    <row r="1058">
      <c r="A1058" s="4" t="s">
        <v>1212</v>
      </c>
      <c r="B1058" s="4" t="s">
        <v>791</v>
      </c>
      <c r="C1058" s="12">
        <f>IFERROR(__xludf.DUMMYFUNCTION("""COMPUTED_VALUE"""),44662.94574074074)</f>
        <v>44662.94574</v>
      </c>
      <c r="D1058" s="13">
        <f t="shared" si="1"/>
        <v>11</v>
      </c>
      <c r="E1058" s="13">
        <f t="shared" si="2"/>
        <v>22</v>
      </c>
    </row>
    <row r="1059">
      <c r="A1059" s="4" t="s">
        <v>1213</v>
      </c>
      <c r="B1059" s="4" t="s">
        <v>791</v>
      </c>
      <c r="C1059" s="12">
        <f>IFERROR(__xludf.DUMMYFUNCTION("""COMPUTED_VALUE"""),44662.94569444444)</f>
        <v>44662.94569</v>
      </c>
      <c r="D1059" s="13">
        <f t="shared" si="1"/>
        <v>11</v>
      </c>
      <c r="E1059" s="13">
        <f t="shared" si="2"/>
        <v>22</v>
      </c>
    </row>
    <row r="1060">
      <c r="A1060" s="4" t="s">
        <v>1214</v>
      </c>
      <c r="B1060" s="16"/>
      <c r="C1060" s="12">
        <f>IFERROR(__xludf.DUMMYFUNCTION("""COMPUTED_VALUE"""),44662.94561342592)</f>
        <v>44662.94561</v>
      </c>
      <c r="D1060" s="13">
        <f t="shared" si="1"/>
        <v>11</v>
      </c>
      <c r="E1060" s="13">
        <f t="shared" si="2"/>
        <v>22</v>
      </c>
    </row>
    <row r="1061">
      <c r="A1061" s="4" t="s">
        <v>1215</v>
      </c>
      <c r="B1061" s="4" t="s">
        <v>1216</v>
      </c>
      <c r="C1061" s="12">
        <f>IFERROR(__xludf.DUMMYFUNCTION("""COMPUTED_VALUE"""),44662.945451388885)</f>
        <v>44662.94545</v>
      </c>
      <c r="D1061" s="13">
        <f t="shared" si="1"/>
        <v>11</v>
      </c>
      <c r="E1061" s="13">
        <f t="shared" si="2"/>
        <v>22</v>
      </c>
    </row>
    <row r="1062">
      <c r="A1062" s="4" t="s">
        <v>1217</v>
      </c>
      <c r="B1062" s="4" t="s">
        <v>1203</v>
      </c>
      <c r="C1062" s="12">
        <f>IFERROR(__xludf.DUMMYFUNCTION("""COMPUTED_VALUE"""),44662.94510416666)</f>
        <v>44662.9451</v>
      </c>
      <c r="D1062" s="13">
        <f t="shared" si="1"/>
        <v>11</v>
      </c>
      <c r="E1062" s="13">
        <f t="shared" si="2"/>
        <v>22</v>
      </c>
    </row>
    <row r="1063">
      <c r="A1063" s="4" t="s">
        <v>1218</v>
      </c>
      <c r="B1063" s="4" t="s">
        <v>1219</v>
      </c>
      <c r="C1063" s="12">
        <f>IFERROR(__xludf.DUMMYFUNCTION("""COMPUTED_VALUE"""),44662.94489583333)</f>
        <v>44662.9449</v>
      </c>
      <c r="D1063" s="13">
        <f t="shared" si="1"/>
        <v>11</v>
      </c>
      <c r="E1063" s="13">
        <f t="shared" si="2"/>
        <v>22</v>
      </c>
    </row>
    <row r="1064">
      <c r="A1064" s="4" t="s">
        <v>1220</v>
      </c>
      <c r="B1064" s="16"/>
      <c r="C1064" s="12">
        <f>IFERROR(__xludf.DUMMYFUNCTION("""COMPUTED_VALUE"""),44662.94486111111)</f>
        <v>44662.94486</v>
      </c>
      <c r="D1064" s="13">
        <f t="shared" si="1"/>
        <v>11</v>
      </c>
      <c r="E1064" s="13">
        <f t="shared" si="2"/>
        <v>22</v>
      </c>
    </row>
    <row r="1065">
      <c r="A1065" s="4" t="s">
        <v>1221</v>
      </c>
      <c r="B1065" s="16"/>
      <c r="C1065" s="12">
        <f>IFERROR(__xludf.DUMMYFUNCTION("""COMPUTED_VALUE"""),44662.94431712963)</f>
        <v>44662.94432</v>
      </c>
      <c r="D1065" s="13">
        <f t="shared" si="1"/>
        <v>11</v>
      </c>
      <c r="E1065" s="13">
        <f t="shared" si="2"/>
        <v>22</v>
      </c>
    </row>
    <row r="1066">
      <c r="A1066" s="4" t="s">
        <v>1222</v>
      </c>
      <c r="B1066" s="16"/>
      <c r="C1066" s="12">
        <f>IFERROR(__xludf.DUMMYFUNCTION("""COMPUTED_VALUE"""),44662.94430555555)</f>
        <v>44662.94431</v>
      </c>
      <c r="D1066" s="13">
        <f t="shared" si="1"/>
        <v>11</v>
      </c>
      <c r="E1066" s="13">
        <f t="shared" si="2"/>
        <v>22</v>
      </c>
    </row>
    <row r="1067">
      <c r="A1067" s="4" t="s">
        <v>1223</v>
      </c>
      <c r="B1067" s="4" t="s">
        <v>1224</v>
      </c>
      <c r="C1067" s="12">
        <f>IFERROR(__xludf.DUMMYFUNCTION("""COMPUTED_VALUE"""),44662.943668981476)</f>
        <v>44662.94367</v>
      </c>
      <c r="D1067" s="13">
        <f t="shared" si="1"/>
        <v>11</v>
      </c>
      <c r="E1067" s="13">
        <f t="shared" si="2"/>
        <v>22</v>
      </c>
    </row>
    <row r="1068">
      <c r="A1068" s="4" t="s">
        <v>1225</v>
      </c>
      <c r="B1068" s="4" t="s">
        <v>1226</v>
      </c>
      <c r="C1068" s="12">
        <f>IFERROR(__xludf.DUMMYFUNCTION("""COMPUTED_VALUE"""),44662.94341435185)</f>
        <v>44662.94341</v>
      </c>
      <c r="D1068" s="13">
        <f t="shared" si="1"/>
        <v>11</v>
      </c>
      <c r="E1068" s="13">
        <f t="shared" si="2"/>
        <v>22</v>
      </c>
    </row>
    <row r="1069">
      <c r="A1069" s="4" t="s">
        <v>1227</v>
      </c>
      <c r="B1069" s="4" t="s">
        <v>1228</v>
      </c>
      <c r="C1069" s="12">
        <f>IFERROR(__xludf.DUMMYFUNCTION("""COMPUTED_VALUE"""),44662.94291666667)</f>
        <v>44662.94292</v>
      </c>
      <c r="D1069" s="13">
        <f t="shared" si="1"/>
        <v>11</v>
      </c>
      <c r="E1069" s="13">
        <f t="shared" si="2"/>
        <v>22</v>
      </c>
    </row>
    <row r="1070">
      <c r="A1070" s="4" t="s">
        <v>1229</v>
      </c>
      <c r="B1070" s="4" t="s">
        <v>1228</v>
      </c>
      <c r="C1070" s="12">
        <f>IFERROR(__xludf.DUMMYFUNCTION("""COMPUTED_VALUE"""),44662.94285879629)</f>
        <v>44662.94286</v>
      </c>
      <c r="D1070" s="13">
        <f t="shared" si="1"/>
        <v>11</v>
      </c>
      <c r="E1070" s="13">
        <f t="shared" si="2"/>
        <v>22</v>
      </c>
    </row>
    <row r="1071">
      <c r="A1071" s="4" t="s">
        <v>1230</v>
      </c>
      <c r="B1071" s="4" t="s">
        <v>1228</v>
      </c>
      <c r="C1071" s="12">
        <f>IFERROR(__xludf.DUMMYFUNCTION("""COMPUTED_VALUE"""),44662.94263888889)</f>
        <v>44662.94264</v>
      </c>
      <c r="D1071" s="13">
        <f t="shared" si="1"/>
        <v>11</v>
      </c>
      <c r="E1071" s="13">
        <f t="shared" si="2"/>
        <v>22</v>
      </c>
    </row>
    <row r="1072">
      <c r="A1072" s="4" t="s">
        <v>1231</v>
      </c>
      <c r="B1072" s="4" t="s">
        <v>764</v>
      </c>
      <c r="C1072" s="12">
        <f>IFERROR(__xludf.DUMMYFUNCTION("""COMPUTED_VALUE"""),44662.94133101852)</f>
        <v>44662.94133</v>
      </c>
      <c r="D1072" s="13">
        <f t="shared" si="1"/>
        <v>11</v>
      </c>
      <c r="E1072" s="13">
        <f t="shared" si="2"/>
        <v>22</v>
      </c>
    </row>
    <row r="1073">
      <c r="A1073" s="4" t="s">
        <v>1232</v>
      </c>
      <c r="B1073" s="4" t="s">
        <v>1088</v>
      </c>
      <c r="C1073" s="12">
        <f>IFERROR(__xludf.DUMMYFUNCTION("""COMPUTED_VALUE"""),44662.941249999996)</f>
        <v>44662.94125</v>
      </c>
      <c r="D1073" s="13">
        <f t="shared" si="1"/>
        <v>11</v>
      </c>
      <c r="E1073" s="13">
        <f t="shared" si="2"/>
        <v>22</v>
      </c>
    </row>
    <row r="1074">
      <c r="A1074" s="4" t="s">
        <v>1233</v>
      </c>
      <c r="B1074" s="16"/>
      <c r="C1074" s="12">
        <f>IFERROR(__xludf.DUMMYFUNCTION("""COMPUTED_VALUE"""),44662.94111111111)</f>
        <v>44662.94111</v>
      </c>
      <c r="D1074" s="13">
        <f t="shared" si="1"/>
        <v>11</v>
      </c>
      <c r="E1074" s="13">
        <f t="shared" si="2"/>
        <v>22</v>
      </c>
    </row>
    <row r="1075">
      <c r="A1075" s="4" t="s">
        <v>1234</v>
      </c>
      <c r="B1075" s="4" t="s">
        <v>1235</v>
      </c>
      <c r="C1075" s="12">
        <f>IFERROR(__xludf.DUMMYFUNCTION("""COMPUTED_VALUE"""),44662.940682870365)</f>
        <v>44662.94068</v>
      </c>
      <c r="D1075" s="13">
        <f t="shared" si="1"/>
        <v>11</v>
      </c>
      <c r="E1075" s="13">
        <f t="shared" si="2"/>
        <v>22</v>
      </c>
    </row>
    <row r="1076">
      <c r="A1076" s="4" t="s">
        <v>1236</v>
      </c>
      <c r="B1076" s="4" t="s">
        <v>240</v>
      </c>
      <c r="C1076" s="12">
        <f>IFERROR(__xludf.DUMMYFUNCTION("""COMPUTED_VALUE"""),44662.9402662037)</f>
        <v>44662.94027</v>
      </c>
      <c r="D1076" s="13">
        <f t="shared" si="1"/>
        <v>11</v>
      </c>
      <c r="E1076" s="13">
        <f t="shared" si="2"/>
        <v>22</v>
      </c>
    </row>
    <row r="1077">
      <c r="A1077" s="4" t="s">
        <v>1237</v>
      </c>
      <c r="B1077" s="16"/>
      <c r="C1077" s="12">
        <f>IFERROR(__xludf.DUMMYFUNCTION("""COMPUTED_VALUE"""),44662.94023148148)</f>
        <v>44662.94023</v>
      </c>
      <c r="D1077" s="13">
        <f t="shared" si="1"/>
        <v>11</v>
      </c>
      <c r="E1077" s="13">
        <f t="shared" si="2"/>
        <v>22</v>
      </c>
    </row>
    <row r="1078">
      <c r="A1078" s="4" t="s">
        <v>1238</v>
      </c>
      <c r="B1078" s="4" t="s">
        <v>240</v>
      </c>
      <c r="C1078" s="12">
        <f>IFERROR(__xludf.DUMMYFUNCTION("""COMPUTED_VALUE"""),44662.94020833333)</f>
        <v>44662.94021</v>
      </c>
      <c r="D1078" s="13">
        <f t="shared" si="1"/>
        <v>11</v>
      </c>
      <c r="E1078" s="13">
        <f t="shared" si="2"/>
        <v>22</v>
      </c>
    </row>
    <row r="1079">
      <c r="A1079" s="4" t="s">
        <v>1239</v>
      </c>
      <c r="B1079" s="4" t="s">
        <v>1240</v>
      </c>
      <c r="C1079" s="12">
        <f>IFERROR(__xludf.DUMMYFUNCTION("""COMPUTED_VALUE"""),44662.938425925924)</f>
        <v>44662.93843</v>
      </c>
      <c r="D1079" s="13">
        <f t="shared" si="1"/>
        <v>11</v>
      </c>
      <c r="E1079" s="13">
        <f t="shared" si="2"/>
        <v>22</v>
      </c>
    </row>
    <row r="1080">
      <c r="A1080" s="4" t="s">
        <v>1241</v>
      </c>
      <c r="B1080" s="4" t="s">
        <v>1240</v>
      </c>
      <c r="C1080" s="12">
        <f>IFERROR(__xludf.DUMMYFUNCTION("""COMPUTED_VALUE"""),44662.9383912037)</f>
        <v>44662.93839</v>
      </c>
      <c r="D1080" s="13">
        <f t="shared" si="1"/>
        <v>11</v>
      </c>
      <c r="E1080" s="13">
        <f t="shared" si="2"/>
        <v>22</v>
      </c>
    </row>
    <row r="1081">
      <c r="A1081" s="4" t="s">
        <v>1242</v>
      </c>
      <c r="B1081" s="4" t="s">
        <v>1243</v>
      </c>
      <c r="C1081" s="12">
        <f>IFERROR(__xludf.DUMMYFUNCTION("""COMPUTED_VALUE"""),44662.93692129629)</f>
        <v>44662.93692</v>
      </c>
      <c r="D1081" s="13">
        <f t="shared" si="1"/>
        <v>11</v>
      </c>
      <c r="E1081" s="13">
        <f t="shared" si="2"/>
        <v>22</v>
      </c>
    </row>
    <row r="1082">
      <c r="A1082" s="4" t="s">
        <v>1244</v>
      </c>
      <c r="B1082" s="4" t="s">
        <v>897</v>
      </c>
      <c r="C1082" s="12">
        <f>IFERROR(__xludf.DUMMYFUNCTION("""COMPUTED_VALUE"""),44662.93629629629)</f>
        <v>44662.9363</v>
      </c>
      <c r="D1082" s="13">
        <f t="shared" si="1"/>
        <v>11</v>
      </c>
      <c r="E1082" s="13">
        <f t="shared" si="2"/>
        <v>22</v>
      </c>
    </row>
    <row r="1083">
      <c r="A1083" s="4" t="s">
        <v>1245</v>
      </c>
      <c r="B1083" s="16"/>
      <c r="C1083" s="12">
        <f>IFERROR(__xludf.DUMMYFUNCTION("""COMPUTED_VALUE"""),44662.9359375)</f>
        <v>44662.93594</v>
      </c>
      <c r="D1083" s="13">
        <f t="shared" si="1"/>
        <v>11</v>
      </c>
      <c r="E1083" s="13">
        <f t="shared" si="2"/>
        <v>22</v>
      </c>
    </row>
    <row r="1084">
      <c r="A1084" s="4" t="s">
        <v>1246</v>
      </c>
      <c r="B1084" s="4" t="s">
        <v>1247</v>
      </c>
      <c r="C1084" s="12">
        <f>IFERROR(__xludf.DUMMYFUNCTION("""COMPUTED_VALUE"""),44662.93546296296)</f>
        <v>44662.93546</v>
      </c>
      <c r="D1084" s="13">
        <f t="shared" si="1"/>
        <v>11</v>
      </c>
      <c r="E1084" s="13">
        <f t="shared" si="2"/>
        <v>22</v>
      </c>
    </row>
    <row r="1085">
      <c r="A1085" s="4" t="s">
        <v>1248</v>
      </c>
      <c r="B1085" s="4" t="s">
        <v>227</v>
      </c>
      <c r="C1085" s="12">
        <f>IFERROR(__xludf.DUMMYFUNCTION("""COMPUTED_VALUE"""),44662.934965277775)</f>
        <v>44662.93497</v>
      </c>
      <c r="D1085" s="13">
        <f t="shared" si="1"/>
        <v>11</v>
      </c>
      <c r="E1085" s="13">
        <f t="shared" si="2"/>
        <v>22</v>
      </c>
    </row>
    <row r="1086">
      <c r="A1086" s="4" t="s">
        <v>1249</v>
      </c>
      <c r="B1086" s="4" t="s">
        <v>227</v>
      </c>
      <c r="C1086" s="12">
        <f>IFERROR(__xludf.DUMMYFUNCTION("""COMPUTED_VALUE"""),44662.93493055555)</f>
        <v>44662.93493</v>
      </c>
      <c r="D1086" s="13">
        <f t="shared" si="1"/>
        <v>11</v>
      </c>
      <c r="E1086" s="13">
        <f t="shared" si="2"/>
        <v>22</v>
      </c>
    </row>
    <row r="1087">
      <c r="A1087" s="4" t="s">
        <v>1250</v>
      </c>
      <c r="B1087" s="4" t="s">
        <v>1251</v>
      </c>
      <c r="C1087" s="12">
        <f>IFERROR(__xludf.DUMMYFUNCTION("""COMPUTED_VALUE"""),44662.933969907404)</f>
        <v>44662.93397</v>
      </c>
      <c r="D1087" s="13">
        <f t="shared" si="1"/>
        <v>11</v>
      </c>
      <c r="E1087" s="13">
        <f t="shared" si="2"/>
        <v>22</v>
      </c>
    </row>
    <row r="1088">
      <c r="A1088" s="4" t="s">
        <v>1252</v>
      </c>
      <c r="B1088" s="16"/>
      <c r="C1088" s="12">
        <f>IFERROR(__xludf.DUMMYFUNCTION("""COMPUTED_VALUE"""),44662.93390046296)</f>
        <v>44662.9339</v>
      </c>
      <c r="D1088" s="13">
        <f t="shared" si="1"/>
        <v>11</v>
      </c>
      <c r="E1088" s="13">
        <f t="shared" si="2"/>
        <v>22</v>
      </c>
    </row>
    <row r="1089">
      <c r="A1089" s="4" t="s">
        <v>1253</v>
      </c>
      <c r="B1089" s="16"/>
      <c r="C1089" s="12">
        <f>IFERROR(__xludf.DUMMYFUNCTION("""COMPUTED_VALUE"""),44662.933865740735)</f>
        <v>44662.93387</v>
      </c>
      <c r="D1089" s="13">
        <f t="shared" si="1"/>
        <v>11</v>
      </c>
      <c r="E1089" s="13">
        <f t="shared" si="2"/>
        <v>22</v>
      </c>
    </row>
    <row r="1090">
      <c r="A1090" s="4" t="s">
        <v>1254</v>
      </c>
      <c r="B1090" s="16"/>
      <c r="C1090" s="12">
        <f>IFERROR(__xludf.DUMMYFUNCTION("""COMPUTED_VALUE"""),44662.93378472222)</f>
        <v>44662.93378</v>
      </c>
      <c r="D1090" s="13">
        <f t="shared" si="1"/>
        <v>11</v>
      </c>
      <c r="E1090" s="13">
        <f t="shared" si="2"/>
        <v>22</v>
      </c>
    </row>
    <row r="1091">
      <c r="A1091" s="4" t="s">
        <v>1255</v>
      </c>
      <c r="B1091" s="16"/>
      <c r="C1091" s="12">
        <f>IFERROR(__xludf.DUMMYFUNCTION("""COMPUTED_VALUE"""),44662.93226851852)</f>
        <v>44662.93227</v>
      </c>
      <c r="D1091" s="13">
        <f t="shared" si="1"/>
        <v>11</v>
      </c>
      <c r="E1091" s="13">
        <f t="shared" si="2"/>
        <v>22</v>
      </c>
    </row>
    <row r="1092">
      <c r="A1092" s="4" t="s">
        <v>1256</v>
      </c>
      <c r="B1092" s="4" t="s">
        <v>1257</v>
      </c>
      <c r="C1092" s="12">
        <f>IFERROR(__xludf.DUMMYFUNCTION("""COMPUTED_VALUE"""),44662.93185185185)</f>
        <v>44662.93185</v>
      </c>
      <c r="D1092" s="13">
        <f t="shared" si="1"/>
        <v>11</v>
      </c>
      <c r="E1092" s="13">
        <f t="shared" si="2"/>
        <v>22</v>
      </c>
    </row>
    <row r="1093">
      <c r="A1093" s="4" t="s">
        <v>1258</v>
      </c>
      <c r="B1093" s="4" t="s">
        <v>1259</v>
      </c>
      <c r="C1093" s="12">
        <f>IFERROR(__xludf.DUMMYFUNCTION("""COMPUTED_VALUE"""),44662.931805555556)</f>
        <v>44662.93181</v>
      </c>
      <c r="D1093" s="13">
        <f t="shared" si="1"/>
        <v>11</v>
      </c>
      <c r="E1093" s="13">
        <f t="shared" si="2"/>
        <v>22</v>
      </c>
    </row>
    <row r="1094">
      <c r="A1094" s="4" t="s">
        <v>1260</v>
      </c>
      <c r="B1094" s="4" t="s">
        <v>1261</v>
      </c>
      <c r="C1094" s="12">
        <f>IFERROR(__xludf.DUMMYFUNCTION("""COMPUTED_VALUE"""),44662.93064814815)</f>
        <v>44662.93065</v>
      </c>
      <c r="D1094" s="13">
        <f t="shared" si="1"/>
        <v>11</v>
      </c>
      <c r="E1094" s="13">
        <f t="shared" si="2"/>
        <v>22</v>
      </c>
    </row>
    <row r="1095">
      <c r="A1095" s="4" t="s">
        <v>1262</v>
      </c>
      <c r="B1095" s="16"/>
      <c r="C1095" s="12">
        <f>IFERROR(__xludf.DUMMYFUNCTION("""COMPUTED_VALUE"""),44662.93033564815)</f>
        <v>44662.93034</v>
      </c>
      <c r="D1095" s="13">
        <f t="shared" si="1"/>
        <v>11</v>
      </c>
      <c r="E1095" s="13">
        <f t="shared" si="2"/>
        <v>22</v>
      </c>
    </row>
    <row r="1096">
      <c r="A1096" s="4" t="s">
        <v>1263</v>
      </c>
      <c r="B1096" s="4" t="s">
        <v>1264</v>
      </c>
      <c r="C1096" s="12">
        <f>IFERROR(__xludf.DUMMYFUNCTION("""COMPUTED_VALUE"""),44662.92969907407)</f>
        <v>44662.9297</v>
      </c>
      <c r="D1096" s="13">
        <f t="shared" si="1"/>
        <v>11</v>
      </c>
      <c r="E1096" s="13">
        <f t="shared" si="2"/>
        <v>22</v>
      </c>
    </row>
    <row r="1097">
      <c r="A1097" s="4" t="s">
        <v>1265</v>
      </c>
      <c r="B1097" s="4" t="s">
        <v>1190</v>
      </c>
      <c r="C1097" s="12">
        <f>IFERROR(__xludf.DUMMYFUNCTION("""COMPUTED_VALUE"""),44662.9284375)</f>
        <v>44662.92844</v>
      </c>
      <c r="D1097" s="13">
        <f t="shared" si="1"/>
        <v>11</v>
      </c>
      <c r="E1097" s="13">
        <f t="shared" si="2"/>
        <v>22</v>
      </c>
    </row>
    <row r="1098">
      <c r="A1098" s="4" t="s">
        <v>1266</v>
      </c>
      <c r="B1098" s="4" t="s">
        <v>756</v>
      </c>
      <c r="C1098" s="12">
        <f>IFERROR(__xludf.DUMMYFUNCTION("""COMPUTED_VALUE"""),44662.92837962963)</f>
        <v>44662.92838</v>
      </c>
      <c r="D1098" s="13">
        <f t="shared" si="1"/>
        <v>11</v>
      </c>
      <c r="E1098" s="13">
        <f t="shared" si="2"/>
        <v>22</v>
      </c>
    </row>
    <row r="1099">
      <c r="A1099" s="4" t="s">
        <v>1267</v>
      </c>
      <c r="B1099" s="16"/>
      <c r="C1099" s="12">
        <f>IFERROR(__xludf.DUMMYFUNCTION("""COMPUTED_VALUE"""),44662.927939814814)</f>
        <v>44662.92794</v>
      </c>
      <c r="D1099" s="13">
        <f t="shared" si="1"/>
        <v>11</v>
      </c>
      <c r="E1099" s="13">
        <f t="shared" si="2"/>
        <v>22</v>
      </c>
    </row>
    <row r="1100">
      <c r="A1100" s="4" t="s">
        <v>1268</v>
      </c>
      <c r="B1100" s="4" t="s">
        <v>1269</v>
      </c>
      <c r="C1100" s="12">
        <f>IFERROR(__xludf.DUMMYFUNCTION("""COMPUTED_VALUE"""),44662.9265625)</f>
        <v>44662.92656</v>
      </c>
      <c r="D1100" s="13">
        <f t="shared" si="1"/>
        <v>11</v>
      </c>
      <c r="E1100" s="13">
        <f t="shared" si="2"/>
        <v>22</v>
      </c>
    </row>
    <row r="1101">
      <c r="A1101" s="4" t="s">
        <v>1270</v>
      </c>
      <c r="B1101" s="16"/>
      <c r="C1101" s="12">
        <f>IFERROR(__xludf.DUMMYFUNCTION("""COMPUTED_VALUE"""),44662.92501157407)</f>
        <v>44662.92501</v>
      </c>
      <c r="D1101" s="13">
        <f t="shared" si="1"/>
        <v>11</v>
      </c>
      <c r="E1101" s="13">
        <f t="shared" si="2"/>
        <v>22</v>
      </c>
    </row>
    <row r="1102">
      <c r="A1102" s="4" t="s">
        <v>1271</v>
      </c>
      <c r="B1102" s="16"/>
      <c r="C1102" s="12">
        <f>IFERROR(__xludf.DUMMYFUNCTION("""COMPUTED_VALUE"""),44662.924988425926)</f>
        <v>44662.92499</v>
      </c>
      <c r="D1102" s="13">
        <f t="shared" si="1"/>
        <v>11</v>
      </c>
      <c r="E1102" s="13">
        <f t="shared" si="2"/>
        <v>22</v>
      </c>
    </row>
    <row r="1103">
      <c r="A1103" s="4" t="s">
        <v>1272</v>
      </c>
      <c r="B1103" s="16"/>
      <c r="C1103" s="12">
        <f>IFERROR(__xludf.DUMMYFUNCTION("""COMPUTED_VALUE"""),44662.92493055555)</f>
        <v>44662.92493</v>
      </c>
      <c r="D1103" s="13">
        <f t="shared" si="1"/>
        <v>11</v>
      </c>
      <c r="E1103" s="13">
        <f t="shared" si="2"/>
        <v>22</v>
      </c>
    </row>
    <row r="1104">
      <c r="A1104" s="4" t="s">
        <v>1273</v>
      </c>
      <c r="B1104" s="16"/>
      <c r="C1104" s="12">
        <f>IFERROR(__xludf.DUMMYFUNCTION("""COMPUTED_VALUE"""),44662.92461805556)</f>
        <v>44662.92462</v>
      </c>
      <c r="D1104" s="13">
        <f t="shared" si="1"/>
        <v>11</v>
      </c>
      <c r="E1104" s="13">
        <f t="shared" si="2"/>
        <v>22</v>
      </c>
    </row>
    <row r="1105">
      <c r="A1105" s="4" t="s">
        <v>1274</v>
      </c>
      <c r="B1105" s="4" t="s">
        <v>1275</v>
      </c>
      <c r="C1105" s="12">
        <f>IFERROR(__xludf.DUMMYFUNCTION("""COMPUTED_VALUE"""),44662.92454861111)</f>
        <v>44662.92455</v>
      </c>
      <c r="D1105" s="13">
        <f t="shared" si="1"/>
        <v>11</v>
      </c>
      <c r="E1105" s="13">
        <f t="shared" si="2"/>
        <v>22</v>
      </c>
    </row>
    <row r="1106">
      <c r="A1106" s="4" t="s">
        <v>1276</v>
      </c>
      <c r="B1106" s="16"/>
      <c r="C1106" s="12">
        <f>IFERROR(__xludf.DUMMYFUNCTION("""COMPUTED_VALUE"""),44662.92364583333)</f>
        <v>44662.92365</v>
      </c>
      <c r="D1106" s="13">
        <f t="shared" si="1"/>
        <v>11</v>
      </c>
      <c r="E1106" s="13">
        <f t="shared" si="2"/>
        <v>22</v>
      </c>
    </row>
    <row r="1107">
      <c r="A1107" s="4" t="s">
        <v>1277</v>
      </c>
      <c r="B1107" s="4" t="s">
        <v>1278</v>
      </c>
      <c r="C1107" s="12">
        <f>IFERROR(__xludf.DUMMYFUNCTION("""COMPUTED_VALUE"""),44662.9233912037)</f>
        <v>44662.92339</v>
      </c>
      <c r="D1107" s="13">
        <f t="shared" si="1"/>
        <v>11</v>
      </c>
      <c r="E1107" s="13">
        <f t="shared" si="2"/>
        <v>22</v>
      </c>
    </row>
    <row r="1108">
      <c r="A1108" s="4" t="s">
        <v>1279</v>
      </c>
      <c r="B1108" s="4" t="s">
        <v>1278</v>
      </c>
      <c r="C1108" s="12">
        <f>IFERROR(__xludf.DUMMYFUNCTION("""COMPUTED_VALUE"""),44662.923368055555)</f>
        <v>44662.92337</v>
      </c>
      <c r="D1108" s="13">
        <f t="shared" si="1"/>
        <v>11</v>
      </c>
      <c r="E1108" s="13">
        <f t="shared" si="2"/>
        <v>22</v>
      </c>
    </row>
    <row r="1109">
      <c r="A1109" s="4" t="s">
        <v>1280</v>
      </c>
      <c r="B1109" s="4" t="s">
        <v>1278</v>
      </c>
      <c r="C1109" s="12">
        <f>IFERROR(__xludf.DUMMYFUNCTION("""COMPUTED_VALUE"""),44662.923321759255)</f>
        <v>44662.92332</v>
      </c>
      <c r="D1109" s="13">
        <f t="shared" si="1"/>
        <v>11</v>
      </c>
      <c r="E1109" s="13">
        <f t="shared" si="2"/>
        <v>22</v>
      </c>
    </row>
    <row r="1110">
      <c r="A1110" s="4" t="s">
        <v>1281</v>
      </c>
      <c r="B1110" s="4" t="s">
        <v>1278</v>
      </c>
      <c r="C1110" s="12">
        <f>IFERROR(__xludf.DUMMYFUNCTION("""COMPUTED_VALUE"""),44662.92329861111)</f>
        <v>44662.9233</v>
      </c>
      <c r="D1110" s="13">
        <f t="shared" si="1"/>
        <v>11</v>
      </c>
      <c r="E1110" s="13">
        <f t="shared" si="2"/>
        <v>22</v>
      </c>
    </row>
    <row r="1111">
      <c r="A1111" s="4" t="s">
        <v>1282</v>
      </c>
      <c r="B1111" s="16"/>
      <c r="C1111" s="12">
        <f>IFERROR(__xludf.DUMMYFUNCTION("""COMPUTED_VALUE"""),44662.92304398148)</f>
        <v>44662.92304</v>
      </c>
      <c r="D1111" s="13">
        <f t="shared" si="1"/>
        <v>11</v>
      </c>
      <c r="E1111" s="13">
        <f t="shared" si="2"/>
        <v>22</v>
      </c>
    </row>
    <row r="1112">
      <c r="A1112" s="4" t="s">
        <v>1283</v>
      </c>
      <c r="B1112" s="16"/>
      <c r="C1112" s="12">
        <f>IFERROR(__xludf.DUMMYFUNCTION("""COMPUTED_VALUE"""),44662.923009259255)</f>
        <v>44662.92301</v>
      </c>
      <c r="D1112" s="13">
        <f t="shared" si="1"/>
        <v>11</v>
      </c>
      <c r="E1112" s="13">
        <f t="shared" si="2"/>
        <v>22</v>
      </c>
    </row>
    <row r="1113">
      <c r="A1113" s="4" t="s">
        <v>1284</v>
      </c>
      <c r="B1113" s="16"/>
      <c r="C1113" s="12">
        <f>IFERROR(__xludf.DUMMYFUNCTION("""COMPUTED_VALUE"""),44662.922129629624)</f>
        <v>44662.92213</v>
      </c>
      <c r="D1113" s="13">
        <f t="shared" si="1"/>
        <v>11</v>
      </c>
      <c r="E1113" s="13">
        <f t="shared" si="2"/>
        <v>22</v>
      </c>
    </row>
    <row r="1114">
      <c r="A1114" s="4" t="s">
        <v>1285</v>
      </c>
      <c r="B1114" s="4" t="s">
        <v>762</v>
      </c>
      <c r="C1114" s="12">
        <f>IFERROR(__xludf.DUMMYFUNCTION("""COMPUTED_VALUE"""),44662.92202546296)</f>
        <v>44662.92203</v>
      </c>
      <c r="D1114" s="13">
        <f t="shared" si="1"/>
        <v>11</v>
      </c>
      <c r="E1114" s="13">
        <f t="shared" si="2"/>
        <v>22</v>
      </c>
    </row>
    <row r="1115">
      <c r="A1115" s="4" t="s">
        <v>1286</v>
      </c>
      <c r="B1115" s="4" t="s">
        <v>762</v>
      </c>
      <c r="C1115" s="12">
        <f>IFERROR(__xludf.DUMMYFUNCTION("""COMPUTED_VALUE"""),44662.922002314815)</f>
        <v>44662.922</v>
      </c>
      <c r="D1115" s="13">
        <f t="shared" si="1"/>
        <v>11</v>
      </c>
      <c r="E1115" s="13">
        <f t="shared" si="2"/>
        <v>22</v>
      </c>
    </row>
    <row r="1116">
      <c r="A1116" s="4" t="s">
        <v>1287</v>
      </c>
      <c r="B1116" s="16"/>
      <c r="C1116" s="12">
        <f>IFERROR(__xludf.DUMMYFUNCTION("""COMPUTED_VALUE"""),44662.920752314814)</f>
        <v>44662.92075</v>
      </c>
      <c r="D1116" s="13">
        <f t="shared" si="1"/>
        <v>11</v>
      </c>
      <c r="E1116" s="13">
        <f t="shared" si="2"/>
        <v>22</v>
      </c>
    </row>
    <row r="1117">
      <c r="A1117" s="4" t="s">
        <v>1288</v>
      </c>
      <c r="B1117" s="16"/>
      <c r="C1117" s="12">
        <f>IFERROR(__xludf.DUMMYFUNCTION("""COMPUTED_VALUE"""),44662.92071759259)</f>
        <v>44662.92072</v>
      </c>
      <c r="D1117" s="13">
        <f t="shared" si="1"/>
        <v>11</v>
      </c>
      <c r="E1117" s="13">
        <f t="shared" si="2"/>
        <v>22</v>
      </c>
    </row>
    <row r="1118">
      <c r="A1118" s="4" t="s">
        <v>1289</v>
      </c>
      <c r="B1118" s="4" t="s">
        <v>762</v>
      </c>
      <c r="C1118" s="12">
        <f>IFERROR(__xludf.DUMMYFUNCTION("""COMPUTED_VALUE"""),44662.92042824074)</f>
        <v>44662.92043</v>
      </c>
      <c r="D1118" s="13">
        <f t="shared" si="1"/>
        <v>11</v>
      </c>
      <c r="E1118" s="13">
        <f t="shared" si="2"/>
        <v>22</v>
      </c>
    </row>
    <row r="1119">
      <c r="A1119" s="4" t="s">
        <v>1290</v>
      </c>
      <c r="B1119" s="4" t="s">
        <v>762</v>
      </c>
      <c r="C1119" s="12">
        <f>IFERROR(__xludf.DUMMYFUNCTION("""COMPUTED_VALUE"""),44662.920393518514)</f>
        <v>44662.92039</v>
      </c>
      <c r="D1119" s="13">
        <f t="shared" si="1"/>
        <v>11</v>
      </c>
      <c r="E1119" s="13">
        <f t="shared" si="2"/>
        <v>22</v>
      </c>
    </row>
    <row r="1120">
      <c r="A1120" s="4" t="s">
        <v>1291</v>
      </c>
      <c r="B1120" s="4" t="s">
        <v>762</v>
      </c>
      <c r="C1120" s="12">
        <f>IFERROR(__xludf.DUMMYFUNCTION("""COMPUTED_VALUE"""),44662.919386574074)</f>
        <v>44662.91939</v>
      </c>
      <c r="D1120" s="13">
        <f t="shared" si="1"/>
        <v>11</v>
      </c>
      <c r="E1120" s="13">
        <f t="shared" si="2"/>
        <v>22</v>
      </c>
    </row>
    <row r="1121">
      <c r="A1121" s="4" t="s">
        <v>1292</v>
      </c>
      <c r="B1121" s="16"/>
      <c r="C1121" s="12">
        <f>IFERROR(__xludf.DUMMYFUNCTION("""COMPUTED_VALUE"""),44662.919236111105)</f>
        <v>44662.91924</v>
      </c>
      <c r="D1121" s="13">
        <f t="shared" si="1"/>
        <v>11</v>
      </c>
      <c r="E1121" s="13">
        <f t="shared" si="2"/>
        <v>22</v>
      </c>
    </row>
    <row r="1122">
      <c r="A1122" s="4" t="s">
        <v>1292</v>
      </c>
      <c r="B1122" s="16"/>
      <c r="C1122" s="12">
        <f>IFERROR(__xludf.DUMMYFUNCTION("""COMPUTED_VALUE"""),44662.919236111105)</f>
        <v>44662.91924</v>
      </c>
      <c r="D1122" s="13">
        <f t="shared" si="1"/>
        <v>11</v>
      </c>
      <c r="E1122" s="13">
        <f t="shared" si="2"/>
        <v>22</v>
      </c>
    </row>
    <row r="1123">
      <c r="A1123" s="4" t="s">
        <v>1293</v>
      </c>
      <c r="B1123" s="16"/>
      <c r="C1123" s="12">
        <f>IFERROR(__xludf.DUMMYFUNCTION("""COMPUTED_VALUE"""),44662.91916666667)</f>
        <v>44662.91917</v>
      </c>
      <c r="D1123" s="13">
        <f t="shared" si="1"/>
        <v>11</v>
      </c>
      <c r="E1123" s="13">
        <f t="shared" si="2"/>
        <v>22</v>
      </c>
    </row>
    <row r="1124">
      <c r="A1124" s="4" t="s">
        <v>1294</v>
      </c>
      <c r="B1124" s="16"/>
      <c r="C1124" s="12">
        <f>IFERROR(__xludf.DUMMYFUNCTION("""COMPUTED_VALUE"""),44662.91912037037)</f>
        <v>44662.91912</v>
      </c>
      <c r="D1124" s="13">
        <f t="shared" si="1"/>
        <v>11</v>
      </c>
      <c r="E1124" s="13">
        <f t="shared" si="2"/>
        <v>22</v>
      </c>
    </row>
    <row r="1125">
      <c r="A1125" s="4" t="s">
        <v>1295</v>
      </c>
      <c r="B1125" s="16"/>
      <c r="C1125" s="12">
        <f>IFERROR(__xludf.DUMMYFUNCTION("""COMPUTED_VALUE"""),44662.919085648144)</f>
        <v>44662.91909</v>
      </c>
      <c r="D1125" s="13">
        <f t="shared" si="1"/>
        <v>11</v>
      </c>
      <c r="E1125" s="13">
        <f t="shared" si="2"/>
        <v>22</v>
      </c>
    </row>
    <row r="1126">
      <c r="A1126" s="4" t="s">
        <v>1296</v>
      </c>
      <c r="B1126" s="4" t="s">
        <v>762</v>
      </c>
      <c r="C1126" s="12">
        <f>IFERROR(__xludf.DUMMYFUNCTION("""COMPUTED_VALUE"""),44662.9190625)</f>
        <v>44662.91906</v>
      </c>
      <c r="D1126" s="13">
        <f t="shared" si="1"/>
        <v>11</v>
      </c>
      <c r="E1126" s="13">
        <f t="shared" si="2"/>
        <v>22</v>
      </c>
    </row>
    <row r="1127">
      <c r="A1127" s="4" t="s">
        <v>1297</v>
      </c>
      <c r="B1127" s="4" t="s">
        <v>762</v>
      </c>
      <c r="C1127" s="12">
        <f>IFERROR(__xludf.DUMMYFUNCTION("""COMPUTED_VALUE"""),44662.91884259259)</f>
        <v>44662.91884</v>
      </c>
      <c r="D1127" s="13">
        <f t="shared" si="1"/>
        <v>11</v>
      </c>
      <c r="E1127" s="13">
        <f t="shared" si="2"/>
        <v>22</v>
      </c>
    </row>
    <row r="1128">
      <c r="A1128" s="4" t="s">
        <v>1298</v>
      </c>
      <c r="B1128" s="4" t="s">
        <v>762</v>
      </c>
      <c r="C1128" s="12">
        <f>IFERROR(__xludf.DUMMYFUNCTION("""COMPUTED_VALUE"""),44662.918715277774)</f>
        <v>44662.91872</v>
      </c>
      <c r="D1128" s="13">
        <f t="shared" si="1"/>
        <v>11</v>
      </c>
      <c r="E1128" s="13">
        <f t="shared" si="2"/>
        <v>22</v>
      </c>
    </row>
    <row r="1129">
      <c r="A1129" s="4" t="s">
        <v>1299</v>
      </c>
      <c r="B1129" s="4" t="s">
        <v>762</v>
      </c>
      <c r="C1129" s="12">
        <f>IFERROR(__xludf.DUMMYFUNCTION("""COMPUTED_VALUE"""),44662.91869212963)</f>
        <v>44662.91869</v>
      </c>
      <c r="D1129" s="13">
        <f t="shared" si="1"/>
        <v>11</v>
      </c>
      <c r="E1129" s="13">
        <f t="shared" si="2"/>
        <v>22</v>
      </c>
    </row>
    <row r="1130">
      <c r="A1130" s="4" t="s">
        <v>1300</v>
      </c>
      <c r="B1130" s="4" t="s">
        <v>762</v>
      </c>
      <c r="C1130" s="12">
        <f>IFERROR(__xludf.DUMMYFUNCTION("""COMPUTED_VALUE"""),44662.91866898148)</f>
        <v>44662.91867</v>
      </c>
      <c r="D1130" s="13">
        <f t="shared" si="1"/>
        <v>11</v>
      </c>
      <c r="E1130" s="13">
        <f t="shared" si="2"/>
        <v>22</v>
      </c>
    </row>
    <row r="1131">
      <c r="A1131" s="4" t="s">
        <v>1301</v>
      </c>
      <c r="B1131" s="4" t="s">
        <v>762</v>
      </c>
      <c r="C1131" s="12">
        <f>IFERROR(__xludf.DUMMYFUNCTION("""COMPUTED_VALUE"""),44662.91864583333)</f>
        <v>44662.91865</v>
      </c>
      <c r="D1131" s="13">
        <f t="shared" si="1"/>
        <v>11</v>
      </c>
      <c r="E1131" s="13">
        <f t="shared" si="2"/>
        <v>22</v>
      </c>
    </row>
    <row r="1132">
      <c r="A1132" s="4" t="s">
        <v>1302</v>
      </c>
      <c r="B1132" s="4" t="s">
        <v>762</v>
      </c>
      <c r="C1132" s="12">
        <f>IFERROR(__xludf.DUMMYFUNCTION("""COMPUTED_VALUE"""),44662.91863425926)</f>
        <v>44662.91863</v>
      </c>
      <c r="D1132" s="13">
        <f t="shared" si="1"/>
        <v>11</v>
      </c>
      <c r="E1132" s="13">
        <f t="shared" si="2"/>
        <v>22</v>
      </c>
    </row>
    <row r="1133">
      <c r="A1133" s="4" t="s">
        <v>1303</v>
      </c>
      <c r="B1133" s="4" t="s">
        <v>762</v>
      </c>
      <c r="C1133" s="12">
        <f>IFERROR(__xludf.DUMMYFUNCTION("""COMPUTED_VALUE"""),44662.91846064814)</f>
        <v>44662.91846</v>
      </c>
      <c r="D1133" s="13">
        <f t="shared" si="1"/>
        <v>11</v>
      </c>
      <c r="E1133" s="13">
        <f t="shared" si="2"/>
        <v>22</v>
      </c>
    </row>
    <row r="1134">
      <c r="A1134" s="4" t="s">
        <v>1304</v>
      </c>
      <c r="B1134" s="4" t="s">
        <v>762</v>
      </c>
      <c r="C1134" s="12">
        <f>IFERROR(__xludf.DUMMYFUNCTION("""COMPUTED_VALUE"""),44662.91833333333)</f>
        <v>44662.91833</v>
      </c>
      <c r="D1134" s="13">
        <f t="shared" si="1"/>
        <v>11</v>
      </c>
      <c r="E1134" s="13">
        <f t="shared" si="2"/>
        <v>22</v>
      </c>
    </row>
    <row r="1135">
      <c r="A1135" s="4" t="s">
        <v>1305</v>
      </c>
      <c r="B1135" s="4" t="s">
        <v>1306</v>
      </c>
      <c r="C1135" s="12">
        <f>IFERROR(__xludf.DUMMYFUNCTION("""COMPUTED_VALUE"""),44662.91773148148)</f>
        <v>44662.91773</v>
      </c>
      <c r="D1135" s="13">
        <f t="shared" si="1"/>
        <v>11</v>
      </c>
      <c r="E1135" s="13">
        <f t="shared" si="2"/>
        <v>22</v>
      </c>
    </row>
    <row r="1136">
      <c r="A1136" s="4" t="s">
        <v>1307</v>
      </c>
      <c r="B1136" s="4" t="s">
        <v>143</v>
      </c>
      <c r="C1136" s="12">
        <f>IFERROR(__xludf.DUMMYFUNCTION("""COMPUTED_VALUE"""),44662.917662037034)</f>
        <v>44662.91766</v>
      </c>
      <c r="D1136" s="13">
        <f t="shared" si="1"/>
        <v>11</v>
      </c>
      <c r="E1136" s="13">
        <f t="shared" si="2"/>
        <v>22</v>
      </c>
    </row>
    <row r="1137">
      <c r="A1137" s="4" t="s">
        <v>1308</v>
      </c>
      <c r="B1137" s="4" t="s">
        <v>829</v>
      </c>
      <c r="C1137" s="12">
        <f>IFERROR(__xludf.DUMMYFUNCTION("""COMPUTED_VALUE"""),44662.91753472222)</f>
        <v>44662.91753</v>
      </c>
      <c r="D1137" s="13">
        <f t="shared" si="1"/>
        <v>11</v>
      </c>
      <c r="E1137" s="13">
        <f t="shared" si="2"/>
        <v>22</v>
      </c>
    </row>
    <row r="1138">
      <c r="A1138" s="4" t="s">
        <v>1309</v>
      </c>
      <c r="B1138" s="4" t="s">
        <v>1310</v>
      </c>
      <c r="C1138" s="12">
        <f>IFERROR(__xludf.DUMMYFUNCTION("""COMPUTED_VALUE"""),44662.91748842593)</f>
        <v>44662.91749</v>
      </c>
      <c r="D1138" s="13">
        <f t="shared" si="1"/>
        <v>11</v>
      </c>
      <c r="E1138" s="13">
        <f t="shared" si="2"/>
        <v>22</v>
      </c>
    </row>
    <row r="1139">
      <c r="A1139" s="4" t="s">
        <v>1311</v>
      </c>
      <c r="B1139" s="4" t="s">
        <v>829</v>
      </c>
      <c r="C1139" s="12">
        <f>IFERROR(__xludf.DUMMYFUNCTION("""COMPUTED_VALUE"""),44662.91747685185)</f>
        <v>44662.91748</v>
      </c>
      <c r="D1139" s="13">
        <f t="shared" si="1"/>
        <v>11</v>
      </c>
      <c r="E1139" s="13">
        <f t="shared" si="2"/>
        <v>22</v>
      </c>
    </row>
    <row r="1140">
      <c r="A1140" s="4" t="s">
        <v>1312</v>
      </c>
      <c r="B1140" s="4" t="s">
        <v>829</v>
      </c>
      <c r="C1140" s="12">
        <f>IFERROR(__xludf.DUMMYFUNCTION("""COMPUTED_VALUE"""),44662.91733796296)</f>
        <v>44662.91734</v>
      </c>
      <c r="D1140" s="13">
        <f t="shared" si="1"/>
        <v>11</v>
      </c>
      <c r="E1140" s="13">
        <f t="shared" si="2"/>
        <v>22</v>
      </c>
    </row>
    <row r="1141">
      <c r="A1141" s="4" t="s">
        <v>1313</v>
      </c>
      <c r="B1141" s="4" t="s">
        <v>829</v>
      </c>
      <c r="C1141" s="12">
        <f>IFERROR(__xludf.DUMMYFUNCTION("""COMPUTED_VALUE"""),44662.91731481481)</f>
        <v>44662.91731</v>
      </c>
      <c r="D1141" s="13">
        <f t="shared" si="1"/>
        <v>11</v>
      </c>
      <c r="E1141" s="13">
        <f t="shared" si="2"/>
        <v>22</v>
      </c>
    </row>
    <row r="1142">
      <c r="A1142" s="4" t="s">
        <v>1314</v>
      </c>
      <c r="B1142" s="4" t="s">
        <v>1310</v>
      </c>
      <c r="C1142" s="12">
        <f>IFERROR(__xludf.DUMMYFUNCTION("""COMPUTED_VALUE"""),44662.91721064815)</f>
        <v>44662.91721</v>
      </c>
      <c r="D1142" s="13">
        <f t="shared" si="1"/>
        <v>11</v>
      </c>
      <c r="E1142" s="13">
        <f t="shared" si="2"/>
        <v>22</v>
      </c>
    </row>
    <row r="1143">
      <c r="A1143" s="4" t="s">
        <v>1315</v>
      </c>
      <c r="B1143" s="4" t="s">
        <v>1316</v>
      </c>
      <c r="C1143" s="12">
        <f>IFERROR(__xludf.DUMMYFUNCTION("""COMPUTED_VALUE"""),44662.91659722222)</f>
        <v>44662.9166</v>
      </c>
      <c r="D1143" s="13">
        <f t="shared" si="1"/>
        <v>11</v>
      </c>
      <c r="E1143" s="13">
        <f t="shared" si="2"/>
        <v>21</v>
      </c>
    </row>
    <row r="1144">
      <c r="A1144" s="4" t="s">
        <v>1317</v>
      </c>
      <c r="B1144" s="4" t="s">
        <v>897</v>
      </c>
      <c r="C1144" s="12">
        <f>IFERROR(__xludf.DUMMYFUNCTION("""COMPUTED_VALUE"""),44662.91633101852)</f>
        <v>44662.91633</v>
      </c>
      <c r="D1144" s="13">
        <f t="shared" si="1"/>
        <v>11</v>
      </c>
      <c r="E1144" s="13">
        <f t="shared" si="2"/>
        <v>21</v>
      </c>
    </row>
    <row r="1145">
      <c r="A1145" s="4" t="s">
        <v>1318</v>
      </c>
      <c r="B1145" s="4" t="s">
        <v>1319</v>
      </c>
      <c r="C1145" s="12">
        <f>IFERROR(__xludf.DUMMYFUNCTION("""COMPUTED_VALUE"""),44662.91630787037)</f>
        <v>44662.91631</v>
      </c>
      <c r="D1145" s="13">
        <f t="shared" si="1"/>
        <v>11</v>
      </c>
      <c r="E1145" s="13">
        <f t="shared" si="2"/>
        <v>21</v>
      </c>
    </row>
    <row r="1146">
      <c r="A1146" s="4" t="s">
        <v>1320</v>
      </c>
      <c r="B1146" s="4" t="s">
        <v>1321</v>
      </c>
      <c r="C1146" s="12">
        <f>IFERROR(__xludf.DUMMYFUNCTION("""COMPUTED_VALUE"""),44662.91413194444)</f>
        <v>44662.91413</v>
      </c>
      <c r="D1146" s="13">
        <f t="shared" si="1"/>
        <v>11</v>
      </c>
      <c r="E1146" s="13">
        <f t="shared" si="2"/>
        <v>21</v>
      </c>
    </row>
    <row r="1147">
      <c r="A1147" s="4" t="s">
        <v>1322</v>
      </c>
      <c r="B1147" s="4" t="s">
        <v>1323</v>
      </c>
      <c r="C1147" s="12">
        <f>IFERROR(__xludf.DUMMYFUNCTION("""COMPUTED_VALUE"""),44662.91311342592)</f>
        <v>44662.91311</v>
      </c>
      <c r="D1147" s="13">
        <f t="shared" si="1"/>
        <v>11</v>
      </c>
      <c r="E1147" s="13">
        <f t="shared" si="2"/>
        <v>21</v>
      </c>
    </row>
    <row r="1148">
      <c r="A1148" s="4" t="s">
        <v>1324</v>
      </c>
      <c r="B1148" s="4" t="s">
        <v>1325</v>
      </c>
      <c r="C1148" s="12">
        <f>IFERROR(__xludf.DUMMYFUNCTION("""COMPUTED_VALUE"""),44662.9121875)</f>
        <v>44662.91219</v>
      </c>
      <c r="D1148" s="13">
        <f t="shared" si="1"/>
        <v>11</v>
      </c>
      <c r="E1148" s="13">
        <f t="shared" si="2"/>
        <v>21</v>
      </c>
    </row>
    <row r="1149">
      <c r="A1149" s="4" t="s">
        <v>1326</v>
      </c>
      <c r="B1149" s="4" t="s">
        <v>1327</v>
      </c>
      <c r="C1149" s="12">
        <f>IFERROR(__xludf.DUMMYFUNCTION("""COMPUTED_VALUE"""),44662.91170138889)</f>
        <v>44662.9117</v>
      </c>
      <c r="D1149" s="13">
        <f t="shared" si="1"/>
        <v>11</v>
      </c>
      <c r="E1149" s="13">
        <f t="shared" si="2"/>
        <v>21</v>
      </c>
    </row>
    <row r="1150">
      <c r="A1150" s="4" t="s">
        <v>1328</v>
      </c>
      <c r="B1150" s="16"/>
      <c r="C1150" s="12">
        <f>IFERROR(__xludf.DUMMYFUNCTION("""COMPUTED_VALUE"""),44662.91137731481)</f>
        <v>44662.91138</v>
      </c>
      <c r="D1150" s="13">
        <f t="shared" si="1"/>
        <v>11</v>
      </c>
      <c r="E1150" s="13">
        <f t="shared" si="2"/>
        <v>21</v>
      </c>
    </row>
    <row r="1151">
      <c r="A1151" s="4" t="s">
        <v>1329</v>
      </c>
      <c r="B1151" s="16"/>
      <c r="C1151" s="12">
        <f>IFERROR(__xludf.DUMMYFUNCTION("""COMPUTED_VALUE"""),44662.91134259259)</f>
        <v>44662.91134</v>
      </c>
      <c r="D1151" s="13">
        <f t="shared" si="1"/>
        <v>11</v>
      </c>
      <c r="E1151" s="13">
        <f t="shared" si="2"/>
        <v>21</v>
      </c>
    </row>
    <row r="1152">
      <c r="A1152" s="4" t="s">
        <v>1330</v>
      </c>
      <c r="B1152" s="16"/>
      <c r="C1152" s="12">
        <f>IFERROR(__xludf.DUMMYFUNCTION("""COMPUTED_VALUE"""),44662.91130787037)</f>
        <v>44662.91131</v>
      </c>
      <c r="D1152" s="13">
        <f t="shared" si="1"/>
        <v>11</v>
      </c>
      <c r="E1152" s="13">
        <f t="shared" si="2"/>
        <v>21</v>
      </c>
    </row>
    <row r="1153">
      <c r="A1153" s="4" t="s">
        <v>1331</v>
      </c>
      <c r="B1153" s="16"/>
      <c r="C1153" s="12">
        <f>IFERROR(__xludf.DUMMYFUNCTION("""COMPUTED_VALUE"""),44662.91125)</f>
        <v>44662.91125</v>
      </c>
      <c r="D1153" s="13">
        <f t="shared" si="1"/>
        <v>11</v>
      </c>
      <c r="E1153" s="13">
        <f t="shared" si="2"/>
        <v>21</v>
      </c>
    </row>
    <row r="1154">
      <c r="A1154" s="4" t="s">
        <v>1332</v>
      </c>
      <c r="B1154" s="4" t="s">
        <v>1333</v>
      </c>
      <c r="C1154" s="12">
        <f>IFERROR(__xludf.DUMMYFUNCTION("""COMPUTED_VALUE"""),44662.911215277774)</f>
        <v>44662.91122</v>
      </c>
      <c r="D1154" s="13">
        <f t="shared" si="1"/>
        <v>11</v>
      </c>
      <c r="E1154" s="13">
        <f t="shared" si="2"/>
        <v>21</v>
      </c>
    </row>
    <row r="1155">
      <c r="A1155" s="4" t="s">
        <v>1334</v>
      </c>
      <c r="B1155" s="4" t="s">
        <v>883</v>
      </c>
      <c r="C1155" s="12">
        <f>IFERROR(__xludf.DUMMYFUNCTION("""COMPUTED_VALUE"""),44662.911157407405)</f>
        <v>44662.91116</v>
      </c>
      <c r="D1155" s="13">
        <f t="shared" si="1"/>
        <v>11</v>
      </c>
      <c r="E1155" s="13">
        <f t="shared" si="2"/>
        <v>21</v>
      </c>
    </row>
    <row r="1156">
      <c r="A1156" s="4" t="s">
        <v>1335</v>
      </c>
      <c r="B1156" s="4" t="s">
        <v>883</v>
      </c>
      <c r="C1156" s="12">
        <f>IFERROR(__xludf.DUMMYFUNCTION("""COMPUTED_VALUE"""),44662.911111111105)</f>
        <v>44662.91111</v>
      </c>
      <c r="D1156" s="13">
        <f t="shared" si="1"/>
        <v>11</v>
      </c>
      <c r="E1156" s="13">
        <f t="shared" si="2"/>
        <v>21</v>
      </c>
    </row>
    <row r="1157">
      <c r="A1157" s="4" t="s">
        <v>1336</v>
      </c>
      <c r="B1157" s="16"/>
      <c r="C1157" s="12">
        <f>IFERROR(__xludf.DUMMYFUNCTION("""COMPUTED_VALUE"""),44662.91099537037)</f>
        <v>44662.911</v>
      </c>
      <c r="D1157" s="13">
        <f t="shared" si="1"/>
        <v>11</v>
      </c>
      <c r="E1157" s="13">
        <f t="shared" si="2"/>
        <v>21</v>
      </c>
    </row>
    <row r="1158">
      <c r="A1158" s="4" t="s">
        <v>1337</v>
      </c>
      <c r="B1158" s="16"/>
      <c r="C1158" s="12">
        <f>IFERROR(__xludf.DUMMYFUNCTION("""COMPUTED_VALUE"""),44662.910949074074)</f>
        <v>44662.91095</v>
      </c>
      <c r="D1158" s="13">
        <f t="shared" si="1"/>
        <v>11</v>
      </c>
      <c r="E1158" s="13">
        <f t="shared" si="2"/>
        <v>21</v>
      </c>
    </row>
    <row r="1159">
      <c r="A1159" s="4" t="s">
        <v>1338</v>
      </c>
      <c r="B1159" s="16"/>
      <c r="C1159" s="12">
        <f>IFERROR(__xludf.DUMMYFUNCTION("""COMPUTED_VALUE"""),44662.9106712963)</f>
        <v>44662.91067</v>
      </c>
      <c r="D1159" s="13">
        <f t="shared" si="1"/>
        <v>11</v>
      </c>
      <c r="E1159" s="13">
        <f t="shared" si="2"/>
        <v>21</v>
      </c>
    </row>
    <row r="1160">
      <c r="A1160" s="4" t="s">
        <v>1339</v>
      </c>
      <c r="B1160" s="4" t="s">
        <v>1088</v>
      </c>
      <c r="C1160" s="12">
        <f>IFERROR(__xludf.DUMMYFUNCTION("""COMPUTED_VALUE"""),44662.90891203703)</f>
        <v>44662.90891</v>
      </c>
      <c r="D1160" s="13">
        <f t="shared" si="1"/>
        <v>11</v>
      </c>
      <c r="E1160" s="13">
        <f t="shared" si="2"/>
        <v>21</v>
      </c>
    </row>
    <row r="1161">
      <c r="A1161" s="4" t="s">
        <v>1340</v>
      </c>
      <c r="B1161" s="16"/>
      <c r="C1161" s="12">
        <f>IFERROR(__xludf.DUMMYFUNCTION("""COMPUTED_VALUE"""),44662.90887731481)</f>
        <v>44662.90888</v>
      </c>
      <c r="D1161" s="13">
        <f t="shared" si="1"/>
        <v>11</v>
      </c>
      <c r="E1161" s="13">
        <f t="shared" si="2"/>
        <v>21</v>
      </c>
    </row>
    <row r="1162">
      <c r="A1162" s="4" t="s">
        <v>1341</v>
      </c>
      <c r="B1162" s="4" t="s">
        <v>1269</v>
      </c>
      <c r="C1162" s="12">
        <f>IFERROR(__xludf.DUMMYFUNCTION("""COMPUTED_VALUE"""),44662.908379629625)</f>
        <v>44662.90838</v>
      </c>
      <c r="D1162" s="13">
        <f t="shared" si="1"/>
        <v>11</v>
      </c>
      <c r="E1162" s="13">
        <f t="shared" si="2"/>
        <v>21</v>
      </c>
    </row>
    <row r="1163">
      <c r="A1163" s="4" t="s">
        <v>1342</v>
      </c>
      <c r="B1163" s="4" t="s">
        <v>1269</v>
      </c>
      <c r="C1163" s="12">
        <f>IFERROR(__xludf.DUMMYFUNCTION("""COMPUTED_VALUE"""),44662.90831018518)</f>
        <v>44662.90831</v>
      </c>
      <c r="D1163" s="13">
        <f t="shared" si="1"/>
        <v>11</v>
      </c>
      <c r="E1163" s="13">
        <f t="shared" si="2"/>
        <v>21</v>
      </c>
    </row>
    <row r="1164">
      <c r="A1164" s="4" t="s">
        <v>1343</v>
      </c>
      <c r="B1164" s="16"/>
      <c r="C1164" s="12">
        <f>IFERROR(__xludf.DUMMYFUNCTION("""COMPUTED_VALUE"""),44662.90826388889)</f>
        <v>44662.90826</v>
      </c>
      <c r="D1164" s="13">
        <f t="shared" si="1"/>
        <v>11</v>
      </c>
      <c r="E1164" s="13">
        <f t="shared" si="2"/>
        <v>21</v>
      </c>
    </row>
    <row r="1165">
      <c r="A1165" s="4" t="s">
        <v>1344</v>
      </c>
      <c r="B1165" s="16"/>
      <c r="C1165" s="12">
        <f>IFERROR(__xludf.DUMMYFUNCTION("""COMPUTED_VALUE"""),44662.90825231481)</f>
        <v>44662.90825</v>
      </c>
      <c r="D1165" s="13">
        <f t="shared" si="1"/>
        <v>11</v>
      </c>
      <c r="E1165" s="13">
        <f t="shared" si="2"/>
        <v>21</v>
      </c>
    </row>
    <row r="1166">
      <c r="A1166" s="4" t="s">
        <v>1345</v>
      </c>
      <c r="B1166" s="16"/>
      <c r="C1166" s="12">
        <f>IFERROR(__xludf.DUMMYFUNCTION("""COMPUTED_VALUE"""),44662.90824074074)</f>
        <v>44662.90824</v>
      </c>
      <c r="D1166" s="13">
        <f t="shared" si="1"/>
        <v>11</v>
      </c>
      <c r="E1166" s="13">
        <f t="shared" si="2"/>
        <v>21</v>
      </c>
    </row>
    <row r="1167">
      <c r="A1167" s="4" t="s">
        <v>1346</v>
      </c>
      <c r="B1167" s="16"/>
      <c r="C1167" s="12">
        <f>IFERROR(__xludf.DUMMYFUNCTION("""COMPUTED_VALUE"""),44662.90820601852)</f>
        <v>44662.90821</v>
      </c>
      <c r="D1167" s="13">
        <f t="shared" si="1"/>
        <v>11</v>
      </c>
      <c r="E1167" s="13">
        <f t="shared" si="2"/>
        <v>21</v>
      </c>
    </row>
    <row r="1168">
      <c r="A1168" s="4" t="s">
        <v>1347</v>
      </c>
      <c r="B1168" s="16"/>
      <c r="C1168" s="12">
        <f>IFERROR(__xludf.DUMMYFUNCTION("""COMPUTED_VALUE"""),44662.908067129625)</f>
        <v>44662.90807</v>
      </c>
      <c r="D1168" s="13">
        <f t="shared" si="1"/>
        <v>11</v>
      </c>
      <c r="E1168" s="13">
        <f t="shared" si="2"/>
        <v>21</v>
      </c>
    </row>
    <row r="1169">
      <c r="A1169" s="4" t="s">
        <v>1348</v>
      </c>
      <c r="B1169" s="4" t="s">
        <v>1088</v>
      </c>
      <c r="C1169" s="12">
        <f>IFERROR(__xludf.DUMMYFUNCTION("""COMPUTED_VALUE"""),44662.9080324074)</f>
        <v>44662.90803</v>
      </c>
      <c r="D1169" s="13">
        <f t="shared" si="1"/>
        <v>11</v>
      </c>
      <c r="E1169" s="13">
        <f t="shared" si="2"/>
        <v>21</v>
      </c>
    </row>
    <row r="1170">
      <c r="A1170" s="4" t="s">
        <v>1349</v>
      </c>
      <c r="B1170" s="16"/>
      <c r="C1170" s="12">
        <f>IFERROR(__xludf.DUMMYFUNCTION("""COMPUTED_VALUE"""),44662.90798611111)</f>
        <v>44662.90799</v>
      </c>
      <c r="D1170" s="13">
        <f t="shared" si="1"/>
        <v>11</v>
      </c>
      <c r="E1170" s="13">
        <f t="shared" si="2"/>
        <v>21</v>
      </c>
    </row>
    <row r="1171">
      <c r="A1171" s="4" t="s">
        <v>1350</v>
      </c>
      <c r="B1171" s="4" t="s">
        <v>1086</v>
      </c>
      <c r="C1171" s="12">
        <f>IFERROR(__xludf.DUMMYFUNCTION("""COMPUTED_VALUE"""),44662.907754629625)</f>
        <v>44662.90775</v>
      </c>
      <c r="D1171" s="13">
        <f t="shared" si="1"/>
        <v>11</v>
      </c>
      <c r="E1171" s="13">
        <f t="shared" si="2"/>
        <v>21</v>
      </c>
    </row>
    <row r="1172">
      <c r="A1172" s="4" t="s">
        <v>1351</v>
      </c>
      <c r="B1172" s="4" t="s">
        <v>1086</v>
      </c>
      <c r="C1172" s="12">
        <f>IFERROR(__xludf.DUMMYFUNCTION("""COMPUTED_VALUE"""),44662.90773148148)</f>
        <v>44662.90773</v>
      </c>
      <c r="D1172" s="13">
        <f t="shared" si="1"/>
        <v>11</v>
      </c>
      <c r="E1172" s="13">
        <f t="shared" si="2"/>
        <v>21</v>
      </c>
    </row>
    <row r="1173">
      <c r="A1173" s="4" t="s">
        <v>1352</v>
      </c>
      <c r="B1173" s="16"/>
      <c r="C1173" s="12">
        <f>IFERROR(__xludf.DUMMYFUNCTION("""COMPUTED_VALUE"""),44662.907685185186)</f>
        <v>44662.90769</v>
      </c>
      <c r="D1173" s="13">
        <f t="shared" si="1"/>
        <v>11</v>
      </c>
      <c r="E1173" s="13">
        <f t="shared" si="2"/>
        <v>21</v>
      </c>
    </row>
    <row r="1174">
      <c r="A1174" s="4" t="s">
        <v>1353</v>
      </c>
      <c r="B1174" s="4" t="s">
        <v>1354</v>
      </c>
      <c r="C1174" s="12">
        <f>IFERROR(__xludf.DUMMYFUNCTION("""COMPUTED_VALUE"""),44662.90734953703)</f>
        <v>44662.90735</v>
      </c>
      <c r="D1174" s="13">
        <f t="shared" si="1"/>
        <v>11</v>
      </c>
      <c r="E1174" s="13">
        <f t="shared" si="2"/>
        <v>21</v>
      </c>
    </row>
    <row r="1175">
      <c r="A1175" s="4" t="s">
        <v>1355</v>
      </c>
      <c r="B1175" s="4" t="s">
        <v>897</v>
      </c>
      <c r="C1175" s="12">
        <f>IFERROR(__xludf.DUMMYFUNCTION("""COMPUTED_VALUE"""),44662.90611111111)</f>
        <v>44662.90611</v>
      </c>
      <c r="D1175" s="13">
        <f t="shared" si="1"/>
        <v>11</v>
      </c>
      <c r="E1175" s="13">
        <f t="shared" si="2"/>
        <v>21</v>
      </c>
    </row>
    <row r="1176">
      <c r="A1176" s="4" t="s">
        <v>1356</v>
      </c>
      <c r="B1176" s="16"/>
      <c r="C1176" s="12">
        <f>IFERROR(__xludf.DUMMYFUNCTION("""COMPUTED_VALUE"""),44662.90600694444)</f>
        <v>44662.90601</v>
      </c>
      <c r="D1176" s="13">
        <f t="shared" si="1"/>
        <v>11</v>
      </c>
      <c r="E1176" s="13">
        <f t="shared" si="2"/>
        <v>21</v>
      </c>
    </row>
    <row r="1177">
      <c r="A1177" s="4" t="s">
        <v>1357</v>
      </c>
      <c r="B1177" s="4" t="s">
        <v>1358</v>
      </c>
      <c r="C1177" s="12">
        <f>IFERROR(__xludf.DUMMYFUNCTION("""COMPUTED_VALUE"""),44662.90598379629)</f>
        <v>44662.90598</v>
      </c>
      <c r="D1177" s="13">
        <f t="shared" si="1"/>
        <v>11</v>
      </c>
      <c r="E1177" s="13">
        <f t="shared" si="2"/>
        <v>21</v>
      </c>
    </row>
    <row r="1178">
      <c r="A1178" s="4" t="s">
        <v>1359</v>
      </c>
      <c r="B1178" s="16"/>
      <c r="C1178" s="12">
        <f>IFERROR(__xludf.DUMMYFUNCTION("""COMPUTED_VALUE"""),44662.905590277776)</f>
        <v>44662.90559</v>
      </c>
      <c r="D1178" s="13">
        <f t="shared" si="1"/>
        <v>11</v>
      </c>
      <c r="E1178" s="13">
        <f t="shared" si="2"/>
        <v>21</v>
      </c>
    </row>
    <row r="1179">
      <c r="A1179" s="4" t="s">
        <v>1360</v>
      </c>
      <c r="B1179" s="16"/>
      <c r="C1179" s="12">
        <f>IFERROR(__xludf.DUMMYFUNCTION("""COMPUTED_VALUE"""),44662.90550925925)</f>
        <v>44662.90551</v>
      </c>
      <c r="D1179" s="13">
        <f t="shared" si="1"/>
        <v>11</v>
      </c>
      <c r="E1179" s="13">
        <f t="shared" si="2"/>
        <v>21</v>
      </c>
    </row>
    <row r="1180">
      <c r="A1180" s="4" t="s">
        <v>1361</v>
      </c>
      <c r="B1180" s="4" t="s">
        <v>1030</v>
      </c>
      <c r="C1180" s="12">
        <f>IFERROR(__xludf.DUMMYFUNCTION("""COMPUTED_VALUE"""),44662.90510416666)</f>
        <v>44662.9051</v>
      </c>
      <c r="D1180" s="13">
        <f t="shared" si="1"/>
        <v>11</v>
      </c>
      <c r="E1180" s="13">
        <f t="shared" si="2"/>
        <v>21</v>
      </c>
    </row>
    <row r="1181">
      <c r="A1181" s="4" t="s">
        <v>1362</v>
      </c>
      <c r="B1181" s="4" t="s">
        <v>1030</v>
      </c>
      <c r="C1181" s="12">
        <f>IFERROR(__xludf.DUMMYFUNCTION("""COMPUTED_VALUE"""),44662.905081018514)</f>
        <v>44662.90508</v>
      </c>
      <c r="D1181" s="13">
        <f t="shared" si="1"/>
        <v>11</v>
      </c>
      <c r="E1181" s="13">
        <f t="shared" si="2"/>
        <v>21</v>
      </c>
    </row>
    <row r="1182">
      <c r="A1182" s="4" t="s">
        <v>1363</v>
      </c>
      <c r="B1182" s="4" t="s">
        <v>1030</v>
      </c>
      <c r="C1182" s="12">
        <f>IFERROR(__xludf.DUMMYFUNCTION("""COMPUTED_VALUE"""),44662.905069444445)</f>
        <v>44662.90507</v>
      </c>
      <c r="D1182" s="13">
        <f t="shared" si="1"/>
        <v>11</v>
      </c>
      <c r="E1182" s="13">
        <f t="shared" si="2"/>
        <v>21</v>
      </c>
    </row>
    <row r="1183">
      <c r="A1183" s="4" t="s">
        <v>1364</v>
      </c>
      <c r="B1183" s="4" t="s">
        <v>1030</v>
      </c>
      <c r="C1183" s="12">
        <f>IFERROR(__xludf.DUMMYFUNCTION("""COMPUTED_VALUE"""),44662.90501157407)</f>
        <v>44662.90501</v>
      </c>
      <c r="D1183" s="13">
        <f t="shared" si="1"/>
        <v>11</v>
      </c>
      <c r="E1183" s="13">
        <f t="shared" si="2"/>
        <v>21</v>
      </c>
    </row>
    <row r="1184">
      <c r="A1184" s="4" t="s">
        <v>1365</v>
      </c>
      <c r="B1184" s="16"/>
      <c r="C1184" s="12">
        <f>IFERROR(__xludf.DUMMYFUNCTION("""COMPUTED_VALUE"""),44662.90380787037)</f>
        <v>44662.90381</v>
      </c>
      <c r="D1184" s="13">
        <f t="shared" si="1"/>
        <v>11</v>
      </c>
      <c r="E1184" s="13">
        <f t="shared" si="2"/>
        <v>21</v>
      </c>
    </row>
    <row r="1185">
      <c r="A1185" s="4" t="s">
        <v>1366</v>
      </c>
      <c r="B1185" s="16"/>
      <c r="C1185" s="12">
        <f>IFERROR(__xludf.DUMMYFUNCTION("""COMPUTED_VALUE"""),44662.903657407405)</f>
        <v>44662.90366</v>
      </c>
      <c r="D1185" s="13">
        <f t="shared" si="1"/>
        <v>11</v>
      </c>
      <c r="E1185" s="13">
        <f t="shared" si="2"/>
        <v>21</v>
      </c>
    </row>
    <row r="1186">
      <c r="A1186" s="4" t="s">
        <v>1367</v>
      </c>
      <c r="B1186" s="16"/>
      <c r="C1186" s="12">
        <f>IFERROR(__xludf.DUMMYFUNCTION("""COMPUTED_VALUE"""),44662.9028587963)</f>
        <v>44662.90286</v>
      </c>
      <c r="D1186" s="13">
        <f t="shared" si="1"/>
        <v>11</v>
      </c>
      <c r="E1186" s="13">
        <f t="shared" si="2"/>
        <v>21</v>
      </c>
    </row>
    <row r="1187">
      <c r="A1187" s="4" t="s">
        <v>1368</v>
      </c>
      <c r="B1187" s="16"/>
      <c r="C1187" s="12">
        <f>IFERROR(__xludf.DUMMYFUNCTION("""COMPUTED_VALUE"""),44662.9025)</f>
        <v>44662.9025</v>
      </c>
      <c r="D1187" s="13">
        <f t="shared" si="1"/>
        <v>11</v>
      </c>
      <c r="E1187" s="13">
        <f t="shared" si="2"/>
        <v>21</v>
      </c>
    </row>
    <row r="1188">
      <c r="A1188" s="4" t="s">
        <v>1369</v>
      </c>
      <c r="B1188" s="16"/>
      <c r="C1188" s="12">
        <f>IFERROR(__xludf.DUMMYFUNCTION("""COMPUTED_VALUE"""),44662.90244212963)</f>
        <v>44662.90244</v>
      </c>
      <c r="D1188" s="13">
        <f t="shared" si="1"/>
        <v>11</v>
      </c>
      <c r="E1188" s="13">
        <f t="shared" si="2"/>
        <v>21</v>
      </c>
    </row>
    <row r="1189">
      <c r="A1189" s="4" t="s">
        <v>1370</v>
      </c>
      <c r="B1189" s="16"/>
      <c r="C1189" s="12">
        <f>IFERROR(__xludf.DUMMYFUNCTION("""COMPUTED_VALUE"""),44662.90238425926)</f>
        <v>44662.90238</v>
      </c>
      <c r="D1189" s="13">
        <f t="shared" si="1"/>
        <v>11</v>
      </c>
      <c r="E1189" s="13">
        <f t="shared" si="2"/>
        <v>21</v>
      </c>
    </row>
    <row r="1190">
      <c r="A1190" s="4" t="s">
        <v>1371</v>
      </c>
      <c r="B1190" s="4" t="s">
        <v>897</v>
      </c>
      <c r="C1190" s="12">
        <f>IFERROR(__xludf.DUMMYFUNCTION("""COMPUTED_VALUE"""),44662.90221064814)</f>
        <v>44662.90221</v>
      </c>
      <c r="D1190" s="13">
        <f t="shared" si="1"/>
        <v>11</v>
      </c>
      <c r="E1190" s="13">
        <f t="shared" si="2"/>
        <v>21</v>
      </c>
    </row>
    <row r="1191">
      <c r="A1191" s="4" t="s">
        <v>1372</v>
      </c>
      <c r="B1191" s="4" t="s">
        <v>897</v>
      </c>
      <c r="C1191" s="12">
        <f>IFERROR(__xludf.DUMMYFUNCTION("""COMPUTED_VALUE"""),44662.90219907407)</f>
        <v>44662.9022</v>
      </c>
      <c r="D1191" s="13">
        <f t="shared" si="1"/>
        <v>11</v>
      </c>
      <c r="E1191" s="13">
        <f t="shared" si="2"/>
        <v>21</v>
      </c>
    </row>
    <row r="1192">
      <c r="A1192" s="4" t="s">
        <v>1373</v>
      </c>
      <c r="B1192" s="4" t="s">
        <v>897</v>
      </c>
      <c r="C1192" s="12">
        <f>IFERROR(__xludf.DUMMYFUNCTION("""COMPUTED_VALUE"""),44662.90217592593)</f>
        <v>44662.90218</v>
      </c>
      <c r="D1192" s="13">
        <f t="shared" si="1"/>
        <v>11</v>
      </c>
      <c r="E1192" s="13">
        <f t="shared" si="2"/>
        <v>21</v>
      </c>
    </row>
    <row r="1193">
      <c r="A1193" s="4" t="s">
        <v>1374</v>
      </c>
      <c r="B1193" s="4" t="s">
        <v>897</v>
      </c>
      <c r="C1193" s="12">
        <f>IFERROR(__xludf.DUMMYFUNCTION("""COMPUTED_VALUE"""),44662.90216435185)</f>
        <v>44662.90216</v>
      </c>
      <c r="D1193" s="13">
        <f t="shared" si="1"/>
        <v>11</v>
      </c>
      <c r="E1193" s="13">
        <f t="shared" si="2"/>
        <v>21</v>
      </c>
    </row>
    <row r="1194">
      <c r="A1194" s="4" t="s">
        <v>1375</v>
      </c>
      <c r="B1194" s="4" t="s">
        <v>897</v>
      </c>
      <c r="C1194" s="12">
        <f>IFERROR(__xludf.DUMMYFUNCTION("""COMPUTED_VALUE"""),44662.902141203704)</f>
        <v>44662.90214</v>
      </c>
      <c r="D1194" s="13">
        <f t="shared" si="1"/>
        <v>11</v>
      </c>
      <c r="E1194" s="13">
        <f t="shared" si="2"/>
        <v>21</v>
      </c>
    </row>
    <row r="1195">
      <c r="A1195" s="4" t="s">
        <v>1376</v>
      </c>
      <c r="B1195" s="4" t="s">
        <v>897</v>
      </c>
      <c r="C1195" s="12">
        <f>IFERROR(__xludf.DUMMYFUNCTION("""COMPUTED_VALUE"""),44662.90212962963)</f>
        <v>44662.90213</v>
      </c>
      <c r="D1195" s="13">
        <f t="shared" si="1"/>
        <v>11</v>
      </c>
      <c r="E1195" s="13">
        <f t="shared" si="2"/>
        <v>21</v>
      </c>
    </row>
    <row r="1196">
      <c r="A1196" s="4" t="s">
        <v>1377</v>
      </c>
      <c r="B1196" s="16"/>
      <c r="C1196" s="12">
        <f>IFERROR(__xludf.DUMMYFUNCTION("""COMPUTED_VALUE"""),44662.902094907404)</f>
        <v>44662.90209</v>
      </c>
      <c r="D1196" s="13">
        <f t="shared" si="1"/>
        <v>11</v>
      </c>
      <c r="E1196" s="13">
        <f t="shared" si="2"/>
        <v>21</v>
      </c>
    </row>
    <row r="1197">
      <c r="A1197" s="4" t="s">
        <v>1378</v>
      </c>
      <c r="B1197" s="16"/>
      <c r="C1197" s="12">
        <f>IFERROR(__xludf.DUMMYFUNCTION("""COMPUTED_VALUE"""),44662.90202546296)</f>
        <v>44662.90203</v>
      </c>
      <c r="D1197" s="13">
        <f t="shared" si="1"/>
        <v>11</v>
      </c>
      <c r="E1197" s="13">
        <f t="shared" si="2"/>
        <v>21</v>
      </c>
    </row>
    <row r="1198">
      <c r="A1198" s="4" t="s">
        <v>1379</v>
      </c>
      <c r="B1198" s="4" t="s">
        <v>897</v>
      </c>
      <c r="C1198" s="12">
        <f>IFERROR(__xludf.DUMMYFUNCTION("""COMPUTED_VALUE"""),44662.90201388889)</f>
        <v>44662.90201</v>
      </c>
      <c r="D1198" s="13">
        <f t="shared" si="1"/>
        <v>11</v>
      </c>
      <c r="E1198" s="13">
        <f t="shared" si="2"/>
        <v>21</v>
      </c>
    </row>
    <row r="1199">
      <c r="A1199" s="4" t="s">
        <v>1380</v>
      </c>
      <c r="B1199" s="4" t="s">
        <v>897</v>
      </c>
      <c r="C1199" s="12">
        <f>IFERROR(__xludf.DUMMYFUNCTION("""COMPUTED_VALUE"""),44662.90199074074)</f>
        <v>44662.90199</v>
      </c>
      <c r="D1199" s="13">
        <f t="shared" si="1"/>
        <v>11</v>
      </c>
      <c r="E1199" s="13">
        <f t="shared" si="2"/>
        <v>21</v>
      </c>
    </row>
    <row r="1200">
      <c r="A1200" s="4" t="s">
        <v>1381</v>
      </c>
      <c r="B1200" s="4" t="s">
        <v>897</v>
      </c>
      <c r="C1200" s="12">
        <f>IFERROR(__xludf.DUMMYFUNCTION("""COMPUTED_VALUE"""),44662.901932870365)</f>
        <v>44662.90193</v>
      </c>
      <c r="D1200" s="13">
        <f t="shared" si="1"/>
        <v>11</v>
      </c>
      <c r="E1200" s="13">
        <f t="shared" si="2"/>
        <v>21</v>
      </c>
    </row>
    <row r="1201">
      <c r="A1201" s="4" t="s">
        <v>1382</v>
      </c>
      <c r="B1201" s="16"/>
      <c r="C1201" s="12">
        <f>IFERROR(__xludf.DUMMYFUNCTION("""COMPUTED_VALUE"""),44662.90189814814)</f>
        <v>44662.9019</v>
      </c>
      <c r="D1201" s="13">
        <f t="shared" si="1"/>
        <v>11</v>
      </c>
      <c r="E1201" s="13">
        <f t="shared" si="2"/>
        <v>21</v>
      </c>
    </row>
    <row r="1202">
      <c r="A1202" s="4" t="s">
        <v>1383</v>
      </c>
      <c r="B1202" s="4" t="s">
        <v>897</v>
      </c>
      <c r="C1202" s="12">
        <f>IFERROR(__xludf.DUMMYFUNCTION("""COMPUTED_VALUE"""),44662.90170138889)</f>
        <v>44662.9017</v>
      </c>
      <c r="D1202" s="13">
        <f t="shared" si="1"/>
        <v>11</v>
      </c>
      <c r="E1202" s="13">
        <f t="shared" si="2"/>
        <v>21</v>
      </c>
    </row>
    <row r="1203">
      <c r="A1203" s="4" t="s">
        <v>1384</v>
      </c>
      <c r="B1203" s="4" t="s">
        <v>1385</v>
      </c>
      <c r="C1203" s="12">
        <f>IFERROR(__xludf.DUMMYFUNCTION("""COMPUTED_VALUE"""),44662.901238425926)</f>
        <v>44662.90124</v>
      </c>
      <c r="D1203" s="13">
        <f t="shared" si="1"/>
        <v>11</v>
      </c>
      <c r="E1203" s="13">
        <f t="shared" si="2"/>
        <v>21</v>
      </c>
    </row>
    <row r="1204">
      <c r="A1204" s="4" t="s">
        <v>1386</v>
      </c>
      <c r="B1204" s="4" t="s">
        <v>897</v>
      </c>
      <c r="C1204" s="12">
        <f>IFERROR(__xludf.DUMMYFUNCTION("""COMPUTED_VALUE"""),44662.90103009259)</f>
        <v>44662.90103</v>
      </c>
      <c r="D1204" s="13">
        <f t="shared" si="1"/>
        <v>11</v>
      </c>
      <c r="E1204" s="13">
        <f t="shared" si="2"/>
        <v>21</v>
      </c>
    </row>
    <row r="1205">
      <c r="A1205" s="4" t="s">
        <v>1387</v>
      </c>
      <c r="B1205" s="4" t="s">
        <v>897</v>
      </c>
      <c r="C1205" s="12">
        <f>IFERROR(__xludf.DUMMYFUNCTION("""COMPUTED_VALUE"""),44662.90100694444)</f>
        <v>44662.90101</v>
      </c>
      <c r="D1205" s="13">
        <f t="shared" si="1"/>
        <v>11</v>
      </c>
      <c r="E1205" s="13">
        <f t="shared" si="2"/>
        <v>21</v>
      </c>
    </row>
    <row r="1206">
      <c r="A1206" s="4" t="s">
        <v>1387</v>
      </c>
      <c r="B1206" s="4" t="s">
        <v>1388</v>
      </c>
      <c r="C1206" s="12">
        <f>IFERROR(__xludf.DUMMYFUNCTION("""COMPUTED_VALUE"""),44662.90100694444)</f>
        <v>44662.90101</v>
      </c>
      <c r="D1206" s="13">
        <f t="shared" si="1"/>
        <v>11</v>
      </c>
      <c r="E1206" s="13">
        <f t="shared" si="2"/>
        <v>21</v>
      </c>
    </row>
    <row r="1207">
      <c r="A1207" s="4" t="s">
        <v>1389</v>
      </c>
      <c r="B1207" s="4" t="s">
        <v>897</v>
      </c>
      <c r="C1207" s="12">
        <f>IFERROR(__xludf.DUMMYFUNCTION("""COMPUTED_VALUE"""),44662.900995370364)</f>
        <v>44662.901</v>
      </c>
      <c r="D1207" s="13">
        <f t="shared" si="1"/>
        <v>11</v>
      </c>
      <c r="E1207" s="13">
        <f t="shared" si="2"/>
        <v>21</v>
      </c>
    </row>
    <row r="1208">
      <c r="A1208" s="4" t="s">
        <v>1390</v>
      </c>
      <c r="B1208" s="4" t="s">
        <v>897</v>
      </c>
      <c r="C1208" s="12">
        <f>IFERROR(__xludf.DUMMYFUNCTION("""COMPUTED_VALUE"""),44662.90097222222)</f>
        <v>44662.90097</v>
      </c>
      <c r="D1208" s="13">
        <f t="shared" si="1"/>
        <v>11</v>
      </c>
      <c r="E1208" s="13">
        <f t="shared" si="2"/>
        <v>21</v>
      </c>
    </row>
    <row r="1209">
      <c r="A1209" s="4" t="s">
        <v>1391</v>
      </c>
      <c r="B1209" s="4" t="s">
        <v>897</v>
      </c>
      <c r="C1209" s="12">
        <f>IFERROR(__xludf.DUMMYFUNCTION("""COMPUTED_VALUE"""),44662.90094907407)</f>
        <v>44662.90095</v>
      </c>
      <c r="D1209" s="13">
        <f t="shared" si="1"/>
        <v>11</v>
      </c>
      <c r="E1209" s="13">
        <f t="shared" si="2"/>
        <v>21</v>
      </c>
    </row>
    <row r="1210">
      <c r="A1210" s="4" t="s">
        <v>1392</v>
      </c>
      <c r="B1210" s="4" t="s">
        <v>897</v>
      </c>
      <c r="C1210" s="12">
        <f>IFERROR(__xludf.DUMMYFUNCTION("""COMPUTED_VALUE"""),44662.900937499995)</f>
        <v>44662.90094</v>
      </c>
      <c r="D1210" s="13">
        <f t="shared" si="1"/>
        <v>11</v>
      </c>
      <c r="E1210" s="13">
        <f t="shared" si="2"/>
        <v>21</v>
      </c>
    </row>
    <row r="1211">
      <c r="A1211" s="4" t="s">
        <v>1393</v>
      </c>
      <c r="B1211" s="4" t="s">
        <v>897</v>
      </c>
      <c r="C1211" s="12">
        <f>IFERROR(__xludf.DUMMYFUNCTION("""COMPUTED_VALUE"""),44662.90091435185)</f>
        <v>44662.90091</v>
      </c>
      <c r="D1211" s="13">
        <f t="shared" si="1"/>
        <v>11</v>
      </c>
      <c r="E1211" s="13">
        <f t="shared" si="2"/>
        <v>21</v>
      </c>
    </row>
    <row r="1212">
      <c r="A1212" s="4" t="s">
        <v>1394</v>
      </c>
      <c r="B1212" s="4" t="s">
        <v>897</v>
      </c>
      <c r="C1212" s="12">
        <f>IFERROR(__xludf.DUMMYFUNCTION("""COMPUTED_VALUE"""),44662.90081018518)</f>
        <v>44662.90081</v>
      </c>
      <c r="D1212" s="13">
        <f t="shared" si="1"/>
        <v>11</v>
      </c>
      <c r="E1212" s="13">
        <f t="shared" si="2"/>
        <v>21</v>
      </c>
    </row>
    <row r="1213">
      <c r="A1213" s="4" t="s">
        <v>1395</v>
      </c>
      <c r="B1213" s="4" t="s">
        <v>897</v>
      </c>
      <c r="C1213" s="12">
        <f>IFERROR(__xludf.DUMMYFUNCTION("""COMPUTED_VALUE"""),44662.900729166664)</f>
        <v>44662.90073</v>
      </c>
      <c r="D1213" s="13">
        <f t="shared" si="1"/>
        <v>11</v>
      </c>
      <c r="E1213" s="13">
        <f t="shared" si="2"/>
        <v>21</v>
      </c>
    </row>
    <row r="1214">
      <c r="A1214" s="4" t="s">
        <v>1396</v>
      </c>
      <c r="B1214" s="4" t="s">
        <v>1397</v>
      </c>
      <c r="C1214" s="12">
        <f>IFERROR(__xludf.DUMMYFUNCTION("""COMPUTED_VALUE"""),44662.89954861111)</f>
        <v>44662.89955</v>
      </c>
      <c r="D1214" s="13">
        <f t="shared" si="1"/>
        <v>11</v>
      </c>
      <c r="E1214" s="13">
        <f t="shared" si="2"/>
        <v>21</v>
      </c>
    </row>
    <row r="1215">
      <c r="A1215" s="4" t="s">
        <v>1398</v>
      </c>
      <c r="B1215" s="4" t="s">
        <v>1397</v>
      </c>
      <c r="C1215" s="12">
        <f>IFERROR(__xludf.DUMMYFUNCTION("""COMPUTED_VALUE"""),44662.89952546296)</f>
        <v>44662.89953</v>
      </c>
      <c r="D1215" s="13">
        <f t="shared" si="1"/>
        <v>11</v>
      </c>
      <c r="E1215" s="13">
        <f t="shared" si="2"/>
        <v>21</v>
      </c>
    </row>
    <row r="1216">
      <c r="A1216" s="4" t="s">
        <v>1399</v>
      </c>
      <c r="B1216" s="4" t="s">
        <v>1397</v>
      </c>
      <c r="C1216" s="12">
        <f>IFERROR(__xludf.DUMMYFUNCTION("""COMPUTED_VALUE"""),44662.89950231481)</f>
        <v>44662.8995</v>
      </c>
      <c r="D1216" s="13">
        <f t="shared" si="1"/>
        <v>11</v>
      </c>
      <c r="E1216" s="13">
        <f t="shared" si="2"/>
        <v>21</v>
      </c>
    </row>
    <row r="1217">
      <c r="A1217" s="4" t="s">
        <v>1400</v>
      </c>
      <c r="B1217" s="4" t="s">
        <v>1397</v>
      </c>
      <c r="C1217" s="12">
        <f>IFERROR(__xludf.DUMMYFUNCTION("""COMPUTED_VALUE"""),44662.89947916666)</f>
        <v>44662.89948</v>
      </c>
      <c r="D1217" s="13">
        <f t="shared" si="1"/>
        <v>11</v>
      </c>
      <c r="E1217" s="13">
        <f t="shared" si="2"/>
        <v>21</v>
      </c>
    </row>
    <row r="1218">
      <c r="A1218" s="4" t="s">
        <v>1401</v>
      </c>
      <c r="B1218" s="4" t="s">
        <v>1397</v>
      </c>
      <c r="C1218" s="12">
        <f>IFERROR(__xludf.DUMMYFUNCTION("""COMPUTED_VALUE"""),44662.89944444444)</f>
        <v>44662.89944</v>
      </c>
      <c r="D1218" s="13">
        <f t="shared" si="1"/>
        <v>11</v>
      </c>
      <c r="E1218" s="13">
        <f t="shared" si="2"/>
        <v>21</v>
      </c>
    </row>
    <row r="1219">
      <c r="A1219" s="4" t="s">
        <v>1402</v>
      </c>
      <c r="B1219" s="4" t="s">
        <v>1397</v>
      </c>
      <c r="C1219" s="12">
        <f>IFERROR(__xludf.DUMMYFUNCTION("""COMPUTED_VALUE"""),44662.89942129629)</f>
        <v>44662.89942</v>
      </c>
      <c r="D1219" s="13">
        <f t="shared" si="1"/>
        <v>11</v>
      </c>
      <c r="E1219" s="13">
        <f t="shared" si="2"/>
        <v>21</v>
      </c>
    </row>
    <row r="1220">
      <c r="A1220" s="4" t="s">
        <v>1403</v>
      </c>
      <c r="B1220" s="4" t="s">
        <v>1397</v>
      </c>
      <c r="C1220" s="12">
        <f>IFERROR(__xludf.DUMMYFUNCTION("""COMPUTED_VALUE"""),44662.89939814815)</f>
        <v>44662.8994</v>
      </c>
      <c r="D1220" s="13">
        <f t="shared" si="1"/>
        <v>11</v>
      </c>
      <c r="E1220" s="13">
        <f t="shared" si="2"/>
        <v>21</v>
      </c>
    </row>
    <row r="1221">
      <c r="A1221" s="4" t="s">
        <v>1404</v>
      </c>
      <c r="B1221" s="4" t="s">
        <v>1397</v>
      </c>
      <c r="C1221" s="12">
        <f>IFERROR(__xludf.DUMMYFUNCTION("""COMPUTED_VALUE"""),44662.899317129624)</f>
        <v>44662.89932</v>
      </c>
      <c r="D1221" s="13">
        <f t="shared" si="1"/>
        <v>11</v>
      </c>
      <c r="E1221" s="13">
        <f t="shared" si="2"/>
        <v>21</v>
      </c>
    </row>
    <row r="1222">
      <c r="A1222" s="4" t="s">
        <v>1405</v>
      </c>
      <c r="B1222" s="4" t="s">
        <v>1406</v>
      </c>
      <c r="C1222" s="12">
        <f>IFERROR(__xludf.DUMMYFUNCTION("""COMPUTED_VALUE"""),44662.89927083333)</f>
        <v>44662.89927</v>
      </c>
      <c r="D1222" s="13">
        <f t="shared" si="1"/>
        <v>11</v>
      </c>
      <c r="E1222" s="13">
        <f t="shared" si="2"/>
        <v>21</v>
      </c>
    </row>
    <row r="1223">
      <c r="A1223" s="4" t="s">
        <v>1407</v>
      </c>
      <c r="B1223" s="4" t="s">
        <v>1406</v>
      </c>
      <c r="C1223" s="12">
        <f>IFERROR(__xludf.DUMMYFUNCTION("""COMPUTED_VALUE"""),44662.899247685185)</f>
        <v>44662.89925</v>
      </c>
      <c r="D1223" s="13">
        <f t="shared" si="1"/>
        <v>11</v>
      </c>
      <c r="E1223" s="13">
        <f t="shared" si="2"/>
        <v>21</v>
      </c>
    </row>
    <row r="1224">
      <c r="A1224" s="4" t="s">
        <v>1407</v>
      </c>
      <c r="B1224" s="16"/>
      <c r="C1224" s="12">
        <f>IFERROR(__xludf.DUMMYFUNCTION("""COMPUTED_VALUE"""),44662.899247685185)</f>
        <v>44662.89925</v>
      </c>
      <c r="D1224" s="13">
        <f t="shared" si="1"/>
        <v>11</v>
      </c>
      <c r="E1224" s="13">
        <f t="shared" si="2"/>
        <v>21</v>
      </c>
    </row>
    <row r="1225">
      <c r="A1225" s="4" t="s">
        <v>1408</v>
      </c>
      <c r="B1225" s="4" t="s">
        <v>1406</v>
      </c>
      <c r="C1225" s="12">
        <f>IFERROR(__xludf.DUMMYFUNCTION("""COMPUTED_VALUE"""),44662.89922453703)</f>
        <v>44662.89922</v>
      </c>
      <c r="D1225" s="13">
        <f t="shared" si="1"/>
        <v>11</v>
      </c>
      <c r="E1225" s="13">
        <f t="shared" si="2"/>
        <v>21</v>
      </c>
    </row>
    <row r="1226">
      <c r="A1226" s="4" t="s">
        <v>1409</v>
      </c>
      <c r="B1226" s="16"/>
      <c r="C1226" s="12">
        <f>IFERROR(__xludf.DUMMYFUNCTION("""COMPUTED_VALUE"""),44662.89917824074)</f>
        <v>44662.89918</v>
      </c>
      <c r="D1226" s="13">
        <f t="shared" si="1"/>
        <v>11</v>
      </c>
      <c r="E1226" s="13">
        <f t="shared" si="2"/>
        <v>21</v>
      </c>
    </row>
    <row r="1227">
      <c r="A1227" s="4" t="s">
        <v>1410</v>
      </c>
      <c r="B1227" s="16"/>
      <c r="C1227" s="12">
        <f>IFERROR(__xludf.DUMMYFUNCTION("""COMPUTED_VALUE"""),44662.89916666666)</f>
        <v>44662.89917</v>
      </c>
      <c r="D1227" s="13">
        <f t="shared" si="1"/>
        <v>11</v>
      </c>
      <c r="E1227" s="13">
        <f t="shared" si="2"/>
        <v>21</v>
      </c>
    </row>
    <row r="1228">
      <c r="A1228" s="4" t="s">
        <v>1411</v>
      </c>
      <c r="B1228" s="16"/>
      <c r="C1228" s="12">
        <f>IFERROR(__xludf.DUMMYFUNCTION("""COMPUTED_VALUE"""),44662.89913194444)</f>
        <v>44662.89913</v>
      </c>
      <c r="D1228" s="13">
        <f t="shared" si="1"/>
        <v>11</v>
      </c>
      <c r="E1228" s="13">
        <f t="shared" si="2"/>
        <v>21</v>
      </c>
    </row>
    <row r="1229">
      <c r="A1229" s="4" t="s">
        <v>1412</v>
      </c>
      <c r="B1229" s="16"/>
      <c r="C1229" s="12">
        <f>IFERROR(__xludf.DUMMYFUNCTION("""COMPUTED_VALUE"""),44662.899050925924)</f>
        <v>44662.89905</v>
      </c>
      <c r="D1229" s="13">
        <f t="shared" si="1"/>
        <v>11</v>
      </c>
      <c r="E1229" s="13">
        <f t="shared" si="2"/>
        <v>21</v>
      </c>
    </row>
    <row r="1230">
      <c r="A1230" s="4" t="s">
        <v>1413</v>
      </c>
      <c r="B1230" s="4" t="s">
        <v>1071</v>
      </c>
      <c r="C1230" s="12">
        <f>IFERROR(__xludf.DUMMYFUNCTION("""COMPUTED_VALUE"""),44662.89892361111)</f>
        <v>44662.89892</v>
      </c>
      <c r="D1230" s="13">
        <f t="shared" si="1"/>
        <v>11</v>
      </c>
      <c r="E1230" s="13">
        <f t="shared" si="2"/>
        <v>21</v>
      </c>
    </row>
    <row r="1231">
      <c r="A1231" s="4" t="s">
        <v>1414</v>
      </c>
      <c r="B1231" s="4" t="s">
        <v>1071</v>
      </c>
      <c r="C1231" s="12">
        <f>IFERROR(__xludf.DUMMYFUNCTION("""COMPUTED_VALUE"""),44662.89891203703)</f>
        <v>44662.89891</v>
      </c>
      <c r="D1231" s="13">
        <f t="shared" si="1"/>
        <v>11</v>
      </c>
      <c r="E1231" s="13">
        <f t="shared" si="2"/>
        <v>21</v>
      </c>
    </row>
    <row r="1232">
      <c r="A1232" s="4" t="s">
        <v>1415</v>
      </c>
      <c r="B1232" s="4" t="s">
        <v>1071</v>
      </c>
      <c r="C1232" s="12">
        <f>IFERROR(__xludf.DUMMYFUNCTION("""COMPUTED_VALUE"""),44662.89890046296)</f>
        <v>44662.8989</v>
      </c>
      <c r="D1232" s="13">
        <f t="shared" si="1"/>
        <v>11</v>
      </c>
      <c r="E1232" s="13">
        <f t="shared" si="2"/>
        <v>21</v>
      </c>
    </row>
    <row r="1233">
      <c r="A1233" s="4" t="s">
        <v>1416</v>
      </c>
      <c r="B1233" s="4" t="s">
        <v>1071</v>
      </c>
      <c r="C1233" s="12">
        <f>IFERROR(__xludf.DUMMYFUNCTION("""COMPUTED_VALUE"""),44662.898877314816)</f>
        <v>44662.89888</v>
      </c>
      <c r="D1233" s="13">
        <f t="shared" si="1"/>
        <v>11</v>
      </c>
      <c r="E1233" s="13">
        <f t="shared" si="2"/>
        <v>21</v>
      </c>
    </row>
    <row r="1234">
      <c r="A1234" s="4" t="s">
        <v>1417</v>
      </c>
      <c r="B1234" s="4" t="s">
        <v>1071</v>
      </c>
      <c r="C1234" s="12">
        <f>IFERROR(__xludf.DUMMYFUNCTION("""COMPUTED_VALUE"""),44662.89886574074)</f>
        <v>44662.89887</v>
      </c>
      <c r="D1234" s="13">
        <f t="shared" si="1"/>
        <v>11</v>
      </c>
      <c r="E1234" s="13">
        <f t="shared" si="2"/>
        <v>21</v>
      </c>
    </row>
    <row r="1235">
      <c r="A1235" s="4" t="s">
        <v>1418</v>
      </c>
      <c r="B1235" s="4" t="s">
        <v>1071</v>
      </c>
      <c r="C1235" s="12">
        <f>IFERROR(__xludf.DUMMYFUNCTION("""COMPUTED_VALUE"""),44662.89885416666)</f>
        <v>44662.89885</v>
      </c>
      <c r="D1235" s="13">
        <f t="shared" si="1"/>
        <v>11</v>
      </c>
      <c r="E1235" s="13">
        <f t="shared" si="2"/>
        <v>21</v>
      </c>
    </row>
    <row r="1236">
      <c r="A1236" s="4" t="s">
        <v>1419</v>
      </c>
      <c r="B1236" s="4" t="s">
        <v>1071</v>
      </c>
      <c r="C1236" s="12">
        <f>IFERROR(__xludf.DUMMYFUNCTION("""COMPUTED_VALUE"""),44662.898831018516)</f>
        <v>44662.89883</v>
      </c>
      <c r="D1236" s="13">
        <f t="shared" si="1"/>
        <v>11</v>
      </c>
      <c r="E1236" s="13">
        <f t="shared" si="2"/>
        <v>21</v>
      </c>
    </row>
    <row r="1237">
      <c r="A1237" s="4" t="s">
        <v>1420</v>
      </c>
      <c r="B1237" s="4" t="s">
        <v>1071</v>
      </c>
      <c r="C1237" s="12">
        <f>IFERROR(__xludf.DUMMYFUNCTION("""COMPUTED_VALUE"""),44662.89881944444)</f>
        <v>44662.89882</v>
      </c>
      <c r="D1237" s="13">
        <f t="shared" si="1"/>
        <v>11</v>
      </c>
      <c r="E1237" s="13">
        <f t="shared" si="2"/>
        <v>21</v>
      </c>
    </row>
    <row r="1238">
      <c r="A1238" s="4" t="s">
        <v>1421</v>
      </c>
      <c r="B1238" s="4" t="s">
        <v>1071</v>
      </c>
      <c r="C1238" s="12">
        <f>IFERROR(__xludf.DUMMYFUNCTION("""COMPUTED_VALUE"""),44662.89880787037)</f>
        <v>44662.89881</v>
      </c>
      <c r="D1238" s="13">
        <f t="shared" si="1"/>
        <v>11</v>
      </c>
      <c r="E1238" s="13">
        <f t="shared" si="2"/>
        <v>21</v>
      </c>
    </row>
    <row r="1239">
      <c r="A1239" s="4" t="s">
        <v>1422</v>
      </c>
      <c r="B1239" s="4" t="s">
        <v>1071</v>
      </c>
      <c r="C1239" s="12">
        <f>IFERROR(__xludf.DUMMYFUNCTION("""COMPUTED_VALUE"""),44662.89878472222)</f>
        <v>44662.89878</v>
      </c>
      <c r="D1239" s="13">
        <f t="shared" si="1"/>
        <v>11</v>
      </c>
      <c r="E1239" s="13">
        <f t="shared" si="2"/>
        <v>21</v>
      </c>
    </row>
    <row r="1240">
      <c r="A1240" s="4" t="s">
        <v>1423</v>
      </c>
      <c r="B1240" s="4" t="s">
        <v>1071</v>
      </c>
      <c r="C1240" s="12">
        <f>IFERROR(__xludf.DUMMYFUNCTION("""COMPUTED_VALUE"""),44662.89877314815)</f>
        <v>44662.89877</v>
      </c>
      <c r="D1240" s="13">
        <f t="shared" si="1"/>
        <v>11</v>
      </c>
      <c r="E1240" s="13">
        <f t="shared" si="2"/>
        <v>21</v>
      </c>
    </row>
    <row r="1241">
      <c r="A1241" s="4" t="s">
        <v>1424</v>
      </c>
      <c r="B1241" s="16"/>
      <c r="C1241" s="12">
        <f>IFERROR(__xludf.DUMMYFUNCTION("""COMPUTED_VALUE"""),44662.89875)</f>
        <v>44662.89875</v>
      </c>
      <c r="D1241" s="13">
        <f t="shared" si="1"/>
        <v>11</v>
      </c>
      <c r="E1241" s="13">
        <f t="shared" si="2"/>
        <v>21</v>
      </c>
    </row>
    <row r="1242">
      <c r="A1242" s="4" t="s">
        <v>1425</v>
      </c>
      <c r="B1242" s="16"/>
      <c r="C1242" s="12">
        <f>IFERROR(__xludf.DUMMYFUNCTION("""COMPUTED_VALUE"""),44662.8987037037)</f>
        <v>44662.8987</v>
      </c>
      <c r="D1242" s="13">
        <f t="shared" si="1"/>
        <v>11</v>
      </c>
      <c r="E1242" s="13">
        <f t="shared" si="2"/>
        <v>21</v>
      </c>
    </row>
    <row r="1243">
      <c r="A1243" s="4" t="s">
        <v>1426</v>
      </c>
      <c r="B1243" s="16"/>
      <c r="C1243" s="12">
        <f>IFERROR(__xludf.DUMMYFUNCTION("""COMPUTED_VALUE"""),44662.898680555554)</f>
        <v>44662.89868</v>
      </c>
      <c r="D1243" s="13">
        <f t="shared" si="1"/>
        <v>11</v>
      </c>
      <c r="E1243" s="13">
        <f t="shared" si="2"/>
        <v>21</v>
      </c>
    </row>
    <row r="1244">
      <c r="A1244" s="4" t="s">
        <v>1427</v>
      </c>
      <c r="B1244" s="4" t="s">
        <v>1428</v>
      </c>
      <c r="C1244" s="12">
        <f>IFERROR(__xludf.DUMMYFUNCTION("""COMPUTED_VALUE"""),44662.89809027778)</f>
        <v>44662.89809</v>
      </c>
      <c r="D1244" s="13">
        <f t="shared" si="1"/>
        <v>11</v>
      </c>
      <c r="E1244" s="13">
        <f t="shared" si="2"/>
        <v>21</v>
      </c>
    </row>
    <row r="1245">
      <c r="A1245" s="4" t="s">
        <v>1429</v>
      </c>
      <c r="B1245" s="16"/>
      <c r="C1245" s="12">
        <f>IFERROR(__xludf.DUMMYFUNCTION("""COMPUTED_VALUE"""),44662.897685185184)</f>
        <v>44662.89769</v>
      </c>
      <c r="D1245" s="13">
        <f t="shared" si="1"/>
        <v>11</v>
      </c>
      <c r="E1245" s="13">
        <f t="shared" si="2"/>
        <v>21</v>
      </c>
    </row>
    <row r="1246">
      <c r="A1246" s="4" t="s">
        <v>1430</v>
      </c>
      <c r="B1246" s="16"/>
      <c r="C1246" s="12">
        <f>IFERROR(__xludf.DUMMYFUNCTION("""COMPUTED_VALUE"""),44662.89761574074)</f>
        <v>44662.89762</v>
      </c>
      <c r="D1246" s="13">
        <f t="shared" si="1"/>
        <v>11</v>
      </c>
      <c r="E1246" s="13">
        <f t="shared" si="2"/>
        <v>21</v>
      </c>
    </row>
    <row r="1247">
      <c r="A1247" s="4" t="s">
        <v>1431</v>
      </c>
      <c r="B1247" s="16"/>
      <c r="C1247" s="12">
        <f>IFERROR(__xludf.DUMMYFUNCTION("""COMPUTED_VALUE"""),44662.89719907407)</f>
        <v>44662.8972</v>
      </c>
      <c r="D1247" s="13">
        <f t="shared" si="1"/>
        <v>11</v>
      </c>
      <c r="E1247" s="13">
        <f t="shared" si="2"/>
        <v>21</v>
      </c>
    </row>
    <row r="1248">
      <c r="A1248" s="4" t="s">
        <v>1432</v>
      </c>
      <c r="B1248" s="4" t="s">
        <v>240</v>
      </c>
      <c r="C1248" s="12">
        <f>IFERROR(__xludf.DUMMYFUNCTION("""COMPUTED_VALUE"""),44662.89693287037)</f>
        <v>44662.89693</v>
      </c>
      <c r="D1248" s="13">
        <f t="shared" si="1"/>
        <v>11</v>
      </c>
      <c r="E1248" s="13">
        <f t="shared" si="2"/>
        <v>21</v>
      </c>
    </row>
    <row r="1249">
      <c r="A1249" s="4" t="s">
        <v>1433</v>
      </c>
      <c r="B1249" s="4" t="s">
        <v>240</v>
      </c>
      <c r="C1249" s="12">
        <f>IFERROR(__xludf.DUMMYFUNCTION("""COMPUTED_VALUE"""),44662.89690972222)</f>
        <v>44662.89691</v>
      </c>
      <c r="D1249" s="13">
        <f t="shared" si="1"/>
        <v>11</v>
      </c>
      <c r="E1249" s="13">
        <f t="shared" si="2"/>
        <v>21</v>
      </c>
    </row>
    <row r="1250">
      <c r="A1250" s="4" t="s">
        <v>1434</v>
      </c>
      <c r="B1250" s="4" t="s">
        <v>240</v>
      </c>
      <c r="C1250" s="12">
        <f>IFERROR(__xludf.DUMMYFUNCTION("""COMPUTED_VALUE"""),44662.896898148145)</f>
        <v>44662.8969</v>
      </c>
      <c r="D1250" s="13">
        <f t="shared" si="1"/>
        <v>11</v>
      </c>
      <c r="E1250" s="13">
        <f t="shared" si="2"/>
        <v>21</v>
      </c>
    </row>
    <row r="1251">
      <c r="A1251" s="4" t="s">
        <v>1434</v>
      </c>
      <c r="B1251" s="16"/>
      <c r="C1251" s="12">
        <f>IFERROR(__xludf.DUMMYFUNCTION("""COMPUTED_VALUE"""),44662.896898148145)</f>
        <v>44662.8969</v>
      </c>
      <c r="D1251" s="13">
        <f t="shared" si="1"/>
        <v>11</v>
      </c>
      <c r="E1251" s="13">
        <f t="shared" si="2"/>
        <v>21</v>
      </c>
    </row>
    <row r="1252">
      <c r="A1252" s="4" t="s">
        <v>1435</v>
      </c>
      <c r="B1252" s="4" t="s">
        <v>240</v>
      </c>
      <c r="C1252" s="12">
        <f>IFERROR(__xludf.DUMMYFUNCTION("""COMPUTED_VALUE"""),44662.896875)</f>
        <v>44662.89688</v>
      </c>
      <c r="D1252" s="13">
        <f t="shared" si="1"/>
        <v>11</v>
      </c>
      <c r="E1252" s="13">
        <f t="shared" si="2"/>
        <v>21</v>
      </c>
    </row>
    <row r="1253">
      <c r="A1253" s="4" t="s">
        <v>1436</v>
      </c>
      <c r="B1253" s="4" t="s">
        <v>240</v>
      </c>
      <c r="C1253" s="12">
        <f>IFERROR(__xludf.DUMMYFUNCTION("""COMPUTED_VALUE"""),44662.896840277775)</f>
        <v>44662.89684</v>
      </c>
      <c r="D1253" s="13">
        <f t="shared" si="1"/>
        <v>11</v>
      </c>
      <c r="E1253" s="13">
        <f t="shared" si="2"/>
        <v>21</v>
      </c>
    </row>
    <row r="1254">
      <c r="A1254" s="4" t="s">
        <v>1437</v>
      </c>
      <c r="B1254" s="16"/>
      <c r="C1254" s="12">
        <f>IFERROR(__xludf.DUMMYFUNCTION("""COMPUTED_VALUE"""),44662.89681712963)</f>
        <v>44662.89682</v>
      </c>
      <c r="D1254" s="13">
        <f t="shared" si="1"/>
        <v>11</v>
      </c>
      <c r="E1254" s="13">
        <f t="shared" si="2"/>
        <v>21</v>
      </c>
    </row>
    <row r="1255">
      <c r="A1255" s="4" t="s">
        <v>1438</v>
      </c>
      <c r="B1255" s="4" t="s">
        <v>1439</v>
      </c>
      <c r="C1255" s="12">
        <f>IFERROR(__xludf.DUMMYFUNCTION("""COMPUTED_VALUE"""),44662.89677083333)</f>
        <v>44662.89677</v>
      </c>
      <c r="D1255" s="13">
        <f t="shared" si="1"/>
        <v>11</v>
      </c>
      <c r="E1255" s="13">
        <f t="shared" si="2"/>
        <v>21</v>
      </c>
    </row>
    <row r="1256">
      <c r="A1256" s="4" t="s">
        <v>1440</v>
      </c>
      <c r="B1256" s="16"/>
      <c r="C1256" s="12">
        <f>IFERROR(__xludf.DUMMYFUNCTION("""COMPUTED_VALUE"""),44662.89623842592)</f>
        <v>44662.89624</v>
      </c>
      <c r="D1256" s="13">
        <f t="shared" si="1"/>
        <v>11</v>
      </c>
      <c r="E1256" s="13">
        <f t="shared" si="2"/>
        <v>21</v>
      </c>
    </row>
    <row r="1257">
      <c r="A1257" s="4" t="s">
        <v>1441</v>
      </c>
      <c r="B1257" s="4" t="s">
        <v>1442</v>
      </c>
      <c r="C1257" s="12">
        <f>IFERROR(__xludf.DUMMYFUNCTION("""COMPUTED_VALUE"""),44662.895949074074)</f>
        <v>44662.89595</v>
      </c>
      <c r="D1257" s="13">
        <f t="shared" si="1"/>
        <v>11</v>
      </c>
      <c r="E1257" s="13">
        <f t="shared" si="2"/>
        <v>21</v>
      </c>
    </row>
    <row r="1258">
      <c r="A1258" s="4" t="s">
        <v>1443</v>
      </c>
      <c r="B1258" s="16"/>
      <c r="C1258" s="12">
        <f>IFERROR(__xludf.DUMMYFUNCTION("""COMPUTED_VALUE"""),44662.89450231481)</f>
        <v>44662.8945</v>
      </c>
      <c r="D1258" s="13">
        <f t="shared" si="1"/>
        <v>11</v>
      </c>
      <c r="E1258" s="13">
        <f t="shared" si="2"/>
        <v>21</v>
      </c>
    </row>
    <row r="1259">
      <c r="A1259" s="4" t="s">
        <v>1444</v>
      </c>
      <c r="B1259" s="4" t="s">
        <v>1445</v>
      </c>
      <c r="C1259" s="12">
        <f>IFERROR(__xludf.DUMMYFUNCTION("""COMPUTED_VALUE"""),44662.89440972222)</f>
        <v>44662.89441</v>
      </c>
      <c r="D1259" s="13">
        <f t="shared" si="1"/>
        <v>11</v>
      </c>
      <c r="E1259" s="13">
        <f t="shared" si="2"/>
        <v>21</v>
      </c>
    </row>
    <row r="1260">
      <c r="A1260" s="4" t="s">
        <v>1446</v>
      </c>
      <c r="B1260" s="4" t="s">
        <v>1447</v>
      </c>
      <c r="C1260" s="12">
        <f>IFERROR(__xludf.DUMMYFUNCTION("""COMPUTED_VALUE"""),44662.893379629626)</f>
        <v>44662.89338</v>
      </c>
      <c r="D1260" s="13">
        <f t="shared" si="1"/>
        <v>11</v>
      </c>
      <c r="E1260" s="13">
        <f t="shared" si="2"/>
        <v>21</v>
      </c>
    </row>
    <row r="1261">
      <c r="A1261" s="4" t="s">
        <v>1448</v>
      </c>
      <c r="B1261" s="16"/>
      <c r="C1261" s="12">
        <f>IFERROR(__xludf.DUMMYFUNCTION("""COMPUTED_VALUE"""),44662.8933449074)</f>
        <v>44662.89334</v>
      </c>
      <c r="D1261" s="13">
        <f t="shared" si="1"/>
        <v>11</v>
      </c>
      <c r="E1261" s="13">
        <f t="shared" si="2"/>
        <v>21</v>
      </c>
    </row>
    <row r="1262">
      <c r="A1262" s="4" t="s">
        <v>1449</v>
      </c>
      <c r="B1262" s="4" t="s">
        <v>1450</v>
      </c>
      <c r="C1262" s="12">
        <f>IFERROR(__xludf.DUMMYFUNCTION("""COMPUTED_VALUE"""),44662.89256944444)</f>
        <v>44662.89257</v>
      </c>
      <c r="D1262" s="13">
        <f t="shared" si="1"/>
        <v>11</v>
      </c>
      <c r="E1262" s="13">
        <f t="shared" si="2"/>
        <v>21</v>
      </c>
    </row>
    <row r="1263">
      <c r="A1263" s="4" t="s">
        <v>1451</v>
      </c>
      <c r="B1263" s="4" t="s">
        <v>1188</v>
      </c>
      <c r="C1263" s="12">
        <f>IFERROR(__xludf.DUMMYFUNCTION("""COMPUTED_VALUE"""),44662.8908912037)</f>
        <v>44662.89089</v>
      </c>
      <c r="D1263" s="13">
        <f t="shared" si="1"/>
        <v>11</v>
      </c>
      <c r="E1263" s="13">
        <f t="shared" si="2"/>
        <v>21</v>
      </c>
    </row>
    <row r="1264">
      <c r="A1264" s="4" t="s">
        <v>1452</v>
      </c>
      <c r="B1264" s="4" t="s">
        <v>1453</v>
      </c>
      <c r="C1264" s="12">
        <f>IFERROR(__xludf.DUMMYFUNCTION("""COMPUTED_VALUE"""),44662.88988425925)</f>
        <v>44662.88988</v>
      </c>
      <c r="D1264" s="13">
        <f t="shared" si="1"/>
        <v>11</v>
      </c>
      <c r="E1264" s="13">
        <f t="shared" si="2"/>
        <v>21</v>
      </c>
    </row>
    <row r="1265">
      <c r="A1265" s="4" t="s">
        <v>1454</v>
      </c>
      <c r="B1265" s="4" t="s">
        <v>1455</v>
      </c>
      <c r="C1265" s="12">
        <f>IFERROR(__xludf.DUMMYFUNCTION("""COMPUTED_VALUE"""),44662.888460648144)</f>
        <v>44662.88846</v>
      </c>
      <c r="D1265" s="13">
        <f t="shared" si="1"/>
        <v>11</v>
      </c>
      <c r="E1265" s="13">
        <f t="shared" si="2"/>
        <v>21</v>
      </c>
    </row>
    <row r="1266">
      <c r="A1266" s="4" t="s">
        <v>1456</v>
      </c>
      <c r="B1266" s="4" t="s">
        <v>1455</v>
      </c>
      <c r="C1266" s="12">
        <f>IFERROR(__xludf.DUMMYFUNCTION("""COMPUTED_VALUE"""),44662.88842592592)</f>
        <v>44662.88843</v>
      </c>
      <c r="D1266" s="13">
        <f t="shared" si="1"/>
        <v>11</v>
      </c>
      <c r="E1266" s="13">
        <f t="shared" si="2"/>
        <v>21</v>
      </c>
    </row>
    <row r="1267">
      <c r="A1267" s="4" t="s">
        <v>1457</v>
      </c>
      <c r="B1267" s="4" t="s">
        <v>1458</v>
      </c>
      <c r="C1267" s="12">
        <f>IFERROR(__xludf.DUMMYFUNCTION("""COMPUTED_VALUE"""),44662.88818287037)</f>
        <v>44662.88818</v>
      </c>
      <c r="D1267" s="13">
        <f t="shared" si="1"/>
        <v>11</v>
      </c>
      <c r="E1267" s="13">
        <f t="shared" si="2"/>
        <v>21</v>
      </c>
    </row>
    <row r="1268">
      <c r="A1268" s="4" t="s">
        <v>1459</v>
      </c>
      <c r="B1268" s="16"/>
      <c r="C1268" s="12">
        <f>IFERROR(__xludf.DUMMYFUNCTION("""COMPUTED_VALUE"""),44662.88791666667)</f>
        <v>44662.88792</v>
      </c>
      <c r="D1268" s="13">
        <f t="shared" si="1"/>
        <v>11</v>
      </c>
      <c r="E1268" s="13">
        <f t="shared" si="2"/>
        <v>21</v>
      </c>
    </row>
    <row r="1269">
      <c r="A1269" s="4" t="s">
        <v>1460</v>
      </c>
      <c r="B1269" s="4" t="s">
        <v>1461</v>
      </c>
      <c r="C1269" s="12">
        <f>IFERROR(__xludf.DUMMYFUNCTION("""COMPUTED_VALUE"""),44662.885671296295)</f>
        <v>44662.88567</v>
      </c>
      <c r="D1269" s="13">
        <f t="shared" si="1"/>
        <v>11</v>
      </c>
      <c r="E1269" s="13">
        <f t="shared" si="2"/>
        <v>21</v>
      </c>
    </row>
    <row r="1270">
      <c r="A1270" s="4" t="s">
        <v>1462</v>
      </c>
      <c r="B1270" s="4" t="s">
        <v>1461</v>
      </c>
      <c r="C1270" s="12">
        <f>IFERROR(__xludf.DUMMYFUNCTION("""COMPUTED_VALUE"""),44662.885462962964)</f>
        <v>44662.88546</v>
      </c>
      <c r="D1270" s="13">
        <f t="shared" si="1"/>
        <v>11</v>
      </c>
      <c r="E1270" s="13">
        <f t="shared" si="2"/>
        <v>21</v>
      </c>
    </row>
    <row r="1271">
      <c r="A1271" s="4" t="s">
        <v>1463</v>
      </c>
      <c r="B1271" s="4" t="s">
        <v>829</v>
      </c>
      <c r="C1271" s="12">
        <f>IFERROR(__xludf.DUMMYFUNCTION("""COMPUTED_VALUE"""),44662.88480324074)</f>
        <v>44662.8848</v>
      </c>
      <c r="D1271" s="13">
        <f t="shared" si="1"/>
        <v>11</v>
      </c>
      <c r="E1271" s="13">
        <f t="shared" si="2"/>
        <v>21</v>
      </c>
    </row>
    <row r="1272">
      <c r="A1272" s="4" t="s">
        <v>1464</v>
      </c>
      <c r="B1272" s="16"/>
      <c r="C1272" s="12">
        <f>IFERROR(__xludf.DUMMYFUNCTION("""COMPUTED_VALUE"""),44662.88476851852)</f>
        <v>44662.88477</v>
      </c>
      <c r="D1272" s="13">
        <f t="shared" si="1"/>
        <v>11</v>
      </c>
      <c r="E1272" s="13">
        <f t="shared" si="2"/>
        <v>21</v>
      </c>
    </row>
    <row r="1273">
      <c r="A1273" s="4" t="s">
        <v>1465</v>
      </c>
      <c r="B1273" s="4" t="s">
        <v>1466</v>
      </c>
      <c r="C1273" s="12">
        <f>IFERROR(__xludf.DUMMYFUNCTION("""COMPUTED_VALUE"""),44662.88474537037)</f>
        <v>44662.88475</v>
      </c>
      <c r="D1273" s="13">
        <f t="shared" si="1"/>
        <v>11</v>
      </c>
      <c r="E1273" s="13">
        <f t="shared" si="2"/>
        <v>21</v>
      </c>
    </row>
    <row r="1274">
      <c r="A1274" s="4" t="s">
        <v>1467</v>
      </c>
      <c r="B1274" s="4" t="s">
        <v>1466</v>
      </c>
      <c r="C1274" s="12">
        <f>IFERROR(__xludf.DUMMYFUNCTION("""COMPUTED_VALUE"""),44662.884733796294)</f>
        <v>44662.88473</v>
      </c>
      <c r="D1274" s="13">
        <f t="shared" si="1"/>
        <v>11</v>
      </c>
      <c r="E1274" s="13">
        <f t="shared" si="2"/>
        <v>21</v>
      </c>
    </row>
    <row r="1275">
      <c r="A1275" s="4" t="s">
        <v>1468</v>
      </c>
      <c r="B1275" s="4" t="s">
        <v>1466</v>
      </c>
      <c r="C1275" s="12">
        <f>IFERROR(__xludf.DUMMYFUNCTION("""COMPUTED_VALUE"""),44662.88471064815)</f>
        <v>44662.88471</v>
      </c>
      <c r="D1275" s="13">
        <f t="shared" si="1"/>
        <v>11</v>
      </c>
      <c r="E1275" s="13">
        <f t="shared" si="2"/>
        <v>21</v>
      </c>
    </row>
    <row r="1276">
      <c r="A1276" s="4" t="s">
        <v>1469</v>
      </c>
      <c r="B1276" s="4" t="s">
        <v>1466</v>
      </c>
      <c r="C1276" s="12">
        <f>IFERROR(__xludf.DUMMYFUNCTION("""COMPUTED_VALUE"""),44662.884687499994)</f>
        <v>44662.88469</v>
      </c>
      <c r="D1276" s="13">
        <f t="shared" si="1"/>
        <v>11</v>
      </c>
      <c r="E1276" s="13">
        <f t="shared" si="2"/>
        <v>21</v>
      </c>
    </row>
    <row r="1277">
      <c r="A1277" s="4" t="s">
        <v>1470</v>
      </c>
      <c r="B1277" s="16"/>
      <c r="C1277" s="12">
        <f>IFERROR(__xludf.DUMMYFUNCTION("""COMPUTED_VALUE"""),44662.88465277778)</f>
        <v>44662.88465</v>
      </c>
      <c r="D1277" s="13">
        <f t="shared" si="1"/>
        <v>11</v>
      </c>
      <c r="E1277" s="13">
        <f t="shared" si="2"/>
        <v>21</v>
      </c>
    </row>
    <row r="1278">
      <c r="A1278" s="4" t="s">
        <v>1471</v>
      </c>
      <c r="B1278" s="4" t="s">
        <v>806</v>
      </c>
      <c r="C1278" s="12">
        <f>IFERROR(__xludf.DUMMYFUNCTION("""COMPUTED_VALUE"""),44662.882256944446)</f>
        <v>44662.88226</v>
      </c>
      <c r="D1278" s="13">
        <f t="shared" si="1"/>
        <v>11</v>
      </c>
      <c r="E1278" s="13">
        <f t="shared" si="2"/>
        <v>21</v>
      </c>
    </row>
    <row r="1279">
      <c r="A1279" s="4" t="s">
        <v>1472</v>
      </c>
      <c r="B1279" s="4" t="s">
        <v>829</v>
      </c>
      <c r="C1279" s="12">
        <f>IFERROR(__xludf.DUMMYFUNCTION("""COMPUTED_VALUE"""),44662.882210648146)</f>
        <v>44662.88221</v>
      </c>
      <c r="D1279" s="13">
        <f t="shared" si="1"/>
        <v>11</v>
      </c>
      <c r="E1279" s="13">
        <f t="shared" si="2"/>
        <v>21</v>
      </c>
    </row>
    <row r="1280">
      <c r="A1280" s="4" t="s">
        <v>1473</v>
      </c>
      <c r="B1280" s="4" t="s">
        <v>829</v>
      </c>
      <c r="C1280" s="12">
        <f>IFERROR(__xludf.DUMMYFUNCTION("""COMPUTED_VALUE"""),44662.88219907407)</f>
        <v>44662.8822</v>
      </c>
      <c r="D1280" s="13">
        <f t="shared" si="1"/>
        <v>11</v>
      </c>
      <c r="E1280" s="13">
        <f t="shared" si="2"/>
        <v>21</v>
      </c>
    </row>
    <row r="1281">
      <c r="A1281" s="4" t="s">
        <v>1474</v>
      </c>
      <c r="B1281" s="4" t="s">
        <v>829</v>
      </c>
      <c r="C1281" s="12">
        <f>IFERROR(__xludf.DUMMYFUNCTION("""COMPUTED_VALUE"""),44662.88217592592)</f>
        <v>44662.88218</v>
      </c>
      <c r="D1281" s="13">
        <f t="shared" si="1"/>
        <v>11</v>
      </c>
      <c r="E1281" s="13">
        <f t="shared" si="2"/>
        <v>21</v>
      </c>
    </row>
    <row r="1282">
      <c r="A1282" s="4" t="s">
        <v>1475</v>
      </c>
      <c r="B1282" s="4" t="s">
        <v>829</v>
      </c>
      <c r="C1282" s="12">
        <f>IFERROR(__xludf.DUMMYFUNCTION("""COMPUTED_VALUE"""),44662.882152777776)</f>
        <v>44662.88215</v>
      </c>
      <c r="D1282" s="13">
        <f t="shared" si="1"/>
        <v>11</v>
      </c>
      <c r="E1282" s="13">
        <f t="shared" si="2"/>
        <v>21</v>
      </c>
    </row>
    <row r="1283">
      <c r="A1283" s="4" t="s">
        <v>1476</v>
      </c>
      <c r="B1283" s="4" t="s">
        <v>829</v>
      </c>
      <c r="C1283" s="12">
        <f>IFERROR(__xludf.DUMMYFUNCTION("""COMPUTED_VALUE"""),44662.88208333333)</f>
        <v>44662.88208</v>
      </c>
      <c r="D1283" s="13">
        <f t="shared" si="1"/>
        <v>11</v>
      </c>
      <c r="E1283" s="13">
        <f t="shared" si="2"/>
        <v>21</v>
      </c>
    </row>
    <row r="1284">
      <c r="A1284" s="4" t="s">
        <v>1477</v>
      </c>
      <c r="B1284" s="4" t="s">
        <v>829</v>
      </c>
      <c r="C1284" s="12">
        <f>IFERROR(__xludf.DUMMYFUNCTION("""COMPUTED_VALUE"""),44662.88203703704)</f>
        <v>44662.88204</v>
      </c>
      <c r="D1284" s="13">
        <f t="shared" si="1"/>
        <v>11</v>
      </c>
      <c r="E1284" s="13">
        <f t="shared" si="2"/>
        <v>21</v>
      </c>
    </row>
    <row r="1285">
      <c r="A1285" s="4" t="s">
        <v>1478</v>
      </c>
      <c r="B1285" s="4" t="s">
        <v>829</v>
      </c>
      <c r="C1285" s="12">
        <f>IFERROR(__xludf.DUMMYFUNCTION("""COMPUTED_VALUE"""),44662.882013888884)</f>
        <v>44662.88201</v>
      </c>
      <c r="D1285" s="13">
        <f t="shared" si="1"/>
        <v>11</v>
      </c>
      <c r="E1285" s="13">
        <f t="shared" si="2"/>
        <v>21</v>
      </c>
    </row>
    <row r="1286">
      <c r="A1286" s="4" t="s">
        <v>1479</v>
      </c>
      <c r="B1286" s="4" t="s">
        <v>829</v>
      </c>
      <c r="C1286" s="12">
        <f>IFERROR(__xludf.DUMMYFUNCTION("""COMPUTED_VALUE"""),44662.88199074074)</f>
        <v>44662.88199</v>
      </c>
      <c r="D1286" s="13">
        <f t="shared" si="1"/>
        <v>11</v>
      </c>
      <c r="E1286" s="13">
        <f t="shared" si="2"/>
        <v>21</v>
      </c>
    </row>
    <row r="1287">
      <c r="A1287" s="4" t="s">
        <v>1480</v>
      </c>
      <c r="B1287" s="4" t="s">
        <v>829</v>
      </c>
      <c r="C1287" s="12">
        <f>IFERROR(__xludf.DUMMYFUNCTION("""COMPUTED_VALUE"""),44662.88196759259)</f>
        <v>44662.88197</v>
      </c>
      <c r="D1287" s="13">
        <f t="shared" si="1"/>
        <v>11</v>
      </c>
      <c r="E1287" s="13">
        <f t="shared" si="2"/>
        <v>21</v>
      </c>
    </row>
    <row r="1288">
      <c r="A1288" s="4" t="s">
        <v>1481</v>
      </c>
      <c r="B1288" s="4" t="s">
        <v>829</v>
      </c>
      <c r="C1288" s="12">
        <f>IFERROR(__xludf.DUMMYFUNCTION("""COMPUTED_VALUE"""),44662.881944444445)</f>
        <v>44662.88194</v>
      </c>
      <c r="D1288" s="13">
        <f t="shared" si="1"/>
        <v>11</v>
      </c>
      <c r="E1288" s="13">
        <f t="shared" si="2"/>
        <v>21</v>
      </c>
    </row>
    <row r="1289">
      <c r="A1289" s="4" t="s">
        <v>1482</v>
      </c>
      <c r="B1289" s="4" t="s">
        <v>829</v>
      </c>
      <c r="C1289" s="12">
        <f>IFERROR(__xludf.DUMMYFUNCTION("""COMPUTED_VALUE"""),44662.88192129629)</f>
        <v>44662.88192</v>
      </c>
      <c r="D1289" s="13">
        <f t="shared" si="1"/>
        <v>11</v>
      </c>
      <c r="E1289" s="13">
        <f t="shared" si="2"/>
        <v>21</v>
      </c>
    </row>
    <row r="1290">
      <c r="A1290" s="4" t="s">
        <v>1483</v>
      </c>
      <c r="B1290" s="4" t="s">
        <v>829</v>
      </c>
      <c r="C1290" s="12">
        <f>IFERROR(__xludf.DUMMYFUNCTION("""COMPUTED_VALUE"""),44662.881898148145)</f>
        <v>44662.8819</v>
      </c>
      <c r="D1290" s="13">
        <f t="shared" si="1"/>
        <v>11</v>
      </c>
      <c r="E1290" s="13">
        <f t="shared" si="2"/>
        <v>21</v>
      </c>
    </row>
    <row r="1291">
      <c r="A1291" s="4" t="s">
        <v>1484</v>
      </c>
      <c r="B1291" s="4" t="s">
        <v>829</v>
      </c>
      <c r="C1291" s="12">
        <f>IFERROR(__xludf.DUMMYFUNCTION("""COMPUTED_VALUE"""),44662.8818287037)</f>
        <v>44662.88183</v>
      </c>
      <c r="D1291" s="13">
        <f t="shared" si="1"/>
        <v>11</v>
      </c>
      <c r="E1291" s="13">
        <f t="shared" si="2"/>
        <v>21</v>
      </c>
    </row>
    <row r="1292">
      <c r="A1292" s="4" t="s">
        <v>1485</v>
      </c>
      <c r="B1292" s="4" t="s">
        <v>829</v>
      </c>
      <c r="C1292" s="12">
        <f>IFERROR(__xludf.DUMMYFUNCTION("""COMPUTED_VALUE"""),44662.88178240741)</f>
        <v>44662.88178</v>
      </c>
      <c r="D1292" s="13">
        <f t="shared" si="1"/>
        <v>11</v>
      </c>
      <c r="E1292" s="13">
        <f t="shared" si="2"/>
        <v>21</v>
      </c>
    </row>
    <row r="1293">
      <c r="A1293" s="4" t="s">
        <v>1486</v>
      </c>
      <c r="B1293" s="4" t="s">
        <v>829</v>
      </c>
      <c r="C1293" s="12">
        <f>IFERROR(__xludf.DUMMYFUNCTION("""COMPUTED_VALUE"""),44662.88177083333)</f>
        <v>44662.88177</v>
      </c>
      <c r="D1293" s="13">
        <f t="shared" si="1"/>
        <v>11</v>
      </c>
      <c r="E1293" s="13">
        <f t="shared" si="2"/>
        <v>21</v>
      </c>
    </row>
    <row r="1294">
      <c r="A1294" s="4" t="s">
        <v>1487</v>
      </c>
      <c r="B1294" s="4" t="s">
        <v>829</v>
      </c>
      <c r="C1294" s="12">
        <f>IFERROR(__xludf.DUMMYFUNCTION("""COMPUTED_VALUE"""),44662.88172453704)</f>
        <v>44662.88172</v>
      </c>
      <c r="D1294" s="13">
        <f t="shared" si="1"/>
        <v>11</v>
      </c>
      <c r="E1294" s="13">
        <f t="shared" si="2"/>
        <v>21</v>
      </c>
    </row>
    <row r="1295">
      <c r="A1295" s="4" t="s">
        <v>1488</v>
      </c>
      <c r="B1295" s="4" t="s">
        <v>829</v>
      </c>
      <c r="C1295" s="12">
        <f>IFERROR(__xludf.DUMMYFUNCTION("""COMPUTED_VALUE"""),44662.88165509259)</f>
        <v>44662.88166</v>
      </c>
      <c r="D1295" s="13">
        <f t="shared" si="1"/>
        <v>11</v>
      </c>
      <c r="E1295" s="13">
        <f t="shared" si="2"/>
        <v>21</v>
      </c>
    </row>
    <row r="1296">
      <c r="A1296" s="4" t="s">
        <v>1489</v>
      </c>
      <c r="B1296" s="4" t="s">
        <v>829</v>
      </c>
      <c r="C1296" s="12">
        <f>IFERROR(__xludf.DUMMYFUNCTION("""COMPUTED_VALUE"""),44662.88160879629)</f>
        <v>44662.88161</v>
      </c>
      <c r="D1296" s="13">
        <f t="shared" si="1"/>
        <v>11</v>
      </c>
      <c r="E1296" s="13">
        <f t="shared" si="2"/>
        <v>21</v>
      </c>
    </row>
    <row r="1297">
      <c r="A1297" s="4" t="s">
        <v>1490</v>
      </c>
      <c r="B1297" s="16"/>
      <c r="C1297" s="12">
        <f>IFERROR(__xludf.DUMMYFUNCTION("""COMPUTED_VALUE"""),44662.87946759259)</f>
        <v>44662.87947</v>
      </c>
      <c r="D1297" s="13">
        <f t="shared" si="1"/>
        <v>11</v>
      </c>
      <c r="E1297" s="13">
        <f t="shared" si="2"/>
        <v>21</v>
      </c>
    </row>
    <row r="1298">
      <c r="A1298" s="4" t="s">
        <v>1491</v>
      </c>
      <c r="B1298" s="16"/>
      <c r="C1298" s="12">
        <f>IFERROR(__xludf.DUMMYFUNCTION("""COMPUTED_VALUE"""),44662.87921296296)</f>
        <v>44662.87921</v>
      </c>
      <c r="D1298" s="13">
        <f t="shared" si="1"/>
        <v>11</v>
      </c>
      <c r="E1298" s="13">
        <f t="shared" si="2"/>
        <v>21</v>
      </c>
    </row>
    <row r="1299">
      <c r="A1299" s="4" t="s">
        <v>1492</v>
      </c>
      <c r="B1299" s="4" t="s">
        <v>1493</v>
      </c>
      <c r="C1299" s="12">
        <f>IFERROR(__xludf.DUMMYFUNCTION("""COMPUTED_VALUE"""),44662.87895833333)</f>
        <v>44662.87896</v>
      </c>
      <c r="D1299" s="13">
        <f t="shared" si="1"/>
        <v>11</v>
      </c>
      <c r="E1299" s="13">
        <f t="shared" si="2"/>
        <v>21</v>
      </c>
    </row>
    <row r="1300">
      <c r="A1300" s="4" t="s">
        <v>1494</v>
      </c>
      <c r="B1300" s="16"/>
      <c r="C1300" s="12">
        <f>IFERROR(__xludf.DUMMYFUNCTION("""COMPUTED_VALUE"""),44662.878854166665)</f>
        <v>44662.87885</v>
      </c>
      <c r="D1300" s="13">
        <f t="shared" si="1"/>
        <v>11</v>
      </c>
      <c r="E1300" s="13">
        <f t="shared" si="2"/>
        <v>21</v>
      </c>
    </row>
    <row r="1301">
      <c r="A1301" s="4" t="s">
        <v>1495</v>
      </c>
      <c r="B1301" s="16"/>
      <c r="C1301" s="12">
        <f>IFERROR(__xludf.DUMMYFUNCTION("""COMPUTED_VALUE"""),44662.87883101852)</f>
        <v>44662.87883</v>
      </c>
      <c r="D1301" s="13">
        <f t="shared" si="1"/>
        <v>11</v>
      </c>
      <c r="E1301" s="13">
        <f t="shared" si="2"/>
        <v>21</v>
      </c>
    </row>
    <row r="1302">
      <c r="A1302" s="4" t="s">
        <v>1496</v>
      </c>
      <c r="B1302" s="4" t="s">
        <v>1269</v>
      </c>
      <c r="C1302" s="12">
        <f>IFERROR(__xludf.DUMMYFUNCTION("""COMPUTED_VALUE"""),44662.878657407404)</f>
        <v>44662.87866</v>
      </c>
      <c r="D1302" s="13">
        <f t="shared" si="1"/>
        <v>11</v>
      </c>
      <c r="E1302" s="13">
        <f t="shared" si="2"/>
        <v>21</v>
      </c>
    </row>
    <row r="1303">
      <c r="A1303" s="4" t="s">
        <v>1497</v>
      </c>
      <c r="B1303" s="4" t="s">
        <v>1269</v>
      </c>
      <c r="C1303" s="12">
        <f>IFERROR(__xludf.DUMMYFUNCTION("""COMPUTED_VALUE"""),44662.87861111111)</f>
        <v>44662.87861</v>
      </c>
      <c r="D1303" s="13">
        <f t="shared" si="1"/>
        <v>11</v>
      </c>
      <c r="E1303" s="13">
        <f t="shared" si="2"/>
        <v>21</v>
      </c>
    </row>
    <row r="1304">
      <c r="A1304" s="4" t="s">
        <v>1498</v>
      </c>
      <c r="B1304" s="4" t="s">
        <v>1269</v>
      </c>
      <c r="C1304" s="12">
        <f>IFERROR(__xludf.DUMMYFUNCTION("""COMPUTED_VALUE"""),44662.87853009259)</f>
        <v>44662.87853</v>
      </c>
      <c r="D1304" s="13">
        <f t="shared" si="1"/>
        <v>11</v>
      </c>
      <c r="E1304" s="13">
        <f t="shared" si="2"/>
        <v>21</v>
      </c>
    </row>
    <row r="1305">
      <c r="A1305" s="4" t="s">
        <v>1499</v>
      </c>
      <c r="B1305" s="4" t="s">
        <v>1269</v>
      </c>
      <c r="C1305" s="12">
        <f>IFERROR(__xludf.DUMMYFUNCTION("""COMPUTED_VALUE"""),44662.878495370365)</f>
        <v>44662.8785</v>
      </c>
      <c r="D1305" s="13">
        <f t="shared" si="1"/>
        <v>11</v>
      </c>
      <c r="E1305" s="13">
        <f t="shared" si="2"/>
        <v>21</v>
      </c>
    </row>
    <row r="1306">
      <c r="A1306" s="4" t="s">
        <v>1500</v>
      </c>
      <c r="B1306" s="4" t="s">
        <v>1501</v>
      </c>
      <c r="C1306" s="12">
        <f>IFERROR(__xludf.DUMMYFUNCTION("""COMPUTED_VALUE"""),44662.8783449074)</f>
        <v>44662.87834</v>
      </c>
      <c r="D1306" s="13">
        <f t="shared" si="1"/>
        <v>11</v>
      </c>
      <c r="E1306" s="13">
        <f t="shared" si="2"/>
        <v>21</v>
      </c>
    </row>
    <row r="1307">
      <c r="A1307" s="4" t="s">
        <v>1502</v>
      </c>
      <c r="B1307" s="16"/>
      <c r="C1307" s="12">
        <f>IFERROR(__xludf.DUMMYFUNCTION("""COMPUTED_VALUE"""),44662.877430555556)</f>
        <v>44662.87743</v>
      </c>
      <c r="D1307" s="13">
        <f t="shared" si="1"/>
        <v>11</v>
      </c>
      <c r="E1307" s="13">
        <f t="shared" si="2"/>
        <v>21</v>
      </c>
    </row>
    <row r="1308">
      <c r="A1308" s="4" t="s">
        <v>1503</v>
      </c>
      <c r="B1308" s="4" t="s">
        <v>1504</v>
      </c>
      <c r="C1308" s="12">
        <f>IFERROR(__xludf.DUMMYFUNCTION("""COMPUTED_VALUE"""),44662.87700231481)</f>
        <v>44662.877</v>
      </c>
      <c r="D1308" s="13">
        <f t="shared" si="1"/>
        <v>11</v>
      </c>
      <c r="E1308" s="13">
        <f t="shared" si="2"/>
        <v>21</v>
      </c>
    </row>
    <row r="1309">
      <c r="A1309" s="4" t="s">
        <v>1505</v>
      </c>
      <c r="B1309" s="4" t="s">
        <v>1506</v>
      </c>
      <c r="C1309" s="12">
        <f>IFERROR(__xludf.DUMMYFUNCTION("""COMPUTED_VALUE"""),44662.87622685185)</f>
        <v>44662.87623</v>
      </c>
      <c r="D1309" s="13">
        <f t="shared" si="1"/>
        <v>11</v>
      </c>
      <c r="E1309" s="13">
        <f t="shared" si="2"/>
        <v>21</v>
      </c>
    </row>
    <row r="1310">
      <c r="A1310" s="4" t="s">
        <v>1507</v>
      </c>
      <c r="B1310" s="16"/>
      <c r="C1310" s="12">
        <f>IFERROR(__xludf.DUMMYFUNCTION("""COMPUTED_VALUE"""),44662.8761574074)</f>
        <v>44662.87616</v>
      </c>
      <c r="D1310" s="13">
        <f t="shared" si="1"/>
        <v>11</v>
      </c>
      <c r="E1310" s="13">
        <f t="shared" si="2"/>
        <v>21</v>
      </c>
    </row>
    <row r="1311">
      <c r="A1311" s="4" t="s">
        <v>1508</v>
      </c>
      <c r="B1311" s="16"/>
      <c r="C1311" s="12">
        <f>IFERROR(__xludf.DUMMYFUNCTION("""COMPUTED_VALUE"""),44662.876122685186)</f>
        <v>44662.87612</v>
      </c>
      <c r="D1311" s="13">
        <f t="shared" si="1"/>
        <v>11</v>
      </c>
      <c r="E1311" s="13">
        <f t="shared" si="2"/>
        <v>21</v>
      </c>
    </row>
    <row r="1312">
      <c r="A1312" s="4" t="s">
        <v>1509</v>
      </c>
      <c r="B1312" s="4" t="s">
        <v>1506</v>
      </c>
      <c r="C1312" s="12">
        <f>IFERROR(__xludf.DUMMYFUNCTION("""COMPUTED_VALUE"""),44662.87611111111)</f>
        <v>44662.87611</v>
      </c>
      <c r="D1312" s="13">
        <f t="shared" si="1"/>
        <v>11</v>
      </c>
      <c r="E1312" s="13">
        <f t="shared" si="2"/>
        <v>21</v>
      </c>
    </row>
    <row r="1313">
      <c r="A1313" s="4" t="s">
        <v>1510</v>
      </c>
      <c r="B1313" s="16"/>
      <c r="C1313" s="12">
        <f>IFERROR(__xludf.DUMMYFUNCTION("""COMPUTED_VALUE"""),44662.876076388886)</f>
        <v>44662.87608</v>
      </c>
      <c r="D1313" s="13">
        <f t="shared" si="1"/>
        <v>11</v>
      </c>
      <c r="E1313" s="13">
        <f t="shared" si="2"/>
        <v>21</v>
      </c>
    </row>
    <row r="1314">
      <c r="A1314" s="4" t="s">
        <v>1511</v>
      </c>
      <c r="B1314" s="16"/>
      <c r="C1314" s="12">
        <f>IFERROR(__xludf.DUMMYFUNCTION("""COMPUTED_VALUE"""),44662.87600694444)</f>
        <v>44662.87601</v>
      </c>
      <c r="D1314" s="13">
        <f t="shared" si="1"/>
        <v>11</v>
      </c>
      <c r="E1314" s="13">
        <f t="shared" si="2"/>
        <v>21</v>
      </c>
    </row>
    <row r="1315">
      <c r="A1315" s="4" t="s">
        <v>1512</v>
      </c>
      <c r="B1315" s="4" t="s">
        <v>1506</v>
      </c>
      <c r="C1315" s="12">
        <f>IFERROR(__xludf.DUMMYFUNCTION("""COMPUTED_VALUE"""),44662.87594907407)</f>
        <v>44662.87595</v>
      </c>
      <c r="D1315" s="13">
        <f t="shared" si="1"/>
        <v>11</v>
      </c>
      <c r="E1315" s="13">
        <f t="shared" si="2"/>
        <v>21</v>
      </c>
    </row>
    <row r="1316">
      <c r="A1316" s="4" t="s">
        <v>1513</v>
      </c>
      <c r="B1316" s="16"/>
      <c r="C1316" s="12">
        <f>IFERROR(__xludf.DUMMYFUNCTION("""COMPUTED_VALUE"""),44662.87583333333)</f>
        <v>44662.87583</v>
      </c>
      <c r="D1316" s="13">
        <f t="shared" si="1"/>
        <v>11</v>
      </c>
      <c r="E1316" s="13">
        <f t="shared" si="2"/>
        <v>21</v>
      </c>
    </row>
    <row r="1317">
      <c r="A1317" s="4" t="s">
        <v>1514</v>
      </c>
      <c r="B1317" s="4" t="s">
        <v>1506</v>
      </c>
      <c r="C1317" s="12">
        <f>IFERROR(__xludf.DUMMYFUNCTION("""COMPUTED_VALUE"""),44662.87567129629)</f>
        <v>44662.87567</v>
      </c>
      <c r="D1317" s="13">
        <f t="shared" si="1"/>
        <v>11</v>
      </c>
      <c r="E1317" s="13">
        <f t="shared" si="2"/>
        <v>21</v>
      </c>
    </row>
    <row r="1318">
      <c r="A1318" s="4" t="s">
        <v>1515</v>
      </c>
      <c r="B1318" s="4" t="s">
        <v>1506</v>
      </c>
      <c r="C1318" s="12">
        <f>IFERROR(__xludf.DUMMYFUNCTION("""COMPUTED_VALUE"""),44662.87565972222)</f>
        <v>44662.87566</v>
      </c>
      <c r="D1318" s="13">
        <f t="shared" si="1"/>
        <v>11</v>
      </c>
      <c r="E1318" s="13">
        <f t="shared" si="2"/>
        <v>21</v>
      </c>
    </row>
    <row r="1319">
      <c r="A1319" s="4" t="s">
        <v>1516</v>
      </c>
      <c r="B1319" s="4" t="s">
        <v>1506</v>
      </c>
      <c r="C1319" s="12">
        <f>IFERROR(__xludf.DUMMYFUNCTION("""COMPUTED_VALUE"""),44662.87564814815)</f>
        <v>44662.87565</v>
      </c>
      <c r="D1319" s="13">
        <f t="shared" si="1"/>
        <v>11</v>
      </c>
      <c r="E1319" s="13">
        <f t="shared" si="2"/>
        <v>21</v>
      </c>
    </row>
    <row r="1320">
      <c r="A1320" s="4" t="s">
        <v>1517</v>
      </c>
      <c r="B1320" s="4" t="s">
        <v>1506</v>
      </c>
      <c r="C1320" s="12">
        <f>IFERROR(__xludf.DUMMYFUNCTION("""COMPUTED_VALUE"""),44662.87563657407)</f>
        <v>44662.87564</v>
      </c>
      <c r="D1320" s="13">
        <f t="shared" si="1"/>
        <v>11</v>
      </c>
      <c r="E1320" s="13">
        <f t="shared" si="2"/>
        <v>21</v>
      </c>
    </row>
    <row r="1321">
      <c r="A1321" s="4" t="s">
        <v>1518</v>
      </c>
      <c r="B1321" s="4" t="s">
        <v>1506</v>
      </c>
      <c r="C1321" s="12">
        <f>IFERROR(__xludf.DUMMYFUNCTION("""COMPUTED_VALUE"""),44662.875625)</f>
        <v>44662.87563</v>
      </c>
      <c r="D1321" s="13">
        <f t="shared" si="1"/>
        <v>11</v>
      </c>
      <c r="E1321" s="13">
        <f t="shared" si="2"/>
        <v>21</v>
      </c>
    </row>
    <row r="1322">
      <c r="A1322" s="4" t="s">
        <v>1519</v>
      </c>
      <c r="B1322" s="4" t="s">
        <v>1506</v>
      </c>
      <c r="C1322" s="12">
        <f>IFERROR(__xludf.DUMMYFUNCTION("""COMPUTED_VALUE"""),44662.875613425924)</f>
        <v>44662.87561</v>
      </c>
      <c r="D1322" s="13">
        <f t="shared" si="1"/>
        <v>11</v>
      </c>
      <c r="E1322" s="13">
        <f t="shared" si="2"/>
        <v>21</v>
      </c>
    </row>
    <row r="1323">
      <c r="A1323" s="4" t="s">
        <v>1520</v>
      </c>
      <c r="B1323" s="4" t="s">
        <v>1506</v>
      </c>
      <c r="C1323" s="12">
        <f>IFERROR(__xludf.DUMMYFUNCTION("""COMPUTED_VALUE"""),44662.87552083333)</f>
        <v>44662.87552</v>
      </c>
      <c r="D1323" s="13">
        <f t="shared" si="1"/>
        <v>11</v>
      </c>
      <c r="E1323" s="13">
        <f t="shared" si="2"/>
        <v>21</v>
      </c>
    </row>
    <row r="1324">
      <c r="A1324" s="4" t="s">
        <v>1521</v>
      </c>
      <c r="B1324" s="4" t="s">
        <v>1506</v>
      </c>
      <c r="C1324" s="12">
        <f>IFERROR(__xludf.DUMMYFUNCTION("""COMPUTED_VALUE"""),44662.87547453703)</f>
        <v>44662.87547</v>
      </c>
      <c r="D1324" s="13">
        <f t="shared" si="1"/>
        <v>11</v>
      </c>
      <c r="E1324" s="13">
        <f t="shared" si="2"/>
        <v>21</v>
      </c>
    </row>
    <row r="1325">
      <c r="A1325" s="4" t="s">
        <v>1522</v>
      </c>
      <c r="B1325" s="4" t="s">
        <v>1506</v>
      </c>
      <c r="C1325" s="12">
        <f>IFERROR(__xludf.DUMMYFUNCTION("""COMPUTED_VALUE"""),44662.87510416666)</f>
        <v>44662.8751</v>
      </c>
      <c r="D1325" s="13">
        <f t="shared" si="1"/>
        <v>11</v>
      </c>
      <c r="E1325" s="13">
        <f t="shared" si="2"/>
        <v>21</v>
      </c>
    </row>
    <row r="1326">
      <c r="A1326" s="4" t="s">
        <v>1523</v>
      </c>
      <c r="B1326" s="4" t="s">
        <v>1506</v>
      </c>
      <c r="C1326" s="12">
        <f>IFERROR(__xludf.DUMMYFUNCTION("""COMPUTED_VALUE"""),44662.87498842592)</f>
        <v>44662.87499</v>
      </c>
      <c r="D1326" s="13">
        <f t="shared" si="1"/>
        <v>11</v>
      </c>
      <c r="E1326" s="13">
        <f t="shared" si="2"/>
        <v>20</v>
      </c>
    </row>
    <row r="1327">
      <c r="A1327" s="4" t="s">
        <v>1524</v>
      </c>
      <c r="B1327" s="4" t="s">
        <v>1506</v>
      </c>
      <c r="C1327" s="12">
        <f>IFERROR(__xludf.DUMMYFUNCTION("""COMPUTED_VALUE"""),44662.87496527778)</f>
        <v>44662.87497</v>
      </c>
      <c r="D1327" s="13">
        <f t="shared" si="1"/>
        <v>11</v>
      </c>
      <c r="E1327" s="13">
        <f t="shared" si="2"/>
        <v>20</v>
      </c>
    </row>
    <row r="1328">
      <c r="A1328" s="4" t="s">
        <v>1525</v>
      </c>
      <c r="B1328" s="4" t="s">
        <v>1506</v>
      </c>
      <c r="C1328" s="12">
        <f>IFERROR(__xludf.DUMMYFUNCTION("""COMPUTED_VALUE"""),44662.8749537037)</f>
        <v>44662.87495</v>
      </c>
      <c r="D1328" s="13">
        <f t="shared" si="1"/>
        <v>11</v>
      </c>
      <c r="E1328" s="13">
        <f t="shared" si="2"/>
        <v>20</v>
      </c>
    </row>
    <row r="1329">
      <c r="A1329" s="4" t="s">
        <v>1526</v>
      </c>
      <c r="B1329" s="4" t="s">
        <v>1506</v>
      </c>
      <c r="C1329" s="12">
        <f>IFERROR(__xludf.DUMMYFUNCTION("""COMPUTED_VALUE"""),44662.87489583333)</f>
        <v>44662.8749</v>
      </c>
      <c r="D1329" s="13">
        <f t="shared" si="1"/>
        <v>11</v>
      </c>
      <c r="E1329" s="13">
        <f t="shared" si="2"/>
        <v>20</v>
      </c>
    </row>
    <row r="1330">
      <c r="A1330" s="4" t="s">
        <v>1527</v>
      </c>
      <c r="B1330" s="16"/>
      <c r="C1330" s="12">
        <f>IFERROR(__xludf.DUMMYFUNCTION("""COMPUTED_VALUE"""),44662.87473379629)</f>
        <v>44662.87473</v>
      </c>
      <c r="D1330" s="13">
        <f t="shared" si="1"/>
        <v>11</v>
      </c>
      <c r="E1330" s="13">
        <f t="shared" si="2"/>
        <v>20</v>
      </c>
    </row>
    <row r="1331">
      <c r="A1331" s="4" t="s">
        <v>1528</v>
      </c>
      <c r="B1331" s="4" t="s">
        <v>1506</v>
      </c>
      <c r="C1331" s="12">
        <f>IFERROR(__xludf.DUMMYFUNCTION("""COMPUTED_VALUE"""),44662.87469907407)</f>
        <v>44662.8747</v>
      </c>
      <c r="D1331" s="13">
        <f t="shared" si="1"/>
        <v>11</v>
      </c>
      <c r="E1331" s="13">
        <f t="shared" si="2"/>
        <v>20</v>
      </c>
    </row>
    <row r="1332">
      <c r="A1332" s="4" t="s">
        <v>1529</v>
      </c>
      <c r="B1332" s="4" t="s">
        <v>1506</v>
      </c>
      <c r="C1332" s="12">
        <f>IFERROR(__xludf.DUMMYFUNCTION("""COMPUTED_VALUE"""),44662.87467592592)</f>
        <v>44662.87468</v>
      </c>
      <c r="D1332" s="13">
        <f t="shared" si="1"/>
        <v>11</v>
      </c>
      <c r="E1332" s="13">
        <f t="shared" si="2"/>
        <v>20</v>
      </c>
    </row>
    <row r="1333">
      <c r="A1333" s="4" t="s">
        <v>1530</v>
      </c>
      <c r="B1333" s="4" t="s">
        <v>1506</v>
      </c>
      <c r="C1333" s="12">
        <f>IFERROR(__xludf.DUMMYFUNCTION("""COMPUTED_VALUE"""),44662.87465277778)</f>
        <v>44662.87465</v>
      </c>
      <c r="D1333" s="13">
        <f t="shared" si="1"/>
        <v>11</v>
      </c>
      <c r="E1333" s="13">
        <f t="shared" si="2"/>
        <v>20</v>
      </c>
    </row>
    <row r="1334">
      <c r="A1334" s="4" t="s">
        <v>1531</v>
      </c>
      <c r="B1334" s="4" t="s">
        <v>1506</v>
      </c>
      <c r="C1334" s="12">
        <f>IFERROR(__xludf.DUMMYFUNCTION("""COMPUTED_VALUE"""),44662.8746412037)</f>
        <v>44662.87464</v>
      </c>
      <c r="D1334" s="13">
        <f t="shared" si="1"/>
        <v>11</v>
      </c>
      <c r="E1334" s="13">
        <f t="shared" si="2"/>
        <v>20</v>
      </c>
    </row>
    <row r="1335">
      <c r="A1335" s="4" t="s">
        <v>1532</v>
      </c>
      <c r="B1335" s="16"/>
      <c r="C1335" s="12">
        <f>IFERROR(__xludf.DUMMYFUNCTION("""COMPUTED_VALUE"""),44662.87460648148)</f>
        <v>44662.87461</v>
      </c>
      <c r="D1335" s="13">
        <f t="shared" si="1"/>
        <v>11</v>
      </c>
      <c r="E1335" s="13">
        <f t="shared" si="2"/>
        <v>20</v>
      </c>
    </row>
    <row r="1336">
      <c r="A1336" s="4" t="s">
        <v>1533</v>
      </c>
      <c r="B1336" s="4" t="s">
        <v>1506</v>
      </c>
      <c r="C1336" s="12">
        <f>IFERROR(__xludf.DUMMYFUNCTION("""COMPUTED_VALUE"""),44662.87454861111)</f>
        <v>44662.87455</v>
      </c>
      <c r="D1336" s="13">
        <f t="shared" si="1"/>
        <v>11</v>
      </c>
      <c r="E1336" s="13">
        <f t="shared" si="2"/>
        <v>20</v>
      </c>
    </row>
    <row r="1337">
      <c r="A1337" s="4" t="s">
        <v>1534</v>
      </c>
      <c r="B1337" s="4" t="s">
        <v>1506</v>
      </c>
      <c r="C1337" s="12">
        <f>IFERROR(__xludf.DUMMYFUNCTION("""COMPUTED_VALUE"""),44662.87452546296)</f>
        <v>44662.87453</v>
      </c>
      <c r="D1337" s="13">
        <f t="shared" si="1"/>
        <v>11</v>
      </c>
      <c r="E1337" s="13">
        <f t="shared" si="2"/>
        <v>20</v>
      </c>
    </row>
    <row r="1338">
      <c r="A1338" s="4" t="s">
        <v>1535</v>
      </c>
      <c r="B1338" s="4" t="s">
        <v>1506</v>
      </c>
      <c r="C1338" s="12">
        <f>IFERROR(__xludf.DUMMYFUNCTION("""COMPUTED_VALUE"""),44662.87447916666)</f>
        <v>44662.87448</v>
      </c>
      <c r="D1338" s="13">
        <f t="shared" si="1"/>
        <v>11</v>
      </c>
      <c r="E1338" s="13">
        <f t="shared" si="2"/>
        <v>20</v>
      </c>
    </row>
    <row r="1339">
      <c r="A1339" s="4" t="s">
        <v>1536</v>
      </c>
      <c r="B1339" s="4" t="s">
        <v>1506</v>
      </c>
      <c r="C1339" s="12">
        <f>IFERROR(__xludf.DUMMYFUNCTION("""COMPUTED_VALUE"""),44662.874444444446)</f>
        <v>44662.87444</v>
      </c>
      <c r="D1339" s="13">
        <f t="shared" si="1"/>
        <v>11</v>
      </c>
      <c r="E1339" s="13">
        <f t="shared" si="2"/>
        <v>20</v>
      </c>
    </row>
    <row r="1340">
      <c r="A1340" s="4" t="s">
        <v>1537</v>
      </c>
      <c r="B1340" s="4" t="s">
        <v>1506</v>
      </c>
      <c r="C1340" s="12">
        <f>IFERROR(__xludf.DUMMYFUNCTION("""COMPUTED_VALUE"""),44662.874398148146)</f>
        <v>44662.8744</v>
      </c>
      <c r="D1340" s="13">
        <f t="shared" si="1"/>
        <v>11</v>
      </c>
      <c r="E1340" s="13">
        <f t="shared" si="2"/>
        <v>20</v>
      </c>
    </row>
    <row r="1341">
      <c r="A1341" s="4" t="s">
        <v>1538</v>
      </c>
      <c r="B1341" s="4" t="s">
        <v>1539</v>
      </c>
      <c r="C1341" s="12">
        <f>IFERROR(__xludf.DUMMYFUNCTION("""COMPUTED_VALUE"""),44662.874351851846)</f>
        <v>44662.87435</v>
      </c>
      <c r="D1341" s="13">
        <f t="shared" si="1"/>
        <v>11</v>
      </c>
      <c r="E1341" s="13">
        <f t="shared" si="2"/>
        <v>20</v>
      </c>
    </row>
    <row r="1342">
      <c r="A1342" s="4" t="s">
        <v>1540</v>
      </c>
      <c r="B1342" s="16"/>
      <c r="C1342" s="12">
        <f>IFERROR(__xludf.DUMMYFUNCTION("""COMPUTED_VALUE"""),44662.873194444444)</f>
        <v>44662.87319</v>
      </c>
      <c r="D1342" s="13">
        <f t="shared" si="1"/>
        <v>11</v>
      </c>
      <c r="E1342" s="13">
        <f t="shared" si="2"/>
        <v>20</v>
      </c>
    </row>
    <row r="1343">
      <c r="A1343" s="4" t="s">
        <v>1541</v>
      </c>
      <c r="B1343" s="16"/>
      <c r="C1343" s="12">
        <f>IFERROR(__xludf.DUMMYFUNCTION("""COMPUTED_VALUE"""),44662.87315972222)</f>
        <v>44662.87316</v>
      </c>
      <c r="D1343" s="13">
        <f t="shared" si="1"/>
        <v>11</v>
      </c>
      <c r="E1343" s="13">
        <f t="shared" si="2"/>
        <v>20</v>
      </c>
    </row>
    <row r="1344">
      <c r="A1344" s="4" t="s">
        <v>1542</v>
      </c>
      <c r="B1344" s="4" t="s">
        <v>1543</v>
      </c>
      <c r="C1344" s="12">
        <f>IFERROR(__xludf.DUMMYFUNCTION("""COMPUTED_VALUE"""),44662.87033564815)</f>
        <v>44662.87034</v>
      </c>
      <c r="D1344" s="13">
        <f t="shared" si="1"/>
        <v>11</v>
      </c>
      <c r="E1344" s="13">
        <f t="shared" si="2"/>
        <v>20</v>
      </c>
    </row>
    <row r="1345">
      <c r="A1345" s="4" t="s">
        <v>1544</v>
      </c>
      <c r="B1345" s="4" t="s">
        <v>1545</v>
      </c>
      <c r="C1345" s="12">
        <f>IFERROR(__xludf.DUMMYFUNCTION("""COMPUTED_VALUE"""),44662.86890046296)</f>
        <v>44662.8689</v>
      </c>
      <c r="D1345" s="13">
        <f t="shared" si="1"/>
        <v>11</v>
      </c>
      <c r="E1345" s="13">
        <f t="shared" si="2"/>
        <v>20</v>
      </c>
    </row>
    <row r="1346">
      <c r="A1346" s="4" t="s">
        <v>1546</v>
      </c>
      <c r="B1346" s="16"/>
      <c r="C1346" s="12">
        <f>IFERROR(__xludf.DUMMYFUNCTION("""COMPUTED_VALUE"""),44662.86814814815)</f>
        <v>44662.86815</v>
      </c>
      <c r="D1346" s="13">
        <f t="shared" si="1"/>
        <v>11</v>
      </c>
      <c r="E1346" s="13">
        <f t="shared" si="2"/>
        <v>20</v>
      </c>
    </row>
    <row r="1347">
      <c r="A1347" s="4" t="s">
        <v>1547</v>
      </c>
      <c r="B1347" s="4" t="s">
        <v>1548</v>
      </c>
      <c r="C1347" s="12">
        <f>IFERROR(__xludf.DUMMYFUNCTION("""COMPUTED_VALUE"""),44662.867430555554)</f>
        <v>44662.86743</v>
      </c>
      <c r="D1347" s="13">
        <f t="shared" si="1"/>
        <v>11</v>
      </c>
      <c r="E1347" s="13">
        <f t="shared" si="2"/>
        <v>20</v>
      </c>
    </row>
    <row r="1348">
      <c r="A1348" s="4" t="s">
        <v>1549</v>
      </c>
      <c r="B1348" s="4" t="s">
        <v>1550</v>
      </c>
      <c r="C1348" s="12">
        <f>IFERROR(__xludf.DUMMYFUNCTION("""COMPUTED_VALUE"""),44662.86736111111)</f>
        <v>44662.86736</v>
      </c>
      <c r="D1348" s="13">
        <f t="shared" si="1"/>
        <v>11</v>
      </c>
      <c r="E1348" s="13">
        <f t="shared" si="2"/>
        <v>20</v>
      </c>
    </row>
    <row r="1349">
      <c r="A1349" s="4" t="s">
        <v>1551</v>
      </c>
      <c r="B1349" s="16"/>
      <c r="C1349" s="12">
        <f>IFERROR(__xludf.DUMMYFUNCTION("""COMPUTED_VALUE"""),44662.86715277778)</f>
        <v>44662.86715</v>
      </c>
      <c r="D1349" s="13">
        <f t="shared" si="1"/>
        <v>11</v>
      </c>
      <c r="E1349" s="13">
        <f t="shared" si="2"/>
        <v>20</v>
      </c>
    </row>
    <row r="1350">
      <c r="A1350" s="4" t="s">
        <v>1552</v>
      </c>
      <c r="B1350" s="4" t="s">
        <v>1321</v>
      </c>
      <c r="C1350" s="12">
        <f>IFERROR(__xludf.DUMMYFUNCTION("""COMPUTED_VALUE"""),44662.86673611111)</f>
        <v>44662.86674</v>
      </c>
      <c r="D1350" s="13">
        <f t="shared" si="1"/>
        <v>11</v>
      </c>
      <c r="E1350" s="13">
        <f t="shared" si="2"/>
        <v>20</v>
      </c>
    </row>
    <row r="1351">
      <c r="A1351" s="4" t="s">
        <v>1553</v>
      </c>
      <c r="B1351" s="16"/>
      <c r="C1351" s="12">
        <f>IFERROR(__xludf.DUMMYFUNCTION("""COMPUTED_VALUE"""),44662.86650462963)</f>
        <v>44662.8665</v>
      </c>
      <c r="D1351" s="13">
        <f t="shared" si="1"/>
        <v>11</v>
      </c>
      <c r="E1351" s="13">
        <f t="shared" si="2"/>
        <v>20</v>
      </c>
    </row>
    <row r="1352">
      <c r="A1352" s="4" t="s">
        <v>1554</v>
      </c>
      <c r="B1352" s="16"/>
      <c r="C1352" s="12">
        <f>IFERROR(__xludf.DUMMYFUNCTION("""COMPUTED_VALUE"""),44662.866018518514)</f>
        <v>44662.86602</v>
      </c>
      <c r="D1352" s="13">
        <f t="shared" si="1"/>
        <v>11</v>
      </c>
      <c r="E1352" s="13">
        <f t="shared" si="2"/>
        <v>20</v>
      </c>
    </row>
    <row r="1353">
      <c r="A1353" s="4" t="s">
        <v>1555</v>
      </c>
      <c r="B1353" s="4" t="s">
        <v>1071</v>
      </c>
      <c r="C1353" s="12">
        <f>IFERROR(__xludf.DUMMYFUNCTION("""COMPUTED_VALUE"""),44662.86584490741)</f>
        <v>44662.86584</v>
      </c>
      <c r="D1353" s="13">
        <f t="shared" si="1"/>
        <v>11</v>
      </c>
      <c r="E1353" s="13">
        <f t="shared" si="2"/>
        <v>20</v>
      </c>
    </row>
    <row r="1354">
      <c r="A1354" s="4" t="s">
        <v>1556</v>
      </c>
      <c r="B1354" s="4" t="s">
        <v>1071</v>
      </c>
      <c r="C1354" s="12">
        <f>IFERROR(__xludf.DUMMYFUNCTION("""COMPUTED_VALUE"""),44662.86582175926)</f>
        <v>44662.86582</v>
      </c>
      <c r="D1354" s="13">
        <f t="shared" si="1"/>
        <v>11</v>
      </c>
      <c r="E1354" s="13">
        <f t="shared" si="2"/>
        <v>20</v>
      </c>
    </row>
    <row r="1355">
      <c r="A1355" s="4" t="s">
        <v>1557</v>
      </c>
      <c r="B1355" s="4" t="s">
        <v>1558</v>
      </c>
      <c r="C1355" s="12">
        <f>IFERROR(__xludf.DUMMYFUNCTION("""COMPUTED_VALUE"""),44662.86415509259)</f>
        <v>44662.86416</v>
      </c>
      <c r="D1355" s="13">
        <f t="shared" si="1"/>
        <v>11</v>
      </c>
      <c r="E1355" s="13">
        <f t="shared" si="2"/>
        <v>20</v>
      </c>
    </row>
    <row r="1356">
      <c r="A1356" s="4" t="s">
        <v>1559</v>
      </c>
      <c r="B1356" s="4" t="s">
        <v>1560</v>
      </c>
      <c r="C1356" s="12">
        <f>IFERROR(__xludf.DUMMYFUNCTION("""COMPUTED_VALUE"""),44662.8641087963)</f>
        <v>44662.86411</v>
      </c>
      <c r="D1356" s="13">
        <f t="shared" si="1"/>
        <v>11</v>
      </c>
      <c r="E1356" s="13">
        <f t="shared" si="2"/>
        <v>20</v>
      </c>
    </row>
    <row r="1357">
      <c r="A1357" s="4" t="s">
        <v>1561</v>
      </c>
      <c r="B1357" s="4" t="s">
        <v>1562</v>
      </c>
      <c r="C1357" s="12">
        <f>IFERROR(__xludf.DUMMYFUNCTION("""COMPUTED_VALUE"""),44662.862812499996)</f>
        <v>44662.86281</v>
      </c>
      <c r="D1357" s="13">
        <f t="shared" si="1"/>
        <v>11</v>
      </c>
      <c r="E1357" s="13">
        <f t="shared" si="2"/>
        <v>20</v>
      </c>
    </row>
    <row r="1358">
      <c r="A1358" s="4" t="s">
        <v>1563</v>
      </c>
      <c r="B1358" s="16"/>
      <c r="C1358" s="12">
        <f>IFERROR(__xludf.DUMMYFUNCTION("""COMPUTED_VALUE"""),44662.86158564815)</f>
        <v>44662.86159</v>
      </c>
      <c r="D1358" s="13">
        <f t="shared" si="1"/>
        <v>11</v>
      </c>
      <c r="E1358" s="13">
        <f t="shared" si="2"/>
        <v>20</v>
      </c>
    </row>
    <row r="1359">
      <c r="A1359" s="4" t="s">
        <v>1564</v>
      </c>
      <c r="B1359" s="4" t="s">
        <v>1565</v>
      </c>
      <c r="C1359" s="12">
        <f>IFERROR(__xludf.DUMMYFUNCTION("""COMPUTED_VALUE"""),44662.86046296296)</f>
        <v>44662.86046</v>
      </c>
      <c r="D1359" s="13">
        <f t="shared" si="1"/>
        <v>11</v>
      </c>
      <c r="E1359" s="13">
        <f t="shared" si="2"/>
        <v>20</v>
      </c>
    </row>
    <row r="1360">
      <c r="A1360" s="4" t="s">
        <v>1566</v>
      </c>
      <c r="B1360" s="4" t="s">
        <v>1565</v>
      </c>
      <c r="C1360" s="12">
        <f>IFERROR(__xludf.DUMMYFUNCTION("""COMPUTED_VALUE"""),44662.86043981481)</f>
        <v>44662.86044</v>
      </c>
      <c r="D1360" s="13">
        <f t="shared" si="1"/>
        <v>11</v>
      </c>
      <c r="E1360" s="13">
        <f t="shared" si="2"/>
        <v>20</v>
      </c>
    </row>
    <row r="1361">
      <c r="A1361" s="4" t="s">
        <v>1567</v>
      </c>
      <c r="B1361" s="4" t="s">
        <v>1565</v>
      </c>
      <c r="C1361" s="12">
        <f>IFERROR(__xludf.DUMMYFUNCTION("""COMPUTED_VALUE"""),44662.86042824074)</f>
        <v>44662.86043</v>
      </c>
      <c r="D1361" s="13">
        <f t="shared" si="1"/>
        <v>11</v>
      </c>
      <c r="E1361" s="13">
        <f t="shared" si="2"/>
        <v>20</v>
      </c>
    </row>
    <row r="1362">
      <c r="A1362" s="4" t="s">
        <v>1568</v>
      </c>
      <c r="B1362" s="4" t="s">
        <v>1565</v>
      </c>
      <c r="C1362" s="12">
        <f>IFERROR(__xludf.DUMMYFUNCTION("""COMPUTED_VALUE"""),44662.86040509259)</f>
        <v>44662.86041</v>
      </c>
      <c r="D1362" s="13">
        <f t="shared" si="1"/>
        <v>11</v>
      </c>
      <c r="E1362" s="13">
        <f t="shared" si="2"/>
        <v>20</v>
      </c>
    </row>
    <row r="1363">
      <c r="A1363" s="4" t="s">
        <v>1569</v>
      </c>
      <c r="B1363" s="4" t="s">
        <v>1565</v>
      </c>
      <c r="C1363" s="12">
        <f>IFERROR(__xludf.DUMMYFUNCTION("""COMPUTED_VALUE"""),44662.86034722222)</f>
        <v>44662.86035</v>
      </c>
      <c r="D1363" s="13">
        <f t="shared" si="1"/>
        <v>11</v>
      </c>
      <c r="E1363" s="13">
        <f t="shared" si="2"/>
        <v>20</v>
      </c>
    </row>
    <row r="1364">
      <c r="A1364" s="4" t="s">
        <v>1570</v>
      </c>
      <c r="B1364" s="4" t="s">
        <v>1571</v>
      </c>
      <c r="C1364" s="12">
        <f>IFERROR(__xludf.DUMMYFUNCTION("""COMPUTED_VALUE"""),44662.86011574074)</f>
        <v>44662.86012</v>
      </c>
      <c r="D1364" s="13">
        <f t="shared" si="1"/>
        <v>11</v>
      </c>
      <c r="E1364" s="13">
        <f t="shared" si="2"/>
        <v>20</v>
      </c>
    </row>
    <row r="1365">
      <c r="A1365" s="4" t="s">
        <v>1572</v>
      </c>
      <c r="B1365" s="4" t="s">
        <v>1573</v>
      </c>
      <c r="C1365" s="12">
        <f>IFERROR(__xludf.DUMMYFUNCTION("""COMPUTED_VALUE"""),44662.85991898148)</f>
        <v>44662.85992</v>
      </c>
      <c r="D1365" s="13">
        <f t="shared" si="1"/>
        <v>11</v>
      </c>
      <c r="E1365" s="13">
        <f t="shared" si="2"/>
        <v>20</v>
      </c>
    </row>
    <row r="1366">
      <c r="A1366" s="4" t="s">
        <v>1574</v>
      </c>
      <c r="B1366" s="4" t="s">
        <v>1575</v>
      </c>
      <c r="C1366" s="12">
        <f>IFERROR(__xludf.DUMMYFUNCTION("""COMPUTED_VALUE"""),44662.85873842592)</f>
        <v>44662.85874</v>
      </c>
      <c r="D1366" s="13">
        <f t="shared" si="1"/>
        <v>11</v>
      </c>
      <c r="E1366" s="13">
        <f t="shared" si="2"/>
        <v>20</v>
      </c>
    </row>
    <row r="1367">
      <c r="A1367" s="4" t="s">
        <v>1576</v>
      </c>
      <c r="B1367" s="16"/>
      <c r="C1367" s="12">
        <f>IFERROR(__xludf.DUMMYFUNCTION("""COMPUTED_VALUE"""),44662.858715277776)</f>
        <v>44662.85872</v>
      </c>
      <c r="D1367" s="13">
        <f t="shared" si="1"/>
        <v>11</v>
      </c>
      <c r="E1367" s="13">
        <f t="shared" si="2"/>
        <v>20</v>
      </c>
    </row>
    <row r="1368">
      <c r="A1368" s="4" t="s">
        <v>1577</v>
      </c>
      <c r="B1368" s="16"/>
      <c r="C1368" s="12">
        <f>IFERROR(__xludf.DUMMYFUNCTION("""COMPUTED_VALUE"""),44662.85841435185)</f>
        <v>44662.85841</v>
      </c>
      <c r="D1368" s="13">
        <f t="shared" si="1"/>
        <v>11</v>
      </c>
      <c r="E1368" s="13">
        <f t="shared" si="2"/>
        <v>20</v>
      </c>
    </row>
    <row r="1369">
      <c r="A1369" s="4" t="s">
        <v>1578</v>
      </c>
      <c r="B1369" s="16"/>
      <c r="C1369" s="12">
        <f>IFERROR(__xludf.DUMMYFUNCTION("""COMPUTED_VALUE"""),44662.85821759259)</f>
        <v>44662.85822</v>
      </c>
      <c r="D1369" s="13">
        <f t="shared" si="1"/>
        <v>11</v>
      </c>
      <c r="E1369" s="13">
        <f t="shared" si="2"/>
        <v>20</v>
      </c>
    </row>
    <row r="1370">
      <c r="A1370" s="4" t="s">
        <v>1579</v>
      </c>
      <c r="B1370" s="16"/>
      <c r="C1370" s="12">
        <f>IFERROR(__xludf.DUMMYFUNCTION("""COMPUTED_VALUE"""),44662.85696759259)</f>
        <v>44662.85697</v>
      </c>
      <c r="D1370" s="13">
        <f t="shared" si="1"/>
        <v>11</v>
      </c>
      <c r="E1370" s="13">
        <f t="shared" si="2"/>
        <v>20</v>
      </c>
    </row>
    <row r="1371">
      <c r="A1371" s="4" t="s">
        <v>1580</v>
      </c>
      <c r="B1371" s="4" t="s">
        <v>1581</v>
      </c>
      <c r="C1371" s="12">
        <f>IFERROR(__xludf.DUMMYFUNCTION("""COMPUTED_VALUE"""),44662.8565625)</f>
        <v>44662.85656</v>
      </c>
      <c r="D1371" s="13">
        <f t="shared" si="1"/>
        <v>11</v>
      </c>
      <c r="E1371" s="13">
        <f t="shared" si="2"/>
        <v>20</v>
      </c>
    </row>
    <row r="1372">
      <c r="A1372" s="4" t="s">
        <v>1582</v>
      </c>
      <c r="B1372" s="16"/>
      <c r="C1372" s="12">
        <f>IFERROR(__xludf.DUMMYFUNCTION("""COMPUTED_VALUE"""),44662.85623842592)</f>
        <v>44662.85624</v>
      </c>
      <c r="D1372" s="13">
        <f t="shared" si="1"/>
        <v>11</v>
      </c>
      <c r="E1372" s="13">
        <f t="shared" si="2"/>
        <v>20</v>
      </c>
    </row>
    <row r="1373">
      <c r="A1373" s="4" t="s">
        <v>1583</v>
      </c>
      <c r="B1373" s="4" t="s">
        <v>1269</v>
      </c>
      <c r="C1373" s="12">
        <f>IFERROR(__xludf.DUMMYFUNCTION("""COMPUTED_VALUE"""),44662.85607638889)</f>
        <v>44662.85608</v>
      </c>
      <c r="D1373" s="13">
        <f t="shared" si="1"/>
        <v>11</v>
      </c>
      <c r="E1373" s="13">
        <f t="shared" si="2"/>
        <v>20</v>
      </c>
    </row>
    <row r="1374">
      <c r="A1374" s="4" t="s">
        <v>1584</v>
      </c>
      <c r="B1374" s="4" t="s">
        <v>1269</v>
      </c>
      <c r="C1374" s="12">
        <f>IFERROR(__xludf.DUMMYFUNCTION("""COMPUTED_VALUE"""),44662.856053240735)</f>
        <v>44662.85605</v>
      </c>
      <c r="D1374" s="13">
        <f t="shared" si="1"/>
        <v>11</v>
      </c>
      <c r="E1374" s="13">
        <f t="shared" si="2"/>
        <v>20</v>
      </c>
    </row>
    <row r="1375">
      <c r="A1375" s="4" t="s">
        <v>1585</v>
      </c>
      <c r="B1375" s="4" t="s">
        <v>1269</v>
      </c>
      <c r="C1375" s="12">
        <f>IFERROR(__xludf.DUMMYFUNCTION("""COMPUTED_VALUE"""),44662.85600694444)</f>
        <v>44662.85601</v>
      </c>
      <c r="D1375" s="13">
        <f t="shared" si="1"/>
        <v>11</v>
      </c>
      <c r="E1375" s="13">
        <f t="shared" si="2"/>
        <v>20</v>
      </c>
    </row>
    <row r="1376">
      <c r="A1376" s="4" t="s">
        <v>1586</v>
      </c>
      <c r="B1376" s="16"/>
      <c r="C1376" s="12">
        <f>IFERROR(__xludf.DUMMYFUNCTION("""COMPUTED_VALUE"""),44662.85587962963)</f>
        <v>44662.85588</v>
      </c>
      <c r="D1376" s="13">
        <f t="shared" si="1"/>
        <v>11</v>
      </c>
      <c r="E1376" s="13">
        <f t="shared" si="2"/>
        <v>20</v>
      </c>
    </row>
    <row r="1377">
      <c r="A1377" s="4" t="s">
        <v>1587</v>
      </c>
      <c r="B1377" s="4" t="s">
        <v>1588</v>
      </c>
      <c r="C1377" s="12">
        <f>IFERROR(__xludf.DUMMYFUNCTION("""COMPUTED_VALUE"""),44662.85585648148)</f>
        <v>44662.85586</v>
      </c>
      <c r="D1377" s="13">
        <f t="shared" si="1"/>
        <v>11</v>
      </c>
      <c r="E1377" s="13">
        <f t="shared" si="2"/>
        <v>20</v>
      </c>
    </row>
    <row r="1378">
      <c r="A1378" s="4" t="s">
        <v>1589</v>
      </c>
      <c r="B1378" s="4" t="s">
        <v>1590</v>
      </c>
      <c r="C1378" s="12">
        <f>IFERROR(__xludf.DUMMYFUNCTION("""COMPUTED_VALUE"""),44662.855844907404)</f>
        <v>44662.85584</v>
      </c>
      <c r="D1378" s="13">
        <f t="shared" si="1"/>
        <v>11</v>
      </c>
      <c r="E1378" s="13">
        <f t="shared" si="2"/>
        <v>20</v>
      </c>
    </row>
    <row r="1379">
      <c r="A1379" s="4" t="s">
        <v>1591</v>
      </c>
      <c r="B1379" s="4" t="s">
        <v>1269</v>
      </c>
      <c r="C1379" s="12">
        <f>IFERROR(__xludf.DUMMYFUNCTION("""COMPUTED_VALUE"""),44662.85564814814)</f>
        <v>44662.85565</v>
      </c>
      <c r="D1379" s="13">
        <f t="shared" si="1"/>
        <v>11</v>
      </c>
      <c r="E1379" s="13">
        <f t="shared" si="2"/>
        <v>20</v>
      </c>
    </row>
    <row r="1380">
      <c r="A1380" s="4" t="s">
        <v>1592</v>
      </c>
      <c r="B1380" s="4" t="s">
        <v>1269</v>
      </c>
      <c r="C1380" s="12">
        <f>IFERROR(__xludf.DUMMYFUNCTION("""COMPUTED_VALUE"""),44662.855532407404)</f>
        <v>44662.85553</v>
      </c>
      <c r="D1380" s="13">
        <f t="shared" si="1"/>
        <v>11</v>
      </c>
      <c r="E1380" s="13">
        <f t="shared" si="2"/>
        <v>20</v>
      </c>
    </row>
    <row r="1381">
      <c r="A1381" s="4" t="s">
        <v>1593</v>
      </c>
      <c r="B1381" s="4" t="s">
        <v>1269</v>
      </c>
      <c r="C1381" s="12">
        <f>IFERROR(__xludf.DUMMYFUNCTION("""COMPUTED_VALUE"""),44662.855162037034)</f>
        <v>44662.85516</v>
      </c>
      <c r="D1381" s="13">
        <f t="shared" si="1"/>
        <v>11</v>
      </c>
      <c r="E1381" s="13">
        <f t="shared" si="2"/>
        <v>20</v>
      </c>
    </row>
    <row r="1382">
      <c r="A1382" s="4" t="s">
        <v>1594</v>
      </c>
      <c r="B1382" s="4" t="s">
        <v>1269</v>
      </c>
      <c r="C1382" s="12">
        <f>IFERROR(__xludf.DUMMYFUNCTION("""COMPUTED_VALUE"""),44662.85508101852)</f>
        <v>44662.85508</v>
      </c>
      <c r="D1382" s="13">
        <f t="shared" si="1"/>
        <v>11</v>
      </c>
      <c r="E1382" s="13">
        <f t="shared" si="2"/>
        <v>20</v>
      </c>
    </row>
    <row r="1383">
      <c r="A1383" s="4" t="s">
        <v>1595</v>
      </c>
      <c r="B1383" s="4" t="s">
        <v>1269</v>
      </c>
      <c r="C1383" s="12">
        <f>IFERROR(__xludf.DUMMYFUNCTION("""COMPUTED_VALUE"""),44662.8549537037)</f>
        <v>44662.85495</v>
      </c>
      <c r="D1383" s="13">
        <f t="shared" si="1"/>
        <v>11</v>
      </c>
      <c r="E1383" s="13">
        <f t="shared" si="2"/>
        <v>20</v>
      </c>
    </row>
    <row r="1384">
      <c r="A1384" s="4" t="s">
        <v>1596</v>
      </c>
      <c r="B1384" s="4" t="s">
        <v>1269</v>
      </c>
      <c r="C1384" s="12">
        <f>IFERROR(__xludf.DUMMYFUNCTION("""COMPUTED_VALUE"""),44662.854895833334)</f>
        <v>44662.8549</v>
      </c>
      <c r="D1384" s="13">
        <f t="shared" si="1"/>
        <v>11</v>
      </c>
      <c r="E1384" s="13">
        <f t="shared" si="2"/>
        <v>20</v>
      </c>
    </row>
    <row r="1385">
      <c r="A1385" s="4" t="s">
        <v>1597</v>
      </c>
      <c r="B1385" s="4" t="s">
        <v>1269</v>
      </c>
      <c r="C1385" s="12">
        <f>IFERROR(__xludf.DUMMYFUNCTION("""COMPUTED_VALUE"""),44662.85471064815)</f>
        <v>44662.85471</v>
      </c>
      <c r="D1385" s="13">
        <f t="shared" si="1"/>
        <v>11</v>
      </c>
      <c r="E1385" s="13">
        <f t="shared" si="2"/>
        <v>20</v>
      </c>
    </row>
    <row r="1386">
      <c r="A1386" s="4" t="s">
        <v>1598</v>
      </c>
      <c r="B1386" s="4" t="s">
        <v>1269</v>
      </c>
      <c r="C1386" s="12">
        <f>IFERROR(__xludf.DUMMYFUNCTION("""COMPUTED_VALUE"""),44662.854629629626)</f>
        <v>44662.85463</v>
      </c>
      <c r="D1386" s="13">
        <f t="shared" si="1"/>
        <v>11</v>
      </c>
      <c r="E1386" s="13">
        <f t="shared" si="2"/>
        <v>20</v>
      </c>
    </row>
    <row r="1387">
      <c r="A1387" s="4" t="s">
        <v>1599</v>
      </c>
      <c r="B1387" s="16"/>
      <c r="C1387" s="12">
        <f>IFERROR(__xludf.DUMMYFUNCTION("""COMPUTED_VALUE"""),44662.854421296295)</f>
        <v>44662.85442</v>
      </c>
      <c r="D1387" s="13">
        <f t="shared" si="1"/>
        <v>11</v>
      </c>
      <c r="E1387" s="13">
        <f t="shared" si="2"/>
        <v>20</v>
      </c>
    </row>
    <row r="1388">
      <c r="A1388" s="4" t="s">
        <v>1600</v>
      </c>
      <c r="B1388" s="4" t="s">
        <v>1269</v>
      </c>
      <c r="C1388" s="12">
        <f>IFERROR(__xludf.DUMMYFUNCTION("""COMPUTED_VALUE"""),44662.854374999995)</f>
        <v>44662.85438</v>
      </c>
      <c r="D1388" s="13">
        <f t="shared" si="1"/>
        <v>11</v>
      </c>
      <c r="E1388" s="13">
        <f t="shared" si="2"/>
        <v>20</v>
      </c>
    </row>
    <row r="1389">
      <c r="A1389" s="4" t="s">
        <v>1601</v>
      </c>
      <c r="B1389" s="4" t="s">
        <v>1590</v>
      </c>
      <c r="C1389" s="12">
        <f>IFERROR(__xludf.DUMMYFUNCTION("""COMPUTED_VALUE"""),44662.85434027777)</f>
        <v>44662.85434</v>
      </c>
      <c r="D1389" s="13">
        <f t="shared" si="1"/>
        <v>11</v>
      </c>
      <c r="E1389" s="13">
        <f t="shared" si="2"/>
        <v>20</v>
      </c>
    </row>
    <row r="1390">
      <c r="A1390" s="4" t="s">
        <v>1602</v>
      </c>
      <c r="B1390" s="4" t="s">
        <v>1269</v>
      </c>
      <c r="C1390" s="12">
        <f>IFERROR(__xludf.DUMMYFUNCTION("""COMPUTED_VALUE"""),44662.8543287037)</f>
        <v>44662.85433</v>
      </c>
      <c r="D1390" s="13">
        <f t="shared" si="1"/>
        <v>11</v>
      </c>
      <c r="E1390" s="13">
        <f t="shared" si="2"/>
        <v>20</v>
      </c>
    </row>
    <row r="1391">
      <c r="A1391" s="4" t="s">
        <v>1603</v>
      </c>
      <c r="B1391" s="4" t="s">
        <v>1269</v>
      </c>
      <c r="C1391" s="12">
        <f>IFERROR(__xludf.DUMMYFUNCTION("""COMPUTED_VALUE"""),44662.854212962964)</f>
        <v>44662.85421</v>
      </c>
      <c r="D1391" s="13">
        <f t="shared" si="1"/>
        <v>11</v>
      </c>
      <c r="E1391" s="13">
        <f t="shared" si="2"/>
        <v>20</v>
      </c>
    </row>
    <row r="1392">
      <c r="A1392" s="4" t="s">
        <v>1604</v>
      </c>
      <c r="B1392" s="4" t="s">
        <v>1269</v>
      </c>
      <c r="C1392" s="12">
        <f>IFERROR(__xludf.DUMMYFUNCTION("""COMPUTED_VALUE"""),44662.85418981481)</f>
        <v>44662.85419</v>
      </c>
      <c r="D1392" s="13">
        <f t="shared" si="1"/>
        <v>11</v>
      </c>
      <c r="E1392" s="13">
        <f t="shared" si="2"/>
        <v>20</v>
      </c>
    </row>
    <row r="1393">
      <c r="A1393" s="4" t="s">
        <v>1605</v>
      </c>
      <c r="B1393" s="4" t="s">
        <v>1269</v>
      </c>
      <c r="C1393" s="12">
        <f>IFERROR(__xludf.DUMMYFUNCTION("""COMPUTED_VALUE"""),44662.85415509259)</f>
        <v>44662.85416</v>
      </c>
      <c r="D1393" s="13">
        <f t="shared" si="1"/>
        <v>11</v>
      </c>
      <c r="E1393" s="13">
        <f t="shared" si="2"/>
        <v>20</v>
      </c>
    </row>
    <row r="1394">
      <c r="A1394" s="4" t="s">
        <v>1606</v>
      </c>
      <c r="B1394" s="4" t="s">
        <v>1269</v>
      </c>
      <c r="C1394" s="12">
        <f>IFERROR(__xludf.DUMMYFUNCTION("""COMPUTED_VALUE"""),44662.85414351852)</f>
        <v>44662.85414</v>
      </c>
      <c r="D1394" s="13">
        <f t="shared" si="1"/>
        <v>11</v>
      </c>
      <c r="E1394" s="13">
        <f t="shared" si="2"/>
        <v>20</v>
      </c>
    </row>
    <row r="1395">
      <c r="A1395" s="4" t="s">
        <v>1607</v>
      </c>
      <c r="B1395" s="4" t="s">
        <v>1269</v>
      </c>
      <c r="C1395" s="12">
        <f>IFERROR(__xludf.DUMMYFUNCTION("""COMPUTED_VALUE"""),44662.854120370364)</f>
        <v>44662.85412</v>
      </c>
      <c r="D1395" s="13">
        <f t="shared" si="1"/>
        <v>11</v>
      </c>
      <c r="E1395" s="13">
        <f t="shared" si="2"/>
        <v>20</v>
      </c>
    </row>
    <row r="1396">
      <c r="A1396" s="4" t="s">
        <v>1608</v>
      </c>
      <c r="B1396" s="4" t="s">
        <v>1269</v>
      </c>
      <c r="C1396" s="12">
        <f>IFERROR(__xludf.DUMMYFUNCTION("""COMPUTED_VALUE"""),44662.85408564815)</f>
        <v>44662.85409</v>
      </c>
      <c r="D1396" s="13">
        <f t="shared" si="1"/>
        <v>11</v>
      </c>
      <c r="E1396" s="13">
        <f t="shared" si="2"/>
        <v>20</v>
      </c>
    </row>
    <row r="1397">
      <c r="A1397" s="4" t="s">
        <v>1609</v>
      </c>
      <c r="B1397" s="4" t="s">
        <v>1269</v>
      </c>
      <c r="C1397" s="12">
        <f>IFERROR(__xludf.DUMMYFUNCTION("""COMPUTED_VALUE"""),44662.85403935185)</f>
        <v>44662.85404</v>
      </c>
      <c r="D1397" s="13">
        <f t="shared" si="1"/>
        <v>11</v>
      </c>
      <c r="E1397" s="13">
        <f t="shared" si="2"/>
        <v>20</v>
      </c>
    </row>
    <row r="1398">
      <c r="A1398" s="4" t="s">
        <v>1610</v>
      </c>
      <c r="B1398" s="4" t="s">
        <v>1269</v>
      </c>
      <c r="C1398" s="12">
        <f>IFERROR(__xludf.DUMMYFUNCTION("""COMPUTED_VALUE"""),44662.85380787037)</f>
        <v>44662.85381</v>
      </c>
      <c r="D1398" s="13">
        <f t="shared" si="1"/>
        <v>11</v>
      </c>
      <c r="E1398" s="13">
        <f t="shared" si="2"/>
        <v>20</v>
      </c>
    </row>
    <row r="1399">
      <c r="A1399" s="4" t="s">
        <v>1611</v>
      </c>
      <c r="B1399" s="4" t="s">
        <v>1269</v>
      </c>
      <c r="C1399" s="12">
        <f>IFERROR(__xludf.DUMMYFUNCTION("""COMPUTED_VALUE"""),44662.85377314815)</f>
        <v>44662.85377</v>
      </c>
      <c r="D1399" s="13">
        <f t="shared" si="1"/>
        <v>11</v>
      </c>
      <c r="E1399" s="13">
        <f t="shared" si="2"/>
        <v>20</v>
      </c>
    </row>
    <row r="1400">
      <c r="A1400" s="4" t="s">
        <v>1612</v>
      </c>
      <c r="B1400" s="4" t="s">
        <v>1613</v>
      </c>
      <c r="C1400" s="12">
        <f>IFERROR(__xludf.DUMMYFUNCTION("""COMPUTED_VALUE"""),44662.85350694444)</f>
        <v>44662.85351</v>
      </c>
      <c r="D1400" s="13">
        <f t="shared" si="1"/>
        <v>11</v>
      </c>
      <c r="E1400" s="13">
        <f t="shared" si="2"/>
        <v>20</v>
      </c>
    </row>
    <row r="1401">
      <c r="A1401" s="4" t="s">
        <v>1614</v>
      </c>
      <c r="B1401" s="4" t="s">
        <v>1615</v>
      </c>
      <c r="C1401" s="12">
        <f>IFERROR(__xludf.DUMMYFUNCTION("""COMPUTED_VALUE"""),44662.85247685185)</f>
        <v>44662.85248</v>
      </c>
      <c r="D1401" s="13">
        <f t="shared" si="1"/>
        <v>11</v>
      </c>
      <c r="E1401" s="13">
        <f t="shared" si="2"/>
        <v>20</v>
      </c>
    </row>
    <row r="1402">
      <c r="A1402" s="4" t="s">
        <v>1616</v>
      </c>
      <c r="B1402" s="16"/>
      <c r="C1402" s="12">
        <f>IFERROR(__xludf.DUMMYFUNCTION("""COMPUTED_VALUE"""),44662.852268518516)</f>
        <v>44662.85227</v>
      </c>
      <c r="D1402" s="13">
        <f t="shared" si="1"/>
        <v>11</v>
      </c>
      <c r="E1402" s="13">
        <f t="shared" si="2"/>
        <v>20</v>
      </c>
    </row>
    <row r="1403">
      <c r="A1403" s="4" t="s">
        <v>1617</v>
      </c>
      <c r="B1403" s="4" t="s">
        <v>1618</v>
      </c>
      <c r="C1403" s="12">
        <f>IFERROR(__xludf.DUMMYFUNCTION("""COMPUTED_VALUE"""),44662.85189814815)</f>
        <v>44662.8519</v>
      </c>
      <c r="D1403" s="13">
        <f t="shared" si="1"/>
        <v>11</v>
      </c>
      <c r="E1403" s="13">
        <f t="shared" si="2"/>
        <v>20</v>
      </c>
    </row>
    <row r="1404">
      <c r="A1404" s="4" t="s">
        <v>1619</v>
      </c>
      <c r="B1404" s="4" t="s">
        <v>1269</v>
      </c>
      <c r="C1404" s="12">
        <f>IFERROR(__xludf.DUMMYFUNCTION("""COMPUTED_VALUE"""),44662.85173611111)</f>
        <v>44662.85174</v>
      </c>
      <c r="D1404" s="13">
        <f t="shared" si="1"/>
        <v>11</v>
      </c>
      <c r="E1404" s="13">
        <f t="shared" si="2"/>
        <v>20</v>
      </c>
    </row>
    <row r="1405">
      <c r="A1405" s="4" t="s">
        <v>1619</v>
      </c>
      <c r="B1405" s="4" t="s">
        <v>1620</v>
      </c>
      <c r="C1405" s="12">
        <f>IFERROR(__xludf.DUMMYFUNCTION("""COMPUTED_VALUE"""),44662.85173611111)</f>
        <v>44662.85174</v>
      </c>
      <c r="D1405" s="13">
        <f t="shared" si="1"/>
        <v>11</v>
      </c>
      <c r="E1405" s="13">
        <f t="shared" si="2"/>
        <v>20</v>
      </c>
    </row>
    <row r="1406">
      <c r="A1406" s="4" t="s">
        <v>1621</v>
      </c>
      <c r="B1406" s="4" t="s">
        <v>1622</v>
      </c>
      <c r="C1406" s="12">
        <f>IFERROR(__xludf.DUMMYFUNCTION("""COMPUTED_VALUE"""),44662.85162037037)</f>
        <v>44662.85162</v>
      </c>
      <c r="D1406" s="13">
        <f t="shared" si="1"/>
        <v>11</v>
      </c>
      <c r="E1406" s="13">
        <f t="shared" si="2"/>
        <v>20</v>
      </c>
    </row>
    <row r="1407">
      <c r="A1407" s="4" t="s">
        <v>1623</v>
      </c>
      <c r="B1407" s="16"/>
      <c r="C1407" s="12">
        <f>IFERROR(__xludf.DUMMYFUNCTION("""COMPUTED_VALUE"""),44662.85071759259)</f>
        <v>44662.85072</v>
      </c>
      <c r="D1407" s="13">
        <f t="shared" si="1"/>
        <v>11</v>
      </c>
      <c r="E1407" s="13">
        <f t="shared" si="2"/>
        <v>20</v>
      </c>
    </row>
    <row r="1408">
      <c r="A1408" s="4" t="s">
        <v>1624</v>
      </c>
      <c r="B1408" s="16"/>
      <c r="C1408" s="12">
        <f>IFERROR(__xludf.DUMMYFUNCTION("""COMPUTED_VALUE"""),44662.850625)</f>
        <v>44662.85063</v>
      </c>
      <c r="D1408" s="13">
        <f t="shared" si="1"/>
        <v>11</v>
      </c>
      <c r="E1408" s="13">
        <f t="shared" si="2"/>
        <v>20</v>
      </c>
    </row>
    <row r="1409">
      <c r="A1409" s="4" t="s">
        <v>1625</v>
      </c>
      <c r="B1409" s="16"/>
      <c r="C1409" s="12">
        <f>IFERROR(__xludf.DUMMYFUNCTION("""COMPUTED_VALUE"""),44662.85021990741)</f>
        <v>44662.85022</v>
      </c>
      <c r="D1409" s="13">
        <f t="shared" si="1"/>
        <v>11</v>
      </c>
      <c r="E1409" s="13">
        <f t="shared" si="2"/>
        <v>20</v>
      </c>
    </row>
    <row r="1410">
      <c r="A1410" s="4" t="s">
        <v>1626</v>
      </c>
      <c r="B1410" s="16"/>
      <c r="C1410" s="12">
        <f>IFERROR(__xludf.DUMMYFUNCTION("""COMPUTED_VALUE"""),44662.85020833333)</f>
        <v>44662.85021</v>
      </c>
      <c r="D1410" s="13">
        <f t="shared" si="1"/>
        <v>11</v>
      </c>
      <c r="E1410" s="13">
        <f t="shared" si="2"/>
        <v>20</v>
      </c>
    </row>
    <row r="1411">
      <c r="A1411" s="4" t="s">
        <v>1627</v>
      </c>
      <c r="B1411" s="16"/>
      <c r="C1411" s="12">
        <f>IFERROR(__xludf.DUMMYFUNCTION("""COMPUTED_VALUE"""),44662.85018518518)</f>
        <v>44662.85019</v>
      </c>
      <c r="D1411" s="13">
        <f t="shared" si="1"/>
        <v>11</v>
      </c>
      <c r="E1411" s="13">
        <f t="shared" si="2"/>
        <v>20</v>
      </c>
    </row>
    <row r="1412">
      <c r="A1412" s="4" t="s">
        <v>1628</v>
      </c>
      <c r="B1412" s="16"/>
      <c r="C1412" s="12">
        <f>IFERROR(__xludf.DUMMYFUNCTION("""COMPUTED_VALUE"""),44662.84884259259)</f>
        <v>44662.84884</v>
      </c>
      <c r="D1412" s="13">
        <f t="shared" si="1"/>
        <v>11</v>
      </c>
      <c r="E1412" s="13">
        <f t="shared" si="2"/>
        <v>20</v>
      </c>
    </row>
    <row r="1413">
      <c r="A1413" s="4" t="s">
        <v>1629</v>
      </c>
      <c r="B1413" s="16"/>
      <c r="C1413" s="12">
        <f>IFERROR(__xludf.DUMMYFUNCTION("""COMPUTED_VALUE"""),44662.84881944444)</f>
        <v>44662.84882</v>
      </c>
      <c r="D1413" s="13">
        <f t="shared" si="1"/>
        <v>11</v>
      </c>
      <c r="E1413" s="13">
        <f t="shared" si="2"/>
        <v>20</v>
      </c>
    </row>
    <row r="1414">
      <c r="A1414" s="4" t="s">
        <v>1630</v>
      </c>
      <c r="B1414" s="16"/>
      <c r="C1414" s="12">
        <f>IFERROR(__xludf.DUMMYFUNCTION("""COMPUTED_VALUE"""),44662.8487962963)</f>
        <v>44662.8488</v>
      </c>
      <c r="D1414" s="13">
        <f t="shared" si="1"/>
        <v>11</v>
      </c>
      <c r="E1414" s="13">
        <f t="shared" si="2"/>
        <v>20</v>
      </c>
    </row>
    <row r="1415">
      <c r="A1415" s="4" t="s">
        <v>1631</v>
      </c>
      <c r="B1415" s="16"/>
      <c r="C1415" s="12">
        <f>IFERROR(__xludf.DUMMYFUNCTION("""COMPUTED_VALUE"""),44662.848761574074)</f>
        <v>44662.84876</v>
      </c>
      <c r="D1415" s="13">
        <f t="shared" si="1"/>
        <v>11</v>
      </c>
      <c r="E1415" s="13">
        <f t="shared" si="2"/>
        <v>20</v>
      </c>
    </row>
    <row r="1416">
      <c r="A1416" s="4" t="s">
        <v>1632</v>
      </c>
      <c r="B1416" s="16"/>
      <c r="C1416" s="12">
        <f>IFERROR(__xludf.DUMMYFUNCTION("""COMPUTED_VALUE"""),44662.84873842592)</f>
        <v>44662.84874</v>
      </c>
      <c r="D1416" s="13">
        <f t="shared" si="1"/>
        <v>11</v>
      </c>
      <c r="E1416" s="13">
        <f t="shared" si="2"/>
        <v>20</v>
      </c>
    </row>
    <row r="1417">
      <c r="A1417" s="4" t="s">
        <v>1633</v>
      </c>
      <c r="B1417" s="16"/>
      <c r="C1417" s="12">
        <f>IFERROR(__xludf.DUMMYFUNCTION("""COMPUTED_VALUE"""),44662.848657407405)</f>
        <v>44662.84866</v>
      </c>
      <c r="D1417" s="13">
        <f t="shared" si="1"/>
        <v>11</v>
      </c>
      <c r="E1417" s="13">
        <f t="shared" si="2"/>
        <v>20</v>
      </c>
    </row>
    <row r="1418">
      <c r="A1418" s="4" t="s">
        <v>1634</v>
      </c>
      <c r="B1418" s="16"/>
      <c r="C1418" s="12">
        <f>IFERROR(__xludf.DUMMYFUNCTION("""COMPUTED_VALUE"""),44662.848599537036)</f>
        <v>44662.8486</v>
      </c>
      <c r="D1418" s="13">
        <f t="shared" si="1"/>
        <v>11</v>
      </c>
      <c r="E1418" s="13">
        <f t="shared" si="2"/>
        <v>20</v>
      </c>
    </row>
    <row r="1419">
      <c r="A1419" s="4" t="s">
        <v>1635</v>
      </c>
      <c r="B1419" s="16"/>
      <c r="C1419" s="12">
        <f>IFERROR(__xludf.DUMMYFUNCTION("""COMPUTED_VALUE"""),44662.84850694444)</f>
        <v>44662.84851</v>
      </c>
      <c r="D1419" s="13">
        <f t="shared" si="1"/>
        <v>11</v>
      </c>
      <c r="E1419" s="13">
        <f t="shared" si="2"/>
        <v>20</v>
      </c>
    </row>
    <row r="1420">
      <c r="A1420" s="4" t="s">
        <v>1636</v>
      </c>
      <c r="B1420" s="4" t="s">
        <v>1637</v>
      </c>
      <c r="C1420" s="12">
        <f>IFERROR(__xludf.DUMMYFUNCTION("""COMPUTED_VALUE"""),44662.84846064814)</f>
        <v>44662.84846</v>
      </c>
      <c r="D1420" s="13">
        <f t="shared" si="1"/>
        <v>11</v>
      </c>
      <c r="E1420" s="13">
        <f t="shared" si="2"/>
        <v>20</v>
      </c>
    </row>
    <row r="1421">
      <c r="A1421" s="4" t="s">
        <v>1638</v>
      </c>
      <c r="B1421" s="16"/>
      <c r="C1421" s="12">
        <f>IFERROR(__xludf.DUMMYFUNCTION("""COMPUTED_VALUE"""),44662.84814814814)</f>
        <v>44662.84815</v>
      </c>
      <c r="D1421" s="13">
        <f t="shared" si="1"/>
        <v>11</v>
      </c>
      <c r="E1421" s="13">
        <f t="shared" si="2"/>
        <v>20</v>
      </c>
    </row>
    <row r="1422">
      <c r="A1422" s="4" t="s">
        <v>1639</v>
      </c>
      <c r="B1422" s="16"/>
      <c r="C1422" s="12">
        <f>IFERROR(__xludf.DUMMYFUNCTION("""COMPUTED_VALUE"""),44662.848032407404)</f>
        <v>44662.84803</v>
      </c>
      <c r="D1422" s="13">
        <f t="shared" si="1"/>
        <v>11</v>
      </c>
      <c r="E1422" s="13">
        <f t="shared" si="2"/>
        <v>20</v>
      </c>
    </row>
    <row r="1423">
      <c r="A1423" s="4" t="s">
        <v>1640</v>
      </c>
      <c r="B1423" s="4" t="s">
        <v>1637</v>
      </c>
      <c r="C1423" s="12">
        <f>IFERROR(__xludf.DUMMYFUNCTION("""COMPUTED_VALUE"""),44662.84798611111)</f>
        <v>44662.84799</v>
      </c>
      <c r="D1423" s="13">
        <f t="shared" si="1"/>
        <v>11</v>
      </c>
      <c r="E1423" s="13">
        <f t="shared" si="2"/>
        <v>20</v>
      </c>
    </row>
    <row r="1424">
      <c r="A1424" s="4" t="s">
        <v>1641</v>
      </c>
      <c r="B1424" s="4" t="s">
        <v>1642</v>
      </c>
      <c r="C1424" s="12">
        <f>IFERROR(__xludf.DUMMYFUNCTION("""COMPUTED_VALUE"""),44662.84702546296)</f>
        <v>44662.84703</v>
      </c>
      <c r="D1424" s="13">
        <f t="shared" si="1"/>
        <v>11</v>
      </c>
      <c r="E1424" s="13">
        <f t="shared" si="2"/>
        <v>20</v>
      </c>
    </row>
    <row r="1425">
      <c r="A1425" s="4" t="s">
        <v>1643</v>
      </c>
      <c r="B1425" s="4" t="s">
        <v>1642</v>
      </c>
      <c r="C1425" s="12">
        <f>IFERROR(__xludf.DUMMYFUNCTION("""COMPUTED_VALUE"""),44662.846979166665)</f>
        <v>44662.84698</v>
      </c>
      <c r="D1425" s="13">
        <f t="shared" si="1"/>
        <v>11</v>
      </c>
      <c r="E1425" s="13">
        <f t="shared" si="2"/>
        <v>20</v>
      </c>
    </row>
    <row r="1426">
      <c r="A1426" s="4" t="s">
        <v>1644</v>
      </c>
      <c r="B1426" s="4" t="s">
        <v>1269</v>
      </c>
      <c r="C1426" s="12">
        <f>IFERROR(__xludf.DUMMYFUNCTION("""COMPUTED_VALUE"""),44662.84638888889)</f>
        <v>44662.84639</v>
      </c>
      <c r="D1426" s="13">
        <f t="shared" si="1"/>
        <v>11</v>
      </c>
      <c r="E1426" s="13">
        <f t="shared" si="2"/>
        <v>20</v>
      </c>
    </row>
    <row r="1427">
      <c r="A1427" s="4" t="s">
        <v>1645</v>
      </c>
      <c r="B1427" s="16"/>
      <c r="C1427" s="12">
        <f>IFERROR(__xludf.DUMMYFUNCTION("""COMPUTED_VALUE"""),44662.846354166664)</f>
        <v>44662.84635</v>
      </c>
      <c r="D1427" s="13">
        <f t="shared" si="1"/>
        <v>11</v>
      </c>
      <c r="E1427" s="13">
        <f t="shared" si="2"/>
        <v>20</v>
      </c>
    </row>
    <row r="1428">
      <c r="A1428" s="4" t="s">
        <v>1646</v>
      </c>
      <c r="B1428" s="16"/>
      <c r="C1428" s="12">
        <f>IFERROR(__xludf.DUMMYFUNCTION("""COMPUTED_VALUE"""),44662.846296296295)</f>
        <v>44662.8463</v>
      </c>
      <c r="D1428" s="13">
        <f t="shared" si="1"/>
        <v>11</v>
      </c>
      <c r="E1428" s="13">
        <f t="shared" si="2"/>
        <v>20</v>
      </c>
    </row>
    <row r="1429">
      <c r="A1429" s="4" t="s">
        <v>1647</v>
      </c>
      <c r="B1429" s="16"/>
      <c r="C1429" s="12">
        <f>IFERROR(__xludf.DUMMYFUNCTION("""COMPUTED_VALUE"""),44662.84627314815)</f>
        <v>44662.84627</v>
      </c>
      <c r="D1429" s="13">
        <f t="shared" si="1"/>
        <v>11</v>
      </c>
      <c r="E1429" s="13">
        <f t="shared" si="2"/>
        <v>20</v>
      </c>
    </row>
    <row r="1430">
      <c r="A1430" s="4" t="s">
        <v>1648</v>
      </c>
      <c r="B1430" s="4" t="s">
        <v>1649</v>
      </c>
      <c r="C1430" s="12">
        <f>IFERROR(__xludf.DUMMYFUNCTION("""COMPUTED_VALUE"""),44662.84603009259)</f>
        <v>44662.84603</v>
      </c>
      <c r="D1430" s="13">
        <f t="shared" si="1"/>
        <v>11</v>
      </c>
      <c r="E1430" s="13">
        <f t="shared" si="2"/>
        <v>20</v>
      </c>
    </row>
    <row r="1431">
      <c r="A1431" s="4" t="s">
        <v>1650</v>
      </c>
      <c r="B1431" s="4" t="s">
        <v>1651</v>
      </c>
      <c r="C1431" s="12">
        <f>IFERROR(__xludf.DUMMYFUNCTION("""COMPUTED_VALUE"""),44662.845254629625)</f>
        <v>44662.84525</v>
      </c>
      <c r="D1431" s="13">
        <f t="shared" si="1"/>
        <v>11</v>
      </c>
      <c r="E1431" s="13">
        <f t="shared" si="2"/>
        <v>20</v>
      </c>
    </row>
    <row r="1432">
      <c r="A1432" s="4" t="s">
        <v>1652</v>
      </c>
      <c r="B1432" s="16"/>
      <c r="C1432" s="12">
        <f>IFERROR(__xludf.DUMMYFUNCTION("""COMPUTED_VALUE"""),44662.84505787037)</f>
        <v>44662.84506</v>
      </c>
      <c r="D1432" s="13">
        <f t="shared" si="1"/>
        <v>11</v>
      </c>
      <c r="E1432" s="13">
        <f t="shared" si="2"/>
        <v>20</v>
      </c>
    </row>
    <row r="1433">
      <c r="A1433" s="4" t="s">
        <v>1653</v>
      </c>
      <c r="B1433" s="4" t="s">
        <v>1654</v>
      </c>
      <c r="C1433" s="12">
        <f>IFERROR(__xludf.DUMMYFUNCTION("""COMPUTED_VALUE"""),44662.84428240741)</f>
        <v>44662.84428</v>
      </c>
      <c r="D1433" s="13">
        <f t="shared" si="1"/>
        <v>11</v>
      </c>
      <c r="E1433" s="13">
        <f t="shared" si="2"/>
        <v>20</v>
      </c>
    </row>
    <row r="1434">
      <c r="A1434" s="4" t="s">
        <v>1655</v>
      </c>
      <c r="B1434" s="4" t="s">
        <v>1656</v>
      </c>
      <c r="C1434" s="12">
        <f>IFERROR(__xludf.DUMMYFUNCTION("""COMPUTED_VALUE"""),44662.84422453703)</f>
        <v>44662.84422</v>
      </c>
      <c r="D1434" s="13">
        <f t="shared" si="1"/>
        <v>11</v>
      </c>
      <c r="E1434" s="13">
        <f t="shared" si="2"/>
        <v>20</v>
      </c>
    </row>
    <row r="1435">
      <c r="A1435" s="4" t="s">
        <v>1657</v>
      </c>
      <c r="B1435" s="16"/>
      <c r="C1435" s="12">
        <f>IFERROR(__xludf.DUMMYFUNCTION("""COMPUTED_VALUE"""),44662.84417824074)</f>
        <v>44662.84418</v>
      </c>
      <c r="D1435" s="13">
        <f t="shared" si="1"/>
        <v>11</v>
      </c>
      <c r="E1435" s="13">
        <f t="shared" si="2"/>
        <v>20</v>
      </c>
    </row>
    <row r="1436">
      <c r="A1436" s="4" t="s">
        <v>1658</v>
      </c>
      <c r="B1436" s="16"/>
      <c r="C1436" s="12">
        <f>IFERROR(__xludf.DUMMYFUNCTION("""COMPUTED_VALUE"""),44662.84410879629)</f>
        <v>44662.84411</v>
      </c>
      <c r="D1436" s="13">
        <f t="shared" si="1"/>
        <v>11</v>
      </c>
      <c r="E1436" s="13">
        <f t="shared" si="2"/>
        <v>20</v>
      </c>
    </row>
    <row r="1437">
      <c r="A1437" s="4" t="s">
        <v>1659</v>
      </c>
      <c r="B1437" s="4" t="s">
        <v>1660</v>
      </c>
      <c r="C1437" s="12">
        <f>IFERROR(__xludf.DUMMYFUNCTION("""COMPUTED_VALUE"""),44662.843888888885)</f>
        <v>44662.84389</v>
      </c>
      <c r="D1437" s="13">
        <f t="shared" si="1"/>
        <v>11</v>
      </c>
      <c r="E1437" s="13">
        <f t="shared" si="2"/>
        <v>20</v>
      </c>
    </row>
    <row r="1438">
      <c r="A1438" s="4" t="s">
        <v>1661</v>
      </c>
      <c r="B1438" s="4" t="s">
        <v>1662</v>
      </c>
      <c r="C1438" s="12">
        <f>IFERROR(__xludf.DUMMYFUNCTION("""COMPUTED_VALUE"""),44662.84297453704)</f>
        <v>44662.84297</v>
      </c>
      <c r="D1438" s="13">
        <f t="shared" si="1"/>
        <v>11</v>
      </c>
      <c r="E1438" s="13">
        <f t="shared" si="2"/>
        <v>20</v>
      </c>
    </row>
    <row r="1439">
      <c r="A1439" s="4" t="s">
        <v>1663</v>
      </c>
      <c r="B1439" s="16"/>
      <c r="C1439" s="12">
        <f>IFERROR(__xludf.DUMMYFUNCTION("""COMPUTED_VALUE"""),44662.84255787037)</f>
        <v>44662.84256</v>
      </c>
      <c r="D1439" s="13">
        <f t="shared" si="1"/>
        <v>11</v>
      </c>
      <c r="E1439" s="13">
        <f t="shared" si="2"/>
        <v>20</v>
      </c>
    </row>
    <row r="1440">
      <c r="A1440" s="4" t="s">
        <v>1664</v>
      </c>
      <c r="B1440" s="4" t="s">
        <v>1665</v>
      </c>
      <c r="C1440" s="12">
        <f>IFERROR(__xludf.DUMMYFUNCTION("""COMPUTED_VALUE"""),44662.84248842592)</f>
        <v>44662.84249</v>
      </c>
      <c r="D1440" s="13">
        <f t="shared" si="1"/>
        <v>11</v>
      </c>
      <c r="E1440" s="13">
        <f t="shared" si="2"/>
        <v>20</v>
      </c>
    </row>
    <row r="1441">
      <c r="A1441" s="4" t="s">
        <v>1666</v>
      </c>
      <c r="B1441" s="4" t="s">
        <v>1667</v>
      </c>
      <c r="C1441" s="12">
        <f>IFERROR(__xludf.DUMMYFUNCTION("""COMPUTED_VALUE"""),44662.842314814814)</f>
        <v>44662.84231</v>
      </c>
      <c r="D1441" s="13">
        <f t="shared" si="1"/>
        <v>11</v>
      </c>
      <c r="E1441" s="13">
        <f t="shared" si="2"/>
        <v>20</v>
      </c>
    </row>
    <row r="1442">
      <c r="A1442" s="4" t="s">
        <v>1668</v>
      </c>
      <c r="B1442" s="4" t="s">
        <v>1669</v>
      </c>
      <c r="C1442" s="12">
        <f>IFERROR(__xludf.DUMMYFUNCTION("""COMPUTED_VALUE"""),44662.84112268518)</f>
        <v>44662.84112</v>
      </c>
      <c r="D1442" s="13">
        <f t="shared" si="1"/>
        <v>11</v>
      </c>
      <c r="E1442" s="13">
        <f t="shared" si="2"/>
        <v>20</v>
      </c>
    </row>
    <row r="1443">
      <c r="A1443" s="4" t="s">
        <v>1670</v>
      </c>
      <c r="B1443" s="4" t="s">
        <v>1671</v>
      </c>
      <c r="C1443" s="12">
        <f>IFERROR(__xludf.DUMMYFUNCTION("""COMPUTED_VALUE"""),44662.84020833333)</f>
        <v>44662.84021</v>
      </c>
      <c r="D1443" s="13">
        <f t="shared" si="1"/>
        <v>11</v>
      </c>
      <c r="E1443" s="13">
        <f t="shared" si="2"/>
        <v>20</v>
      </c>
    </row>
    <row r="1444">
      <c r="A1444" s="4" t="s">
        <v>1672</v>
      </c>
      <c r="B1444" s="16"/>
      <c r="C1444" s="12">
        <f>IFERROR(__xludf.DUMMYFUNCTION("""COMPUTED_VALUE"""),44662.839791666665)</f>
        <v>44662.83979</v>
      </c>
      <c r="D1444" s="13">
        <f t="shared" si="1"/>
        <v>11</v>
      </c>
      <c r="E1444" s="13">
        <f t="shared" si="2"/>
        <v>20</v>
      </c>
    </row>
    <row r="1445">
      <c r="A1445" s="4" t="s">
        <v>1673</v>
      </c>
      <c r="B1445" s="16"/>
      <c r="C1445" s="12">
        <f>IFERROR(__xludf.DUMMYFUNCTION("""COMPUTED_VALUE"""),44662.839745370366)</f>
        <v>44662.83975</v>
      </c>
      <c r="D1445" s="13">
        <f t="shared" si="1"/>
        <v>11</v>
      </c>
      <c r="E1445" s="13">
        <f t="shared" si="2"/>
        <v>20</v>
      </c>
    </row>
    <row r="1446">
      <c r="A1446" s="4" t="s">
        <v>1674</v>
      </c>
      <c r="B1446" s="4" t="s">
        <v>1675</v>
      </c>
      <c r="C1446" s="12">
        <f>IFERROR(__xludf.DUMMYFUNCTION("""COMPUTED_VALUE"""),44662.83787037037)</f>
        <v>44662.83787</v>
      </c>
      <c r="D1446" s="13">
        <f t="shared" si="1"/>
        <v>11</v>
      </c>
      <c r="E1446" s="13">
        <f t="shared" si="2"/>
        <v>20</v>
      </c>
    </row>
    <row r="1447">
      <c r="A1447" s="4" t="s">
        <v>1676</v>
      </c>
      <c r="B1447" s="4" t="s">
        <v>1098</v>
      </c>
      <c r="C1447" s="12">
        <f>IFERROR(__xludf.DUMMYFUNCTION("""COMPUTED_VALUE"""),44662.83736111111)</f>
        <v>44662.83736</v>
      </c>
      <c r="D1447" s="13">
        <f t="shared" si="1"/>
        <v>11</v>
      </c>
      <c r="E1447" s="13">
        <f t="shared" si="2"/>
        <v>20</v>
      </c>
    </row>
    <row r="1448">
      <c r="A1448" s="4" t="s">
        <v>1677</v>
      </c>
      <c r="B1448" s="4" t="s">
        <v>1678</v>
      </c>
      <c r="C1448" s="12">
        <f>IFERROR(__xludf.DUMMYFUNCTION("""COMPUTED_VALUE"""),44662.83645833333)</f>
        <v>44662.83646</v>
      </c>
      <c r="D1448" s="13">
        <f t="shared" si="1"/>
        <v>11</v>
      </c>
      <c r="E1448" s="13">
        <f t="shared" si="2"/>
        <v>20</v>
      </c>
    </row>
    <row r="1449">
      <c r="A1449" s="4" t="s">
        <v>1679</v>
      </c>
      <c r="B1449" s="4" t="s">
        <v>1680</v>
      </c>
      <c r="C1449" s="12">
        <f>IFERROR(__xludf.DUMMYFUNCTION("""COMPUTED_VALUE"""),44662.83578703704)</f>
        <v>44662.83579</v>
      </c>
      <c r="D1449" s="13">
        <f t="shared" si="1"/>
        <v>11</v>
      </c>
      <c r="E1449" s="13">
        <f t="shared" si="2"/>
        <v>20</v>
      </c>
    </row>
    <row r="1450">
      <c r="A1450" s="4" t="s">
        <v>1681</v>
      </c>
      <c r="B1450" s="16"/>
      <c r="C1450" s="12">
        <f>IFERROR(__xludf.DUMMYFUNCTION("""COMPUTED_VALUE"""),44662.835)</f>
        <v>44662.835</v>
      </c>
      <c r="D1450" s="13">
        <f t="shared" si="1"/>
        <v>11</v>
      </c>
      <c r="E1450" s="13">
        <f t="shared" si="2"/>
        <v>20</v>
      </c>
    </row>
    <row r="1451">
      <c r="A1451" s="4" t="s">
        <v>1682</v>
      </c>
      <c r="B1451" s="4" t="s">
        <v>1683</v>
      </c>
      <c r="C1451" s="12">
        <f>IFERROR(__xludf.DUMMYFUNCTION("""COMPUTED_VALUE"""),44662.83497685185)</f>
        <v>44662.83498</v>
      </c>
      <c r="D1451" s="13">
        <f t="shared" si="1"/>
        <v>11</v>
      </c>
      <c r="E1451" s="13">
        <f t="shared" si="2"/>
        <v>20</v>
      </c>
    </row>
    <row r="1452">
      <c r="A1452" s="4" t="s">
        <v>1684</v>
      </c>
      <c r="B1452" s="16"/>
      <c r="C1452" s="12">
        <f>IFERROR(__xludf.DUMMYFUNCTION("""COMPUTED_VALUE"""),44662.834965277776)</f>
        <v>44662.83497</v>
      </c>
      <c r="D1452" s="13">
        <f t="shared" si="1"/>
        <v>11</v>
      </c>
      <c r="E1452" s="13">
        <f t="shared" si="2"/>
        <v>20</v>
      </c>
    </row>
    <row r="1453">
      <c r="A1453" s="4" t="s">
        <v>1685</v>
      </c>
      <c r="B1453" s="16"/>
      <c r="C1453" s="12">
        <f>IFERROR(__xludf.DUMMYFUNCTION("""COMPUTED_VALUE"""),44662.8349537037)</f>
        <v>44662.83495</v>
      </c>
      <c r="D1453" s="13">
        <f t="shared" si="1"/>
        <v>11</v>
      </c>
      <c r="E1453" s="13">
        <f t="shared" si="2"/>
        <v>20</v>
      </c>
    </row>
    <row r="1454">
      <c r="A1454" s="4" t="s">
        <v>1686</v>
      </c>
      <c r="B1454" s="16"/>
      <c r="C1454" s="12">
        <f>IFERROR(__xludf.DUMMYFUNCTION("""COMPUTED_VALUE"""),44662.83486111111)</f>
        <v>44662.83486</v>
      </c>
      <c r="D1454" s="13">
        <f t="shared" si="1"/>
        <v>11</v>
      </c>
      <c r="E1454" s="13">
        <f t="shared" si="2"/>
        <v>20</v>
      </c>
    </row>
    <row r="1455">
      <c r="A1455" s="4" t="s">
        <v>1687</v>
      </c>
      <c r="B1455" s="4" t="s">
        <v>1688</v>
      </c>
      <c r="C1455" s="12">
        <f>IFERROR(__xludf.DUMMYFUNCTION("""COMPUTED_VALUE"""),44662.834826388884)</f>
        <v>44662.83483</v>
      </c>
      <c r="D1455" s="13">
        <f t="shared" si="1"/>
        <v>11</v>
      </c>
      <c r="E1455" s="13">
        <f t="shared" si="2"/>
        <v>20</v>
      </c>
    </row>
    <row r="1456">
      <c r="A1456" s="4" t="s">
        <v>1689</v>
      </c>
      <c r="B1456" s="4" t="s">
        <v>1690</v>
      </c>
      <c r="C1456" s="12">
        <f>IFERROR(__xludf.DUMMYFUNCTION("""COMPUTED_VALUE"""),44662.83446759259)</f>
        <v>44662.83447</v>
      </c>
      <c r="D1456" s="13">
        <f t="shared" si="1"/>
        <v>11</v>
      </c>
      <c r="E1456" s="13">
        <f t="shared" si="2"/>
        <v>20</v>
      </c>
    </row>
    <row r="1457">
      <c r="A1457" s="4" t="s">
        <v>1691</v>
      </c>
      <c r="B1457" s="4" t="s">
        <v>1692</v>
      </c>
      <c r="C1457" s="12">
        <f>IFERROR(__xludf.DUMMYFUNCTION("""COMPUTED_VALUE"""),44662.833773148144)</f>
        <v>44662.83377</v>
      </c>
      <c r="D1457" s="13">
        <f t="shared" si="1"/>
        <v>11</v>
      </c>
      <c r="E1457" s="13">
        <f t="shared" si="2"/>
        <v>20</v>
      </c>
    </row>
    <row r="1458">
      <c r="A1458" s="4" t="s">
        <v>1693</v>
      </c>
      <c r="B1458" s="16"/>
      <c r="C1458" s="12">
        <f>IFERROR(__xludf.DUMMYFUNCTION("""COMPUTED_VALUE"""),44662.83332175926)</f>
        <v>44662.83332</v>
      </c>
      <c r="D1458" s="13">
        <f t="shared" si="1"/>
        <v>11</v>
      </c>
      <c r="E1458" s="13">
        <f t="shared" si="2"/>
        <v>19</v>
      </c>
    </row>
    <row r="1459">
      <c r="A1459" s="4" t="s">
        <v>1694</v>
      </c>
      <c r="B1459" s="16"/>
      <c r="C1459" s="12">
        <f>IFERROR(__xludf.DUMMYFUNCTION("""COMPUTED_VALUE"""),44662.83326388889)</f>
        <v>44662.83326</v>
      </c>
      <c r="D1459" s="13">
        <f t="shared" si="1"/>
        <v>11</v>
      </c>
      <c r="E1459" s="13">
        <f t="shared" si="2"/>
        <v>19</v>
      </c>
    </row>
    <row r="1460">
      <c r="A1460" s="4" t="s">
        <v>1695</v>
      </c>
      <c r="B1460" s="16"/>
      <c r="C1460" s="12">
        <f>IFERROR(__xludf.DUMMYFUNCTION("""COMPUTED_VALUE"""),44662.83315972222)</f>
        <v>44662.83316</v>
      </c>
      <c r="D1460" s="13">
        <f t="shared" si="1"/>
        <v>11</v>
      </c>
      <c r="E1460" s="13">
        <f t="shared" si="2"/>
        <v>19</v>
      </c>
    </row>
    <row r="1461">
      <c r="A1461" s="4" t="s">
        <v>1696</v>
      </c>
      <c r="B1461" s="4" t="s">
        <v>1697</v>
      </c>
      <c r="C1461" s="12">
        <f>IFERROR(__xludf.DUMMYFUNCTION("""COMPUTED_VALUE"""),44662.83239583333)</f>
        <v>44662.8324</v>
      </c>
      <c r="D1461" s="13">
        <f t="shared" si="1"/>
        <v>11</v>
      </c>
      <c r="E1461" s="13">
        <f t="shared" si="2"/>
        <v>19</v>
      </c>
    </row>
    <row r="1462">
      <c r="A1462" s="4" t="s">
        <v>1698</v>
      </c>
      <c r="B1462" s="4" t="s">
        <v>1699</v>
      </c>
      <c r="C1462" s="12">
        <f>IFERROR(__xludf.DUMMYFUNCTION("""COMPUTED_VALUE"""),44662.83060185185)</f>
        <v>44662.8306</v>
      </c>
      <c r="D1462" s="13">
        <f t="shared" si="1"/>
        <v>11</v>
      </c>
      <c r="E1462" s="13">
        <f t="shared" si="2"/>
        <v>19</v>
      </c>
    </row>
    <row r="1463">
      <c r="A1463" s="4" t="s">
        <v>1700</v>
      </c>
      <c r="B1463" s="4" t="s">
        <v>1699</v>
      </c>
      <c r="C1463" s="12">
        <f>IFERROR(__xludf.DUMMYFUNCTION("""COMPUTED_VALUE"""),44662.830555555556)</f>
        <v>44662.83056</v>
      </c>
      <c r="D1463" s="13">
        <f t="shared" si="1"/>
        <v>11</v>
      </c>
      <c r="E1463" s="13">
        <f t="shared" si="2"/>
        <v>19</v>
      </c>
    </row>
    <row r="1464">
      <c r="A1464" s="4" t="s">
        <v>1701</v>
      </c>
      <c r="B1464" s="4" t="s">
        <v>1699</v>
      </c>
      <c r="C1464" s="12">
        <f>IFERROR(__xludf.DUMMYFUNCTION("""COMPUTED_VALUE"""),44662.83043981481)</f>
        <v>44662.83044</v>
      </c>
      <c r="D1464" s="13">
        <f t="shared" si="1"/>
        <v>11</v>
      </c>
      <c r="E1464" s="13">
        <f t="shared" si="2"/>
        <v>19</v>
      </c>
    </row>
    <row r="1465">
      <c r="A1465" s="4" t="s">
        <v>1702</v>
      </c>
      <c r="B1465" s="16"/>
      <c r="C1465" s="12">
        <f>IFERROR(__xludf.DUMMYFUNCTION("""COMPUTED_VALUE"""),44662.83015046296)</f>
        <v>44662.83015</v>
      </c>
      <c r="D1465" s="13">
        <f t="shared" si="1"/>
        <v>11</v>
      </c>
      <c r="E1465" s="13">
        <f t="shared" si="2"/>
        <v>19</v>
      </c>
    </row>
    <row r="1466">
      <c r="A1466" s="4" t="s">
        <v>1703</v>
      </c>
      <c r="B1466" s="4" t="s">
        <v>1704</v>
      </c>
      <c r="C1466" s="12">
        <f>IFERROR(__xludf.DUMMYFUNCTION("""COMPUTED_VALUE"""),44662.82960648148)</f>
        <v>44662.82961</v>
      </c>
      <c r="D1466" s="13">
        <f t="shared" si="1"/>
        <v>11</v>
      </c>
      <c r="E1466" s="13">
        <f t="shared" si="2"/>
        <v>19</v>
      </c>
    </row>
    <row r="1467">
      <c r="A1467" s="4" t="s">
        <v>1705</v>
      </c>
      <c r="B1467" s="4" t="s">
        <v>1704</v>
      </c>
      <c r="C1467" s="12">
        <f>IFERROR(__xludf.DUMMYFUNCTION("""COMPUTED_VALUE"""),44662.829571759255)</f>
        <v>44662.82957</v>
      </c>
      <c r="D1467" s="13">
        <f t="shared" si="1"/>
        <v>11</v>
      </c>
      <c r="E1467" s="13">
        <f t="shared" si="2"/>
        <v>19</v>
      </c>
    </row>
    <row r="1468">
      <c r="A1468" s="4" t="s">
        <v>1706</v>
      </c>
      <c r="B1468" s="4" t="s">
        <v>1704</v>
      </c>
      <c r="C1468" s="12">
        <f>IFERROR(__xludf.DUMMYFUNCTION("""COMPUTED_VALUE"""),44662.82953703703)</f>
        <v>44662.82954</v>
      </c>
      <c r="D1468" s="13">
        <f t="shared" si="1"/>
        <v>11</v>
      </c>
      <c r="E1468" s="13">
        <f t="shared" si="2"/>
        <v>19</v>
      </c>
    </row>
    <row r="1469">
      <c r="A1469" s="4" t="s">
        <v>1707</v>
      </c>
      <c r="B1469" s="4" t="s">
        <v>1704</v>
      </c>
      <c r="C1469" s="12">
        <f>IFERROR(__xludf.DUMMYFUNCTION("""COMPUTED_VALUE"""),44662.829513888886)</f>
        <v>44662.82951</v>
      </c>
      <c r="D1469" s="13">
        <f t="shared" si="1"/>
        <v>11</v>
      </c>
      <c r="E1469" s="13">
        <f t="shared" si="2"/>
        <v>19</v>
      </c>
    </row>
    <row r="1470">
      <c r="A1470" s="4" t="s">
        <v>1708</v>
      </c>
      <c r="B1470" s="16"/>
      <c r="C1470" s="12">
        <f>IFERROR(__xludf.DUMMYFUNCTION("""COMPUTED_VALUE"""),44662.82945601852)</f>
        <v>44662.82946</v>
      </c>
      <c r="D1470" s="13">
        <f t="shared" si="1"/>
        <v>11</v>
      </c>
      <c r="E1470" s="13">
        <f t="shared" si="2"/>
        <v>19</v>
      </c>
    </row>
    <row r="1471">
      <c r="A1471" s="4" t="s">
        <v>1709</v>
      </c>
      <c r="B1471" s="4" t="s">
        <v>1710</v>
      </c>
      <c r="C1471" s="12">
        <f>IFERROR(__xludf.DUMMYFUNCTION("""COMPUTED_VALUE"""),44662.82923611111)</f>
        <v>44662.82924</v>
      </c>
      <c r="D1471" s="13">
        <f t="shared" si="1"/>
        <v>11</v>
      </c>
      <c r="E1471" s="13">
        <f t="shared" si="2"/>
        <v>19</v>
      </c>
    </row>
    <row r="1472">
      <c r="A1472" s="4" t="s">
        <v>1711</v>
      </c>
      <c r="B1472" s="16"/>
      <c r="C1472" s="12">
        <f>IFERROR(__xludf.DUMMYFUNCTION("""COMPUTED_VALUE"""),44662.82917824074)</f>
        <v>44662.82918</v>
      </c>
      <c r="D1472" s="13">
        <f t="shared" si="1"/>
        <v>11</v>
      </c>
      <c r="E1472" s="13">
        <f t="shared" si="2"/>
        <v>19</v>
      </c>
    </row>
    <row r="1473">
      <c r="A1473" s="4" t="s">
        <v>1712</v>
      </c>
      <c r="B1473" s="16"/>
      <c r="C1473" s="12">
        <f>IFERROR(__xludf.DUMMYFUNCTION("""COMPUTED_VALUE"""),44662.828935185185)</f>
        <v>44662.82894</v>
      </c>
      <c r="D1473" s="13">
        <f t="shared" si="1"/>
        <v>11</v>
      </c>
      <c r="E1473" s="13">
        <f t="shared" si="2"/>
        <v>19</v>
      </c>
    </row>
    <row r="1474">
      <c r="A1474" s="4" t="s">
        <v>1713</v>
      </c>
      <c r="B1474" s="4" t="s">
        <v>829</v>
      </c>
      <c r="C1474" s="12">
        <f>IFERROR(__xludf.DUMMYFUNCTION("""COMPUTED_VALUE"""),44662.82875)</f>
        <v>44662.82875</v>
      </c>
      <c r="D1474" s="13">
        <f t="shared" si="1"/>
        <v>11</v>
      </c>
      <c r="E1474" s="13">
        <f t="shared" si="2"/>
        <v>19</v>
      </c>
    </row>
    <row r="1475">
      <c r="A1475" s="4" t="s">
        <v>1714</v>
      </c>
      <c r="B1475" s="16"/>
      <c r="C1475" s="12">
        <f>IFERROR(__xludf.DUMMYFUNCTION("""COMPUTED_VALUE"""),44662.82864583333)</f>
        <v>44662.82865</v>
      </c>
      <c r="D1475" s="13">
        <f t="shared" si="1"/>
        <v>11</v>
      </c>
      <c r="E1475" s="13">
        <f t="shared" si="2"/>
        <v>19</v>
      </c>
    </row>
    <row r="1476">
      <c r="A1476" s="4" t="s">
        <v>1715</v>
      </c>
      <c r="B1476" s="4" t="s">
        <v>1716</v>
      </c>
      <c r="C1476" s="12">
        <f>IFERROR(__xludf.DUMMYFUNCTION("""COMPUTED_VALUE"""),44662.82817129629)</f>
        <v>44662.82817</v>
      </c>
      <c r="D1476" s="13">
        <f t="shared" si="1"/>
        <v>11</v>
      </c>
      <c r="E1476" s="13">
        <f t="shared" si="2"/>
        <v>19</v>
      </c>
    </row>
    <row r="1477">
      <c r="A1477" s="4" t="s">
        <v>1717</v>
      </c>
      <c r="B1477" s="4" t="s">
        <v>1718</v>
      </c>
      <c r="C1477" s="12">
        <f>IFERROR(__xludf.DUMMYFUNCTION("""COMPUTED_VALUE"""),44662.82678240741)</f>
        <v>44662.82678</v>
      </c>
      <c r="D1477" s="13">
        <f t="shared" si="1"/>
        <v>11</v>
      </c>
      <c r="E1477" s="13">
        <f t="shared" si="2"/>
        <v>19</v>
      </c>
    </row>
    <row r="1478">
      <c r="A1478" s="4" t="s">
        <v>1719</v>
      </c>
      <c r="B1478" s="16"/>
      <c r="C1478" s="12">
        <f>IFERROR(__xludf.DUMMYFUNCTION("""COMPUTED_VALUE"""),44662.82509259259)</f>
        <v>44662.82509</v>
      </c>
      <c r="D1478" s="13">
        <f t="shared" si="1"/>
        <v>11</v>
      </c>
      <c r="E1478" s="13">
        <f t="shared" si="2"/>
        <v>19</v>
      </c>
    </row>
    <row r="1479">
      <c r="A1479" s="4" t="s">
        <v>1720</v>
      </c>
      <c r="B1479" s="16"/>
      <c r="C1479" s="12">
        <f>IFERROR(__xludf.DUMMYFUNCTION("""COMPUTED_VALUE"""),44662.824907407405)</f>
        <v>44662.82491</v>
      </c>
      <c r="D1479" s="13">
        <f t="shared" si="1"/>
        <v>11</v>
      </c>
      <c r="E1479" s="13">
        <f t="shared" si="2"/>
        <v>19</v>
      </c>
    </row>
    <row r="1480">
      <c r="A1480" s="4" t="s">
        <v>1721</v>
      </c>
      <c r="B1480" s="4" t="s">
        <v>1722</v>
      </c>
      <c r="C1480" s="12">
        <f>IFERROR(__xludf.DUMMYFUNCTION("""COMPUTED_VALUE"""),44662.82476851852)</f>
        <v>44662.82477</v>
      </c>
      <c r="D1480" s="13">
        <f t="shared" si="1"/>
        <v>11</v>
      </c>
      <c r="E1480" s="13">
        <f t="shared" si="2"/>
        <v>19</v>
      </c>
    </row>
    <row r="1481">
      <c r="A1481" s="4" t="s">
        <v>1723</v>
      </c>
      <c r="B1481" s="16"/>
      <c r="C1481" s="12">
        <f>IFERROR(__xludf.DUMMYFUNCTION("""COMPUTED_VALUE"""),44662.82460648148)</f>
        <v>44662.82461</v>
      </c>
      <c r="D1481" s="13">
        <f t="shared" si="1"/>
        <v>11</v>
      </c>
      <c r="E1481" s="13">
        <f t="shared" si="2"/>
        <v>19</v>
      </c>
    </row>
    <row r="1482">
      <c r="A1482" s="4" t="s">
        <v>1724</v>
      </c>
      <c r="B1482" s="4" t="s">
        <v>1725</v>
      </c>
      <c r="C1482" s="12">
        <f>IFERROR(__xludf.DUMMYFUNCTION("""COMPUTED_VALUE"""),44662.824594907404)</f>
        <v>44662.82459</v>
      </c>
      <c r="D1482" s="13">
        <f t="shared" si="1"/>
        <v>11</v>
      </c>
      <c r="E1482" s="13">
        <f t="shared" si="2"/>
        <v>19</v>
      </c>
    </row>
    <row r="1483">
      <c r="A1483" s="4" t="s">
        <v>1726</v>
      </c>
      <c r="B1483" s="4" t="s">
        <v>1086</v>
      </c>
      <c r="C1483" s="12">
        <f>IFERROR(__xludf.DUMMYFUNCTION("""COMPUTED_VALUE"""),44662.82458333333)</f>
        <v>44662.82458</v>
      </c>
      <c r="D1483" s="13">
        <f t="shared" si="1"/>
        <v>11</v>
      </c>
      <c r="E1483" s="13">
        <f t="shared" si="2"/>
        <v>19</v>
      </c>
    </row>
    <row r="1484">
      <c r="A1484" s="4" t="s">
        <v>1727</v>
      </c>
      <c r="B1484" s="4" t="s">
        <v>1501</v>
      </c>
      <c r="C1484" s="12">
        <f>IFERROR(__xludf.DUMMYFUNCTION("""COMPUTED_VALUE"""),44662.82454861111)</f>
        <v>44662.82455</v>
      </c>
      <c r="D1484" s="13">
        <f t="shared" si="1"/>
        <v>11</v>
      </c>
      <c r="E1484" s="13">
        <f t="shared" si="2"/>
        <v>19</v>
      </c>
    </row>
    <row r="1485">
      <c r="A1485" s="4" t="s">
        <v>1728</v>
      </c>
      <c r="B1485" s="4" t="s">
        <v>1729</v>
      </c>
      <c r="C1485" s="12">
        <f>IFERROR(__xludf.DUMMYFUNCTION("""COMPUTED_VALUE"""),44662.82420138889)</f>
        <v>44662.8242</v>
      </c>
      <c r="D1485" s="13">
        <f t="shared" si="1"/>
        <v>11</v>
      </c>
      <c r="E1485" s="13">
        <f t="shared" si="2"/>
        <v>19</v>
      </c>
    </row>
    <row r="1486">
      <c r="A1486" s="4" t="s">
        <v>1730</v>
      </c>
      <c r="B1486" s="4" t="s">
        <v>1731</v>
      </c>
      <c r="C1486" s="12">
        <f>IFERROR(__xludf.DUMMYFUNCTION("""COMPUTED_VALUE"""),44662.82390046296)</f>
        <v>44662.8239</v>
      </c>
      <c r="D1486" s="13">
        <f t="shared" si="1"/>
        <v>11</v>
      </c>
      <c r="E1486" s="13">
        <f t="shared" si="2"/>
        <v>19</v>
      </c>
    </row>
    <row r="1487">
      <c r="A1487" s="4" t="s">
        <v>1732</v>
      </c>
      <c r="B1487" s="4" t="s">
        <v>1733</v>
      </c>
      <c r="C1487" s="12">
        <f>IFERROR(__xludf.DUMMYFUNCTION("""COMPUTED_VALUE"""),44662.823749999996)</f>
        <v>44662.82375</v>
      </c>
      <c r="D1487" s="13">
        <f t="shared" si="1"/>
        <v>11</v>
      </c>
      <c r="E1487" s="13">
        <f t="shared" si="2"/>
        <v>19</v>
      </c>
    </row>
    <row r="1488">
      <c r="A1488" s="4" t="s">
        <v>1734</v>
      </c>
      <c r="B1488" s="16"/>
      <c r="C1488" s="12">
        <f>IFERROR(__xludf.DUMMYFUNCTION("""COMPUTED_VALUE"""),44662.823645833334)</f>
        <v>44662.82365</v>
      </c>
      <c r="D1488" s="13">
        <f t="shared" si="1"/>
        <v>11</v>
      </c>
      <c r="E1488" s="13">
        <f t="shared" si="2"/>
        <v>19</v>
      </c>
    </row>
    <row r="1489">
      <c r="A1489" s="4" t="s">
        <v>1735</v>
      </c>
      <c r="B1489" s="4" t="s">
        <v>1736</v>
      </c>
      <c r="C1489" s="12">
        <f>IFERROR(__xludf.DUMMYFUNCTION("""COMPUTED_VALUE"""),44662.82284722222)</f>
        <v>44662.82285</v>
      </c>
      <c r="D1489" s="13">
        <f t="shared" si="1"/>
        <v>11</v>
      </c>
      <c r="E1489" s="13">
        <f t="shared" si="2"/>
        <v>19</v>
      </c>
    </row>
    <row r="1490">
      <c r="A1490" s="4" t="s">
        <v>1737</v>
      </c>
      <c r="B1490" s="4" t="s">
        <v>240</v>
      </c>
      <c r="C1490" s="12">
        <f>IFERROR(__xludf.DUMMYFUNCTION("""COMPUTED_VALUE"""),44662.822812499995)</f>
        <v>44662.82281</v>
      </c>
      <c r="D1490" s="13">
        <f t="shared" si="1"/>
        <v>11</v>
      </c>
      <c r="E1490" s="13">
        <f t="shared" si="2"/>
        <v>19</v>
      </c>
    </row>
    <row r="1491">
      <c r="A1491" s="4" t="s">
        <v>1738</v>
      </c>
      <c r="B1491" s="16"/>
      <c r="C1491" s="12">
        <f>IFERROR(__xludf.DUMMYFUNCTION("""COMPUTED_VALUE"""),44662.82278935185)</f>
        <v>44662.82279</v>
      </c>
      <c r="D1491" s="13">
        <f t="shared" si="1"/>
        <v>11</v>
      </c>
      <c r="E1491" s="13">
        <f t="shared" si="2"/>
        <v>19</v>
      </c>
    </row>
    <row r="1492">
      <c r="A1492" s="4" t="s">
        <v>1739</v>
      </c>
      <c r="B1492" s="4" t="s">
        <v>240</v>
      </c>
      <c r="C1492" s="12">
        <f>IFERROR(__xludf.DUMMYFUNCTION("""COMPUTED_VALUE"""),44662.82277777777)</f>
        <v>44662.82278</v>
      </c>
      <c r="D1492" s="13">
        <f t="shared" si="1"/>
        <v>11</v>
      </c>
      <c r="E1492" s="13">
        <f t="shared" si="2"/>
        <v>19</v>
      </c>
    </row>
    <row r="1493">
      <c r="A1493" s="4" t="s">
        <v>1740</v>
      </c>
      <c r="B1493" s="16"/>
      <c r="C1493" s="12">
        <f>IFERROR(__xludf.DUMMYFUNCTION("""COMPUTED_VALUE"""),44662.82127314815)</f>
        <v>44662.82127</v>
      </c>
      <c r="D1493" s="13">
        <f t="shared" si="1"/>
        <v>11</v>
      </c>
      <c r="E1493" s="13">
        <f t="shared" si="2"/>
        <v>19</v>
      </c>
    </row>
    <row r="1494">
      <c r="A1494" s="4" t="s">
        <v>1741</v>
      </c>
      <c r="B1494" s="4" t="s">
        <v>1742</v>
      </c>
      <c r="C1494" s="12">
        <f>IFERROR(__xludf.DUMMYFUNCTION("""COMPUTED_VALUE"""),44662.82003472222)</f>
        <v>44662.82003</v>
      </c>
      <c r="D1494" s="13">
        <f t="shared" si="1"/>
        <v>11</v>
      </c>
      <c r="E1494" s="13">
        <f t="shared" si="2"/>
        <v>19</v>
      </c>
    </row>
    <row r="1495">
      <c r="A1495" s="4" t="s">
        <v>1743</v>
      </c>
      <c r="B1495" s="16"/>
      <c r="C1495" s="12">
        <f>IFERROR(__xludf.DUMMYFUNCTION("""COMPUTED_VALUE"""),44662.820023148146)</f>
        <v>44662.82002</v>
      </c>
      <c r="D1495" s="13">
        <f t="shared" si="1"/>
        <v>11</v>
      </c>
      <c r="E1495" s="13">
        <f t="shared" si="2"/>
        <v>19</v>
      </c>
    </row>
    <row r="1496">
      <c r="A1496" s="4" t="s">
        <v>1744</v>
      </c>
      <c r="B1496" s="16"/>
      <c r="C1496" s="12">
        <f>IFERROR(__xludf.DUMMYFUNCTION("""COMPUTED_VALUE"""),44662.82001157407)</f>
        <v>44662.82001</v>
      </c>
      <c r="D1496" s="13">
        <f t="shared" si="1"/>
        <v>11</v>
      </c>
      <c r="E1496" s="13">
        <f t="shared" si="2"/>
        <v>19</v>
      </c>
    </row>
    <row r="1497">
      <c r="A1497" s="4" t="s">
        <v>1745</v>
      </c>
      <c r="B1497" s="4" t="s">
        <v>1746</v>
      </c>
      <c r="C1497" s="12">
        <f>IFERROR(__xludf.DUMMYFUNCTION("""COMPUTED_VALUE"""),44662.819664351846)</f>
        <v>44662.81966</v>
      </c>
      <c r="D1497" s="13">
        <f t="shared" si="1"/>
        <v>11</v>
      </c>
      <c r="E1497" s="13">
        <f t="shared" si="2"/>
        <v>19</v>
      </c>
    </row>
    <row r="1498">
      <c r="A1498" s="4" t="s">
        <v>1747</v>
      </c>
      <c r="B1498" s="16"/>
      <c r="C1498" s="12">
        <f>IFERROR(__xludf.DUMMYFUNCTION("""COMPUTED_VALUE"""),44662.8183912037)</f>
        <v>44662.81839</v>
      </c>
      <c r="D1498" s="13">
        <f t="shared" si="1"/>
        <v>11</v>
      </c>
      <c r="E1498" s="13">
        <f t="shared" si="2"/>
        <v>19</v>
      </c>
    </row>
    <row r="1499">
      <c r="A1499" s="4" t="s">
        <v>1748</v>
      </c>
      <c r="B1499" s="4" t="s">
        <v>1749</v>
      </c>
      <c r="C1499" s="12">
        <f>IFERROR(__xludf.DUMMYFUNCTION("""COMPUTED_VALUE"""),44662.817835648144)</f>
        <v>44662.81784</v>
      </c>
      <c r="D1499" s="13">
        <f t="shared" si="1"/>
        <v>11</v>
      </c>
      <c r="E1499" s="13">
        <f t="shared" si="2"/>
        <v>19</v>
      </c>
    </row>
    <row r="1500">
      <c r="A1500" s="4" t="s">
        <v>1750</v>
      </c>
      <c r="B1500" s="4" t="s">
        <v>1751</v>
      </c>
      <c r="C1500" s="12">
        <f>IFERROR(__xludf.DUMMYFUNCTION("""COMPUTED_VALUE"""),44662.81768518518)</f>
        <v>44662.81769</v>
      </c>
      <c r="D1500" s="13">
        <f t="shared" si="1"/>
        <v>11</v>
      </c>
      <c r="E1500" s="13">
        <f t="shared" si="2"/>
        <v>19</v>
      </c>
    </row>
    <row r="1501">
      <c r="A1501" s="4" t="s">
        <v>1752</v>
      </c>
      <c r="B1501" s="4" t="s">
        <v>1753</v>
      </c>
      <c r="C1501" s="12">
        <f>IFERROR(__xludf.DUMMYFUNCTION("""COMPUTED_VALUE"""),44662.81737268518)</f>
        <v>44662.81737</v>
      </c>
      <c r="D1501" s="13">
        <f t="shared" si="1"/>
        <v>11</v>
      </c>
      <c r="E1501" s="13">
        <f t="shared" si="2"/>
        <v>19</v>
      </c>
    </row>
    <row r="1502">
      <c r="A1502" s="4" t="s">
        <v>1754</v>
      </c>
      <c r="B1502" s="4" t="s">
        <v>1753</v>
      </c>
      <c r="C1502" s="12">
        <f>IFERROR(__xludf.DUMMYFUNCTION("""COMPUTED_VALUE"""),44662.81722222222)</f>
        <v>44662.81722</v>
      </c>
      <c r="D1502" s="13">
        <f t="shared" si="1"/>
        <v>11</v>
      </c>
      <c r="E1502" s="13">
        <f t="shared" si="2"/>
        <v>19</v>
      </c>
    </row>
    <row r="1503">
      <c r="A1503" s="4" t="s">
        <v>1755</v>
      </c>
      <c r="B1503" s="4" t="s">
        <v>1753</v>
      </c>
      <c r="C1503" s="12">
        <f>IFERROR(__xludf.DUMMYFUNCTION("""COMPUTED_VALUE"""),44662.817199074074)</f>
        <v>44662.8172</v>
      </c>
      <c r="D1503" s="13">
        <f t="shared" si="1"/>
        <v>11</v>
      </c>
      <c r="E1503" s="13">
        <f t="shared" si="2"/>
        <v>19</v>
      </c>
    </row>
    <row r="1504">
      <c r="A1504" s="4" t="s">
        <v>1756</v>
      </c>
      <c r="B1504" s="4" t="s">
        <v>1757</v>
      </c>
      <c r="C1504" s="12">
        <f>IFERROR(__xludf.DUMMYFUNCTION("""COMPUTED_VALUE"""),44662.81701388889)</f>
        <v>44662.81701</v>
      </c>
      <c r="D1504" s="13">
        <f t="shared" si="1"/>
        <v>11</v>
      </c>
      <c r="E1504" s="13">
        <f t="shared" si="2"/>
        <v>19</v>
      </c>
    </row>
    <row r="1505">
      <c r="A1505" s="4" t="s">
        <v>1758</v>
      </c>
      <c r="B1505" s="4" t="s">
        <v>1759</v>
      </c>
      <c r="C1505" s="12">
        <f>IFERROR(__xludf.DUMMYFUNCTION("""COMPUTED_VALUE"""),44662.81627314814)</f>
        <v>44662.81627</v>
      </c>
      <c r="D1505" s="13">
        <f t="shared" si="1"/>
        <v>11</v>
      </c>
      <c r="E1505" s="13">
        <f t="shared" si="2"/>
        <v>19</v>
      </c>
    </row>
    <row r="1506">
      <c r="A1506" s="4" t="s">
        <v>1760</v>
      </c>
      <c r="B1506" s="4" t="s">
        <v>1759</v>
      </c>
      <c r="C1506" s="12">
        <f>IFERROR(__xludf.DUMMYFUNCTION("""COMPUTED_VALUE"""),44662.81623842593)</f>
        <v>44662.81624</v>
      </c>
      <c r="D1506" s="13">
        <f t="shared" si="1"/>
        <v>11</v>
      </c>
      <c r="E1506" s="13">
        <f t="shared" si="2"/>
        <v>19</v>
      </c>
    </row>
    <row r="1507">
      <c r="A1507" s="4" t="s">
        <v>1761</v>
      </c>
      <c r="B1507" s="4" t="s">
        <v>1759</v>
      </c>
      <c r="C1507" s="12">
        <f>IFERROR(__xludf.DUMMYFUNCTION("""COMPUTED_VALUE"""),44662.81586805555)</f>
        <v>44662.81587</v>
      </c>
      <c r="D1507" s="13">
        <f t="shared" si="1"/>
        <v>11</v>
      </c>
      <c r="E1507" s="13">
        <f t="shared" si="2"/>
        <v>19</v>
      </c>
    </row>
    <row r="1508">
      <c r="A1508" s="4" t="s">
        <v>1762</v>
      </c>
      <c r="B1508" s="4" t="s">
        <v>1763</v>
      </c>
      <c r="C1508" s="12">
        <f>IFERROR(__xludf.DUMMYFUNCTION("""COMPUTED_VALUE"""),44662.81582175926)</f>
        <v>44662.81582</v>
      </c>
      <c r="D1508" s="13">
        <f t="shared" si="1"/>
        <v>11</v>
      </c>
      <c r="E1508" s="13">
        <f t="shared" si="2"/>
        <v>19</v>
      </c>
    </row>
    <row r="1509">
      <c r="A1509" s="4" t="s">
        <v>1764</v>
      </c>
      <c r="B1509" s="4" t="s">
        <v>1759</v>
      </c>
      <c r="C1509" s="12">
        <f>IFERROR(__xludf.DUMMYFUNCTION("""COMPUTED_VALUE"""),44662.81571759259)</f>
        <v>44662.81572</v>
      </c>
      <c r="D1509" s="13">
        <f t="shared" si="1"/>
        <v>11</v>
      </c>
      <c r="E1509" s="13">
        <f t="shared" si="2"/>
        <v>19</v>
      </c>
    </row>
    <row r="1510">
      <c r="A1510" s="4" t="s">
        <v>1765</v>
      </c>
      <c r="B1510" s="16"/>
      <c r="C1510" s="12">
        <f>IFERROR(__xludf.DUMMYFUNCTION("""COMPUTED_VALUE"""),44662.8155324074)</f>
        <v>44662.81553</v>
      </c>
      <c r="D1510" s="13">
        <f t="shared" si="1"/>
        <v>11</v>
      </c>
      <c r="E1510" s="13">
        <f t="shared" si="2"/>
        <v>19</v>
      </c>
    </row>
    <row r="1511">
      <c r="A1511" s="4" t="s">
        <v>1766</v>
      </c>
      <c r="B1511" s="4" t="s">
        <v>1767</v>
      </c>
      <c r="C1511" s="12">
        <f>IFERROR(__xludf.DUMMYFUNCTION("""COMPUTED_VALUE"""),44662.81534722222)</f>
        <v>44662.81535</v>
      </c>
      <c r="D1511" s="13">
        <f t="shared" si="1"/>
        <v>11</v>
      </c>
      <c r="E1511" s="13">
        <f t="shared" si="2"/>
        <v>19</v>
      </c>
    </row>
    <row r="1512">
      <c r="A1512" s="4" t="s">
        <v>1768</v>
      </c>
      <c r="B1512" s="4" t="s">
        <v>806</v>
      </c>
      <c r="C1512" s="12">
        <f>IFERROR(__xludf.DUMMYFUNCTION("""COMPUTED_VALUE"""),44662.814374999994)</f>
        <v>44662.81438</v>
      </c>
      <c r="D1512" s="13">
        <f t="shared" si="1"/>
        <v>11</v>
      </c>
      <c r="E1512" s="13">
        <f t="shared" si="2"/>
        <v>19</v>
      </c>
    </row>
    <row r="1513">
      <c r="A1513" s="4" t="s">
        <v>1769</v>
      </c>
      <c r="B1513" s="4" t="s">
        <v>829</v>
      </c>
      <c r="C1513" s="12">
        <f>IFERROR(__xludf.DUMMYFUNCTION("""COMPUTED_VALUE"""),44662.81434027778)</f>
        <v>44662.81434</v>
      </c>
      <c r="D1513" s="13">
        <f t="shared" si="1"/>
        <v>11</v>
      </c>
      <c r="E1513" s="13">
        <f t="shared" si="2"/>
        <v>19</v>
      </c>
    </row>
    <row r="1514">
      <c r="A1514" s="4" t="s">
        <v>1770</v>
      </c>
      <c r="B1514" s="4" t="s">
        <v>1771</v>
      </c>
      <c r="C1514" s="12">
        <f>IFERROR(__xludf.DUMMYFUNCTION("""COMPUTED_VALUE"""),44662.81193287037)</f>
        <v>44662.81193</v>
      </c>
      <c r="D1514" s="13">
        <f t="shared" si="1"/>
        <v>11</v>
      </c>
      <c r="E1514" s="13">
        <f t="shared" si="2"/>
        <v>19</v>
      </c>
    </row>
    <row r="1515">
      <c r="A1515" s="4" t="s">
        <v>1772</v>
      </c>
      <c r="B1515" s="16"/>
      <c r="C1515" s="12">
        <f>IFERROR(__xludf.DUMMYFUNCTION("""COMPUTED_VALUE"""),44662.8115162037)</f>
        <v>44662.81152</v>
      </c>
      <c r="D1515" s="13">
        <f t="shared" si="1"/>
        <v>11</v>
      </c>
      <c r="E1515" s="13">
        <f t="shared" si="2"/>
        <v>19</v>
      </c>
    </row>
    <row r="1516">
      <c r="A1516" s="4" t="s">
        <v>1773</v>
      </c>
      <c r="B1516" s="4" t="s">
        <v>1774</v>
      </c>
      <c r="C1516" s="12">
        <f>IFERROR(__xludf.DUMMYFUNCTION("""COMPUTED_VALUE"""),44662.81135416666)</f>
        <v>44662.81135</v>
      </c>
      <c r="D1516" s="13">
        <f t="shared" si="1"/>
        <v>11</v>
      </c>
      <c r="E1516" s="13">
        <f t="shared" si="2"/>
        <v>19</v>
      </c>
    </row>
    <row r="1517">
      <c r="A1517" s="4" t="s">
        <v>1775</v>
      </c>
      <c r="B1517" s="16"/>
      <c r="C1517" s="12">
        <f>IFERROR(__xludf.DUMMYFUNCTION("""COMPUTED_VALUE"""),44662.811319444445)</f>
        <v>44662.81132</v>
      </c>
      <c r="D1517" s="13">
        <f t="shared" si="1"/>
        <v>11</v>
      </c>
      <c r="E1517" s="13">
        <f t="shared" si="2"/>
        <v>19</v>
      </c>
    </row>
    <row r="1518">
      <c r="A1518" s="4" t="s">
        <v>1776</v>
      </c>
      <c r="B1518" s="16"/>
      <c r="C1518" s="12">
        <f>IFERROR(__xludf.DUMMYFUNCTION("""COMPUTED_VALUE"""),44662.81129629629)</f>
        <v>44662.8113</v>
      </c>
      <c r="D1518" s="13">
        <f t="shared" si="1"/>
        <v>11</v>
      </c>
      <c r="E1518" s="13">
        <f t="shared" si="2"/>
        <v>19</v>
      </c>
    </row>
    <row r="1519">
      <c r="A1519" s="4" t="s">
        <v>1777</v>
      </c>
      <c r="B1519" s="4" t="s">
        <v>1771</v>
      </c>
      <c r="C1519" s="12">
        <f>IFERROR(__xludf.DUMMYFUNCTION("""COMPUTED_VALUE"""),44662.81126157407)</f>
        <v>44662.81126</v>
      </c>
      <c r="D1519" s="13">
        <f t="shared" si="1"/>
        <v>11</v>
      </c>
      <c r="E1519" s="13">
        <f t="shared" si="2"/>
        <v>19</v>
      </c>
    </row>
    <row r="1520">
      <c r="A1520" s="4" t="s">
        <v>1778</v>
      </c>
      <c r="B1520" s="16"/>
      <c r="C1520" s="12">
        <f>IFERROR(__xludf.DUMMYFUNCTION("""COMPUTED_VALUE"""),44662.81125)</f>
        <v>44662.81125</v>
      </c>
      <c r="D1520" s="13">
        <f t="shared" si="1"/>
        <v>11</v>
      </c>
      <c r="E1520" s="13">
        <f t="shared" si="2"/>
        <v>19</v>
      </c>
    </row>
    <row r="1521">
      <c r="A1521" s="4" t="s">
        <v>1778</v>
      </c>
      <c r="B1521" s="16"/>
      <c r="C1521" s="12">
        <f>IFERROR(__xludf.DUMMYFUNCTION("""COMPUTED_VALUE"""),44662.81125)</f>
        <v>44662.81125</v>
      </c>
      <c r="D1521" s="13">
        <f t="shared" si="1"/>
        <v>11</v>
      </c>
      <c r="E1521" s="13">
        <f t="shared" si="2"/>
        <v>19</v>
      </c>
    </row>
    <row r="1522">
      <c r="A1522" s="4" t="s">
        <v>1779</v>
      </c>
      <c r="B1522" s="4" t="s">
        <v>1771</v>
      </c>
      <c r="C1522" s="12">
        <f>IFERROR(__xludf.DUMMYFUNCTION("""COMPUTED_VALUE"""),44662.81123842592)</f>
        <v>44662.81124</v>
      </c>
      <c r="D1522" s="13">
        <f t="shared" si="1"/>
        <v>11</v>
      </c>
      <c r="E1522" s="13">
        <f t="shared" si="2"/>
        <v>19</v>
      </c>
    </row>
    <row r="1523">
      <c r="A1523" s="4" t="s">
        <v>1780</v>
      </c>
      <c r="B1523" s="16"/>
      <c r="C1523" s="12">
        <f>IFERROR(__xludf.DUMMYFUNCTION("""COMPUTED_VALUE"""),44662.81122685185)</f>
        <v>44662.81123</v>
      </c>
      <c r="D1523" s="13">
        <f t="shared" si="1"/>
        <v>11</v>
      </c>
      <c r="E1523" s="13">
        <f t="shared" si="2"/>
        <v>19</v>
      </c>
    </row>
    <row r="1524">
      <c r="A1524" s="4" t="s">
        <v>1781</v>
      </c>
      <c r="B1524" s="4" t="s">
        <v>1771</v>
      </c>
      <c r="C1524" s="12">
        <f>IFERROR(__xludf.DUMMYFUNCTION("""COMPUTED_VALUE"""),44662.8112037037)</f>
        <v>44662.8112</v>
      </c>
      <c r="D1524" s="13">
        <f t="shared" si="1"/>
        <v>11</v>
      </c>
      <c r="E1524" s="13">
        <f t="shared" si="2"/>
        <v>19</v>
      </c>
    </row>
    <row r="1525">
      <c r="A1525" s="4" t="s">
        <v>1782</v>
      </c>
      <c r="B1525" s="16"/>
      <c r="C1525" s="12">
        <f>IFERROR(__xludf.DUMMYFUNCTION("""COMPUTED_VALUE"""),44662.81112268518)</f>
        <v>44662.81112</v>
      </c>
      <c r="D1525" s="13">
        <f t="shared" si="1"/>
        <v>11</v>
      </c>
      <c r="E1525" s="13">
        <f t="shared" si="2"/>
        <v>19</v>
      </c>
    </row>
    <row r="1526">
      <c r="A1526" s="4" t="s">
        <v>1783</v>
      </c>
      <c r="B1526" s="16"/>
      <c r="C1526" s="12">
        <f>IFERROR(__xludf.DUMMYFUNCTION("""COMPUTED_VALUE"""),44662.81111111111)</f>
        <v>44662.81111</v>
      </c>
      <c r="D1526" s="13">
        <f t="shared" si="1"/>
        <v>11</v>
      </c>
      <c r="E1526" s="13">
        <f t="shared" si="2"/>
        <v>19</v>
      </c>
    </row>
    <row r="1527">
      <c r="A1527" s="4" t="s">
        <v>1784</v>
      </c>
      <c r="B1527" s="16"/>
      <c r="C1527" s="12">
        <f>IFERROR(__xludf.DUMMYFUNCTION("""COMPUTED_VALUE"""),44662.81109953704)</f>
        <v>44662.8111</v>
      </c>
      <c r="D1527" s="13">
        <f t="shared" si="1"/>
        <v>11</v>
      </c>
      <c r="E1527" s="13">
        <f t="shared" si="2"/>
        <v>19</v>
      </c>
    </row>
    <row r="1528">
      <c r="A1528" s="4" t="s">
        <v>1785</v>
      </c>
      <c r="B1528" s="4" t="s">
        <v>1786</v>
      </c>
      <c r="C1528" s="12">
        <f>IFERROR(__xludf.DUMMYFUNCTION("""COMPUTED_VALUE"""),44662.81107638888)</f>
        <v>44662.81108</v>
      </c>
      <c r="D1528" s="13">
        <f t="shared" si="1"/>
        <v>11</v>
      </c>
      <c r="E1528" s="13">
        <f t="shared" si="2"/>
        <v>19</v>
      </c>
    </row>
    <row r="1529">
      <c r="A1529" s="4" t="s">
        <v>1787</v>
      </c>
      <c r="B1529" s="4" t="s">
        <v>1786</v>
      </c>
      <c r="C1529" s="12">
        <f>IFERROR(__xludf.DUMMYFUNCTION("""COMPUTED_VALUE"""),44662.811064814814)</f>
        <v>44662.81106</v>
      </c>
      <c r="D1529" s="13">
        <f t="shared" si="1"/>
        <v>11</v>
      </c>
      <c r="E1529" s="13">
        <f t="shared" si="2"/>
        <v>19</v>
      </c>
    </row>
    <row r="1530">
      <c r="A1530" s="4" t="s">
        <v>1788</v>
      </c>
      <c r="B1530" s="16"/>
      <c r="C1530" s="12">
        <f>IFERROR(__xludf.DUMMYFUNCTION("""COMPUTED_VALUE"""),44662.8109375)</f>
        <v>44662.81094</v>
      </c>
      <c r="D1530" s="13">
        <f t="shared" si="1"/>
        <v>11</v>
      </c>
      <c r="E1530" s="13">
        <f t="shared" si="2"/>
        <v>19</v>
      </c>
    </row>
    <row r="1531">
      <c r="A1531" s="4" t="s">
        <v>1789</v>
      </c>
      <c r="B1531" s="4" t="s">
        <v>1771</v>
      </c>
      <c r="C1531" s="12">
        <f>IFERROR(__xludf.DUMMYFUNCTION("""COMPUTED_VALUE"""),44662.81087962963)</f>
        <v>44662.81088</v>
      </c>
      <c r="D1531" s="13">
        <f t="shared" si="1"/>
        <v>11</v>
      </c>
      <c r="E1531" s="13">
        <f t="shared" si="2"/>
        <v>19</v>
      </c>
    </row>
    <row r="1532">
      <c r="A1532" s="4" t="s">
        <v>1790</v>
      </c>
      <c r="B1532" s="4" t="s">
        <v>1269</v>
      </c>
      <c r="C1532" s="12">
        <f>IFERROR(__xludf.DUMMYFUNCTION("""COMPUTED_VALUE"""),44662.810636574075)</f>
        <v>44662.81064</v>
      </c>
      <c r="D1532" s="13">
        <f t="shared" si="1"/>
        <v>11</v>
      </c>
      <c r="E1532" s="13">
        <f t="shared" si="2"/>
        <v>19</v>
      </c>
    </row>
    <row r="1533">
      <c r="A1533" s="4" t="s">
        <v>1791</v>
      </c>
      <c r="B1533" s="4" t="s">
        <v>1269</v>
      </c>
      <c r="C1533" s="12">
        <f>IFERROR(__xludf.DUMMYFUNCTION("""COMPUTED_VALUE"""),44662.81056712963)</f>
        <v>44662.81057</v>
      </c>
      <c r="D1533" s="13">
        <f t="shared" si="1"/>
        <v>11</v>
      </c>
      <c r="E1533" s="13">
        <f t="shared" si="2"/>
        <v>19</v>
      </c>
    </row>
    <row r="1534">
      <c r="A1534" s="4" t="s">
        <v>1792</v>
      </c>
      <c r="B1534" s="4" t="s">
        <v>1269</v>
      </c>
      <c r="C1534" s="12">
        <f>IFERROR(__xludf.DUMMYFUNCTION("""COMPUTED_VALUE"""),44662.81055555555)</f>
        <v>44662.81056</v>
      </c>
      <c r="D1534" s="13">
        <f t="shared" si="1"/>
        <v>11</v>
      </c>
      <c r="E1534" s="13">
        <f t="shared" si="2"/>
        <v>19</v>
      </c>
    </row>
    <row r="1535">
      <c r="A1535" s="4" t="s">
        <v>1793</v>
      </c>
      <c r="B1535" s="4" t="s">
        <v>1269</v>
      </c>
      <c r="C1535" s="12">
        <f>IFERROR(__xludf.DUMMYFUNCTION("""COMPUTED_VALUE"""),44662.81054398148)</f>
        <v>44662.81054</v>
      </c>
      <c r="D1535" s="13">
        <f t="shared" si="1"/>
        <v>11</v>
      </c>
      <c r="E1535" s="13">
        <f t="shared" si="2"/>
        <v>19</v>
      </c>
    </row>
    <row r="1536">
      <c r="A1536" s="4" t="s">
        <v>1794</v>
      </c>
      <c r="B1536" s="4" t="s">
        <v>1269</v>
      </c>
      <c r="C1536" s="12">
        <f>IFERROR(__xludf.DUMMYFUNCTION("""COMPUTED_VALUE"""),44662.810532407406)</f>
        <v>44662.81053</v>
      </c>
      <c r="D1536" s="13">
        <f t="shared" si="1"/>
        <v>11</v>
      </c>
      <c r="E1536" s="13">
        <f t="shared" si="2"/>
        <v>19</v>
      </c>
    </row>
    <row r="1537">
      <c r="A1537" s="4" t="s">
        <v>1795</v>
      </c>
      <c r="B1537" s="4" t="s">
        <v>1269</v>
      </c>
      <c r="C1537" s="12">
        <f>IFERROR(__xludf.DUMMYFUNCTION("""COMPUTED_VALUE"""),44662.81052083333)</f>
        <v>44662.81052</v>
      </c>
      <c r="D1537" s="13">
        <f t="shared" si="1"/>
        <v>11</v>
      </c>
      <c r="E1537" s="13">
        <f t="shared" si="2"/>
        <v>19</v>
      </c>
    </row>
    <row r="1538">
      <c r="A1538" s="4" t="s">
        <v>1796</v>
      </c>
      <c r="B1538" s="4" t="s">
        <v>1269</v>
      </c>
      <c r="C1538" s="12">
        <f>IFERROR(__xludf.DUMMYFUNCTION("""COMPUTED_VALUE"""),44662.81049768518)</f>
        <v>44662.8105</v>
      </c>
      <c r="D1538" s="13">
        <f t="shared" si="1"/>
        <v>11</v>
      </c>
      <c r="E1538" s="13">
        <f t="shared" si="2"/>
        <v>19</v>
      </c>
    </row>
    <row r="1539">
      <c r="A1539" s="4" t="s">
        <v>1797</v>
      </c>
      <c r="B1539" s="16"/>
      <c r="C1539" s="12">
        <f>IFERROR(__xludf.DUMMYFUNCTION("""COMPUTED_VALUE"""),44662.810486111106)</f>
        <v>44662.81049</v>
      </c>
      <c r="D1539" s="13">
        <f t="shared" si="1"/>
        <v>11</v>
      </c>
      <c r="E1539" s="13">
        <f t="shared" si="2"/>
        <v>19</v>
      </c>
    </row>
    <row r="1540">
      <c r="A1540" s="4" t="s">
        <v>1797</v>
      </c>
      <c r="B1540" s="4" t="s">
        <v>1269</v>
      </c>
      <c r="C1540" s="12">
        <f>IFERROR(__xludf.DUMMYFUNCTION("""COMPUTED_VALUE"""),44662.810486111106)</f>
        <v>44662.81049</v>
      </c>
      <c r="D1540" s="13">
        <f t="shared" si="1"/>
        <v>11</v>
      </c>
      <c r="E1540" s="13">
        <f t="shared" si="2"/>
        <v>19</v>
      </c>
    </row>
    <row r="1541">
      <c r="A1541" s="4" t="s">
        <v>1798</v>
      </c>
      <c r="B1541" s="4" t="s">
        <v>1269</v>
      </c>
      <c r="C1541" s="12">
        <f>IFERROR(__xludf.DUMMYFUNCTION("""COMPUTED_VALUE"""),44662.81047453704)</f>
        <v>44662.81047</v>
      </c>
      <c r="D1541" s="13">
        <f t="shared" si="1"/>
        <v>11</v>
      </c>
      <c r="E1541" s="13">
        <f t="shared" si="2"/>
        <v>19</v>
      </c>
    </row>
    <row r="1542">
      <c r="A1542" s="4" t="s">
        <v>1799</v>
      </c>
      <c r="B1542" s="4" t="s">
        <v>1269</v>
      </c>
      <c r="C1542" s="12">
        <f>IFERROR(__xludf.DUMMYFUNCTION("""COMPUTED_VALUE"""),44662.81046296296)</f>
        <v>44662.81046</v>
      </c>
      <c r="D1542" s="13">
        <f t="shared" si="1"/>
        <v>11</v>
      </c>
      <c r="E1542" s="13">
        <f t="shared" si="2"/>
        <v>19</v>
      </c>
    </row>
    <row r="1543">
      <c r="A1543" s="4" t="s">
        <v>1800</v>
      </c>
      <c r="B1543" s="4" t="s">
        <v>1269</v>
      </c>
      <c r="C1543" s="12">
        <f>IFERROR(__xludf.DUMMYFUNCTION("""COMPUTED_VALUE"""),44662.81045138888)</f>
        <v>44662.81045</v>
      </c>
      <c r="D1543" s="13">
        <f t="shared" si="1"/>
        <v>11</v>
      </c>
      <c r="E1543" s="13">
        <f t="shared" si="2"/>
        <v>19</v>
      </c>
    </row>
    <row r="1544">
      <c r="A1544" s="4" t="s">
        <v>1801</v>
      </c>
      <c r="B1544" s="16"/>
      <c r="C1544" s="12">
        <f>IFERROR(__xludf.DUMMYFUNCTION("""COMPUTED_VALUE"""),44662.81043981481)</f>
        <v>44662.81044</v>
      </c>
      <c r="D1544" s="13">
        <f t="shared" si="1"/>
        <v>11</v>
      </c>
      <c r="E1544" s="13">
        <f t="shared" si="2"/>
        <v>19</v>
      </c>
    </row>
    <row r="1545">
      <c r="A1545" s="4" t="s">
        <v>1802</v>
      </c>
      <c r="B1545" s="4" t="s">
        <v>1269</v>
      </c>
      <c r="C1545" s="12">
        <f>IFERROR(__xludf.DUMMYFUNCTION("""COMPUTED_VALUE"""),44662.81042824074)</f>
        <v>44662.81043</v>
      </c>
      <c r="D1545" s="13">
        <f t="shared" si="1"/>
        <v>11</v>
      </c>
      <c r="E1545" s="13">
        <f t="shared" si="2"/>
        <v>19</v>
      </c>
    </row>
    <row r="1546">
      <c r="A1546" s="4" t="s">
        <v>1803</v>
      </c>
      <c r="B1546" s="4" t="s">
        <v>1269</v>
      </c>
      <c r="C1546" s="12">
        <f>IFERROR(__xludf.DUMMYFUNCTION("""COMPUTED_VALUE"""),44662.81041666667)</f>
        <v>44662.81042</v>
      </c>
      <c r="D1546" s="13">
        <f t="shared" si="1"/>
        <v>11</v>
      </c>
      <c r="E1546" s="13">
        <f t="shared" si="2"/>
        <v>19</v>
      </c>
    </row>
    <row r="1547">
      <c r="A1547" s="4" t="s">
        <v>1804</v>
      </c>
      <c r="B1547" s="4" t="s">
        <v>1269</v>
      </c>
      <c r="C1547" s="12">
        <f>IFERROR(__xludf.DUMMYFUNCTION("""COMPUTED_VALUE"""),44662.81040509259)</f>
        <v>44662.81041</v>
      </c>
      <c r="D1547" s="13">
        <f t="shared" si="1"/>
        <v>11</v>
      </c>
      <c r="E1547" s="13">
        <f t="shared" si="2"/>
        <v>19</v>
      </c>
    </row>
    <row r="1548">
      <c r="A1548" s="4" t="s">
        <v>1805</v>
      </c>
      <c r="B1548" s="4" t="s">
        <v>1269</v>
      </c>
      <c r="C1548" s="12">
        <f>IFERROR(__xludf.DUMMYFUNCTION("""COMPUTED_VALUE"""),44662.810381944444)</f>
        <v>44662.81038</v>
      </c>
      <c r="D1548" s="13">
        <f t="shared" si="1"/>
        <v>11</v>
      </c>
      <c r="E1548" s="13">
        <f t="shared" si="2"/>
        <v>19</v>
      </c>
    </row>
    <row r="1549">
      <c r="A1549" s="4" t="s">
        <v>1806</v>
      </c>
      <c r="B1549" s="4" t="s">
        <v>1269</v>
      </c>
      <c r="C1549" s="12">
        <f>IFERROR(__xludf.DUMMYFUNCTION("""COMPUTED_VALUE"""),44662.81037037037)</f>
        <v>44662.81037</v>
      </c>
      <c r="D1549" s="13">
        <f t="shared" si="1"/>
        <v>11</v>
      </c>
      <c r="E1549" s="13">
        <f t="shared" si="2"/>
        <v>19</v>
      </c>
    </row>
    <row r="1550">
      <c r="A1550" s="4" t="s">
        <v>1807</v>
      </c>
      <c r="B1550" s="4" t="s">
        <v>1269</v>
      </c>
      <c r="C1550" s="12">
        <f>IFERROR(__xludf.DUMMYFUNCTION("""COMPUTED_VALUE"""),44662.81035879629)</f>
        <v>44662.81036</v>
      </c>
      <c r="D1550" s="13">
        <f t="shared" si="1"/>
        <v>11</v>
      </c>
      <c r="E1550" s="13">
        <f t="shared" si="2"/>
        <v>19</v>
      </c>
    </row>
    <row r="1551">
      <c r="A1551" s="4" t="s">
        <v>1808</v>
      </c>
      <c r="B1551" s="4" t="s">
        <v>1809</v>
      </c>
      <c r="C1551" s="12">
        <f>IFERROR(__xludf.DUMMYFUNCTION("""COMPUTED_VALUE"""),44662.810335648144)</f>
        <v>44662.81034</v>
      </c>
      <c r="D1551" s="13">
        <f t="shared" si="1"/>
        <v>11</v>
      </c>
      <c r="E1551" s="13">
        <f t="shared" si="2"/>
        <v>19</v>
      </c>
    </row>
    <row r="1552">
      <c r="A1552" s="4" t="s">
        <v>1810</v>
      </c>
      <c r="B1552" s="16"/>
      <c r="C1552" s="12">
        <f>IFERROR(__xludf.DUMMYFUNCTION("""COMPUTED_VALUE"""),44662.8103125)</f>
        <v>44662.81031</v>
      </c>
      <c r="D1552" s="13">
        <f t="shared" si="1"/>
        <v>11</v>
      </c>
      <c r="E1552" s="13">
        <f t="shared" si="2"/>
        <v>19</v>
      </c>
    </row>
    <row r="1553">
      <c r="A1553" s="4" t="s">
        <v>1811</v>
      </c>
      <c r="B1553" s="4" t="s">
        <v>1809</v>
      </c>
      <c r="C1553" s="12">
        <f>IFERROR(__xludf.DUMMYFUNCTION("""COMPUTED_VALUE"""),44662.81010416667)</f>
        <v>44662.8101</v>
      </c>
      <c r="D1553" s="13">
        <f t="shared" si="1"/>
        <v>11</v>
      </c>
      <c r="E1553" s="13">
        <f t="shared" si="2"/>
        <v>19</v>
      </c>
    </row>
    <row r="1554">
      <c r="A1554" s="4" t="s">
        <v>1812</v>
      </c>
      <c r="B1554" s="4" t="s">
        <v>829</v>
      </c>
      <c r="C1554" s="12">
        <f>IFERROR(__xludf.DUMMYFUNCTION("""COMPUTED_VALUE"""),44662.80921296296)</f>
        <v>44662.80921</v>
      </c>
      <c r="D1554" s="13">
        <f t="shared" si="1"/>
        <v>11</v>
      </c>
      <c r="E1554" s="13">
        <f t="shared" si="2"/>
        <v>19</v>
      </c>
    </row>
    <row r="1555">
      <c r="A1555" s="4" t="s">
        <v>1813</v>
      </c>
      <c r="B1555" s="4" t="s">
        <v>829</v>
      </c>
      <c r="C1555" s="12">
        <f>IFERROR(__xludf.DUMMYFUNCTION("""COMPUTED_VALUE"""),44662.809178240735)</f>
        <v>44662.80918</v>
      </c>
      <c r="D1555" s="13">
        <f t="shared" si="1"/>
        <v>11</v>
      </c>
      <c r="E1555" s="13">
        <f t="shared" si="2"/>
        <v>19</v>
      </c>
    </row>
    <row r="1556">
      <c r="A1556" s="4" t="s">
        <v>1814</v>
      </c>
      <c r="B1556" s="16"/>
      <c r="C1556" s="12">
        <f>IFERROR(__xludf.DUMMYFUNCTION("""COMPUTED_VALUE"""),44662.80863425926)</f>
        <v>44662.80863</v>
      </c>
      <c r="D1556" s="13">
        <f t="shared" si="1"/>
        <v>11</v>
      </c>
      <c r="E1556" s="13">
        <f t="shared" si="2"/>
        <v>19</v>
      </c>
    </row>
    <row r="1557">
      <c r="A1557" s="4" t="s">
        <v>1815</v>
      </c>
      <c r="B1557" s="16"/>
      <c r="C1557" s="12">
        <f>IFERROR(__xludf.DUMMYFUNCTION("""COMPUTED_VALUE"""),44662.80831018518)</f>
        <v>44662.80831</v>
      </c>
      <c r="D1557" s="13">
        <f t="shared" si="1"/>
        <v>11</v>
      </c>
      <c r="E1557" s="13">
        <f t="shared" si="2"/>
        <v>19</v>
      </c>
    </row>
    <row r="1558">
      <c r="A1558" s="4" t="s">
        <v>1816</v>
      </c>
      <c r="B1558" s="4" t="s">
        <v>1817</v>
      </c>
      <c r="C1558" s="12">
        <f>IFERROR(__xludf.DUMMYFUNCTION("""COMPUTED_VALUE"""),44662.80821759259)</f>
        <v>44662.80822</v>
      </c>
      <c r="D1558" s="13">
        <f t="shared" si="1"/>
        <v>11</v>
      </c>
      <c r="E1558" s="13">
        <f t="shared" si="2"/>
        <v>19</v>
      </c>
    </row>
    <row r="1559">
      <c r="A1559" s="4" t="s">
        <v>1818</v>
      </c>
      <c r="B1559" s="4" t="s">
        <v>1809</v>
      </c>
      <c r="C1559" s="12">
        <f>IFERROR(__xludf.DUMMYFUNCTION("""COMPUTED_VALUE"""),44662.808124999996)</f>
        <v>44662.80813</v>
      </c>
      <c r="D1559" s="13">
        <f t="shared" si="1"/>
        <v>11</v>
      </c>
      <c r="E1559" s="13">
        <f t="shared" si="2"/>
        <v>19</v>
      </c>
    </row>
    <row r="1560">
      <c r="A1560" s="4" t="s">
        <v>1819</v>
      </c>
      <c r="B1560" s="4" t="s">
        <v>1786</v>
      </c>
      <c r="C1560" s="12">
        <f>IFERROR(__xludf.DUMMYFUNCTION("""COMPUTED_VALUE"""),44662.80788194444)</f>
        <v>44662.80788</v>
      </c>
      <c r="D1560" s="13">
        <f t="shared" si="1"/>
        <v>11</v>
      </c>
      <c r="E1560" s="13">
        <f t="shared" si="2"/>
        <v>19</v>
      </c>
    </row>
    <row r="1561">
      <c r="A1561" s="4" t="s">
        <v>1820</v>
      </c>
      <c r="B1561" s="4" t="s">
        <v>1786</v>
      </c>
      <c r="C1561" s="12">
        <f>IFERROR(__xludf.DUMMYFUNCTION("""COMPUTED_VALUE"""),44662.8077662037)</f>
        <v>44662.80777</v>
      </c>
      <c r="D1561" s="13">
        <f t="shared" si="1"/>
        <v>11</v>
      </c>
      <c r="E1561" s="13">
        <f t="shared" si="2"/>
        <v>19</v>
      </c>
    </row>
    <row r="1562">
      <c r="A1562" s="4" t="s">
        <v>1821</v>
      </c>
      <c r="B1562" s="4" t="s">
        <v>240</v>
      </c>
      <c r="C1562" s="12">
        <f>IFERROR(__xludf.DUMMYFUNCTION("""COMPUTED_VALUE"""),44662.80719907407)</f>
        <v>44662.8072</v>
      </c>
      <c r="D1562" s="13">
        <f t="shared" si="1"/>
        <v>11</v>
      </c>
      <c r="E1562" s="13">
        <f t="shared" si="2"/>
        <v>19</v>
      </c>
    </row>
    <row r="1563">
      <c r="A1563" s="4" t="s">
        <v>1822</v>
      </c>
      <c r="B1563" s="4" t="s">
        <v>240</v>
      </c>
      <c r="C1563" s="12">
        <f>IFERROR(__xludf.DUMMYFUNCTION("""COMPUTED_VALUE"""),44662.807187499995)</f>
        <v>44662.80719</v>
      </c>
      <c r="D1563" s="13">
        <f t="shared" si="1"/>
        <v>11</v>
      </c>
      <c r="E1563" s="13">
        <f t="shared" si="2"/>
        <v>19</v>
      </c>
    </row>
    <row r="1564">
      <c r="A1564" s="4" t="s">
        <v>1823</v>
      </c>
      <c r="B1564" s="4" t="s">
        <v>240</v>
      </c>
      <c r="C1564" s="12">
        <f>IFERROR(__xludf.DUMMYFUNCTION("""COMPUTED_VALUE"""),44662.80716435185)</f>
        <v>44662.80716</v>
      </c>
      <c r="D1564" s="13">
        <f t="shared" si="1"/>
        <v>11</v>
      </c>
      <c r="E1564" s="13">
        <f t="shared" si="2"/>
        <v>19</v>
      </c>
    </row>
    <row r="1565">
      <c r="A1565" s="4" t="s">
        <v>1824</v>
      </c>
      <c r="B1565" s="4" t="s">
        <v>240</v>
      </c>
      <c r="C1565" s="12">
        <f>IFERROR(__xludf.DUMMYFUNCTION("""COMPUTED_VALUE"""),44662.80715277777)</f>
        <v>44662.80715</v>
      </c>
      <c r="D1565" s="13">
        <f t="shared" si="1"/>
        <v>11</v>
      </c>
      <c r="E1565" s="13">
        <f t="shared" si="2"/>
        <v>19</v>
      </c>
    </row>
    <row r="1566">
      <c r="A1566" s="4" t="s">
        <v>1825</v>
      </c>
      <c r="B1566" s="4" t="s">
        <v>240</v>
      </c>
      <c r="C1566" s="12">
        <f>IFERROR(__xludf.DUMMYFUNCTION("""COMPUTED_VALUE"""),44662.807129629626)</f>
        <v>44662.80713</v>
      </c>
      <c r="D1566" s="13">
        <f t="shared" si="1"/>
        <v>11</v>
      </c>
      <c r="E1566" s="13">
        <f t="shared" si="2"/>
        <v>19</v>
      </c>
    </row>
    <row r="1567">
      <c r="A1567" s="4" t="s">
        <v>1826</v>
      </c>
      <c r="B1567" s="4" t="s">
        <v>240</v>
      </c>
      <c r="C1567" s="12">
        <f>IFERROR(__xludf.DUMMYFUNCTION("""COMPUTED_VALUE"""),44662.807118055556)</f>
        <v>44662.80712</v>
      </c>
      <c r="D1567" s="13">
        <f t="shared" si="1"/>
        <v>11</v>
      </c>
      <c r="E1567" s="13">
        <f t="shared" si="2"/>
        <v>19</v>
      </c>
    </row>
    <row r="1568">
      <c r="A1568" s="4" t="s">
        <v>1827</v>
      </c>
      <c r="B1568" s="4" t="s">
        <v>240</v>
      </c>
      <c r="C1568" s="12">
        <f>IFERROR(__xludf.DUMMYFUNCTION("""COMPUTED_VALUE"""),44662.8070949074)</f>
        <v>44662.80709</v>
      </c>
      <c r="D1568" s="13">
        <f t="shared" si="1"/>
        <v>11</v>
      </c>
      <c r="E1568" s="13">
        <f t="shared" si="2"/>
        <v>19</v>
      </c>
    </row>
    <row r="1569">
      <c r="A1569" s="4" t="s">
        <v>1828</v>
      </c>
      <c r="B1569" s="4" t="s">
        <v>240</v>
      </c>
      <c r="C1569" s="12">
        <f>IFERROR(__xludf.DUMMYFUNCTION("""COMPUTED_VALUE"""),44662.80696759259)</f>
        <v>44662.80697</v>
      </c>
      <c r="D1569" s="13">
        <f t="shared" si="1"/>
        <v>11</v>
      </c>
      <c r="E1569" s="13">
        <f t="shared" si="2"/>
        <v>19</v>
      </c>
    </row>
    <row r="1570">
      <c r="A1570" s="4" t="s">
        <v>1829</v>
      </c>
      <c r="B1570" s="4" t="s">
        <v>240</v>
      </c>
      <c r="C1570" s="12">
        <f>IFERROR(__xludf.DUMMYFUNCTION("""COMPUTED_VALUE"""),44662.80694444444)</f>
        <v>44662.80694</v>
      </c>
      <c r="D1570" s="13">
        <f t="shared" si="1"/>
        <v>11</v>
      </c>
      <c r="E1570" s="13">
        <f t="shared" si="2"/>
        <v>19</v>
      </c>
    </row>
    <row r="1571">
      <c r="A1571" s="4" t="s">
        <v>1830</v>
      </c>
      <c r="B1571" s="4" t="s">
        <v>240</v>
      </c>
      <c r="C1571" s="12">
        <f>IFERROR(__xludf.DUMMYFUNCTION("""COMPUTED_VALUE"""),44662.80693287037)</f>
        <v>44662.80693</v>
      </c>
      <c r="D1571" s="13">
        <f t="shared" si="1"/>
        <v>11</v>
      </c>
      <c r="E1571" s="13">
        <f t="shared" si="2"/>
        <v>19</v>
      </c>
    </row>
    <row r="1572">
      <c r="A1572" s="4" t="s">
        <v>1831</v>
      </c>
      <c r="B1572" s="4" t="s">
        <v>240</v>
      </c>
      <c r="C1572" s="12">
        <f>IFERROR(__xludf.DUMMYFUNCTION("""COMPUTED_VALUE"""),44662.80689814815)</f>
        <v>44662.8069</v>
      </c>
      <c r="D1572" s="13">
        <f t="shared" si="1"/>
        <v>11</v>
      </c>
      <c r="E1572" s="13">
        <f t="shared" si="2"/>
        <v>19</v>
      </c>
    </row>
    <row r="1573">
      <c r="A1573" s="4" t="s">
        <v>1832</v>
      </c>
      <c r="B1573" s="16"/>
      <c r="C1573" s="12">
        <f>IFERROR(__xludf.DUMMYFUNCTION("""COMPUTED_VALUE"""),44662.806874999995)</f>
        <v>44662.80688</v>
      </c>
      <c r="D1573" s="13">
        <f t="shared" si="1"/>
        <v>11</v>
      </c>
      <c r="E1573" s="13">
        <f t="shared" si="2"/>
        <v>19</v>
      </c>
    </row>
    <row r="1574">
      <c r="A1574" s="4" t="s">
        <v>1833</v>
      </c>
      <c r="B1574" s="4" t="s">
        <v>240</v>
      </c>
      <c r="C1574" s="12">
        <f>IFERROR(__xludf.DUMMYFUNCTION("""COMPUTED_VALUE"""),44662.80685185185)</f>
        <v>44662.80685</v>
      </c>
      <c r="D1574" s="13">
        <f t="shared" si="1"/>
        <v>11</v>
      </c>
      <c r="E1574" s="13">
        <f t="shared" si="2"/>
        <v>19</v>
      </c>
    </row>
    <row r="1575">
      <c r="A1575" s="4" t="s">
        <v>1834</v>
      </c>
      <c r="B1575" s="4" t="s">
        <v>240</v>
      </c>
      <c r="C1575" s="12">
        <f>IFERROR(__xludf.DUMMYFUNCTION("""COMPUTED_VALUE"""),44662.80670138889)</f>
        <v>44662.8067</v>
      </c>
      <c r="D1575" s="13">
        <f t="shared" si="1"/>
        <v>11</v>
      </c>
      <c r="E1575" s="13">
        <f t="shared" si="2"/>
        <v>19</v>
      </c>
    </row>
    <row r="1576">
      <c r="A1576" s="4" t="s">
        <v>1835</v>
      </c>
      <c r="B1576" s="4" t="s">
        <v>91</v>
      </c>
      <c r="C1576" s="12">
        <f>IFERROR(__xludf.DUMMYFUNCTION("""COMPUTED_VALUE"""),44662.80634259259)</f>
        <v>44662.80634</v>
      </c>
      <c r="D1576" s="13">
        <f t="shared" si="1"/>
        <v>11</v>
      </c>
      <c r="E1576" s="13">
        <f t="shared" si="2"/>
        <v>19</v>
      </c>
    </row>
    <row r="1577">
      <c r="A1577" s="4" t="s">
        <v>1836</v>
      </c>
      <c r="B1577" s="4" t="s">
        <v>1786</v>
      </c>
      <c r="C1577" s="12">
        <f>IFERROR(__xludf.DUMMYFUNCTION("""COMPUTED_VALUE"""),44662.805555555555)</f>
        <v>44662.80556</v>
      </c>
      <c r="D1577" s="13">
        <f t="shared" si="1"/>
        <v>11</v>
      </c>
      <c r="E1577" s="13">
        <f t="shared" si="2"/>
        <v>19</v>
      </c>
    </row>
    <row r="1578">
      <c r="A1578" s="4" t="s">
        <v>1837</v>
      </c>
      <c r="B1578" s="4" t="s">
        <v>1786</v>
      </c>
      <c r="C1578" s="12">
        <f>IFERROR(__xludf.DUMMYFUNCTION("""COMPUTED_VALUE"""),44662.80553240741)</f>
        <v>44662.80553</v>
      </c>
      <c r="D1578" s="13">
        <f t="shared" si="1"/>
        <v>11</v>
      </c>
      <c r="E1578" s="13">
        <f t="shared" si="2"/>
        <v>19</v>
      </c>
    </row>
    <row r="1579">
      <c r="A1579" s="4" t="s">
        <v>1838</v>
      </c>
      <c r="B1579" s="4" t="s">
        <v>1839</v>
      </c>
      <c r="C1579" s="12">
        <f>IFERROR(__xludf.DUMMYFUNCTION("""COMPUTED_VALUE"""),44662.80537037037)</f>
        <v>44662.80537</v>
      </c>
      <c r="D1579" s="13">
        <f t="shared" si="1"/>
        <v>11</v>
      </c>
      <c r="E1579" s="13">
        <f t="shared" si="2"/>
        <v>19</v>
      </c>
    </row>
    <row r="1580">
      <c r="A1580" s="4" t="s">
        <v>1840</v>
      </c>
      <c r="B1580" s="16"/>
      <c r="C1580" s="12">
        <f>IFERROR(__xludf.DUMMYFUNCTION("""COMPUTED_VALUE"""),44662.80532407407)</f>
        <v>44662.80532</v>
      </c>
      <c r="D1580" s="13">
        <f t="shared" si="1"/>
        <v>11</v>
      </c>
      <c r="E1580" s="13">
        <f t="shared" si="2"/>
        <v>19</v>
      </c>
    </row>
    <row r="1581">
      <c r="A1581" s="4" t="s">
        <v>1841</v>
      </c>
      <c r="B1581" s="4" t="s">
        <v>1842</v>
      </c>
      <c r="C1581" s="12">
        <f>IFERROR(__xludf.DUMMYFUNCTION("""COMPUTED_VALUE"""),44662.8052662037)</f>
        <v>44662.80527</v>
      </c>
      <c r="D1581" s="13">
        <f t="shared" si="1"/>
        <v>11</v>
      </c>
      <c r="E1581" s="13">
        <f t="shared" si="2"/>
        <v>19</v>
      </c>
    </row>
    <row r="1582">
      <c r="A1582" s="4" t="s">
        <v>1843</v>
      </c>
      <c r="B1582" s="4" t="s">
        <v>1842</v>
      </c>
      <c r="C1582" s="12">
        <f>IFERROR(__xludf.DUMMYFUNCTION("""COMPUTED_VALUE"""),44662.805243055554)</f>
        <v>44662.80524</v>
      </c>
      <c r="D1582" s="13">
        <f t="shared" si="1"/>
        <v>11</v>
      </c>
      <c r="E1582" s="13">
        <f t="shared" si="2"/>
        <v>19</v>
      </c>
    </row>
    <row r="1583">
      <c r="A1583" s="4" t="s">
        <v>1844</v>
      </c>
      <c r="B1583" s="4" t="s">
        <v>1842</v>
      </c>
      <c r="C1583" s="12">
        <f>IFERROR(__xludf.DUMMYFUNCTION("""COMPUTED_VALUE"""),44662.80521990741)</f>
        <v>44662.80522</v>
      </c>
      <c r="D1583" s="13">
        <f t="shared" si="1"/>
        <v>11</v>
      </c>
      <c r="E1583" s="13">
        <f t="shared" si="2"/>
        <v>19</v>
      </c>
    </row>
    <row r="1584">
      <c r="A1584" s="4" t="s">
        <v>1845</v>
      </c>
      <c r="B1584" s="16"/>
      <c r="C1584" s="12">
        <f>IFERROR(__xludf.DUMMYFUNCTION("""COMPUTED_VALUE"""),44662.80517361111)</f>
        <v>44662.80517</v>
      </c>
      <c r="D1584" s="13">
        <f t="shared" si="1"/>
        <v>11</v>
      </c>
      <c r="E1584" s="13">
        <f t="shared" si="2"/>
        <v>19</v>
      </c>
    </row>
    <row r="1585">
      <c r="A1585" s="4" t="s">
        <v>1846</v>
      </c>
      <c r="B1585" s="4" t="s">
        <v>1842</v>
      </c>
      <c r="C1585" s="12">
        <f>IFERROR(__xludf.DUMMYFUNCTION("""COMPUTED_VALUE"""),44662.80515046296)</f>
        <v>44662.80515</v>
      </c>
      <c r="D1585" s="13">
        <f t="shared" si="1"/>
        <v>11</v>
      </c>
      <c r="E1585" s="13">
        <f t="shared" si="2"/>
        <v>19</v>
      </c>
    </row>
    <row r="1586">
      <c r="A1586" s="4" t="s">
        <v>1847</v>
      </c>
      <c r="B1586" s="4" t="s">
        <v>1767</v>
      </c>
      <c r="C1586" s="12">
        <f>IFERROR(__xludf.DUMMYFUNCTION("""COMPUTED_VALUE"""),44662.80453703704)</f>
        <v>44662.80454</v>
      </c>
      <c r="D1586" s="13">
        <f t="shared" si="1"/>
        <v>11</v>
      </c>
      <c r="E1586" s="13">
        <f t="shared" si="2"/>
        <v>19</v>
      </c>
    </row>
    <row r="1587">
      <c r="A1587" s="4" t="s">
        <v>1848</v>
      </c>
      <c r="B1587" s="4" t="s">
        <v>1849</v>
      </c>
      <c r="C1587" s="12">
        <f>IFERROR(__xludf.DUMMYFUNCTION("""COMPUTED_VALUE"""),44662.80415509259)</f>
        <v>44662.80416</v>
      </c>
      <c r="D1587" s="13">
        <f t="shared" si="1"/>
        <v>11</v>
      </c>
      <c r="E1587" s="13">
        <f t="shared" si="2"/>
        <v>19</v>
      </c>
    </row>
    <row r="1588">
      <c r="A1588" s="4" t="s">
        <v>1850</v>
      </c>
      <c r="B1588" s="16"/>
      <c r="C1588" s="12">
        <f>IFERROR(__xludf.DUMMYFUNCTION("""COMPUTED_VALUE"""),44662.804143518515)</f>
        <v>44662.80414</v>
      </c>
      <c r="D1588" s="13">
        <f t="shared" si="1"/>
        <v>11</v>
      </c>
      <c r="E1588" s="13">
        <f t="shared" si="2"/>
        <v>19</v>
      </c>
    </row>
    <row r="1589">
      <c r="A1589" s="4" t="s">
        <v>1851</v>
      </c>
      <c r="B1589" s="4" t="s">
        <v>1842</v>
      </c>
      <c r="C1589" s="12">
        <f>IFERROR(__xludf.DUMMYFUNCTION("""COMPUTED_VALUE"""),44662.80392361111)</f>
        <v>44662.80392</v>
      </c>
      <c r="D1589" s="13">
        <f t="shared" si="1"/>
        <v>11</v>
      </c>
      <c r="E1589" s="13">
        <f t="shared" si="2"/>
        <v>19</v>
      </c>
    </row>
    <row r="1590">
      <c r="A1590" s="4" t="s">
        <v>1852</v>
      </c>
      <c r="B1590" s="16"/>
      <c r="C1590" s="12">
        <f>IFERROR(__xludf.DUMMYFUNCTION("""COMPUTED_VALUE"""),44662.80386574074)</f>
        <v>44662.80387</v>
      </c>
      <c r="D1590" s="13">
        <f t="shared" si="1"/>
        <v>11</v>
      </c>
      <c r="E1590" s="13">
        <f t="shared" si="2"/>
        <v>19</v>
      </c>
    </row>
    <row r="1591">
      <c r="A1591" s="4" t="s">
        <v>1853</v>
      </c>
      <c r="B1591" s="4" t="s">
        <v>1842</v>
      </c>
      <c r="C1591" s="12">
        <f>IFERROR(__xludf.DUMMYFUNCTION("""COMPUTED_VALUE"""),44662.803831018515)</f>
        <v>44662.80383</v>
      </c>
      <c r="D1591" s="13">
        <f t="shared" si="1"/>
        <v>11</v>
      </c>
      <c r="E1591" s="13">
        <f t="shared" si="2"/>
        <v>19</v>
      </c>
    </row>
    <row r="1592">
      <c r="A1592" s="4" t="s">
        <v>1854</v>
      </c>
      <c r="B1592" s="4" t="s">
        <v>1849</v>
      </c>
      <c r="C1592" s="12">
        <f>IFERROR(__xludf.DUMMYFUNCTION("""COMPUTED_VALUE"""),44662.80380787037)</f>
        <v>44662.80381</v>
      </c>
      <c r="D1592" s="13">
        <f t="shared" si="1"/>
        <v>11</v>
      </c>
      <c r="E1592" s="13">
        <f t="shared" si="2"/>
        <v>19</v>
      </c>
    </row>
    <row r="1593">
      <c r="A1593" s="4" t="s">
        <v>1855</v>
      </c>
      <c r="B1593" s="4" t="s">
        <v>1786</v>
      </c>
      <c r="C1593" s="12">
        <f>IFERROR(__xludf.DUMMYFUNCTION("""COMPUTED_VALUE"""),44662.803668981476)</f>
        <v>44662.80367</v>
      </c>
      <c r="D1593" s="13">
        <f t="shared" si="1"/>
        <v>11</v>
      </c>
      <c r="E1593" s="13">
        <f t="shared" si="2"/>
        <v>19</v>
      </c>
    </row>
    <row r="1594">
      <c r="A1594" s="4" t="s">
        <v>1856</v>
      </c>
      <c r="B1594" s="4" t="s">
        <v>1842</v>
      </c>
      <c r="C1594" s="12">
        <f>IFERROR(__xludf.DUMMYFUNCTION("""COMPUTED_VALUE"""),44662.80363425926)</f>
        <v>44662.80363</v>
      </c>
      <c r="D1594" s="13">
        <f t="shared" si="1"/>
        <v>11</v>
      </c>
      <c r="E1594" s="13">
        <f t="shared" si="2"/>
        <v>19</v>
      </c>
    </row>
    <row r="1595">
      <c r="A1595" s="4" t="s">
        <v>1857</v>
      </c>
      <c r="B1595" s="4" t="s">
        <v>1858</v>
      </c>
      <c r="C1595" s="12">
        <f>IFERROR(__xludf.DUMMYFUNCTION("""COMPUTED_VALUE"""),44662.80336805555)</f>
        <v>44662.80337</v>
      </c>
      <c r="D1595" s="13">
        <f t="shared" si="1"/>
        <v>11</v>
      </c>
      <c r="E1595" s="13">
        <f t="shared" si="2"/>
        <v>19</v>
      </c>
    </row>
    <row r="1596">
      <c r="A1596" s="4" t="s">
        <v>1859</v>
      </c>
      <c r="B1596" s="4" t="s">
        <v>1842</v>
      </c>
      <c r="C1596" s="12">
        <f>IFERROR(__xludf.DUMMYFUNCTION("""COMPUTED_VALUE"""),44662.80331018518)</f>
        <v>44662.80331</v>
      </c>
      <c r="D1596" s="13">
        <f t="shared" si="1"/>
        <v>11</v>
      </c>
      <c r="E1596" s="13">
        <f t="shared" si="2"/>
        <v>19</v>
      </c>
    </row>
    <row r="1597">
      <c r="A1597" s="4" t="s">
        <v>1860</v>
      </c>
      <c r="B1597" s="16"/>
      <c r="C1597" s="12">
        <f>IFERROR(__xludf.DUMMYFUNCTION("""COMPUTED_VALUE"""),44662.80306712963)</f>
        <v>44662.80307</v>
      </c>
      <c r="D1597" s="13">
        <f t="shared" si="1"/>
        <v>11</v>
      </c>
      <c r="E1597" s="13">
        <f t="shared" si="2"/>
        <v>19</v>
      </c>
    </row>
    <row r="1598">
      <c r="A1598" s="4" t="s">
        <v>1861</v>
      </c>
      <c r="B1598" s="4" t="s">
        <v>1842</v>
      </c>
      <c r="C1598" s="12">
        <f>IFERROR(__xludf.DUMMYFUNCTION("""COMPUTED_VALUE"""),44662.803043981476)</f>
        <v>44662.80304</v>
      </c>
      <c r="D1598" s="13">
        <f t="shared" si="1"/>
        <v>11</v>
      </c>
      <c r="E1598" s="13">
        <f t="shared" si="2"/>
        <v>19</v>
      </c>
    </row>
    <row r="1599">
      <c r="A1599" s="4" t="s">
        <v>1862</v>
      </c>
      <c r="B1599" s="4" t="s">
        <v>1842</v>
      </c>
      <c r="C1599" s="12">
        <f>IFERROR(__xludf.DUMMYFUNCTION("""COMPUTED_VALUE"""),44662.802465277775)</f>
        <v>44662.80247</v>
      </c>
      <c r="D1599" s="13">
        <f t="shared" si="1"/>
        <v>11</v>
      </c>
      <c r="E1599" s="13">
        <f t="shared" si="2"/>
        <v>19</v>
      </c>
    </row>
    <row r="1600">
      <c r="A1600" s="4" t="s">
        <v>1863</v>
      </c>
      <c r="B1600" s="16"/>
      <c r="C1600" s="12">
        <f>IFERROR(__xludf.DUMMYFUNCTION("""COMPUTED_VALUE"""),44662.80232638889)</f>
        <v>44662.80233</v>
      </c>
      <c r="D1600" s="13">
        <f t="shared" si="1"/>
        <v>11</v>
      </c>
      <c r="E1600" s="13">
        <f t="shared" si="2"/>
        <v>19</v>
      </c>
    </row>
    <row r="1601">
      <c r="A1601" s="4" t="s">
        <v>1864</v>
      </c>
      <c r="B1601" s="4" t="s">
        <v>1842</v>
      </c>
      <c r="C1601" s="12">
        <f>IFERROR(__xludf.DUMMYFUNCTION("""COMPUTED_VALUE"""),44662.80212962963)</f>
        <v>44662.80213</v>
      </c>
      <c r="D1601" s="13">
        <f t="shared" si="1"/>
        <v>11</v>
      </c>
      <c r="E1601" s="13">
        <f t="shared" si="2"/>
        <v>19</v>
      </c>
    </row>
    <row r="1602">
      <c r="A1602" s="4" t="s">
        <v>1865</v>
      </c>
      <c r="B1602" s="16"/>
      <c r="C1602" s="12">
        <f>IFERROR(__xludf.DUMMYFUNCTION("""COMPUTED_VALUE"""),44662.801724537036)</f>
        <v>44662.80172</v>
      </c>
      <c r="D1602" s="13">
        <f t="shared" si="1"/>
        <v>11</v>
      </c>
      <c r="E1602" s="13">
        <f t="shared" si="2"/>
        <v>19</v>
      </c>
    </row>
    <row r="1603">
      <c r="A1603" s="4" t="s">
        <v>1866</v>
      </c>
      <c r="B1603" s="16"/>
      <c r="C1603" s="12">
        <f>IFERROR(__xludf.DUMMYFUNCTION("""COMPUTED_VALUE"""),44662.80162037037)</f>
        <v>44662.80162</v>
      </c>
      <c r="D1603" s="13">
        <f t="shared" si="1"/>
        <v>11</v>
      </c>
      <c r="E1603" s="13">
        <f t="shared" si="2"/>
        <v>19</v>
      </c>
    </row>
    <row r="1604">
      <c r="A1604" s="4" t="s">
        <v>1867</v>
      </c>
      <c r="B1604" s="4" t="s">
        <v>1868</v>
      </c>
      <c r="C1604" s="12">
        <f>IFERROR(__xludf.DUMMYFUNCTION("""COMPUTED_VALUE"""),44662.80060185185)</f>
        <v>44662.8006</v>
      </c>
      <c r="D1604" s="13">
        <f t="shared" si="1"/>
        <v>11</v>
      </c>
      <c r="E1604" s="13">
        <f t="shared" si="2"/>
        <v>19</v>
      </c>
    </row>
    <row r="1605">
      <c r="A1605" s="4" t="s">
        <v>1869</v>
      </c>
      <c r="B1605" s="4" t="s">
        <v>1870</v>
      </c>
      <c r="C1605" s="12">
        <f>IFERROR(__xludf.DUMMYFUNCTION("""COMPUTED_VALUE"""),44662.79997685185)</f>
        <v>44662.79998</v>
      </c>
      <c r="D1605" s="13">
        <f t="shared" si="1"/>
        <v>11</v>
      </c>
      <c r="E1605" s="13">
        <f t="shared" si="2"/>
        <v>19</v>
      </c>
    </row>
    <row r="1606">
      <c r="A1606" s="4" t="s">
        <v>1871</v>
      </c>
      <c r="B1606" s="4" t="s">
        <v>1872</v>
      </c>
      <c r="C1606" s="12">
        <f>IFERROR(__xludf.DUMMYFUNCTION("""COMPUTED_VALUE"""),44662.79892361111)</f>
        <v>44662.79892</v>
      </c>
      <c r="D1606" s="13">
        <f t="shared" si="1"/>
        <v>11</v>
      </c>
      <c r="E1606" s="13">
        <f t="shared" si="2"/>
        <v>19</v>
      </c>
    </row>
    <row r="1607">
      <c r="A1607" s="4" t="s">
        <v>1873</v>
      </c>
      <c r="B1607" s="4" t="s">
        <v>1030</v>
      </c>
      <c r="C1607" s="12">
        <f>IFERROR(__xludf.DUMMYFUNCTION("""COMPUTED_VALUE"""),44662.797326388885)</f>
        <v>44662.79733</v>
      </c>
      <c r="D1607" s="13">
        <f t="shared" si="1"/>
        <v>11</v>
      </c>
      <c r="E1607" s="13">
        <f t="shared" si="2"/>
        <v>19</v>
      </c>
    </row>
    <row r="1608">
      <c r="A1608" s="4" t="s">
        <v>1874</v>
      </c>
      <c r="B1608" s="16"/>
      <c r="C1608" s="12">
        <f>IFERROR(__xludf.DUMMYFUNCTION("""COMPUTED_VALUE"""),44662.79729166666)</f>
        <v>44662.79729</v>
      </c>
      <c r="D1608" s="13">
        <f t="shared" si="1"/>
        <v>11</v>
      </c>
      <c r="E1608" s="13">
        <f t="shared" si="2"/>
        <v>19</v>
      </c>
    </row>
    <row r="1609">
      <c r="A1609" s="4" t="s">
        <v>1875</v>
      </c>
      <c r="B1609" s="4" t="s">
        <v>1030</v>
      </c>
      <c r="C1609" s="12">
        <f>IFERROR(__xludf.DUMMYFUNCTION("""COMPUTED_VALUE"""),44662.797268518516)</f>
        <v>44662.79727</v>
      </c>
      <c r="D1609" s="13">
        <f t="shared" si="1"/>
        <v>11</v>
      </c>
      <c r="E1609" s="13">
        <f t="shared" si="2"/>
        <v>19</v>
      </c>
    </row>
    <row r="1610">
      <c r="A1610" s="4" t="s">
        <v>1876</v>
      </c>
      <c r="B1610" s="4" t="s">
        <v>1877</v>
      </c>
      <c r="C1610" s="12">
        <f>IFERROR(__xludf.DUMMYFUNCTION("""COMPUTED_VALUE"""),44662.797129629624)</f>
        <v>44662.79713</v>
      </c>
      <c r="D1610" s="13">
        <f t="shared" si="1"/>
        <v>11</v>
      </c>
      <c r="E1610" s="13">
        <f t="shared" si="2"/>
        <v>19</v>
      </c>
    </row>
    <row r="1611">
      <c r="A1611" s="4" t="s">
        <v>1878</v>
      </c>
      <c r="B1611" s="16"/>
      <c r="C1611" s="12">
        <f>IFERROR(__xludf.DUMMYFUNCTION("""COMPUTED_VALUE"""),44662.79641203704)</f>
        <v>44662.79641</v>
      </c>
      <c r="D1611" s="13">
        <f t="shared" si="1"/>
        <v>11</v>
      </c>
      <c r="E1611" s="13">
        <f t="shared" si="2"/>
        <v>19</v>
      </c>
    </row>
    <row r="1612">
      <c r="A1612" s="4" t="s">
        <v>1879</v>
      </c>
      <c r="B1612" s="4" t="s">
        <v>1669</v>
      </c>
      <c r="C1612" s="12">
        <f>IFERROR(__xludf.DUMMYFUNCTION("""COMPUTED_VALUE"""),44662.795219907406)</f>
        <v>44662.79522</v>
      </c>
      <c r="D1612" s="13">
        <f t="shared" si="1"/>
        <v>11</v>
      </c>
      <c r="E1612" s="13">
        <f t="shared" si="2"/>
        <v>19</v>
      </c>
    </row>
    <row r="1613">
      <c r="A1613" s="4" t="s">
        <v>1880</v>
      </c>
      <c r="B1613" s="16"/>
      <c r="C1613" s="12">
        <f>IFERROR(__xludf.DUMMYFUNCTION("""COMPUTED_VALUE"""),44662.79440972222)</f>
        <v>44662.79441</v>
      </c>
      <c r="D1613" s="13">
        <f t="shared" si="1"/>
        <v>11</v>
      </c>
      <c r="E1613" s="13">
        <f t="shared" si="2"/>
        <v>19</v>
      </c>
    </row>
    <row r="1614">
      <c r="A1614" s="4" t="s">
        <v>1881</v>
      </c>
      <c r="B1614" s="4" t="s">
        <v>106</v>
      </c>
      <c r="C1614" s="12">
        <f>IFERROR(__xludf.DUMMYFUNCTION("""COMPUTED_VALUE"""),44662.79427083333)</f>
        <v>44662.79427</v>
      </c>
      <c r="D1614" s="13">
        <f t="shared" si="1"/>
        <v>11</v>
      </c>
      <c r="E1614" s="13">
        <f t="shared" si="2"/>
        <v>19</v>
      </c>
    </row>
    <row r="1615">
      <c r="A1615" s="4" t="s">
        <v>1882</v>
      </c>
      <c r="B1615" s="4" t="s">
        <v>106</v>
      </c>
      <c r="C1615" s="12">
        <f>IFERROR(__xludf.DUMMYFUNCTION("""COMPUTED_VALUE"""),44662.79424768518)</f>
        <v>44662.79425</v>
      </c>
      <c r="D1615" s="13">
        <f t="shared" si="1"/>
        <v>11</v>
      </c>
      <c r="E1615" s="13">
        <f t="shared" si="2"/>
        <v>19</v>
      </c>
    </row>
    <row r="1616">
      <c r="A1616" s="4" t="s">
        <v>1883</v>
      </c>
      <c r="B1616" s="4" t="s">
        <v>106</v>
      </c>
      <c r="C1616" s="12">
        <f>IFERROR(__xludf.DUMMYFUNCTION("""COMPUTED_VALUE"""),44662.794236111105)</f>
        <v>44662.79424</v>
      </c>
      <c r="D1616" s="13">
        <f t="shared" si="1"/>
        <v>11</v>
      </c>
      <c r="E1616" s="13">
        <f t="shared" si="2"/>
        <v>19</v>
      </c>
    </row>
    <row r="1617">
      <c r="A1617" s="4" t="s">
        <v>1884</v>
      </c>
      <c r="B1617" s="4" t="s">
        <v>106</v>
      </c>
      <c r="C1617" s="12">
        <f>IFERROR(__xludf.DUMMYFUNCTION("""COMPUTED_VALUE"""),44662.79421296296)</f>
        <v>44662.79421</v>
      </c>
      <c r="D1617" s="13">
        <f t="shared" si="1"/>
        <v>11</v>
      </c>
      <c r="E1617" s="13">
        <f t="shared" si="2"/>
        <v>19</v>
      </c>
    </row>
    <row r="1618">
      <c r="A1618" s="4" t="s">
        <v>1885</v>
      </c>
      <c r="B1618" s="4" t="s">
        <v>1886</v>
      </c>
      <c r="C1618" s="12">
        <f>IFERROR(__xludf.DUMMYFUNCTION("""COMPUTED_VALUE"""),44662.794178240736)</f>
        <v>44662.79418</v>
      </c>
      <c r="D1618" s="13">
        <f t="shared" si="1"/>
        <v>11</v>
      </c>
      <c r="E1618" s="13">
        <f t="shared" si="2"/>
        <v>19</v>
      </c>
    </row>
    <row r="1619">
      <c r="A1619" s="4" t="s">
        <v>1887</v>
      </c>
      <c r="B1619" s="4" t="s">
        <v>106</v>
      </c>
      <c r="C1619" s="12">
        <f>IFERROR(__xludf.DUMMYFUNCTION("""COMPUTED_VALUE"""),44662.79414351851)</f>
        <v>44662.79414</v>
      </c>
      <c r="D1619" s="13">
        <f t="shared" si="1"/>
        <v>11</v>
      </c>
      <c r="E1619" s="13">
        <f t="shared" si="2"/>
        <v>19</v>
      </c>
    </row>
    <row r="1620">
      <c r="A1620" s="4" t="s">
        <v>1888</v>
      </c>
      <c r="B1620" s="4" t="s">
        <v>1889</v>
      </c>
      <c r="C1620" s="12">
        <f>IFERROR(__xludf.DUMMYFUNCTION("""COMPUTED_VALUE"""),44662.793344907404)</f>
        <v>44662.79334</v>
      </c>
      <c r="D1620" s="13">
        <f t="shared" si="1"/>
        <v>11</v>
      </c>
      <c r="E1620" s="13">
        <f t="shared" si="2"/>
        <v>19</v>
      </c>
    </row>
    <row r="1621">
      <c r="A1621" s="4" t="s">
        <v>1890</v>
      </c>
      <c r="B1621" s="16"/>
      <c r="C1621" s="12">
        <f>IFERROR(__xludf.DUMMYFUNCTION("""COMPUTED_VALUE"""),44662.79309027777)</f>
        <v>44662.79309</v>
      </c>
      <c r="D1621" s="13">
        <f t="shared" si="1"/>
        <v>11</v>
      </c>
      <c r="E1621" s="13">
        <f t="shared" si="2"/>
        <v>19</v>
      </c>
    </row>
    <row r="1622">
      <c r="A1622" s="4" t="s">
        <v>1891</v>
      </c>
      <c r="B1622" s="4" t="s">
        <v>1892</v>
      </c>
      <c r="C1622" s="12">
        <f>IFERROR(__xludf.DUMMYFUNCTION("""COMPUTED_VALUE"""),44662.79269675926)</f>
        <v>44662.7927</v>
      </c>
      <c r="D1622" s="13">
        <f t="shared" si="1"/>
        <v>11</v>
      </c>
      <c r="E1622" s="13">
        <f t="shared" si="2"/>
        <v>19</v>
      </c>
    </row>
    <row r="1623">
      <c r="A1623" s="4" t="s">
        <v>1891</v>
      </c>
      <c r="B1623" s="16"/>
      <c r="C1623" s="12">
        <f>IFERROR(__xludf.DUMMYFUNCTION("""COMPUTED_VALUE"""),44662.79269675926)</f>
        <v>44662.7927</v>
      </c>
      <c r="D1623" s="13">
        <f t="shared" si="1"/>
        <v>11</v>
      </c>
      <c r="E1623" s="13">
        <f t="shared" si="2"/>
        <v>19</v>
      </c>
    </row>
    <row r="1624">
      <c r="A1624" s="4" t="s">
        <v>1893</v>
      </c>
      <c r="B1624" s="4" t="s">
        <v>1894</v>
      </c>
      <c r="C1624" s="12">
        <f>IFERROR(__xludf.DUMMYFUNCTION("""COMPUTED_VALUE"""),44662.79262731481)</f>
        <v>44662.79263</v>
      </c>
      <c r="D1624" s="13">
        <f t="shared" si="1"/>
        <v>11</v>
      </c>
      <c r="E1624" s="13">
        <f t="shared" si="2"/>
        <v>19</v>
      </c>
    </row>
    <row r="1625">
      <c r="A1625" s="4" t="s">
        <v>1895</v>
      </c>
      <c r="B1625" s="16"/>
      <c r="C1625" s="12">
        <f>IFERROR(__xludf.DUMMYFUNCTION("""COMPUTED_VALUE"""),44662.79246527777)</f>
        <v>44662.79247</v>
      </c>
      <c r="D1625" s="13">
        <f t="shared" si="1"/>
        <v>11</v>
      </c>
      <c r="E1625" s="13">
        <f t="shared" si="2"/>
        <v>19</v>
      </c>
    </row>
    <row r="1626">
      <c r="A1626" s="4" t="s">
        <v>1896</v>
      </c>
      <c r="B1626" s="16"/>
      <c r="C1626" s="12">
        <f>IFERROR(__xludf.DUMMYFUNCTION("""COMPUTED_VALUE"""),44662.79211805555)</f>
        <v>44662.79212</v>
      </c>
      <c r="D1626" s="13">
        <f t="shared" si="1"/>
        <v>11</v>
      </c>
      <c r="E1626" s="13">
        <f t="shared" si="2"/>
        <v>19</v>
      </c>
    </row>
    <row r="1627">
      <c r="A1627" s="4" t="s">
        <v>1897</v>
      </c>
      <c r="B1627" s="4" t="s">
        <v>1767</v>
      </c>
      <c r="C1627" s="12">
        <f>IFERROR(__xludf.DUMMYFUNCTION("""COMPUTED_VALUE"""),44662.79204861111)</f>
        <v>44662.79205</v>
      </c>
      <c r="D1627" s="13">
        <f t="shared" si="1"/>
        <v>11</v>
      </c>
      <c r="E1627" s="13">
        <f t="shared" si="2"/>
        <v>19</v>
      </c>
    </row>
    <row r="1628">
      <c r="A1628" s="4" t="s">
        <v>1898</v>
      </c>
      <c r="B1628" s="4" t="s">
        <v>1899</v>
      </c>
      <c r="C1628" s="12">
        <f>IFERROR(__xludf.DUMMYFUNCTION("""COMPUTED_VALUE"""),44662.791874999995)</f>
        <v>44662.79188</v>
      </c>
      <c r="D1628" s="13">
        <f t="shared" si="1"/>
        <v>11</v>
      </c>
      <c r="E1628" s="13">
        <f t="shared" si="2"/>
        <v>19</v>
      </c>
    </row>
    <row r="1629">
      <c r="A1629" s="4" t="s">
        <v>1900</v>
      </c>
      <c r="B1629" s="16"/>
      <c r="C1629" s="12">
        <f>IFERROR(__xludf.DUMMYFUNCTION("""COMPUTED_VALUE"""),44662.79159722222)</f>
        <v>44662.7916</v>
      </c>
      <c r="D1629" s="13">
        <f t="shared" si="1"/>
        <v>11</v>
      </c>
      <c r="E1629" s="13">
        <f t="shared" si="2"/>
        <v>18</v>
      </c>
    </row>
    <row r="1630">
      <c r="A1630" s="4" t="s">
        <v>1901</v>
      </c>
      <c r="B1630" s="16"/>
      <c r="C1630" s="12">
        <f>IFERROR(__xludf.DUMMYFUNCTION("""COMPUTED_VALUE"""),44662.790937499994)</f>
        <v>44662.79094</v>
      </c>
      <c r="D1630" s="13">
        <f t="shared" si="1"/>
        <v>11</v>
      </c>
      <c r="E1630" s="13">
        <f t="shared" si="2"/>
        <v>18</v>
      </c>
    </row>
    <row r="1631">
      <c r="A1631" s="4" t="s">
        <v>1902</v>
      </c>
      <c r="B1631" s="4" t="s">
        <v>1903</v>
      </c>
      <c r="C1631" s="12">
        <f>IFERROR(__xludf.DUMMYFUNCTION("""COMPUTED_VALUE"""),44662.79090277778)</f>
        <v>44662.7909</v>
      </c>
      <c r="D1631" s="13">
        <f t="shared" si="1"/>
        <v>11</v>
      </c>
      <c r="E1631" s="13">
        <f t="shared" si="2"/>
        <v>18</v>
      </c>
    </row>
    <row r="1632">
      <c r="A1632" s="4" t="s">
        <v>1904</v>
      </c>
      <c r="B1632" s="16"/>
      <c r="C1632" s="12">
        <f>IFERROR(__xludf.DUMMYFUNCTION("""COMPUTED_VALUE"""),44662.790821759256)</f>
        <v>44662.79082</v>
      </c>
      <c r="D1632" s="13">
        <f t="shared" si="1"/>
        <v>11</v>
      </c>
      <c r="E1632" s="13">
        <f t="shared" si="2"/>
        <v>18</v>
      </c>
    </row>
    <row r="1633">
      <c r="A1633" s="4" t="s">
        <v>1905</v>
      </c>
      <c r="B1633" s="4" t="s">
        <v>1892</v>
      </c>
      <c r="C1633" s="12">
        <f>IFERROR(__xludf.DUMMYFUNCTION("""COMPUTED_VALUE"""),44662.79028935185)</f>
        <v>44662.79029</v>
      </c>
      <c r="D1633" s="13">
        <f t="shared" si="1"/>
        <v>11</v>
      </c>
      <c r="E1633" s="13">
        <f t="shared" si="2"/>
        <v>18</v>
      </c>
    </row>
    <row r="1634">
      <c r="A1634" s="4" t="s">
        <v>1906</v>
      </c>
      <c r="B1634" s="16"/>
      <c r="C1634" s="12">
        <f>IFERROR(__xludf.DUMMYFUNCTION("""COMPUTED_VALUE"""),44662.79020833333)</f>
        <v>44662.79021</v>
      </c>
      <c r="D1634" s="13">
        <f t="shared" si="1"/>
        <v>11</v>
      </c>
      <c r="E1634" s="13">
        <f t="shared" si="2"/>
        <v>18</v>
      </c>
    </row>
    <row r="1635">
      <c r="A1635" s="4" t="s">
        <v>1907</v>
      </c>
      <c r="B1635" s="4" t="s">
        <v>1908</v>
      </c>
      <c r="C1635" s="12">
        <f>IFERROR(__xludf.DUMMYFUNCTION("""COMPUTED_VALUE"""),44662.790185185186)</f>
        <v>44662.79019</v>
      </c>
      <c r="D1635" s="13">
        <f t="shared" si="1"/>
        <v>11</v>
      </c>
      <c r="E1635" s="13">
        <f t="shared" si="2"/>
        <v>18</v>
      </c>
    </row>
    <row r="1636">
      <c r="A1636" s="4" t="s">
        <v>1907</v>
      </c>
      <c r="B1636" s="4" t="s">
        <v>1892</v>
      </c>
      <c r="C1636" s="12">
        <f>IFERROR(__xludf.DUMMYFUNCTION("""COMPUTED_VALUE"""),44662.790185185186)</f>
        <v>44662.79019</v>
      </c>
      <c r="D1636" s="13">
        <f t="shared" si="1"/>
        <v>11</v>
      </c>
      <c r="E1636" s="13">
        <f t="shared" si="2"/>
        <v>18</v>
      </c>
    </row>
    <row r="1637">
      <c r="A1637" s="4" t="s">
        <v>1909</v>
      </c>
      <c r="B1637" s="4" t="s">
        <v>1910</v>
      </c>
      <c r="C1637" s="12">
        <f>IFERROR(__xludf.DUMMYFUNCTION("""COMPUTED_VALUE"""),44662.789456018516)</f>
        <v>44662.78946</v>
      </c>
      <c r="D1637" s="13">
        <f t="shared" si="1"/>
        <v>11</v>
      </c>
      <c r="E1637" s="13">
        <f t="shared" si="2"/>
        <v>18</v>
      </c>
    </row>
    <row r="1638">
      <c r="A1638" s="4" t="s">
        <v>1911</v>
      </c>
      <c r="B1638" s="4" t="s">
        <v>1912</v>
      </c>
      <c r="C1638" s="12">
        <f>IFERROR(__xludf.DUMMYFUNCTION("""COMPUTED_VALUE"""),44662.78934027778)</f>
        <v>44662.78934</v>
      </c>
      <c r="D1638" s="13">
        <f t="shared" si="1"/>
        <v>11</v>
      </c>
      <c r="E1638" s="13">
        <f t="shared" si="2"/>
        <v>18</v>
      </c>
    </row>
    <row r="1639">
      <c r="A1639" s="4" t="s">
        <v>1913</v>
      </c>
      <c r="B1639" s="4" t="s">
        <v>1914</v>
      </c>
      <c r="C1639" s="12">
        <f>IFERROR(__xludf.DUMMYFUNCTION("""COMPUTED_VALUE"""),44662.78928240741)</f>
        <v>44662.78928</v>
      </c>
      <c r="D1639" s="13">
        <f t="shared" si="1"/>
        <v>11</v>
      </c>
      <c r="E1639" s="13">
        <f t="shared" si="2"/>
        <v>18</v>
      </c>
    </row>
    <row r="1640">
      <c r="A1640" s="4" t="s">
        <v>1915</v>
      </c>
      <c r="B1640" s="16"/>
      <c r="C1640" s="12">
        <f>IFERROR(__xludf.DUMMYFUNCTION("""COMPUTED_VALUE"""),44662.78848379629)</f>
        <v>44662.78848</v>
      </c>
      <c r="D1640" s="13">
        <f t="shared" si="1"/>
        <v>11</v>
      </c>
      <c r="E1640" s="13">
        <f t="shared" si="2"/>
        <v>18</v>
      </c>
    </row>
    <row r="1641">
      <c r="A1641" s="4" t="s">
        <v>1916</v>
      </c>
      <c r="B1641" s="4" t="s">
        <v>1917</v>
      </c>
      <c r="C1641" s="12">
        <f>IFERROR(__xludf.DUMMYFUNCTION("""COMPUTED_VALUE"""),44662.7883912037)</f>
        <v>44662.78839</v>
      </c>
      <c r="D1641" s="13">
        <f t="shared" si="1"/>
        <v>11</v>
      </c>
      <c r="E1641" s="13">
        <f t="shared" si="2"/>
        <v>18</v>
      </c>
    </row>
    <row r="1642">
      <c r="A1642" s="4" t="s">
        <v>1918</v>
      </c>
      <c r="B1642" s="16"/>
      <c r="C1642" s="12">
        <f>IFERROR(__xludf.DUMMYFUNCTION("""COMPUTED_VALUE"""),44662.78815972222)</f>
        <v>44662.78816</v>
      </c>
      <c r="D1642" s="13">
        <f t="shared" si="1"/>
        <v>11</v>
      </c>
      <c r="E1642" s="13">
        <f t="shared" si="2"/>
        <v>18</v>
      </c>
    </row>
    <row r="1643">
      <c r="A1643" s="4" t="s">
        <v>1919</v>
      </c>
      <c r="B1643" s="16"/>
      <c r="C1643" s="12">
        <f>IFERROR(__xludf.DUMMYFUNCTION("""COMPUTED_VALUE"""),44662.7880787037)</f>
        <v>44662.78808</v>
      </c>
      <c r="D1643" s="13">
        <f t="shared" si="1"/>
        <v>11</v>
      </c>
      <c r="E1643" s="13">
        <f t="shared" si="2"/>
        <v>18</v>
      </c>
    </row>
    <row r="1644">
      <c r="A1644" s="4" t="s">
        <v>1920</v>
      </c>
      <c r="B1644" s="4" t="s">
        <v>1921</v>
      </c>
      <c r="C1644" s="12">
        <f>IFERROR(__xludf.DUMMYFUNCTION("""COMPUTED_VALUE"""),44662.78769675926)</f>
        <v>44662.7877</v>
      </c>
      <c r="D1644" s="13">
        <f t="shared" si="1"/>
        <v>11</v>
      </c>
      <c r="E1644" s="13">
        <f t="shared" si="2"/>
        <v>18</v>
      </c>
    </row>
    <row r="1645">
      <c r="A1645" s="4" t="s">
        <v>1922</v>
      </c>
      <c r="B1645" s="16"/>
      <c r="C1645" s="12">
        <f>IFERROR(__xludf.DUMMYFUNCTION("""COMPUTED_VALUE"""),44662.78765046296)</f>
        <v>44662.78765</v>
      </c>
      <c r="D1645" s="13">
        <f t="shared" si="1"/>
        <v>11</v>
      </c>
      <c r="E1645" s="13">
        <f t="shared" si="2"/>
        <v>18</v>
      </c>
    </row>
    <row r="1646">
      <c r="A1646" s="4" t="s">
        <v>1923</v>
      </c>
      <c r="B1646" s="4" t="s">
        <v>1767</v>
      </c>
      <c r="C1646" s="12">
        <f>IFERROR(__xludf.DUMMYFUNCTION("""COMPUTED_VALUE"""),44662.787581018514)</f>
        <v>44662.78758</v>
      </c>
      <c r="D1646" s="13">
        <f t="shared" si="1"/>
        <v>11</v>
      </c>
      <c r="E1646" s="13">
        <f t="shared" si="2"/>
        <v>18</v>
      </c>
    </row>
    <row r="1647">
      <c r="A1647" s="4" t="s">
        <v>1924</v>
      </c>
      <c r="B1647" s="4" t="s">
        <v>1925</v>
      </c>
      <c r="C1647" s="12">
        <f>IFERROR(__xludf.DUMMYFUNCTION("""COMPUTED_VALUE"""),44662.787048611106)</f>
        <v>44662.78705</v>
      </c>
      <c r="D1647" s="13">
        <f t="shared" si="1"/>
        <v>11</v>
      </c>
      <c r="E1647" s="13">
        <f t="shared" si="2"/>
        <v>18</v>
      </c>
    </row>
    <row r="1648">
      <c r="A1648" s="4" t="s">
        <v>1926</v>
      </c>
      <c r="B1648" s="4" t="s">
        <v>1927</v>
      </c>
      <c r="C1648" s="12">
        <f>IFERROR(__xludf.DUMMYFUNCTION("""COMPUTED_VALUE"""),44662.78686342592)</f>
        <v>44662.78686</v>
      </c>
      <c r="D1648" s="13">
        <f t="shared" si="1"/>
        <v>11</v>
      </c>
      <c r="E1648" s="13">
        <f t="shared" si="2"/>
        <v>18</v>
      </c>
    </row>
    <row r="1649">
      <c r="A1649" s="4" t="s">
        <v>1928</v>
      </c>
      <c r="B1649" s="16"/>
      <c r="C1649" s="12">
        <f>IFERROR(__xludf.DUMMYFUNCTION("""COMPUTED_VALUE"""),44662.78674768518)</f>
        <v>44662.78675</v>
      </c>
      <c r="D1649" s="13">
        <f t="shared" si="1"/>
        <v>11</v>
      </c>
      <c r="E1649" s="13">
        <f t="shared" si="2"/>
        <v>18</v>
      </c>
    </row>
    <row r="1650">
      <c r="A1650" s="4" t="s">
        <v>1929</v>
      </c>
      <c r="B1650" s="4" t="s">
        <v>1767</v>
      </c>
      <c r="C1650" s="12">
        <f>IFERROR(__xludf.DUMMYFUNCTION("""COMPUTED_VALUE"""),44662.786724537036)</f>
        <v>44662.78672</v>
      </c>
      <c r="D1650" s="13">
        <f t="shared" si="1"/>
        <v>11</v>
      </c>
      <c r="E1650" s="13">
        <f t="shared" si="2"/>
        <v>18</v>
      </c>
    </row>
    <row r="1651">
      <c r="A1651" s="4" t="s">
        <v>1930</v>
      </c>
      <c r="B1651" s="16"/>
      <c r="C1651" s="12">
        <f>IFERROR(__xludf.DUMMYFUNCTION("""COMPUTED_VALUE"""),44662.78670138889)</f>
        <v>44662.7867</v>
      </c>
      <c r="D1651" s="13">
        <f t="shared" si="1"/>
        <v>11</v>
      </c>
      <c r="E1651" s="13">
        <f t="shared" si="2"/>
        <v>18</v>
      </c>
    </row>
    <row r="1652">
      <c r="A1652" s="4" t="s">
        <v>1931</v>
      </c>
      <c r="B1652" s="16"/>
      <c r="C1652" s="12">
        <f>IFERROR(__xludf.DUMMYFUNCTION("""COMPUTED_VALUE"""),44662.78607638889)</f>
        <v>44662.78608</v>
      </c>
      <c r="D1652" s="13">
        <f t="shared" si="1"/>
        <v>11</v>
      </c>
      <c r="E1652" s="13">
        <f t="shared" si="2"/>
        <v>18</v>
      </c>
    </row>
    <row r="1653">
      <c r="A1653" s="4" t="s">
        <v>1932</v>
      </c>
      <c r="B1653" s="4" t="s">
        <v>1933</v>
      </c>
      <c r="C1653" s="12">
        <f>IFERROR(__xludf.DUMMYFUNCTION("""COMPUTED_VALUE"""),44662.785370370366)</f>
        <v>44662.78537</v>
      </c>
      <c r="D1653" s="13">
        <f t="shared" si="1"/>
        <v>11</v>
      </c>
      <c r="E1653" s="13">
        <f t="shared" si="2"/>
        <v>18</v>
      </c>
    </row>
    <row r="1654">
      <c r="A1654" s="4" t="s">
        <v>1934</v>
      </c>
      <c r="B1654" s="4" t="s">
        <v>1683</v>
      </c>
      <c r="C1654" s="12">
        <f>IFERROR(__xludf.DUMMYFUNCTION("""COMPUTED_VALUE"""),44662.78525462963)</f>
        <v>44662.78525</v>
      </c>
      <c r="D1654" s="13">
        <f t="shared" si="1"/>
        <v>11</v>
      </c>
      <c r="E1654" s="13">
        <f t="shared" si="2"/>
        <v>18</v>
      </c>
    </row>
    <row r="1655">
      <c r="A1655" s="4" t="s">
        <v>1935</v>
      </c>
      <c r="B1655" s="4" t="s">
        <v>1683</v>
      </c>
      <c r="C1655" s="12">
        <f>IFERROR(__xludf.DUMMYFUNCTION("""COMPUTED_VALUE"""),44662.785219907404)</f>
        <v>44662.78522</v>
      </c>
      <c r="D1655" s="13">
        <f t="shared" si="1"/>
        <v>11</v>
      </c>
      <c r="E1655" s="13">
        <f t="shared" si="2"/>
        <v>18</v>
      </c>
    </row>
    <row r="1656">
      <c r="A1656" s="4" t="s">
        <v>1936</v>
      </c>
      <c r="B1656" s="4" t="s">
        <v>1937</v>
      </c>
      <c r="C1656" s="12">
        <f>IFERROR(__xludf.DUMMYFUNCTION("""COMPUTED_VALUE"""),44662.78378472222)</f>
        <v>44662.78378</v>
      </c>
      <c r="D1656" s="13">
        <f t="shared" si="1"/>
        <v>11</v>
      </c>
      <c r="E1656" s="13">
        <f t="shared" si="2"/>
        <v>18</v>
      </c>
    </row>
    <row r="1657">
      <c r="A1657" s="4" t="s">
        <v>1938</v>
      </c>
      <c r="B1657" s="4" t="s">
        <v>1937</v>
      </c>
      <c r="C1657" s="12">
        <f>IFERROR(__xludf.DUMMYFUNCTION("""COMPUTED_VALUE"""),44662.78353009259)</f>
        <v>44662.78353</v>
      </c>
      <c r="D1657" s="13">
        <f t="shared" si="1"/>
        <v>11</v>
      </c>
      <c r="E1657" s="13">
        <f t="shared" si="2"/>
        <v>18</v>
      </c>
    </row>
    <row r="1658">
      <c r="A1658" s="4" t="s">
        <v>1939</v>
      </c>
      <c r="B1658" s="16"/>
      <c r="C1658" s="12">
        <f>IFERROR(__xludf.DUMMYFUNCTION("""COMPUTED_VALUE"""),44662.78341435185)</f>
        <v>44662.78341</v>
      </c>
      <c r="D1658" s="13">
        <f t="shared" si="1"/>
        <v>11</v>
      </c>
      <c r="E1658" s="13">
        <f t="shared" si="2"/>
        <v>18</v>
      </c>
    </row>
    <row r="1659">
      <c r="A1659" s="4" t="s">
        <v>1940</v>
      </c>
      <c r="B1659" s="4" t="s">
        <v>1941</v>
      </c>
      <c r="C1659" s="12">
        <f>IFERROR(__xludf.DUMMYFUNCTION("""COMPUTED_VALUE"""),44662.783379629625)</f>
        <v>44662.78338</v>
      </c>
      <c r="D1659" s="13">
        <f t="shared" si="1"/>
        <v>11</v>
      </c>
      <c r="E1659" s="13">
        <f t="shared" si="2"/>
        <v>18</v>
      </c>
    </row>
    <row r="1660">
      <c r="A1660" s="4" t="s">
        <v>1942</v>
      </c>
      <c r="B1660" s="16"/>
      <c r="C1660" s="12">
        <f>IFERROR(__xludf.DUMMYFUNCTION("""COMPUTED_VALUE"""),44662.78329861111)</f>
        <v>44662.7833</v>
      </c>
      <c r="D1660" s="13">
        <f t="shared" si="1"/>
        <v>11</v>
      </c>
      <c r="E1660" s="13">
        <f t="shared" si="2"/>
        <v>18</v>
      </c>
    </row>
    <row r="1661">
      <c r="A1661" s="4" t="s">
        <v>1943</v>
      </c>
      <c r="B1661" s="16"/>
      <c r="C1661" s="12">
        <f>IFERROR(__xludf.DUMMYFUNCTION("""COMPUTED_VALUE"""),44662.78318287037)</f>
        <v>44662.78318</v>
      </c>
      <c r="D1661" s="13">
        <f t="shared" si="1"/>
        <v>11</v>
      </c>
      <c r="E1661" s="13">
        <f t="shared" si="2"/>
        <v>18</v>
      </c>
    </row>
    <row r="1662">
      <c r="A1662" s="4" t="s">
        <v>1944</v>
      </c>
      <c r="B1662" s="16"/>
      <c r="C1662" s="12">
        <f>IFERROR(__xludf.DUMMYFUNCTION("""COMPUTED_VALUE"""),44662.783124999994)</f>
        <v>44662.78313</v>
      </c>
      <c r="D1662" s="13">
        <f t="shared" si="1"/>
        <v>11</v>
      </c>
      <c r="E1662" s="13">
        <f t="shared" si="2"/>
        <v>18</v>
      </c>
    </row>
    <row r="1663">
      <c r="A1663" s="4" t="s">
        <v>1945</v>
      </c>
      <c r="B1663" s="4" t="s">
        <v>1683</v>
      </c>
      <c r="C1663" s="12">
        <f>IFERROR(__xludf.DUMMYFUNCTION("""COMPUTED_VALUE"""),44662.78310185185)</f>
        <v>44662.7831</v>
      </c>
      <c r="D1663" s="13">
        <f t="shared" si="1"/>
        <v>11</v>
      </c>
      <c r="E1663" s="13">
        <f t="shared" si="2"/>
        <v>18</v>
      </c>
    </row>
    <row r="1664">
      <c r="A1664" s="4" t="s">
        <v>1946</v>
      </c>
      <c r="B1664" s="16"/>
      <c r="C1664" s="12">
        <f>IFERROR(__xludf.DUMMYFUNCTION("""COMPUTED_VALUE"""),44662.7830324074)</f>
        <v>44662.78303</v>
      </c>
      <c r="D1664" s="13">
        <f t="shared" si="1"/>
        <v>11</v>
      </c>
      <c r="E1664" s="13">
        <f t="shared" si="2"/>
        <v>18</v>
      </c>
    </row>
    <row r="1665">
      <c r="A1665" s="4" t="s">
        <v>1947</v>
      </c>
      <c r="B1665" s="4" t="s">
        <v>1082</v>
      </c>
      <c r="C1665" s="12">
        <f>IFERROR(__xludf.DUMMYFUNCTION("""COMPUTED_VALUE"""),44662.78277777778)</f>
        <v>44662.78278</v>
      </c>
      <c r="D1665" s="13">
        <f t="shared" si="1"/>
        <v>11</v>
      </c>
      <c r="E1665" s="13">
        <f t="shared" si="2"/>
        <v>18</v>
      </c>
    </row>
    <row r="1666">
      <c r="A1666" s="4" t="s">
        <v>1948</v>
      </c>
      <c r="B1666" s="4" t="s">
        <v>1082</v>
      </c>
      <c r="C1666" s="12">
        <f>IFERROR(__xludf.DUMMYFUNCTION("""COMPUTED_VALUE"""),44662.78273148148)</f>
        <v>44662.78273</v>
      </c>
      <c r="D1666" s="13">
        <f t="shared" si="1"/>
        <v>11</v>
      </c>
      <c r="E1666" s="13">
        <f t="shared" si="2"/>
        <v>18</v>
      </c>
    </row>
    <row r="1667">
      <c r="A1667" s="4" t="s">
        <v>1949</v>
      </c>
      <c r="B1667" s="4" t="s">
        <v>1950</v>
      </c>
      <c r="C1667" s="12">
        <f>IFERROR(__xludf.DUMMYFUNCTION("""COMPUTED_VALUE"""),44662.78270833333)</f>
        <v>44662.78271</v>
      </c>
      <c r="D1667" s="13">
        <f t="shared" si="1"/>
        <v>11</v>
      </c>
      <c r="E1667" s="13">
        <f t="shared" si="2"/>
        <v>18</v>
      </c>
    </row>
    <row r="1668">
      <c r="A1668" s="4" t="s">
        <v>1951</v>
      </c>
      <c r="B1668" s="16"/>
      <c r="C1668" s="12">
        <f>IFERROR(__xludf.DUMMYFUNCTION("""COMPUTED_VALUE"""),44662.78177083333)</f>
        <v>44662.78177</v>
      </c>
      <c r="D1668" s="13">
        <f t="shared" si="1"/>
        <v>11</v>
      </c>
      <c r="E1668" s="13">
        <f t="shared" si="2"/>
        <v>18</v>
      </c>
    </row>
    <row r="1669">
      <c r="A1669" s="4" t="s">
        <v>1952</v>
      </c>
      <c r="B1669" s="4" t="s">
        <v>1269</v>
      </c>
      <c r="C1669" s="12">
        <f>IFERROR(__xludf.DUMMYFUNCTION("""COMPUTED_VALUE"""),44662.781747685185)</f>
        <v>44662.78175</v>
      </c>
      <c r="D1669" s="13">
        <f t="shared" si="1"/>
        <v>11</v>
      </c>
      <c r="E1669" s="13">
        <f t="shared" si="2"/>
        <v>18</v>
      </c>
    </row>
    <row r="1670">
      <c r="A1670" s="4" t="s">
        <v>1953</v>
      </c>
      <c r="B1670" s="4" t="s">
        <v>1269</v>
      </c>
      <c r="C1670" s="12">
        <f>IFERROR(__xludf.DUMMYFUNCTION("""COMPUTED_VALUE"""),44662.78173611111)</f>
        <v>44662.78174</v>
      </c>
      <c r="D1670" s="13">
        <f t="shared" si="1"/>
        <v>11</v>
      </c>
      <c r="E1670" s="13">
        <f t="shared" si="2"/>
        <v>18</v>
      </c>
    </row>
    <row r="1671">
      <c r="A1671" s="4" t="s">
        <v>1954</v>
      </c>
      <c r="B1671" s="4" t="s">
        <v>1955</v>
      </c>
      <c r="C1671" s="12">
        <f>IFERROR(__xludf.DUMMYFUNCTION("""COMPUTED_VALUE"""),44662.781701388885)</f>
        <v>44662.7817</v>
      </c>
      <c r="D1671" s="13">
        <f t="shared" si="1"/>
        <v>11</v>
      </c>
      <c r="E1671" s="13">
        <f t="shared" si="2"/>
        <v>18</v>
      </c>
    </row>
    <row r="1672">
      <c r="A1672" s="4" t="s">
        <v>1956</v>
      </c>
      <c r="B1672" s="16"/>
      <c r="C1672" s="12">
        <f>IFERROR(__xludf.DUMMYFUNCTION("""COMPUTED_VALUE"""),44662.78166666666)</f>
        <v>44662.78167</v>
      </c>
      <c r="D1672" s="13">
        <f t="shared" si="1"/>
        <v>11</v>
      </c>
      <c r="E1672" s="13">
        <f t="shared" si="2"/>
        <v>18</v>
      </c>
    </row>
    <row r="1673">
      <c r="A1673" s="4" t="s">
        <v>1957</v>
      </c>
      <c r="B1673" s="4" t="s">
        <v>1269</v>
      </c>
      <c r="C1673" s="12">
        <f>IFERROR(__xludf.DUMMYFUNCTION("""COMPUTED_VALUE"""),44662.781643518516)</f>
        <v>44662.78164</v>
      </c>
      <c r="D1673" s="13">
        <f t="shared" si="1"/>
        <v>11</v>
      </c>
      <c r="E1673" s="13">
        <f t="shared" si="2"/>
        <v>18</v>
      </c>
    </row>
    <row r="1674">
      <c r="A1674" s="4" t="s">
        <v>1958</v>
      </c>
      <c r="B1674" s="4" t="s">
        <v>1959</v>
      </c>
      <c r="C1674" s="12">
        <f>IFERROR(__xludf.DUMMYFUNCTION("""COMPUTED_VALUE"""),44662.7815625)</f>
        <v>44662.78156</v>
      </c>
      <c r="D1674" s="13">
        <f t="shared" si="1"/>
        <v>11</v>
      </c>
      <c r="E1674" s="13">
        <f t="shared" si="2"/>
        <v>18</v>
      </c>
    </row>
    <row r="1675">
      <c r="A1675" s="4" t="s">
        <v>1960</v>
      </c>
      <c r="B1675" s="4" t="s">
        <v>1961</v>
      </c>
      <c r="C1675" s="12">
        <f>IFERROR(__xludf.DUMMYFUNCTION("""COMPUTED_VALUE"""),44662.7815162037)</f>
        <v>44662.78152</v>
      </c>
      <c r="D1675" s="13">
        <f t="shared" si="1"/>
        <v>11</v>
      </c>
      <c r="E1675" s="13">
        <f t="shared" si="2"/>
        <v>18</v>
      </c>
    </row>
    <row r="1676">
      <c r="A1676" s="4" t="s">
        <v>1962</v>
      </c>
      <c r="B1676" s="16"/>
      <c r="C1676" s="12">
        <f>IFERROR(__xludf.DUMMYFUNCTION("""COMPUTED_VALUE"""),44662.78148148148)</f>
        <v>44662.78148</v>
      </c>
      <c r="D1676" s="13">
        <f t="shared" si="1"/>
        <v>11</v>
      </c>
      <c r="E1676" s="13">
        <f t="shared" si="2"/>
        <v>18</v>
      </c>
    </row>
    <row r="1677">
      <c r="A1677" s="4" t="s">
        <v>1963</v>
      </c>
      <c r="B1677" s="16"/>
      <c r="C1677" s="12">
        <f>IFERROR(__xludf.DUMMYFUNCTION("""COMPUTED_VALUE"""),44662.78142361111)</f>
        <v>44662.78142</v>
      </c>
      <c r="D1677" s="13">
        <f t="shared" si="1"/>
        <v>11</v>
      </c>
      <c r="E1677" s="13">
        <f t="shared" si="2"/>
        <v>18</v>
      </c>
    </row>
    <row r="1678">
      <c r="A1678" s="4" t="s">
        <v>1964</v>
      </c>
      <c r="B1678" s="16"/>
      <c r="C1678" s="12">
        <f>IFERROR(__xludf.DUMMYFUNCTION("""COMPUTED_VALUE"""),44662.78140046296)</f>
        <v>44662.7814</v>
      </c>
      <c r="D1678" s="13">
        <f t="shared" si="1"/>
        <v>11</v>
      </c>
      <c r="E1678" s="13">
        <f t="shared" si="2"/>
        <v>18</v>
      </c>
    </row>
    <row r="1679">
      <c r="A1679" s="4" t="s">
        <v>1965</v>
      </c>
      <c r="B1679" s="16"/>
      <c r="C1679" s="12">
        <f>IFERROR(__xludf.DUMMYFUNCTION("""COMPUTED_VALUE"""),44662.781377314815)</f>
        <v>44662.78138</v>
      </c>
      <c r="D1679" s="13">
        <f t="shared" si="1"/>
        <v>11</v>
      </c>
      <c r="E1679" s="13">
        <f t="shared" si="2"/>
        <v>18</v>
      </c>
    </row>
    <row r="1680">
      <c r="A1680" s="4" t="s">
        <v>1966</v>
      </c>
      <c r="B1680" s="16"/>
      <c r="C1680" s="12">
        <f>IFERROR(__xludf.DUMMYFUNCTION("""COMPUTED_VALUE"""),44662.78135416666)</f>
        <v>44662.78135</v>
      </c>
      <c r="D1680" s="13">
        <f t="shared" si="1"/>
        <v>11</v>
      </c>
      <c r="E1680" s="13">
        <f t="shared" si="2"/>
        <v>18</v>
      </c>
    </row>
    <row r="1681">
      <c r="A1681" s="4" t="s">
        <v>1967</v>
      </c>
      <c r="B1681" s="16"/>
      <c r="C1681" s="12">
        <f>IFERROR(__xludf.DUMMYFUNCTION("""COMPUTED_VALUE"""),44662.781331018516)</f>
        <v>44662.78133</v>
      </c>
      <c r="D1681" s="13">
        <f t="shared" si="1"/>
        <v>11</v>
      </c>
      <c r="E1681" s="13">
        <f t="shared" si="2"/>
        <v>18</v>
      </c>
    </row>
    <row r="1682">
      <c r="A1682" s="4" t="s">
        <v>1967</v>
      </c>
      <c r="B1682" s="4" t="s">
        <v>1959</v>
      </c>
      <c r="C1682" s="12">
        <f>IFERROR(__xludf.DUMMYFUNCTION("""COMPUTED_VALUE"""),44662.781331018516)</f>
        <v>44662.78133</v>
      </c>
      <c r="D1682" s="13">
        <f t="shared" si="1"/>
        <v>11</v>
      </c>
      <c r="E1682" s="13">
        <f t="shared" si="2"/>
        <v>18</v>
      </c>
    </row>
    <row r="1683">
      <c r="A1683" s="4" t="s">
        <v>1968</v>
      </c>
      <c r="B1683" s="16"/>
      <c r="C1683" s="12">
        <f>IFERROR(__xludf.DUMMYFUNCTION("""COMPUTED_VALUE"""),44662.78130787037)</f>
        <v>44662.78131</v>
      </c>
      <c r="D1683" s="13">
        <f t="shared" si="1"/>
        <v>11</v>
      </c>
      <c r="E1683" s="13">
        <f t="shared" si="2"/>
        <v>18</v>
      </c>
    </row>
    <row r="1684">
      <c r="A1684" s="4" t="s">
        <v>1969</v>
      </c>
      <c r="B1684" s="16"/>
      <c r="C1684" s="12">
        <f>IFERROR(__xludf.DUMMYFUNCTION("""COMPUTED_VALUE"""),44662.78126157407)</f>
        <v>44662.78126</v>
      </c>
      <c r="D1684" s="13">
        <f t="shared" si="1"/>
        <v>11</v>
      </c>
      <c r="E1684" s="13">
        <f t="shared" si="2"/>
        <v>18</v>
      </c>
    </row>
    <row r="1685">
      <c r="A1685" s="4" t="s">
        <v>1969</v>
      </c>
      <c r="B1685" s="16"/>
      <c r="C1685" s="12">
        <f>IFERROR(__xludf.DUMMYFUNCTION("""COMPUTED_VALUE"""),44662.78126157407)</f>
        <v>44662.78126</v>
      </c>
      <c r="D1685" s="13">
        <f t="shared" si="1"/>
        <v>11</v>
      </c>
      <c r="E1685" s="13">
        <f t="shared" si="2"/>
        <v>18</v>
      </c>
    </row>
    <row r="1686">
      <c r="A1686" s="4" t="s">
        <v>1970</v>
      </c>
      <c r="B1686" s="4" t="s">
        <v>1959</v>
      </c>
      <c r="C1686" s="12">
        <f>IFERROR(__xludf.DUMMYFUNCTION("""COMPUTED_VALUE"""),44662.78115740741)</f>
        <v>44662.78116</v>
      </c>
      <c r="D1686" s="13">
        <f t="shared" si="1"/>
        <v>11</v>
      </c>
      <c r="E1686" s="13">
        <f t="shared" si="2"/>
        <v>18</v>
      </c>
    </row>
    <row r="1687">
      <c r="A1687" s="4" t="s">
        <v>1971</v>
      </c>
      <c r="B1687" s="16"/>
      <c r="C1687" s="12">
        <f>IFERROR(__xludf.DUMMYFUNCTION("""COMPUTED_VALUE"""),44662.78092592592)</f>
        <v>44662.78093</v>
      </c>
      <c r="D1687" s="13">
        <f t="shared" si="1"/>
        <v>11</v>
      </c>
      <c r="E1687" s="13">
        <f t="shared" si="2"/>
        <v>18</v>
      </c>
    </row>
    <row r="1688">
      <c r="A1688" s="4" t="s">
        <v>1972</v>
      </c>
      <c r="B1688" s="16"/>
      <c r="C1688" s="12">
        <f>IFERROR(__xludf.DUMMYFUNCTION("""COMPUTED_VALUE"""),44662.7808912037)</f>
        <v>44662.78089</v>
      </c>
      <c r="D1688" s="13">
        <f t="shared" si="1"/>
        <v>11</v>
      </c>
      <c r="E1688" s="13">
        <f t="shared" si="2"/>
        <v>18</v>
      </c>
    </row>
    <row r="1689">
      <c r="A1689" s="4" t="s">
        <v>1973</v>
      </c>
      <c r="B1689" s="16"/>
      <c r="C1689" s="12">
        <f>IFERROR(__xludf.DUMMYFUNCTION("""COMPUTED_VALUE"""),44662.78087962963)</f>
        <v>44662.78088</v>
      </c>
      <c r="D1689" s="13">
        <f t="shared" si="1"/>
        <v>11</v>
      </c>
      <c r="E1689" s="13">
        <f t="shared" si="2"/>
        <v>18</v>
      </c>
    </row>
    <row r="1690">
      <c r="A1690" s="4" t="s">
        <v>1974</v>
      </c>
      <c r="B1690" s="16"/>
      <c r="C1690" s="12">
        <f>IFERROR(__xludf.DUMMYFUNCTION("""COMPUTED_VALUE"""),44662.78085648148)</f>
        <v>44662.78086</v>
      </c>
      <c r="D1690" s="13">
        <f t="shared" si="1"/>
        <v>11</v>
      </c>
      <c r="E1690" s="13">
        <f t="shared" si="2"/>
        <v>18</v>
      </c>
    </row>
    <row r="1691">
      <c r="A1691" s="4" t="s">
        <v>1975</v>
      </c>
      <c r="B1691" s="16"/>
      <c r="C1691" s="12">
        <f>IFERROR(__xludf.DUMMYFUNCTION("""COMPUTED_VALUE"""),44662.78034722222)</f>
        <v>44662.78035</v>
      </c>
      <c r="D1691" s="13">
        <f t="shared" si="1"/>
        <v>11</v>
      </c>
      <c r="E1691" s="13">
        <f t="shared" si="2"/>
        <v>18</v>
      </c>
    </row>
    <row r="1692">
      <c r="A1692" s="4" t="s">
        <v>1976</v>
      </c>
      <c r="B1692" s="16"/>
      <c r="C1692" s="12">
        <f>IFERROR(__xludf.DUMMYFUNCTION("""COMPUTED_VALUE"""),44662.780081018514)</f>
        <v>44662.78008</v>
      </c>
      <c r="D1692" s="13">
        <f t="shared" si="1"/>
        <v>11</v>
      </c>
      <c r="E1692" s="13">
        <f t="shared" si="2"/>
        <v>18</v>
      </c>
    </row>
    <row r="1693">
      <c r="A1693" s="4" t="s">
        <v>1977</v>
      </c>
      <c r="B1693" s="4" t="s">
        <v>1978</v>
      </c>
      <c r="C1693" s="12">
        <f>IFERROR(__xludf.DUMMYFUNCTION("""COMPUTED_VALUE"""),44662.7796875)</f>
        <v>44662.77969</v>
      </c>
      <c r="D1693" s="13">
        <f t="shared" si="1"/>
        <v>11</v>
      </c>
      <c r="E1693" s="13">
        <f t="shared" si="2"/>
        <v>18</v>
      </c>
    </row>
    <row r="1694">
      <c r="A1694" s="4" t="s">
        <v>1979</v>
      </c>
      <c r="B1694" s="4" t="s">
        <v>1978</v>
      </c>
      <c r="C1694" s="12">
        <f>IFERROR(__xludf.DUMMYFUNCTION("""COMPUTED_VALUE"""),44662.779398148145)</f>
        <v>44662.7794</v>
      </c>
      <c r="D1694" s="13">
        <f t="shared" si="1"/>
        <v>11</v>
      </c>
      <c r="E1694" s="13">
        <f t="shared" si="2"/>
        <v>18</v>
      </c>
    </row>
    <row r="1695">
      <c r="A1695" s="4" t="s">
        <v>1980</v>
      </c>
      <c r="B1695" s="16"/>
      <c r="C1695" s="12">
        <f>IFERROR(__xludf.DUMMYFUNCTION("""COMPUTED_VALUE"""),44662.77935185185)</f>
        <v>44662.77935</v>
      </c>
      <c r="D1695" s="13">
        <f t="shared" si="1"/>
        <v>11</v>
      </c>
      <c r="E1695" s="13">
        <f t="shared" si="2"/>
        <v>18</v>
      </c>
    </row>
    <row r="1696">
      <c r="A1696" s="4" t="s">
        <v>1981</v>
      </c>
      <c r="B1696" s="4" t="s">
        <v>1982</v>
      </c>
      <c r="C1696" s="12">
        <f>IFERROR(__xludf.DUMMYFUNCTION("""COMPUTED_VALUE"""),44662.778819444444)</f>
        <v>44662.77882</v>
      </c>
      <c r="D1696" s="13">
        <f t="shared" si="1"/>
        <v>11</v>
      </c>
      <c r="E1696" s="13">
        <f t="shared" si="2"/>
        <v>18</v>
      </c>
    </row>
    <row r="1697">
      <c r="A1697" s="4" t="s">
        <v>1983</v>
      </c>
      <c r="B1697" s="4" t="s">
        <v>1984</v>
      </c>
      <c r="C1697" s="12">
        <f>IFERROR(__xludf.DUMMYFUNCTION("""COMPUTED_VALUE"""),44662.778460648144)</f>
        <v>44662.77846</v>
      </c>
      <c r="D1697" s="13">
        <f t="shared" si="1"/>
        <v>11</v>
      </c>
      <c r="E1697" s="13">
        <f t="shared" si="2"/>
        <v>18</v>
      </c>
    </row>
    <row r="1698">
      <c r="A1698" s="4" t="s">
        <v>1985</v>
      </c>
      <c r="B1698" s="4" t="s">
        <v>1978</v>
      </c>
      <c r="C1698" s="12">
        <f>IFERROR(__xludf.DUMMYFUNCTION("""COMPUTED_VALUE"""),44662.77827546296)</f>
        <v>44662.77828</v>
      </c>
      <c r="D1698" s="13">
        <f t="shared" si="1"/>
        <v>11</v>
      </c>
      <c r="E1698" s="13">
        <f t="shared" si="2"/>
        <v>18</v>
      </c>
    </row>
    <row r="1699">
      <c r="A1699" s="4" t="s">
        <v>1986</v>
      </c>
      <c r="B1699" s="4" t="s">
        <v>1978</v>
      </c>
      <c r="C1699" s="12">
        <f>IFERROR(__xludf.DUMMYFUNCTION("""COMPUTED_VALUE"""),44662.77825231481)</f>
        <v>44662.77825</v>
      </c>
      <c r="D1699" s="13">
        <f t="shared" si="1"/>
        <v>11</v>
      </c>
      <c r="E1699" s="13">
        <f t="shared" si="2"/>
        <v>18</v>
      </c>
    </row>
    <row r="1700">
      <c r="A1700" s="4" t="s">
        <v>1987</v>
      </c>
      <c r="B1700" s="16"/>
      <c r="C1700" s="12">
        <f>IFERROR(__xludf.DUMMYFUNCTION("""COMPUTED_VALUE"""),44662.778125)</f>
        <v>44662.77813</v>
      </c>
      <c r="D1700" s="13">
        <f t="shared" si="1"/>
        <v>11</v>
      </c>
      <c r="E1700" s="13">
        <f t="shared" si="2"/>
        <v>18</v>
      </c>
    </row>
    <row r="1701">
      <c r="A1701" s="4" t="s">
        <v>1988</v>
      </c>
      <c r="B1701" s="16"/>
      <c r="C1701" s="12">
        <f>IFERROR(__xludf.DUMMYFUNCTION("""COMPUTED_VALUE"""),44662.778078703705)</f>
        <v>44662.77808</v>
      </c>
      <c r="D1701" s="13">
        <f t="shared" si="1"/>
        <v>11</v>
      </c>
      <c r="E1701" s="13">
        <f t="shared" si="2"/>
        <v>18</v>
      </c>
    </row>
    <row r="1702">
      <c r="A1702" s="4" t="s">
        <v>1989</v>
      </c>
      <c r="B1702" s="16"/>
      <c r="C1702" s="12">
        <f>IFERROR(__xludf.DUMMYFUNCTION("""COMPUTED_VALUE"""),44662.77805555555)</f>
        <v>44662.77806</v>
      </c>
      <c r="D1702" s="13">
        <f t="shared" si="1"/>
        <v>11</v>
      </c>
      <c r="E1702" s="13">
        <f t="shared" si="2"/>
        <v>18</v>
      </c>
    </row>
    <row r="1703">
      <c r="A1703" s="4" t="s">
        <v>1990</v>
      </c>
      <c r="B1703" s="4" t="s">
        <v>1984</v>
      </c>
      <c r="C1703" s="12">
        <f>IFERROR(__xludf.DUMMYFUNCTION("""COMPUTED_VALUE"""),44662.77804398148)</f>
        <v>44662.77804</v>
      </c>
      <c r="D1703" s="13">
        <f t="shared" si="1"/>
        <v>11</v>
      </c>
      <c r="E1703" s="13">
        <f t="shared" si="2"/>
        <v>18</v>
      </c>
    </row>
    <row r="1704">
      <c r="A1704" s="4" t="s">
        <v>1991</v>
      </c>
      <c r="B1704" s="4" t="s">
        <v>1992</v>
      </c>
      <c r="C1704" s="12">
        <f>IFERROR(__xludf.DUMMYFUNCTION("""COMPUTED_VALUE"""),44662.77775462963)</f>
        <v>44662.77775</v>
      </c>
      <c r="D1704" s="13">
        <f t="shared" si="1"/>
        <v>11</v>
      </c>
      <c r="E1704" s="13">
        <f t="shared" si="2"/>
        <v>18</v>
      </c>
    </row>
    <row r="1705">
      <c r="A1705" s="4" t="s">
        <v>1993</v>
      </c>
      <c r="B1705" s="4" t="s">
        <v>1994</v>
      </c>
      <c r="C1705" s="12">
        <f>IFERROR(__xludf.DUMMYFUNCTION("""COMPUTED_VALUE"""),44662.777083333334)</f>
        <v>44662.77708</v>
      </c>
      <c r="D1705" s="13">
        <f t="shared" si="1"/>
        <v>11</v>
      </c>
      <c r="E1705" s="13">
        <f t="shared" si="2"/>
        <v>18</v>
      </c>
    </row>
    <row r="1706">
      <c r="A1706" s="4" t="s">
        <v>1995</v>
      </c>
      <c r="B1706" s="16"/>
      <c r="C1706" s="12">
        <f>IFERROR(__xludf.DUMMYFUNCTION("""COMPUTED_VALUE"""),44662.77700231481)</f>
        <v>44662.777</v>
      </c>
      <c r="D1706" s="13">
        <f t="shared" si="1"/>
        <v>11</v>
      </c>
      <c r="E1706" s="13">
        <f t="shared" si="2"/>
        <v>18</v>
      </c>
    </row>
    <row r="1707">
      <c r="A1707" s="4" t="s">
        <v>1996</v>
      </c>
      <c r="B1707" s="16"/>
      <c r="C1707" s="12">
        <f>IFERROR(__xludf.DUMMYFUNCTION("""COMPUTED_VALUE"""),44662.77686342593)</f>
        <v>44662.77686</v>
      </c>
      <c r="D1707" s="13">
        <f t="shared" si="1"/>
        <v>11</v>
      </c>
      <c r="E1707" s="13">
        <f t="shared" si="2"/>
        <v>18</v>
      </c>
    </row>
    <row r="1708">
      <c r="A1708" s="4" t="s">
        <v>1997</v>
      </c>
      <c r="B1708" s="4" t="s">
        <v>1984</v>
      </c>
      <c r="C1708" s="12">
        <f>IFERROR(__xludf.DUMMYFUNCTION("""COMPUTED_VALUE"""),44662.77664351852)</f>
        <v>44662.77664</v>
      </c>
      <c r="D1708" s="13">
        <f t="shared" si="1"/>
        <v>11</v>
      </c>
      <c r="E1708" s="13">
        <f t="shared" si="2"/>
        <v>18</v>
      </c>
    </row>
    <row r="1709">
      <c r="A1709" s="4" t="s">
        <v>1998</v>
      </c>
      <c r="B1709" s="4" t="s">
        <v>1999</v>
      </c>
      <c r="C1709" s="12">
        <f>IFERROR(__xludf.DUMMYFUNCTION("""COMPUTED_VALUE"""),44662.7765162037)</f>
        <v>44662.77652</v>
      </c>
      <c r="D1709" s="13">
        <f t="shared" si="1"/>
        <v>11</v>
      </c>
      <c r="E1709" s="13">
        <f t="shared" si="2"/>
        <v>18</v>
      </c>
    </row>
    <row r="1710">
      <c r="A1710" s="4" t="s">
        <v>2000</v>
      </c>
      <c r="B1710" s="16"/>
      <c r="C1710" s="12">
        <f>IFERROR(__xludf.DUMMYFUNCTION("""COMPUTED_VALUE"""),44662.77642361111)</f>
        <v>44662.77642</v>
      </c>
      <c r="D1710" s="13">
        <f t="shared" si="1"/>
        <v>11</v>
      </c>
      <c r="E1710" s="13">
        <f t="shared" si="2"/>
        <v>18</v>
      </c>
    </row>
    <row r="1711">
      <c r="A1711" s="4" t="s">
        <v>2001</v>
      </c>
      <c r="B1711" s="4" t="s">
        <v>1082</v>
      </c>
      <c r="C1711" s="12">
        <f>IFERROR(__xludf.DUMMYFUNCTION("""COMPUTED_VALUE"""),44662.776249999995)</f>
        <v>44662.77625</v>
      </c>
      <c r="D1711" s="13">
        <f t="shared" si="1"/>
        <v>11</v>
      </c>
      <c r="E1711" s="13">
        <f t="shared" si="2"/>
        <v>18</v>
      </c>
    </row>
    <row r="1712">
      <c r="A1712" s="4" t="s">
        <v>2002</v>
      </c>
      <c r="B1712" s="16"/>
      <c r="C1712" s="12">
        <f>IFERROR(__xludf.DUMMYFUNCTION("""COMPUTED_VALUE"""),44662.77622685185)</f>
        <v>44662.77623</v>
      </c>
      <c r="D1712" s="13">
        <f t="shared" si="1"/>
        <v>11</v>
      </c>
      <c r="E1712" s="13">
        <f t="shared" si="2"/>
        <v>18</v>
      </c>
    </row>
    <row r="1713">
      <c r="A1713" s="4" t="s">
        <v>2003</v>
      </c>
      <c r="B1713" s="16"/>
      <c r="C1713" s="12">
        <f>IFERROR(__xludf.DUMMYFUNCTION("""COMPUTED_VALUE"""),44662.776192129626)</f>
        <v>44662.77619</v>
      </c>
      <c r="D1713" s="13">
        <f t="shared" si="1"/>
        <v>11</v>
      </c>
      <c r="E1713" s="13">
        <f t="shared" si="2"/>
        <v>18</v>
      </c>
    </row>
    <row r="1714">
      <c r="A1714" s="4" t="s">
        <v>2004</v>
      </c>
      <c r="B1714" s="16"/>
      <c r="C1714" s="12">
        <f>IFERROR(__xludf.DUMMYFUNCTION("""COMPUTED_VALUE"""),44662.77616898148)</f>
        <v>44662.77617</v>
      </c>
      <c r="D1714" s="13">
        <f t="shared" si="1"/>
        <v>11</v>
      </c>
      <c r="E1714" s="13">
        <f t="shared" si="2"/>
        <v>18</v>
      </c>
    </row>
    <row r="1715">
      <c r="A1715" s="4" t="s">
        <v>2005</v>
      </c>
      <c r="B1715" s="16"/>
      <c r="C1715" s="12">
        <f>IFERROR(__xludf.DUMMYFUNCTION("""COMPUTED_VALUE"""),44662.77612268518)</f>
        <v>44662.77612</v>
      </c>
      <c r="D1715" s="13">
        <f t="shared" si="1"/>
        <v>11</v>
      </c>
      <c r="E1715" s="13">
        <f t="shared" si="2"/>
        <v>18</v>
      </c>
    </row>
    <row r="1716">
      <c r="A1716" s="4" t="s">
        <v>2006</v>
      </c>
      <c r="B1716" s="16"/>
      <c r="C1716" s="12">
        <f>IFERROR(__xludf.DUMMYFUNCTION("""COMPUTED_VALUE"""),44662.776087962964)</f>
        <v>44662.77609</v>
      </c>
      <c r="D1716" s="13">
        <f t="shared" si="1"/>
        <v>11</v>
      </c>
      <c r="E1716" s="13">
        <f t="shared" si="2"/>
        <v>18</v>
      </c>
    </row>
    <row r="1717">
      <c r="A1717" s="4" t="s">
        <v>2007</v>
      </c>
      <c r="B1717" s="16"/>
      <c r="C1717" s="12">
        <f>IFERROR(__xludf.DUMMYFUNCTION("""COMPUTED_VALUE"""),44662.77605324074)</f>
        <v>44662.77605</v>
      </c>
      <c r="D1717" s="13">
        <f t="shared" si="1"/>
        <v>11</v>
      </c>
      <c r="E1717" s="13">
        <f t="shared" si="2"/>
        <v>18</v>
      </c>
    </row>
    <row r="1718">
      <c r="A1718" s="4" t="s">
        <v>2008</v>
      </c>
      <c r="B1718" s="4" t="s">
        <v>948</v>
      </c>
      <c r="C1718" s="12">
        <f>IFERROR(__xludf.DUMMYFUNCTION("""COMPUTED_VALUE"""),44662.775624999995)</f>
        <v>44662.77563</v>
      </c>
      <c r="D1718" s="13">
        <f t="shared" si="1"/>
        <v>11</v>
      </c>
      <c r="E1718" s="13">
        <f t="shared" si="2"/>
        <v>18</v>
      </c>
    </row>
    <row r="1719">
      <c r="A1719" s="4" t="s">
        <v>2009</v>
      </c>
      <c r="B1719" s="4" t="s">
        <v>948</v>
      </c>
      <c r="C1719" s="12">
        <f>IFERROR(__xludf.DUMMYFUNCTION("""COMPUTED_VALUE"""),44662.77560185185)</f>
        <v>44662.7756</v>
      </c>
      <c r="D1719" s="13">
        <f t="shared" si="1"/>
        <v>11</v>
      </c>
      <c r="E1719" s="13">
        <f t="shared" si="2"/>
        <v>18</v>
      </c>
    </row>
    <row r="1720">
      <c r="A1720" s="4" t="s">
        <v>2010</v>
      </c>
      <c r="B1720" s="16"/>
      <c r="C1720" s="12">
        <f>IFERROR(__xludf.DUMMYFUNCTION("""COMPUTED_VALUE"""),44662.77474537037)</f>
        <v>44662.77475</v>
      </c>
      <c r="D1720" s="13">
        <f t="shared" si="1"/>
        <v>11</v>
      </c>
      <c r="E1720" s="13">
        <f t="shared" si="2"/>
        <v>18</v>
      </c>
    </row>
    <row r="1721">
      <c r="A1721" s="4" t="s">
        <v>2011</v>
      </c>
      <c r="B1721" s="4" t="s">
        <v>1992</v>
      </c>
      <c r="C1721" s="12">
        <f>IFERROR(__xludf.DUMMYFUNCTION("""COMPUTED_VALUE"""),44662.77435185185)</f>
        <v>44662.77435</v>
      </c>
      <c r="D1721" s="13">
        <f t="shared" si="1"/>
        <v>11</v>
      </c>
      <c r="E1721" s="13">
        <f t="shared" si="2"/>
        <v>18</v>
      </c>
    </row>
    <row r="1722">
      <c r="A1722" s="4" t="s">
        <v>2012</v>
      </c>
      <c r="B1722" s="4" t="s">
        <v>2013</v>
      </c>
      <c r="C1722" s="12">
        <f>IFERROR(__xludf.DUMMYFUNCTION("""COMPUTED_VALUE"""),44662.77409722222)</f>
        <v>44662.7741</v>
      </c>
      <c r="D1722" s="13">
        <f t="shared" si="1"/>
        <v>11</v>
      </c>
      <c r="E1722" s="13">
        <f t="shared" si="2"/>
        <v>18</v>
      </c>
    </row>
    <row r="1723">
      <c r="A1723" s="4" t="s">
        <v>2014</v>
      </c>
      <c r="B1723" s="4" t="s">
        <v>2013</v>
      </c>
      <c r="C1723" s="12">
        <f>IFERROR(__xludf.DUMMYFUNCTION("""COMPUTED_VALUE"""),44662.77407407407)</f>
        <v>44662.77407</v>
      </c>
      <c r="D1723" s="13">
        <f t="shared" si="1"/>
        <v>11</v>
      </c>
      <c r="E1723" s="13">
        <f t="shared" si="2"/>
        <v>18</v>
      </c>
    </row>
    <row r="1724">
      <c r="A1724" s="4" t="s">
        <v>2015</v>
      </c>
      <c r="B1724" s="16"/>
      <c r="C1724" s="12">
        <f>IFERROR(__xludf.DUMMYFUNCTION("""COMPUTED_VALUE"""),44662.7728125)</f>
        <v>44662.77281</v>
      </c>
      <c r="D1724" s="13">
        <f t="shared" si="1"/>
        <v>11</v>
      </c>
      <c r="E1724" s="13">
        <f t="shared" si="2"/>
        <v>18</v>
      </c>
    </row>
    <row r="1725">
      <c r="A1725" s="4" t="s">
        <v>2016</v>
      </c>
      <c r="B1725" s="4" t="s">
        <v>1767</v>
      </c>
      <c r="C1725" s="12">
        <f>IFERROR(__xludf.DUMMYFUNCTION("""COMPUTED_VALUE"""),44662.77248842592)</f>
        <v>44662.77249</v>
      </c>
      <c r="D1725" s="13">
        <f t="shared" si="1"/>
        <v>11</v>
      </c>
      <c r="E1725" s="13">
        <f t="shared" si="2"/>
        <v>18</v>
      </c>
    </row>
    <row r="1726">
      <c r="A1726" s="4" t="s">
        <v>2017</v>
      </c>
      <c r="B1726" s="16"/>
      <c r="C1726" s="12">
        <f>IFERROR(__xludf.DUMMYFUNCTION("""COMPUTED_VALUE"""),44662.77155092592)</f>
        <v>44662.77155</v>
      </c>
      <c r="D1726" s="13">
        <f t="shared" si="1"/>
        <v>11</v>
      </c>
      <c r="E1726" s="13">
        <f t="shared" si="2"/>
        <v>18</v>
      </c>
    </row>
    <row r="1727">
      <c r="A1727" s="4" t="s">
        <v>2018</v>
      </c>
      <c r="B1727" s="16"/>
      <c r="C1727" s="12">
        <f>IFERROR(__xludf.DUMMYFUNCTION("""COMPUTED_VALUE"""),44662.77143518518)</f>
        <v>44662.77144</v>
      </c>
      <c r="D1727" s="13">
        <f t="shared" si="1"/>
        <v>11</v>
      </c>
      <c r="E1727" s="13">
        <f t="shared" si="2"/>
        <v>18</v>
      </c>
    </row>
    <row r="1728">
      <c r="A1728" s="4" t="s">
        <v>2019</v>
      </c>
      <c r="B1728" s="16"/>
      <c r="C1728" s="12">
        <f>IFERROR(__xludf.DUMMYFUNCTION("""COMPUTED_VALUE"""),44662.77140046296)</f>
        <v>44662.7714</v>
      </c>
      <c r="D1728" s="13">
        <f t="shared" si="1"/>
        <v>11</v>
      </c>
      <c r="E1728" s="13">
        <f t="shared" si="2"/>
        <v>18</v>
      </c>
    </row>
    <row r="1729">
      <c r="A1729" s="4" t="s">
        <v>2020</v>
      </c>
      <c r="B1729" s="4" t="s">
        <v>2021</v>
      </c>
      <c r="C1729" s="12">
        <f>IFERROR(__xludf.DUMMYFUNCTION("""COMPUTED_VALUE"""),44662.77137731481)</f>
        <v>44662.77138</v>
      </c>
      <c r="D1729" s="13">
        <f t="shared" si="1"/>
        <v>11</v>
      </c>
      <c r="E1729" s="13">
        <f t="shared" si="2"/>
        <v>18</v>
      </c>
    </row>
    <row r="1730">
      <c r="A1730" s="4" t="s">
        <v>2022</v>
      </c>
      <c r="B1730" s="16"/>
      <c r="C1730" s="12">
        <f>IFERROR(__xludf.DUMMYFUNCTION("""COMPUTED_VALUE"""),44662.77135416667)</f>
        <v>44662.77135</v>
      </c>
      <c r="D1730" s="13">
        <f t="shared" si="1"/>
        <v>11</v>
      </c>
      <c r="E1730" s="13">
        <f t="shared" si="2"/>
        <v>18</v>
      </c>
    </row>
    <row r="1731">
      <c r="A1731" s="4" t="s">
        <v>2023</v>
      </c>
      <c r="B1731" s="4" t="s">
        <v>2024</v>
      </c>
      <c r="C1731" s="12">
        <f>IFERROR(__xludf.DUMMYFUNCTION("""COMPUTED_VALUE"""),44662.77023148148)</f>
        <v>44662.77023</v>
      </c>
      <c r="D1731" s="13">
        <f t="shared" si="1"/>
        <v>11</v>
      </c>
      <c r="E1731" s="13">
        <f t="shared" si="2"/>
        <v>18</v>
      </c>
    </row>
    <row r="1732">
      <c r="A1732" s="4" t="s">
        <v>2023</v>
      </c>
      <c r="B1732" s="4" t="s">
        <v>2025</v>
      </c>
      <c r="C1732" s="12">
        <f>IFERROR(__xludf.DUMMYFUNCTION("""COMPUTED_VALUE"""),44662.77023148148)</f>
        <v>44662.77023</v>
      </c>
      <c r="D1732" s="13">
        <f t="shared" si="1"/>
        <v>11</v>
      </c>
      <c r="E1732" s="13">
        <f t="shared" si="2"/>
        <v>18</v>
      </c>
    </row>
    <row r="1733">
      <c r="A1733" s="4" t="s">
        <v>2026</v>
      </c>
      <c r="B1733" s="16"/>
      <c r="C1733" s="12">
        <f>IFERROR(__xludf.DUMMYFUNCTION("""COMPUTED_VALUE"""),44662.770162037035)</f>
        <v>44662.77016</v>
      </c>
      <c r="D1733" s="13">
        <f t="shared" si="1"/>
        <v>11</v>
      </c>
      <c r="E1733" s="13">
        <f t="shared" si="2"/>
        <v>18</v>
      </c>
    </row>
    <row r="1734">
      <c r="A1734" s="4" t="s">
        <v>2027</v>
      </c>
      <c r="B1734" s="4" t="s">
        <v>829</v>
      </c>
      <c r="C1734" s="12">
        <f>IFERROR(__xludf.DUMMYFUNCTION("""COMPUTED_VALUE"""),44662.76962962963)</f>
        <v>44662.76963</v>
      </c>
      <c r="D1734" s="13">
        <f t="shared" si="1"/>
        <v>11</v>
      </c>
      <c r="E1734" s="13">
        <f t="shared" si="2"/>
        <v>18</v>
      </c>
    </row>
    <row r="1735">
      <c r="A1735" s="4" t="s">
        <v>2028</v>
      </c>
      <c r="B1735" s="16"/>
      <c r="C1735" s="12">
        <f>IFERROR(__xludf.DUMMYFUNCTION("""COMPUTED_VALUE"""),44662.769490740735)</f>
        <v>44662.76949</v>
      </c>
      <c r="D1735" s="13">
        <f t="shared" si="1"/>
        <v>11</v>
      </c>
      <c r="E1735" s="13">
        <f t="shared" si="2"/>
        <v>18</v>
      </c>
    </row>
    <row r="1736">
      <c r="A1736" s="4" t="s">
        <v>2029</v>
      </c>
      <c r="B1736" s="4" t="s">
        <v>829</v>
      </c>
      <c r="C1736" s="12">
        <f>IFERROR(__xludf.DUMMYFUNCTION("""COMPUTED_VALUE"""),44662.76946759259)</f>
        <v>44662.76947</v>
      </c>
      <c r="D1736" s="13">
        <f t="shared" si="1"/>
        <v>11</v>
      </c>
      <c r="E1736" s="13">
        <f t="shared" si="2"/>
        <v>18</v>
      </c>
    </row>
    <row r="1737">
      <c r="A1737" s="4" t="s">
        <v>2030</v>
      </c>
      <c r="B1737" s="4" t="s">
        <v>829</v>
      </c>
      <c r="C1737" s="12">
        <f>IFERROR(__xludf.DUMMYFUNCTION("""COMPUTED_VALUE"""),44662.76945601852)</f>
        <v>44662.76946</v>
      </c>
      <c r="D1737" s="13">
        <f t="shared" si="1"/>
        <v>11</v>
      </c>
      <c r="E1737" s="13">
        <f t="shared" si="2"/>
        <v>18</v>
      </c>
    </row>
    <row r="1738">
      <c r="A1738" s="4" t="s">
        <v>2031</v>
      </c>
      <c r="B1738" s="4" t="s">
        <v>829</v>
      </c>
      <c r="C1738" s="12">
        <f>IFERROR(__xludf.DUMMYFUNCTION("""COMPUTED_VALUE"""),44662.769432870366)</f>
        <v>44662.76943</v>
      </c>
      <c r="D1738" s="13">
        <f t="shared" si="1"/>
        <v>11</v>
      </c>
      <c r="E1738" s="13">
        <f t="shared" si="2"/>
        <v>18</v>
      </c>
    </row>
    <row r="1739">
      <c r="A1739" s="4" t="s">
        <v>2032</v>
      </c>
      <c r="B1739" s="4" t="s">
        <v>829</v>
      </c>
      <c r="C1739" s="12">
        <f>IFERROR(__xludf.DUMMYFUNCTION("""COMPUTED_VALUE"""),44662.76940972222)</f>
        <v>44662.76941</v>
      </c>
      <c r="D1739" s="13">
        <f t="shared" si="1"/>
        <v>11</v>
      </c>
      <c r="E1739" s="13">
        <f t="shared" si="2"/>
        <v>18</v>
      </c>
    </row>
    <row r="1740">
      <c r="A1740" s="4" t="s">
        <v>2033</v>
      </c>
      <c r="B1740" s="4" t="s">
        <v>829</v>
      </c>
      <c r="C1740" s="12">
        <f>IFERROR(__xludf.DUMMYFUNCTION("""COMPUTED_VALUE"""),44662.76923611111)</f>
        <v>44662.76924</v>
      </c>
      <c r="D1740" s="13">
        <f t="shared" si="1"/>
        <v>11</v>
      </c>
      <c r="E1740" s="13">
        <f t="shared" si="2"/>
        <v>18</v>
      </c>
    </row>
    <row r="1741">
      <c r="A1741" s="4" t="s">
        <v>2034</v>
      </c>
      <c r="B1741" s="4" t="s">
        <v>829</v>
      </c>
      <c r="C1741" s="12">
        <f>IFERROR(__xludf.DUMMYFUNCTION("""COMPUTED_VALUE"""),44662.76918981481)</f>
        <v>44662.76919</v>
      </c>
      <c r="D1741" s="13">
        <f t="shared" si="1"/>
        <v>11</v>
      </c>
      <c r="E1741" s="13">
        <f t="shared" si="2"/>
        <v>18</v>
      </c>
    </row>
    <row r="1742">
      <c r="A1742" s="4" t="s">
        <v>2035</v>
      </c>
      <c r="B1742" s="16"/>
      <c r="C1742" s="12">
        <f>IFERROR(__xludf.DUMMYFUNCTION("""COMPUTED_VALUE"""),44662.76884259259)</f>
        <v>44662.76884</v>
      </c>
      <c r="D1742" s="13">
        <f t="shared" si="1"/>
        <v>11</v>
      </c>
      <c r="E1742" s="13">
        <f t="shared" si="2"/>
        <v>18</v>
      </c>
    </row>
    <row r="1743">
      <c r="A1743" s="4" t="s">
        <v>2036</v>
      </c>
      <c r="B1743" s="4" t="s">
        <v>2037</v>
      </c>
      <c r="C1743" s="12">
        <f>IFERROR(__xludf.DUMMYFUNCTION("""COMPUTED_VALUE"""),44662.768599537034)</f>
        <v>44662.7686</v>
      </c>
      <c r="D1743" s="13">
        <f t="shared" si="1"/>
        <v>11</v>
      </c>
      <c r="E1743" s="13">
        <f t="shared" si="2"/>
        <v>18</v>
      </c>
    </row>
    <row r="1744">
      <c r="A1744" s="4" t="s">
        <v>2038</v>
      </c>
      <c r="B1744" s="4" t="s">
        <v>2039</v>
      </c>
      <c r="C1744" s="12">
        <f>IFERROR(__xludf.DUMMYFUNCTION("""COMPUTED_VALUE"""),44662.76857638889)</f>
        <v>44662.76858</v>
      </c>
      <c r="D1744" s="13">
        <f t="shared" si="1"/>
        <v>11</v>
      </c>
      <c r="E1744" s="13">
        <f t="shared" si="2"/>
        <v>18</v>
      </c>
    </row>
    <row r="1745">
      <c r="A1745" s="4" t="s">
        <v>2040</v>
      </c>
      <c r="B1745" s="16"/>
      <c r="C1745" s="12">
        <f>IFERROR(__xludf.DUMMYFUNCTION("""COMPUTED_VALUE"""),44662.76844907407)</f>
        <v>44662.76845</v>
      </c>
      <c r="D1745" s="13">
        <f t="shared" si="1"/>
        <v>11</v>
      </c>
      <c r="E1745" s="13">
        <f t="shared" si="2"/>
        <v>18</v>
      </c>
    </row>
    <row r="1746">
      <c r="A1746" s="4" t="s">
        <v>2041</v>
      </c>
      <c r="B1746" s="16"/>
      <c r="C1746" s="12">
        <f>IFERROR(__xludf.DUMMYFUNCTION("""COMPUTED_VALUE"""),44662.76835648148)</f>
        <v>44662.76836</v>
      </c>
      <c r="D1746" s="13">
        <f t="shared" si="1"/>
        <v>11</v>
      </c>
      <c r="E1746" s="13">
        <f t="shared" si="2"/>
        <v>18</v>
      </c>
    </row>
    <row r="1747">
      <c r="A1747" s="4" t="s">
        <v>2042</v>
      </c>
      <c r="B1747" s="4" t="s">
        <v>2043</v>
      </c>
      <c r="C1747" s="12">
        <f>IFERROR(__xludf.DUMMYFUNCTION("""COMPUTED_VALUE"""),44662.7671412037)</f>
        <v>44662.76714</v>
      </c>
      <c r="D1747" s="13">
        <f t="shared" si="1"/>
        <v>11</v>
      </c>
      <c r="E1747" s="13">
        <f t="shared" si="2"/>
        <v>18</v>
      </c>
    </row>
    <row r="1748">
      <c r="A1748" s="4" t="s">
        <v>2044</v>
      </c>
      <c r="B1748" s="4" t="s">
        <v>2045</v>
      </c>
      <c r="C1748" s="12">
        <f>IFERROR(__xludf.DUMMYFUNCTION("""COMPUTED_VALUE"""),44662.76572916666)</f>
        <v>44662.76573</v>
      </c>
      <c r="D1748" s="13">
        <f t="shared" si="1"/>
        <v>11</v>
      </c>
      <c r="E1748" s="13">
        <f t="shared" si="2"/>
        <v>18</v>
      </c>
    </row>
    <row r="1749">
      <c r="A1749" s="4" t="s">
        <v>2046</v>
      </c>
      <c r="B1749" s="4" t="s">
        <v>1892</v>
      </c>
      <c r="C1749" s="12">
        <f>IFERROR(__xludf.DUMMYFUNCTION("""COMPUTED_VALUE"""),44662.765)</f>
        <v>44662.765</v>
      </c>
      <c r="D1749" s="13">
        <f t="shared" si="1"/>
        <v>11</v>
      </c>
      <c r="E1749" s="13">
        <f t="shared" si="2"/>
        <v>18</v>
      </c>
    </row>
    <row r="1750">
      <c r="A1750" s="4" t="s">
        <v>2047</v>
      </c>
      <c r="B1750" s="4" t="s">
        <v>1442</v>
      </c>
      <c r="C1750" s="12">
        <f>IFERROR(__xludf.DUMMYFUNCTION("""COMPUTED_VALUE"""),44662.76491898148)</f>
        <v>44662.76492</v>
      </c>
      <c r="D1750" s="13">
        <f t="shared" si="1"/>
        <v>11</v>
      </c>
      <c r="E1750" s="13">
        <f t="shared" si="2"/>
        <v>18</v>
      </c>
    </row>
    <row r="1751">
      <c r="A1751" s="4" t="s">
        <v>2048</v>
      </c>
      <c r="B1751" s="16"/>
      <c r="C1751" s="12">
        <f>IFERROR(__xludf.DUMMYFUNCTION("""COMPUTED_VALUE"""),44662.76488425925)</f>
        <v>44662.76488</v>
      </c>
      <c r="D1751" s="13">
        <f t="shared" si="1"/>
        <v>11</v>
      </c>
      <c r="E1751" s="13">
        <f t="shared" si="2"/>
        <v>18</v>
      </c>
    </row>
    <row r="1752">
      <c r="A1752" s="4" t="s">
        <v>2049</v>
      </c>
      <c r="B1752" s="16"/>
      <c r="C1752" s="12">
        <f>IFERROR(__xludf.DUMMYFUNCTION("""COMPUTED_VALUE"""),44662.76483796296)</f>
        <v>44662.76484</v>
      </c>
      <c r="D1752" s="13">
        <f t="shared" si="1"/>
        <v>11</v>
      </c>
      <c r="E1752" s="13">
        <f t="shared" si="2"/>
        <v>18</v>
      </c>
    </row>
    <row r="1753">
      <c r="A1753" s="4" t="s">
        <v>2050</v>
      </c>
      <c r="B1753" s="16"/>
      <c r="C1753" s="12">
        <f>IFERROR(__xludf.DUMMYFUNCTION("""COMPUTED_VALUE"""),44662.76388888888)</f>
        <v>44662.76389</v>
      </c>
      <c r="D1753" s="13">
        <f t="shared" si="1"/>
        <v>11</v>
      </c>
      <c r="E1753" s="13">
        <f t="shared" si="2"/>
        <v>18</v>
      </c>
    </row>
    <row r="1754">
      <c r="A1754" s="4" t="s">
        <v>2050</v>
      </c>
      <c r="B1754" s="4" t="s">
        <v>1757</v>
      </c>
      <c r="C1754" s="12">
        <f>IFERROR(__xludf.DUMMYFUNCTION("""COMPUTED_VALUE"""),44662.76388888888)</f>
        <v>44662.76389</v>
      </c>
      <c r="D1754" s="13">
        <f t="shared" si="1"/>
        <v>11</v>
      </c>
      <c r="E1754" s="13">
        <f t="shared" si="2"/>
        <v>18</v>
      </c>
    </row>
    <row r="1755">
      <c r="A1755" s="4" t="s">
        <v>2051</v>
      </c>
      <c r="B1755" s="16"/>
      <c r="C1755" s="12">
        <f>IFERROR(__xludf.DUMMYFUNCTION("""COMPUTED_VALUE"""),44662.76274305555)</f>
        <v>44662.76274</v>
      </c>
      <c r="D1755" s="13">
        <f t="shared" si="1"/>
        <v>11</v>
      </c>
      <c r="E1755" s="13">
        <f t="shared" si="2"/>
        <v>18</v>
      </c>
    </row>
    <row r="1756">
      <c r="A1756" s="4" t="s">
        <v>2052</v>
      </c>
      <c r="B1756" s="16"/>
      <c r="C1756" s="12">
        <f>IFERROR(__xludf.DUMMYFUNCTION("""COMPUTED_VALUE"""),44662.76269675926)</f>
        <v>44662.7627</v>
      </c>
      <c r="D1756" s="13">
        <f t="shared" si="1"/>
        <v>11</v>
      </c>
      <c r="E1756" s="13">
        <f t="shared" si="2"/>
        <v>18</v>
      </c>
    </row>
    <row r="1757">
      <c r="A1757" s="4" t="s">
        <v>2053</v>
      </c>
      <c r="B1757" s="16"/>
      <c r="C1757" s="12">
        <f>IFERROR(__xludf.DUMMYFUNCTION("""COMPUTED_VALUE"""),44662.76244212963)</f>
        <v>44662.76244</v>
      </c>
      <c r="D1757" s="13">
        <f t="shared" si="1"/>
        <v>11</v>
      </c>
      <c r="E1757" s="13">
        <f t="shared" si="2"/>
        <v>18</v>
      </c>
    </row>
    <row r="1758">
      <c r="A1758" s="4" t="s">
        <v>2054</v>
      </c>
      <c r="B1758" s="16"/>
      <c r="C1758" s="12">
        <f>IFERROR(__xludf.DUMMYFUNCTION("""COMPUTED_VALUE"""),44662.76232638889)</f>
        <v>44662.76233</v>
      </c>
      <c r="D1758" s="13">
        <f t="shared" si="1"/>
        <v>11</v>
      </c>
      <c r="E1758" s="13">
        <f t="shared" si="2"/>
        <v>18</v>
      </c>
    </row>
    <row r="1759">
      <c r="A1759" s="4" t="s">
        <v>2055</v>
      </c>
      <c r="B1759" s="16"/>
      <c r="C1759" s="12">
        <f>IFERROR(__xludf.DUMMYFUNCTION("""COMPUTED_VALUE"""),44662.76208333333)</f>
        <v>44662.76208</v>
      </c>
      <c r="D1759" s="13">
        <f t="shared" si="1"/>
        <v>11</v>
      </c>
      <c r="E1759" s="13">
        <f t="shared" si="2"/>
        <v>18</v>
      </c>
    </row>
    <row r="1760">
      <c r="A1760" s="4" t="s">
        <v>2056</v>
      </c>
      <c r="B1760" s="16"/>
      <c r="C1760" s="12">
        <f>IFERROR(__xludf.DUMMYFUNCTION("""COMPUTED_VALUE"""),44662.761921296296)</f>
        <v>44662.76192</v>
      </c>
      <c r="D1760" s="13">
        <f t="shared" si="1"/>
        <v>11</v>
      </c>
      <c r="E1760" s="13">
        <f t="shared" si="2"/>
        <v>18</v>
      </c>
    </row>
    <row r="1761">
      <c r="A1761" s="4" t="s">
        <v>2057</v>
      </c>
      <c r="B1761" s="16"/>
      <c r="C1761" s="12">
        <f>IFERROR(__xludf.DUMMYFUNCTION("""COMPUTED_VALUE"""),44662.76177083333)</f>
        <v>44662.76177</v>
      </c>
      <c r="D1761" s="13">
        <f t="shared" si="1"/>
        <v>11</v>
      </c>
      <c r="E1761" s="13">
        <f t="shared" si="2"/>
        <v>18</v>
      </c>
    </row>
    <row r="1762">
      <c r="A1762" s="4" t="s">
        <v>2057</v>
      </c>
      <c r="B1762" s="16"/>
      <c r="C1762" s="12">
        <f>IFERROR(__xludf.DUMMYFUNCTION("""COMPUTED_VALUE"""),44662.76177083333)</f>
        <v>44662.76177</v>
      </c>
      <c r="D1762" s="13">
        <f t="shared" si="1"/>
        <v>11</v>
      </c>
      <c r="E1762" s="13">
        <f t="shared" si="2"/>
        <v>18</v>
      </c>
    </row>
    <row r="1763">
      <c r="A1763" s="4" t="s">
        <v>2058</v>
      </c>
      <c r="B1763" s="16"/>
      <c r="C1763" s="12">
        <f>IFERROR(__xludf.DUMMYFUNCTION("""COMPUTED_VALUE"""),44662.76174768518)</f>
        <v>44662.76175</v>
      </c>
      <c r="D1763" s="13">
        <f t="shared" si="1"/>
        <v>11</v>
      </c>
      <c r="E1763" s="13">
        <f t="shared" si="2"/>
        <v>18</v>
      </c>
    </row>
    <row r="1764">
      <c r="A1764" s="4" t="s">
        <v>2059</v>
      </c>
      <c r="B1764" s="16"/>
      <c r="C1764" s="12">
        <f>IFERROR(__xludf.DUMMYFUNCTION("""COMPUTED_VALUE"""),44662.76171296296)</f>
        <v>44662.76171</v>
      </c>
      <c r="D1764" s="13">
        <f t="shared" si="1"/>
        <v>11</v>
      </c>
      <c r="E1764" s="13">
        <f t="shared" si="2"/>
        <v>18</v>
      </c>
    </row>
    <row r="1765">
      <c r="A1765" s="4" t="s">
        <v>2060</v>
      </c>
      <c r="B1765" s="16"/>
      <c r="C1765" s="12">
        <f>IFERROR(__xludf.DUMMYFUNCTION("""COMPUTED_VALUE"""),44662.76168981481)</f>
        <v>44662.76169</v>
      </c>
      <c r="D1765" s="13">
        <f t="shared" si="1"/>
        <v>11</v>
      </c>
      <c r="E1765" s="13">
        <f t="shared" si="2"/>
        <v>18</v>
      </c>
    </row>
    <row r="1766">
      <c r="A1766" s="4" t="s">
        <v>2061</v>
      </c>
      <c r="B1766" s="4" t="s">
        <v>1759</v>
      </c>
      <c r="C1766" s="12">
        <f>IFERROR(__xludf.DUMMYFUNCTION("""COMPUTED_VALUE"""),44662.76164351852)</f>
        <v>44662.76164</v>
      </c>
      <c r="D1766" s="13">
        <f t="shared" si="1"/>
        <v>11</v>
      </c>
      <c r="E1766" s="13">
        <f t="shared" si="2"/>
        <v>18</v>
      </c>
    </row>
    <row r="1767">
      <c r="A1767" s="4" t="s">
        <v>2062</v>
      </c>
      <c r="B1767" s="4" t="s">
        <v>1759</v>
      </c>
      <c r="C1767" s="12">
        <f>IFERROR(__xludf.DUMMYFUNCTION("""COMPUTED_VALUE"""),44662.761620370366)</f>
        <v>44662.76162</v>
      </c>
      <c r="D1767" s="13">
        <f t="shared" si="1"/>
        <v>11</v>
      </c>
      <c r="E1767" s="13">
        <f t="shared" si="2"/>
        <v>18</v>
      </c>
    </row>
    <row r="1768">
      <c r="A1768" s="4" t="s">
        <v>2063</v>
      </c>
      <c r="B1768" s="4" t="s">
        <v>2064</v>
      </c>
      <c r="C1768" s="12">
        <f>IFERROR(__xludf.DUMMYFUNCTION("""COMPUTED_VALUE"""),44662.76157407407)</f>
        <v>44662.76157</v>
      </c>
      <c r="D1768" s="13">
        <f t="shared" si="1"/>
        <v>11</v>
      </c>
      <c r="E1768" s="13">
        <f t="shared" si="2"/>
        <v>18</v>
      </c>
    </row>
    <row r="1769">
      <c r="A1769" s="4" t="s">
        <v>2065</v>
      </c>
      <c r="B1769" s="4" t="s">
        <v>2066</v>
      </c>
      <c r="C1769" s="12">
        <f>IFERROR(__xludf.DUMMYFUNCTION("""COMPUTED_VALUE"""),44662.76148148148)</f>
        <v>44662.76148</v>
      </c>
      <c r="D1769" s="13">
        <f t="shared" si="1"/>
        <v>11</v>
      </c>
      <c r="E1769" s="13">
        <f t="shared" si="2"/>
        <v>18</v>
      </c>
    </row>
    <row r="1770">
      <c r="A1770" s="4" t="s">
        <v>2067</v>
      </c>
      <c r="B1770" s="16"/>
      <c r="C1770" s="12">
        <f>IFERROR(__xludf.DUMMYFUNCTION("""COMPUTED_VALUE"""),44662.76116898148)</f>
        <v>44662.76117</v>
      </c>
      <c r="D1770" s="13">
        <f t="shared" si="1"/>
        <v>11</v>
      </c>
      <c r="E1770" s="13">
        <f t="shared" si="2"/>
        <v>18</v>
      </c>
    </row>
    <row r="1771">
      <c r="A1771" s="4" t="s">
        <v>2068</v>
      </c>
      <c r="B1771" s="16"/>
      <c r="C1771" s="12">
        <f>IFERROR(__xludf.DUMMYFUNCTION("""COMPUTED_VALUE"""),44662.76045138889)</f>
        <v>44662.76045</v>
      </c>
      <c r="D1771" s="13">
        <f t="shared" si="1"/>
        <v>11</v>
      </c>
      <c r="E1771" s="13">
        <f t="shared" si="2"/>
        <v>18</v>
      </c>
    </row>
    <row r="1772">
      <c r="A1772" s="4" t="s">
        <v>2069</v>
      </c>
      <c r="B1772" s="4" t="s">
        <v>2070</v>
      </c>
      <c r="C1772" s="12">
        <f>IFERROR(__xludf.DUMMYFUNCTION("""COMPUTED_VALUE"""),44662.76042824074)</f>
        <v>44662.76043</v>
      </c>
      <c r="D1772" s="13">
        <f t="shared" si="1"/>
        <v>11</v>
      </c>
      <c r="E1772" s="13">
        <f t="shared" si="2"/>
        <v>18</v>
      </c>
    </row>
    <row r="1773">
      <c r="A1773" s="4" t="s">
        <v>2071</v>
      </c>
      <c r="B1773" s="16"/>
      <c r="C1773" s="12">
        <f>IFERROR(__xludf.DUMMYFUNCTION("""COMPUTED_VALUE"""),44662.759675925925)</f>
        <v>44662.75968</v>
      </c>
      <c r="D1773" s="13">
        <f t="shared" si="1"/>
        <v>11</v>
      </c>
      <c r="E1773" s="13">
        <f t="shared" si="2"/>
        <v>18</v>
      </c>
    </row>
    <row r="1774">
      <c r="A1774" s="4" t="s">
        <v>2072</v>
      </c>
      <c r="B1774" s="16"/>
      <c r="C1774" s="12">
        <f>IFERROR(__xludf.DUMMYFUNCTION("""COMPUTED_VALUE"""),44662.75940972222)</f>
        <v>44662.75941</v>
      </c>
      <c r="D1774" s="13">
        <f t="shared" si="1"/>
        <v>11</v>
      </c>
      <c r="E1774" s="13">
        <f t="shared" si="2"/>
        <v>18</v>
      </c>
    </row>
    <row r="1775">
      <c r="A1775" s="4" t="s">
        <v>2073</v>
      </c>
      <c r="B1775" s="16"/>
      <c r="C1775" s="12">
        <f>IFERROR(__xludf.DUMMYFUNCTION("""COMPUTED_VALUE"""),44662.75935185185)</f>
        <v>44662.75935</v>
      </c>
      <c r="D1775" s="13">
        <f t="shared" si="1"/>
        <v>11</v>
      </c>
      <c r="E1775" s="13">
        <f t="shared" si="2"/>
        <v>18</v>
      </c>
    </row>
    <row r="1776">
      <c r="A1776" s="4" t="s">
        <v>2074</v>
      </c>
      <c r="B1776" s="4" t="s">
        <v>2075</v>
      </c>
      <c r="C1776" s="12">
        <f>IFERROR(__xludf.DUMMYFUNCTION("""COMPUTED_VALUE"""),44662.75929398148)</f>
        <v>44662.75929</v>
      </c>
      <c r="D1776" s="13">
        <f t="shared" si="1"/>
        <v>11</v>
      </c>
      <c r="E1776" s="13">
        <f t="shared" si="2"/>
        <v>18</v>
      </c>
    </row>
    <row r="1777">
      <c r="A1777" s="4" t="s">
        <v>2076</v>
      </c>
      <c r="B1777" s="4" t="s">
        <v>2077</v>
      </c>
      <c r="C1777" s="12">
        <f>IFERROR(__xludf.DUMMYFUNCTION("""COMPUTED_VALUE"""),44662.759004629625)</f>
        <v>44662.759</v>
      </c>
      <c r="D1777" s="13">
        <f t="shared" si="1"/>
        <v>11</v>
      </c>
      <c r="E1777" s="13">
        <f t="shared" si="2"/>
        <v>18</v>
      </c>
    </row>
    <row r="1778">
      <c r="A1778" s="4" t="s">
        <v>2078</v>
      </c>
      <c r="B1778" s="16"/>
      <c r="C1778" s="12">
        <f>IFERROR(__xludf.DUMMYFUNCTION("""COMPUTED_VALUE"""),44662.757835648146)</f>
        <v>44662.75784</v>
      </c>
      <c r="D1778" s="13">
        <f t="shared" si="1"/>
        <v>11</v>
      </c>
      <c r="E1778" s="13">
        <f t="shared" si="2"/>
        <v>18</v>
      </c>
    </row>
    <row r="1779">
      <c r="A1779" s="4" t="s">
        <v>2079</v>
      </c>
      <c r="B1779" s="16"/>
      <c r="C1779" s="12">
        <f>IFERROR(__xludf.DUMMYFUNCTION("""COMPUTED_VALUE"""),44662.75754629629)</f>
        <v>44662.75755</v>
      </c>
      <c r="D1779" s="13">
        <f t="shared" si="1"/>
        <v>11</v>
      </c>
      <c r="E1779" s="13">
        <f t="shared" si="2"/>
        <v>18</v>
      </c>
    </row>
    <row r="1780">
      <c r="A1780" s="4" t="s">
        <v>2080</v>
      </c>
      <c r="B1780" s="4" t="s">
        <v>948</v>
      </c>
      <c r="C1780" s="12">
        <f>IFERROR(__xludf.DUMMYFUNCTION("""COMPUTED_VALUE"""),44662.75739583333)</f>
        <v>44662.7574</v>
      </c>
      <c r="D1780" s="13">
        <f t="shared" si="1"/>
        <v>11</v>
      </c>
      <c r="E1780" s="13">
        <f t="shared" si="2"/>
        <v>18</v>
      </c>
    </row>
    <row r="1781">
      <c r="A1781" s="4" t="s">
        <v>2081</v>
      </c>
      <c r="B1781" s="16"/>
      <c r="C1781" s="12">
        <f>IFERROR(__xludf.DUMMYFUNCTION("""COMPUTED_VALUE"""),44662.75734953704)</f>
        <v>44662.75735</v>
      </c>
      <c r="D1781" s="13">
        <f t="shared" si="1"/>
        <v>11</v>
      </c>
      <c r="E1781" s="13">
        <f t="shared" si="2"/>
        <v>18</v>
      </c>
    </row>
    <row r="1782">
      <c r="A1782" s="4" t="s">
        <v>2082</v>
      </c>
      <c r="B1782" s="16"/>
      <c r="C1782" s="12">
        <f>IFERROR(__xludf.DUMMYFUNCTION("""COMPUTED_VALUE"""),44662.75733796296)</f>
        <v>44662.75734</v>
      </c>
      <c r="D1782" s="13">
        <f t="shared" si="1"/>
        <v>11</v>
      </c>
      <c r="E1782" s="13">
        <f t="shared" si="2"/>
        <v>18</v>
      </c>
    </row>
    <row r="1783">
      <c r="A1783" s="4" t="s">
        <v>2083</v>
      </c>
      <c r="B1783" s="4" t="s">
        <v>240</v>
      </c>
      <c r="C1783" s="12">
        <f>IFERROR(__xludf.DUMMYFUNCTION("""COMPUTED_VALUE"""),44662.75728009259)</f>
        <v>44662.75728</v>
      </c>
      <c r="D1783" s="13">
        <f t="shared" si="1"/>
        <v>11</v>
      </c>
      <c r="E1783" s="13">
        <f t="shared" si="2"/>
        <v>18</v>
      </c>
    </row>
    <row r="1784">
      <c r="A1784" s="4" t="s">
        <v>2084</v>
      </c>
      <c r="B1784" s="4" t="s">
        <v>2085</v>
      </c>
      <c r="C1784" s="12">
        <f>IFERROR(__xludf.DUMMYFUNCTION("""COMPUTED_VALUE"""),44662.757060185184)</f>
        <v>44662.75706</v>
      </c>
      <c r="D1784" s="13">
        <f t="shared" si="1"/>
        <v>11</v>
      </c>
      <c r="E1784" s="13">
        <f t="shared" si="2"/>
        <v>18</v>
      </c>
    </row>
    <row r="1785">
      <c r="A1785" s="4" t="s">
        <v>2086</v>
      </c>
      <c r="B1785" s="16"/>
      <c r="C1785" s="12">
        <f>IFERROR(__xludf.DUMMYFUNCTION("""COMPUTED_VALUE"""),44662.75680555555)</f>
        <v>44662.75681</v>
      </c>
      <c r="D1785" s="13">
        <f t="shared" si="1"/>
        <v>11</v>
      </c>
      <c r="E1785" s="13">
        <f t="shared" si="2"/>
        <v>18</v>
      </c>
    </row>
    <row r="1786">
      <c r="A1786" s="4" t="s">
        <v>2087</v>
      </c>
      <c r="B1786" s="16"/>
      <c r="C1786" s="12">
        <f>IFERROR(__xludf.DUMMYFUNCTION("""COMPUTED_VALUE"""),44662.75623842592)</f>
        <v>44662.75624</v>
      </c>
      <c r="D1786" s="13">
        <f t="shared" si="1"/>
        <v>11</v>
      </c>
      <c r="E1786" s="13">
        <f t="shared" si="2"/>
        <v>18</v>
      </c>
    </row>
    <row r="1787">
      <c r="A1787" s="4" t="s">
        <v>2088</v>
      </c>
      <c r="B1787" s="4" t="s">
        <v>2089</v>
      </c>
      <c r="C1787" s="12">
        <f>IFERROR(__xludf.DUMMYFUNCTION("""COMPUTED_VALUE"""),44662.75604166667)</f>
        <v>44662.75604</v>
      </c>
      <c r="D1787" s="13">
        <f t="shared" si="1"/>
        <v>11</v>
      </c>
      <c r="E1787" s="13">
        <f t="shared" si="2"/>
        <v>18</v>
      </c>
    </row>
    <row r="1788">
      <c r="A1788" s="4" t="s">
        <v>2090</v>
      </c>
      <c r="B1788" s="16"/>
      <c r="C1788" s="12">
        <f>IFERROR(__xludf.DUMMYFUNCTION("""COMPUTED_VALUE"""),44662.755162037036)</f>
        <v>44662.75516</v>
      </c>
      <c r="D1788" s="13">
        <f t="shared" si="1"/>
        <v>11</v>
      </c>
      <c r="E1788" s="13">
        <f t="shared" si="2"/>
        <v>18</v>
      </c>
    </row>
    <row r="1789">
      <c r="A1789" s="4" t="s">
        <v>2091</v>
      </c>
      <c r="B1789" s="4" t="s">
        <v>2092</v>
      </c>
      <c r="C1789" s="12">
        <f>IFERROR(__xludf.DUMMYFUNCTION("""COMPUTED_VALUE"""),44662.754594907405)</f>
        <v>44662.75459</v>
      </c>
      <c r="D1789" s="13">
        <f t="shared" si="1"/>
        <v>11</v>
      </c>
      <c r="E1789" s="13">
        <f t="shared" si="2"/>
        <v>18</v>
      </c>
    </row>
    <row r="1790">
      <c r="A1790" s="4" t="s">
        <v>2093</v>
      </c>
      <c r="B1790" s="4" t="s">
        <v>2094</v>
      </c>
      <c r="C1790" s="12">
        <f>IFERROR(__xludf.DUMMYFUNCTION("""COMPUTED_VALUE"""),44662.75452546296)</f>
        <v>44662.75453</v>
      </c>
      <c r="D1790" s="13">
        <f t="shared" si="1"/>
        <v>11</v>
      </c>
      <c r="E1790" s="13">
        <f t="shared" si="2"/>
        <v>18</v>
      </c>
    </row>
    <row r="1791">
      <c r="A1791" s="4" t="s">
        <v>2095</v>
      </c>
      <c r="B1791" s="4" t="s">
        <v>2094</v>
      </c>
      <c r="C1791" s="12">
        <f>IFERROR(__xludf.DUMMYFUNCTION("""COMPUTED_VALUE"""),44662.754490740735)</f>
        <v>44662.75449</v>
      </c>
      <c r="D1791" s="13">
        <f t="shared" si="1"/>
        <v>11</v>
      </c>
      <c r="E1791" s="13">
        <f t="shared" si="2"/>
        <v>18</v>
      </c>
    </row>
    <row r="1792">
      <c r="A1792" s="4" t="s">
        <v>2096</v>
      </c>
      <c r="B1792" s="16"/>
      <c r="C1792" s="12">
        <f>IFERROR(__xludf.DUMMYFUNCTION("""COMPUTED_VALUE"""),44662.75425925926)</f>
        <v>44662.75426</v>
      </c>
      <c r="D1792" s="13">
        <f t="shared" si="1"/>
        <v>11</v>
      </c>
      <c r="E1792" s="13">
        <f t="shared" si="2"/>
        <v>18</v>
      </c>
    </row>
    <row r="1793">
      <c r="A1793" s="4" t="s">
        <v>2097</v>
      </c>
      <c r="B1793" s="16"/>
      <c r="C1793" s="12">
        <f>IFERROR(__xludf.DUMMYFUNCTION("""COMPUTED_VALUE"""),44662.75418981481)</f>
        <v>44662.75419</v>
      </c>
      <c r="D1793" s="13">
        <f t="shared" si="1"/>
        <v>11</v>
      </c>
      <c r="E1793" s="13">
        <f t="shared" si="2"/>
        <v>18</v>
      </c>
    </row>
    <row r="1794">
      <c r="A1794" s="4" t="s">
        <v>2098</v>
      </c>
      <c r="B1794" s="16"/>
      <c r="C1794" s="12">
        <f>IFERROR(__xludf.DUMMYFUNCTION("""COMPUTED_VALUE"""),44662.75413194444)</f>
        <v>44662.75413</v>
      </c>
      <c r="D1794" s="13">
        <f t="shared" si="1"/>
        <v>11</v>
      </c>
      <c r="E1794" s="13">
        <f t="shared" si="2"/>
        <v>18</v>
      </c>
    </row>
    <row r="1795">
      <c r="A1795" s="4" t="s">
        <v>2099</v>
      </c>
      <c r="B1795" s="16"/>
      <c r="C1795" s="12">
        <f>IFERROR(__xludf.DUMMYFUNCTION("""COMPUTED_VALUE"""),44662.75355324074)</f>
        <v>44662.75355</v>
      </c>
      <c r="D1795" s="13">
        <f t="shared" si="1"/>
        <v>11</v>
      </c>
      <c r="E1795" s="13">
        <f t="shared" si="2"/>
        <v>18</v>
      </c>
    </row>
    <row r="1796">
      <c r="A1796" s="4" t="s">
        <v>2100</v>
      </c>
      <c r="B1796" s="16"/>
      <c r="C1796" s="12">
        <f>IFERROR(__xludf.DUMMYFUNCTION("""COMPUTED_VALUE"""),44662.753437499996)</f>
        <v>44662.75344</v>
      </c>
      <c r="D1796" s="13">
        <f t="shared" si="1"/>
        <v>11</v>
      </c>
      <c r="E1796" s="13">
        <f t="shared" si="2"/>
        <v>18</v>
      </c>
    </row>
    <row r="1797">
      <c r="A1797" s="4" t="s">
        <v>2101</v>
      </c>
      <c r="B1797" s="4" t="s">
        <v>2102</v>
      </c>
      <c r="C1797" s="12">
        <f>IFERROR(__xludf.DUMMYFUNCTION("""COMPUTED_VALUE"""),44662.75336805555)</f>
        <v>44662.75337</v>
      </c>
      <c r="D1797" s="13">
        <f t="shared" si="1"/>
        <v>11</v>
      </c>
      <c r="E1797" s="13">
        <f t="shared" si="2"/>
        <v>18</v>
      </c>
    </row>
    <row r="1798">
      <c r="A1798" s="4" t="s">
        <v>2103</v>
      </c>
      <c r="B1798" s="4" t="s">
        <v>2104</v>
      </c>
      <c r="C1798" s="12">
        <f>IFERROR(__xludf.DUMMYFUNCTION("""COMPUTED_VALUE"""),44662.75331018518)</f>
        <v>44662.75331</v>
      </c>
      <c r="D1798" s="13">
        <f t="shared" si="1"/>
        <v>11</v>
      </c>
      <c r="E1798" s="13">
        <f t="shared" si="2"/>
        <v>18</v>
      </c>
    </row>
    <row r="1799">
      <c r="A1799" s="4" t="s">
        <v>2105</v>
      </c>
      <c r="B1799" s="16"/>
      <c r="C1799" s="12">
        <f>IFERROR(__xludf.DUMMYFUNCTION("""COMPUTED_VALUE"""),44662.753287037034)</f>
        <v>44662.75329</v>
      </c>
      <c r="D1799" s="13">
        <f t="shared" si="1"/>
        <v>11</v>
      </c>
      <c r="E1799" s="13">
        <f t="shared" si="2"/>
        <v>18</v>
      </c>
    </row>
    <row r="1800">
      <c r="A1800" s="4" t="s">
        <v>2106</v>
      </c>
      <c r="B1800" s="4" t="s">
        <v>2104</v>
      </c>
      <c r="C1800" s="12">
        <f>IFERROR(__xludf.DUMMYFUNCTION("""COMPUTED_VALUE"""),44662.75326388889)</f>
        <v>44662.75326</v>
      </c>
      <c r="D1800" s="13">
        <f t="shared" si="1"/>
        <v>11</v>
      </c>
      <c r="E1800" s="13">
        <f t="shared" si="2"/>
        <v>18</v>
      </c>
    </row>
    <row r="1801">
      <c r="A1801" s="4" t="s">
        <v>2107</v>
      </c>
      <c r="B1801" s="4" t="s">
        <v>2102</v>
      </c>
      <c r="C1801" s="12">
        <f>IFERROR(__xludf.DUMMYFUNCTION("""COMPUTED_VALUE"""),44662.75325231481)</f>
        <v>44662.75325</v>
      </c>
      <c r="D1801" s="13">
        <f t="shared" si="1"/>
        <v>11</v>
      </c>
      <c r="E1801" s="13">
        <f t="shared" si="2"/>
        <v>18</v>
      </c>
    </row>
    <row r="1802">
      <c r="A1802" s="4" t="s">
        <v>2108</v>
      </c>
      <c r="B1802" s="16"/>
      <c r="C1802" s="12">
        <f>IFERROR(__xludf.DUMMYFUNCTION("""COMPUTED_VALUE"""),44662.75319444444)</f>
        <v>44662.75319</v>
      </c>
      <c r="D1802" s="13">
        <f t="shared" si="1"/>
        <v>11</v>
      </c>
      <c r="E1802" s="13">
        <f t="shared" si="2"/>
        <v>18</v>
      </c>
    </row>
    <row r="1803">
      <c r="A1803" s="4" t="s">
        <v>2109</v>
      </c>
      <c r="B1803" s="16"/>
      <c r="C1803" s="12">
        <f>IFERROR(__xludf.DUMMYFUNCTION("""COMPUTED_VALUE"""),44662.753171296295)</f>
        <v>44662.75317</v>
      </c>
      <c r="D1803" s="13">
        <f t="shared" si="1"/>
        <v>11</v>
      </c>
      <c r="E1803" s="13">
        <f t="shared" si="2"/>
        <v>18</v>
      </c>
    </row>
    <row r="1804">
      <c r="A1804" s="4" t="s">
        <v>2110</v>
      </c>
      <c r="B1804" s="16"/>
      <c r="C1804" s="12">
        <f>IFERROR(__xludf.DUMMYFUNCTION("""COMPUTED_VALUE"""),44662.752870370365)</f>
        <v>44662.75287</v>
      </c>
      <c r="D1804" s="13">
        <f t="shared" si="1"/>
        <v>11</v>
      </c>
      <c r="E1804" s="13">
        <f t="shared" si="2"/>
        <v>18</v>
      </c>
    </row>
    <row r="1805">
      <c r="A1805" s="4" t="s">
        <v>2111</v>
      </c>
      <c r="B1805" s="4" t="s">
        <v>2112</v>
      </c>
      <c r="C1805" s="12">
        <f>IFERROR(__xludf.DUMMYFUNCTION("""COMPUTED_VALUE"""),44662.752557870364)</f>
        <v>44662.75256</v>
      </c>
      <c r="D1805" s="13">
        <f t="shared" si="1"/>
        <v>11</v>
      </c>
      <c r="E1805" s="13">
        <f t="shared" si="2"/>
        <v>18</v>
      </c>
    </row>
    <row r="1806">
      <c r="A1806" s="4" t="s">
        <v>2113</v>
      </c>
      <c r="B1806" s="4" t="s">
        <v>2112</v>
      </c>
      <c r="C1806" s="12">
        <f>IFERROR(__xludf.DUMMYFUNCTION("""COMPUTED_VALUE"""),44662.75210648148)</f>
        <v>44662.75211</v>
      </c>
      <c r="D1806" s="13">
        <f t="shared" si="1"/>
        <v>11</v>
      </c>
      <c r="E1806" s="13">
        <f t="shared" si="2"/>
        <v>18</v>
      </c>
    </row>
    <row r="1807">
      <c r="A1807" s="4" t="s">
        <v>2114</v>
      </c>
      <c r="B1807" s="16"/>
      <c r="C1807" s="12">
        <f>IFERROR(__xludf.DUMMYFUNCTION("""COMPUTED_VALUE"""),44662.7520949074)</f>
        <v>44662.75209</v>
      </c>
      <c r="D1807" s="13">
        <f t="shared" si="1"/>
        <v>11</v>
      </c>
      <c r="E1807" s="13">
        <f t="shared" si="2"/>
        <v>18</v>
      </c>
    </row>
    <row r="1808">
      <c r="A1808" s="4" t="s">
        <v>2115</v>
      </c>
      <c r="B1808" s="16"/>
      <c r="C1808" s="12">
        <f>IFERROR(__xludf.DUMMYFUNCTION("""COMPUTED_VALUE"""),44662.75189814815)</f>
        <v>44662.7519</v>
      </c>
      <c r="D1808" s="13">
        <f t="shared" si="1"/>
        <v>11</v>
      </c>
      <c r="E1808" s="13">
        <f t="shared" si="2"/>
        <v>18</v>
      </c>
    </row>
    <row r="1809">
      <c r="A1809" s="4" t="s">
        <v>2116</v>
      </c>
      <c r="B1809" s="4" t="s">
        <v>2117</v>
      </c>
      <c r="C1809" s="12">
        <f>IFERROR(__xludf.DUMMYFUNCTION("""COMPUTED_VALUE"""),44662.75185185185)</f>
        <v>44662.75185</v>
      </c>
      <c r="D1809" s="13">
        <f t="shared" si="1"/>
        <v>11</v>
      </c>
      <c r="E1809" s="13">
        <f t="shared" si="2"/>
        <v>18</v>
      </c>
    </row>
    <row r="1810">
      <c r="A1810" s="4" t="s">
        <v>2116</v>
      </c>
      <c r="B1810" s="4" t="s">
        <v>1683</v>
      </c>
      <c r="C1810" s="12">
        <f>IFERROR(__xludf.DUMMYFUNCTION("""COMPUTED_VALUE"""),44662.75185185185)</f>
        <v>44662.75185</v>
      </c>
      <c r="D1810" s="13">
        <f t="shared" si="1"/>
        <v>11</v>
      </c>
      <c r="E1810" s="13">
        <f t="shared" si="2"/>
        <v>18</v>
      </c>
    </row>
    <row r="1811">
      <c r="A1811" s="4" t="s">
        <v>2118</v>
      </c>
      <c r="B1811" s="4" t="s">
        <v>2117</v>
      </c>
      <c r="C1811" s="12">
        <f>IFERROR(__xludf.DUMMYFUNCTION("""COMPUTED_VALUE"""),44662.75179398148)</f>
        <v>44662.75179</v>
      </c>
      <c r="D1811" s="13">
        <f t="shared" si="1"/>
        <v>11</v>
      </c>
      <c r="E1811" s="13">
        <f t="shared" si="2"/>
        <v>18</v>
      </c>
    </row>
    <row r="1812">
      <c r="A1812" s="4" t="s">
        <v>2119</v>
      </c>
      <c r="B1812" s="16"/>
      <c r="C1812" s="12">
        <f>IFERROR(__xludf.DUMMYFUNCTION("""COMPUTED_VALUE"""),44662.75170138889)</f>
        <v>44662.7517</v>
      </c>
      <c r="D1812" s="13">
        <f t="shared" si="1"/>
        <v>11</v>
      </c>
      <c r="E1812" s="13">
        <f t="shared" si="2"/>
        <v>18</v>
      </c>
    </row>
    <row r="1813">
      <c r="A1813" s="4" t="s">
        <v>2120</v>
      </c>
      <c r="B1813" s="4" t="s">
        <v>2117</v>
      </c>
      <c r="C1813" s="12">
        <f>IFERROR(__xludf.DUMMYFUNCTION("""COMPUTED_VALUE"""),44662.75159722222)</f>
        <v>44662.7516</v>
      </c>
      <c r="D1813" s="13">
        <f t="shared" si="1"/>
        <v>11</v>
      </c>
      <c r="E1813" s="13">
        <f t="shared" si="2"/>
        <v>18</v>
      </c>
    </row>
    <row r="1814">
      <c r="A1814" s="4" t="s">
        <v>2121</v>
      </c>
      <c r="B1814" s="16"/>
      <c r="C1814" s="12">
        <f>IFERROR(__xludf.DUMMYFUNCTION("""COMPUTED_VALUE"""),44662.751550925925)</f>
        <v>44662.75155</v>
      </c>
      <c r="D1814" s="13">
        <f t="shared" si="1"/>
        <v>11</v>
      </c>
      <c r="E1814" s="13">
        <f t="shared" si="2"/>
        <v>18</v>
      </c>
    </row>
    <row r="1815">
      <c r="A1815" s="4" t="s">
        <v>2122</v>
      </c>
      <c r="B1815" s="4" t="s">
        <v>1683</v>
      </c>
      <c r="C1815" s="12">
        <f>IFERROR(__xludf.DUMMYFUNCTION("""COMPUTED_VALUE"""),44662.75148148148)</f>
        <v>44662.75148</v>
      </c>
      <c r="D1815" s="13">
        <f t="shared" si="1"/>
        <v>11</v>
      </c>
      <c r="E1815" s="13">
        <f t="shared" si="2"/>
        <v>18</v>
      </c>
    </row>
    <row r="1816">
      <c r="A1816" s="4" t="s">
        <v>2123</v>
      </c>
      <c r="B1816" s="4" t="s">
        <v>1278</v>
      </c>
      <c r="C1816" s="12">
        <f>IFERROR(__xludf.DUMMYFUNCTION("""COMPUTED_VALUE"""),44662.75141203703)</f>
        <v>44662.75141</v>
      </c>
      <c r="D1816" s="13">
        <f t="shared" si="1"/>
        <v>11</v>
      </c>
      <c r="E1816" s="13">
        <f t="shared" si="2"/>
        <v>18</v>
      </c>
    </row>
    <row r="1817">
      <c r="A1817" s="4" t="s">
        <v>2124</v>
      </c>
      <c r="B1817" s="4" t="s">
        <v>1683</v>
      </c>
      <c r="C1817" s="12">
        <f>IFERROR(__xludf.DUMMYFUNCTION("""COMPUTED_VALUE"""),44662.75135416666)</f>
        <v>44662.75135</v>
      </c>
      <c r="D1817" s="13">
        <f t="shared" si="1"/>
        <v>11</v>
      </c>
      <c r="E1817" s="13">
        <f t="shared" si="2"/>
        <v>18</v>
      </c>
    </row>
    <row r="1818">
      <c r="A1818" s="4" t="s">
        <v>2125</v>
      </c>
      <c r="B1818" s="4" t="s">
        <v>1278</v>
      </c>
      <c r="C1818" s="12">
        <f>IFERROR(__xludf.DUMMYFUNCTION("""COMPUTED_VALUE"""),44662.75133101852)</f>
        <v>44662.75133</v>
      </c>
      <c r="D1818" s="13">
        <f t="shared" si="1"/>
        <v>11</v>
      </c>
      <c r="E1818" s="13">
        <f t="shared" si="2"/>
        <v>18</v>
      </c>
    </row>
    <row r="1819">
      <c r="A1819" s="4" t="s">
        <v>2126</v>
      </c>
      <c r="B1819" s="4" t="s">
        <v>1683</v>
      </c>
      <c r="C1819" s="12">
        <f>IFERROR(__xludf.DUMMYFUNCTION("""COMPUTED_VALUE"""),44662.75128472222)</f>
        <v>44662.75128</v>
      </c>
      <c r="D1819" s="13">
        <f t="shared" si="1"/>
        <v>11</v>
      </c>
      <c r="E1819" s="13">
        <f t="shared" si="2"/>
        <v>18</v>
      </c>
    </row>
    <row r="1820">
      <c r="A1820" s="4" t="s">
        <v>2127</v>
      </c>
      <c r="B1820" s="4" t="s">
        <v>1683</v>
      </c>
      <c r="C1820" s="12">
        <f>IFERROR(__xludf.DUMMYFUNCTION("""COMPUTED_VALUE"""),44662.75109953703)</f>
        <v>44662.7511</v>
      </c>
      <c r="D1820" s="13">
        <f t="shared" si="1"/>
        <v>11</v>
      </c>
      <c r="E1820" s="13">
        <f t="shared" si="2"/>
        <v>18</v>
      </c>
    </row>
    <row r="1821">
      <c r="A1821" s="4" t="s">
        <v>2128</v>
      </c>
      <c r="B1821" s="4" t="s">
        <v>2129</v>
      </c>
      <c r="C1821" s="12">
        <f>IFERROR(__xludf.DUMMYFUNCTION("""COMPUTED_VALUE"""),44662.750925925924)</f>
        <v>44662.75093</v>
      </c>
      <c r="D1821" s="13">
        <f t="shared" si="1"/>
        <v>11</v>
      </c>
      <c r="E1821" s="13">
        <f t="shared" si="2"/>
        <v>18</v>
      </c>
    </row>
    <row r="1822">
      <c r="A1822" s="4" t="s">
        <v>2130</v>
      </c>
      <c r="B1822" s="16"/>
      <c r="C1822" s="12">
        <f>IFERROR(__xludf.DUMMYFUNCTION("""COMPUTED_VALUE"""),44662.750763888886)</f>
        <v>44662.75076</v>
      </c>
      <c r="D1822" s="13">
        <f t="shared" si="1"/>
        <v>11</v>
      </c>
      <c r="E1822" s="13">
        <f t="shared" si="2"/>
        <v>18</v>
      </c>
    </row>
    <row r="1823">
      <c r="A1823" s="4" t="s">
        <v>2131</v>
      </c>
      <c r="B1823" s="4" t="s">
        <v>1219</v>
      </c>
      <c r="C1823" s="12">
        <f>IFERROR(__xludf.DUMMYFUNCTION("""COMPUTED_VALUE"""),44662.75064814815)</f>
        <v>44662.75065</v>
      </c>
      <c r="D1823" s="13">
        <f t="shared" si="1"/>
        <v>11</v>
      </c>
      <c r="E1823" s="13">
        <f t="shared" si="2"/>
        <v>18</v>
      </c>
    </row>
    <row r="1824">
      <c r="A1824" s="4" t="s">
        <v>2132</v>
      </c>
      <c r="B1824" s="4" t="s">
        <v>2129</v>
      </c>
      <c r="C1824" s="12">
        <f>IFERROR(__xludf.DUMMYFUNCTION("""COMPUTED_VALUE"""),44662.750613425924)</f>
        <v>44662.75061</v>
      </c>
      <c r="D1824" s="13">
        <f t="shared" si="1"/>
        <v>11</v>
      </c>
      <c r="E1824" s="13">
        <f t="shared" si="2"/>
        <v>18</v>
      </c>
    </row>
    <row r="1825">
      <c r="A1825" s="4" t="s">
        <v>2133</v>
      </c>
      <c r="B1825" s="4" t="s">
        <v>1219</v>
      </c>
      <c r="C1825" s="12">
        <f>IFERROR(__xludf.DUMMYFUNCTION("""COMPUTED_VALUE"""),44662.75054398148)</f>
        <v>44662.75054</v>
      </c>
      <c r="D1825" s="13">
        <f t="shared" si="1"/>
        <v>11</v>
      </c>
      <c r="E1825" s="13">
        <f t="shared" si="2"/>
        <v>18</v>
      </c>
    </row>
    <row r="1826">
      <c r="A1826" s="4" t="s">
        <v>2134</v>
      </c>
      <c r="B1826" s="16"/>
      <c r="C1826" s="12">
        <f>IFERROR(__xludf.DUMMYFUNCTION("""COMPUTED_VALUE"""),44662.75052083333)</f>
        <v>44662.75052</v>
      </c>
      <c r="D1826" s="13">
        <f t="shared" si="1"/>
        <v>11</v>
      </c>
      <c r="E1826" s="13">
        <f t="shared" si="2"/>
        <v>18</v>
      </c>
    </row>
    <row r="1827">
      <c r="A1827" s="4" t="s">
        <v>2135</v>
      </c>
      <c r="B1827" s="16"/>
      <c r="C1827" s="12">
        <f>IFERROR(__xludf.DUMMYFUNCTION("""COMPUTED_VALUE"""),44662.750509259255)</f>
        <v>44662.75051</v>
      </c>
      <c r="D1827" s="13">
        <f t="shared" si="1"/>
        <v>11</v>
      </c>
      <c r="E1827" s="13">
        <f t="shared" si="2"/>
        <v>18</v>
      </c>
    </row>
    <row r="1828">
      <c r="A1828" s="4" t="s">
        <v>2136</v>
      </c>
      <c r="B1828" s="16"/>
      <c r="C1828" s="12">
        <f>IFERROR(__xludf.DUMMYFUNCTION("""COMPUTED_VALUE"""),44662.75047453703)</f>
        <v>44662.75047</v>
      </c>
      <c r="D1828" s="13">
        <f t="shared" si="1"/>
        <v>11</v>
      </c>
      <c r="E1828" s="13">
        <f t="shared" si="2"/>
        <v>18</v>
      </c>
    </row>
    <row r="1829">
      <c r="A1829" s="4" t="s">
        <v>2137</v>
      </c>
      <c r="B1829" s="4" t="s">
        <v>1219</v>
      </c>
      <c r="C1829" s="12">
        <f>IFERROR(__xludf.DUMMYFUNCTION("""COMPUTED_VALUE"""),44662.75011574074)</f>
        <v>44662.75012</v>
      </c>
      <c r="D1829" s="13">
        <f t="shared" si="1"/>
        <v>11</v>
      </c>
      <c r="E1829" s="13">
        <f t="shared" si="2"/>
        <v>18</v>
      </c>
    </row>
    <row r="1830">
      <c r="A1830" s="4" t="s">
        <v>2137</v>
      </c>
      <c r="B1830" s="4" t="s">
        <v>2085</v>
      </c>
      <c r="C1830" s="12">
        <f>IFERROR(__xludf.DUMMYFUNCTION("""COMPUTED_VALUE"""),44662.75011574074)</f>
        <v>44662.75012</v>
      </c>
      <c r="D1830" s="13">
        <f t="shared" si="1"/>
        <v>11</v>
      </c>
      <c r="E1830" s="13">
        <f t="shared" si="2"/>
        <v>18</v>
      </c>
    </row>
    <row r="1831">
      <c r="A1831" s="4" t="s">
        <v>2138</v>
      </c>
      <c r="B1831" s="4" t="s">
        <v>829</v>
      </c>
      <c r="C1831" s="12">
        <f>IFERROR(__xludf.DUMMYFUNCTION("""COMPUTED_VALUE"""),44662.75001157407)</f>
        <v>44662.75001</v>
      </c>
      <c r="D1831" s="13">
        <f t="shared" si="1"/>
        <v>11</v>
      </c>
      <c r="E1831" s="13">
        <f t="shared" si="2"/>
        <v>18</v>
      </c>
    </row>
    <row r="1832">
      <c r="A1832" s="4" t="s">
        <v>2139</v>
      </c>
      <c r="B1832" s="4" t="s">
        <v>829</v>
      </c>
      <c r="C1832" s="12">
        <f>IFERROR(__xludf.DUMMYFUNCTION("""COMPUTED_VALUE"""),44662.749444444446)</f>
        <v>44662.74944</v>
      </c>
      <c r="D1832" s="13">
        <f t="shared" si="1"/>
        <v>11</v>
      </c>
      <c r="E1832" s="13">
        <f t="shared" si="2"/>
        <v>17</v>
      </c>
    </row>
    <row r="1833">
      <c r="A1833" s="4" t="s">
        <v>2140</v>
      </c>
      <c r="B1833" s="4" t="s">
        <v>806</v>
      </c>
      <c r="C1833" s="12">
        <f>IFERROR(__xludf.DUMMYFUNCTION("""COMPUTED_VALUE"""),44662.74938657407)</f>
        <v>44662.74939</v>
      </c>
      <c r="D1833" s="13">
        <f t="shared" si="1"/>
        <v>11</v>
      </c>
      <c r="E1833" s="13">
        <f t="shared" si="2"/>
        <v>17</v>
      </c>
    </row>
    <row r="1834">
      <c r="A1834" s="4" t="s">
        <v>2141</v>
      </c>
      <c r="B1834" s="16"/>
      <c r="C1834" s="12">
        <f>IFERROR(__xludf.DUMMYFUNCTION("""COMPUTED_VALUE"""),44662.749340277776)</f>
        <v>44662.74934</v>
      </c>
      <c r="D1834" s="13">
        <f t="shared" si="1"/>
        <v>11</v>
      </c>
      <c r="E1834" s="13">
        <f t="shared" si="2"/>
        <v>17</v>
      </c>
    </row>
    <row r="1835">
      <c r="A1835" s="4" t="s">
        <v>2142</v>
      </c>
      <c r="B1835" s="4" t="s">
        <v>806</v>
      </c>
      <c r="C1835" s="12">
        <f>IFERROR(__xludf.DUMMYFUNCTION("""COMPUTED_VALUE"""),44662.74931712963)</f>
        <v>44662.74932</v>
      </c>
      <c r="D1835" s="13">
        <f t="shared" si="1"/>
        <v>11</v>
      </c>
      <c r="E1835" s="13">
        <f t="shared" si="2"/>
        <v>17</v>
      </c>
    </row>
    <row r="1836">
      <c r="A1836" s="4" t="s">
        <v>2143</v>
      </c>
      <c r="B1836" s="4" t="s">
        <v>829</v>
      </c>
      <c r="C1836" s="12">
        <f>IFERROR(__xludf.DUMMYFUNCTION("""COMPUTED_VALUE"""),44662.74928240741)</f>
        <v>44662.74928</v>
      </c>
      <c r="D1836" s="13">
        <f t="shared" si="1"/>
        <v>11</v>
      </c>
      <c r="E1836" s="13">
        <f t="shared" si="2"/>
        <v>17</v>
      </c>
    </row>
    <row r="1837">
      <c r="A1837" s="4" t="s">
        <v>2144</v>
      </c>
      <c r="B1837" s="4" t="s">
        <v>2145</v>
      </c>
      <c r="C1837" s="12">
        <f>IFERROR(__xludf.DUMMYFUNCTION("""COMPUTED_VALUE"""),44662.74921296296)</f>
        <v>44662.74921</v>
      </c>
      <c r="D1837" s="13">
        <f t="shared" si="1"/>
        <v>11</v>
      </c>
      <c r="E1837" s="13">
        <f t="shared" si="2"/>
        <v>17</v>
      </c>
    </row>
    <row r="1838">
      <c r="A1838" s="4" t="s">
        <v>2146</v>
      </c>
      <c r="B1838" s="16"/>
      <c r="C1838" s="12">
        <f>IFERROR(__xludf.DUMMYFUNCTION("""COMPUTED_VALUE"""),44662.74884259259)</f>
        <v>44662.74884</v>
      </c>
      <c r="D1838" s="13">
        <f t="shared" si="1"/>
        <v>11</v>
      </c>
      <c r="E1838" s="13">
        <f t="shared" si="2"/>
        <v>17</v>
      </c>
    </row>
    <row r="1839">
      <c r="A1839" s="4" t="s">
        <v>2147</v>
      </c>
      <c r="B1839" s="16"/>
      <c r="C1839" s="12">
        <f>IFERROR(__xludf.DUMMYFUNCTION("""COMPUTED_VALUE"""),44662.748252314814)</f>
        <v>44662.74825</v>
      </c>
      <c r="D1839" s="13">
        <f t="shared" si="1"/>
        <v>11</v>
      </c>
      <c r="E1839" s="13">
        <f t="shared" si="2"/>
        <v>17</v>
      </c>
    </row>
    <row r="1840">
      <c r="A1840" s="4" t="s">
        <v>2148</v>
      </c>
      <c r="B1840" s="16"/>
      <c r="C1840" s="12">
        <f>IFERROR(__xludf.DUMMYFUNCTION("""COMPUTED_VALUE"""),44662.74822916667)</f>
        <v>44662.74823</v>
      </c>
      <c r="D1840" s="13">
        <f t="shared" si="1"/>
        <v>11</v>
      </c>
      <c r="E1840" s="13">
        <f t="shared" si="2"/>
        <v>17</v>
      </c>
    </row>
    <row r="1841">
      <c r="A1841" s="4" t="s">
        <v>2149</v>
      </c>
      <c r="B1841" s="16"/>
      <c r="C1841" s="12">
        <f>IFERROR(__xludf.DUMMYFUNCTION("""COMPUTED_VALUE"""),44662.74796296296)</f>
        <v>44662.74796</v>
      </c>
      <c r="D1841" s="13">
        <f t="shared" si="1"/>
        <v>11</v>
      </c>
      <c r="E1841" s="13">
        <f t="shared" si="2"/>
        <v>17</v>
      </c>
    </row>
    <row r="1842">
      <c r="A1842" s="4" t="s">
        <v>2150</v>
      </c>
      <c r="B1842" s="4" t="s">
        <v>854</v>
      </c>
      <c r="C1842" s="12">
        <f>IFERROR(__xludf.DUMMYFUNCTION("""COMPUTED_VALUE"""),44662.7478125)</f>
        <v>44662.74781</v>
      </c>
      <c r="D1842" s="13">
        <f t="shared" si="1"/>
        <v>11</v>
      </c>
      <c r="E1842" s="13">
        <f t="shared" si="2"/>
        <v>17</v>
      </c>
    </row>
    <row r="1843">
      <c r="A1843" s="4" t="s">
        <v>2151</v>
      </c>
      <c r="B1843" s="16"/>
      <c r="C1843" s="12">
        <f>IFERROR(__xludf.DUMMYFUNCTION("""COMPUTED_VALUE"""),44662.74775462963)</f>
        <v>44662.74775</v>
      </c>
      <c r="D1843" s="13">
        <f t="shared" si="1"/>
        <v>11</v>
      </c>
      <c r="E1843" s="13">
        <f t="shared" si="2"/>
        <v>17</v>
      </c>
    </row>
    <row r="1844">
      <c r="A1844" s="4" t="s">
        <v>2152</v>
      </c>
      <c r="B1844" s="4" t="s">
        <v>1455</v>
      </c>
      <c r="C1844" s="12">
        <f>IFERROR(__xludf.DUMMYFUNCTION("""COMPUTED_VALUE"""),44662.7475)</f>
        <v>44662.7475</v>
      </c>
      <c r="D1844" s="13">
        <f t="shared" si="1"/>
        <v>11</v>
      </c>
      <c r="E1844" s="13">
        <f t="shared" si="2"/>
        <v>17</v>
      </c>
    </row>
    <row r="1845">
      <c r="A1845" s="4" t="s">
        <v>2153</v>
      </c>
      <c r="B1845" s="4" t="s">
        <v>1455</v>
      </c>
      <c r="C1845" s="12">
        <f>IFERROR(__xludf.DUMMYFUNCTION("""COMPUTED_VALUE"""),44662.7474537037)</f>
        <v>44662.74745</v>
      </c>
      <c r="D1845" s="13">
        <f t="shared" si="1"/>
        <v>11</v>
      </c>
      <c r="E1845" s="13">
        <f t="shared" si="2"/>
        <v>17</v>
      </c>
    </row>
    <row r="1846">
      <c r="A1846" s="4" t="s">
        <v>2154</v>
      </c>
      <c r="B1846" s="16"/>
      <c r="C1846" s="12">
        <f>IFERROR(__xludf.DUMMYFUNCTION("""COMPUTED_VALUE"""),44662.7472337963)</f>
        <v>44662.74723</v>
      </c>
      <c r="D1846" s="13">
        <f t="shared" si="1"/>
        <v>11</v>
      </c>
      <c r="E1846" s="13">
        <f t="shared" si="2"/>
        <v>17</v>
      </c>
    </row>
    <row r="1847">
      <c r="A1847" s="4" t="s">
        <v>2155</v>
      </c>
      <c r="B1847" s="16"/>
      <c r="C1847" s="12">
        <f>IFERROR(__xludf.DUMMYFUNCTION("""COMPUTED_VALUE"""),44662.74648148148)</f>
        <v>44662.74648</v>
      </c>
      <c r="D1847" s="13">
        <f t="shared" si="1"/>
        <v>11</v>
      </c>
      <c r="E1847" s="13">
        <f t="shared" si="2"/>
        <v>17</v>
      </c>
    </row>
    <row r="1848">
      <c r="A1848" s="4" t="s">
        <v>2156</v>
      </c>
      <c r="B1848" s="16"/>
      <c r="C1848" s="12">
        <f>IFERROR(__xludf.DUMMYFUNCTION("""COMPUTED_VALUE"""),44662.74645833333)</f>
        <v>44662.74646</v>
      </c>
      <c r="D1848" s="13">
        <f t="shared" si="1"/>
        <v>11</v>
      </c>
      <c r="E1848" s="13">
        <f t="shared" si="2"/>
        <v>17</v>
      </c>
    </row>
    <row r="1849">
      <c r="A1849" s="4" t="s">
        <v>2157</v>
      </c>
      <c r="B1849" s="16"/>
      <c r="C1849" s="12">
        <f>IFERROR(__xludf.DUMMYFUNCTION("""COMPUTED_VALUE"""),44662.74643518518)</f>
        <v>44662.74644</v>
      </c>
      <c r="D1849" s="13">
        <f t="shared" si="1"/>
        <v>11</v>
      </c>
      <c r="E1849" s="13">
        <f t="shared" si="2"/>
        <v>17</v>
      </c>
    </row>
    <row r="1850">
      <c r="A1850" s="4" t="s">
        <v>2158</v>
      </c>
      <c r="B1850" s="16"/>
      <c r="C1850" s="12">
        <f>IFERROR(__xludf.DUMMYFUNCTION("""COMPUTED_VALUE"""),44662.74638888889)</f>
        <v>44662.74639</v>
      </c>
      <c r="D1850" s="13">
        <f t="shared" si="1"/>
        <v>11</v>
      </c>
      <c r="E1850" s="13">
        <f t="shared" si="2"/>
        <v>17</v>
      </c>
    </row>
    <row r="1851">
      <c r="A1851" s="4" t="s">
        <v>2159</v>
      </c>
      <c r="B1851" s="16"/>
      <c r="C1851" s="12">
        <f>IFERROR(__xludf.DUMMYFUNCTION("""COMPUTED_VALUE"""),44662.74634259259)</f>
        <v>44662.74634</v>
      </c>
      <c r="D1851" s="13">
        <f t="shared" si="1"/>
        <v>11</v>
      </c>
      <c r="E1851" s="13">
        <f t="shared" si="2"/>
        <v>17</v>
      </c>
    </row>
    <row r="1852">
      <c r="A1852" s="4" t="s">
        <v>2160</v>
      </c>
      <c r="B1852" s="16"/>
      <c r="C1852" s="12">
        <f>IFERROR(__xludf.DUMMYFUNCTION("""COMPUTED_VALUE"""),44662.74631944444)</f>
        <v>44662.74632</v>
      </c>
      <c r="D1852" s="13">
        <f t="shared" si="1"/>
        <v>11</v>
      </c>
      <c r="E1852" s="13">
        <f t="shared" si="2"/>
        <v>17</v>
      </c>
    </row>
    <row r="1853">
      <c r="A1853" s="4" t="s">
        <v>2161</v>
      </c>
      <c r="B1853" s="16"/>
      <c r="C1853" s="12">
        <f>IFERROR(__xludf.DUMMYFUNCTION("""COMPUTED_VALUE"""),44662.746296296296)</f>
        <v>44662.7463</v>
      </c>
      <c r="D1853" s="13">
        <f t="shared" si="1"/>
        <v>11</v>
      </c>
      <c r="E1853" s="13">
        <f t="shared" si="2"/>
        <v>17</v>
      </c>
    </row>
    <row r="1854">
      <c r="A1854" s="4" t="s">
        <v>2162</v>
      </c>
      <c r="B1854" s="16"/>
      <c r="C1854" s="12">
        <f>IFERROR(__xludf.DUMMYFUNCTION("""COMPUTED_VALUE"""),44662.74626157407)</f>
        <v>44662.74626</v>
      </c>
      <c r="D1854" s="13">
        <f t="shared" si="1"/>
        <v>11</v>
      </c>
      <c r="E1854" s="13">
        <f t="shared" si="2"/>
        <v>17</v>
      </c>
    </row>
    <row r="1855">
      <c r="A1855" s="4" t="s">
        <v>2163</v>
      </c>
      <c r="B1855" s="16"/>
      <c r="C1855" s="12">
        <f>IFERROR(__xludf.DUMMYFUNCTION("""COMPUTED_VALUE"""),44662.746203703704)</f>
        <v>44662.7462</v>
      </c>
      <c r="D1855" s="13">
        <f t="shared" si="1"/>
        <v>11</v>
      </c>
      <c r="E1855" s="13">
        <f t="shared" si="2"/>
        <v>17</v>
      </c>
    </row>
    <row r="1856">
      <c r="A1856" s="4" t="s">
        <v>2164</v>
      </c>
      <c r="B1856" s="16"/>
      <c r="C1856" s="12">
        <f>IFERROR(__xludf.DUMMYFUNCTION("""COMPUTED_VALUE"""),44662.74614583333)</f>
        <v>44662.74615</v>
      </c>
      <c r="D1856" s="13">
        <f t="shared" si="1"/>
        <v>11</v>
      </c>
      <c r="E1856" s="13">
        <f t="shared" si="2"/>
        <v>17</v>
      </c>
    </row>
    <row r="1857">
      <c r="A1857" s="4" t="s">
        <v>2165</v>
      </c>
      <c r="B1857" s="4" t="s">
        <v>2166</v>
      </c>
      <c r="C1857" s="12">
        <f>IFERROR(__xludf.DUMMYFUNCTION("""COMPUTED_VALUE"""),44662.74608796296)</f>
        <v>44662.74609</v>
      </c>
      <c r="D1857" s="13">
        <f t="shared" si="1"/>
        <v>11</v>
      </c>
      <c r="E1857" s="13">
        <f t="shared" si="2"/>
        <v>17</v>
      </c>
    </row>
    <row r="1858">
      <c r="A1858" s="4" t="s">
        <v>2167</v>
      </c>
      <c r="B1858" s="4" t="s">
        <v>2166</v>
      </c>
      <c r="C1858" s="12">
        <f>IFERROR(__xludf.DUMMYFUNCTION("""COMPUTED_VALUE"""),44662.746041666665)</f>
        <v>44662.74604</v>
      </c>
      <c r="D1858" s="13">
        <f t="shared" si="1"/>
        <v>11</v>
      </c>
      <c r="E1858" s="13">
        <f t="shared" si="2"/>
        <v>17</v>
      </c>
    </row>
    <row r="1859">
      <c r="A1859" s="4" t="s">
        <v>2168</v>
      </c>
      <c r="B1859" s="4" t="s">
        <v>1688</v>
      </c>
      <c r="C1859" s="12">
        <f>IFERROR(__xludf.DUMMYFUNCTION("""COMPUTED_VALUE"""),44662.74577546296)</f>
        <v>44662.74578</v>
      </c>
      <c r="D1859" s="13">
        <f t="shared" si="1"/>
        <v>11</v>
      </c>
      <c r="E1859" s="13">
        <f t="shared" si="2"/>
        <v>17</v>
      </c>
    </row>
    <row r="1860">
      <c r="A1860" s="4" t="s">
        <v>2169</v>
      </c>
      <c r="B1860" s="4" t="s">
        <v>240</v>
      </c>
      <c r="C1860" s="12">
        <f>IFERROR(__xludf.DUMMYFUNCTION("""COMPUTED_VALUE"""),44662.74506944444)</f>
        <v>44662.74507</v>
      </c>
      <c r="D1860" s="13">
        <f t="shared" si="1"/>
        <v>11</v>
      </c>
      <c r="E1860" s="13">
        <f t="shared" si="2"/>
        <v>17</v>
      </c>
    </row>
    <row r="1861">
      <c r="A1861" s="4" t="s">
        <v>2170</v>
      </c>
      <c r="B1861" s="4" t="s">
        <v>240</v>
      </c>
      <c r="C1861" s="12">
        <f>IFERROR(__xludf.DUMMYFUNCTION("""COMPUTED_VALUE"""),44662.745046296295)</f>
        <v>44662.74505</v>
      </c>
      <c r="D1861" s="13">
        <f t="shared" si="1"/>
        <v>11</v>
      </c>
      <c r="E1861" s="13">
        <f t="shared" si="2"/>
        <v>17</v>
      </c>
    </row>
    <row r="1862">
      <c r="A1862" s="4" t="s">
        <v>2171</v>
      </c>
      <c r="B1862" s="4" t="s">
        <v>240</v>
      </c>
      <c r="C1862" s="12">
        <f>IFERROR(__xludf.DUMMYFUNCTION("""COMPUTED_VALUE"""),44662.74503472222)</f>
        <v>44662.74503</v>
      </c>
      <c r="D1862" s="13">
        <f t="shared" si="1"/>
        <v>11</v>
      </c>
      <c r="E1862" s="13">
        <f t="shared" si="2"/>
        <v>17</v>
      </c>
    </row>
    <row r="1863">
      <c r="A1863" s="4" t="s">
        <v>2172</v>
      </c>
      <c r="B1863" s="4" t="s">
        <v>240</v>
      </c>
      <c r="C1863" s="12">
        <f>IFERROR(__xludf.DUMMYFUNCTION("""COMPUTED_VALUE"""),44662.74501157407)</f>
        <v>44662.74501</v>
      </c>
      <c r="D1863" s="13">
        <f t="shared" si="1"/>
        <v>11</v>
      </c>
      <c r="E1863" s="13">
        <f t="shared" si="2"/>
        <v>17</v>
      </c>
    </row>
    <row r="1864">
      <c r="A1864" s="4" t="s">
        <v>2173</v>
      </c>
      <c r="B1864" s="4" t="s">
        <v>240</v>
      </c>
      <c r="C1864" s="12">
        <f>IFERROR(__xludf.DUMMYFUNCTION("""COMPUTED_VALUE"""),44662.74497685185)</f>
        <v>44662.74498</v>
      </c>
      <c r="D1864" s="13">
        <f t="shared" si="1"/>
        <v>11</v>
      </c>
      <c r="E1864" s="13">
        <f t="shared" si="2"/>
        <v>17</v>
      </c>
    </row>
    <row r="1865">
      <c r="A1865" s="4" t="s">
        <v>2174</v>
      </c>
      <c r="B1865" s="4" t="s">
        <v>240</v>
      </c>
      <c r="C1865" s="12">
        <f>IFERROR(__xludf.DUMMYFUNCTION("""COMPUTED_VALUE"""),44662.7449537037)</f>
        <v>44662.74495</v>
      </c>
      <c r="D1865" s="13">
        <f t="shared" si="1"/>
        <v>11</v>
      </c>
      <c r="E1865" s="13">
        <f t="shared" si="2"/>
        <v>17</v>
      </c>
    </row>
    <row r="1866">
      <c r="A1866" s="4" t="s">
        <v>2175</v>
      </c>
      <c r="B1866" s="16"/>
      <c r="C1866" s="12">
        <f>IFERROR(__xludf.DUMMYFUNCTION("""COMPUTED_VALUE"""),44662.74423611111)</f>
        <v>44662.74424</v>
      </c>
      <c r="D1866" s="13">
        <f t="shared" si="1"/>
        <v>11</v>
      </c>
      <c r="E1866" s="13">
        <f t="shared" si="2"/>
        <v>17</v>
      </c>
    </row>
    <row r="1867">
      <c r="A1867" s="4" t="s">
        <v>2175</v>
      </c>
      <c r="B1867" s="4" t="s">
        <v>854</v>
      </c>
      <c r="C1867" s="12">
        <f>IFERROR(__xludf.DUMMYFUNCTION("""COMPUTED_VALUE"""),44662.74423611111)</f>
        <v>44662.74424</v>
      </c>
      <c r="D1867" s="13">
        <f t="shared" si="1"/>
        <v>11</v>
      </c>
      <c r="E1867" s="13">
        <f t="shared" si="2"/>
        <v>17</v>
      </c>
    </row>
    <row r="1868">
      <c r="A1868" s="4" t="s">
        <v>2176</v>
      </c>
      <c r="B1868" s="16"/>
      <c r="C1868" s="12">
        <f>IFERROR(__xludf.DUMMYFUNCTION("""COMPUTED_VALUE"""),44662.74415509259)</f>
        <v>44662.74416</v>
      </c>
      <c r="D1868" s="13">
        <f t="shared" si="1"/>
        <v>11</v>
      </c>
      <c r="E1868" s="13">
        <f t="shared" si="2"/>
        <v>17</v>
      </c>
    </row>
    <row r="1869">
      <c r="A1869" s="4" t="s">
        <v>2177</v>
      </c>
      <c r="B1869" s="4" t="s">
        <v>2178</v>
      </c>
      <c r="C1869" s="12">
        <f>IFERROR(__xludf.DUMMYFUNCTION("""COMPUTED_VALUE"""),44662.74371527778)</f>
        <v>44662.74372</v>
      </c>
      <c r="D1869" s="13">
        <f t="shared" si="1"/>
        <v>11</v>
      </c>
      <c r="E1869" s="13">
        <f t="shared" si="2"/>
        <v>17</v>
      </c>
    </row>
    <row r="1870">
      <c r="A1870" s="4" t="s">
        <v>2179</v>
      </c>
      <c r="B1870" s="16"/>
      <c r="C1870" s="12">
        <f>IFERROR(__xludf.DUMMYFUNCTION("""COMPUTED_VALUE"""),44662.743634259255)</f>
        <v>44662.74363</v>
      </c>
      <c r="D1870" s="13">
        <f t="shared" si="1"/>
        <v>11</v>
      </c>
      <c r="E1870" s="13">
        <f t="shared" si="2"/>
        <v>17</v>
      </c>
    </row>
    <row r="1871">
      <c r="A1871" s="4" t="s">
        <v>2180</v>
      </c>
      <c r="B1871" s="4" t="s">
        <v>1278</v>
      </c>
      <c r="C1871" s="12">
        <f>IFERROR(__xludf.DUMMYFUNCTION("""COMPUTED_VALUE"""),44662.74310185185)</f>
        <v>44662.7431</v>
      </c>
      <c r="D1871" s="13">
        <f t="shared" si="1"/>
        <v>11</v>
      </c>
      <c r="E1871" s="13">
        <f t="shared" si="2"/>
        <v>17</v>
      </c>
    </row>
    <row r="1872">
      <c r="A1872" s="4" t="s">
        <v>2181</v>
      </c>
      <c r="B1872" s="16"/>
      <c r="C1872" s="12">
        <f>IFERROR(__xludf.DUMMYFUNCTION("""COMPUTED_VALUE"""),44662.743055555555)</f>
        <v>44662.74306</v>
      </c>
      <c r="D1872" s="13">
        <f t="shared" si="1"/>
        <v>11</v>
      </c>
      <c r="E1872" s="13">
        <f t="shared" si="2"/>
        <v>17</v>
      </c>
    </row>
    <row r="1873">
      <c r="A1873" s="4" t="s">
        <v>2181</v>
      </c>
      <c r="B1873" s="4" t="s">
        <v>1278</v>
      </c>
      <c r="C1873" s="12">
        <f>IFERROR(__xludf.DUMMYFUNCTION("""COMPUTED_VALUE"""),44662.743055555555)</f>
        <v>44662.74306</v>
      </c>
      <c r="D1873" s="13">
        <f t="shared" si="1"/>
        <v>11</v>
      </c>
      <c r="E1873" s="13">
        <f t="shared" si="2"/>
        <v>17</v>
      </c>
    </row>
    <row r="1874">
      <c r="A1874" s="4" t="s">
        <v>2182</v>
      </c>
      <c r="B1874" s="4" t="s">
        <v>1278</v>
      </c>
      <c r="C1874" s="12">
        <f>IFERROR(__xludf.DUMMYFUNCTION("""COMPUTED_VALUE"""),44662.74277777778)</f>
        <v>44662.74278</v>
      </c>
      <c r="D1874" s="13">
        <f t="shared" si="1"/>
        <v>11</v>
      </c>
      <c r="E1874" s="13">
        <f t="shared" si="2"/>
        <v>17</v>
      </c>
    </row>
    <row r="1875">
      <c r="A1875" s="4" t="s">
        <v>2183</v>
      </c>
      <c r="B1875" s="16"/>
      <c r="C1875" s="12">
        <f>IFERROR(__xludf.DUMMYFUNCTION("""COMPUTED_VALUE"""),44662.74233796296)</f>
        <v>44662.74234</v>
      </c>
      <c r="D1875" s="13">
        <f t="shared" si="1"/>
        <v>11</v>
      </c>
      <c r="E1875" s="13">
        <f t="shared" si="2"/>
        <v>17</v>
      </c>
    </row>
    <row r="1876">
      <c r="A1876" s="4" t="s">
        <v>2184</v>
      </c>
      <c r="B1876" s="4" t="s">
        <v>1992</v>
      </c>
      <c r="C1876" s="12">
        <f>IFERROR(__xludf.DUMMYFUNCTION("""COMPUTED_VALUE"""),44662.74203703704)</f>
        <v>44662.74204</v>
      </c>
      <c r="D1876" s="13">
        <f t="shared" si="1"/>
        <v>11</v>
      </c>
      <c r="E1876" s="13">
        <f t="shared" si="2"/>
        <v>17</v>
      </c>
    </row>
    <row r="1877">
      <c r="A1877" s="4" t="s">
        <v>2185</v>
      </c>
      <c r="B1877" s="4" t="s">
        <v>1910</v>
      </c>
      <c r="C1877" s="12">
        <f>IFERROR(__xludf.DUMMYFUNCTION("""COMPUTED_VALUE"""),44662.74115740741)</f>
        <v>44662.74116</v>
      </c>
      <c r="D1877" s="13">
        <f t="shared" si="1"/>
        <v>11</v>
      </c>
      <c r="E1877" s="13">
        <f t="shared" si="2"/>
        <v>17</v>
      </c>
    </row>
    <row r="1878">
      <c r="A1878" s="4" t="s">
        <v>2186</v>
      </c>
      <c r="B1878" s="4" t="s">
        <v>240</v>
      </c>
      <c r="C1878" s="12">
        <f>IFERROR(__xludf.DUMMYFUNCTION("""COMPUTED_VALUE"""),44662.74049768518)</f>
        <v>44662.7405</v>
      </c>
      <c r="D1878" s="13">
        <f t="shared" si="1"/>
        <v>11</v>
      </c>
      <c r="E1878" s="13">
        <f t="shared" si="2"/>
        <v>17</v>
      </c>
    </row>
    <row r="1879">
      <c r="A1879" s="4" t="s">
        <v>2187</v>
      </c>
      <c r="B1879" s="16"/>
      <c r="C1879" s="12">
        <f>IFERROR(__xludf.DUMMYFUNCTION("""COMPUTED_VALUE"""),44662.74047453704)</f>
        <v>44662.74047</v>
      </c>
      <c r="D1879" s="13">
        <f t="shared" si="1"/>
        <v>11</v>
      </c>
      <c r="E1879" s="13">
        <f t="shared" si="2"/>
        <v>17</v>
      </c>
    </row>
    <row r="1880">
      <c r="A1880" s="4" t="s">
        <v>2188</v>
      </c>
      <c r="B1880" s="16"/>
      <c r="C1880" s="12">
        <f>IFERROR(__xludf.DUMMYFUNCTION("""COMPUTED_VALUE"""),44662.740439814814)</f>
        <v>44662.74044</v>
      </c>
      <c r="D1880" s="13">
        <f t="shared" si="1"/>
        <v>11</v>
      </c>
      <c r="E1880" s="13">
        <f t="shared" si="2"/>
        <v>17</v>
      </c>
    </row>
    <row r="1881">
      <c r="A1881" s="4" t="s">
        <v>2189</v>
      </c>
      <c r="B1881" s="16"/>
      <c r="C1881" s="12">
        <f>IFERROR(__xludf.DUMMYFUNCTION("""COMPUTED_VALUE"""),44662.74041666667)</f>
        <v>44662.74042</v>
      </c>
      <c r="D1881" s="13">
        <f t="shared" si="1"/>
        <v>11</v>
      </c>
      <c r="E1881" s="13">
        <f t="shared" si="2"/>
        <v>17</v>
      </c>
    </row>
    <row r="1882">
      <c r="A1882" s="4" t="s">
        <v>2190</v>
      </c>
      <c r="B1882" s="4" t="s">
        <v>854</v>
      </c>
      <c r="C1882" s="12">
        <f>IFERROR(__xludf.DUMMYFUNCTION("""COMPUTED_VALUE"""),44662.74018518518)</f>
        <v>44662.74019</v>
      </c>
      <c r="D1882" s="13">
        <f t="shared" si="1"/>
        <v>11</v>
      </c>
      <c r="E1882" s="13">
        <f t="shared" si="2"/>
        <v>17</v>
      </c>
    </row>
    <row r="1883">
      <c r="A1883" s="4" t="s">
        <v>2191</v>
      </c>
      <c r="B1883" s="4" t="s">
        <v>2192</v>
      </c>
      <c r="C1883" s="12">
        <f>IFERROR(__xludf.DUMMYFUNCTION("""COMPUTED_VALUE"""),44662.739699074074)</f>
        <v>44662.7397</v>
      </c>
      <c r="D1883" s="13">
        <f t="shared" si="1"/>
        <v>11</v>
      </c>
      <c r="E1883" s="13">
        <f t="shared" si="2"/>
        <v>17</v>
      </c>
    </row>
    <row r="1884">
      <c r="A1884" s="4" t="s">
        <v>2193</v>
      </c>
      <c r="B1884" s="4" t="s">
        <v>2194</v>
      </c>
      <c r="C1884" s="12">
        <f>IFERROR(__xludf.DUMMYFUNCTION("""COMPUTED_VALUE"""),44662.739398148144)</f>
        <v>44662.7394</v>
      </c>
      <c r="D1884" s="13">
        <f t="shared" si="1"/>
        <v>11</v>
      </c>
      <c r="E1884" s="13">
        <f t="shared" si="2"/>
        <v>17</v>
      </c>
    </row>
    <row r="1885">
      <c r="A1885" s="4" t="s">
        <v>2195</v>
      </c>
      <c r="B1885" s="4" t="s">
        <v>2194</v>
      </c>
      <c r="C1885" s="12">
        <f>IFERROR(__xludf.DUMMYFUNCTION("""COMPUTED_VALUE"""),44662.73929398148)</f>
        <v>44662.73929</v>
      </c>
      <c r="D1885" s="13">
        <f t="shared" si="1"/>
        <v>11</v>
      </c>
      <c r="E1885" s="13">
        <f t="shared" si="2"/>
        <v>17</v>
      </c>
    </row>
    <row r="1886">
      <c r="A1886" s="4" t="s">
        <v>2196</v>
      </c>
      <c r="B1886" s="4" t="s">
        <v>2197</v>
      </c>
      <c r="C1886" s="12">
        <f>IFERROR(__xludf.DUMMYFUNCTION("""COMPUTED_VALUE"""),44662.73920138889)</f>
        <v>44662.7392</v>
      </c>
      <c r="D1886" s="13">
        <f t="shared" si="1"/>
        <v>11</v>
      </c>
      <c r="E1886" s="13">
        <f t="shared" si="2"/>
        <v>17</v>
      </c>
    </row>
    <row r="1887">
      <c r="A1887" s="4" t="s">
        <v>2198</v>
      </c>
      <c r="B1887" s="4" t="s">
        <v>2199</v>
      </c>
      <c r="C1887" s="12">
        <f>IFERROR(__xludf.DUMMYFUNCTION("""COMPUTED_VALUE"""),44662.7391087963)</f>
        <v>44662.73911</v>
      </c>
      <c r="D1887" s="13">
        <f t="shared" si="1"/>
        <v>11</v>
      </c>
      <c r="E1887" s="13">
        <f t="shared" si="2"/>
        <v>17</v>
      </c>
    </row>
    <row r="1888">
      <c r="A1888" s="4" t="s">
        <v>2200</v>
      </c>
      <c r="B1888" s="4" t="s">
        <v>1992</v>
      </c>
      <c r="C1888" s="12">
        <f>IFERROR(__xludf.DUMMYFUNCTION("""COMPUTED_VALUE"""),44662.73883101852)</f>
        <v>44662.73883</v>
      </c>
      <c r="D1888" s="13">
        <f t="shared" si="1"/>
        <v>11</v>
      </c>
      <c r="E1888" s="13">
        <f t="shared" si="2"/>
        <v>17</v>
      </c>
    </row>
    <row r="1889">
      <c r="A1889" s="4" t="s">
        <v>2201</v>
      </c>
      <c r="B1889" s="16"/>
      <c r="C1889" s="12">
        <f>IFERROR(__xludf.DUMMYFUNCTION("""COMPUTED_VALUE"""),44662.73878472222)</f>
        <v>44662.73878</v>
      </c>
      <c r="D1889" s="13">
        <f t="shared" si="1"/>
        <v>11</v>
      </c>
      <c r="E1889" s="13">
        <f t="shared" si="2"/>
        <v>17</v>
      </c>
    </row>
    <row r="1890">
      <c r="A1890" s="4" t="s">
        <v>2202</v>
      </c>
      <c r="B1890" s="4" t="s">
        <v>2203</v>
      </c>
      <c r="C1890" s="12">
        <f>IFERROR(__xludf.DUMMYFUNCTION("""COMPUTED_VALUE"""),44662.73806712963)</f>
        <v>44662.73807</v>
      </c>
      <c r="D1890" s="13">
        <f t="shared" si="1"/>
        <v>11</v>
      </c>
      <c r="E1890" s="13">
        <f t="shared" si="2"/>
        <v>17</v>
      </c>
    </row>
    <row r="1891">
      <c r="A1891" s="4" t="s">
        <v>2204</v>
      </c>
      <c r="B1891" s="4" t="s">
        <v>2194</v>
      </c>
      <c r="C1891" s="12">
        <f>IFERROR(__xludf.DUMMYFUNCTION("""COMPUTED_VALUE"""),44662.73738425926)</f>
        <v>44662.73738</v>
      </c>
      <c r="D1891" s="13">
        <f t="shared" si="1"/>
        <v>11</v>
      </c>
      <c r="E1891" s="13">
        <f t="shared" si="2"/>
        <v>17</v>
      </c>
    </row>
    <row r="1892">
      <c r="A1892" s="4" t="s">
        <v>2205</v>
      </c>
      <c r="B1892" s="4" t="s">
        <v>2206</v>
      </c>
      <c r="C1892" s="12">
        <f>IFERROR(__xludf.DUMMYFUNCTION("""COMPUTED_VALUE"""),44662.73699074074)</f>
        <v>44662.73699</v>
      </c>
      <c r="D1892" s="13">
        <f t="shared" si="1"/>
        <v>11</v>
      </c>
      <c r="E1892" s="13">
        <f t="shared" si="2"/>
        <v>17</v>
      </c>
    </row>
    <row r="1893">
      <c r="A1893" s="4" t="s">
        <v>2207</v>
      </c>
      <c r="B1893" s="16"/>
      <c r="C1893" s="12">
        <f>IFERROR(__xludf.DUMMYFUNCTION("""COMPUTED_VALUE"""),44662.735868055555)</f>
        <v>44662.73587</v>
      </c>
      <c r="D1893" s="13">
        <f t="shared" si="1"/>
        <v>11</v>
      </c>
      <c r="E1893" s="13">
        <f t="shared" si="2"/>
        <v>17</v>
      </c>
    </row>
    <row r="1894">
      <c r="A1894" s="4" t="s">
        <v>2208</v>
      </c>
      <c r="B1894" s="4" t="s">
        <v>2209</v>
      </c>
      <c r="C1894" s="12">
        <f>IFERROR(__xludf.DUMMYFUNCTION("""COMPUTED_VALUE"""),44662.73435185185)</f>
        <v>44662.73435</v>
      </c>
      <c r="D1894" s="13">
        <f t="shared" si="1"/>
        <v>11</v>
      </c>
      <c r="E1894" s="13">
        <f t="shared" si="2"/>
        <v>17</v>
      </c>
    </row>
    <row r="1895">
      <c r="A1895" s="4" t="s">
        <v>2210</v>
      </c>
      <c r="B1895" s="4" t="s">
        <v>1082</v>
      </c>
      <c r="C1895" s="12">
        <f>IFERROR(__xludf.DUMMYFUNCTION("""COMPUTED_VALUE"""),44662.7340625)</f>
        <v>44662.73406</v>
      </c>
      <c r="D1895" s="13">
        <f t="shared" si="1"/>
        <v>11</v>
      </c>
      <c r="E1895" s="13">
        <f t="shared" si="2"/>
        <v>17</v>
      </c>
    </row>
    <row r="1896">
      <c r="A1896" s="4" t="s">
        <v>2211</v>
      </c>
      <c r="B1896" s="4" t="s">
        <v>1992</v>
      </c>
      <c r="C1896" s="12">
        <f>IFERROR(__xludf.DUMMYFUNCTION("""COMPUTED_VALUE"""),44662.73322916666)</f>
        <v>44662.73323</v>
      </c>
      <c r="D1896" s="13">
        <f t="shared" si="1"/>
        <v>11</v>
      </c>
      <c r="E1896" s="13">
        <f t="shared" si="2"/>
        <v>17</v>
      </c>
    </row>
    <row r="1897">
      <c r="A1897" s="4" t="s">
        <v>2212</v>
      </c>
      <c r="B1897" s="4" t="s">
        <v>1992</v>
      </c>
      <c r="C1897" s="12">
        <f>IFERROR(__xludf.DUMMYFUNCTION("""COMPUTED_VALUE"""),44662.73310185185)</f>
        <v>44662.7331</v>
      </c>
      <c r="D1897" s="13">
        <f t="shared" si="1"/>
        <v>11</v>
      </c>
      <c r="E1897" s="13">
        <f t="shared" si="2"/>
        <v>17</v>
      </c>
    </row>
    <row r="1898">
      <c r="A1898" s="4" t="s">
        <v>2213</v>
      </c>
      <c r="B1898" s="4" t="s">
        <v>1992</v>
      </c>
      <c r="C1898" s="12">
        <f>IFERROR(__xludf.DUMMYFUNCTION("""COMPUTED_VALUE"""),44662.7330787037)</f>
        <v>44662.73308</v>
      </c>
      <c r="D1898" s="13">
        <f t="shared" si="1"/>
        <v>11</v>
      </c>
      <c r="E1898" s="13">
        <f t="shared" si="2"/>
        <v>17</v>
      </c>
    </row>
    <row r="1899">
      <c r="A1899" s="4" t="s">
        <v>2214</v>
      </c>
      <c r="B1899" s="16"/>
      <c r="C1899" s="12">
        <f>IFERROR(__xludf.DUMMYFUNCTION("""COMPUTED_VALUE"""),44662.73296296296)</f>
        <v>44662.73296</v>
      </c>
      <c r="D1899" s="13">
        <f t="shared" si="1"/>
        <v>11</v>
      </c>
      <c r="E1899" s="13">
        <f t="shared" si="2"/>
        <v>17</v>
      </c>
    </row>
    <row r="1900">
      <c r="A1900" s="4" t="s">
        <v>2215</v>
      </c>
      <c r="B1900" s="4" t="s">
        <v>2216</v>
      </c>
      <c r="C1900" s="12">
        <f>IFERROR(__xludf.DUMMYFUNCTION("""COMPUTED_VALUE"""),44662.732881944445)</f>
        <v>44662.73288</v>
      </c>
      <c r="D1900" s="13">
        <f t="shared" si="1"/>
        <v>11</v>
      </c>
      <c r="E1900" s="13">
        <f t="shared" si="2"/>
        <v>17</v>
      </c>
    </row>
    <row r="1901">
      <c r="A1901" s="4" t="s">
        <v>2217</v>
      </c>
      <c r="B1901" s="4" t="s">
        <v>2216</v>
      </c>
      <c r="C1901" s="12">
        <f>IFERROR(__xludf.DUMMYFUNCTION("""COMPUTED_VALUE"""),44662.73282407407)</f>
        <v>44662.73282</v>
      </c>
      <c r="D1901" s="13">
        <f t="shared" si="1"/>
        <v>11</v>
      </c>
      <c r="E1901" s="13">
        <f t="shared" si="2"/>
        <v>17</v>
      </c>
    </row>
    <row r="1902">
      <c r="A1902" s="4" t="s">
        <v>2218</v>
      </c>
      <c r="B1902" s="4" t="s">
        <v>1992</v>
      </c>
      <c r="C1902" s="12">
        <f>IFERROR(__xludf.DUMMYFUNCTION("""COMPUTED_VALUE"""),44662.732719907406)</f>
        <v>44662.73272</v>
      </c>
      <c r="D1902" s="13">
        <f t="shared" si="1"/>
        <v>11</v>
      </c>
      <c r="E1902" s="13">
        <f t="shared" si="2"/>
        <v>17</v>
      </c>
    </row>
    <row r="1903">
      <c r="A1903" s="4" t="s">
        <v>2219</v>
      </c>
      <c r="B1903" s="4" t="s">
        <v>2220</v>
      </c>
      <c r="C1903" s="12">
        <f>IFERROR(__xludf.DUMMYFUNCTION("""COMPUTED_VALUE"""),44662.73269675926)</f>
        <v>44662.7327</v>
      </c>
      <c r="D1903" s="13">
        <f t="shared" si="1"/>
        <v>11</v>
      </c>
      <c r="E1903" s="13">
        <f t="shared" si="2"/>
        <v>17</v>
      </c>
    </row>
    <row r="1904">
      <c r="A1904" s="4" t="s">
        <v>2221</v>
      </c>
      <c r="B1904" s="4" t="s">
        <v>2222</v>
      </c>
      <c r="C1904" s="12">
        <f>IFERROR(__xludf.DUMMYFUNCTION("""COMPUTED_VALUE"""),44662.73181712963)</f>
        <v>44662.73182</v>
      </c>
      <c r="D1904" s="13">
        <f t="shared" si="1"/>
        <v>11</v>
      </c>
      <c r="E1904" s="13">
        <f t="shared" si="2"/>
        <v>17</v>
      </c>
    </row>
    <row r="1905">
      <c r="A1905" s="4" t="s">
        <v>2223</v>
      </c>
      <c r="B1905" s="4" t="s">
        <v>2224</v>
      </c>
      <c r="C1905" s="12">
        <f>IFERROR(__xludf.DUMMYFUNCTION("""COMPUTED_VALUE"""),44662.731527777774)</f>
        <v>44662.73153</v>
      </c>
      <c r="D1905" s="13">
        <f t="shared" si="1"/>
        <v>11</v>
      </c>
      <c r="E1905" s="13">
        <f t="shared" si="2"/>
        <v>17</v>
      </c>
    </row>
    <row r="1906">
      <c r="A1906" s="4" t="s">
        <v>2225</v>
      </c>
      <c r="B1906" s="4" t="s">
        <v>2226</v>
      </c>
      <c r="C1906" s="12">
        <f>IFERROR(__xludf.DUMMYFUNCTION("""COMPUTED_VALUE"""),44662.73081018518)</f>
        <v>44662.73081</v>
      </c>
      <c r="D1906" s="13">
        <f t="shared" si="1"/>
        <v>11</v>
      </c>
      <c r="E1906" s="13">
        <f t="shared" si="2"/>
        <v>17</v>
      </c>
    </row>
    <row r="1907">
      <c r="A1907" s="4" t="s">
        <v>2227</v>
      </c>
      <c r="B1907" s="16"/>
      <c r="C1907" s="12">
        <f>IFERROR(__xludf.DUMMYFUNCTION("""COMPUTED_VALUE"""),44662.73065972222)</f>
        <v>44662.73066</v>
      </c>
      <c r="D1907" s="13">
        <f t="shared" si="1"/>
        <v>11</v>
      </c>
      <c r="E1907" s="13">
        <f t="shared" si="2"/>
        <v>17</v>
      </c>
    </row>
    <row r="1908">
      <c r="A1908" s="4" t="s">
        <v>2228</v>
      </c>
      <c r="B1908" s="16"/>
      <c r="C1908" s="12">
        <f>IFERROR(__xludf.DUMMYFUNCTION("""COMPUTED_VALUE"""),44662.730208333334)</f>
        <v>44662.73021</v>
      </c>
      <c r="D1908" s="13">
        <f t="shared" si="1"/>
        <v>11</v>
      </c>
      <c r="E1908" s="13">
        <f t="shared" si="2"/>
        <v>17</v>
      </c>
    </row>
    <row r="1909">
      <c r="A1909" s="4" t="s">
        <v>2229</v>
      </c>
      <c r="B1909" s="16"/>
      <c r="C1909" s="12">
        <f>IFERROR(__xludf.DUMMYFUNCTION("""COMPUTED_VALUE"""),44662.729120370364)</f>
        <v>44662.72912</v>
      </c>
      <c r="D1909" s="13">
        <f t="shared" si="1"/>
        <v>11</v>
      </c>
      <c r="E1909" s="13">
        <f t="shared" si="2"/>
        <v>17</v>
      </c>
    </row>
    <row r="1910">
      <c r="A1910" s="4" t="s">
        <v>2230</v>
      </c>
      <c r="B1910" s="16"/>
      <c r="C1910" s="12">
        <f>IFERROR(__xludf.DUMMYFUNCTION("""COMPUTED_VALUE"""),44662.72891203703)</f>
        <v>44662.72891</v>
      </c>
      <c r="D1910" s="13">
        <f t="shared" si="1"/>
        <v>11</v>
      </c>
      <c r="E1910" s="13">
        <f t="shared" si="2"/>
        <v>17</v>
      </c>
    </row>
    <row r="1911">
      <c r="A1911" s="4" t="s">
        <v>2231</v>
      </c>
      <c r="B1911" s="4" t="s">
        <v>2232</v>
      </c>
      <c r="C1911" s="12">
        <f>IFERROR(__xludf.DUMMYFUNCTION("""COMPUTED_VALUE"""),44662.728368055556)</f>
        <v>44662.72837</v>
      </c>
      <c r="D1911" s="13">
        <f t="shared" si="1"/>
        <v>11</v>
      </c>
      <c r="E1911" s="13">
        <f t="shared" si="2"/>
        <v>17</v>
      </c>
    </row>
    <row r="1912">
      <c r="A1912" s="4" t="s">
        <v>2233</v>
      </c>
      <c r="B1912" s="4" t="s">
        <v>240</v>
      </c>
      <c r="C1912" s="12">
        <f>IFERROR(__xludf.DUMMYFUNCTION("""COMPUTED_VALUE"""),44662.72802083333)</f>
        <v>44662.72802</v>
      </c>
      <c r="D1912" s="13">
        <f t="shared" si="1"/>
        <v>11</v>
      </c>
      <c r="E1912" s="13">
        <f t="shared" si="2"/>
        <v>17</v>
      </c>
    </row>
    <row r="1913">
      <c r="A1913" s="4" t="s">
        <v>2234</v>
      </c>
      <c r="B1913" s="4" t="s">
        <v>240</v>
      </c>
      <c r="C1913" s="12">
        <f>IFERROR(__xludf.DUMMYFUNCTION("""COMPUTED_VALUE"""),44662.72798611111)</f>
        <v>44662.72799</v>
      </c>
      <c r="D1913" s="13">
        <f t="shared" si="1"/>
        <v>11</v>
      </c>
      <c r="E1913" s="13">
        <f t="shared" si="2"/>
        <v>17</v>
      </c>
    </row>
    <row r="1914">
      <c r="A1914" s="4" t="s">
        <v>2235</v>
      </c>
      <c r="B1914" s="16"/>
      <c r="C1914" s="12">
        <f>IFERROR(__xludf.DUMMYFUNCTION("""COMPUTED_VALUE"""),44662.72770833333)</f>
        <v>44662.72771</v>
      </c>
      <c r="D1914" s="13">
        <f t="shared" si="1"/>
        <v>11</v>
      </c>
      <c r="E1914" s="13">
        <f t="shared" si="2"/>
        <v>17</v>
      </c>
    </row>
    <row r="1915">
      <c r="A1915" s="4" t="s">
        <v>2236</v>
      </c>
      <c r="B1915" s="4" t="s">
        <v>240</v>
      </c>
      <c r="C1915" s="12">
        <f>IFERROR(__xludf.DUMMYFUNCTION("""COMPUTED_VALUE"""),44662.72741898148)</f>
        <v>44662.72742</v>
      </c>
      <c r="D1915" s="13">
        <f t="shared" si="1"/>
        <v>11</v>
      </c>
      <c r="E1915" s="13">
        <f t="shared" si="2"/>
        <v>17</v>
      </c>
    </row>
    <row r="1916">
      <c r="A1916" s="4" t="s">
        <v>2237</v>
      </c>
      <c r="B1916" s="4" t="s">
        <v>240</v>
      </c>
      <c r="C1916" s="12">
        <f>IFERROR(__xludf.DUMMYFUNCTION("""COMPUTED_VALUE"""),44662.72740740741)</f>
        <v>44662.72741</v>
      </c>
      <c r="D1916" s="13">
        <f t="shared" si="1"/>
        <v>11</v>
      </c>
      <c r="E1916" s="13">
        <f t="shared" si="2"/>
        <v>17</v>
      </c>
    </row>
    <row r="1917">
      <c r="A1917" s="4" t="s">
        <v>2238</v>
      </c>
      <c r="B1917" s="4" t="s">
        <v>240</v>
      </c>
      <c r="C1917" s="12">
        <f>IFERROR(__xludf.DUMMYFUNCTION("""COMPUTED_VALUE"""),44662.727384259255)</f>
        <v>44662.72738</v>
      </c>
      <c r="D1917" s="13">
        <f t="shared" si="1"/>
        <v>11</v>
      </c>
      <c r="E1917" s="13">
        <f t="shared" si="2"/>
        <v>17</v>
      </c>
    </row>
    <row r="1918">
      <c r="A1918" s="4" t="s">
        <v>2239</v>
      </c>
      <c r="B1918" s="4" t="s">
        <v>240</v>
      </c>
      <c r="C1918" s="12">
        <f>IFERROR(__xludf.DUMMYFUNCTION("""COMPUTED_VALUE"""),44662.727372685185)</f>
        <v>44662.72737</v>
      </c>
      <c r="D1918" s="13">
        <f t="shared" si="1"/>
        <v>11</v>
      </c>
      <c r="E1918" s="13">
        <f t="shared" si="2"/>
        <v>17</v>
      </c>
    </row>
    <row r="1919">
      <c r="A1919" s="4" t="s">
        <v>2240</v>
      </c>
      <c r="B1919" s="4" t="s">
        <v>240</v>
      </c>
      <c r="C1919" s="12">
        <f>IFERROR(__xludf.DUMMYFUNCTION("""COMPUTED_VALUE"""),44662.72736111111)</f>
        <v>44662.72736</v>
      </c>
      <c r="D1919" s="13">
        <f t="shared" si="1"/>
        <v>11</v>
      </c>
      <c r="E1919" s="13">
        <f t="shared" si="2"/>
        <v>17</v>
      </c>
    </row>
    <row r="1920">
      <c r="A1920" s="4" t="s">
        <v>2241</v>
      </c>
      <c r="B1920" s="4" t="s">
        <v>240</v>
      </c>
      <c r="C1920" s="12">
        <f>IFERROR(__xludf.DUMMYFUNCTION("""COMPUTED_VALUE"""),44662.72734953703)</f>
        <v>44662.72735</v>
      </c>
      <c r="D1920" s="13">
        <f t="shared" si="1"/>
        <v>11</v>
      </c>
      <c r="E1920" s="13">
        <f t="shared" si="2"/>
        <v>17</v>
      </c>
    </row>
    <row r="1921">
      <c r="A1921" s="4" t="s">
        <v>2242</v>
      </c>
      <c r="B1921" s="4" t="s">
        <v>240</v>
      </c>
      <c r="C1921" s="12">
        <f>IFERROR(__xludf.DUMMYFUNCTION("""COMPUTED_VALUE"""),44662.72733796296)</f>
        <v>44662.72734</v>
      </c>
      <c r="D1921" s="13">
        <f t="shared" si="1"/>
        <v>11</v>
      </c>
      <c r="E1921" s="13">
        <f t="shared" si="2"/>
        <v>17</v>
      </c>
    </row>
    <row r="1922">
      <c r="A1922" s="4" t="s">
        <v>2243</v>
      </c>
      <c r="B1922" s="4" t="s">
        <v>240</v>
      </c>
      <c r="C1922" s="12">
        <f>IFERROR(__xludf.DUMMYFUNCTION("""COMPUTED_VALUE"""),44662.72731481481)</f>
        <v>44662.72731</v>
      </c>
      <c r="D1922" s="13">
        <f t="shared" si="1"/>
        <v>11</v>
      </c>
      <c r="E1922" s="13">
        <f t="shared" si="2"/>
        <v>17</v>
      </c>
    </row>
    <row r="1923">
      <c r="A1923" s="4" t="s">
        <v>2244</v>
      </c>
      <c r="B1923" s="4" t="s">
        <v>240</v>
      </c>
      <c r="C1923" s="12">
        <f>IFERROR(__xludf.DUMMYFUNCTION("""COMPUTED_VALUE"""),44662.72730324074)</f>
        <v>44662.7273</v>
      </c>
      <c r="D1923" s="13">
        <f t="shared" si="1"/>
        <v>11</v>
      </c>
      <c r="E1923" s="13">
        <f t="shared" si="2"/>
        <v>17</v>
      </c>
    </row>
    <row r="1924">
      <c r="A1924" s="4" t="s">
        <v>2245</v>
      </c>
      <c r="B1924" s="4" t="s">
        <v>240</v>
      </c>
      <c r="C1924" s="12">
        <f>IFERROR(__xludf.DUMMYFUNCTION("""COMPUTED_VALUE"""),44662.72729166666)</f>
        <v>44662.72729</v>
      </c>
      <c r="D1924" s="13">
        <f t="shared" si="1"/>
        <v>11</v>
      </c>
      <c r="E1924" s="13">
        <f t="shared" si="2"/>
        <v>17</v>
      </c>
    </row>
    <row r="1925">
      <c r="A1925" s="4" t="s">
        <v>2246</v>
      </c>
      <c r="B1925" s="4" t="s">
        <v>240</v>
      </c>
      <c r="C1925" s="12">
        <f>IFERROR(__xludf.DUMMYFUNCTION("""COMPUTED_VALUE"""),44662.72728009259)</f>
        <v>44662.72728</v>
      </c>
      <c r="D1925" s="13">
        <f t="shared" si="1"/>
        <v>11</v>
      </c>
      <c r="E1925" s="13">
        <f t="shared" si="2"/>
        <v>17</v>
      </c>
    </row>
    <row r="1926">
      <c r="A1926" s="4" t="s">
        <v>2247</v>
      </c>
      <c r="B1926" s="4" t="s">
        <v>240</v>
      </c>
      <c r="C1926" s="12">
        <f>IFERROR(__xludf.DUMMYFUNCTION("""COMPUTED_VALUE"""),44662.72725694444)</f>
        <v>44662.72726</v>
      </c>
      <c r="D1926" s="13">
        <f t="shared" si="1"/>
        <v>11</v>
      </c>
      <c r="E1926" s="13">
        <f t="shared" si="2"/>
        <v>17</v>
      </c>
    </row>
    <row r="1927">
      <c r="A1927" s="4" t="s">
        <v>2248</v>
      </c>
      <c r="B1927" s="4" t="s">
        <v>240</v>
      </c>
      <c r="C1927" s="12">
        <f>IFERROR(__xludf.DUMMYFUNCTION("""COMPUTED_VALUE"""),44662.72724537037)</f>
        <v>44662.72725</v>
      </c>
      <c r="D1927" s="13">
        <f t="shared" si="1"/>
        <v>11</v>
      </c>
      <c r="E1927" s="13">
        <f t="shared" si="2"/>
        <v>17</v>
      </c>
    </row>
    <row r="1928">
      <c r="A1928" s="4" t="s">
        <v>2248</v>
      </c>
      <c r="B1928" s="4" t="s">
        <v>240</v>
      </c>
      <c r="C1928" s="12">
        <f>IFERROR(__xludf.DUMMYFUNCTION("""COMPUTED_VALUE"""),44662.72724537037)</f>
        <v>44662.72725</v>
      </c>
      <c r="D1928" s="13">
        <f t="shared" si="1"/>
        <v>11</v>
      </c>
      <c r="E1928" s="13">
        <f t="shared" si="2"/>
        <v>17</v>
      </c>
    </row>
    <row r="1929">
      <c r="A1929" s="4" t="s">
        <v>2249</v>
      </c>
      <c r="B1929" s="4" t="s">
        <v>240</v>
      </c>
      <c r="C1929" s="12">
        <f>IFERROR(__xludf.DUMMYFUNCTION("""COMPUTED_VALUE"""),44662.72723379629)</f>
        <v>44662.72723</v>
      </c>
      <c r="D1929" s="13">
        <f t="shared" si="1"/>
        <v>11</v>
      </c>
      <c r="E1929" s="13">
        <f t="shared" si="2"/>
        <v>17</v>
      </c>
    </row>
    <row r="1930">
      <c r="A1930" s="4" t="s">
        <v>2250</v>
      </c>
      <c r="B1930" s="4" t="s">
        <v>240</v>
      </c>
      <c r="C1930" s="12">
        <f>IFERROR(__xludf.DUMMYFUNCTION("""COMPUTED_VALUE"""),44662.72721064815)</f>
        <v>44662.72721</v>
      </c>
      <c r="D1930" s="13">
        <f t="shared" si="1"/>
        <v>11</v>
      </c>
      <c r="E1930" s="13">
        <f t="shared" si="2"/>
        <v>17</v>
      </c>
    </row>
    <row r="1931">
      <c r="A1931" s="4" t="s">
        <v>2251</v>
      </c>
      <c r="B1931" s="4" t="s">
        <v>240</v>
      </c>
      <c r="C1931" s="12">
        <f>IFERROR(__xludf.DUMMYFUNCTION("""COMPUTED_VALUE"""),44662.72719907407)</f>
        <v>44662.7272</v>
      </c>
      <c r="D1931" s="13">
        <f t="shared" si="1"/>
        <v>11</v>
      </c>
      <c r="E1931" s="13">
        <f t="shared" si="2"/>
        <v>17</v>
      </c>
    </row>
    <row r="1932">
      <c r="A1932" s="4" t="s">
        <v>2252</v>
      </c>
      <c r="B1932" s="4" t="s">
        <v>240</v>
      </c>
      <c r="C1932" s="12">
        <f>IFERROR(__xludf.DUMMYFUNCTION("""COMPUTED_VALUE"""),44662.7271875)</f>
        <v>44662.72719</v>
      </c>
      <c r="D1932" s="13">
        <f t="shared" si="1"/>
        <v>11</v>
      </c>
      <c r="E1932" s="13">
        <f t="shared" si="2"/>
        <v>17</v>
      </c>
    </row>
    <row r="1933">
      <c r="A1933" s="4" t="s">
        <v>2253</v>
      </c>
      <c r="B1933" s="4" t="s">
        <v>240</v>
      </c>
      <c r="C1933" s="12">
        <f>IFERROR(__xludf.DUMMYFUNCTION("""COMPUTED_VALUE"""),44662.72716435185)</f>
        <v>44662.72716</v>
      </c>
      <c r="D1933" s="13">
        <f t="shared" si="1"/>
        <v>11</v>
      </c>
      <c r="E1933" s="13">
        <f t="shared" si="2"/>
        <v>17</v>
      </c>
    </row>
    <row r="1934">
      <c r="A1934" s="4" t="s">
        <v>2254</v>
      </c>
      <c r="B1934" s="4" t="s">
        <v>240</v>
      </c>
      <c r="C1934" s="12">
        <f>IFERROR(__xludf.DUMMYFUNCTION("""COMPUTED_VALUE"""),44662.72715277778)</f>
        <v>44662.72715</v>
      </c>
      <c r="D1934" s="13">
        <f t="shared" si="1"/>
        <v>11</v>
      </c>
      <c r="E1934" s="13">
        <f t="shared" si="2"/>
        <v>17</v>
      </c>
    </row>
    <row r="1935">
      <c r="A1935" s="4" t="s">
        <v>2255</v>
      </c>
      <c r="B1935" s="16"/>
      <c r="C1935" s="12">
        <f>IFERROR(__xludf.DUMMYFUNCTION("""COMPUTED_VALUE"""),44662.727129629624)</f>
        <v>44662.72713</v>
      </c>
      <c r="D1935" s="13">
        <f t="shared" si="1"/>
        <v>11</v>
      </c>
      <c r="E1935" s="13">
        <f t="shared" si="2"/>
        <v>17</v>
      </c>
    </row>
    <row r="1936">
      <c r="A1936" s="4" t="s">
        <v>2256</v>
      </c>
      <c r="B1936" s="4" t="s">
        <v>2257</v>
      </c>
      <c r="C1936" s="12">
        <f>IFERROR(__xludf.DUMMYFUNCTION("""COMPUTED_VALUE"""),44662.726643518516)</f>
        <v>44662.72664</v>
      </c>
      <c r="D1936" s="13">
        <f t="shared" si="1"/>
        <v>11</v>
      </c>
      <c r="E1936" s="13">
        <f t="shared" si="2"/>
        <v>17</v>
      </c>
    </row>
    <row r="1937">
      <c r="A1937" s="4" t="s">
        <v>2258</v>
      </c>
      <c r="B1937" s="4" t="s">
        <v>240</v>
      </c>
      <c r="C1937" s="12">
        <f>IFERROR(__xludf.DUMMYFUNCTION("""COMPUTED_VALUE"""),44662.72662037037)</f>
        <v>44662.72662</v>
      </c>
      <c r="D1937" s="13">
        <f t="shared" si="1"/>
        <v>11</v>
      </c>
      <c r="E1937" s="13">
        <f t="shared" si="2"/>
        <v>17</v>
      </c>
    </row>
    <row r="1938">
      <c r="A1938" s="4" t="s">
        <v>2259</v>
      </c>
      <c r="B1938" s="4" t="s">
        <v>240</v>
      </c>
      <c r="C1938" s="12">
        <f>IFERROR(__xludf.DUMMYFUNCTION("""COMPUTED_VALUE"""),44662.726493055554)</f>
        <v>44662.72649</v>
      </c>
      <c r="D1938" s="13">
        <f t="shared" si="1"/>
        <v>11</v>
      </c>
      <c r="E1938" s="13">
        <f t="shared" si="2"/>
        <v>17</v>
      </c>
    </row>
    <row r="1939">
      <c r="A1939" s="4" t="s">
        <v>2260</v>
      </c>
      <c r="B1939" s="4" t="s">
        <v>240</v>
      </c>
      <c r="C1939" s="12">
        <f>IFERROR(__xludf.DUMMYFUNCTION("""COMPUTED_VALUE"""),44662.72621527778)</f>
        <v>44662.72622</v>
      </c>
      <c r="D1939" s="13">
        <f t="shared" si="1"/>
        <v>11</v>
      </c>
      <c r="E1939" s="13">
        <f t="shared" si="2"/>
        <v>17</v>
      </c>
    </row>
    <row r="1940">
      <c r="A1940" s="4" t="s">
        <v>2261</v>
      </c>
      <c r="B1940" s="16"/>
      <c r="C1940" s="12">
        <f>IFERROR(__xludf.DUMMYFUNCTION("""COMPUTED_VALUE"""),44662.725960648146)</f>
        <v>44662.72596</v>
      </c>
      <c r="D1940" s="13">
        <f t="shared" si="1"/>
        <v>11</v>
      </c>
      <c r="E1940" s="13">
        <f t="shared" si="2"/>
        <v>17</v>
      </c>
    </row>
    <row r="1941">
      <c r="A1941" s="4" t="s">
        <v>2262</v>
      </c>
      <c r="B1941" s="16"/>
      <c r="C1941" s="12">
        <f>IFERROR(__xludf.DUMMYFUNCTION("""COMPUTED_VALUE"""),44662.72504629629)</f>
        <v>44662.72505</v>
      </c>
      <c r="D1941" s="13">
        <f t="shared" si="1"/>
        <v>11</v>
      </c>
      <c r="E1941" s="13">
        <f t="shared" si="2"/>
        <v>17</v>
      </c>
    </row>
    <row r="1942">
      <c r="A1942" s="4" t="s">
        <v>2263</v>
      </c>
      <c r="B1942" s="4" t="s">
        <v>2070</v>
      </c>
      <c r="C1942" s="12">
        <f>IFERROR(__xludf.DUMMYFUNCTION("""COMPUTED_VALUE"""),44662.723715277774)</f>
        <v>44662.72372</v>
      </c>
      <c r="D1942" s="13">
        <f t="shared" si="1"/>
        <v>11</v>
      </c>
      <c r="E1942" s="13">
        <f t="shared" si="2"/>
        <v>17</v>
      </c>
    </row>
    <row r="1943">
      <c r="A1943" s="4" t="s">
        <v>2264</v>
      </c>
      <c r="B1943" s="4" t="s">
        <v>2070</v>
      </c>
      <c r="C1943" s="12">
        <f>IFERROR(__xludf.DUMMYFUNCTION("""COMPUTED_VALUE"""),44662.72369212963)</f>
        <v>44662.72369</v>
      </c>
      <c r="D1943" s="13">
        <f t="shared" si="1"/>
        <v>11</v>
      </c>
      <c r="E1943" s="13">
        <f t="shared" si="2"/>
        <v>17</v>
      </c>
    </row>
    <row r="1944">
      <c r="A1944" s="4" t="s">
        <v>2265</v>
      </c>
      <c r="B1944" s="4" t="s">
        <v>2266</v>
      </c>
      <c r="C1944" s="12">
        <f>IFERROR(__xludf.DUMMYFUNCTION("""COMPUTED_VALUE"""),44662.72300925926)</f>
        <v>44662.72301</v>
      </c>
      <c r="D1944" s="13">
        <f t="shared" si="1"/>
        <v>11</v>
      </c>
      <c r="E1944" s="13">
        <f t="shared" si="2"/>
        <v>17</v>
      </c>
    </row>
    <row r="1945">
      <c r="A1945" s="4" t="s">
        <v>2267</v>
      </c>
      <c r="B1945" s="4" t="s">
        <v>1662</v>
      </c>
      <c r="C1945" s="12">
        <f>IFERROR(__xludf.DUMMYFUNCTION("""COMPUTED_VALUE"""),44662.72246527777)</f>
        <v>44662.72247</v>
      </c>
      <c r="D1945" s="13">
        <f t="shared" si="1"/>
        <v>11</v>
      </c>
      <c r="E1945" s="13">
        <f t="shared" si="2"/>
        <v>17</v>
      </c>
    </row>
    <row r="1946">
      <c r="A1946" s="4" t="s">
        <v>2268</v>
      </c>
      <c r="B1946" s="4" t="s">
        <v>2039</v>
      </c>
      <c r="C1946" s="12">
        <f>IFERROR(__xludf.DUMMYFUNCTION("""COMPUTED_VALUE"""),44662.72079861111)</f>
        <v>44662.7208</v>
      </c>
      <c r="D1946" s="13">
        <f t="shared" si="1"/>
        <v>11</v>
      </c>
      <c r="E1946" s="13">
        <f t="shared" si="2"/>
        <v>17</v>
      </c>
    </row>
    <row r="1947">
      <c r="A1947" s="4" t="s">
        <v>2269</v>
      </c>
      <c r="B1947" s="4" t="s">
        <v>2039</v>
      </c>
      <c r="C1947" s="12">
        <f>IFERROR(__xludf.DUMMYFUNCTION("""COMPUTED_VALUE"""),44662.72075231481)</f>
        <v>44662.72075</v>
      </c>
      <c r="D1947" s="13">
        <f t="shared" si="1"/>
        <v>11</v>
      </c>
      <c r="E1947" s="13">
        <f t="shared" si="2"/>
        <v>17</v>
      </c>
    </row>
    <row r="1948">
      <c r="A1948" s="4" t="s">
        <v>2270</v>
      </c>
      <c r="B1948" s="4" t="s">
        <v>2039</v>
      </c>
      <c r="C1948" s="12">
        <f>IFERROR(__xludf.DUMMYFUNCTION("""COMPUTED_VALUE"""),44662.720729166664)</f>
        <v>44662.72073</v>
      </c>
      <c r="D1948" s="13">
        <f t="shared" si="1"/>
        <v>11</v>
      </c>
      <c r="E1948" s="13">
        <f t="shared" si="2"/>
        <v>17</v>
      </c>
    </row>
    <row r="1949">
      <c r="A1949" s="4" t="s">
        <v>2271</v>
      </c>
      <c r="B1949" s="16"/>
      <c r="C1949" s="12">
        <f>IFERROR(__xludf.DUMMYFUNCTION("""COMPUTED_VALUE"""),44662.72071759259)</f>
        <v>44662.72072</v>
      </c>
      <c r="D1949" s="13">
        <f t="shared" si="1"/>
        <v>11</v>
      </c>
      <c r="E1949" s="13">
        <f t="shared" si="2"/>
        <v>17</v>
      </c>
    </row>
    <row r="1950">
      <c r="A1950" s="4" t="s">
        <v>2272</v>
      </c>
      <c r="B1950" s="4" t="s">
        <v>2039</v>
      </c>
      <c r="C1950" s="12">
        <f>IFERROR(__xludf.DUMMYFUNCTION("""COMPUTED_VALUE"""),44662.72069444444)</f>
        <v>44662.72069</v>
      </c>
      <c r="D1950" s="13">
        <f t="shared" si="1"/>
        <v>11</v>
      </c>
      <c r="E1950" s="13">
        <f t="shared" si="2"/>
        <v>17</v>
      </c>
    </row>
    <row r="1951">
      <c r="A1951" s="4" t="s">
        <v>2273</v>
      </c>
      <c r="B1951" s="16"/>
      <c r="C1951" s="12">
        <f>IFERROR(__xludf.DUMMYFUNCTION("""COMPUTED_VALUE"""),44662.720624999994)</f>
        <v>44662.72063</v>
      </c>
      <c r="D1951" s="13">
        <f t="shared" si="1"/>
        <v>11</v>
      </c>
      <c r="E1951" s="13">
        <f t="shared" si="2"/>
        <v>17</v>
      </c>
    </row>
    <row r="1952">
      <c r="A1952" s="4" t="s">
        <v>2274</v>
      </c>
      <c r="B1952" s="4" t="s">
        <v>2039</v>
      </c>
      <c r="C1952" s="12">
        <f>IFERROR(__xludf.DUMMYFUNCTION("""COMPUTED_VALUE"""),44662.72060185185)</f>
        <v>44662.7206</v>
      </c>
      <c r="D1952" s="13">
        <f t="shared" si="1"/>
        <v>11</v>
      </c>
      <c r="E1952" s="13">
        <f t="shared" si="2"/>
        <v>17</v>
      </c>
    </row>
    <row r="1953">
      <c r="A1953" s="4" t="s">
        <v>2275</v>
      </c>
      <c r="B1953" s="16"/>
      <c r="C1953" s="12">
        <f>IFERROR(__xludf.DUMMYFUNCTION("""COMPUTED_VALUE"""),44662.71989583333)</f>
        <v>44662.7199</v>
      </c>
      <c r="D1953" s="13">
        <f t="shared" si="1"/>
        <v>11</v>
      </c>
      <c r="E1953" s="13">
        <f t="shared" si="2"/>
        <v>17</v>
      </c>
    </row>
    <row r="1954">
      <c r="A1954" s="4" t="s">
        <v>2276</v>
      </c>
      <c r="B1954" s="16"/>
      <c r="C1954" s="12">
        <f>IFERROR(__xludf.DUMMYFUNCTION("""COMPUTED_VALUE"""),44662.71984953703)</f>
        <v>44662.71985</v>
      </c>
      <c r="D1954" s="13">
        <f t="shared" si="1"/>
        <v>11</v>
      </c>
      <c r="E1954" s="13">
        <f t="shared" si="2"/>
        <v>17</v>
      </c>
    </row>
    <row r="1955">
      <c r="A1955" s="4" t="s">
        <v>2277</v>
      </c>
      <c r="B1955" s="4" t="s">
        <v>2278</v>
      </c>
      <c r="C1955" s="12">
        <f>IFERROR(__xludf.DUMMYFUNCTION("""COMPUTED_VALUE"""),44662.719826388886)</f>
        <v>44662.71983</v>
      </c>
      <c r="D1955" s="13">
        <f t="shared" si="1"/>
        <v>11</v>
      </c>
      <c r="E1955" s="13">
        <f t="shared" si="2"/>
        <v>17</v>
      </c>
    </row>
    <row r="1956">
      <c r="A1956" s="4" t="s">
        <v>2279</v>
      </c>
      <c r="B1956" s="16"/>
      <c r="C1956" s="12">
        <f>IFERROR(__xludf.DUMMYFUNCTION("""COMPUTED_VALUE"""),44662.71976851852)</f>
        <v>44662.71977</v>
      </c>
      <c r="D1956" s="13">
        <f t="shared" si="1"/>
        <v>11</v>
      </c>
      <c r="E1956" s="13">
        <f t="shared" si="2"/>
        <v>17</v>
      </c>
    </row>
    <row r="1957">
      <c r="A1957" s="4" t="s">
        <v>2280</v>
      </c>
      <c r="B1957" s="4" t="s">
        <v>1008</v>
      </c>
      <c r="C1957" s="12">
        <f>IFERROR(__xludf.DUMMYFUNCTION("""COMPUTED_VALUE"""),44662.71881944444)</f>
        <v>44662.71882</v>
      </c>
      <c r="D1957" s="13">
        <f t="shared" si="1"/>
        <v>11</v>
      </c>
      <c r="E1957" s="13">
        <f t="shared" si="2"/>
        <v>17</v>
      </c>
    </row>
    <row r="1958">
      <c r="A1958" s="4" t="s">
        <v>2281</v>
      </c>
      <c r="B1958" s="16"/>
      <c r="C1958" s="12">
        <f>IFERROR(__xludf.DUMMYFUNCTION("""COMPUTED_VALUE"""),44662.71880787037)</f>
        <v>44662.71881</v>
      </c>
      <c r="D1958" s="13">
        <f t="shared" si="1"/>
        <v>11</v>
      </c>
      <c r="E1958" s="13">
        <f t="shared" si="2"/>
        <v>17</v>
      </c>
    </row>
    <row r="1959">
      <c r="A1959" s="4" t="s">
        <v>2282</v>
      </c>
      <c r="B1959" s="16"/>
      <c r="C1959" s="12">
        <f>IFERROR(__xludf.DUMMYFUNCTION("""COMPUTED_VALUE"""),44662.71775462963)</f>
        <v>44662.71775</v>
      </c>
      <c r="D1959" s="13">
        <f t="shared" si="1"/>
        <v>11</v>
      </c>
      <c r="E1959" s="13">
        <f t="shared" si="2"/>
        <v>17</v>
      </c>
    </row>
    <row r="1960">
      <c r="A1960" s="4" t="s">
        <v>2283</v>
      </c>
      <c r="B1960" s="16"/>
      <c r="C1960" s="12">
        <f>IFERROR(__xludf.DUMMYFUNCTION("""COMPUTED_VALUE"""),44662.71748842592)</f>
        <v>44662.71749</v>
      </c>
      <c r="D1960" s="13">
        <f t="shared" si="1"/>
        <v>11</v>
      </c>
      <c r="E1960" s="13">
        <f t="shared" si="2"/>
        <v>17</v>
      </c>
    </row>
    <row r="1961">
      <c r="A1961" s="4" t="s">
        <v>2284</v>
      </c>
      <c r="B1961" s="16"/>
      <c r="C1961" s="12">
        <f>IFERROR(__xludf.DUMMYFUNCTION("""COMPUTED_VALUE"""),44662.716944444444)</f>
        <v>44662.71694</v>
      </c>
      <c r="D1961" s="13">
        <f t="shared" si="1"/>
        <v>11</v>
      </c>
      <c r="E1961" s="13">
        <f t="shared" si="2"/>
        <v>17</v>
      </c>
    </row>
    <row r="1962">
      <c r="A1962" s="4" t="s">
        <v>2285</v>
      </c>
      <c r="B1962" s="16"/>
      <c r="C1962" s="12">
        <f>IFERROR(__xludf.DUMMYFUNCTION("""COMPUTED_VALUE"""),44662.716875)</f>
        <v>44662.71688</v>
      </c>
      <c r="D1962" s="13">
        <f t="shared" si="1"/>
        <v>11</v>
      </c>
      <c r="E1962" s="13">
        <f t="shared" si="2"/>
        <v>17</v>
      </c>
    </row>
    <row r="1963">
      <c r="A1963" s="4" t="s">
        <v>2286</v>
      </c>
      <c r="B1963" s="16"/>
      <c r="C1963" s="12">
        <f>IFERROR(__xludf.DUMMYFUNCTION("""COMPUTED_VALUE"""),44662.7168287037)</f>
        <v>44662.71683</v>
      </c>
      <c r="D1963" s="13">
        <f t="shared" si="1"/>
        <v>11</v>
      </c>
      <c r="E1963" s="13">
        <f t="shared" si="2"/>
        <v>17</v>
      </c>
    </row>
    <row r="1964">
      <c r="A1964" s="4" t="s">
        <v>2287</v>
      </c>
      <c r="B1964" s="16"/>
      <c r="C1964" s="12">
        <f>IFERROR(__xludf.DUMMYFUNCTION("""COMPUTED_VALUE"""),44662.71677083333)</f>
        <v>44662.71677</v>
      </c>
      <c r="D1964" s="13">
        <f t="shared" si="1"/>
        <v>11</v>
      </c>
      <c r="E1964" s="13">
        <f t="shared" si="2"/>
        <v>17</v>
      </c>
    </row>
    <row r="1965">
      <c r="A1965" s="4" t="s">
        <v>2288</v>
      </c>
      <c r="B1965" s="4" t="s">
        <v>2289</v>
      </c>
      <c r="C1965" s="12">
        <f>IFERROR(__xludf.DUMMYFUNCTION("""COMPUTED_VALUE"""),44662.71666666667)</f>
        <v>44662.71667</v>
      </c>
      <c r="D1965" s="13">
        <f t="shared" si="1"/>
        <v>11</v>
      </c>
      <c r="E1965" s="13">
        <f t="shared" si="2"/>
        <v>17</v>
      </c>
    </row>
    <row r="1966">
      <c r="A1966" s="4" t="s">
        <v>2288</v>
      </c>
      <c r="B1966" s="16"/>
      <c r="C1966" s="12">
        <f>IFERROR(__xludf.DUMMYFUNCTION("""COMPUTED_VALUE"""),44662.71666666667)</f>
        <v>44662.71667</v>
      </c>
      <c r="D1966" s="13">
        <f t="shared" si="1"/>
        <v>11</v>
      </c>
      <c r="E1966" s="13">
        <f t="shared" si="2"/>
        <v>17</v>
      </c>
    </row>
    <row r="1967">
      <c r="A1967" s="4" t="s">
        <v>2290</v>
      </c>
      <c r="B1967" s="4" t="s">
        <v>2291</v>
      </c>
      <c r="C1967" s="12">
        <f>IFERROR(__xludf.DUMMYFUNCTION("""COMPUTED_VALUE"""),44662.71659722222)</f>
        <v>44662.7166</v>
      </c>
      <c r="D1967" s="13">
        <f t="shared" si="1"/>
        <v>11</v>
      </c>
      <c r="E1967" s="13">
        <f t="shared" si="2"/>
        <v>17</v>
      </c>
    </row>
    <row r="1968">
      <c r="A1968" s="4" t="s">
        <v>2292</v>
      </c>
      <c r="B1968" s="16"/>
      <c r="C1968" s="12">
        <f>IFERROR(__xludf.DUMMYFUNCTION("""COMPUTED_VALUE"""),44662.71653935185)</f>
        <v>44662.71654</v>
      </c>
      <c r="D1968" s="13">
        <f t="shared" si="1"/>
        <v>11</v>
      </c>
      <c r="E1968" s="13">
        <f t="shared" si="2"/>
        <v>17</v>
      </c>
    </row>
    <row r="1969">
      <c r="A1969" s="4" t="s">
        <v>2293</v>
      </c>
      <c r="B1969" s="4" t="s">
        <v>2294</v>
      </c>
      <c r="C1969" s="12">
        <f>IFERROR(__xludf.DUMMYFUNCTION("""COMPUTED_VALUE"""),44662.716099537036)</f>
        <v>44662.7161</v>
      </c>
      <c r="D1969" s="13">
        <f t="shared" si="1"/>
        <v>11</v>
      </c>
      <c r="E1969" s="13">
        <f t="shared" si="2"/>
        <v>17</v>
      </c>
    </row>
    <row r="1970">
      <c r="A1970" s="4" t="s">
        <v>2295</v>
      </c>
      <c r="B1970" s="16"/>
      <c r="C1970" s="12">
        <f>IFERROR(__xludf.DUMMYFUNCTION("""COMPUTED_VALUE"""),44662.7159837963)</f>
        <v>44662.71598</v>
      </c>
      <c r="D1970" s="13">
        <f t="shared" si="1"/>
        <v>11</v>
      </c>
      <c r="E1970" s="13">
        <f t="shared" si="2"/>
        <v>17</v>
      </c>
    </row>
    <row r="1971">
      <c r="A1971" s="4" t="s">
        <v>2296</v>
      </c>
      <c r="B1971" s="16"/>
      <c r="C1971" s="12">
        <f>IFERROR(__xludf.DUMMYFUNCTION("""COMPUTED_VALUE"""),44662.71587962963)</f>
        <v>44662.71588</v>
      </c>
      <c r="D1971" s="13">
        <f t="shared" si="1"/>
        <v>11</v>
      </c>
      <c r="E1971" s="13">
        <f t="shared" si="2"/>
        <v>17</v>
      </c>
    </row>
    <row r="1972">
      <c r="A1972" s="4" t="s">
        <v>2297</v>
      </c>
      <c r="B1972" s="4" t="s">
        <v>2298</v>
      </c>
      <c r="C1972" s="12">
        <f>IFERROR(__xludf.DUMMYFUNCTION("""COMPUTED_VALUE"""),44662.71585648148)</f>
        <v>44662.71586</v>
      </c>
      <c r="D1972" s="13">
        <f t="shared" si="1"/>
        <v>11</v>
      </c>
      <c r="E1972" s="13">
        <f t="shared" si="2"/>
        <v>17</v>
      </c>
    </row>
    <row r="1973">
      <c r="A1973" s="4" t="s">
        <v>2299</v>
      </c>
      <c r="B1973" s="4" t="s">
        <v>2298</v>
      </c>
      <c r="C1973" s="12">
        <f>IFERROR(__xludf.DUMMYFUNCTION("""COMPUTED_VALUE"""),44662.71583333333)</f>
        <v>44662.71583</v>
      </c>
      <c r="D1973" s="13">
        <f t="shared" si="1"/>
        <v>11</v>
      </c>
      <c r="E1973" s="13">
        <f t="shared" si="2"/>
        <v>17</v>
      </c>
    </row>
    <row r="1974">
      <c r="A1974" s="4" t="s">
        <v>2300</v>
      </c>
      <c r="B1974" s="4" t="s">
        <v>2298</v>
      </c>
      <c r="C1974" s="12">
        <f>IFERROR(__xludf.DUMMYFUNCTION("""COMPUTED_VALUE"""),44662.71577546296)</f>
        <v>44662.71578</v>
      </c>
      <c r="D1974" s="13">
        <f t="shared" si="1"/>
        <v>11</v>
      </c>
      <c r="E1974" s="13">
        <f t="shared" si="2"/>
        <v>17</v>
      </c>
    </row>
    <row r="1975">
      <c r="A1975" s="4" t="s">
        <v>2301</v>
      </c>
      <c r="B1975" s="4" t="s">
        <v>2291</v>
      </c>
      <c r="C1975" s="12">
        <f>IFERROR(__xludf.DUMMYFUNCTION("""COMPUTED_VALUE"""),44662.71568287037)</f>
        <v>44662.71568</v>
      </c>
      <c r="D1975" s="13">
        <f t="shared" si="1"/>
        <v>11</v>
      </c>
      <c r="E1975" s="13">
        <f t="shared" si="2"/>
        <v>17</v>
      </c>
    </row>
    <row r="1976">
      <c r="A1976" s="4" t="s">
        <v>2302</v>
      </c>
      <c r="B1976" s="16"/>
      <c r="C1976" s="12">
        <f>IFERROR(__xludf.DUMMYFUNCTION("""COMPUTED_VALUE"""),44662.71530092592)</f>
        <v>44662.7153</v>
      </c>
      <c r="D1976" s="13">
        <f t="shared" si="1"/>
        <v>11</v>
      </c>
      <c r="E1976" s="13">
        <f t="shared" si="2"/>
        <v>17</v>
      </c>
    </row>
    <row r="1977">
      <c r="A1977" s="4" t="s">
        <v>2303</v>
      </c>
      <c r="B1977" s="16"/>
      <c r="C1977" s="12">
        <f>IFERROR(__xludf.DUMMYFUNCTION("""COMPUTED_VALUE"""),44662.71498842593)</f>
        <v>44662.71499</v>
      </c>
      <c r="D1977" s="13">
        <f t="shared" si="1"/>
        <v>11</v>
      </c>
      <c r="E1977" s="13">
        <f t="shared" si="2"/>
        <v>17</v>
      </c>
    </row>
    <row r="1978">
      <c r="A1978" s="4" t="s">
        <v>2304</v>
      </c>
      <c r="B1978" s="16"/>
      <c r="C1978" s="12">
        <f>IFERROR(__xludf.DUMMYFUNCTION("""COMPUTED_VALUE"""),44662.71456018518)</f>
        <v>44662.71456</v>
      </c>
      <c r="D1978" s="13">
        <f t="shared" si="1"/>
        <v>11</v>
      </c>
      <c r="E1978" s="13">
        <f t="shared" si="2"/>
        <v>17</v>
      </c>
    </row>
    <row r="1979">
      <c r="A1979" s="4" t="s">
        <v>2305</v>
      </c>
      <c r="B1979" s="4" t="s">
        <v>2306</v>
      </c>
      <c r="C1979" s="12">
        <f>IFERROR(__xludf.DUMMYFUNCTION("""COMPUTED_VALUE"""),44662.71445601852)</f>
        <v>44662.71446</v>
      </c>
      <c r="D1979" s="13">
        <f t="shared" si="1"/>
        <v>11</v>
      </c>
      <c r="E1979" s="13">
        <f t="shared" si="2"/>
        <v>17</v>
      </c>
    </row>
    <row r="1980">
      <c r="A1980" s="4" t="s">
        <v>2307</v>
      </c>
      <c r="B1980" s="16"/>
      <c r="C1980" s="12">
        <f>IFERROR(__xludf.DUMMYFUNCTION("""COMPUTED_VALUE"""),44662.71440972222)</f>
        <v>44662.71441</v>
      </c>
      <c r="D1980" s="13">
        <f t="shared" si="1"/>
        <v>11</v>
      </c>
      <c r="E1980" s="13">
        <f t="shared" si="2"/>
        <v>17</v>
      </c>
    </row>
    <row r="1981">
      <c r="A1981" s="4" t="s">
        <v>2308</v>
      </c>
      <c r="B1981" s="16"/>
      <c r="C1981" s="12">
        <f>IFERROR(__xludf.DUMMYFUNCTION("""COMPUTED_VALUE"""),44662.71435185185)</f>
        <v>44662.71435</v>
      </c>
      <c r="D1981" s="13">
        <f t="shared" si="1"/>
        <v>11</v>
      </c>
      <c r="E1981" s="13">
        <f t="shared" si="2"/>
        <v>17</v>
      </c>
    </row>
    <row r="1982">
      <c r="A1982" s="4" t="s">
        <v>2309</v>
      </c>
      <c r="B1982" s="4" t="s">
        <v>2310</v>
      </c>
      <c r="C1982" s="12">
        <f>IFERROR(__xludf.DUMMYFUNCTION("""COMPUTED_VALUE"""),44662.71421296296)</f>
        <v>44662.71421</v>
      </c>
      <c r="D1982" s="13">
        <f t="shared" si="1"/>
        <v>11</v>
      </c>
      <c r="E1982" s="13">
        <f t="shared" si="2"/>
        <v>17</v>
      </c>
    </row>
    <row r="1983">
      <c r="A1983" s="4" t="s">
        <v>2311</v>
      </c>
      <c r="B1983" s="4" t="s">
        <v>264</v>
      </c>
      <c r="C1983" s="12">
        <f>IFERROR(__xludf.DUMMYFUNCTION("""COMPUTED_VALUE"""),44662.71418981481)</f>
        <v>44662.71419</v>
      </c>
      <c r="D1983" s="13">
        <f t="shared" si="1"/>
        <v>11</v>
      </c>
      <c r="E1983" s="13">
        <f t="shared" si="2"/>
        <v>17</v>
      </c>
    </row>
    <row r="1984">
      <c r="A1984" s="4" t="s">
        <v>2312</v>
      </c>
      <c r="B1984" s="4" t="s">
        <v>2313</v>
      </c>
      <c r="C1984" s="12">
        <f>IFERROR(__xludf.DUMMYFUNCTION("""COMPUTED_VALUE"""),44662.7139699074)</f>
        <v>44662.71397</v>
      </c>
      <c r="D1984" s="13">
        <f t="shared" si="1"/>
        <v>11</v>
      </c>
      <c r="E1984" s="13">
        <f t="shared" si="2"/>
        <v>17</v>
      </c>
    </row>
    <row r="1985">
      <c r="A1985" s="4" t="s">
        <v>2314</v>
      </c>
      <c r="B1985" s="4" t="s">
        <v>2315</v>
      </c>
      <c r="C1985" s="12">
        <f>IFERROR(__xludf.DUMMYFUNCTION("""COMPUTED_VALUE"""),44662.71328703703)</f>
        <v>44662.71329</v>
      </c>
      <c r="D1985" s="13">
        <f t="shared" si="1"/>
        <v>11</v>
      </c>
      <c r="E1985" s="13">
        <f t="shared" si="2"/>
        <v>17</v>
      </c>
    </row>
    <row r="1986">
      <c r="A1986" s="4" t="s">
        <v>2316</v>
      </c>
      <c r="B1986" s="4" t="s">
        <v>2317</v>
      </c>
      <c r="C1986" s="12">
        <f>IFERROR(__xludf.DUMMYFUNCTION("""COMPUTED_VALUE"""),44662.712546296294)</f>
        <v>44662.71255</v>
      </c>
      <c r="D1986" s="13">
        <f t="shared" si="1"/>
        <v>11</v>
      </c>
      <c r="E1986" s="13">
        <f t="shared" si="2"/>
        <v>17</v>
      </c>
    </row>
    <row r="1987">
      <c r="A1987" s="4" t="s">
        <v>2318</v>
      </c>
      <c r="B1987" s="4" t="s">
        <v>2317</v>
      </c>
      <c r="C1987" s="12">
        <f>IFERROR(__xludf.DUMMYFUNCTION("""COMPUTED_VALUE"""),44662.71252314815)</f>
        <v>44662.71252</v>
      </c>
      <c r="D1987" s="13">
        <f t="shared" si="1"/>
        <v>11</v>
      </c>
      <c r="E1987" s="13">
        <f t="shared" si="2"/>
        <v>17</v>
      </c>
    </row>
    <row r="1988">
      <c r="A1988" s="4" t="s">
        <v>2319</v>
      </c>
      <c r="B1988" s="4" t="s">
        <v>2320</v>
      </c>
      <c r="C1988" s="12">
        <f>IFERROR(__xludf.DUMMYFUNCTION("""COMPUTED_VALUE"""),44662.71136574074)</f>
        <v>44662.71137</v>
      </c>
      <c r="D1988" s="13">
        <f t="shared" si="1"/>
        <v>11</v>
      </c>
      <c r="E1988" s="13">
        <f t="shared" si="2"/>
        <v>17</v>
      </c>
    </row>
    <row r="1989">
      <c r="A1989" s="4" t="s">
        <v>2321</v>
      </c>
      <c r="B1989" s="16"/>
      <c r="C1989" s="12">
        <f>IFERROR(__xludf.DUMMYFUNCTION("""COMPUTED_VALUE"""),44662.710138888884)</f>
        <v>44662.71014</v>
      </c>
      <c r="D1989" s="13">
        <f t="shared" si="1"/>
        <v>11</v>
      </c>
      <c r="E1989" s="13">
        <f t="shared" si="2"/>
        <v>17</v>
      </c>
    </row>
    <row r="1990">
      <c r="A1990" s="4" t="s">
        <v>2322</v>
      </c>
      <c r="B1990" s="4" t="s">
        <v>240</v>
      </c>
      <c r="C1990" s="12">
        <f>IFERROR(__xludf.DUMMYFUNCTION("""COMPUTED_VALUE"""),44662.709965277776)</f>
        <v>44662.70997</v>
      </c>
      <c r="D1990" s="13">
        <f t="shared" si="1"/>
        <v>11</v>
      </c>
      <c r="E1990" s="13">
        <f t="shared" si="2"/>
        <v>17</v>
      </c>
    </row>
    <row r="1991">
      <c r="A1991" s="4" t="s">
        <v>2323</v>
      </c>
      <c r="B1991" s="4" t="s">
        <v>240</v>
      </c>
      <c r="C1991" s="12">
        <f>IFERROR(__xludf.DUMMYFUNCTION("""COMPUTED_VALUE"""),44662.709872685184)</f>
        <v>44662.70987</v>
      </c>
      <c r="D1991" s="13">
        <f t="shared" si="1"/>
        <v>11</v>
      </c>
      <c r="E1991" s="13">
        <f t="shared" si="2"/>
        <v>17</v>
      </c>
    </row>
    <row r="1992">
      <c r="A1992" s="4" t="s">
        <v>2324</v>
      </c>
      <c r="B1992" s="4" t="s">
        <v>1321</v>
      </c>
      <c r="C1992" s="12">
        <f>IFERROR(__xludf.DUMMYFUNCTION("""COMPUTED_VALUE"""),44662.70951388888)</f>
        <v>44662.70951</v>
      </c>
      <c r="D1992" s="13">
        <f t="shared" si="1"/>
        <v>11</v>
      </c>
      <c r="E1992" s="13">
        <f t="shared" si="2"/>
        <v>17</v>
      </c>
    </row>
    <row r="1993">
      <c r="A1993" s="4" t="s">
        <v>2325</v>
      </c>
      <c r="B1993" s="16"/>
      <c r="C1993" s="12">
        <f>IFERROR(__xludf.DUMMYFUNCTION("""COMPUTED_VALUE"""),44662.70942129629)</f>
        <v>44662.70942</v>
      </c>
      <c r="D1993" s="13">
        <f t="shared" si="1"/>
        <v>11</v>
      </c>
      <c r="E1993" s="13">
        <f t="shared" si="2"/>
        <v>17</v>
      </c>
    </row>
    <row r="1994">
      <c r="A1994" s="4" t="s">
        <v>2326</v>
      </c>
      <c r="B1994" s="16"/>
      <c r="C1994" s="12">
        <f>IFERROR(__xludf.DUMMYFUNCTION("""COMPUTED_VALUE"""),44662.709143518514)</f>
        <v>44662.70914</v>
      </c>
      <c r="D1994" s="13">
        <f t="shared" si="1"/>
        <v>11</v>
      </c>
      <c r="E1994" s="13">
        <f t="shared" si="2"/>
        <v>17</v>
      </c>
    </row>
    <row r="1995">
      <c r="A1995" s="4" t="s">
        <v>2327</v>
      </c>
      <c r="B1995" s="16"/>
      <c r="C1995" s="12">
        <f>IFERROR(__xludf.DUMMYFUNCTION("""COMPUTED_VALUE"""),44662.70910879629)</f>
        <v>44662.70911</v>
      </c>
      <c r="D1995" s="13">
        <f t="shared" si="1"/>
        <v>11</v>
      </c>
      <c r="E1995" s="13">
        <f t="shared" si="2"/>
        <v>17</v>
      </c>
    </row>
    <row r="1996">
      <c r="A1996" s="4" t="s">
        <v>2327</v>
      </c>
      <c r="B1996" s="4" t="s">
        <v>2328</v>
      </c>
      <c r="C1996" s="12">
        <f>IFERROR(__xludf.DUMMYFUNCTION("""COMPUTED_VALUE"""),44662.70910879629)</f>
        <v>44662.70911</v>
      </c>
      <c r="D1996" s="13">
        <f t="shared" si="1"/>
        <v>11</v>
      </c>
      <c r="E1996" s="13">
        <f t="shared" si="2"/>
        <v>17</v>
      </c>
    </row>
    <row r="1997">
      <c r="A1997" s="4" t="s">
        <v>2329</v>
      </c>
      <c r="B1997" s="16"/>
      <c r="C1997" s="12">
        <f>IFERROR(__xludf.DUMMYFUNCTION("""COMPUTED_VALUE"""),44662.7090625)</f>
        <v>44662.70906</v>
      </c>
      <c r="D1997" s="13">
        <f t="shared" si="1"/>
        <v>11</v>
      </c>
      <c r="E1997" s="13">
        <f t="shared" si="2"/>
        <v>17</v>
      </c>
    </row>
    <row r="1998">
      <c r="A1998" s="4" t="s">
        <v>2330</v>
      </c>
      <c r="B1998" s="16"/>
      <c r="C1998" s="12">
        <f>IFERROR(__xludf.DUMMYFUNCTION("""COMPUTED_VALUE"""),44662.70895833333)</f>
        <v>44662.70896</v>
      </c>
      <c r="D1998" s="13">
        <f t="shared" si="1"/>
        <v>11</v>
      </c>
      <c r="E1998" s="13">
        <f t="shared" si="2"/>
        <v>17</v>
      </c>
    </row>
    <row r="1999">
      <c r="A1999" s="4" t="s">
        <v>2330</v>
      </c>
      <c r="B1999" s="4" t="s">
        <v>2145</v>
      </c>
      <c r="C1999" s="12">
        <f>IFERROR(__xludf.DUMMYFUNCTION("""COMPUTED_VALUE"""),44662.70895833333)</f>
        <v>44662.70896</v>
      </c>
      <c r="D1999" s="13">
        <f t="shared" si="1"/>
        <v>11</v>
      </c>
      <c r="E1999" s="13">
        <f t="shared" si="2"/>
        <v>17</v>
      </c>
    </row>
    <row r="2000">
      <c r="A2000" s="4" t="s">
        <v>2331</v>
      </c>
      <c r="B2000" s="16"/>
      <c r="C2000" s="12">
        <f>IFERROR(__xludf.DUMMYFUNCTION("""COMPUTED_VALUE"""),44662.70893518518)</f>
        <v>44662.70894</v>
      </c>
      <c r="D2000" s="13">
        <f t="shared" si="1"/>
        <v>11</v>
      </c>
      <c r="E2000" s="13">
        <f t="shared" si="2"/>
        <v>17</v>
      </c>
    </row>
    <row r="2001">
      <c r="A2001" s="4" t="s">
        <v>2332</v>
      </c>
      <c r="B2001" s="4" t="s">
        <v>2333</v>
      </c>
      <c r="C2001" s="12">
        <f>IFERROR(__xludf.DUMMYFUNCTION("""COMPUTED_VALUE"""),44662.7078587963)</f>
        <v>44662.70786</v>
      </c>
      <c r="D2001" s="13">
        <f t="shared" si="1"/>
        <v>11</v>
      </c>
      <c r="E2001" s="13">
        <f t="shared" si="2"/>
        <v>16</v>
      </c>
    </row>
    <row r="2002">
      <c r="A2002" s="4" t="s">
        <v>2334</v>
      </c>
      <c r="B2002" s="4" t="s">
        <v>1278</v>
      </c>
      <c r="C2002" s="12">
        <f>IFERROR(__xludf.DUMMYFUNCTION("""COMPUTED_VALUE"""),44662.70762731481)</f>
        <v>44662.70763</v>
      </c>
      <c r="D2002" s="13">
        <f t="shared" si="1"/>
        <v>11</v>
      </c>
      <c r="E2002" s="13">
        <f t="shared" si="2"/>
        <v>16</v>
      </c>
    </row>
    <row r="2003">
      <c r="A2003" s="4" t="s">
        <v>2335</v>
      </c>
      <c r="B2003" s="4" t="s">
        <v>1278</v>
      </c>
      <c r="C2003" s="12">
        <f>IFERROR(__xludf.DUMMYFUNCTION("""COMPUTED_VALUE"""),44662.70758101852)</f>
        <v>44662.70758</v>
      </c>
      <c r="D2003" s="13">
        <f t="shared" si="1"/>
        <v>11</v>
      </c>
      <c r="E2003" s="13">
        <f t="shared" si="2"/>
        <v>16</v>
      </c>
    </row>
    <row r="2004">
      <c r="A2004" s="4" t="s">
        <v>2336</v>
      </c>
      <c r="B2004" s="4" t="s">
        <v>1278</v>
      </c>
      <c r="C2004" s="12">
        <f>IFERROR(__xludf.DUMMYFUNCTION("""COMPUTED_VALUE"""),44662.7075462963)</f>
        <v>44662.70755</v>
      </c>
      <c r="D2004" s="13">
        <f t="shared" si="1"/>
        <v>11</v>
      </c>
      <c r="E2004" s="13">
        <f t="shared" si="2"/>
        <v>16</v>
      </c>
    </row>
    <row r="2005">
      <c r="A2005" s="4" t="s">
        <v>2337</v>
      </c>
      <c r="B2005" s="4" t="s">
        <v>2338</v>
      </c>
      <c r="C2005" s="12">
        <f>IFERROR(__xludf.DUMMYFUNCTION("""COMPUTED_VALUE"""),44662.70736111111)</f>
        <v>44662.70736</v>
      </c>
      <c r="D2005" s="13">
        <f t="shared" si="1"/>
        <v>11</v>
      </c>
      <c r="E2005" s="13">
        <f t="shared" si="2"/>
        <v>16</v>
      </c>
    </row>
    <row r="2006">
      <c r="A2006" s="4" t="s">
        <v>2339</v>
      </c>
      <c r="B2006" s="4" t="s">
        <v>880</v>
      </c>
      <c r="C2006" s="12">
        <f>IFERROR(__xludf.DUMMYFUNCTION("""COMPUTED_VALUE"""),44662.70640046296)</f>
        <v>44662.7064</v>
      </c>
      <c r="D2006" s="13">
        <f t="shared" si="1"/>
        <v>11</v>
      </c>
      <c r="E2006" s="13">
        <f t="shared" si="2"/>
        <v>16</v>
      </c>
    </row>
    <row r="2007">
      <c r="A2007" s="4" t="s">
        <v>2340</v>
      </c>
      <c r="B2007" s="16"/>
      <c r="C2007" s="12">
        <f>IFERROR(__xludf.DUMMYFUNCTION("""COMPUTED_VALUE"""),44662.70581018518)</f>
        <v>44662.70581</v>
      </c>
      <c r="D2007" s="13">
        <f t="shared" si="1"/>
        <v>11</v>
      </c>
      <c r="E2007" s="13">
        <f t="shared" si="2"/>
        <v>16</v>
      </c>
    </row>
    <row r="2008">
      <c r="A2008" s="4" t="s">
        <v>2341</v>
      </c>
      <c r="B2008" s="16"/>
      <c r="C2008" s="12">
        <f>IFERROR(__xludf.DUMMYFUNCTION("""COMPUTED_VALUE"""),44662.705775462964)</f>
        <v>44662.70578</v>
      </c>
      <c r="D2008" s="13">
        <f t="shared" si="1"/>
        <v>11</v>
      </c>
      <c r="E2008" s="13">
        <f t="shared" si="2"/>
        <v>16</v>
      </c>
    </row>
    <row r="2009">
      <c r="A2009" s="4" t="s">
        <v>2341</v>
      </c>
      <c r="B2009" s="4" t="s">
        <v>2342</v>
      </c>
      <c r="C2009" s="12">
        <f>IFERROR(__xludf.DUMMYFUNCTION("""COMPUTED_VALUE"""),44662.705775462964)</f>
        <v>44662.70578</v>
      </c>
      <c r="D2009" s="13">
        <f t="shared" si="1"/>
        <v>11</v>
      </c>
      <c r="E2009" s="13">
        <f t="shared" si="2"/>
        <v>16</v>
      </c>
    </row>
    <row r="2010">
      <c r="A2010" s="4" t="s">
        <v>2343</v>
      </c>
      <c r="B2010" s="4" t="s">
        <v>2344</v>
      </c>
      <c r="C2010" s="12">
        <f>IFERROR(__xludf.DUMMYFUNCTION("""COMPUTED_VALUE"""),44662.70564814815)</f>
        <v>44662.70565</v>
      </c>
      <c r="D2010" s="13">
        <f t="shared" si="1"/>
        <v>11</v>
      </c>
      <c r="E2010" s="13">
        <f t="shared" si="2"/>
        <v>16</v>
      </c>
    </row>
    <row r="2011">
      <c r="A2011" s="4" t="s">
        <v>2345</v>
      </c>
      <c r="B2011" s="16"/>
      <c r="C2011" s="12">
        <f>IFERROR(__xludf.DUMMYFUNCTION("""COMPUTED_VALUE"""),44662.70552083333)</f>
        <v>44662.70552</v>
      </c>
      <c r="D2011" s="13">
        <f t="shared" si="1"/>
        <v>11</v>
      </c>
      <c r="E2011" s="13">
        <f t="shared" si="2"/>
        <v>16</v>
      </c>
    </row>
    <row r="2012">
      <c r="A2012" s="4" t="s">
        <v>2346</v>
      </c>
      <c r="B2012" s="16"/>
      <c r="C2012" s="12">
        <f>IFERROR(__xludf.DUMMYFUNCTION("""COMPUTED_VALUE"""),44662.70543981481)</f>
        <v>44662.70544</v>
      </c>
      <c r="D2012" s="13">
        <f t="shared" si="1"/>
        <v>11</v>
      </c>
      <c r="E2012" s="13">
        <f t="shared" si="2"/>
        <v>16</v>
      </c>
    </row>
    <row r="2013">
      <c r="A2013" s="4" t="s">
        <v>2347</v>
      </c>
      <c r="B2013" s="16"/>
      <c r="C2013" s="12">
        <f>IFERROR(__xludf.DUMMYFUNCTION("""COMPUTED_VALUE"""),44662.705416666664)</f>
        <v>44662.70542</v>
      </c>
      <c r="D2013" s="13">
        <f t="shared" si="1"/>
        <v>11</v>
      </c>
      <c r="E2013" s="13">
        <f t="shared" si="2"/>
        <v>16</v>
      </c>
    </row>
    <row r="2014">
      <c r="A2014" s="4" t="s">
        <v>2348</v>
      </c>
      <c r="B2014" s="4" t="s">
        <v>1385</v>
      </c>
      <c r="C2014" s="12">
        <f>IFERROR(__xludf.DUMMYFUNCTION("""COMPUTED_VALUE"""),44662.70537037037)</f>
        <v>44662.70537</v>
      </c>
      <c r="D2014" s="13">
        <f t="shared" si="1"/>
        <v>11</v>
      </c>
      <c r="E2014" s="13">
        <f t="shared" si="2"/>
        <v>16</v>
      </c>
    </row>
    <row r="2015">
      <c r="A2015" s="4" t="s">
        <v>2349</v>
      </c>
      <c r="B2015" s="16"/>
      <c r="C2015" s="12">
        <f>IFERROR(__xludf.DUMMYFUNCTION("""COMPUTED_VALUE"""),44662.705358796295)</f>
        <v>44662.70536</v>
      </c>
      <c r="D2015" s="13">
        <f t="shared" si="1"/>
        <v>11</v>
      </c>
      <c r="E2015" s="13">
        <f t="shared" si="2"/>
        <v>16</v>
      </c>
    </row>
    <row r="2016">
      <c r="A2016" s="4" t="s">
        <v>2350</v>
      </c>
      <c r="B2016" s="4" t="s">
        <v>2351</v>
      </c>
      <c r="C2016" s="12">
        <f>IFERROR(__xludf.DUMMYFUNCTION("""COMPUTED_VALUE"""),44662.7052199074)</f>
        <v>44662.70522</v>
      </c>
      <c r="D2016" s="13">
        <f t="shared" si="1"/>
        <v>11</v>
      </c>
      <c r="E2016" s="13">
        <f t="shared" si="2"/>
        <v>16</v>
      </c>
    </row>
    <row r="2017">
      <c r="A2017" s="4" t="s">
        <v>2352</v>
      </c>
      <c r="B2017" s="16"/>
      <c r="C2017" s="12">
        <f>IFERROR(__xludf.DUMMYFUNCTION("""COMPUTED_VALUE"""),44662.704999999994)</f>
        <v>44662.705</v>
      </c>
      <c r="D2017" s="13">
        <f t="shared" si="1"/>
        <v>11</v>
      </c>
      <c r="E2017" s="13">
        <f t="shared" si="2"/>
        <v>16</v>
      </c>
    </row>
    <row r="2018">
      <c r="A2018" s="4" t="s">
        <v>2353</v>
      </c>
      <c r="B2018" s="16"/>
      <c r="C2018" s="12">
        <f>IFERROR(__xludf.DUMMYFUNCTION("""COMPUTED_VALUE"""),44662.70497685185)</f>
        <v>44662.70498</v>
      </c>
      <c r="D2018" s="13">
        <f t="shared" si="1"/>
        <v>11</v>
      </c>
      <c r="E2018" s="13">
        <f t="shared" si="2"/>
        <v>16</v>
      </c>
    </row>
    <row r="2019">
      <c r="A2019" s="4" t="s">
        <v>2354</v>
      </c>
      <c r="B2019" s="16"/>
      <c r="C2019" s="12">
        <f>IFERROR(__xludf.DUMMYFUNCTION("""COMPUTED_VALUE"""),44662.70445601852)</f>
        <v>44662.70446</v>
      </c>
      <c r="D2019" s="13">
        <f t="shared" si="1"/>
        <v>11</v>
      </c>
      <c r="E2019" s="13">
        <f t="shared" si="2"/>
        <v>16</v>
      </c>
    </row>
    <row r="2020">
      <c r="A2020" s="4" t="s">
        <v>2354</v>
      </c>
      <c r="B2020" s="4" t="s">
        <v>1385</v>
      </c>
      <c r="C2020" s="12">
        <f>IFERROR(__xludf.DUMMYFUNCTION("""COMPUTED_VALUE"""),44662.70445601852)</f>
        <v>44662.70446</v>
      </c>
      <c r="D2020" s="13">
        <f t="shared" si="1"/>
        <v>11</v>
      </c>
      <c r="E2020" s="13">
        <f t="shared" si="2"/>
        <v>16</v>
      </c>
    </row>
    <row r="2021">
      <c r="A2021" s="4" t="s">
        <v>2355</v>
      </c>
      <c r="B2021" s="4" t="s">
        <v>2356</v>
      </c>
      <c r="C2021" s="12">
        <f>IFERROR(__xludf.DUMMYFUNCTION("""COMPUTED_VALUE"""),44662.70410879629)</f>
        <v>44662.70411</v>
      </c>
      <c r="D2021" s="13">
        <f t="shared" si="1"/>
        <v>11</v>
      </c>
      <c r="E2021" s="13">
        <f t="shared" si="2"/>
        <v>16</v>
      </c>
    </row>
    <row r="2022">
      <c r="A2022" s="4" t="s">
        <v>2357</v>
      </c>
      <c r="B2022" s="4" t="s">
        <v>2356</v>
      </c>
      <c r="C2022" s="12">
        <f>IFERROR(__xludf.DUMMYFUNCTION("""COMPUTED_VALUE"""),44662.70403935185)</f>
        <v>44662.70404</v>
      </c>
      <c r="D2022" s="13">
        <f t="shared" si="1"/>
        <v>11</v>
      </c>
      <c r="E2022" s="13">
        <f t="shared" si="2"/>
        <v>16</v>
      </c>
    </row>
    <row r="2023">
      <c r="A2023" s="4" t="s">
        <v>2358</v>
      </c>
      <c r="B2023" s="4" t="s">
        <v>2356</v>
      </c>
      <c r="C2023" s="12">
        <f>IFERROR(__xludf.DUMMYFUNCTION("""COMPUTED_VALUE"""),44662.70402777778)</f>
        <v>44662.70403</v>
      </c>
      <c r="D2023" s="13">
        <f t="shared" si="1"/>
        <v>11</v>
      </c>
      <c r="E2023" s="13">
        <f t="shared" si="2"/>
        <v>16</v>
      </c>
    </row>
    <row r="2024">
      <c r="A2024" s="4" t="s">
        <v>2359</v>
      </c>
      <c r="B2024" s="16"/>
      <c r="C2024" s="12">
        <f>IFERROR(__xludf.DUMMYFUNCTION("""COMPUTED_VALUE"""),44662.704004629624)</f>
        <v>44662.704</v>
      </c>
      <c r="D2024" s="13">
        <f t="shared" si="1"/>
        <v>11</v>
      </c>
      <c r="E2024" s="13">
        <f t="shared" si="2"/>
        <v>16</v>
      </c>
    </row>
    <row r="2025">
      <c r="A2025" s="4" t="s">
        <v>2360</v>
      </c>
      <c r="B2025" s="4" t="s">
        <v>2356</v>
      </c>
      <c r="C2025" s="12">
        <f>IFERROR(__xludf.DUMMYFUNCTION("""COMPUTED_VALUE"""),44662.70396990741)</f>
        <v>44662.70397</v>
      </c>
      <c r="D2025" s="13">
        <f t="shared" si="1"/>
        <v>11</v>
      </c>
      <c r="E2025" s="13">
        <f t="shared" si="2"/>
        <v>16</v>
      </c>
    </row>
    <row r="2026">
      <c r="A2026" s="4" t="s">
        <v>2361</v>
      </c>
      <c r="B2026" s="4" t="s">
        <v>2356</v>
      </c>
      <c r="C2026" s="12">
        <f>IFERROR(__xludf.DUMMYFUNCTION("""COMPUTED_VALUE"""),44662.703946759255)</f>
        <v>44662.70395</v>
      </c>
      <c r="D2026" s="13">
        <f t="shared" si="1"/>
        <v>11</v>
      </c>
      <c r="E2026" s="13">
        <f t="shared" si="2"/>
        <v>16</v>
      </c>
    </row>
    <row r="2027">
      <c r="A2027" s="4" t="s">
        <v>2362</v>
      </c>
      <c r="B2027" s="4" t="s">
        <v>2356</v>
      </c>
      <c r="C2027" s="12">
        <f>IFERROR(__xludf.DUMMYFUNCTION("""COMPUTED_VALUE"""),44662.70390046296)</f>
        <v>44662.7039</v>
      </c>
      <c r="D2027" s="13">
        <f t="shared" si="1"/>
        <v>11</v>
      </c>
      <c r="E2027" s="13">
        <f t="shared" si="2"/>
        <v>16</v>
      </c>
    </row>
    <row r="2028">
      <c r="A2028" s="4" t="s">
        <v>2363</v>
      </c>
      <c r="B2028" s="16"/>
      <c r="C2028" s="12">
        <f>IFERROR(__xludf.DUMMYFUNCTION("""COMPUTED_VALUE"""),44662.70387731481)</f>
        <v>44662.70388</v>
      </c>
      <c r="D2028" s="13">
        <f t="shared" si="1"/>
        <v>11</v>
      </c>
      <c r="E2028" s="13">
        <f t="shared" si="2"/>
        <v>16</v>
      </c>
    </row>
    <row r="2029">
      <c r="A2029" s="4" t="s">
        <v>2364</v>
      </c>
      <c r="B2029" s="16"/>
      <c r="C2029" s="12">
        <f>IFERROR(__xludf.DUMMYFUNCTION("""COMPUTED_VALUE"""),44662.70347222222)</f>
        <v>44662.70347</v>
      </c>
      <c r="D2029" s="13">
        <f t="shared" si="1"/>
        <v>11</v>
      </c>
      <c r="E2029" s="13">
        <f t="shared" si="2"/>
        <v>16</v>
      </c>
    </row>
    <row r="2030">
      <c r="A2030" s="4" t="s">
        <v>2365</v>
      </c>
      <c r="B2030" s="4" t="s">
        <v>2356</v>
      </c>
      <c r="C2030" s="12">
        <f>IFERROR(__xludf.DUMMYFUNCTION("""COMPUTED_VALUE"""),44662.70342592592)</f>
        <v>44662.70343</v>
      </c>
      <c r="D2030" s="13">
        <f t="shared" si="1"/>
        <v>11</v>
      </c>
      <c r="E2030" s="13">
        <f t="shared" si="2"/>
        <v>16</v>
      </c>
    </row>
    <row r="2031">
      <c r="A2031" s="4" t="s">
        <v>2366</v>
      </c>
      <c r="B2031" s="4" t="s">
        <v>2356</v>
      </c>
      <c r="C2031" s="12">
        <f>IFERROR(__xludf.DUMMYFUNCTION("""COMPUTED_VALUE"""),44662.70341435185)</f>
        <v>44662.70341</v>
      </c>
      <c r="D2031" s="13">
        <f t="shared" si="1"/>
        <v>11</v>
      </c>
      <c r="E2031" s="13">
        <f t="shared" si="2"/>
        <v>16</v>
      </c>
    </row>
    <row r="2032">
      <c r="A2032" s="4" t="s">
        <v>2367</v>
      </c>
      <c r="B2032" s="4" t="s">
        <v>2356</v>
      </c>
      <c r="C2032" s="12">
        <f>IFERROR(__xludf.DUMMYFUNCTION("""COMPUTED_VALUE"""),44662.7033912037)</f>
        <v>44662.70339</v>
      </c>
      <c r="D2032" s="13">
        <f t="shared" si="1"/>
        <v>11</v>
      </c>
      <c r="E2032" s="13">
        <f t="shared" si="2"/>
        <v>16</v>
      </c>
    </row>
    <row r="2033">
      <c r="A2033" s="4" t="s">
        <v>2368</v>
      </c>
      <c r="B2033" s="4" t="s">
        <v>2356</v>
      </c>
      <c r="C2033" s="12">
        <f>IFERROR(__xludf.DUMMYFUNCTION("""COMPUTED_VALUE"""),44662.70335648148)</f>
        <v>44662.70336</v>
      </c>
      <c r="D2033" s="13">
        <f t="shared" si="1"/>
        <v>11</v>
      </c>
      <c r="E2033" s="13">
        <f t="shared" si="2"/>
        <v>16</v>
      </c>
    </row>
    <row r="2034">
      <c r="A2034" s="4" t="s">
        <v>2369</v>
      </c>
      <c r="B2034" s="4" t="s">
        <v>2356</v>
      </c>
      <c r="C2034" s="12">
        <f>IFERROR(__xludf.DUMMYFUNCTION("""COMPUTED_VALUE"""),44662.70334490741)</f>
        <v>44662.70334</v>
      </c>
      <c r="D2034" s="13">
        <f t="shared" si="1"/>
        <v>11</v>
      </c>
      <c r="E2034" s="13">
        <f t="shared" si="2"/>
        <v>16</v>
      </c>
    </row>
    <row r="2035">
      <c r="A2035" s="4" t="s">
        <v>2370</v>
      </c>
      <c r="B2035" s="4" t="s">
        <v>2356</v>
      </c>
      <c r="C2035" s="12">
        <f>IFERROR(__xludf.DUMMYFUNCTION("""COMPUTED_VALUE"""),44662.703321759254)</f>
        <v>44662.70332</v>
      </c>
      <c r="D2035" s="13">
        <f t="shared" si="1"/>
        <v>11</v>
      </c>
      <c r="E2035" s="13">
        <f t="shared" si="2"/>
        <v>16</v>
      </c>
    </row>
    <row r="2036">
      <c r="A2036" s="4" t="s">
        <v>2371</v>
      </c>
      <c r="B2036" s="16"/>
      <c r="C2036" s="12">
        <f>IFERROR(__xludf.DUMMYFUNCTION("""COMPUTED_VALUE"""),44662.70329861111)</f>
        <v>44662.7033</v>
      </c>
      <c r="D2036" s="13">
        <f t="shared" si="1"/>
        <v>11</v>
      </c>
      <c r="E2036" s="13">
        <f t="shared" si="2"/>
        <v>16</v>
      </c>
    </row>
    <row r="2037">
      <c r="A2037" s="4" t="s">
        <v>2372</v>
      </c>
      <c r="B2037" s="4" t="s">
        <v>2356</v>
      </c>
      <c r="C2037" s="12">
        <f>IFERROR(__xludf.DUMMYFUNCTION("""COMPUTED_VALUE"""),44662.70327546296)</f>
        <v>44662.70328</v>
      </c>
      <c r="D2037" s="13">
        <f t="shared" si="1"/>
        <v>11</v>
      </c>
      <c r="E2037" s="13">
        <f t="shared" si="2"/>
        <v>16</v>
      </c>
    </row>
    <row r="2038">
      <c r="A2038" s="4" t="s">
        <v>2373</v>
      </c>
      <c r="B2038" s="4" t="s">
        <v>2356</v>
      </c>
      <c r="C2038" s="12">
        <f>IFERROR(__xludf.DUMMYFUNCTION("""COMPUTED_VALUE"""),44662.70322916666)</f>
        <v>44662.70323</v>
      </c>
      <c r="D2038" s="13">
        <f t="shared" si="1"/>
        <v>11</v>
      </c>
      <c r="E2038" s="13">
        <f t="shared" si="2"/>
        <v>16</v>
      </c>
    </row>
    <row r="2039">
      <c r="A2039" s="4" t="s">
        <v>2374</v>
      </c>
      <c r="B2039" s="16"/>
      <c r="C2039" s="12">
        <f>IFERROR(__xludf.DUMMYFUNCTION("""COMPUTED_VALUE"""),44662.70304398148)</f>
        <v>44662.70304</v>
      </c>
      <c r="D2039" s="13">
        <f t="shared" si="1"/>
        <v>11</v>
      </c>
      <c r="E2039" s="13">
        <f t="shared" si="2"/>
        <v>16</v>
      </c>
    </row>
    <row r="2040">
      <c r="A2040" s="4" t="s">
        <v>2375</v>
      </c>
      <c r="B2040" s="4" t="s">
        <v>2266</v>
      </c>
      <c r="C2040" s="12">
        <f>IFERROR(__xludf.DUMMYFUNCTION("""COMPUTED_VALUE"""),44662.70303240741)</f>
        <v>44662.70303</v>
      </c>
      <c r="D2040" s="13">
        <f t="shared" si="1"/>
        <v>11</v>
      </c>
      <c r="E2040" s="13">
        <f t="shared" si="2"/>
        <v>16</v>
      </c>
    </row>
    <row r="2041">
      <c r="A2041" s="4" t="s">
        <v>2376</v>
      </c>
      <c r="B2041" s="4" t="s">
        <v>2266</v>
      </c>
      <c r="C2041" s="12">
        <f>IFERROR(__xludf.DUMMYFUNCTION("""COMPUTED_VALUE"""),44662.702951388885)</f>
        <v>44662.70295</v>
      </c>
      <c r="D2041" s="13">
        <f t="shared" si="1"/>
        <v>11</v>
      </c>
      <c r="E2041" s="13">
        <f t="shared" si="2"/>
        <v>16</v>
      </c>
    </row>
    <row r="2042">
      <c r="A2042" s="4" t="s">
        <v>2377</v>
      </c>
      <c r="B2042" s="4" t="s">
        <v>2356</v>
      </c>
      <c r="C2042" s="12">
        <f>IFERROR(__xludf.DUMMYFUNCTION("""COMPUTED_VALUE"""),44662.702939814815)</f>
        <v>44662.70294</v>
      </c>
      <c r="D2042" s="13">
        <f t="shared" si="1"/>
        <v>11</v>
      </c>
      <c r="E2042" s="13">
        <f t="shared" si="2"/>
        <v>16</v>
      </c>
    </row>
    <row r="2043">
      <c r="A2043" s="4" t="s">
        <v>2378</v>
      </c>
      <c r="B2043" s="16"/>
      <c r="C2043" s="12">
        <f>IFERROR(__xludf.DUMMYFUNCTION("""COMPUTED_VALUE"""),44662.70285879629)</f>
        <v>44662.70286</v>
      </c>
      <c r="D2043" s="13">
        <f t="shared" si="1"/>
        <v>11</v>
      </c>
      <c r="E2043" s="13">
        <f t="shared" si="2"/>
        <v>16</v>
      </c>
    </row>
    <row r="2044">
      <c r="A2044" s="4" t="s">
        <v>2379</v>
      </c>
      <c r="B2044" s="16"/>
      <c r="C2044" s="12">
        <f>IFERROR(__xludf.DUMMYFUNCTION("""COMPUTED_VALUE"""),44662.702835648146)</f>
        <v>44662.70284</v>
      </c>
      <c r="D2044" s="13">
        <f t="shared" si="1"/>
        <v>11</v>
      </c>
      <c r="E2044" s="13">
        <f t="shared" si="2"/>
        <v>16</v>
      </c>
    </row>
    <row r="2045">
      <c r="A2045" s="4" t="s">
        <v>2380</v>
      </c>
      <c r="B2045" s="4" t="s">
        <v>2356</v>
      </c>
      <c r="C2045" s="12">
        <f>IFERROR(__xludf.DUMMYFUNCTION("""COMPUTED_VALUE"""),44662.7028125)</f>
        <v>44662.70281</v>
      </c>
      <c r="D2045" s="13">
        <f t="shared" si="1"/>
        <v>11</v>
      </c>
      <c r="E2045" s="13">
        <f t="shared" si="2"/>
        <v>16</v>
      </c>
    </row>
    <row r="2046">
      <c r="A2046" s="4" t="s">
        <v>2381</v>
      </c>
      <c r="B2046" s="4" t="s">
        <v>2037</v>
      </c>
      <c r="C2046" s="12">
        <f>IFERROR(__xludf.DUMMYFUNCTION("""COMPUTED_VALUE"""),44662.70255787037)</f>
        <v>44662.70256</v>
      </c>
      <c r="D2046" s="13">
        <f t="shared" si="1"/>
        <v>11</v>
      </c>
      <c r="E2046" s="13">
        <f t="shared" si="2"/>
        <v>16</v>
      </c>
    </row>
    <row r="2047">
      <c r="A2047" s="4" t="s">
        <v>2382</v>
      </c>
      <c r="B2047" s="16"/>
      <c r="C2047" s="12">
        <f>IFERROR(__xludf.DUMMYFUNCTION("""COMPUTED_VALUE"""),44662.70228009259)</f>
        <v>44662.70228</v>
      </c>
      <c r="D2047" s="13">
        <f t="shared" si="1"/>
        <v>11</v>
      </c>
      <c r="E2047" s="13">
        <f t="shared" si="2"/>
        <v>16</v>
      </c>
    </row>
    <row r="2048">
      <c r="A2048" s="4" t="s">
        <v>2383</v>
      </c>
      <c r="B2048" s="4" t="s">
        <v>1385</v>
      </c>
      <c r="C2048" s="12">
        <f>IFERROR(__xludf.DUMMYFUNCTION("""COMPUTED_VALUE"""),44662.702256944445)</f>
        <v>44662.70226</v>
      </c>
      <c r="D2048" s="13">
        <f t="shared" si="1"/>
        <v>11</v>
      </c>
      <c r="E2048" s="13">
        <f t="shared" si="2"/>
        <v>16</v>
      </c>
    </row>
    <row r="2049">
      <c r="A2049" s="4" t="s">
        <v>2384</v>
      </c>
      <c r="B2049" s="4" t="s">
        <v>2385</v>
      </c>
      <c r="C2049" s="12">
        <f>IFERROR(__xludf.DUMMYFUNCTION("""COMPUTED_VALUE"""),44662.70199074074)</f>
        <v>44662.70199</v>
      </c>
      <c r="D2049" s="13">
        <f t="shared" si="1"/>
        <v>11</v>
      </c>
      <c r="E2049" s="13">
        <f t="shared" si="2"/>
        <v>16</v>
      </c>
    </row>
    <row r="2050">
      <c r="A2050" s="4" t="s">
        <v>2386</v>
      </c>
      <c r="B2050" s="4" t="s">
        <v>1385</v>
      </c>
      <c r="C2050" s="12">
        <f>IFERROR(__xludf.DUMMYFUNCTION("""COMPUTED_VALUE"""),44662.701643518514)</f>
        <v>44662.70164</v>
      </c>
      <c r="D2050" s="13">
        <f t="shared" si="1"/>
        <v>11</v>
      </c>
      <c r="E2050" s="13">
        <f t="shared" si="2"/>
        <v>16</v>
      </c>
    </row>
    <row r="2051">
      <c r="A2051" s="4" t="s">
        <v>2387</v>
      </c>
      <c r="B2051" s="4" t="s">
        <v>1385</v>
      </c>
      <c r="C2051" s="12">
        <f>IFERROR(__xludf.DUMMYFUNCTION("""COMPUTED_VALUE"""),44662.701631944445)</f>
        <v>44662.70163</v>
      </c>
      <c r="D2051" s="13">
        <f t="shared" si="1"/>
        <v>11</v>
      </c>
      <c r="E2051" s="13">
        <f t="shared" si="2"/>
        <v>16</v>
      </c>
    </row>
    <row r="2052">
      <c r="A2052" s="4" t="s">
        <v>2388</v>
      </c>
      <c r="B2052" s="4" t="s">
        <v>1385</v>
      </c>
      <c r="C2052" s="12">
        <f>IFERROR(__xludf.DUMMYFUNCTION("""COMPUTED_VALUE"""),44662.70162037037)</f>
        <v>44662.70162</v>
      </c>
      <c r="D2052" s="13">
        <f t="shared" si="1"/>
        <v>11</v>
      </c>
      <c r="E2052" s="13">
        <f t="shared" si="2"/>
        <v>16</v>
      </c>
    </row>
    <row r="2053">
      <c r="A2053" s="4" t="s">
        <v>2388</v>
      </c>
      <c r="B2053" s="4" t="s">
        <v>1385</v>
      </c>
      <c r="C2053" s="12">
        <f>IFERROR(__xludf.DUMMYFUNCTION("""COMPUTED_VALUE"""),44662.70162037037)</f>
        <v>44662.70162</v>
      </c>
      <c r="D2053" s="13">
        <f t="shared" si="1"/>
        <v>11</v>
      </c>
      <c r="E2053" s="13">
        <f t="shared" si="2"/>
        <v>16</v>
      </c>
    </row>
    <row r="2054">
      <c r="A2054" s="4" t="s">
        <v>2389</v>
      </c>
      <c r="B2054" s="4" t="s">
        <v>1385</v>
      </c>
      <c r="C2054" s="12">
        <f>IFERROR(__xludf.DUMMYFUNCTION("""COMPUTED_VALUE"""),44662.70160879629)</f>
        <v>44662.70161</v>
      </c>
      <c r="D2054" s="13">
        <f t="shared" si="1"/>
        <v>11</v>
      </c>
      <c r="E2054" s="13">
        <f t="shared" si="2"/>
        <v>16</v>
      </c>
    </row>
    <row r="2055">
      <c r="A2055" s="4" t="s">
        <v>2390</v>
      </c>
      <c r="B2055" s="4" t="s">
        <v>1385</v>
      </c>
      <c r="C2055" s="12">
        <f>IFERROR(__xludf.DUMMYFUNCTION("""COMPUTED_VALUE"""),44662.70159722222)</f>
        <v>44662.7016</v>
      </c>
      <c r="D2055" s="13">
        <f t="shared" si="1"/>
        <v>11</v>
      </c>
      <c r="E2055" s="13">
        <f t="shared" si="2"/>
        <v>16</v>
      </c>
    </row>
    <row r="2056">
      <c r="A2056" s="4" t="s">
        <v>2391</v>
      </c>
      <c r="B2056" s="4" t="s">
        <v>1385</v>
      </c>
      <c r="C2056" s="12">
        <f>IFERROR(__xludf.DUMMYFUNCTION("""COMPUTED_VALUE"""),44662.701585648145)</f>
        <v>44662.70159</v>
      </c>
      <c r="D2056" s="13">
        <f t="shared" si="1"/>
        <v>11</v>
      </c>
      <c r="E2056" s="13">
        <f t="shared" si="2"/>
        <v>16</v>
      </c>
    </row>
    <row r="2057">
      <c r="A2057" s="4" t="s">
        <v>2391</v>
      </c>
      <c r="B2057" s="4" t="s">
        <v>1385</v>
      </c>
      <c r="C2057" s="12">
        <f>IFERROR(__xludf.DUMMYFUNCTION("""COMPUTED_VALUE"""),44662.701585648145)</f>
        <v>44662.70159</v>
      </c>
      <c r="D2057" s="13">
        <f t="shared" si="1"/>
        <v>11</v>
      </c>
      <c r="E2057" s="13">
        <f t="shared" si="2"/>
        <v>16</v>
      </c>
    </row>
    <row r="2058">
      <c r="A2058" s="4" t="s">
        <v>2392</v>
      </c>
      <c r="B2058" s="4" t="s">
        <v>1385</v>
      </c>
      <c r="C2058" s="12">
        <f>IFERROR(__xludf.DUMMYFUNCTION("""COMPUTED_VALUE"""),44662.70157407407)</f>
        <v>44662.70157</v>
      </c>
      <c r="D2058" s="13">
        <f t="shared" si="1"/>
        <v>11</v>
      </c>
      <c r="E2058" s="13">
        <f t="shared" si="2"/>
        <v>16</v>
      </c>
    </row>
    <row r="2059">
      <c r="A2059" s="4" t="s">
        <v>2393</v>
      </c>
      <c r="B2059" s="4" t="s">
        <v>1385</v>
      </c>
      <c r="C2059" s="12">
        <f>IFERROR(__xludf.DUMMYFUNCTION("""COMPUTED_VALUE"""),44662.7015625)</f>
        <v>44662.70156</v>
      </c>
      <c r="D2059" s="13">
        <f t="shared" si="1"/>
        <v>11</v>
      </c>
      <c r="E2059" s="13">
        <f t="shared" si="2"/>
        <v>16</v>
      </c>
    </row>
    <row r="2060">
      <c r="A2060" s="4" t="s">
        <v>2393</v>
      </c>
      <c r="B2060" s="4" t="s">
        <v>1385</v>
      </c>
      <c r="C2060" s="12">
        <f>IFERROR(__xludf.DUMMYFUNCTION("""COMPUTED_VALUE"""),44662.7015625)</f>
        <v>44662.70156</v>
      </c>
      <c r="D2060" s="13">
        <f t="shared" si="1"/>
        <v>11</v>
      </c>
      <c r="E2060" s="13">
        <f t="shared" si="2"/>
        <v>16</v>
      </c>
    </row>
    <row r="2061">
      <c r="A2061" s="4" t="s">
        <v>2394</v>
      </c>
      <c r="B2061" s="4" t="s">
        <v>1385</v>
      </c>
      <c r="C2061" s="12">
        <f>IFERROR(__xludf.DUMMYFUNCTION("""COMPUTED_VALUE"""),44662.70155092592)</f>
        <v>44662.70155</v>
      </c>
      <c r="D2061" s="13">
        <f t="shared" si="1"/>
        <v>11</v>
      </c>
      <c r="E2061" s="13">
        <f t="shared" si="2"/>
        <v>16</v>
      </c>
    </row>
    <row r="2062">
      <c r="A2062" s="4" t="s">
        <v>2395</v>
      </c>
      <c r="B2062" s="4" t="s">
        <v>1385</v>
      </c>
      <c r="C2062" s="12">
        <f>IFERROR(__xludf.DUMMYFUNCTION("""COMPUTED_VALUE"""),44662.701527777775)</f>
        <v>44662.70153</v>
      </c>
      <c r="D2062" s="13">
        <f t="shared" si="1"/>
        <v>11</v>
      </c>
      <c r="E2062" s="13">
        <f t="shared" si="2"/>
        <v>16</v>
      </c>
    </row>
    <row r="2063">
      <c r="A2063" s="4" t="s">
        <v>2396</v>
      </c>
      <c r="B2063" s="4" t="s">
        <v>1385</v>
      </c>
      <c r="C2063" s="12">
        <f>IFERROR(__xludf.DUMMYFUNCTION("""COMPUTED_VALUE"""),44662.7015162037)</f>
        <v>44662.70152</v>
      </c>
      <c r="D2063" s="13">
        <f t="shared" si="1"/>
        <v>11</v>
      </c>
      <c r="E2063" s="13">
        <f t="shared" si="2"/>
        <v>16</v>
      </c>
    </row>
    <row r="2064">
      <c r="A2064" s="4" t="s">
        <v>2397</v>
      </c>
      <c r="B2064" s="4" t="s">
        <v>1385</v>
      </c>
      <c r="C2064" s="12">
        <f>IFERROR(__xludf.DUMMYFUNCTION("""COMPUTED_VALUE"""),44662.70150462963)</f>
        <v>44662.7015</v>
      </c>
      <c r="D2064" s="13">
        <f t="shared" si="1"/>
        <v>11</v>
      </c>
      <c r="E2064" s="13">
        <f t="shared" si="2"/>
        <v>16</v>
      </c>
    </row>
    <row r="2065">
      <c r="A2065" s="4" t="s">
        <v>2397</v>
      </c>
      <c r="B2065" s="4" t="s">
        <v>1385</v>
      </c>
      <c r="C2065" s="12">
        <f>IFERROR(__xludf.DUMMYFUNCTION("""COMPUTED_VALUE"""),44662.70150462963)</f>
        <v>44662.7015</v>
      </c>
      <c r="D2065" s="13">
        <f t="shared" si="1"/>
        <v>11</v>
      </c>
      <c r="E2065" s="13">
        <f t="shared" si="2"/>
        <v>16</v>
      </c>
    </row>
    <row r="2066">
      <c r="A2066" s="4" t="s">
        <v>2398</v>
      </c>
      <c r="B2066" s="4" t="s">
        <v>1385</v>
      </c>
      <c r="C2066" s="12">
        <f>IFERROR(__xludf.DUMMYFUNCTION("""COMPUTED_VALUE"""),44662.70149305555)</f>
        <v>44662.70149</v>
      </c>
      <c r="D2066" s="13">
        <f t="shared" si="1"/>
        <v>11</v>
      </c>
      <c r="E2066" s="13">
        <f t="shared" si="2"/>
        <v>16</v>
      </c>
    </row>
    <row r="2067">
      <c r="A2067" s="4" t="s">
        <v>2399</v>
      </c>
      <c r="B2067" s="4" t="s">
        <v>1385</v>
      </c>
      <c r="C2067" s="12">
        <f>IFERROR(__xludf.DUMMYFUNCTION("""COMPUTED_VALUE"""),44662.701481481476)</f>
        <v>44662.70148</v>
      </c>
      <c r="D2067" s="13">
        <f t="shared" si="1"/>
        <v>11</v>
      </c>
      <c r="E2067" s="13">
        <f t="shared" si="2"/>
        <v>16</v>
      </c>
    </row>
    <row r="2068">
      <c r="A2068" s="4" t="s">
        <v>2399</v>
      </c>
      <c r="B2068" s="4" t="s">
        <v>1385</v>
      </c>
      <c r="C2068" s="12">
        <f>IFERROR(__xludf.DUMMYFUNCTION("""COMPUTED_VALUE"""),44662.701481481476)</f>
        <v>44662.70148</v>
      </c>
      <c r="D2068" s="13">
        <f t="shared" si="1"/>
        <v>11</v>
      </c>
      <c r="E2068" s="13">
        <f t="shared" si="2"/>
        <v>16</v>
      </c>
    </row>
    <row r="2069">
      <c r="A2069" s="4" t="s">
        <v>2400</v>
      </c>
      <c r="B2069" s="4" t="s">
        <v>1385</v>
      </c>
      <c r="C2069" s="12">
        <f>IFERROR(__xludf.DUMMYFUNCTION("""COMPUTED_VALUE"""),44662.701469907406)</f>
        <v>44662.70147</v>
      </c>
      <c r="D2069" s="13">
        <f t="shared" si="1"/>
        <v>11</v>
      </c>
      <c r="E2069" s="13">
        <f t="shared" si="2"/>
        <v>16</v>
      </c>
    </row>
    <row r="2070">
      <c r="A2070" s="4" t="s">
        <v>2401</v>
      </c>
      <c r="B2070" s="4" t="s">
        <v>1385</v>
      </c>
      <c r="C2070" s="12">
        <f>IFERROR(__xludf.DUMMYFUNCTION("""COMPUTED_VALUE"""),44662.70145833333)</f>
        <v>44662.70146</v>
      </c>
      <c r="D2070" s="13">
        <f t="shared" si="1"/>
        <v>11</v>
      </c>
      <c r="E2070" s="13">
        <f t="shared" si="2"/>
        <v>16</v>
      </c>
    </row>
    <row r="2071">
      <c r="A2071" s="4" t="s">
        <v>2402</v>
      </c>
      <c r="B2071" s="4" t="s">
        <v>1385</v>
      </c>
      <c r="C2071" s="12">
        <f>IFERROR(__xludf.DUMMYFUNCTION("""COMPUTED_VALUE"""),44662.70144675926)</f>
        <v>44662.70145</v>
      </c>
      <c r="D2071" s="13">
        <f t="shared" si="1"/>
        <v>11</v>
      </c>
      <c r="E2071" s="13">
        <f t="shared" si="2"/>
        <v>16</v>
      </c>
    </row>
    <row r="2072">
      <c r="A2072" s="4" t="s">
        <v>2402</v>
      </c>
      <c r="B2072" s="4" t="s">
        <v>1385</v>
      </c>
      <c r="C2072" s="12">
        <f>IFERROR(__xludf.DUMMYFUNCTION("""COMPUTED_VALUE"""),44662.70144675926)</f>
        <v>44662.70145</v>
      </c>
      <c r="D2072" s="13">
        <f t="shared" si="1"/>
        <v>11</v>
      </c>
      <c r="E2072" s="13">
        <f t="shared" si="2"/>
        <v>16</v>
      </c>
    </row>
    <row r="2073">
      <c r="A2073" s="4" t="s">
        <v>2403</v>
      </c>
      <c r="B2073" s="4" t="s">
        <v>1385</v>
      </c>
      <c r="C2073" s="12">
        <f>IFERROR(__xludf.DUMMYFUNCTION("""COMPUTED_VALUE"""),44662.70143518518)</f>
        <v>44662.70144</v>
      </c>
      <c r="D2073" s="13">
        <f t="shared" si="1"/>
        <v>11</v>
      </c>
      <c r="E2073" s="13">
        <f t="shared" si="2"/>
        <v>16</v>
      </c>
    </row>
    <row r="2074">
      <c r="A2074" s="4" t="s">
        <v>2404</v>
      </c>
      <c r="B2074" s="4" t="s">
        <v>1385</v>
      </c>
      <c r="C2074" s="12">
        <f>IFERROR(__xludf.DUMMYFUNCTION("""COMPUTED_VALUE"""),44662.701423611106)</f>
        <v>44662.70142</v>
      </c>
      <c r="D2074" s="13">
        <f t="shared" si="1"/>
        <v>11</v>
      </c>
      <c r="E2074" s="13">
        <f t="shared" si="2"/>
        <v>16</v>
      </c>
    </row>
    <row r="2075">
      <c r="A2075" s="4" t="s">
        <v>2405</v>
      </c>
      <c r="B2075" s="4" t="s">
        <v>1385</v>
      </c>
      <c r="C2075" s="12">
        <f>IFERROR(__xludf.DUMMYFUNCTION("""COMPUTED_VALUE"""),44662.70141203704)</f>
        <v>44662.70141</v>
      </c>
      <c r="D2075" s="13">
        <f t="shared" si="1"/>
        <v>11</v>
      </c>
      <c r="E2075" s="13">
        <f t="shared" si="2"/>
        <v>16</v>
      </c>
    </row>
    <row r="2076">
      <c r="A2076" s="4" t="s">
        <v>2406</v>
      </c>
      <c r="B2076" s="4" t="s">
        <v>1385</v>
      </c>
      <c r="C2076" s="12">
        <f>IFERROR(__xludf.DUMMYFUNCTION("""COMPUTED_VALUE"""),44662.70140046296)</f>
        <v>44662.7014</v>
      </c>
      <c r="D2076" s="13">
        <f t="shared" si="1"/>
        <v>11</v>
      </c>
      <c r="E2076" s="13">
        <f t="shared" si="2"/>
        <v>16</v>
      </c>
    </row>
    <row r="2077">
      <c r="A2077" s="4" t="s">
        <v>2406</v>
      </c>
      <c r="B2077" s="4" t="s">
        <v>1385</v>
      </c>
      <c r="C2077" s="12">
        <f>IFERROR(__xludf.DUMMYFUNCTION("""COMPUTED_VALUE"""),44662.70140046296)</f>
        <v>44662.7014</v>
      </c>
      <c r="D2077" s="13">
        <f t="shared" si="1"/>
        <v>11</v>
      </c>
      <c r="E2077" s="13">
        <f t="shared" si="2"/>
        <v>16</v>
      </c>
    </row>
    <row r="2078">
      <c r="A2078" s="4" t="s">
        <v>2407</v>
      </c>
      <c r="B2078" s="4" t="s">
        <v>1385</v>
      </c>
      <c r="C2078" s="12">
        <f>IFERROR(__xludf.DUMMYFUNCTION("""COMPUTED_VALUE"""),44662.70138888888)</f>
        <v>44662.70139</v>
      </c>
      <c r="D2078" s="13">
        <f t="shared" si="1"/>
        <v>11</v>
      </c>
      <c r="E2078" s="13">
        <f t="shared" si="2"/>
        <v>16</v>
      </c>
    </row>
    <row r="2079">
      <c r="A2079" s="4" t="s">
        <v>2408</v>
      </c>
      <c r="B2079" s="4" t="s">
        <v>1385</v>
      </c>
      <c r="C2079" s="12">
        <f>IFERROR(__xludf.DUMMYFUNCTION("""COMPUTED_VALUE"""),44662.701377314814)</f>
        <v>44662.70138</v>
      </c>
      <c r="D2079" s="13">
        <f t="shared" si="1"/>
        <v>11</v>
      </c>
      <c r="E2079" s="13">
        <f t="shared" si="2"/>
        <v>16</v>
      </c>
    </row>
    <row r="2080">
      <c r="A2080" s="4" t="s">
        <v>2409</v>
      </c>
      <c r="B2080" s="4" t="s">
        <v>1385</v>
      </c>
      <c r="C2080" s="12">
        <f>IFERROR(__xludf.DUMMYFUNCTION("""COMPUTED_VALUE"""),44662.70136574074)</f>
        <v>44662.70137</v>
      </c>
      <c r="D2080" s="13">
        <f t="shared" si="1"/>
        <v>11</v>
      </c>
      <c r="E2080" s="13">
        <f t="shared" si="2"/>
        <v>16</v>
      </c>
    </row>
    <row r="2081">
      <c r="A2081" s="4" t="s">
        <v>2409</v>
      </c>
      <c r="B2081" s="4" t="s">
        <v>1385</v>
      </c>
      <c r="C2081" s="12">
        <f>IFERROR(__xludf.DUMMYFUNCTION("""COMPUTED_VALUE"""),44662.70136574074)</f>
        <v>44662.70137</v>
      </c>
      <c r="D2081" s="13">
        <f t="shared" si="1"/>
        <v>11</v>
      </c>
      <c r="E2081" s="13">
        <f t="shared" si="2"/>
        <v>16</v>
      </c>
    </row>
    <row r="2082">
      <c r="A2082" s="4" t="s">
        <v>2410</v>
      </c>
      <c r="B2082" s="4" t="s">
        <v>1385</v>
      </c>
      <c r="C2082" s="12">
        <f>IFERROR(__xludf.DUMMYFUNCTION("""COMPUTED_VALUE"""),44662.70135416667)</f>
        <v>44662.70135</v>
      </c>
      <c r="D2082" s="13">
        <f t="shared" si="1"/>
        <v>11</v>
      </c>
      <c r="E2082" s="13">
        <f t="shared" si="2"/>
        <v>16</v>
      </c>
    </row>
    <row r="2083">
      <c r="A2083" s="4" t="s">
        <v>2411</v>
      </c>
      <c r="B2083" s="4" t="s">
        <v>1385</v>
      </c>
      <c r="C2083" s="12">
        <f>IFERROR(__xludf.DUMMYFUNCTION("""COMPUTED_VALUE"""),44662.70134259259)</f>
        <v>44662.70134</v>
      </c>
      <c r="D2083" s="13">
        <f t="shared" si="1"/>
        <v>11</v>
      </c>
      <c r="E2083" s="13">
        <f t="shared" si="2"/>
        <v>16</v>
      </c>
    </row>
    <row r="2084">
      <c r="A2084" s="4" t="s">
        <v>2412</v>
      </c>
      <c r="B2084" s="4" t="s">
        <v>1385</v>
      </c>
      <c r="C2084" s="12">
        <f>IFERROR(__xludf.DUMMYFUNCTION("""COMPUTED_VALUE"""),44662.701331018514)</f>
        <v>44662.70133</v>
      </c>
      <c r="D2084" s="13">
        <f t="shared" si="1"/>
        <v>11</v>
      </c>
      <c r="E2084" s="13">
        <f t="shared" si="2"/>
        <v>16</v>
      </c>
    </row>
    <row r="2085">
      <c r="A2085" s="4" t="s">
        <v>2412</v>
      </c>
      <c r="B2085" s="4" t="s">
        <v>1385</v>
      </c>
      <c r="C2085" s="12">
        <f>IFERROR(__xludf.DUMMYFUNCTION("""COMPUTED_VALUE"""),44662.701331018514)</f>
        <v>44662.70133</v>
      </c>
      <c r="D2085" s="13">
        <f t="shared" si="1"/>
        <v>11</v>
      </c>
      <c r="E2085" s="13">
        <f t="shared" si="2"/>
        <v>16</v>
      </c>
    </row>
    <row r="2086">
      <c r="A2086" s="4" t="s">
        <v>2413</v>
      </c>
      <c r="B2086" s="4" t="s">
        <v>1385</v>
      </c>
      <c r="C2086" s="12">
        <f>IFERROR(__xludf.DUMMYFUNCTION("""COMPUTED_VALUE"""),44662.701319444444)</f>
        <v>44662.70132</v>
      </c>
      <c r="D2086" s="13">
        <f t="shared" si="1"/>
        <v>11</v>
      </c>
      <c r="E2086" s="13">
        <f t="shared" si="2"/>
        <v>16</v>
      </c>
    </row>
    <row r="2087">
      <c r="A2087" s="4" t="s">
        <v>2414</v>
      </c>
      <c r="B2087" s="4" t="s">
        <v>1385</v>
      </c>
      <c r="C2087" s="12">
        <f>IFERROR(__xludf.DUMMYFUNCTION("""COMPUTED_VALUE"""),44662.70130787037)</f>
        <v>44662.70131</v>
      </c>
      <c r="D2087" s="13">
        <f t="shared" si="1"/>
        <v>11</v>
      </c>
      <c r="E2087" s="13">
        <f t="shared" si="2"/>
        <v>16</v>
      </c>
    </row>
    <row r="2088">
      <c r="A2088" s="4" t="s">
        <v>2414</v>
      </c>
      <c r="B2088" s="4" t="s">
        <v>2415</v>
      </c>
      <c r="C2088" s="12">
        <f>IFERROR(__xludf.DUMMYFUNCTION("""COMPUTED_VALUE"""),44662.70130787037)</f>
        <v>44662.70131</v>
      </c>
      <c r="D2088" s="13">
        <f t="shared" si="1"/>
        <v>11</v>
      </c>
      <c r="E2088" s="13">
        <f t="shared" si="2"/>
        <v>16</v>
      </c>
    </row>
    <row r="2089">
      <c r="A2089" s="4" t="s">
        <v>2416</v>
      </c>
      <c r="B2089" s="4" t="s">
        <v>1385</v>
      </c>
      <c r="C2089" s="12">
        <f>IFERROR(__xludf.DUMMYFUNCTION("""COMPUTED_VALUE"""),44662.70128472222)</f>
        <v>44662.70128</v>
      </c>
      <c r="D2089" s="13">
        <f t="shared" si="1"/>
        <v>11</v>
      </c>
      <c r="E2089" s="13">
        <f t="shared" si="2"/>
        <v>16</v>
      </c>
    </row>
    <row r="2090">
      <c r="A2090" s="4" t="s">
        <v>2416</v>
      </c>
      <c r="B2090" s="4" t="s">
        <v>1385</v>
      </c>
      <c r="C2090" s="12">
        <f>IFERROR(__xludf.DUMMYFUNCTION("""COMPUTED_VALUE"""),44662.70128472222)</f>
        <v>44662.70128</v>
      </c>
      <c r="D2090" s="13">
        <f t="shared" si="1"/>
        <v>11</v>
      </c>
      <c r="E2090" s="13">
        <f t="shared" si="2"/>
        <v>16</v>
      </c>
    </row>
    <row r="2091">
      <c r="A2091" s="4" t="s">
        <v>2417</v>
      </c>
      <c r="B2091" s="4" t="s">
        <v>1385</v>
      </c>
      <c r="C2091" s="12">
        <f>IFERROR(__xludf.DUMMYFUNCTION("""COMPUTED_VALUE"""),44662.701273148145)</f>
        <v>44662.70127</v>
      </c>
      <c r="D2091" s="13">
        <f t="shared" si="1"/>
        <v>11</v>
      </c>
      <c r="E2091" s="13">
        <f t="shared" si="2"/>
        <v>16</v>
      </c>
    </row>
    <row r="2092">
      <c r="A2092" s="4" t="s">
        <v>2418</v>
      </c>
      <c r="B2092" s="4" t="s">
        <v>1385</v>
      </c>
      <c r="C2092" s="12">
        <f>IFERROR(__xludf.DUMMYFUNCTION("""COMPUTED_VALUE"""),44662.701261574075)</f>
        <v>44662.70126</v>
      </c>
      <c r="D2092" s="13">
        <f t="shared" si="1"/>
        <v>11</v>
      </c>
      <c r="E2092" s="13">
        <f t="shared" si="2"/>
        <v>16</v>
      </c>
    </row>
    <row r="2093">
      <c r="A2093" s="4" t="s">
        <v>2419</v>
      </c>
      <c r="B2093" s="4" t="s">
        <v>1385</v>
      </c>
      <c r="C2093" s="12">
        <f>IFERROR(__xludf.DUMMYFUNCTION("""COMPUTED_VALUE"""),44662.70125)</f>
        <v>44662.70125</v>
      </c>
      <c r="D2093" s="13">
        <f t="shared" si="1"/>
        <v>11</v>
      </c>
      <c r="E2093" s="13">
        <f t="shared" si="2"/>
        <v>16</v>
      </c>
    </row>
    <row r="2094">
      <c r="A2094" s="4" t="s">
        <v>2419</v>
      </c>
      <c r="B2094" s="4" t="s">
        <v>1385</v>
      </c>
      <c r="C2094" s="12">
        <f>IFERROR(__xludf.DUMMYFUNCTION("""COMPUTED_VALUE"""),44662.70125)</f>
        <v>44662.70125</v>
      </c>
      <c r="D2094" s="13">
        <f t="shared" si="1"/>
        <v>11</v>
      </c>
      <c r="E2094" s="13">
        <f t="shared" si="2"/>
        <v>16</v>
      </c>
    </row>
    <row r="2095">
      <c r="A2095" s="4" t="s">
        <v>2420</v>
      </c>
      <c r="B2095" s="4" t="s">
        <v>1385</v>
      </c>
      <c r="C2095" s="12">
        <f>IFERROR(__xludf.DUMMYFUNCTION("""COMPUTED_VALUE"""),44662.70123842592)</f>
        <v>44662.70124</v>
      </c>
      <c r="D2095" s="13">
        <f t="shared" si="1"/>
        <v>11</v>
      </c>
      <c r="E2095" s="13">
        <f t="shared" si="2"/>
        <v>16</v>
      </c>
    </row>
    <row r="2096">
      <c r="A2096" s="4" t="s">
        <v>2421</v>
      </c>
      <c r="B2096" s="4" t="s">
        <v>1385</v>
      </c>
      <c r="C2096" s="12">
        <f>IFERROR(__xludf.DUMMYFUNCTION("""COMPUTED_VALUE"""),44662.70122685185)</f>
        <v>44662.70123</v>
      </c>
      <c r="D2096" s="13">
        <f t="shared" si="1"/>
        <v>11</v>
      </c>
      <c r="E2096" s="13">
        <f t="shared" si="2"/>
        <v>16</v>
      </c>
    </row>
    <row r="2097">
      <c r="A2097" s="4" t="s">
        <v>2422</v>
      </c>
      <c r="B2097" s="4" t="s">
        <v>1385</v>
      </c>
      <c r="C2097" s="12">
        <f>IFERROR(__xludf.DUMMYFUNCTION("""COMPUTED_VALUE"""),44662.701215277775)</f>
        <v>44662.70122</v>
      </c>
      <c r="D2097" s="13">
        <f t="shared" si="1"/>
        <v>11</v>
      </c>
      <c r="E2097" s="13">
        <f t="shared" si="2"/>
        <v>16</v>
      </c>
    </row>
    <row r="2098">
      <c r="A2098" s="4" t="s">
        <v>2422</v>
      </c>
      <c r="B2098" s="4" t="s">
        <v>1385</v>
      </c>
      <c r="C2098" s="12">
        <f>IFERROR(__xludf.DUMMYFUNCTION("""COMPUTED_VALUE"""),44662.701215277775)</f>
        <v>44662.70122</v>
      </c>
      <c r="D2098" s="13">
        <f t="shared" si="1"/>
        <v>11</v>
      </c>
      <c r="E2098" s="13">
        <f t="shared" si="2"/>
        <v>16</v>
      </c>
    </row>
    <row r="2099">
      <c r="A2099" s="4" t="s">
        <v>2423</v>
      </c>
      <c r="B2099" s="4" t="s">
        <v>1385</v>
      </c>
      <c r="C2099" s="12">
        <f>IFERROR(__xludf.DUMMYFUNCTION("""COMPUTED_VALUE"""),44662.7012037037)</f>
        <v>44662.7012</v>
      </c>
      <c r="D2099" s="13">
        <f t="shared" si="1"/>
        <v>11</v>
      </c>
      <c r="E2099" s="13">
        <f t="shared" si="2"/>
        <v>16</v>
      </c>
    </row>
    <row r="2100">
      <c r="A2100" s="4" t="s">
        <v>2424</v>
      </c>
      <c r="B2100" s="4" t="s">
        <v>1385</v>
      </c>
      <c r="C2100" s="12">
        <f>IFERROR(__xludf.DUMMYFUNCTION("""COMPUTED_VALUE"""),44662.70119212963)</f>
        <v>44662.70119</v>
      </c>
      <c r="D2100" s="13">
        <f t="shared" si="1"/>
        <v>11</v>
      </c>
      <c r="E2100" s="13">
        <f t="shared" si="2"/>
        <v>16</v>
      </c>
    </row>
    <row r="2101">
      <c r="A2101" s="4" t="s">
        <v>2425</v>
      </c>
      <c r="B2101" s="4" t="s">
        <v>1385</v>
      </c>
      <c r="C2101" s="12">
        <f>IFERROR(__xludf.DUMMYFUNCTION("""COMPUTED_VALUE"""),44662.70118055555)</f>
        <v>44662.70118</v>
      </c>
      <c r="D2101" s="13">
        <f t="shared" si="1"/>
        <v>11</v>
      </c>
      <c r="E2101" s="13">
        <f t="shared" si="2"/>
        <v>16</v>
      </c>
    </row>
    <row r="2102">
      <c r="A2102" s="4" t="s">
        <v>2425</v>
      </c>
      <c r="B2102" s="4" t="s">
        <v>1385</v>
      </c>
      <c r="C2102" s="12">
        <f>IFERROR(__xludf.DUMMYFUNCTION("""COMPUTED_VALUE"""),44662.70118055555)</f>
        <v>44662.70118</v>
      </c>
      <c r="D2102" s="13">
        <f t="shared" si="1"/>
        <v>11</v>
      </c>
      <c r="E2102" s="13">
        <f t="shared" si="2"/>
        <v>16</v>
      </c>
    </row>
    <row r="2103">
      <c r="A2103" s="4" t="s">
        <v>2426</v>
      </c>
      <c r="B2103" s="4" t="s">
        <v>1385</v>
      </c>
      <c r="C2103" s="12">
        <f>IFERROR(__xludf.DUMMYFUNCTION("""COMPUTED_VALUE"""),44662.70116898148)</f>
        <v>44662.70117</v>
      </c>
      <c r="D2103" s="13">
        <f t="shared" si="1"/>
        <v>11</v>
      </c>
      <c r="E2103" s="13">
        <f t="shared" si="2"/>
        <v>16</v>
      </c>
    </row>
    <row r="2104">
      <c r="A2104" s="4" t="s">
        <v>2427</v>
      </c>
      <c r="B2104" s="4" t="s">
        <v>1385</v>
      </c>
      <c r="C2104" s="12">
        <f>IFERROR(__xludf.DUMMYFUNCTION("""COMPUTED_VALUE"""),44662.701157407406)</f>
        <v>44662.70116</v>
      </c>
      <c r="D2104" s="13">
        <f t="shared" si="1"/>
        <v>11</v>
      </c>
      <c r="E2104" s="13">
        <f t="shared" si="2"/>
        <v>16</v>
      </c>
    </row>
    <row r="2105">
      <c r="A2105" s="4" t="s">
        <v>2427</v>
      </c>
      <c r="B2105" s="4" t="s">
        <v>1385</v>
      </c>
      <c r="C2105" s="12">
        <f>IFERROR(__xludf.DUMMYFUNCTION("""COMPUTED_VALUE"""),44662.701157407406)</f>
        <v>44662.70116</v>
      </c>
      <c r="D2105" s="13">
        <f t="shared" si="1"/>
        <v>11</v>
      </c>
      <c r="E2105" s="13">
        <f t="shared" si="2"/>
        <v>16</v>
      </c>
    </row>
    <row r="2106">
      <c r="A2106" s="4" t="s">
        <v>2428</v>
      </c>
      <c r="B2106" s="4" t="s">
        <v>1385</v>
      </c>
      <c r="C2106" s="12">
        <f>IFERROR(__xludf.DUMMYFUNCTION("""COMPUTED_VALUE"""),44662.70114583333)</f>
        <v>44662.70115</v>
      </c>
      <c r="D2106" s="13">
        <f t="shared" si="1"/>
        <v>11</v>
      </c>
      <c r="E2106" s="13">
        <f t="shared" si="2"/>
        <v>16</v>
      </c>
    </row>
    <row r="2107">
      <c r="A2107" s="4" t="s">
        <v>2429</v>
      </c>
      <c r="B2107" s="16"/>
      <c r="C2107" s="12">
        <f>IFERROR(__xludf.DUMMYFUNCTION("""COMPUTED_VALUE"""),44662.700949074075)</f>
        <v>44662.70095</v>
      </c>
      <c r="D2107" s="13">
        <f t="shared" si="1"/>
        <v>11</v>
      </c>
      <c r="E2107" s="13">
        <f t="shared" si="2"/>
        <v>16</v>
      </c>
    </row>
    <row r="2108">
      <c r="A2108" s="4" t="s">
        <v>2430</v>
      </c>
      <c r="B2108" s="16"/>
      <c r="C2108" s="12">
        <f>IFERROR(__xludf.DUMMYFUNCTION("""COMPUTED_VALUE"""),44662.70091435185)</f>
        <v>44662.70091</v>
      </c>
      <c r="D2108" s="13">
        <f t="shared" si="1"/>
        <v>11</v>
      </c>
      <c r="E2108" s="13">
        <f t="shared" si="2"/>
        <v>16</v>
      </c>
    </row>
    <row r="2109">
      <c r="A2109" s="4" t="s">
        <v>2431</v>
      </c>
      <c r="B2109" s="16"/>
      <c r="C2109" s="12">
        <f>IFERROR(__xludf.DUMMYFUNCTION("""COMPUTED_VALUE"""),44662.70086805555)</f>
        <v>44662.70087</v>
      </c>
      <c r="D2109" s="13">
        <f t="shared" si="1"/>
        <v>11</v>
      </c>
      <c r="E2109" s="13">
        <f t="shared" si="2"/>
        <v>16</v>
      </c>
    </row>
    <row r="2110">
      <c r="A2110" s="4" t="s">
        <v>2432</v>
      </c>
      <c r="B2110" s="4" t="s">
        <v>2433</v>
      </c>
      <c r="C2110" s="12">
        <f>IFERROR(__xludf.DUMMYFUNCTION("""COMPUTED_VALUE"""),44662.69997685185)</f>
        <v>44662.69998</v>
      </c>
      <c r="D2110" s="13">
        <f t="shared" si="1"/>
        <v>11</v>
      </c>
      <c r="E2110" s="13">
        <f t="shared" si="2"/>
        <v>16</v>
      </c>
    </row>
    <row r="2111">
      <c r="A2111" s="4" t="s">
        <v>2434</v>
      </c>
      <c r="B2111" s="16"/>
      <c r="C2111" s="12">
        <f>IFERROR(__xludf.DUMMYFUNCTION("""COMPUTED_VALUE"""),44662.69975694444)</f>
        <v>44662.69976</v>
      </c>
      <c r="D2111" s="13">
        <f t="shared" si="1"/>
        <v>11</v>
      </c>
      <c r="E2111" s="13">
        <f t="shared" si="2"/>
        <v>16</v>
      </c>
    </row>
    <row r="2112">
      <c r="A2112" s="4" t="s">
        <v>2435</v>
      </c>
      <c r="B2112" s="16"/>
      <c r="C2112" s="12">
        <f>IFERROR(__xludf.DUMMYFUNCTION("""COMPUTED_VALUE"""),44662.699120370366)</f>
        <v>44662.69912</v>
      </c>
      <c r="D2112" s="13">
        <f t="shared" si="1"/>
        <v>11</v>
      </c>
      <c r="E2112" s="13">
        <f t="shared" si="2"/>
        <v>16</v>
      </c>
    </row>
    <row r="2113">
      <c r="A2113" s="4" t="s">
        <v>2436</v>
      </c>
      <c r="B2113" s="4" t="s">
        <v>2437</v>
      </c>
      <c r="C2113" s="12">
        <f>IFERROR(__xludf.DUMMYFUNCTION("""COMPUTED_VALUE"""),44662.69903935185)</f>
        <v>44662.69904</v>
      </c>
      <c r="D2113" s="13">
        <f t="shared" si="1"/>
        <v>11</v>
      </c>
      <c r="E2113" s="13">
        <f t="shared" si="2"/>
        <v>16</v>
      </c>
    </row>
    <row r="2114">
      <c r="A2114" s="4" t="s">
        <v>2438</v>
      </c>
      <c r="B2114" s="16"/>
      <c r="C2114" s="12">
        <f>IFERROR(__xludf.DUMMYFUNCTION("""COMPUTED_VALUE"""),44662.699016203704)</f>
        <v>44662.69902</v>
      </c>
      <c r="D2114" s="13">
        <f t="shared" si="1"/>
        <v>11</v>
      </c>
      <c r="E2114" s="13">
        <f t="shared" si="2"/>
        <v>16</v>
      </c>
    </row>
    <row r="2115">
      <c r="A2115" s="4" t="s">
        <v>2439</v>
      </c>
      <c r="B2115" s="4" t="s">
        <v>143</v>
      </c>
      <c r="C2115" s="12">
        <f>IFERROR(__xludf.DUMMYFUNCTION("""COMPUTED_VALUE"""),44662.6986574074)</f>
        <v>44662.69866</v>
      </c>
      <c r="D2115" s="13">
        <f t="shared" si="1"/>
        <v>11</v>
      </c>
      <c r="E2115" s="13">
        <f t="shared" si="2"/>
        <v>16</v>
      </c>
    </row>
    <row r="2116">
      <c r="A2116" s="4" t="s">
        <v>2440</v>
      </c>
      <c r="B2116" s="4" t="s">
        <v>2441</v>
      </c>
      <c r="C2116" s="12">
        <f>IFERROR(__xludf.DUMMYFUNCTION("""COMPUTED_VALUE"""),44662.698599537034)</f>
        <v>44662.6986</v>
      </c>
      <c r="D2116" s="13">
        <f t="shared" si="1"/>
        <v>11</v>
      </c>
      <c r="E2116" s="13">
        <f t="shared" si="2"/>
        <v>16</v>
      </c>
    </row>
    <row r="2117">
      <c r="A2117" s="4" t="s">
        <v>2442</v>
      </c>
      <c r="B2117" s="16"/>
      <c r="C2117" s="12">
        <f>IFERROR(__xludf.DUMMYFUNCTION("""COMPUTED_VALUE"""),44662.698067129626)</f>
        <v>44662.69807</v>
      </c>
      <c r="D2117" s="13">
        <f t="shared" si="1"/>
        <v>11</v>
      </c>
      <c r="E2117" s="13">
        <f t="shared" si="2"/>
        <v>16</v>
      </c>
    </row>
    <row r="2118">
      <c r="A2118" s="4" t="s">
        <v>2443</v>
      </c>
      <c r="B2118" s="16"/>
      <c r="C2118" s="12">
        <f>IFERROR(__xludf.DUMMYFUNCTION("""COMPUTED_VALUE"""),44662.6980324074)</f>
        <v>44662.69803</v>
      </c>
      <c r="D2118" s="13">
        <f t="shared" si="1"/>
        <v>11</v>
      </c>
      <c r="E2118" s="13">
        <f t="shared" si="2"/>
        <v>16</v>
      </c>
    </row>
    <row r="2119">
      <c r="A2119" s="4" t="s">
        <v>2444</v>
      </c>
      <c r="B2119" s="16"/>
      <c r="C2119" s="12">
        <f>IFERROR(__xludf.DUMMYFUNCTION("""COMPUTED_VALUE"""),44662.69798611111)</f>
        <v>44662.69799</v>
      </c>
      <c r="D2119" s="13">
        <f t="shared" si="1"/>
        <v>11</v>
      </c>
      <c r="E2119" s="13">
        <f t="shared" si="2"/>
        <v>16</v>
      </c>
    </row>
    <row r="2120">
      <c r="A2120" s="4" t="s">
        <v>2445</v>
      </c>
      <c r="B2120" s="16"/>
      <c r="C2120" s="12">
        <f>IFERROR(__xludf.DUMMYFUNCTION("""COMPUTED_VALUE"""),44662.697442129625)</f>
        <v>44662.69744</v>
      </c>
      <c r="D2120" s="13">
        <f t="shared" si="1"/>
        <v>11</v>
      </c>
      <c r="E2120" s="13">
        <f t="shared" si="2"/>
        <v>16</v>
      </c>
    </row>
    <row r="2121">
      <c r="A2121" s="4" t="s">
        <v>2446</v>
      </c>
      <c r="B2121" s="4" t="s">
        <v>2447</v>
      </c>
      <c r="C2121" s="12">
        <f>IFERROR(__xludf.DUMMYFUNCTION("""COMPUTED_VALUE"""),44662.69741898148)</f>
        <v>44662.69742</v>
      </c>
      <c r="D2121" s="13">
        <f t="shared" si="1"/>
        <v>11</v>
      </c>
      <c r="E2121" s="13">
        <f t="shared" si="2"/>
        <v>16</v>
      </c>
    </row>
    <row r="2122">
      <c r="A2122" s="4" t="s">
        <v>2448</v>
      </c>
      <c r="B2122" s="16"/>
      <c r="C2122" s="12">
        <f>IFERROR(__xludf.DUMMYFUNCTION("""COMPUTED_VALUE"""),44662.69731481481)</f>
        <v>44662.69731</v>
      </c>
      <c r="D2122" s="13">
        <f t="shared" si="1"/>
        <v>11</v>
      </c>
      <c r="E2122" s="13">
        <f t="shared" si="2"/>
        <v>16</v>
      </c>
    </row>
    <row r="2123">
      <c r="A2123" s="4" t="s">
        <v>2449</v>
      </c>
      <c r="B2123" s="4" t="s">
        <v>806</v>
      </c>
      <c r="C2123" s="12">
        <f>IFERROR(__xludf.DUMMYFUNCTION("""COMPUTED_VALUE"""),44662.697060185186)</f>
        <v>44662.69706</v>
      </c>
      <c r="D2123" s="13">
        <f t="shared" si="1"/>
        <v>11</v>
      </c>
      <c r="E2123" s="13">
        <f t="shared" si="2"/>
        <v>16</v>
      </c>
    </row>
    <row r="2124">
      <c r="A2124" s="4" t="s">
        <v>2450</v>
      </c>
      <c r="B2124" s="16"/>
      <c r="C2124" s="12">
        <f>IFERROR(__xludf.DUMMYFUNCTION("""COMPUTED_VALUE"""),44662.6968287037)</f>
        <v>44662.69683</v>
      </c>
      <c r="D2124" s="13">
        <f t="shared" si="1"/>
        <v>11</v>
      </c>
      <c r="E2124" s="13">
        <f t="shared" si="2"/>
        <v>16</v>
      </c>
    </row>
    <row r="2125">
      <c r="A2125" s="4" t="s">
        <v>2451</v>
      </c>
      <c r="B2125" s="16"/>
      <c r="C2125" s="12">
        <f>IFERROR(__xludf.DUMMYFUNCTION("""COMPUTED_VALUE"""),44662.69652777778)</f>
        <v>44662.69653</v>
      </c>
      <c r="D2125" s="13">
        <f t="shared" si="1"/>
        <v>11</v>
      </c>
      <c r="E2125" s="13">
        <f t="shared" si="2"/>
        <v>16</v>
      </c>
    </row>
    <row r="2126">
      <c r="A2126" s="4" t="s">
        <v>2452</v>
      </c>
      <c r="B2126" s="16"/>
      <c r="C2126" s="12">
        <f>IFERROR(__xludf.DUMMYFUNCTION("""COMPUTED_VALUE"""),44662.696493055555)</f>
        <v>44662.69649</v>
      </c>
      <c r="D2126" s="13">
        <f t="shared" si="1"/>
        <v>11</v>
      </c>
      <c r="E2126" s="13">
        <f t="shared" si="2"/>
        <v>16</v>
      </c>
    </row>
    <row r="2127">
      <c r="A2127" s="4" t="s">
        <v>2453</v>
      </c>
      <c r="B2127" s="16"/>
      <c r="C2127" s="12">
        <f>IFERROR(__xludf.DUMMYFUNCTION("""COMPUTED_VALUE"""),44662.6964699074)</f>
        <v>44662.69647</v>
      </c>
      <c r="D2127" s="13">
        <f t="shared" si="1"/>
        <v>11</v>
      </c>
      <c r="E2127" s="13">
        <f t="shared" si="2"/>
        <v>16</v>
      </c>
    </row>
    <row r="2128">
      <c r="A2128" s="4" t="s">
        <v>2454</v>
      </c>
      <c r="B2128" s="4" t="s">
        <v>1171</v>
      </c>
      <c r="C2128" s="12">
        <f>IFERROR(__xludf.DUMMYFUNCTION("""COMPUTED_VALUE"""),44662.696446759255)</f>
        <v>44662.69645</v>
      </c>
      <c r="D2128" s="13">
        <f t="shared" si="1"/>
        <v>11</v>
      </c>
      <c r="E2128" s="13">
        <f t="shared" si="2"/>
        <v>16</v>
      </c>
    </row>
    <row r="2129">
      <c r="A2129" s="4" t="s">
        <v>2455</v>
      </c>
      <c r="B2129" s="4" t="s">
        <v>2317</v>
      </c>
      <c r="C2129" s="12">
        <f>IFERROR(__xludf.DUMMYFUNCTION("""COMPUTED_VALUE"""),44662.69642361111)</f>
        <v>44662.69642</v>
      </c>
      <c r="D2129" s="13">
        <f t="shared" si="1"/>
        <v>11</v>
      </c>
      <c r="E2129" s="13">
        <f t="shared" si="2"/>
        <v>16</v>
      </c>
    </row>
    <row r="2130">
      <c r="A2130" s="4" t="s">
        <v>2456</v>
      </c>
      <c r="B2130" s="16"/>
      <c r="C2130" s="12">
        <f>IFERROR(__xludf.DUMMYFUNCTION("""COMPUTED_VALUE"""),44662.69631944444)</f>
        <v>44662.69632</v>
      </c>
      <c r="D2130" s="13">
        <f t="shared" si="1"/>
        <v>11</v>
      </c>
      <c r="E2130" s="13">
        <f t="shared" si="2"/>
        <v>16</v>
      </c>
    </row>
    <row r="2131">
      <c r="A2131" s="4" t="s">
        <v>2457</v>
      </c>
      <c r="B2131" s="4" t="s">
        <v>2317</v>
      </c>
      <c r="C2131" s="12">
        <f>IFERROR(__xludf.DUMMYFUNCTION("""COMPUTED_VALUE"""),44662.69628472222)</f>
        <v>44662.69628</v>
      </c>
      <c r="D2131" s="13">
        <f t="shared" si="1"/>
        <v>11</v>
      </c>
      <c r="E2131" s="13">
        <f t="shared" si="2"/>
        <v>16</v>
      </c>
    </row>
    <row r="2132">
      <c r="A2132" s="4" t="s">
        <v>2457</v>
      </c>
      <c r="B2132" s="4" t="s">
        <v>829</v>
      </c>
      <c r="C2132" s="12">
        <f>IFERROR(__xludf.DUMMYFUNCTION("""COMPUTED_VALUE"""),44662.69628472222)</f>
        <v>44662.69628</v>
      </c>
      <c r="D2132" s="13">
        <f t="shared" si="1"/>
        <v>11</v>
      </c>
      <c r="E2132" s="13">
        <f t="shared" si="2"/>
        <v>16</v>
      </c>
    </row>
    <row r="2133">
      <c r="A2133" s="4" t="s">
        <v>2458</v>
      </c>
      <c r="B2133" s="16"/>
      <c r="C2133" s="12">
        <f>IFERROR(__xludf.DUMMYFUNCTION("""COMPUTED_VALUE"""),44662.69626157407)</f>
        <v>44662.69626</v>
      </c>
      <c r="D2133" s="13">
        <f t="shared" si="1"/>
        <v>11</v>
      </c>
      <c r="E2133" s="13">
        <f t="shared" si="2"/>
        <v>16</v>
      </c>
    </row>
    <row r="2134">
      <c r="A2134" s="4" t="s">
        <v>2458</v>
      </c>
      <c r="B2134" s="4" t="s">
        <v>829</v>
      </c>
      <c r="C2134" s="12">
        <f>IFERROR(__xludf.DUMMYFUNCTION("""COMPUTED_VALUE"""),44662.69626157407)</f>
        <v>44662.69626</v>
      </c>
      <c r="D2134" s="13">
        <f t="shared" si="1"/>
        <v>11</v>
      </c>
      <c r="E2134" s="13">
        <f t="shared" si="2"/>
        <v>16</v>
      </c>
    </row>
    <row r="2135">
      <c r="A2135" s="4" t="s">
        <v>2459</v>
      </c>
      <c r="B2135" s="4" t="s">
        <v>1171</v>
      </c>
      <c r="C2135" s="12">
        <f>IFERROR(__xludf.DUMMYFUNCTION("""COMPUTED_VALUE"""),44662.69622685185)</f>
        <v>44662.69623</v>
      </c>
      <c r="D2135" s="13">
        <f t="shared" si="1"/>
        <v>11</v>
      </c>
      <c r="E2135" s="13">
        <f t="shared" si="2"/>
        <v>16</v>
      </c>
    </row>
    <row r="2136">
      <c r="A2136" s="4" t="s">
        <v>2460</v>
      </c>
      <c r="B2136" s="16"/>
      <c r="C2136" s="12">
        <f>IFERROR(__xludf.DUMMYFUNCTION("""COMPUTED_VALUE"""),44662.695810185185)</f>
        <v>44662.69581</v>
      </c>
      <c r="D2136" s="13">
        <f t="shared" si="1"/>
        <v>11</v>
      </c>
      <c r="E2136" s="13">
        <f t="shared" si="2"/>
        <v>16</v>
      </c>
    </row>
    <row r="2137">
      <c r="A2137" s="4" t="s">
        <v>2461</v>
      </c>
      <c r="B2137" s="16"/>
      <c r="C2137" s="12">
        <f>IFERROR(__xludf.DUMMYFUNCTION("""COMPUTED_VALUE"""),44662.695752314816)</f>
        <v>44662.69575</v>
      </c>
      <c r="D2137" s="13">
        <f t="shared" si="1"/>
        <v>11</v>
      </c>
      <c r="E2137" s="13">
        <f t="shared" si="2"/>
        <v>16</v>
      </c>
    </row>
    <row r="2138">
      <c r="A2138" s="4" t="s">
        <v>2462</v>
      </c>
      <c r="B2138" s="16"/>
      <c r="C2138" s="12">
        <f>IFERROR(__xludf.DUMMYFUNCTION("""COMPUTED_VALUE"""),44662.695706018516)</f>
        <v>44662.69571</v>
      </c>
      <c r="D2138" s="13">
        <f t="shared" si="1"/>
        <v>11</v>
      </c>
      <c r="E2138" s="13">
        <f t="shared" si="2"/>
        <v>16</v>
      </c>
    </row>
    <row r="2139">
      <c r="A2139" s="4" t="s">
        <v>2463</v>
      </c>
      <c r="B2139" s="16"/>
      <c r="C2139" s="12">
        <f>IFERROR(__xludf.DUMMYFUNCTION("""COMPUTED_VALUE"""),44662.69565972222)</f>
        <v>44662.69566</v>
      </c>
      <c r="D2139" s="13">
        <f t="shared" si="1"/>
        <v>11</v>
      </c>
      <c r="E2139" s="13">
        <f t="shared" si="2"/>
        <v>16</v>
      </c>
    </row>
    <row r="2140">
      <c r="A2140" s="4" t="s">
        <v>2464</v>
      </c>
      <c r="B2140" s="16"/>
      <c r="C2140" s="12">
        <f>IFERROR(__xludf.DUMMYFUNCTION("""COMPUTED_VALUE"""),44662.69561342592)</f>
        <v>44662.69561</v>
      </c>
      <c r="D2140" s="13">
        <f t="shared" si="1"/>
        <v>11</v>
      </c>
      <c r="E2140" s="13">
        <f t="shared" si="2"/>
        <v>16</v>
      </c>
    </row>
    <row r="2141">
      <c r="A2141" s="4" t="s">
        <v>2465</v>
      </c>
      <c r="B2141" s="16"/>
      <c r="C2141" s="12">
        <f>IFERROR(__xludf.DUMMYFUNCTION("""COMPUTED_VALUE"""),44662.6955787037)</f>
        <v>44662.69558</v>
      </c>
      <c r="D2141" s="13">
        <f t="shared" si="1"/>
        <v>11</v>
      </c>
      <c r="E2141" s="13">
        <f t="shared" si="2"/>
        <v>16</v>
      </c>
    </row>
    <row r="2142">
      <c r="A2142" s="4" t="s">
        <v>2466</v>
      </c>
      <c r="B2142" s="16"/>
      <c r="C2142" s="12">
        <f>IFERROR(__xludf.DUMMYFUNCTION("""COMPUTED_VALUE"""),44662.695555555554)</f>
        <v>44662.69556</v>
      </c>
      <c r="D2142" s="13">
        <f t="shared" si="1"/>
        <v>11</v>
      </c>
      <c r="E2142" s="13">
        <f t="shared" si="2"/>
        <v>16</v>
      </c>
    </row>
    <row r="2143">
      <c r="A2143" s="4" t="s">
        <v>2467</v>
      </c>
      <c r="B2143" s="16"/>
      <c r="C2143" s="12">
        <f>IFERROR(__xludf.DUMMYFUNCTION("""COMPUTED_VALUE"""),44662.69554398148)</f>
        <v>44662.69554</v>
      </c>
      <c r="D2143" s="13">
        <f t="shared" si="1"/>
        <v>11</v>
      </c>
      <c r="E2143" s="13">
        <f t="shared" si="2"/>
        <v>16</v>
      </c>
    </row>
    <row r="2144">
      <c r="A2144" s="4" t="s">
        <v>2468</v>
      </c>
      <c r="B2144" s="16"/>
      <c r="C2144" s="12">
        <f>IFERROR(__xludf.DUMMYFUNCTION("""COMPUTED_VALUE"""),44662.69552083333)</f>
        <v>44662.69552</v>
      </c>
      <c r="D2144" s="13">
        <f t="shared" si="1"/>
        <v>11</v>
      </c>
      <c r="E2144" s="13">
        <f t="shared" si="2"/>
        <v>16</v>
      </c>
    </row>
    <row r="2145">
      <c r="A2145" s="4" t="s">
        <v>2469</v>
      </c>
      <c r="B2145" s="16"/>
      <c r="C2145" s="12">
        <f>IFERROR(__xludf.DUMMYFUNCTION("""COMPUTED_VALUE"""),44662.695497685185)</f>
        <v>44662.6955</v>
      </c>
      <c r="D2145" s="13">
        <f t="shared" si="1"/>
        <v>11</v>
      </c>
      <c r="E2145" s="13">
        <f t="shared" si="2"/>
        <v>16</v>
      </c>
    </row>
    <row r="2146">
      <c r="A2146" s="4" t="s">
        <v>2470</v>
      </c>
      <c r="B2146" s="16"/>
      <c r="C2146" s="12">
        <f>IFERROR(__xludf.DUMMYFUNCTION("""COMPUTED_VALUE"""),44662.69547453703)</f>
        <v>44662.69547</v>
      </c>
      <c r="D2146" s="13">
        <f t="shared" si="1"/>
        <v>11</v>
      </c>
      <c r="E2146" s="13">
        <f t="shared" si="2"/>
        <v>16</v>
      </c>
    </row>
    <row r="2147">
      <c r="A2147" s="4" t="s">
        <v>2471</v>
      </c>
      <c r="B2147" s="16"/>
      <c r="C2147" s="12">
        <f>IFERROR(__xludf.DUMMYFUNCTION("""COMPUTED_VALUE"""),44662.69546296296)</f>
        <v>44662.69546</v>
      </c>
      <c r="D2147" s="13">
        <f t="shared" si="1"/>
        <v>11</v>
      </c>
      <c r="E2147" s="13">
        <f t="shared" si="2"/>
        <v>16</v>
      </c>
    </row>
    <row r="2148">
      <c r="A2148" s="4" t="s">
        <v>2472</v>
      </c>
      <c r="B2148" s="16"/>
      <c r="C2148" s="12">
        <f>IFERROR(__xludf.DUMMYFUNCTION("""COMPUTED_VALUE"""),44662.695439814815)</f>
        <v>44662.69544</v>
      </c>
      <c r="D2148" s="13">
        <f t="shared" si="1"/>
        <v>11</v>
      </c>
      <c r="E2148" s="13">
        <f t="shared" si="2"/>
        <v>16</v>
      </c>
    </row>
    <row r="2149">
      <c r="A2149" s="4" t="s">
        <v>2473</v>
      </c>
      <c r="B2149" s="16"/>
      <c r="C2149" s="12">
        <f>IFERROR(__xludf.DUMMYFUNCTION("""COMPUTED_VALUE"""),44662.69541666666)</f>
        <v>44662.69542</v>
      </c>
      <c r="D2149" s="13">
        <f t="shared" si="1"/>
        <v>11</v>
      </c>
      <c r="E2149" s="13">
        <f t="shared" si="2"/>
        <v>16</v>
      </c>
    </row>
    <row r="2150">
      <c r="A2150" s="4" t="s">
        <v>2474</v>
      </c>
      <c r="B2150" s="16"/>
      <c r="C2150" s="12">
        <f>IFERROR(__xludf.DUMMYFUNCTION("""COMPUTED_VALUE"""),44662.69540509259)</f>
        <v>44662.69541</v>
      </c>
      <c r="D2150" s="13">
        <f t="shared" si="1"/>
        <v>11</v>
      </c>
      <c r="E2150" s="13">
        <f t="shared" si="2"/>
        <v>16</v>
      </c>
    </row>
    <row r="2151">
      <c r="A2151" s="4" t="s">
        <v>2475</v>
      </c>
      <c r="B2151" s="16"/>
      <c r="C2151" s="12">
        <f>IFERROR(__xludf.DUMMYFUNCTION("""COMPUTED_VALUE"""),44662.69538194444)</f>
        <v>44662.69538</v>
      </c>
      <c r="D2151" s="13">
        <f t="shared" si="1"/>
        <v>11</v>
      </c>
      <c r="E2151" s="13">
        <f t="shared" si="2"/>
        <v>16</v>
      </c>
    </row>
    <row r="2152">
      <c r="A2152" s="4" t="s">
        <v>2476</v>
      </c>
      <c r="B2152" s="16"/>
      <c r="C2152" s="12">
        <f>IFERROR(__xludf.DUMMYFUNCTION("""COMPUTED_VALUE"""),44662.69537037037)</f>
        <v>44662.69537</v>
      </c>
      <c r="D2152" s="13">
        <f t="shared" si="1"/>
        <v>11</v>
      </c>
      <c r="E2152" s="13">
        <f t="shared" si="2"/>
        <v>16</v>
      </c>
    </row>
    <row r="2153">
      <c r="A2153" s="4" t="s">
        <v>2477</v>
      </c>
      <c r="B2153" s="16"/>
      <c r="C2153" s="12">
        <f>IFERROR(__xludf.DUMMYFUNCTION("""COMPUTED_VALUE"""),44662.6953125)</f>
        <v>44662.69531</v>
      </c>
      <c r="D2153" s="13">
        <f t="shared" si="1"/>
        <v>11</v>
      </c>
      <c r="E2153" s="13">
        <f t="shared" si="2"/>
        <v>16</v>
      </c>
    </row>
    <row r="2154">
      <c r="A2154" s="4" t="s">
        <v>2478</v>
      </c>
      <c r="B2154" s="16"/>
      <c r="C2154" s="12">
        <f>IFERROR(__xludf.DUMMYFUNCTION("""COMPUTED_VALUE"""),44662.69528935185)</f>
        <v>44662.69529</v>
      </c>
      <c r="D2154" s="13">
        <f t="shared" si="1"/>
        <v>11</v>
      </c>
      <c r="E2154" s="13">
        <f t="shared" si="2"/>
        <v>16</v>
      </c>
    </row>
    <row r="2155">
      <c r="A2155" s="4" t="s">
        <v>2479</v>
      </c>
      <c r="B2155" s="4" t="s">
        <v>323</v>
      </c>
      <c r="C2155" s="12">
        <f>IFERROR(__xludf.DUMMYFUNCTION("""COMPUTED_VALUE"""),44662.69525462963)</f>
        <v>44662.69525</v>
      </c>
      <c r="D2155" s="13">
        <f t="shared" si="1"/>
        <v>11</v>
      </c>
      <c r="E2155" s="13">
        <f t="shared" si="2"/>
        <v>16</v>
      </c>
    </row>
    <row r="2156">
      <c r="A2156" s="4" t="s">
        <v>2480</v>
      </c>
      <c r="B2156" s="16"/>
      <c r="C2156" s="12">
        <f>IFERROR(__xludf.DUMMYFUNCTION("""COMPUTED_VALUE"""),44662.695243055554)</f>
        <v>44662.69524</v>
      </c>
      <c r="D2156" s="13">
        <f t="shared" si="1"/>
        <v>11</v>
      </c>
      <c r="E2156" s="13">
        <f t="shared" si="2"/>
        <v>16</v>
      </c>
    </row>
    <row r="2157">
      <c r="A2157" s="4" t="s">
        <v>2481</v>
      </c>
      <c r="B2157" s="16"/>
      <c r="C2157" s="12">
        <f>IFERROR(__xludf.DUMMYFUNCTION("""COMPUTED_VALUE"""),44662.69521990741)</f>
        <v>44662.69522</v>
      </c>
      <c r="D2157" s="13">
        <f t="shared" si="1"/>
        <v>11</v>
      </c>
      <c r="E2157" s="13">
        <f t="shared" si="2"/>
        <v>16</v>
      </c>
    </row>
    <row r="2158">
      <c r="A2158" s="4" t="s">
        <v>2481</v>
      </c>
      <c r="B2158" s="4" t="s">
        <v>323</v>
      </c>
      <c r="C2158" s="12">
        <f>IFERROR(__xludf.DUMMYFUNCTION("""COMPUTED_VALUE"""),44662.69521990741)</f>
        <v>44662.69522</v>
      </c>
      <c r="D2158" s="13">
        <f t="shared" si="1"/>
        <v>11</v>
      </c>
      <c r="E2158" s="13">
        <f t="shared" si="2"/>
        <v>16</v>
      </c>
    </row>
    <row r="2159">
      <c r="A2159" s="4" t="s">
        <v>2482</v>
      </c>
      <c r="B2159" s="16"/>
      <c r="C2159" s="12">
        <f>IFERROR(__xludf.DUMMYFUNCTION("""COMPUTED_VALUE"""),44662.695196759254)</f>
        <v>44662.6952</v>
      </c>
      <c r="D2159" s="13">
        <f t="shared" si="1"/>
        <v>11</v>
      </c>
      <c r="E2159" s="13">
        <f t="shared" si="2"/>
        <v>16</v>
      </c>
    </row>
    <row r="2160">
      <c r="A2160" s="4" t="s">
        <v>2483</v>
      </c>
      <c r="B2160" s="16"/>
      <c r="C2160" s="12">
        <f>IFERROR(__xludf.DUMMYFUNCTION("""COMPUTED_VALUE"""),44662.695185185185)</f>
        <v>44662.69519</v>
      </c>
      <c r="D2160" s="13">
        <f t="shared" si="1"/>
        <v>11</v>
      </c>
      <c r="E2160" s="13">
        <f t="shared" si="2"/>
        <v>16</v>
      </c>
    </row>
    <row r="2161">
      <c r="A2161" s="4" t="s">
        <v>2484</v>
      </c>
      <c r="B2161" s="16"/>
      <c r="C2161" s="12">
        <f>IFERROR(__xludf.DUMMYFUNCTION("""COMPUTED_VALUE"""),44662.69516203704)</f>
        <v>44662.69516</v>
      </c>
      <c r="D2161" s="13">
        <f t="shared" si="1"/>
        <v>11</v>
      </c>
      <c r="E2161" s="13">
        <f t="shared" si="2"/>
        <v>16</v>
      </c>
    </row>
    <row r="2162">
      <c r="A2162" s="4" t="s">
        <v>2485</v>
      </c>
      <c r="B2162" s="4" t="s">
        <v>1171</v>
      </c>
      <c r="C2162" s="12">
        <f>IFERROR(__xludf.DUMMYFUNCTION("""COMPUTED_VALUE"""),44662.69515046296)</f>
        <v>44662.69515</v>
      </c>
      <c r="D2162" s="13">
        <f t="shared" si="1"/>
        <v>11</v>
      </c>
      <c r="E2162" s="13">
        <f t="shared" si="2"/>
        <v>16</v>
      </c>
    </row>
    <row r="2163">
      <c r="A2163" s="4" t="s">
        <v>2485</v>
      </c>
      <c r="B2163" s="16"/>
      <c r="C2163" s="12">
        <f>IFERROR(__xludf.DUMMYFUNCTION("""COMPUTED_VALUE"""),44662.69515046296)</f>
        <v>44662.69515</v>
      </c>
      <c r="D2163" s="13">
        <f t="shared" si="1"/>
        <v>11</v>
      </c>
      <c r="E2163" s="13">
        <f t="shared" si="2"/>
        <v>16</v>
      </c>
    </row>
    <row r="2164">
      <c r="A2164" s="4" t="s">
        <v>2486</v>
      </c>
      <c r="B2164" s="16"/>
      <c r="C2164" s="12">
        <f>IFERROR(__xludf.DUMMYFUNCTION("""COMPUTED_VALUE"""),44662.695138888885)</f>
        <v>44662.69514</v>
      </c>
      <c r="D2164" s="13">
        <f t="shared" si="1"/>
        <v>11</v>
      </c>
      <c r="E2164" s="13">
        <f t="shared" si="2"/>
        <v>16</v>
      </c>
    </row>
    <row r="2165">
      <c r="A2165" s="4" t="s">
        <v>2487</v>
      </c>
      <c r="B2165" s="16"/>
      <c r="C2165" s="12">
        <f>IFERROR(__xludf.DUMMYFUNCTION("""COMPUTED_VALUE"""),44662.69511574074)</f>
        <v>44662.69512</v>
      </c>
      <c r="D2165" s="13">
        <f t="shared" si="1"/>
        <v>11</v>
      </c>
      <c r="E2165" s="13">
        <f t="shared" si="2"/>
        <v>16</v>
      </c>
    </row>
    <row r="2166">
      <c r="A2166" s="4" t="s">
        <v>2488</v>
      </c>
      <c r="B2166" s="16"/>
      <c r="C2166" s="12">
        <f>IFERROR(__xludf.DUMMYFUNCTION("""COMPUTED_VALUE"""),44662.69506944444)</f>
        <v>44662.69507</v>
      </c>
      <c r="D2166" s="13">
        <f t="shared" si="1"/>
        <v>11</v>
      </c>
      <c r="E2166" s="13">
        <f t="shared" si="2"/>
        <v>16</v>
      </c>
    </row>
    <row r="2167">
      <c r="A2167" s="4" t="s">
        <v>2488</v>
      </c>
      <c r="B2167" s="16"/>
      <c r="C2167" s="12">
        <f>IFERROR(__xludf.DUMMYFUNCTION("""COMPUTED_VALUE"""),44662.69506944444)</f>
        <v>44662.69507</v>
      </c>
      <c r="D2167" s="13">
        <f t="shared" si="1"/>
        <v>11</v>
      </c>
      <c r="E2167" s="13">
        <f t="shared" si="2"/>
        <v>16</v>
      </c>
    </row>
    <row r="2168">
      <c r="A2168" s="4" t="s">
        <v>2489</v>
      </c>
      <c r="B2168" s="4" t="s">
        <v>2490</v>
      </c>
      <c r="C2168" s="12">
        <f>IFERROR(__xludf.DUMMYFUNCTION("""COMPUTED_VALUE"""),44662.69501157407)</f>
        <v>44662.69501</v>
      </c>
      <c r="D2168" s="13">
        <f t="shared" si="1"/>
        <v>11</v>
      </c>
      <c r="E2168" s="13">
        <f t="shared" si="2"/>
        <v>16</v>
      </c>
    </row>
    <row r="2169">
      <c r="A2169" s="4" t="s">
        <v>2491</v>
      </c>
      <c r="B2169" s="16"/>
      <c r="C2169" s="12">
        <f>IFERROR(__xludf.DUMMYFUNCTION("""COMPUTED_VALUE"""),44662.69337962963)</f>
        <v>44662.69338</v>
      </c>
      <c r="D2169" s="13">
        <f t="shared" si="1"/>
        <v>11</v>
      </c>
      <c r="E2169" s="13">
        <f t="shared" si="2"/>
        <v>16</v>
      </c>
    </row>
    <row r="2170">
      <c r="A2170" s="4" t="s">
        <v>2491</v>
      </c>
      <c r="B2170" s="16"/>
      <c r="C2170" s="12">
        <f>IFERROR(__xludf.DUMMYFUNCTION("""COMPUTED_VALUE"""),44662.69337962963)</f>
        <v>44662.69338</v>
      </c>
      <c r="D2170" s="13">
        <f t="shared" si="1"/>
        <v>11</v>
      </c>
      <c r="E2170" s="13">
        <f t="shared" si="2"/>
        <v>16</v>
      </c>
    </row>
    <row r="2171">
      <c r="A2171" s="4" t="s">
        <v>2491</v>
      </c>
      <c r="B2171" s="4" t="s">
        <v>2492</v>
      </c>
      <c r="C2171" s="12">
        <f>IFERROR(__xludf.DUMMYFUNCTION("""COMPUTED_VALUE"""),44662.69337962963)</f>
        <v>44662.69338</v>
      </c>
      <c r="D2171" s="13">
        <f t="shared" si="1"/>
        <v>11</v>
      </c>
      <c r="E2171" s="13">
        <f t="shared" si="2"/>
        <v>16</v>
      </c>
    </row>
    <row r="2172">
      <c r="A2172" s="4" t="s">
        <v>2493</v>
      </c>
      <c r="B2172" s="16"/>
      <c r="C2172" s="12">
        <f>IFERROR(__xludf.DUMMYFUNCTION("""COMPUTED_VALUE"""),44662.69331018518)</f>
        <v>44662.69331</v>
      </c>
      <c r="D2172" s="13">
        <f t="shared" si="1"/>
        <v>11</v>
      </c>
      <c r="E2172" s="13">
        <f t="shared" si="2"/>
        <v>16</v>
      </c>
    </row>
    <row r="2173">
      <c r="A2173" s="4" t="s">
        <v>2494</v>
      </c>
      <c r="B2173" s="16"/>
      <c r="C2173" s="12">
        <f>IFERROR(__xludf.DUMMYFUNCTION("""COMPUTED_VALUE"""),44662.69321759259)</f>
        <v>44662.69322</v>
      </c>
      <c r="D2173" s="13">
        <f t="shared" si="1"/>
        <v>11</v>
      </c>
      <c r="E2173" s="13">
        <f t="shared" si="2"/>
        <v>16</v>
      </c>
    </row>
    <row r="2174">
      <c r="A2174" s="4" t="s">
        <v>2494</v>
      </c>
      <c r="B2174" s="4" t="s">
        <v>2344</v>
      </c>
      <c r="C2174" s="12">
        <f>IFERROR(__xludf.DUMMYFUNCTION("""COMPUTED_VALUE"""),44662.69321759259)</f>
        <v>44662.69322</v>
      </c>
      <c r="D2174" s="13">
        <f t="shared" si="1"/>
        <v>11</v>
      </c>
      <c r="E2174" s="13">
        <f t="shared" si="2"/>
        <v>16</v>
      </c>
    </row>
    <row r="2175">
      <c r="A2175" s="4" t="s">
        <v>2495</v>
      </c>
      <c r="B2175" s="16"/>
      <c r="C2175" s="12">
        <f>IFERROR(__xludf.DUMMYFUNCTION("""COMPUTED_VALUE"""),44662.693194444444)</f>
        <v>44662.69319</v>
      </c>
      <c r="D2175" s="13">
        <f t="shared" si="1"/>
        <v>11</v>
      </c>
      <c r="E2175" s="13">
        <f t="shared" si="2"/>
        <v>16</v>
      </c>
    </row>
    <row r="2176">
      <c r="A2176" s="4" t="s">
        <v>2496</v>
      </c>
      <c r="B2176" s="16"/>
      <c r="C2176" s="12">
        <f>IFERROR(__xludf.DUMMYFUNCTION("""COMPUTED_VALUE"""),44662.693136574075)</f>
        <v>44662.69314</v>
      </c>
      <c r="D2176" s="13">
        <f t="shared" si="1"/>
        <v>11</v>
      </c>
      <c r="E2176" s="13">
        <f t="shared" si="2"/>
        <v>16</v>
      </c>
    </row>
    <row r="2177">
      <c r="A2177" s="4" t="s">
        <v>2497</v>
      </c>
      <c r="B2177" s="16"/>
      <c r="C2177" s="12">
        <f>IFERROR(__xludf.DUMMYFUNCTION("""COMPUTED_VALUE"""),44662.69306712963)</f>
        <v>44662.69307</v>
      </c>
      <c r="D2177" s="13">
        <f t="shared" si="1"/>
        <v>11</v>
      </c>
      <c r="E2177" s="13">
        <f t="shared" si="2"/>
        <v>16</v>
      </c>
    </row>
    <row r="2178">
      <c r="A2178" s="4" t="s">
        <v>2498</v>
      </c>
      <c r="B2178" s="16"/>
      <c r="C2178" s="12">
        <f>IFERROR(__xludf.DUMMYFUNCTION("""COMPUTED_VALUE"""),44662.69293981481)</f>
        <v>44662.69294</v>
      </c>
      <c r="D2178" s="13">
        <f t="shared" si="1"/>
        <v>11</v>
      </c>
      <c r="E2178" s="13">
        <f t="shared" si="2"/>
        <v>16</v>
      </c>
    </row>
    <row r="2179">
      <c r="A2179" s="4" t="s">
        <v>2499</v>
      </c>
      <c r="B2179" s="16"/>
      <c r="C2179" s="12">
        <f>IFERROR(__xludf.DUMMYFUNCTION("""COMPUTED_VALUE"""),44662.692881944444)</f>
        <v>44662.69288</v>
      </c>
      <c r="D2179" s="13">
        <f t="shared" si="1"/>
        <v>11</v>
      </c>
      <c r="E2179" s="13">
        <f t="shared" si="2"/>
        <v>16</v>
      </c>
    </row>
    <row r="2180">
      <c r="A2180" s="4" t="s">
        <v>2500</v>
      </c>
      <c r="B2180" s="16"/>
      <c r="C2180" s="12">
        <f>IFERROR(__xludf.DUMMYFUNCTION("""COMPUTED_VALUE"""),44662.69284722222)</f>
        <v>44662.69285</v>
      </c>
      <c r="D2180" s="13">
        <f t="shared" si="1"/>
        <v>11</v>
      </c>
      <c r="E2180" s="13">
        <f t="shared" si="2"/>
        <v>16</v>
      </c>
    </row>
    <row r="2181">
      <c r="A2181" s="4" t="s">
        <v>2501</v>
      </c>
      <c r="B2181" s="16"/>
      <c r="C2181" s="12">
        <f>IFERROR(__xludf.DUMMYFUNCTION("""COMPUTED_VALUE"""),44662.692511574074)</f>
        <v>44662.69251</v>
      </c>
      <c r="D2181" s="13">
        <f t="shared" si="1"/>
        <v>11</v>
      </c>
      <c r="E2181" s="13">
        <f t="shared" si="2"/>
        <v>16</v>
      </c>
    </row>
    <row r="2182">
      <c r="A2182" s="4" t="s">
        <v>2502</v>
      </c>
      <c r="B2182" s="16"/>
      <c r="C2182" s="12">
        <f>IFERROR(__xludf.DUMMYFUNCTION("""COMPUTED_VALUE"""),44662.69225694444)</f>
        <v>44662.69226</v>
      </c>
      <c r="D2182" s="13">
        <f t="shared" si="1"/>
        <v>11</v>
      </c>
      <c r="E2182" s="13">
        <f t="shared" si="2"/>
        <v>16</v>
      </c>
    </row>
    <row r="2183">
      <c r="A2183" s="4" t="s">
        <v>2503</v>
      </c>
      <c r="B2183" s="16"/>
      <c r="C2183" s="12">
        <f>IFERROR(__xludf.DUMMYFUNCTION("""COMPUTED_VALUE"""),44662.69221064814)</f>
        <v>44662.69221</v>
      </c>
      <c r="D2183" s="13">
        <f t="shared" si="1"/>
        <v>11</v>
      </c>
      <c r="E2183" s="13">
        <f t="shared" si="2"/>
        <v>16</v>
      </c>
    </row>
    <row r="2184">
      <c r="A2184" s="4" t="s">
        <v>2504</v>
      </c>
      <c r="B2184" s="16"/>
      <c r="C2184" s="12">
        <f>IFERROR(__xludf.DUMMYFUNCTION("""COMPUTED_VALUE"""),44662.69207175926)</f>
        <v>44662.69207</v>
      </c>
      <c r="D2184" s="13">
        <f t="shared" si="1"/>
        <v>11</v>
      </c>
      <c r="E2184" s="13">
        <f t="shared" si="2"/>
        <v>16</v>
      </c>
    </row>
    <row r="2185">
      <c r="A2185" s="4" t="s">
        <v>2505</v>
      </c>
      <c r="B2185" s="16"/>
      <c r="C2185" s="12">
        <f>IFERROR(__xludf.DUMMYFUNCTION("""COMPUTED_VALUE"""),44662.69201388889)</f>
        <v>44662.69201</v>
      </c>
      <c r="D2185" s="13">
        <f t="shared" si="1"/>
        <v>11</v>
      </c>
      <c r="E2185" s="13">
        <f t="shared" si="2"/>
        <v>16</v>
      </c>
    </row>
    <row r="2186">
      <c r="A2186" s="4" t="s">
        <v>2506</v>
      </c>
      <c r="B2186" s="16"/>
      <c r="C2186" s="12">
        <f>IFERROR(__xludf.DUMMYFUNCTION("""COMPUTED_VALUE"""),44662.69196759259)</f>
        <v>44662.69197</v>
      </c>
      <c r="D2186" s="13">
        <f t="shared" si="1"/>
        <v>11</v>
      </c>
      <c r="E2186" s="13">
        <f t="shared" si="2"/>
        <v>16</v>
      </c>
    </row>
    <row r="2187">
      <c r="A2187" s="4" t="s">
        <v>2507</v>
      </c>
      <c r="B2187" s="16"/>
      <c r="C2187" s="12">
        <f>IFERROR(__xludf.DUMMYFUNCTION("""COMPUTED_VALUE"""),44662.69181712963)</f>
        <v>44662.69182</v>
      </c>
      <c r="D2187" s="13">
        <f t="shared" si="1"/>
        <v>11</v>
      </c>
      <c r="E2187" s="13">
        <f t="shared" si="2"/>
        <v>16</v>
      </c>
    </row>
    <row r="2188">
      <c r="A2188" s="4" t="s">
        <v>2508</v>
      </c>
      <c r="B2188" s="16"/>
      <c r="C2188" s="12">
        <f>IFERROR(__xludf.DUMMYFUNCTION("""COMPUTED_VALUE"""),44662.69086805555)</f>
        <v>44662.69087</v>
      </c>
      <c r="D2188" s="13">
        <f t="shared" si="1"/>
        <v>11</v>
      </c>
      <c r="E2188" s="13">
        <f t="shared" si="2"/>
        <v>16</v>
      </c>
    </row>
    <row r="2189">
      <c r="A2189" s="4" t="s">
        <v>2509</v>
      </c>
      <c r="B2189" s="16"/>
      <c r="C2189" s="12">
        <f>IFERROR(__xludf.DUMMYFUNCTION("""COMPUTED_VALUE"""),44662.69075231481)</f>
        <v>44662.69075</v>
      </c>
      <c r="D2189" s="13">
        <f t="shared" si="1"/>
        <v>11</v>
      </c>
      <c r="E2189" s="13">
        <f t="shared" si="2"/>
        <v>16</v>
      </c>
    </row>
    <row r="2190">
      <c r="A2190" s="4" t="s">
        <v>2510</v>
      </c>
      <c r="B2190" s="4" t="s">
        <v>2511</v>
      </c>
      <c r="C2190" s="12">
        <f>IFERROR(__xludf.DUMMYFUNCTION("""COMPUTED_VALUE"""),44662.69070601852)</f>
        <v>44662.69071</v>
      </c>
      <c r="D2190" s="13">
        <f t="shared" si="1"/>
        <v>11</v>
      </c>
      <c r="E2190" s="13">
        <f t="shared" si="2"/>
        <v>16</v>
      </c>
    </row>
    <row r="2191">
      <c r="A2191" s="4" t="s">
        <v>2512</v>
      </c>
      <c r="B2191" s="16"/>
      <c r="C2191" s="12">
        <f>IFERROR(__xludf.DUMMYFUNCTION("""COMPUTED_VALUE"""),44662.69064814815)</f>
        <v>44662.69065</v>
      </c>
      <c r="D2191" s="13">
        <f t="shared" si="1"/>
        <v>11</v>
      </c>
      <c r="E2191" s="13">
        <f t="shared" si="2"/>
        <v>16</v>
      </c>
    </row>
    <row r="2192">
      <c r="A2192" s="4" t="s">
        <v>2513</v>
      </c>
      <c r="B2192" s="4" t="s">
        <v>2514</v>
      </c>
      <c r="C2192" s="12">
        <f>IFERROR(__xludf.DUMMYFUNCTION("""COMPUTED_VALUE"""),44662.69060185185)</f>
        <v>44662.6906</v>
      </c>
      <c r="D2192" s="13">
        <f t="shared" si="1"/>
        <v>11</v>
      </c>
      <c r="E2192" s="13">
        <f t="shared" si="2"/>
        <v>16</v>
      </c>
    </row>
    <row r="2193">
      <c r="A2193" s="4" t="s">
        <v>2515</v>
      </c>
      <c r="B2193" s="4" t="s">
        <v>829</v>
      </c>
      <c r="C2193" s="12">
        <f>IFERROR(__xludf.DUMMYFUNCTION("""COMPUTED_VALUE"""),44662.69050925926)</f>
        <v>44662.69051</v>
      </c>
      <c r="D2193" s="13">
        <f t="shared" si="1"/>
        <v>11</v>
      </c>
      <c r="E2193" s="13">
        <f t="shared" si="2"/>
        <v>16</v>
      </c>
    </row>
    <row r="2194">
      <c r="A2194" s="4" t="s">
        <v>2516</v>
      </c>
      <c r="B2194" s="4" t="s">
        <v>2517</v>
      </c>
      <c r="C2194" s="12">
        <f>IFERROR(__xludf.DUMMYFUNCTION("""COMPUTED_VALUE"""),44662.69049768518)</f>
        <v>44662.6905</v>
      </c>
      <c r="D2194" s="13">
        <f t="shared" si="1"/>
        <v>11</v>
      </c>
      <c r="E2194" s="13">
        <f t="shared" si="2"/>
        <v>16</v>
      </c>
    </row>
    <row r="2195">
      <c r="A2195" s="4" t="s">
        <v>2518</v>
      </c>
      <c r="B2195" s="4" t="s">
        <v>829</v>
      </c>
      <c r="C2195" s="12">
        <f>IFERROR(__xludf.DUMMYFUNCTION("""COMPUTED_VALUE"""),44662.690474537034)</f>
        <v>44662.69047</v>
      </c>
      <c r="D2195" s="13">
        <f t="shared" si="1"/>
        <v>11</v>
      </c>
      <c r="E2195" s="13">
        <f t="shared" si="2"/>
        <v>16</v>
      </c>
    </row>
    <row r="2196">
      <c r="A2196" s="4" t="s">
        <v>2519</v>
      </c>
      <c r="B2196" s="16"/>
      <c r="C2196" s="12">
        <f>IFERROR(__xludf.DUMMYFUNCTION("""COMPUTED_VALUE"""),44662.69046296296)</f>
        <v>44662.69046</v>
      </c>
      <c r="D2196" s="13">
        <f t="shared" si="1"/>
        <v>11</v>
      </c>
      <c r="E2196" s="13">
        <f t="shared" si="2"/>
        <v>16</v>
      </c>
    </row>
    <row r="2197">
      <c r="A2197" s="4" t="s">
        <v>2520</v>
      </c>
      <c r="B2197" s="16"/>
      <c r="C2197" s="12">
        <f>IFERROR(__xludf.DUMMYFUNCTION("""COMPUTED_VALUE"""),44662.69043981481)</f>
        <v>44662.69044</v>
      </c>
      <c r="D2197" s="13">
        <f t="shared" si="1"/>
        <v>11</v>
      </c>
      <c r="E2197" s="13">
        <f t="shared" si="2"/>
        <v>16</v>
      </c>
    </row>
    <row r="2198">
      <c r="A2198" s="4" t="s">
        <v>2521</v>
      </c>
      <c r="B2198" s="4" t="s">
        <v>2351</v>
      </c>
      <c r="C2198" s="12">
        <f>IFERROR(__xludf.DUMMYFUNCTION("""COMPUTED_VALUE"""),44662.69042824074)</f>
        <v>44662.69043</v>
      </c>
      <c r="D2198" s="13">
        <f t="shared" si="1"/>
        <v>11</v>
      </c>
      <c r="E2198" s="13">
        <f t="shared" si="2"/>
        <v>16</v>
      </c>
    </row>
    <row r="2199">
      <c r="A2199" s="4" t="s">
        <v>2522</v>
      </c>
      <c r="B2199" s="16"/>
      <c r="C2199" s="12">
        <f>IFERROR(__xludf.DUMMYFUNCTION("""COMPUTED_VALUE"""),44662.69040509259)</f>
        <v>44662.69041</v>
      </c>
      <c r="D2199" s="13">
        <f t="shared" si="1"/>
        <v>11</v>
      </c>
      <c r="E2199" s="13">
        <f t="shared" si="2"/>
        <v>16</v>
      </c>
    </row>
    <row r="2200">
      <c r="A2200" s="4" t="s">
        <v>2523</v>
      </c>
      <c r="B2200" s="16"/>
      <c r="C2200" s="12">
        <f>IFERROR(__xludf.DUMMYFUNCTION("""COMPUTED_VALUE"""),44662.690312499995)</f>
        <v>44662.69031</v>
      </c>
      <c r="D2200" s="13">
        <f t="shared" si="1"/>
        <v>11</v>
      </c>
      <c r="E2200" s="13">
        <f t="shared" si="2"/>
        <v>16</v>
      </c>
    </row>
    <row r="2201">
      <c r="A2201" s="4" t="s">
        <v>2524</v>
      </c>
      <c r="B2201" s="4" t="s">
        <v>829</v>
      </c>
      <c r="C2201" s="12">
        <f>IFERROR(__xludf.DUMMYFUNCTION("""COMPUTED_VALUE"""),44662.69013888889)</f>
        <v>44662.69014</v>
      </c>
      <c r="D2201" s="13">
        <f t="shared" si="1"/>
        <v>11</v>
      </c>
      <c r="E2201" s="13">
        <f t="shared" si="2"/>
        <v>16</v>
      </c>
    </row>
    <row r="2202">
      <c r="A2202" s="4" t="s">
        <v>2525</v>
      </c>
      <c r="B2202" s="4" t="s">
        <v>829</v>
      </c>
      <c r="C2202" s="12">
        <f>IFERROR(__xludf.DUMMYFUNCTION("""COMPUTED_VALUE"""),44662.690104166664)</f>
        <v>44662.6901</v>
      </c>
      <c r="D2202" s="13">
        <f t="shared" si="1"/>
        <v>11</v>
      </c>
      <c r="E2202" s="13">
        <f t="shared" si="2"/>
        <v>16</v>
      </c>
    </row>
    <row r="2203">
      <c r="A2203" s="4" t="s">
        <v>2526</v>
      </c>
      <c r="B2203" s="4" t="s">
        <v>829</v>
      </c>
      <c r="C2203" s="12">
        <f>IFERROR(__xludf.DUMMYFUNCTION("""COMPUTED_VALUE"""),44662.69006944444)</f>
        <v>44662.69007</v>
      </c>
      <c r="D2203" s="13">
        <f t="shared" si="1"/>
        <v>11</v>
      </c>
      <c r="E2203" s="13">
        <f t="shared" si="2"/>
        <v>16</v>
      </c>
    </row>
    <row r="2204">
      <c r="A2204" s="4" t="s">
        <v>2527</v>
      </c>
      <c r="B2204" s="4" t="s">
        <v>2415</v>
      </c>
      <c r="C2204" s="12">
        <f>IFERROR(__xludf.DUMMYFUNCTION("""COMPUTED_VALUE"""),44662.689988425926)</f>
        <v>44662.68999</v>
      </c>
      <c r="D2204" s="13">
        <f t="shared" si="1"/>
        <v>11</v>
      </c>
      <c r="E2204" s="13">
        <f t="shared" si="2"/>
        <v>16</v>
      </c>
    </row>
    <row r="2205">
      <c r="A2205" s="4" t="s">
        <v>2528</v>
      </c>
      <c r="B2205" s="4" t="s">
        <v>829</v>
      </c>
      <c r="C2205" s="12">
        <f>IFERROR(__xludf.DUMMYFUNCTION("""COMPUTED_VALUE"""),44662.68991898148)</f>
        <v>44662.68992</v>
      </c>
      <c r="D2205" s="13">
        <f t="shared" si="1"/>
        <v>11</v>
      </c>
      <c r="E2205" s="13">
        <f t="shared" si="2"/>
        <v>16</v>
      </c>
    </row>
    <row r="2206">
      <c r="A2206" s="4" t="s">
        <v>2529</v>
      </c>
      <c r="B2206" s="4" t="s">
        <v>829</v>
      </c>
      <c r="C2206" s="12">
        <f>IFERROR(__xludf.DUMMYFUNCTION("""COMPUTED_VALUE"""),44662.689884259256)</f>
        <v>44662.68988</v>
      </c>
      <c r="D2206" s="13">
        <f t="shared" si="1"/>
        <v>11</v>
      </c>
      <c r="E2206" s="13">
        <f t="shared" si="2"/>
        <v>16</v>
      </c>
    </row>
    <row r="2207">
      <c r="A2207" s="4" t="s">
        <v>2530</v>
      </c>
      <c r="B2207" s="4" t="s">
        <v>829</v>
      </c>
      <c r="C2207" s="12">
        <f>IFERROR(__xludf.DUMMYFUNCTION("""COMPUTED_VALUE"""),44662.68984953703)</f>
        <v>44662.68985</v>
      </c>
      <c r="D2207" s="13">
        <f t="shared" si="1"/>
        <v>11</v>
      </c>
      <c r="E2207" s="13">
        <f t="shared" si="2"/>
        <v>16</v>
      </c>
    </row>
    <row r="2208">
      <c r="A2208" s="4" t="s">
        <v>2531</v>
      </c>
      <c r="B2208" s="4" t="s">
        <v>829</v>
      </c>
      <c r="C2208" s="12">
        <f>IFERROR(__xludf.DUMMYFUNCTION("""COMPUTED_VALUE"""),44662.68981481481)</f>
        <v>44662.68981</v>
      </c>
      <c r="D2208" s="13">
        <f t="shared" si="1"/>
        <v>11</v>
      </c>
      <c r="E2208" s="13">
        <f t="shared" si="2"/>
        <v>16</v>
      </c>
    </row>
    <row r="2209">
      <c r="A2209" s="4" t="s">
        <v>2532</v>
      </c>
      <c r="B2209" s="4" t="s">
        <v>829</v>
      </c>
      <c r="C2209" s="12">
        <f>IFERROR(__xludf.DUMMYFUNCTION("""COMPUTED_VALUE"""),44662.689791666664)</f>
        <v>44662.68979</v>
      </c>
      <c r="D2209" s="13">
        <f t="shared" si="1"/>
        <v>11</v>
      </c>
      <c r="E2209" s="13">
        <f t="shared" si="2"/>
        <v>16</v>
      </c>
    </row>
    <row r="2210">
      <c r="A2210" s="4" t="s">
        <v>2533</v>
      </c>
      <c r="B2210" s="4" t="s">
        <v>2534</v>
      </c>
      <c r="C2210" s="12">
        <f>IFERROR(__xludf.DUMMYFUNCTION("""COMPUTED_VALUE"""),44662.68978009259)</f>
        <v>44662.68978</v>
      </c>
      <c r="D2210" s="13">
        <f t="shared" si="1"/>
        <v>11</v>
      </c>
      <c r="E2210" s="13">
        <f t="shared" si="2"/>
        <v>16</v>
      </c>
    </row>
    <row r="2211">
      <c r="A2211" s="4" t="s">
        <v>2535</v>
      </c>
      <c r="B2211" s="16"/>
      <c r="C2211" s="12">
        <f>IFERROR(__xludf.DUMMYFUNCTION("""COMPUTED_VALUE"""),44662.689733796295)</f>
        <v>44662.68973</v>
      </c>
      <c r="D2211" s="13">
        <f t="shared" si="1"/>
        <v>11</v>
      </c>
      <c r="E2211" s="13">
        <f t="shared" si="2"/>
        <v>16</v>
      </c>
    </row>
    <row r="2212">
      <c r="A2212" s="4" t="s">
        <v>2536</v>
      </c>
      <c r="B2212" s="16"/>
      <c r="C2212" s="12">
        <f>IFERROR(__xludf.DUMMYFUNCTION("""COMPUTED_VALUE"""),44662.68927083333)</f>
        <v>44662.68927</v>
      </c>
      <c r="D2212" s="13">
        <f t="shared" si="1"/>
        <v>11</v>
      </c>
      <c r="E2212" s="13">
        <f t="shared" si="2"/>
        <v>16</v>
      </c>
    </row>
    <row r="2213">
      <c r="A2213" s="4" t="s">
        <v>2537</v>
      </c>
      <c r="B2213" s="4" t="s">
        <v>2538</v>
      </c>
      <c r="C2213" s="12">
        <f>IFERROR(__xludf.DUMMYFUNCTION("""COMPUTED_VALUE"""),44662.689247685186)</f>
        <v>44662.68925</v>
      </c>
      <c r="D2213" s="13">
        <f t="shared" si="1"/>
        <v>11</v>
      </c>
      <c r="E2213" s="13">
        <f t="shared" si="2"/>
        <v>16</v>
      </c>
    </row>
    <row r="2214">
      <c r="A2214" s="4" t="s">
        <v>2539</v>
      </c>
      <c r="B2214" s="4" t="s">
        <v>2540</v>
      </c>
      <c r="C2214" s="12">
        <f>IFERROR(__xludf.DUMMYFUNCTION("""COMPUTED_VALUE"""),44662.6890162037)</f>
        <v>44662.68902</v>
      </c>
      <c r="D2214" s="13">
        <f t="shared" si="1"/>
        <v>11</v>
      </c>
      <c r="E2214" s="13">
        <f t="shared" si="2"/>
        <v>16</v>
      </c>
    </row>
    <row r="2215">
      <c r="A2215" s="4" t="s">
        <v>2541</v>
      </c>
      <c r="B2215" s="4" t="s">
        <v>2542</v>
      </c>
      <c r="C2215" s="12">
        <f>IFERROR(__xludf.DUMMYFUNCTION("""COMPUTED_VALUE"""),44662.68898148148)</f>
        <v>44662.68898</v>
      </c>
      <c r="D2215" s="13">
        <f t="shared" si="1"/>
        <v>11</v>
      </c>
      <c r="E2215" s="13">
        <f t="shared" si="2"/>
        <v>16</v>
      </c>
    </row>
    <row r="2216">
      <c r="A2216" s="4" t="s">
        <v>2543</v>
      </c>
      <c r="B2216" s="4" t="s">
        <v>2544</v>
      </c>
      <c r="C2216" s="12">
        <f>IFERROR(__xludf.DUMMYFUNCTION("""COMPUTED_VALUE"""),44662.688946759255)</f>
        <v>44662.68895</v>
      </c>
      <c r="D2216" s="13">
        <f t="shared" si="1"/>
        <v>11</v>
      </c>
      <c r="E2216" s="13">
        <f t="shared" si="2"/>
        <v>16</v>
      </c>
    </row>
    <row r="2217">
      <c r="A2217" s="4" t="s">
        <v>2545</v>
      </c>
      <c r="B2217" s="16"/>
      <c r="C2217" s="12">
        <f>IFERROR(__xludf.DUMMYFUNCTION("""COMPUTED_VALUE"""),44662.68885416666)</f>
        <v>44662.68885</v>
      </c>
      <c r="D2217" s="13">
        <f t="shared" si="1"/>
        <v>11</v>
      </c>
      <c r="E2217" s="13">
        <f t="shared" si="2"/>
        <v>16</v>
      </c>
    </row>
    <row r="2218">
      <c r="A2218" s="4" t="s">
        <v>2546</v>
      </c>
      <c r="B2218" s="16"/>
      <c r="C2218" s="12">
        <f>IFERROR(__xludf.DUMMYFUNCTION("""COMPUTED_VALUE"""),44662.688009259255)</f>
        <v>44662.68801</v>
      </c>
      <c r="D2218" s="13">
        <f t="shared" si="1"/>
        <v>11</v>
      </c>
      <c r="E2218" s="13">
        <f t="shared" si="2"/>
        <v>16</v>
      </c>
    </row>
    <row r="2219">
      <c r="A2219" s="4" t="s">
        <v>2547</v>
      </c>
      <c r="B2219" s="16"/>
      <c r="C2219" s="12">
        <f>IFERROR(__xludf.DUMMYFUNCTION("""COMPUTED_VALUE"""),44662.68733796296)</f>
        <v>44662.68734</v>
      </c>
      <c r="D2219" s="13">
        <f t="shared" si="1"/>
        <v>11</v>
      </c>
      <c r="E2219" s="13">
        <f t="shared" si="2"/>
        <v>16</v>
      </c>
    </row>
    <row r="2220">
      <c r="A2220" s="4" t="s">
        <v>2548</v>
      </c>
      <c r="B2220" s="16"/>
      <c r="C2220" s="12">
        <f>IFERROR(__xludf.DUMMYFUNCTION("""COMPUTED_VALUE"""),44662.686585648145)</f>
        <v>44662.68659</v>
      </c>
      <c r="D2220" s="13">
        <f t="shared" si="1"/>
        <v>11</v>
      </c>
      <c r="E2220" s="13">
        <f t="shared" si="2"/>
        <v>16</v>
      </c>
    </row>
    <row r="2221">
      <c r="A2221" s="4" t="s">
        <v>2549</v>
      </c>
      <c r="B2221" s="4" t="s">
        <v>2550</v>
      </c>
      <c r="C2221" s="12">
        <f>IFERROR(__xludf.DUMMYFUNCTION("""COMPUTED_VALUE"""),44662.68344907407)</f>
        <v>44662.68345</v>
      </c>
      <c r="D2221" s="13">
        <f t="shared" si="1"/>
        <v>11</v>
      </c>
      <c r="E2221" s="13">
        <f t="shared" si="2"/>
        <v>16</v>
      </c>
    </row>
    <row r="2222">
      <c r="A2222" s="4" t="s">
        <v>2551</v>
      </c>
      <c r="B2222" s="16"/>
      <c r="C2222" s="12">
        <f>IFERROR(__xludf.DUMMYFUNCTION("""COMPUTED_VALUE"""),44662.68329861111)</f>
        <v>44662.6833</v>
      </c>
      <c r="D2222" s="13">
        <f t="shared" si="1"/>
        <v>11</v>
      </c>
      <c r="E2222" s="13">
        <f t="shared" si="2"/>
        <v>16</v>
      </c>
    </row>
    <row r="2223">
      <c r="A2223" s="4" t="s">
        <v>2552</v>
      </c>
      <c r="B2223" s="16"/>
      <c r="C2223" s="12">
        <f>IFERROR(__xludf.DUMMYFUNCTION("""COMPUTED_VALUE"""),44662.68321759259)</f>
        <v>44662.68322</v>
      </c>
      <c r="D2223" s="13">
        <f t="shared" si="1"/>
        <v>11</v>
      </c>
      <c r="E2223" s="13">
        <f t="shared" si="2"/>
        <v>16</v>
      </c>
    </row>
    <row r="2224">
      <c r="A2224" s="4" t="s">
        <v>2553</v>
      </c>
      <c r="B2224" s="16"/>
      <c r="C2224" s="12">
        <f>IFERROR(__xludf.DUMMYFUNCTION("""COMPUTED_VALUE"""),44662.68313657407)</f>
        <v>44662.68314</v>
      </c>
      <c r="D2224" s="13">
        <f t="shared" si="1"/>
        <v>11</v>
      </c>
      <c r="E2224" s="13">
        <f t="shared" si="2"/>
        <v>16</v>
      </c>
    </row>
    <row r="2225">
      <c r="A2225" s="4" t="s">
        <v>2554</v>
      </c>
      <c r="B2225" s="4" t="s">
        <v>2555</v>
      </c>
      <c r="C2225" s="12">
        <f>IFERROR(__xludf.DUMMYFUNCTION("""COMPUTED_VALUE"""),44662.68311342593)</f>
        <v>44662.68311</v>
      </c>
      <c r="D2225" s="13">
        <f t="shared" si="1"/>
        <v>11</v>
      </c>
      <c r="E2225" s="13">
        <f t="shared" si="2"/>
        <v>16</v>
      </c>
    </row>
    <row r="2226">
      <c r="A2226" s="4" t="s">
        <v>2556</v>
      </c>
      <c r="B2226" s="16"/>
      <c r="C2226" s="12">
        <f>IFERROR(__xludf.DUMMYFUNCTION("""COMPUTED_VALUE"""),44662.68310185185)</f>
        <v>44662.6831</v>
      </c>
      <c r="D2226" s="13">
        <f t="shared" si="1"/>
        <v>11</v>
      </c>
      <c r="E2226" s="13">
        <f t="shared" si="2"/>
        <v>16</v>
      </c>
    </row>
    <row r="2227">
      <c r="A2227" s="4" t="s">
        <v>2557</v>
      </c>
      <c r="B2227" s="16"/>
      <c r="C2227" s="12">
        <f>IFERROR(__xludf.DUMMYFUNCTION("""COMPUTED_VALUE"""),44662.68299768518)</f>
        <v>44662.683</v>
      </c>
      <c r="D2227" s="13">
        <f t="shared" si="1"/>
        <v>11</v>
      </c>
      <c r="E2227" s="13">
        <f t="shared" si="2"/>
        <v>16</v>
      </c>
    </row>
    <row r="2228">
      <c r="A2228" s="4" t="s">
        <v>2558</v>
      </c>
      <c r="B2228" s="4" t="s">
        <v>2559</v>
      </c>
      <c r="C2228" s="12">
        <f>IFERROR(__xludf.DUMMYFUNCTION("""COMPUTED_VALUE"""),44662.682800925926)</f>
        <v>44662.6828</v>
      </c>
      <c r="D2228" s="13">
        <f t="shared" si="1"/>
        <v>11</v>
      </c>
      <c r="E2228" s="13">
        <f t="shared" si="2"/>
        <v>16</v>
      </c>
    </row>
    <row r="2229">
      <c r="A2229" s="4" t="s">
        <v>2560</v>
      </c>
      <c r="B2229" s="16"/>
      <c r="C2229" s="12">
        <f>IFERROR(__xludf.DUMMYFUNCTION("""COMPUTED_VALUE"""),44662.682233796295)</f>
        <v>44662.68223</v>
      </c>
      <c r="D2229" s="13">
        <f t="shared" si="1"/>
        <v>11</v>
      </c>
      <c r="E2229" s="13">
        <f t="shared" si="2"/>
        <v>16</v>
      </c>
    </row>
    <row r="2230">
      <c r="A2230" s="4" t="s">
        <v>2561</v>
      </c>
      <c r="B2230" s="4" t="s">
        <v>2562</v>
      </c>
      <c r="C2230" s="12">
        <f>IFERROR(__xludf.DUMMYFUNCTION("""COMPUTED_VALUE"""),44662.682129629626)</f>
        <v>44662.68213</v>
      </c>
      <c r="D2230" s="13">
        <f t="shared" si="1"/>
        <v>11</v>
      </c>
      <c r="E2230" s="13">
        <f t="shared" si="2"/>
        <v>16</v>
      </c>
    </row>
    <row r="2231">
      <c r="A2231" s="4" t="s">
        <v>2563</v>
      </c>
      <c r="B2231" s="16"/>
      <c r="C2231" s="12">
        <f>IFERROR(__xludf.DUMMYFUNCTION("""COMPUTED_VALUE"""),44662.682071759256)</f>
        <v>44662.68207</v>
      </c>
      <c r="D2231" s="13">
        <f t="shared" si="1"/>
        <v>11</v>
      </c>
      <c r="E2231" s="13">
        <f t="shared" si="2"/>
        <v>16</v>
      </c>
    </row>
    <row r="2232">
      <c r="A2232" s="4" t="s">
        <v>2564</v>
      </c>
      <c r="B2232" s="16"/>
      <c r="C2232" s="12">
        <f>IFERROR(__xludf.DUMMYFUNCTION("""COMPUTED_VALUE"""),44662.68177083333)</f>
        <v>44662.68177</v>
      </c>
      <c r="D2232" s="13">
        <f t="shared" si="1"/>
        <v>11</v>
      </c>
      <c r="E2232" s="13">
        <f t="shared" si="2"/>
        <v>16</v>
      </c>
    </row>
    <row r="2233">
      <c r="A2233" s="4" t="s">
        <v>2565</v>
      </c>
      <c r="B2233" s="4" t="s">
        <v>1082</v>
      </c>
      <c r="C2233" s="12">
        <f>IFERROR(__xludf.DUMMYFUNCTION("""COMPUTED_VALUE"""),44662.68158564815)</f>
        <v>44662.68159</v>
      </c>
      <c r="D2233" s="13">
        <f t="shared" si="1"/>
        <v>11</v>
      </c>
      <c r="E2233" s="13">
        <f t="shared" si="2"/>
        <v>16</v>
      </c>
    </row>
    <row r="2234">
      <c r="A2234" s="4" t="s">
        <v>2566</v>
      </c>
      <c r="B2234" s="16"/>
      <c r="C2234" s="12">
        <f>IFERROR(__xludf.DUMMYFUNCTION("""COMPUTED_VALUE"""),44662.681296296294)</f>
        <v>44662.6813</v>
      </c>
      <c r="D2234" s="13">
        <f t="shared" si="1"/>
        <v>11</v>
      </c>
      <c r="E2234" s="13">
        <f t="shared" si="2"/>
        <v>16</v>
      </c>
    </row>
    <row r="2235">
      <c r="A2235" s="4" t="s">
        <v>2567</v>
      </c>
      <c r="B2235" s="16"/>
      <c r="C2235" s="12">
        <f>IFERROR(__xludf.DUMMYFUNCTION("""COMPUTED_VALUE"""),44662.680983796294)</f>
        <v>44662.68098</v>
      </c>
      <c r="D2235" s="13">
        <f t="shared" si="1"/>
        <v>11</v>
      </c>
      <c r="E2235" s="13">
        <f t="shared" si="2"/>
        <v>16</v>
      </c>
    </row>
    <row r="2236">
      <c r="A2236" s="4" t="s">
        <v>2568</v>
      </c>
      <c r="B2236" s="16"/>
      <c r="C2236" s="12">
        <f>IFERROR(__xludf.DUMMYFUNCTION("""COMPUTED_VALUE"""),44662.68094907407)</f>
        <v>44662.68095</v>
      </c>
      <c r="D2236" s="13">
        <f t="shared" si="1"/>
        <v>11</v>
      </c>
      <c r="E2236" s="13">
        <f t="shared" si="2"/>
        <v>16</v>
      </c>
    </row>
    <row r="2237">
      <c r="A2237" s="4" t="s">
        <v>2569</v>
      </c>
      <c r="B2237" s="4" t="s">
        <v>1082</v>
      </c>
      <c r="C2237" s="12">
        <f>IFERROR(__xludf.DUMMYFUNCTION("""COMPUTED_VALUE"""),44662.68091435185)</f>
        <v>44662.68091</v>
      </c>
      <c r="D2237" s="13">
        <f t="shared" si="1"/>
        <v>11</v>
      </c>
      <c r="E2237" s="13">
        <f t="shared" si="2"/>
        <v>16</v>
      </c>
    </row>
    <row r="2238">
      <c r="A2238" s="4" t="s">
        <v>2570</v>
      </c>
      <c r="B2238" s="16"/>
      <c r="C2238" s="12">
        <f>IFERROR(__xludf.DUMMYFUNCTION("""COMPUTED_VALUE"""),44662.68016203703)</f>
        <v>44662.68016</v>
      </c>
      <c r="D2238" s="13">
        <f t="shared" si="1"/>
        <v>11</v>
      </c>
      <c r="E2238" s="13">
        <f t="shared" si="2"/>
        <v>16</v>
      </c>
    </row>
    <row r="2239">
      <c r="A2239" s="4" t="s">
        <v>2571</v>
      </c>
      <c r="B2239" s="16"/>
      <c r="C2239" s="12">
        <f>IFERROR(__xludf.DUMMYFUNCTION("""COMPUTED_VALUE"""),44662.68009259259)</f>
        <v>44662.68009</v>
      </c>
      <c r="D2239" s="13">
        <f t="shared" si="1"/>
        <v>11</v>
      </c>
      <c r="E2239" s="13">
        <f t="shared" si="2"/>
        <v>16</v>
      </c>
    </row>
    <row r="2240">
      <c r="A2240" s="4" t="s">
        <v>2572</v>
      </c>
      <c r="B2240" s="16"/>
      <c r="C2240" s="12">
        <f>IFERROR(__xludf.DUMMYFUNCTION("""COMPUTED_VALUE"""),44662.679618055554)</f>
        <v>44662.67962</v>
      </c>
      <c r="D2240" s="13">
        <f t="shared" si="1"/>
        <v>11</v>
      </c>
      <c r="E2240" s="13">
        <f t="shared" si="2"/>
        <v>16</v>
      </c>
    </row>
    <row r="2241">
      <c r="A2241" s="4" t="s">
        <v>2572</v>
      </c>
      <c r="B2241" s="16"/>
      <c r="C2241" s="12">
        <f>IFERROR(__xludf.DUMMYFUNCTION("""COMPUTED_VALUE"""),44662.679618055554)</f>
        <v>44662.67962</v>
      </c>
      <c r="D2241" s="13">
        <f t="shared" si="1"/>
        <v>11</v>
      </c>
      <c r="E2241" s="13">
        <f t="shared" si="2"/>
        <v>16</v>
      </c>
    </row>
    <row r="2242">
      <c r="A2242" s="4" t="s">
        <v>2573</v>
      </c>
      <c r="B2242" s="16"/>
      <c r="C2242" s="12">
        <f>IFERROR(__xludf.DUMMYFUNCTION("""COMPUTED_VALUE"""),44662.67930555555)</f>
        <v>44662.67931</v>
      </c>
      <c r="D2242" s="13">
        <f t="shared" si="1"/>
        <v>11</v>
      </c>
      <c r="E2242" s="13">
        <f t="shared" si="2"/>
        <v>16</v>
      </c>
    </row>
    <row r="2243">
      <c r="A2243" s="4" t="s">
        <v>2574</v>
      </c>
      <c r="B2243" s="4" t="s">
        <v>2575</v>
      </c>
      <c r="C2243" s="12">
        <f>IFERROR(__xludf.DUMMYFUNCTION("""COMPUTED_VALUE"""),44662.67880787037)</f>
        <v>44662.67881</v>
      </c>
      <c r="D2243" s="13">
        <f t="shared" si="1"/>
        <v>11</v>
      </c>
      <c r="E2243" s="13">
        <f t="shared" si="2"/>
        <v>16</v>
      </c>
    </row>
    <row r="2244">
      <c r="A2244" s="4" t="s">
        <v>2576</v>
      </c>
      <c r="B2244" s="4" t="s">
        <v>2577</v>
      </c>
      <c r="C2244" s="12">
        <f>IFERROR(__xludf.DUMMYFUNCTION("""COMPUTED_VALUE"""),44662.678518518514)</f>
        <v>44662.67852</v>
      </c>
      <c r="D2244" s="13">
        <f t="shared" si="1"/>
        <v>11</v>
      </c>
      <c r="E2244" s="13">
        <f t="shared" si="2"/>
        <v>16</v>
      </c>
    </row>
    <row r="2245">
      <c r="A2245" s="4" t="s">
        <v>2578</v>
      </c>
      <c r="B2245" s="4" t="s">
        <v>2579</v>
      </c>
      <c r="C2245" s="12">
        <f>IFERROR(__xludf.DUMMYFUNCTION("""COMPUTED_VALUE"""),44662.67834490741)</f>
        <v>44662.67834</v>
      </c>
      <c r="D2245" s="13">
        <f t="shared" si="1"/>
        <v>11</v>
      </c>
      <c r="E2245" s="13">
        <f t="shared" si="2"/>
        <v>16</v>
      </c>
    </row>
    <row r="2246">
      <c r="A2246" s="4" t="s">
        <v>2580</v>
      </c>
      <c r="B2246" s="4" t="s">
        <v>829</v>
      </c>
      <c r="C2246" s="12">
        <f>IFERROR(__xludf.DUMMYFUNCTION("""COMPUTED_VALUE"""),44662.67766203704)</f>
        <v>44662.67766</v>
      </c>
      <c r="D2246" s="13">
        <f t="shared" si="1"/>
        <v>11</v>
      </c>
      <c r="E2246" s="13">
        <f t="shared" si="2"/>
        <v>16</v>
      </c>
    </row>
    <row r="2247">
      <c r="A2247" s="4" t="s">
        <v>2581</v>
      </c>
      <c r="B2247" s="4" t="s">
        <v>829</v>
      </c>
      <c r="C2247" s="12">
        <f>IFERROR(__xludf.DUMMYFUNCTION("""COMPUTED_VALUE"""),44662.67765046296)</f>
        <v>44662.67765</v>
      </c>
      <c r="D2247" s="13">
        <f t="shared" si="1"/>
        <v>11</v>
      </c>
      <c r="E2247" s="13">
        <f t="shared" si="2"/>
        <v>16</v>
      </c>
    </row>
    <row r="2248">
      <c r="A2248" s="4" t="s">
        <v>2582</v>
      </c>
      <c r="B2248" s="4" t="s">
        <v>829</v>
      </c>
      <c r="C2248" s="12">
        <f>IFERROR(__xludf.DUMMYFUNCTION("""COMPUTED_VALUE"""),44662.67762731481)</f>
        <v>44662.67763</v>
      </c>
      <c r="D2248" s="13">
        <f t="shared" si="1"/>
        <v>11</v>
      </c>
      <c r="E2248" s="13">
        <f t="shared" si="2"/>
        <v>16</v>
      </c>
    </row>
    <row r="2249">
      <c r="A2249" s="4" t="s">
        <v>2583</v>
      </c>
      <c r="B2249" s="4" t="s">
        <v>829</v>
      </c>
      <c r="C2249" s="12">
        <f>IFERROR(__xludf.DUMMYFUNCTION("""COMPUTED_VALUE"""),44662.67759259259)</f>
        <v>44662.67759</v>
      </c>
      <c r="D2249" s="13">
        <f t="shared" si="1"/>
        <v>11</v>
      </c>
      <c r="E2249" s="13">
        <f t="shared" si="2"/>
        <v>16</v>
      </c>
    </row>
    <row r="2250">
      <c r="A2250" s="4" t="s">
        <v>2584</v>
      </c>
      <c r="B2250" s="16"/>
      <c r="C2250" s="12">
        <f>IFERROR(__xludf.DUMMYFUNCTION("""COMPUTED_VALUE"""),44662.677523148144)</f>
        <v>44662.67752</v>
      </c>
      <c r="D2250" s="13">
        <f t="shared" si="1"/>
        <v>11</v>
      </c>
      <c r="E2250" s="13">
        <f t="shared" si="2"/>
        <v>16</v>
      </c>
    </row>
    <row r="2251">
      <c r="A2251" s="4" t="s">
        <v>2585</v>
      </c>
      <c r="B2251" s="4" t="s">
        <v>829</v>
      </c>
      <c r="C2251" s="12">
        <f>IFERROR(__xludf.DUMMYFUNCTION("""COMPUTED_VALUE"""),44662.6774537037)</f>
        <v>44662.67745</v>
      </c>
      <c r="D2251" s="13">
        <f t="shared" si="1"/>
        <v>11</v>
      </c>
      <c r="E2251" s="13">
        <f t="shared" si="2"/>
        <v>16</v>
      </c>
    </row>
    <row r="2252">
      <c r="A2252" s="4" t="s">
        <v>2586</v>
      </c>
      <c r="B2252" s="4" t="s">
        <v>829</v>
      </c>
      <c r="C2252" s="12">
        <f>IFERROR(__xludf.DUMMYFUNCTION("""COMPUTED_VALUE"""),44662.67739583333)</f>
        <v>44662.6774</v>
      </c>
      <c r="D2252" s="13">
        <f t="shared" si="1"/>
        <v>11</v>
      </c>
      <c r="E2252" s="13">
        <f t="shared" si="2"/>
        <v>16</v>
      </c>
    </row>
    <row r="2253">
      <c r="A2253" s="4" t="s">
        <v>2587</v>
      </c>
      <c r="B2253" s="4" t="s">
        <v>829</v>
      </c>
      <c r="C2253" s="12">
        <f>IFERROR(__xludf.DUMMYFUNCTION("""COMPUTED_VALUE"""),44662.67738425926)</f>
        <v>44662.67738</v>
      </c>
      <c r="D2253" s="13">
        <f t="shared" si="1"/>
        <v>11</v>
      </c>
      <c r="E2253" s="13">
        <f t="shared" si="2"/>
        <v>16</v>
      </c>
    </row>
    <row r="2254">
      <c r="A2254" s="4" t="s">
        <v>2587</v>
      </c>
      <c r="B2254" s="16"/>
      <c r="C2254" s="12">
        <f>IFERROR(__xludf.DUMMYFUNCTION("""COMPUTED_VALUE"""),44662.67738425926)</f>
        <v>44662.67738</v>
      </c>
      <c r="D2254" s="13">
        <f t="shared" si="1"/>
        <v>11</v>
      </c>
      <c r="E2254" s="13">
        <f t="shared" si="2"/>
        <v>16</v>
      </c>
    </row>
    <row r="2255">
      <c r="A2255" s="4" t="s">
        <v>2588</v>
      </c>
      <c r="B2255" s="16"/>
      <c r="C2255" s="12">
        <f>IFERROR(__xludf.DUMMYFUNCTION("""COMPUTED_VALUE"""),44662.67726851851)</f>
        <v>44662.67727</v>
      </c>
      <c r="D2255" s="13">
        <f t="shared" si="1"/>
        <v>11</v>
      </c>
      <c r="E2255" s="13">
        <f t="shared" si="2"/>
        <v>16</v>
      </c>
    </row>
    <row r="2256">
      <c r="A2256" s="4" t="s">
        <v>2589</v>
      </c>
      <c r="B2256" s="16"/>
      <c r="C2256" s="12">
        <f>IFERROR(__xludf.DUMMYFUNCTION("""COMPUTED_VALUE"""),44662.677199074074)</f>
        <v>44662.6772</v>
      </c>
      <c r="D2256" s="13">
        <f t="shared" si="1"/>
        <v>11</v>
      </c>
      <c r="E2256" s="13">
        <f t="shared" si="2"/>
        <v>16</v>
      </c>
    </row>
    <row r="2257">
      <c r="A2257" s="4" t="s">
        <v>2590</v>
      </c>
      <c r="B2257" s="16"/>
      <c r="C2257" s="12">
        <f>IFERROR(__xludf.DUMMYFUNCTION("""COMPUTED_VALUE"""),44662.67717592592)</f>
        <v>44662.67718</v>
      </c>
      <c r="D2257" s="13">
        <f t="shared" si="1"/>
        <v>11</v>
      </c>
      <c r="E2257" s="13">
        <f t="shared" si="2"/>
        <v>16</v>
      </c>
    </row>
    <row r="2258">
      <c r="A2258" s="4" t="s">
        <v>2591</v>
      </c>
      <c r="B2258" s="16"/>
      <c r="C2258" s="12">
        <f>IFERROR(__xludf.DUMMYFUNCTION("""COMPUTED_VALUE"""),44662.677152777775)</f>
        <v>44662.67715</v>
      </c>
      <c r="D2258" s="13">
        <f t="shared" si="1"/>
        <v>11</v>
      </c>
      <c r="E2258" s="13">
        <f t="shared" si="2"/>
        <v>16</v>
      </c>
    </row>
    <row r="2259">
      <c r="A2259" s="4" t="s">
        <v>2592</v>
      </c>
      <c r="B2259" s="16"/>
      <c r="C2259" s="12">
        <f>IFERROR(__xludf.DUMMYFUNCTION("""COMPUTED_VALUE"""),44662.67712962963)</f>
        <v>44662.67713</v>
      </c>
      <c r="D2259" s="13">
        <f t="shared" si="1"/>
        <v>11</v>
      </c>
      <c r="E2259" s="13">
        <f t="shared" si="2"/>
        <v>16</v>
      </c>
    </row>
    <row r="2260">
      <c r="A2260" s="4" t="s">
        <v>2593</v>
      </c>
      <c r="B2260" s="4" t="s">
        <v>2594</v>
      </c>
      <c r="C2260" s="12">
        <f>IFERROR(__xludf.DUMMYFUNCTION("""COMPUTED_VALUE"""),44662.67662037037)</f>
        <v>44662.67662</v>
      </c>
      <c r="D2260" s="13">
        <f t="shared" si="1"/>
        <v>11</v>
      </c>
      <c r="E2260" s="13">
        <f t="shared" si="2"/>
        <v>16</v>
      </c>
    </row>
    <row r="2261">
      <c r="A2261" s="4" t="s">
        <v>2595</v>
      </c>
      <c r="B2261" s="4" t="s">
        <v>2596</v>
      </c>
      <c r="C2261" s="12">
        <f>IFERROR(__xludf.DUMMYFUNCTION("""COMPUTED_VALUE"""),44662.6766087963)</f>
        <v>44662.67661</v>
      </c>
      <c r="D2261" s="13">
        <f t="shared" si="1"/>
        <v>11</v>
      </c>
      <c r="E2261" s="13">
        <f t="shared" si="2"/>
        <v>16</v>
      </c>
    </row>
    <row r="2262">
      <c r="A2262" s="4" t="s">
        <v>2597</v>
      </c>
      <c r="B2262" s="4" t="s">
        <v>2598</v>
      </c>
      <c r="C2262" s="12">
        <f>IFERROR(__xludf.DUMMYFUNCTION("""COMPUTED_VALUE"""),44662.67649305555)</f>
        <v>44662.67649</v>
      </c>
      <c r="D2262" s="13">
        <f t="shared" si="1"/>
        <v>11</v>
      </c>
      <c r="E2262" s="13">
        <f t="shared" si="2"/>
        <v>16</v>
      </c>
    </row>
    <row r="2263">
      <c r="A2263" s="4" t="s">
        <v>2599</v>
      </c>
      <c r="B2263" s="4" t="s">
        <v>2600</v>
      </c>
      <c r="C2263" s="12">
        <f>IFERROR(__xludf.DUMMYFUNCTION("""COMPUTED_VALUE"""),44662.67627314814)</f>
        <v>44662.67627</v>
      </c>
      <c r="D2263" s="13">
        <f t="shared" si="1"/>
        <v>11</v>
      </c>
      <c r="E2263" s="13">
        <f t="shared" si="2"/>
        <v>16</v>
      </c>
    </row>
    <row r="2264">
      <c r="A2264" s="4" t="s">
        <v>2601</v>
      </c>
      <c r="B2264" s="16"/>
      <c r="C2264" s="12">
        <f>IFERROR(__xludf.DUMMYFUNCTION("""COMPUTED_VALUE"""),44662.67596064814)</f>
        <v>44662.67596</v>
      </c>
      <c r="D2264" s="13">
        <f t="shared" si="1"/>
        <v>11</v>
      </c>
      <c r="E2264" s="13">
        <f t="shared" si="2"/>
        <v>16</v>
      </c>
    </row>
    <row r="2265">
      <c r="A2265" s="4" t="s">
        <v>2602</v>
      </c>
      <c r="B2265" s="16"/>
      <c r="C2265" s="12">
        <f>IFERROR(__xludf.DUMMYFUNCTION("""COMPUTED_VALUE"""),44662.67577546296)</f>
        <v>44662.67578</v>
      </c>
      <c r="D2265" s="13">
        <f t="shared" si="1"/>
        <v>11</v>
      </c>
      <c r="E2265" s="13">
        <f t="shared" si="2"/>
        <v>16</v>
      </c>
    </row>
    <row r="2266">
      <c r="A2266" s="4" t="s">
        <v>2603</v>
      </c>
      <c r="B2266" s="16"/>
      <c r="C2266" s="12">
        <f>IFERROR(__xludf.DUMMYFUNCTION("""COMPUTED_VALUE"""),44662.67575231481)</f>
        <v>44662.67575</v>
      </c>
      <c r="D2266" s="13">
        <f t="shared" si="1"/>
        <v>11</v>
      </c>
      <c r="E2266" s="13">
        <f t="shared" si="2"/>
        <v>16</v>
      </c>
    </row>
    <row r="2267">
      <c r="A2267" s="4" t="s">
        <v>2604</v>
      </c>
      <c r="B2267" s="4" t="s">
        <v>2605</v>
      </c>
      <c r="C2267" s="12">
        <f>IFERROR(__xludf.DUMMYFUNCTION("""COMPUTED_VALUE"""),44662.67549768518)</f>
        <v>44662.6755</v>
      </c>
      <c r="D2267" s="13">
        <f t="shared" si="1"/>
        <v>11</v>
      </c>
      <c r="E2267" s="13">
        <f t="shared" si="2"/>
        <v>16</v>
      </c>
    </row>
    <row r="2268">
      <c r="A2268" s="4" t="s">
        <v>2606</v>
      </c>
      <c r="B2268" s="4" t="s">
        <v>2605</v>
      </c>
      <c r="C2268" s="12">
        <f>IFERROR(__xludf.DUMMYFUNCTION("""COMPUTED_VALUE"""),44662.67545138889)</f>
        <v>44662.67545</v>
      </c>
      <c r="D2268" s="13">
        <f t="shared" si="1"/>
        <v>11</v>
      </c>
      <c r="E2268" s="13">
        <f t="shared" si="2"/>
        <v>16</v>
      </c>
    </row>
    <row r="2269">
      <c r="A2269" s="4" t="s">
        <v>2607</v>
      </c>
      <c r="B2269" s="4" t="s">
        <v>2608</v>
      </c>
      <c r="C2269" s="12">
        <f>IFERROR(__xludf.DUMMYFUNCTION("""COMPUTED_VALUE"""),44662.67525462963)</f>
        <v>44662.67525</v>
      </c>
      <c r="D2269" s="13">
        <f t="shared" si="1"/>
        <v>11</v>
      </c>
      <c r="E2269" s="13">
        <f t="shared" si="2"/>
        <v>16</v>
      </c>
    </row>
    <row r="2270">
      <c r="A2270" s="4" t="s">
        <v>2609</v>
      </c>
      <c r="B2270" s="16"/>
      <c r="C2270" s="12">
        <f>IFERROR(__xludf.DUMMYFUNCTION("""COMPUTED_VALUE"""),44662.67482638889)</f>
        <v>44662.67483</v>
      </c>
      <c r="D2270" s="13">
        <f t="shared" si="1"/>
        <v>11</v>
      </c>
      <c r="E2270" s="13">
        <f t="shared" si="2"/>
        <v>16</v>
      </c>
    </row>
    <row r="2271">
      <c r="A2271" s="4" t="s">
        <v>2610</v>
      </c>
      <c r="B2271" s="4" t="s">
        <v>2611</v>
      </c>
      <c r="C2271" s="12">
        <f>IFERROR(__xludf.DUMMYFUNCTION("""COMPUTED_VALUE"""),44662.674791666665)</f>
        <v>44662.67479</v>
      </c>
      <c r="D2271" s="13">
        <f t="shared" si="1"/>
        <v>11</v>
      </c>
      <c r="E2271" s="13">
        <f t="shared" si="2"/>
        <v>16</v>
      </c>
    </row>
    <row r="2272">
      <c r="A2272" s="4" t="s">
        <v>2610</v>
      </c>
      <c r="B2272" s="4" t="s">
        <v>1269</v>
      </c>
      <c r="C2272" s="12">
        <f>IFERROR(__xludf.DUMMYFUNCTION("""COMPUTED_VALUE"""),44662.674791666665)</f>
        <v>44662.67479</v>
      </c>
      <c r="D2272" s="13">
        <f t="shared" si="1"/>
        <v>11</v>
      </c>
      <c r="E2272" s="13">
        <f t="shared" si="2"/>
        <v>16</v>
      </c>
    </row>
    <row r="2273">
      <c r="A2273" s="4" t="s">
        <v>2612</v>
      </c>
      <c r="B2273" s="4" t="s">
        <v>1269</v>
      </c>
      <c r="C2273" s="12">
        <f>IFERROR(__xludf.DUMMYFUNCTION("""COMPUTED_VALUE"""),44662.67478009259)</f>
        <v>44662.67478</v>
      </c>
      <c r="D2273" s="13">
        <f t="shared" si="1"/>
        <v>11</v>
      </c>
      <c r="E2273" s="13">
        <f t="shared" si="2"/>
        <v>16</v>
      </c>
    </row>
    <row r="2274">
      <c r="A2274" s="4" t="s">
        <v>2613</v>
      </c>
      <c r="B2274" s="4" t="s">
        <v>1269</v>
      </c>
      <c r="C2274" s="12">
        <f>IFERROR(__xludf.DUMMYFUNCTION("""COMPUTED_VALUE"""),44662.67466435185)</f>
        <v>44662.67466</v>
      </c>
      <c r="D2274" s="13">
        <f t="shared" si="1"/>
        <v>11</v>
      </c>
      <c r="E2274" s="13">
        <f t="shared" si="2"/>
        <v>16</v>
      </c>
    </row>
    <row r="2275">
      <c r="A2275" s="4" t="s">
        <v>2614</v>
      </c>
      <c r="B2275" s="4" t="s">
        <v>2615</v>
      </c>
      <c r="C2275" s="12">
        <f>IFERROR(__xludf.DUMMYFUNCTION("""COMPUTED_VALUE"""),44662.67465277777)</f>
        <v>44662.67465</v>
      </c>
      <c r="D2275" s="13">
        <f t="shared" si="1"/>
        <v>11</v>
      </c>
      <c r="E2275" s="13">
        <f t="shared" si="2"/>
        <v>16</v>
      </c>
    </row>
    <row r="2276">
      <c r="A2276" s="4" t="s">
        <v>2616</v>
      </c>
      <c r="B2276" s="4" t="s">
        <v>2615</v>
      </c>
      <c r="C2276" s="12">
        <f>IFERROR(__xludf.DUMMYFUNCTION("""COMPUTED_VALUE"""),44662.6746412037)</f>
        <v>44662.67464</v>
      </c>
      <c r="D2276" s="13">
        <f t="shared" si="1"/>
        <v>11</v>
      </c>
      <c r="E2276" s="13">
        <f t="shared" si="2"/>
        <v>16</v>
      </c>
    </row>
    <row r="2277">
      <c r="A2277" s="4" t="s">
        <v>2617</v>
      </c>
      <c r="B2277" s="4" t="s">
        <v>2615</v>
      </c>
      <c r="C2277" s="12">
        <f>IFERROR(__xludf.DUMMYFUNCTION("""COMPUTED_VALUE"""),44662.674629629626)</f>
        <v>44662.67463</v>
      </c>
      <c r="D2277" s="13">
        <f t="shared" si="1"/>
        <v>11</v>
      </c>
      <c r="E2277" s="13">
        <f t="shared" si="2"/>
        <v>16</v>
      </c>
    </row>
    <row r="2278">
      <c r="A2278" s="4" t="s">
        <v>2618</v>
      </c>
      <c r="B2278" s="4" t="s">
        <v>2615</v>
      </c>
      <c r="C2278" s="12">
        <f>IFERROR(__xludf.DUMMYFUNCTION("""COMPUTED_VALUE"""),44662.67460648148)</f>
        <v>44662.67461</v>
      </c>
      <c r="D2278" s="13">
        <f t="shared" si="1"/>
        <v>11</v>
      </c>
      <c r="E2278" s="13">
        <f t="shared" si="2"/>
        <v>16</v>
      </c>
    </row>
    <row r="2279">
      <c r="A2279" s="4" t="s">
        <v>2619</v>
      </c>
      <c r="B2279" s="16"/>
      <c r="C2279" s="12">
        <f>IFERROR(__xludf.DUMMYFUNCTION("""COMPUTED_VALUE"""),44662.6745949074)</f>
        <v>44662.67459</v>
      </c>
      <c r="D2279" s="13">
        <f t="shared" si="1"/>
        <v>11</v>
      </c>
      <c r="E2279" s="13">
        <f t="shared" si="2"/>
        <v>16</v>
      </c>
    </row>
    <row r="2280">
      <c r="A2280" s="4" t="s">
        <v>2620</v>
      </c>
      <c r="B2280" s="16"/>
      <c r="C2280" s="12">
        <f>IFERROR(__xludf.DUMMYFUNCTION("""COMPUTED_VALUE"""),44662.67440972222)</f>
        <v>44662.67441</v>
      </c>
      <c r="D2280" s="13">
        <f t="shared" si="1"/>
        <v>11</v>
      </c>
      <c r="E2280" s="13">
        <f t="shared" si="2"/>
        <v>16</v>
      </c>
    </row>
    <row r="2281">
      <c r="A2281" s="4" t="s">
        <v>2621</v>
      </c>
      <c r="B2281" s="4" t="s">
        <v>2622</v>
      </c>
      <c r="C2281" s="12">
        <f>IFERROR(__xludf.DUMMYFUNCTION("""COMPUTED_VALUE"""),44662.674374999995)</f>
        <v>44662.67438</v>
      </c>
      <c r="D2281" s="13">
        <f t="shared" si="1"/>
        <v>11</v>
      </c>
      <c r="E2281" s="13">
        <f t="shared" si="2"/>
        <v>16</v>
      </c>
    </row>
    <row r="2282">
      <c r="A2282" s="4" t="s">
        <v>2623</v>
      </c>
      <c r="B2282" s="4" t="s">
        <v>1269</v>
      </c>
      <c r="C2282" s="12">
        <f>IFERROR(__xludf.DUMMYFUNCTION("""COMPUTED_VALUE"""),44662.6742824074)</f>
        <v>44662.67428</v>
      </c>
      <c r="D2282" s="13">
        <f t="shared" si="1"/>
        <v>11</v>
      </c>
      <c r="E2282" s="13">
        <f t="shared" si="2"/>
        <v>16</v>
      </c>
    </row>
    <row r="2283">
      <c r="A2283" s="4" t="s">
        <v>2623</v>
      </c>
      <c r="B2283" s="16"/>
      <c r="C2283" s="12">
        <f>IFERROR(__xludf.DUMMYFUNCTION("""COMPUTED_VALUE"""),44662.6742824074)</f>
        <v>44662.67428</v>
      </c>
      <c r="D2283" s="13">
        <f t="shared" si="1"/>
        <v>11</v>
      </c>
      <c r="E2283" s="13">
        <f t="shared" si="2"/>
        <v>16</v>
      </c>
    </row>
    <row r="2284">
      <c r="A2284" s="4" t="s">
        <v>2624</v>
      </c>
      <c r="B2284" s="4" t="s">
        <v>1269</v>
      </c>
      <c r="C2284" s="12">
        <f>IFERROR(__xludf.DUMMYFUNCTION("""COMPUTED_VALUE"""),44662.674212962964)</f>
        <v>44662.67421</v>
      </c>
      <c r="D2284" s="13">
        <f t="shared" si="1"/>
        <v>11</v>
      </c>
      <c r="E2284" s="13">
        <f t="shared" si="2"/>
        <v>16</v>
      </c>
    </row>
    <row r="2285">
      <c r="A2285" s="4" t="s">
        <v>2625</v>
      </c>
      <c r="B2285" s="16"/>
      <c r="C2285" s="12">
        <f>IFERROR(__xludf.DUMMYFUNCTION("""COMPUTED_VALUE"""),44662.67420138889)</f>
        <v>44662.6742</v>
      </c>
      <c r="D2285" s="13">
        <f t="shared" si="1"/>
        <v>11</v>
      </c>
      <c r="E2285" s="13">
        <f t="shared" si="2"/>
        <v>16</v>
      </c>
    </row>
    <row r="2286">
      <c r="A2286" s="4" t="s">
        <v>2626</v>
      </c>
      <c r="B2286" s="4" t="s">
        <v>2627</v>
      </c>
      <c r="C2286" s="12">
        <f>IFERROR(__xludf.DUMMYFUNCTION("""COMPUTED_VALUE"""),44662.67417824074)</f>
        <v>44662.67418</v>
      </c>
      <c r="D2286" s="13">
        <f t="shared" si="1"/>
        <v>11</v>
      </c>
      <c r="E2286" s="13">
        <f t="shared" si="2"/>
        <v>16</v>
      </c>
    </row>
    <row r="2287">
      <c r="A2287" s="4" t="s">
        <v>2626</v>
      </c>
      <c r="B2287" s="4" t="s">
        <v>2628</v>
      </c>
      <c r="C2287" s="12">
        <f>IFERROR(__xludf.DUMMYFUNCTION("""COMPUTED_VALUE"""),44662.67417824074)</f>
        <v>44662.67418</v>
      </c>
      <c r="D2287" s="13">
        <f t="shared" si="1"/>
        <v>11</v>
      </c>
      <c r="E2287" s="13">
        <f t="shared" si="2"/>
        <v>16</v>
      </c>
    </row>
    <row r="2288">
      <c r="A2288" s="4" t="s">
        <v>2629</v>
      </c>
      <c r="B2288" s="4" t="s">
        <v>1012</v>
      </c>
      <c r="C2288" s="12">
        <f>IFERROR(__xludf.DUMMYFUNCTION("""COMPUTED_VALUE"""),44662.674166666664)</f>
        <v>44662.67417</v>
      </c>
      <c r="D2288" s="13">
        <f t="shared" si="1"/>
        <v>11</v>
      </c>
      <c r="E2288" s="13">
        <f t="shared" si="2"/>
        <v>16</v>
      </c>
    </row>
    <row r="2289">
      <c r="A2289" s="4" t="s">
        <v>2630</v>
      </c>
      <c r="B2289" s="4" t="s">
        <v>1012</v>
      </c>
      <c r="C2289" s="12">
        <f>IFERROR(__xludf.DUMMYFUNCTION("""COMPUTED_VALUE"""),44662.67409722222)</f>
        <v>44662.6741</v>
      </c>
      <c r="D2289" s="13">
        <f t="shared" si="1"/>
        <v>11</v>
      </c>
      <c r="E2289" s="13">
        <f t="shared" si="2"/>
        <v>16</v>
      </c>
    </row>
    <row r="2290">
      <c r="A2290" s="4" t="s">
        <v>2631</v>
      </c>
      <c r="B2290" s="4" t="s">
        <v>2615</v>
      </c>
      <c r="C2290" s="12">
        <f>IFERROR(__xludf.DUMMYFUNCTION("""COMPUTED_VALUE"""),44662.67407407407)</f>
        <v>44662.67407</v>
      </c>
      <c r="D2290" s="13">
        <f t="shared" si="1"/>
        <v>11</v>
      </c>
      <c r="E2290" s="13">
        <f t="shared" si="2"/>
        <v>16</v>
      </c>
    </row>
    <row r="2291">
      <c r="A2291" s="4" t="s">
        <v>2632</v>
      </c>
      <c r="B2291" s="4" t="s">
        <v>2615</v>
      </c>
      <c r="C2291" s="12">
        <f>IFERROR(__xludf.DUMMYFUNCTION("""COMPUTED_VALUE"""),44662.674062499995)</f>
        <v>44662.67406</v>
      </c>
      <c r="D2291" s="13">
        <f t="shared" si="1"/>
        <v>11</v>
      </c>
      <c r="E2291" s="13">
        <f t="shared" si="2"/>
        <v>16</v>
      </c>
    </row>
    <row r="2292">
      <c r="A2292" s="4" t="s">
        <v>2633</v>
      </c>
      <c r="B2292" s="4" t="s">
        <v>2615</v>
      </c>
      <c r="C2292" s="12">
        <f>IFERROR(__xludf.DUMMYFUNCTION("""COMPUTED_VALUE"""),44662.67403935185)</f>
        <v>44662.67404</v>
      </c>
      <c r="D2292" s="13">
        <f t="shared" si="1"/>
        <v>11</v>
      </c>
      <c r="E2292" s="13">
        <f t="shared" si="2"/>
        <v>16</v>
      </c>
    </row>
    <row r="2293">
      <c r="A2293" s="4" t="s">
        <v>2634</v>
      </c>
      <c r="B2293" s="4" t="s">
        <v>2615</v>
      </c>
      <c r="C2293" s="12">
        <f>IFERROR(__xludf.DUMMYFUNCTION("""COMPUTED_VALUE"""),44662.674004629625)</f>
        <v>44662.674</v>
      </c>
      <c r="D2293" s="13">
        <f t="shared" si="1"/>
        <v>11</v>
      </c>
      <c r="E2293" s="13">
        <f t="shared" si="2"/>
        <v>16</v>
      </c>
    </row>
    <row r="2294">
      <c r="A2294" s="4" t="s">
        <v>2635</v>
      </c>
      <c r="B2294" s="4" t="s">
        <v>2615</v>
      </c>
      <c r="C2294" s="12">
        <f>IFERROR(__xludf.DUMMYFUNCTION("""COMPUTED_VALUE"""),44662.67391203703)</f>
        <v>44662.67391</v>
      </c>
      <c r="D2294" s="13">
        <f t="shared" si="1"/>
        <v>11</v>
      </c>
      <c r="E2294" s="13">
        <f t="shared" si="2"/>
        <v>16</v>
      </c>
    </row>
    <row r="2295">
      <c r="A2295" s="4" t="s">
        <v>2636</v>
      </c>
      <c r="B2295" s="16"/>
      <c r="C2295" s="12">
        <f>IFERROR(__xludf.DUMMYFUNCTION("""COMPUTED_VALUE"""),44662.67355324074)</f>
        <v>44662.67355</v>
      </c>
      <c r="D2295" s="13">
        <f t="shared" si="1"/>
        <v>11</v>
      </c>
      <c r="E2295" s="13">
        <f t="shared" si="2"/>
        <v>16</v>
      </c>
    </row>
    <row r="2296">
      <c r="A2296" s="4" t="s">
        <v>2637</v>
      </c>
      <c r="B2296" s="16"/>
      <c r="C2296" s="12">
        <f>IFERROR(__xludf.DUMMYFUNCTION("""COMPUTED_VALUE"""),44662.67320601852)</f>
        <v>44662.67321</v>
      </c>
      <c r="D2296" s="13">
        <f t="shared" si="1"/>
        <v>11</v>
      </c>
      <c r="E2296" s="13">
        <f t="shared" si="2"/>
        <v>16</v>
      </c>
    </row>
    <row r="2297">
      <c r="A2297" s="4" t="s">
        <v>2638</v>
      </c>
      <c r="B2297" s="16"/>
      <c r="C2297" s="12">
        <f>IFERROR(__xludf.DUMMYFUNCTION("""COMPUTED_VALUE"""),44662.673113425924)</f>
        <v>44662.67311</v>
      </c>
      <c r="D2297" s="13">
        <f t="shared" si="1"/>
        <v>11</v>
      </c>
      <c r="E2297" s="13">
        <f t="shared" si="2"/>
        <v>16</v>
      </c>
    </row>
    <row r="2298">
      <c r="A2298" s="4" t="s">
        <v>2639</v>
      </c>
      <c r="B2298" s="16"/>
      <c r="C2298" s="12">
        <f>IFERROR(__xludf.DUMMYFUNCTION("""COMPUTED_VALUE"""),44662.67287037037)</f>
        <v>44662.67287</v>
      </c>
      <c r="D2298" s="13">
        <f t="shared" si="1"/>
        <v>11</v>
      </c>
      <c r="E2298" s="13">
        <f t="shared" si="2"/>
        <v>16</v>
      </c>
    </row>
    <row r="2299">
      <c r="A2299" s="4" t="s">
        <v>2640</v>
      </c>
      <c r="B2299" s="16"/>
      <c r="C2299" s="12">
        <f>IFERROR(__xludf.DUMMYFUNCTION("""COMPUTED_VALUE"""),44662.67253472222)</f>
        <v>44662.67253</v>
      </c>
      <c r="D2299" s="13">
        <f t="shared" si="1"/>
        <v>11</v>
      </c>
      <c r="E2299" s="13">
        <f t="shared" si="2"/>
        <v>16</v>
      </c>
    </row>
    <row r="2300">
      <c r="A2300" s="4" t="s">
        <v>2641</v>
      </c>
      <c r="B2300" s="16"/>
      <c r="C2300" s="12">
        <f>IFERROR(__xludf.DUMMYFUNCTION("""COMPUTED_VALUE"""),44662.67251157407)</f>
        <v>44662.67251</v>
      </c>
      <c r="D2300" s="13">
        <f t="shared" si="1"/>
        <v>11</v>
      </c>
      <c r="E2300" s="13">
        <f t="shared" si="2"/>
        <v>16</v>
      </c>
    </row>
    <row r="2301">
      <c r="A2301" s="4" t="s">
        <v>2642</v>
      </c>
      <c r="B2301" s="16"/>
      <c r="C2301" s="12">
        <f>IFERROR(__xludf.DUMMYFUNCTION("""COMPUTED_VALUE"""),44662.672060185185)</f>
        <v>44662.67206</v>
      </c>
      <c r="D2301" s="13">
        <f t="shared" si="1"/>
        <v>11</v>
      </c>
      <c r="E2301" s="13">
        <f t="shared" si="2"/>
        <v>16</v>
      </c>
    </row>
    <row r="2302">
      <c r="A2302" s="4" t="s">
        <v>2643</v>
      </c>
      <c r="B2302" s="16"/>
      <c r="C2302" s="12">
        <f>IFERROR(__xludf.DUMMYFUNCTION("""COMPUTED_VALUE"""),44662.67203703703)</f>
        <v>44662.67204</v>
      </c>
      <c r="D2302" s="13">
        <f t="shared" si="1"/>
        <v>11</v>
      </c>
      <c r="E2302" s="13">
        <f t="shared" si="2"/>
        <v>16</v>
      </c>
    </row>
    <row r="2303">
      <c r="A2303" s="4" t="s">
        <v>2644</v>
      </c>
      <c r="B2303" s="16"/>
      <c r="C2303" s="12">
        <f>IFERROR(__xludf.DUMMYFUNCTION("""COMPUTED_VALUE"""),44662.67202546296)</f>
        <v>44662.67203</v>
      </c>
      <c r="D2303" s="13">
        <f t="shared" si="1"/>
        <v>11</v>
      </c>
      <c r="E2303" s="13">
        <f t="shared" si="2"/>
        <v>16</v>
      </c>
    </row>
    <row r="2304">
      <c r="A2304" s="4" t="s">
        <v>2645</v>
      </c>
      <c r="B2304" s="16"/>
      <c r="C2304" s="12">
        <f>IFERROR(__xludf.DUMMYFUNCTION("""COMPUTED_VALUE"""),44662.672002314815)</f>
        <v>44662.672</v>
      </c>
      <c r="D2304" s="13">
        <f t="shared" si="1"/>
        <v>11</v>
      </c>
      <c r="E2304" s="13">
        <f t="shared" si="2"/>
        <v>16</v>
      </c>
    </row>
    <row r="2305">
      <c r="A2305" s="4" t="s">
        <v>2646</v>
      </c>
      <c r="B2305" s="16"/>
      <c r="C2305" s="12">
        <f>IFERROR(__xludf.DUMMYFUNCTION("""COMPUTED_VALUE"""),44662.671956018516)</f>
        <v>44662.67196</v>
      </c>
      <c r="D2305" s="13">
        <f t="shared" si="1"/>
        <v>11</v>
      </c>
      <c r="E2305" s="13">
        <f t="shared" si="2"/>
        <v>16</v>
      </c>
    </row>
    <row r="2306">
      <c r="A2306" s="4" t="s">
        <v>2647</v>
      </c>
      <c r="B2306" s="16"/>
      <c r="C2306" s="12">
        <f>IFERROR(__xludf.DUMMYFUNCTION("""COMPUTED_VALUE"""),44662.67194444444)</f>
        <v>44662.67194</v>
      </c>
      <c r="D2306" s="13">
        <f t="shared" si="1"/>
        <v>11</v>
      </c>
      <c r="E2306" s="13">
        <f t="shared" si="2"/>
        <v>16</v>
      </c>
    </row>
    <row r="2307">
      <c r="A2307" s="4" t="s">
        <v>2648</v>
      </c>
      <c r="B2307" s="16"/>
      <c r="C2307" s="12">
        <f>IFERROR(__xludf.DUMMYFUNCTION("""COMPUTED_VALUE"""),44662.67192129629)</f>
        <v>44662.67192</v>
      </c>
      <c r="D2307" s="13">
        <f t="shared" si="1"/>
        <v>11</v>
      </c>
      <c r="E2307" s="13">
        <f t="shared" si="2"/>
        <v>16</v>
      </c>
    </row>
    <row r="2308">
      <c r="A2308" s="4" t="s">
        <v>2649</v>
      </c>
      <c r="B2308" s="16"/>
      <c r="C2308" s="12">
        <f>IFERROR(__xludf.DUMMYFUNCTION("""COMPUTED_VALUE"""),44662.67190972222)</f>
        <v>44662.67191</v>
      </c>
      <c r="D2308" s="13">
        <f t="shared" si="1"/>
        <v>11</v>
      </c>
      <c r="E2308" s="13">
        <f t="shared" si="2"/>
        <v>16</v>
      </c>
    </row>
    <row r="2309">
      <c r="A2309" s="4" t="s">
        <v>2650</v>
      </c>
      <c r="B2309" s="4" t="s">
        <v>2651</v>
      </c>
      <c r="C2309" s="12">
        <f>IFERROR(__xludf.DUMMYFUNCTION("""COMPUTED_VALUE"""),44662.67186342592)</f>
        <v>44662.67186</v>
      </c>
      <c r="D2309" s="13">
        <f t="shared" si="1"/>
        <v>11</v>
      </c>
      <c r="E2309" s="13">
        <f t="shared" si="2"/>
        <v>16</v>
      </c>
    </row>
    <row r="2310">
      <c r="A2310" s="4" t="s">
        <v>2652</v>
      </c>
      <c r="B2310" s="4" t="s">
        <v>2651</v>
      </c>
      <c r="C2310" s="12">
        <f>IFERROR(__xludf.DUMMYFUNCTION("""COMPUTED_VALUE"""),44662.67184027778)</f>
        <v>44662.67184</v>
      </c>
      <c r="D2310" s="13">
        <f t="shared" si="1"/>
        <v>11</v>
      </c>
      <c r="E2310" s="13">
        <f t="shared" si="2"/>
        <v>16</v>
      </c>
    </row>
    <row r="2311">
      <c r="A2311" s="4" t="s">
        <v>2653</v>
      </c>
      <c r="B2311" s="4" t="s">
        <v>1082</v>
      </c>
      <c r="C2311" s="12">
        <f>IFERROR(__xludf.DUMMYFUNCTION("""COMPUTED_VALUE"""),44662.67181712963)</f>
        <v>44662.67182</v>
      </c>
      <c r="D2311" s="13">
        <f t="shared" si="1"/>
        <v>11</v>
      </c>
      <c r="E2311" s="13">
        <f t="shared" si="2"/>
        <v>16</v>
      </c>
    </row>
    <row r="2312">
      <c r="A2312" s="4" t="s">
        <v>2654</v>
      </c>
      <c r="B2312" s="4" t="s">
        <v>2655</v>
      </c>
      <c r="C2312" s="12">
        <f>IFERROR(__xludf.DUMMYFUNCTION("""COMPUTED_VALUE"""),44662.67171296296)</f>
        <v>44662.67171</v>
      </c>
      <c r="D2312" s="13">
        <f t="shared" si="1"/>
        <v>11</v>
      </c>
      <c r="E2312" s="13">
        <f t="shared" si="2"/>
        <v>16</v>
      </c>
    </row>
    <row r="2313">
      <c r="A2313" s="4" t="s">
        <v>2656</v>
      </c>
      <c r="B2313" s="4" t="s">
        <v>2657</v>
      </c>
      <c r="C2313" s="12">
        <f>IFERROR(__xludf.DUMMYFUNCTION("""COMPUTED_VALUE"""),44662.671643518515)</f>
        <v>44662.67164</v>
      </c>
      <c r="D2313" s="13">
        <f t="shared" si="1"/>
        <v>11</v>
      </c>
      <c r="E2313" s="13">
        <f t="shared" si="2"/>
        <v>16</v>
      </c>
    </row>
    <row r="2314">
      <c r="A2314" s="4" t="s">
        <v>2658</v>
      </c>
      <c r="B2314" s="4" t="s">
        <v>2611</v>
      </c>
      <c r="C2314" s="12">
        <f>IFERROR(__xludf.DUMMYFUNCTION("""COMPUTED_VALUE"""),44662.67099537037)</f>
        <v>44662.671</v>
      </c>
      <c r="D2314" s="13">
        <f t="shared" si="1"/>
        <v>11</v>
      </c>
      <c r="E2314" s="13">
        <f t="shared" si="2"/>
        <v>16</v>
      </c>
    </row>
    <row r="2315">
      <c r="A2315" s="4" t="s">
        <v>2659</v>
      </c>
      <c r="B2315" s="4" t="s">
        <v>2611</v>
      </c>
      <c r="C2315" s="12">
        <f>IFERROR(__xludf.DUMMYFUNCTION("""COMPUTED_VALUE"""),44662.6709375)</f>
        <v>44662.67094</v>
      </c>
      <c r="D2315" s="13">
        <f t="shared" si="1"/>
        <v>11</v>
      </c>
      <c r="E2315" s="13">
        <f t="shared" si="2"/>
        <v>16</v>
      </c>
    </row>
    <row r="2316">
      <c r="A2316" s="4" t="s">
        <v>2660</v>
      </c>
      <c r="B2316" s="4" t="s">
        <v>2661</v>
      </c>
      <c r="C2316" s="12">
        <f>IFERROR(__xludf.DUMMYFUNCTION("""COMPUTED_VALUE"""),44662.67063657407)</f>
        <v>44662.67064</v>
      </c>
      <c r="D2316" s="13">
        <f t="shared" si="1"/>
        <v>11</v>
      </c>
      <c r="E2316" s="13">
        <f t="shared" si="2"/>
        <v>16</v>
      </c>
    </row>
    <row r="2317">
      <c r="A2317" s="4" t="s">
        <v>2662</v>
      </c>
      <c r="B2317" s="4" t="s">
        <v>2661</v>
      </c>
      <c r="C2317" s="12">
        <f>IFERROR(__xludf.DUMMYFUNCTION("""COMPUTED_VALUE"""),44662.67055555555)</f>
        <v>44662.67056</v>
      </c>
      <c r="D2317" s="13">
        <f t="shared" si="1"/>
        <v>11</v>
      </c>
      <c r="E2317" s="13">
        <f t="shared" si="2"/>
        <v>16</v>
      </c>
    </row>
    <row r="2318">
      <c r="A2318" s="4" t="s">
        <v>2663</v>
      </c>
      <c r="B2318" s="4" t="s">
        <v>2661</v>
      </c>
      <c r="C2318" s="12">
        <f>IFERROR(__xludf.DUMMYFUNCTION("""COMPUTED_VALUE"""),44662.66973379629)</f>
        <v>44662.66973</v>
      </c>
      <c r="D2318" s="13">
        <f t="shared" si="1"/>
        <v>11</v>
      </c>
      <c r="E2318" s="13">
        <f t="shared" si="2"/>
        <v>16</v>
      </c>
    </row>
    <row r="2319">
      <c r="A2319" s="4" t="s">
        <v>2664</v>
      </c>
      <c r="B2319" s="16"/>
      <c r="C2319" s="12">
        <f>IFERROR(__xludf.DUMMYFUNCTION("""COMPUTED_VALUE"""),44662.669710648144)</f>
        <v>44662.66971</v>
      </c>
      <c r="D2319" s="13">
        <f t="shared" si="1"/>
        <v>11</v>
      </c>
      <c r="E2319" s="13">
        <f t="shared" si="2"/>
        <v>16</v>
      </c>
    </row>
    <row r="2320">
      <c r="A2320" s="4" t="s">
        <v>2665</v>
      </c>
      <c r="B2320" s="4" t="s">
        <v>2661</v>
      </c>
      <c r="C2320" s="12">
        <f>IFERROR(__xludf.DUMMYFUNCTION("""COMPUTED_VALUE"""),44662.66967592592)</f>
        <v>44662.66968</v>
      </c>
      <c r="D2320" s="13">
        <f t="shared" si="1"/>
        <v>11</v>
      </c>
      <c r="E2320" s="13">
        <f t="shared" si="2"/>
        <v>16</v>
      </c>
    </row>
    <row r="2321">
      <c r="A2321" s="4" t="s">
        <v>2666</v>
      </c>
      <c r="B2321" s="16"/>
      <c r="C2321" s="12">
        <f>IFERROR(__xludf.DUMMYFUNCTION("""COMPUTED_VALUE"""),44662.669652777775)</f>
        <v>44662.66965</v>
      </c>
      <c r="D2321" s="13">
        <f t="shared" si="1"/>
        <v>11</v>
      </c>
      <c r="E2321" s="13">
        <f t="shared" si="2"/>
        <v>16</v>
      </c>
    </row>
    <row r="2322">
      <c r="A2322" s="4" t="s">
        <v>2667</v>
      </c>
      <c r="B2322" s="16"/>
      <c r="C2322" s="12">
        <f>IFERROR(__xludf.DUMMYFUNCTION("""COMPUTED_VALUE"""),44662.66961805555)</f>
        <v>44662.66962</v>
      </c>
      <c r="D2322" s="13">
        <f t="shared" si="1"/>
        <v>11</v>
      </c>
      <c r="E2322" s="13">
        <f t="shared" si="2"/>
        <v>16</v>
      </c>
    </row>
    <row r="2323">
      <c r="A2323" s="4" t="s">
        <v>2668</v>
      </c>
      <c r="B2323" s="4" t="s">
        <v>2669</v>
      </c>
      <c r="C2323" s="12">
        <f>IFERROR(__xludf.DUMMYFUNCTION("""COMPUTED_VALUE"""),44662.66931712963)</f>
        <v>44662.66932</v>
      </c>
      <c r="D2323" s="13">
        <f t="shared" si="1"/>
        <v>11</v>
      </c>
      <c r="E2323" s="13">
        <f t="shared" si="2"/>
        <v>16</v>
      </c>
    </row>
    <row r="2324">
      <c r="A2324" s="4" t="s">
        <v>2670</v>
      </c>
      <c r="B2324" s="16"/>
      <c r="C2324" s="12">
        <f>IFERROR(__xludf.DUMMYFUNCTION("""COMPUTED_VALUE"""),44662.66921296296)</f>
        <v>44662.66921</v>
      </c>
      <c r="D2324" s="13">
        <f t="shared" si="1"/>
        <v>11</v>
      </c>
      <c r="E2324" s="13">
        <f t="shared" si="2"/>
        <v>16</v>
      </c>
    </row>
    <row r="2325">
      <c r="A2325" s="4" t="s">
        <v>2671</v>
      </c>
      <c r="B2325" s="16"/>
      <c r="C2325" s="12">
        <f>IFERROR(__xludf.DUMMYFUNCTION("""COMPUTED_VALUE"""),44662.669178240736)</f>
        <v>44662.66918</v>
      </c>
      <c r="D2325" s="13">
        <f t="shared" si="1"/>
        <v>11</v>
      </c>
      <c r="E2325" s="13">
        <f t="shared" si="2"/>
        <v>16</v>
      </c>
    </row>
    <row r="2326">
      <c r="A2326" s="4" t="s">
        <v>2672</v>
      </c>
      <c r="B2326" s="4" t="s">
        <v>2611</v>
      </c>
      <c r="C2326" s="12">
        <f>IFERROR(__xludf.DUMMYFUNCTION("""COMPUTED_VALUE"""),44662.66883101851)</f>
        <v>44662.66883</v>
      </c>
      <c r="D2326" s="13">
        <f t="shared" si="1"/>
        <v>11</v>
      </c>
      <c r="E2326" s="13">
        <f t="shared" si="2"/>
        <v>16</v>
      </c>
    </row>
    <row r="2327">
      <c r="A2327" s="4" t="s">
        <v>2673</v>
      </c>
      <c r="B2327" s="4" t="s">
        <v>2611</v>
      </c>
      <c r="C2327" s="12">
        <f>IFERROR(__xludf.DUMMYFUNCTION("""COMPUTED_VALUE"""),44662.668761574074)</f>
        <v>44662.66876</v>
      </c>
      <c r="D2327" s="13">
        <f t="shared" si="1"/>
        <v>11</v>
      </c>
      <c r="E2327" s="13">
        <f t="shared" si="2"/>
        <v>16</v>
      </c>
    </row>
    <row r="2328">
      <c r="A2328" s="4" t="s">
        <v>2674</v>
      </c>
      <c r="B2328" s="16"/>
      <c r="C2328" s="12">
        <f>IFERROR(__xludf.DUMMYFUNCTION("""COMPUTED_VALUE"""),44662.66875)</f>
        <v>44662.66875</v>
      </c>
      <c r="D2328" s="13">
        <f t="shared" si="1"/>
        <v>11</v>
      </c>
      <c r="E2328" s="13">
        <f t="shared" si="2"/>
        <v>16</v>
      </c>
    </row>
    <row r="2329">
      <c r="A2329" s="4" t="s">
        <v>2675</v>
      </c>
      <c r="B2329" s="4" t="s">
        <v>2611</v>
      </c>
      <c r="C2329" s="12">
        <f>IFERROR(__xludf.DUMMYFUNCTION("""COMPUTED_VALUE"""),44662.668715277774)</f>
        <v>44662.66872</v>
      </c>
      <c r="D2329" s="13">
        <f t="shared" si="1"/>
        <v>11</v>
      </c>
      <c r="E2329" s="13">
        <f t="shared" si="2"/>
        <v>16</v>
      </c>
    </row>
    <row r="2330">
      <c r="A2330" s="4" t="s">
        <v>2676</v>
      </c>
      <c r="B2330" s="16"/>
      <c r="C2330" s="12">
        <f>IFERROR(__xludf.DUMMYFUNCTION("""COMPUTED_VALUE"""),44662.66868055555)</f>
        <v>44662.66868</v>
      </c>
      <c r="D2330" s="13">
        <f t="shared" si="1"/>
        <v>11</v>
      </c>
      <c r="E2330" s="13">
        <f t="shared" si="2"/>
        <v>16</v>
      </c>
    </row>
    <row r="2331">
      <c r="A2331" s="4" t="s">
        <v>2677</v>
      </c>
      <c r="B2331" s="16"/>
      <c r="C2331" s="12">
        <f>IFERROR(__xludf.DUMMYFUNCTION("""COMPUTED_VALUE"""),44662.668657407405)</f>
        <v>44662.66866</v>
      </c>
      <c r="D2331" s="13">
        <f t="shared" si="1"/>
        <v>11</v>
      </c>
      <c r="E2331" s="13">
        <f t="shared" si="2"/>
        <v>16</v>
      </c>
    </row>
    <row r="2332">
      <c r="A2332" s="4" t="s">
        <v>2678</v>
      </c>
      <c r="B2332" s="4" t="s">
        <v>2679</v>
      </c>
      <c r="C2332" s="12">
        <f>IFERROR(__xludf.DUMMYFUNCTION("""COMPUTED_VALUE"""),44662.668599537035)</f>
        <v>44662.6686</v>
      </c>
      <c r="D2332" s="13">
        <f t="shared" si="1"/>
        <v>11</v>
      </c>
      <c r="E2332" s="13">
        <f t="shared" si="2"/>
        <v>16</v>
      </c>
    </row>
    <row r="2333">
      <c r="A2333" s="4" t="s">
        <v>2680</v>
      </c>
      <c r="B2333" s="16"/>
      <c r="C2333" s="12">
        <f>IFERROR(__xludf.DUMMYFUNCTION("""COMPUTED_VALUE"""),44662.66857638889)</f>
        <v>44662.66858</v>
      </c>
      <c r="D2333" s="13">
        <f t="shared" si="1"/>
        <v>11</v>
      </c>
      <c r="E2333" s="13">
        <f t="shared" si="2"/>
        <v>16</v>
      </c>
    </row>
    <row r="2334">
      <c r="A2334" s="4" t="s">
        <v>2681</v>
      </c>
      <c r="B2334" s="4" t="s">
        <v>2679</v>
      </c>
      <c r="C2334" s="12">
        <f>IFERROR(__xludf.DUMMYFUNCTION("""COMPUTED_VALUE"""),44662.668495370366)</f>
        <v>44662.6685</v>
      </c>
      <c r="D2334" s="13">
        <f t="shared" si="1"/>
        <v>11</v>
      </c>
      <c r="E2334" s="13">
        <f t="shared" si="2"/>
        <v>16</v>
      </c>
    </row>
    <row r="2335">
      <c r="A2335" s="4" t="s">
        <v>2682</v>
      </c>
      <c r="B2335" s="4" t="s">
        <v>1269</v>
      </c>
      <c r="C2335" s="12">
        <f>IFERROR(__xludf.DUMMYFUNCTION("""COMPUTED_VALUE"""),44662.66844907407)</f>
        <v>44662.66845</v>
      </c>
      <c r="D2335" s="13">
        <f t="shared" si="1"/>
        <v>11</v>
      </c>
      <c r="E2335" s="13">
        <f t="shared" si="2"/>
        <v>16</v>
      </c>
    </row>
    <row r="2336">
      <c r="A2336" s="4" t="s">
        <v>2683</v>
      </c>
      <c r="B2336" s="4" t="s">
        <v>1269</v>
      </c>
      <c r="C2336" s="12">
        <f>IFERROR(__xludf.DUMMYFUNCTION("""COMPUTED_VALUE"""),44662.66841435185)</f>
        <v>44662.66841</v>
      </c>
      <c r="D2336" s="13">
        <f t="shared" si="1"/>
        <v>11</v>
      </c>
      <c r="E2336" s="13">
        <f t="shared" si="2"/>
        <v>16</v>
      </c>
    </row>
    <row r="2337">
      <c r="A2337" s="4" t="s">
        <v>2684</v>
      </c>
      <c r="B2337" s="4" t="s">
        <v>1269</v>
      </c>
      <c r="C2337" s="12">
        <f>IFERROR(__xludf.DUMMYFUNCTION("""COMPUTED_VALUE"""),44662.66837962963)</f>
        <v>44662.66838</v>
      </c>
      <c r="D2337" s="13">
        <f t="shared" si="1"/>
        <v>11</v>
      </c>
      <c r="E2337" s="13">
        <f t="shared" si="2"/>
        <v>16</v>
      </c>
    </row>
    <row r="2338">
      <c r="A2338" s="4" t="s">
        <v>2685</v>
      </c>
      <c r="B2338" s="4" t="s">
        <v>1269</v>
      </c>
      <c r="C2338" s="12">
        <f>IFERROR(__xludf.DUMMYFUNCTION("""COMPUTED_VALUE"""),44662.668344907404)</f>
        <v>44662.66834</v>
      </c>
      <c r="D2338" s="13">
        <f t="shared" si="1"/>
        <v>11</v>
      </c>
      <c r="E2338" s="13">
        <f t="shared" si="2"/>
        <v>16</v>
      </c>
    </row>
    <row r="2339">
      <c r="A2339" s="4" t="s">
        <v>2686</v>
      </c>
      <c r="B2339" s="4" t="s">
        <v>2679</v>
      </c>
      <c r="C2339" s="12">
        <f>IFERROR(__xludf.DUMMYFUNCTION("""COMPUTED_VALUE"""),44662.66820601852)</f>
        <v>44662.66821</v>
      </c>
      <c r="D2339" s="13">
        <f t="shared" si="1"/>
        <v>11</v>
      </c>
      <c r="E2339" s="13">
        <f t="shared" si="2"/>
        <v>16</v>
      </c>
    </row>
    <row r="2340">
      <c r="A2340" s="4" t="s">
        <v>2687</v>
      </c>
      <c r="B2340" s="4" t="s">
        <v>2492</v>
      </c>
      <c r="C2340" s="12">
        <f>IFERROR(__xludf.DUMMYFUNCTION("""COMPUTED_VALUE"""),44662.66765046296)</f>
        <v>44662.66765</v>
      </c>
      <c r="D2340" s="13">
        <f t="shared" si="1"/>
        <v>11</v>
      </c>
      <c r="E2340" s="13">
        <f t="shared" si="2"/>
        <v>16</v>
      </c>
    </row>
    <row r="2341">
      <c r="A2341" s="4" t="s">
        <v>2688</v>
      </c>
      <c r="B2341" s="4" t="s">
        <v>871</v>
      </c>
      <c r="C2341" s="12">
        <f>IFERROR(__xludf.DUMMYFUNCTION("""COMPUTED_VALUE"""),44662.66763888889)</f>
        <v>44662.66764</v>
      </c>
      <c r="D2341" s="13">
        <f t="shared" si="1"/>
        <v>11</v>
      </c>
      <c r="E2341" s="13">
        <f t="shared" si="2"/>
        <v>16</v>
      </c>
    </row>
    <row r="2342">
      <c r="A2342" s="4" t="s">
        <v>2689</v>
      </c>
      <c r="B2342" s="4" t="s">
        <v>2562</v>
      </c>
      <c r="C2342" s="12">
        <f>IFERROR(__xludf.DUMMYFUNCTION("""COMPUTED_VALUE"""),44662.667395833334)</f>
        <v>44662.6674</v>
      </c>
      <c r="D2342" s="13">
        <f t="shared" si="1"/>
        <v>11</v>
      </c>
      <c r="E2342" s="13">
        <f t="shared" si="2"/>
        <v>16</v>
      </c>
    </row>
    <row r="2343">
      <c r="A2343" s="4" t="s">
        <v>2690</v>
      </c>
      <c r="B2343" s="16"/>
      <c r="C2343" s="12">
        <f>IFERROR(__xludf.DUMMYFUNCTION("""COMPUTED_VALUE"""),44662.6668287037)</f>
        <v>44662.66683</v>
      </c>
      <c r="D2343" s="13">
        <f t="shared" si="1"/>
        <v>11</v>
      </c>
      <c r="E2343" s="13">
        <f t="shared" si="2"/>
        <v>16</v>
      </c>
    </row>
    <row r="2344">
      <c r="A2344" s="4" t="s">
        <v>2691</v>
      </c>
      <c r="B2344" s="16"/>
      <c r="C2344" s="12">
        <f>IFERROR(__xludf.DUMMYFUNCTION("""COMPUTED_VALUE"""),44662.66679398148)</f>
        <v>44662.66679</v>
      </c>
      <c r="D2344" s="13">
        <f t="shared" si="1"/>
        <v>11</v>
      </c>
      <c r="E2344" s="13">
        <f t="shared" si="2"/>
        <v>16</v>
      </c>
    </row>
    <row r="2345">
      <c r="A2345" s="4" t="s">
        <v>2692</v>
      </c>
      <c r="B2345" s="16"/>
      <c r="C2345" s="12">
        <f>IFERROR(__xludf.DUMMYFUNCTION("""COMPUTED_VALUE"""),44662.66674768518)</f>
        <v>44662.66675</v>
      </c>
      <c r="D2345" s="13">
        <f t="shared" si="1"/>
        <v>11</v>
      </c>
      <c r="E2345" s="13">
        <f t="shared" si="2"/>
        <v>16</v>
      </c>
    </row>
    <row r="2346">
      <c r="A2346" s="4" t="s">
        <v>2693</v>
      </c>
      <c r="B2346" s="4" t="s">
        <v>2694</v>
      </c>
      <c r="C2346" s="12">
        <f>IFERROR(__xludf.DUMMYFUNCTION("""COMPUTED_VALUE"""),44662.666712962964)</f>
        <v>44662.66671</v>
      </c>
      <c r="D2346" s="13">
        <f t="shared" si="1"/>
        <v>11</v>
      </c>
      <c r="E2346" s="13">
        <f t="shared" si="2"/>
        <v>16</v>
      </c>
    </row>
    <row r="2347">
      <c r="A2347" s="4" t="s">
        <v>2695</v>
      </c>
      <c r="B2347" s="4" t="s">
        <v>1082</v>
      </c>
      <c r="C2347" s="12">
        <f>IFERROR(__xludf.DUMMYFUNCTION("""COMPUTED_VALUE"""),44662.66668981481)</f>
        <v>44662.66669</v>
      </c>
      <c r="D2347" s="13">
        <f t="shared" si="1"/>
        <v>11</v>
      </c>
      <c r="E2347" s="13">
        <f t="shared" si="2"/>
        <v>16</v>
      </c>
    </row>
    <row r="2348">
      <c r="A2348" s="4" t="s">
        <v>2695</v>
      </c>
      <c r="B2348" s="16"/>
      <c r="C2348" s="12">
        <f>IFERROR(__xludf.DUMMYFUNCTION("""COMPUTED_VALUE"""),44662.66668981481)</f>
        <v>44662.66669</v>
      </c>
      <c r="D2348" s="13">
        <f t="shared" si="1"/>
        <v>11</v>
      </c>
      <c r="E2348" s="13">
        <f t="shared" si="2"/>
        <v>16</v>
      </c>
    </row>
    <row r="2349">
      <c r="A2349" s="4" t="s">
        <v>2696</v>
      </c>
      <c r="B2349" s="16"/>
      <c r="C2349" s="12">
        <f>IFERROR(__xludf.DUMMYFUNCTION("""COMPUTED_VALUE"""),44662.666620370364)</f>
        <v>44662.66662</v>
      </c>
      <c r="D2349" s="13">
        <f t="shared" si="1"/>
        <v>11</v>
      </c>
      <c r="E2349" s="13">
        <f t="shared" si="2"/>
        <v>15</v>
      </c>
    </row>
    <row r="2350">
      <c r="A2350" s="4" t="s">
        <v>2697</v>
      </c>
      <c r="B2350" s="4" t="s">
        <v>1082</v>
      </c>
      <c r="C2350" s="12">
        <f>IFERROR(__xludf.DUMMYFUNCTION("""COMPUTED_VALUE"""),44662.666562499995)</f>
        <v>44662.66656</v>
      </c>
      <c r="D2350" s="13">
        <f t="shared" si="1"/>
        <v>11</v>
      </c>
      <c r="E2350" s="13">
        <f t="shared" si="2"/>
        <v>15</v>
      </c>
    </row>
    <row r="2351">
      <c r="A2351" s="4" t="s">
        <v>2698</v>
      </c>
      <c r="B2351" s="4" t="s">
        <v>1082</v>
      </c>
      <c r="C2351" s="12">
        <f>IFERROR(__xludf.DUMMYFUNCTION("""COMPUTED_VALUE"""),44662.666493055556)</f>
        <v>44662.66649</v>
      </c>
      <c r="D2351" s="13">
        <f t="shared" si="1"/>
        <v>11</v>
      </c>
      <c r="E2351" s="13">
        <f t="shared" si="2"/>
        <v>15</v>
      </c>
    </row>
    <row r="2352">
      <c r="A2352" s="4" t="s">
        <v>2699</v>
      </c>
      <c r="B2352" s="4" t="s">
        <v>1082</v>
      </c>
      <c r="C2352" s="12">
        <f>IFERROR(__xludf.DUMMYFUNCTION("""COMPUTED_VALUE"""),44662.666446759256)</f>
        <v>44662.66645</v>
      </c>
      <c r="D2352" s="13">
        <f t="shared" si="1"/>
        <v>11</v>
      </c>
      <c r="E2352" s="13">
        <f t="shared" si="2"/>
        <v>15</v>
      </c>
    </row>
    <row r="2353">
      <c r="A2353" s="4" t="s">
        <v>2700</v>
      </c>
      <c r="B2353" s="4" t="s">
        <v>1082</v>
      </c>
      <c r="C2353" s="12">
        <f>IFERROR(__xludf.DUMMYFUNCTION("""COMPUTED_VALUE"""),44662.666400462964)</f>
        <v>44662.6664</v>
      </c>
      <c r="D2353" s="13">
        <f t="shared" si="1"/>
        <v>11</v>
      </c>
      <c r="E2353" s="13">
        <f t="shared" si="2"/>
        <v>15</v>
      </c>
    </row>
    <row r="2354">
      <c r="A2354" s="4" t="s">
        <v>2701</v>
      </c>
      <c r="B2354" s="16"/>
      <c r="C2354" s="12">
        <f>IFERROR(__xludf.DUMMYFUNCTION("""COMPUTED_VALUE"""),44662.66633101852)</f>
        <v>44662.66633</v>
      </c>
      <c r="D2354" s="13">
        <f t="shared" si="1"/>
        <v>11</v>
      </c>
      <c r="E2354" s="13">
        <f t="shared" si="2"/>
        <v>15</v>
      </c>
    </row>
    <row r="2355">
      <c r="A2355" s="4" t="s">
        <v>2702</v>
      </c>
      <c r="B2355" s="4" t="s">
        <v>2703</v>
      </c>
      <c r="C2355" s="12">
        <f>IFERROR(__xludf.DUMMYFUNCTION("""COMPUTED_VALUE"""),44662.66631944444)</f>
        <v>44662.66632</v>
      </c>
      <c r="D2355" s="13">
        <f t="shared" si="1"/>
        <v>11</v>
      </c>
      <c r="E2355" s="13">
        <f t="shared" si="2"/>
        <v>15</v>
      </c>
    </row>
    <row r="2356">
      <c r="A2356" s="4" t="s">
        <v>2704</v>
      </c>
      <c r="B2356" s="4" t="s">
        <v>2705</v>
      </c>
      <c r="C2356" s="12">
        <f>IFERROR(__xludf.DUMMYFUNCTION("""COMPUTED_VALUE"""),44662.66579861111)</f>
        <v>44662.6658</v>
      </c>
      <c r="D2356" s="13">
        <f t="shared" si="1"/>
        <v>11</v>
      </c>
      <c r="E2356" s="13">
        <f t="shared" si="2"/>
        <v>15</v>
      </c>
    </row>
    <row r="2357">
      <c r="A2357" s="4" t="s">
        <v>2706</v>
      </c>
      <c r="B2357" s="16"/>
      <c r="C2357" s="12">
        <f>IFERROR(__xludf.DUMMYFUNCTION("""COMPUTED_VALUE"""),44662.66559027778)</f>
        <v>44662.66559</v>
      </c>
      <c r="D2357" s="13">
        <f t="shared" si="1"/>
        <v>11</v>
      </c>
      <c r="E2357" s="13">
        <f t="shared" si="2"/>
        <v>15</v>
      </c>
    </row>
    <row r="2358">
      <c r="A2358" s="4" t="s">
        <v>2707</v>
      </c>
      <c r="B2358" s="16"/>
      <c r="C2358" s="12">
        <f>IFERROR(__xludf.DUMMYFUNCTION("""COMPUTED_VALUE"""),44662.6655324074)</f>
        <v>44662.66553</v>
      </c>
      <c r="D2358" s="13">
        <f t="shared" si="1"/>
        <v>11</v>
      </c>
      <c r="E2358" s="13">
        <f t="shared" si="2"/>
        <v>15</v>
      </c>
    </row>
    <row r="2359">
      <c r="A2359" s="4" t="s">
        <v>2708</v>
      </c>
      <c r="B2359" s="4" t="s">
        <v>2705</v>
      </c>
      <c r="C2359" s="12">
        <f>IFERROR(__xludf.DUMMYFUNCTION("""COMPUTED_VALUE"""),44662.665497685186)</f>
        <v>44662.6655</v>
      </c>
      <c r="D2359" s="13">
        <f t="shared" si="1"/>
        <v>11</v>
      </c>
      <c r="E2359" s="13">
        <f t="shared" si="2"/>
        <v>15</v>
      </c>
    </row>
    <row r="2360">
      <c r="A2360" s="4" t="s">
        <v>2709</v>
      </c>
      <c r="B2360" s="4" t="s">
        <v>2710</v>
      </c>
      <c r="C2360" s="12">
        <f>IFERROR(__xludf.DUMMYFUNCTION("""COMPUTED_VALUE"""),44662.66528935185)</f>
        <v>44662.66529</v>
      </c>
      <c r="D2360" s="13">
        <f t="shared" si="1"/>
        <v>11</v>
      </c>
      <c r="E2360" s="13">
        <f t="shared" si="2"/>
        <v>15</v>
      </c>
    </row>
    <row r="2361">
      <c r="A2361" s="4" t="s">
        <v>2711</v>
      </c>
      <c r="B2361" s="4" t="s">
        <v>2712</v>
      </c>
      <c r="C2361" s="12">
        <f>IFERROR(__xludf.DUMMYFUNCTION("""COMPUTED_VALUE"""),44662.6649537037)</f>
        <v>44662.66495</v>
      </c>
      <c r="D2361" s="13">
        <f t="shared" si="1"/>
        <v>11</v>
      </c>
      <c r="E2361" s="13">
        <f t="shared" si="2"/>
        <v>15</v>
      </c>
    </row>
    <row r="2362">
      <c r="A2362" s="4" t="s">
        <v>2713</v>
      </c>
      <c r="B2362" s="16"/>
      <c r="C2362" s="12">
        <f>IFERROR(__xludf.DUMMYFUNCTION("""COMPUTED_VALUE"""),44662.66481481481)</f>
        <v>44662.66481</v>
      </c>
      <c r="D2362" s="13">
        <f t="shared" si="1"/>
        <v>11</v>
      </c>
      <c r="E2362" s="13">
        <f t="shared" si="2"/>
        <v>15</v>
      </c>
    </row>
    <row r="2363">
      <c r="A2363" s="4" t="s">
        <v>2714</v>
      </c>
      <c r="B2363" s="4" t="s">
        <v>1082</v>
      </c>
      <c r="C2363" s="12">
        <f>IFERROR(__xludf.DUMMYFUNCTION("""COMPUTED_VALUE"""),44662.66460648148)</f>
        <v>44662.66461</v>
      </c>
      <c r="D2363" s="13">
        <f t="shared" si="1"/>
        <v>11</v>
      </c>
      <c r="E2363" s="13">
        <f t="shared" si="2"/>
        <v>15</v>
      </c>
    </row>
    <row r="2364">
      <c r="A2364" s="4" t="s">
        <v>2715</v>
      </c>
      <c r="B2364" s="4" t="s">
        <v>1082</v>
      </c>
      <c r="C2364" s="12">
        <f>IFERROR(__xludf.DUMMYFUNCTION("""COMPUTED_VALUE"""),44662.66458333333)</f>
        <v>44662.66458</v>
      </c>
      <c r="D2364" s="13">
        <f t="shared" si="1"/>
        <v>11</v>
      </c>
      <c r="E2364" s="13">
        <f t="shared" si="2"/>
        <v>15</v>
      </c>
    </row>
    <row r="2365">
      <c r="A2365" s="4" t="s">
        <v>2716</v>
      </c>
      <c r="B2365" s="4" t="s">
        <v>1082</v>
      </c>
      <c r="C2365" s="12">
        <f>IFERROR(__xludf.DUMMYFUNCTION("""COMPUTED_VALUE"""),44662.664502314816)</f>
        <v>44662.6645</v>
      </c>
      <c r="D2365" s="13">
        <f t="shared" si="1"/>
        <v>11</v>
      </c>
      <c r="E2365" s="13">
        <f t="shared" si="2"/>
        <v>15</v>
      </c>
    </row>
    <row r="2366">
      <c r="A2366" s="4" t="s">
        <v>2717</v>
      </c>
      <c r="B2366" s="4" t="s">
        <v>1082</v>
      </c>
      <c r="C2366" s="12">
        <f>IFERROR(__xludf.DUMMYFUNCTION("""COMPUTED_VALUE"""),44662.66446759259)</f>
        <v>44662.66447</v>
      </c>
      <c r="D2366" s="13">
        <f t="shared" si="1"/>
        <v>11</v>
      </c>
      <c r="E2366" s="13">
        <f t="shared" si="2"/>
        <v>15</v>
      </c>
    </row>
    <row r="2367">
      <c r="A2367" s="4" t="s">
        <v>2718</v>
      </c>
      <c r="B2367" s="16"/>
      <c r="C2367" s="12">
        <f>IFERROR(__xludf.DUMMYFUNCTION("""COMPUTED_VALUE"""),44662.664375)</f>
        <v>44662.66438</v>
      </c>
      <c r="D2367" s="13">
        <f t="shared" si="1"/>
        <v>11</v>
      </c>
      <c r="E2367" s="13">
        <f t="shared" si="2"/>
        <v>15</v>
      </c>
    </row>
    <row r="2368">
      <c r="A2368" s="4" t="s">
        <v>2719</v>
      </c>
      <c r="B2368" s="4" t="s">
        <v>1590</v>
      </c>
      <c r="C2368" s="12">
        <f>IFERROR(__xludf.DUMMYFUNCTION("""COMPUTED_VALUE"""),44662.66402777778)</f>
        <v>44662.66403</v>
      </c>
      <c r="D2368" s="13">
        <f t="shared" si="1"/>
        <v>11</v>
      </c>
      <c r="E2368" s="13">
        <f t="shared" si="2"/>
        <v>15</v>
      </c>
    </row>
    <row r="2369">
      <c r="A2369" s="4" t="s">
        <v>2720</v>
      </c>
      <c r="B2369" s="4" t="s">
        <v>1590</v>
      </c>
      <c r="C2369" s="12">
        <f>IFERROR(__xludf.DUMMYFUNCTION("""COMPUTED_VALUE"""),44662.66400462963)</f>
        <v>44662.664</v>
      </c>
      <c r="D2369" s="13">
        <f t="shared" si="1"/>
        <v>11</v>
      </c>
      <c r="E2369" s="13">
        <f t="shared" si="2"/>
        <v>15</v>
      </c>
    </row>
    <row r="2370">
      <c r="A2370" s="4" t="s">
        <v>2721</v>
      </c>
      <c r="B2370" s="4" t="s">
        <v>2722</v>
      </c>
      <c r="C2370" s="12">
        <f>IFERROR(__xludf.DUMMYFUNCTION("""COMPUTED_VALUE"""),44662.66386574074)</f>
        <v>44662.66387</v>
      </c>
      <c r="D2370" s="13">
        <f t="shared" si="1"/>
        <v>11</v>
      </c>
      <c r="E2370" s="13">
        <f t="shared" si="2"/>
        <v>15</v>
      </c>
    </row>
    <row r="2371">
      <c r="A2371" s="4" t="s">
        <v>2723</v>
      </c>
      <c r="B2371" s="4" t="s">
        <v>2611</v>
      </c>
      <c r="C2371" s="12">
        <f>IFERROR(__xludf.DUMMYFUNCTION("""COMPUTED_VALUE"""),44662.66355324074)</f>
        <v>44662.66355</v>
      </c>
      <c r="D2371" s="13">
        <f t="shared" si="1"/>
        <v>11</v>
      </c>
      <c r="E2371" s="13">
        <f t="shared" si="2"/>
        <v>15</v>
      </c>
    </row>
    <row r="2372">
      <c r="A2372" s="4" t="s">
        <v>2724</v>
      </c>
      <c r="B2372" s="4" t="s">
        <v>2725</v>
      </c>
      <c r="C2372" s="12">
        <f>IFERROR(__xludf.DUMMYFUNCTION("""COMPUTED_VALUE"""),44662.663402777776)</f>
        <v>44662.6634</v>
      </c>
      <c r="D2372" s="13">
        <f t="shared" si="1"/>
        <v>11</v>
      </c>
      <c r="E2372" s="13">
        <f t="shared" si="2"/>
        <v>15</v>
      </c>
    </row>
    <row r="2373">
      <c r="A2373" s="4" t="s">
        <v>2726</v>
      </c>
      <c r="B2373" s="4" t="s">
        <v>2725</v>
      </c>
      <c r="C2373" s="12">
        <f>IFERROR(__xludf.DUMMYFUNCTION("""COMPUTED_VALUE"""),44662.66335648148)</f>
        <v>44662.66336</v>
      </c>
      <c r="D2373" s="13">
        <f t="shared" si="1"/>
        <v>11</v>
      </c>
      <c r="E2373" s="13">
        <f t="shared" si="2"/>
        <v>15</v>
      </c>
    </row>
    <row r="2374">
      <c r="A2374" s="4" t="s">
        <v>2727</v>
      </c>
      <c r="B2374" s="4" t="s">
        <v>2725</v>
      </c>
      <c r="C2374" s="12">
        <f>IFERROR(__xludf.DUMMYFUNCTION("""COMPUTED_VALUE"""),44662.66305555555)</f>
        <v>44662.66306</v>
      </c>
      <c r="D2374" s="13">
        <f t="shared" si="1"/>
        <v>11</v>
      </c>
      <c r="E2374" s="13">
        <f t="shared" si="2"/>
        <v>15</v>
      </c>
    </row>
    <row r="2375">
      <c r="A2375" s="4" t="s">
        <v>2728</v>
      </c>
      <c r="B2375" s="4" t="s">
        <v>2729</v>
      </c>
      <c r="C2375" s="12">
        <f>IFERROR(__xludf.DUMMYFUNCTION("""COMPUTED_VALUE"""),44662.66297453704)</f>
        <v>44662.66297</v>
      </c>
      <c r="D2375" s="13">
        <f t="shared" si="1"/>
        <v>11</v>
      </c>
      <c r="E2375" s="13">
        <f t="shared" si="2"/>
        <v>15</v>
      </c>
    </row>
    <row r="2376">
      <c r="A2376" s="4" t="s">
        <v>2730</v>
      </c>
      <c r="B2376" s="16"/>
      <c r="C2376" s="12">
        <f>IFERROR(__xludf.DUMMYFUNCTION("""COMPUTED_VALUE"""),44662.66292824074)</f>
        <v>44662.66293</v>
      </c>
      <c r="D2376" s="13">
        <f t="shared" si="1"/>
        <v>11</v>
      </c>
      <c r="E2376" s="13">
        <f t="shared" si="2"/>
        <v>15</v>
      </c>
    </row>
    <row r="2377">
      <c r="A2377" s="4" t="s">
        <v>2731</v>
      </c>
      <c r="B2377" s="4" t="s">
        <v>2725</v>
      </c>
      <c r="C2377" s="12">
        <f>IFERROR(__xludf.DUMMYFUNCTION("""COMPUTED_VALUE"""),44662.662835648145)</f>
        <v>44662.66284</v>
      </c>
      <c r="D2377" s="13">
        <f t="shared" si="1"/>
        <v>11</v>
      </c>
      <c r="E2377" s="13">
        <f t="shared" si="2"/>
        <v>15</v>
      </c>
    </row>
    <row r="2378">
      <c r="A2378" s="4" t="s">
        <v>2732</v>
      </c>
      <c r="B2378" s="4" t="s">
        <v>2725</v>
      </c>
      <c r="C2378" s="12">
        <f>IFERROR(__xludf.DUMMYFUNCTION("""COMPUTED_VALUE"""),44662.6628125)</f>
        <v>44662.66281</v>
      </c>
      <c r="D2378" s="13">
        <f t="shared" si="1"/>
        <v>11</v>
      </c>
      <c r="E2378" s="13">
        <f t="shared" si="2"/>
        <v>15</v>
      </c>
    </row>
    <row r="2379">
      <c r="A2379" s="4" t="s">
        <v>2733</v>
      </c>
      <c r="B2379" s="4" t="s">
        <v>2725</v>
      </c>
      <c r="C2379" s="12">
        <f>IFERROR(__xludf.DUMMYFUNCTION("""COMPUTED_VALUE"""),44662.66280092592)</f>
        <v>44662.6628</v>
      </c>
      <c r="D2379" s="13">
        <f t="shared" si="1"/>
        <v>11</v>
      </c>
      <c r="E2379" s="13">
        <f t="shared" si="2"/>
        <v>15</v>
      </c>
    </row>
    <row r="2380">
      <c r="A2380" s="4" t="s">
        <v>2734</v>
      </c>
      <c r="B2380" s="4" t="s">
        <v>2725</v>
      </c>
      <c r="C2380" s="12">
        <f>IFERROR(__xludf.DUMMYFUNCTION("""COMPUTED_VALUE"""),44662.66275462963)</f>
        <v>44662.66275</v>
      </c>
      <c r="D2380" s="13">
        <f t="shared" si="1"/>
        <v>11</v>
      </c>
      <c r="E2380" s="13">
        <f t="shared" si="2"/>
        <v>15</v>
      </c>
    </row>
    <row r="2381">
      <c r="A2381" s="4" t="s">
        <v>2735</v>
      </c>
      <c r="B2381" s="4" t="s">
        <v>2725</v>
      </c>
      <c r="C2381" s="12">
        <f>IFERROR(__xludf.DUMMYFUNCTION("""COMPUTED_VALUE"""),44662.66269675926)</f>
        <v>44662.6627</v>
      </c>
      <c r="D2381" s="13">
        <f t="shared" si="1"/>
        <v>11</v>
      </c>
      <c r="E2381" s="13">
        <f t="shared" si="2"/>
        <v>15</v>
      </c>
    </row>
    <row r="2382">
      <c r="A2382" s="4" t="s">
        <v>2736</v>
      </c>
      <c r="B2382" s="4" t="s">
        <v>2725</v>
      </c>
      <c r="C2382" s="12">
        <f>IFERROR(__xludf.DUMMYFUNCTION("""COMPUTED_VALUE"""),44662.662627314814)</f>
        <v>44662.66263</v>
      </c>
      <c r="D2382" s="13">
        <f t="shared" si="1"/>
        <v>11</v>
      </c>
      <c r="E2382" s="13">
        <f t="shared" si="2"/>
        <v>15</v>
      </c>
    </row>
    <row r="2383">
      <c r="A2383" s="4" t="s">
        <v>2737</v>
      </c>
      <c r="B2383" s="4" t="s">
        <v>2738</v>
      </c>
      <c r="C2383" s="12">
        <f>IFERROR(__xludf.DUMMYFUNCTION("""COMPUTED_VALUE"""),44662.66247685185)</f>
        <v>44662.66248</v>
      </c>
      <c r="D2383" s="13">
        <f t="shared" si="1"/>
        <v>11</v>
      </c>
      <c r="E2383" s="13">
        <f t="shared" si="2"/>
        <v>15</v>
      </c>
    </row>
    <row r="2384">
      <c r="A2384" s="4" t="s">
        <v>2739</v>
      </c>
      <c r="B2384" s="4" t="s">
        <v>2740</v>
      </c>
      <c r="C2384" s="12">
        <f>IFERROR(__xludf.DUMMYFUNCTION("""COMPUTED_VALUE"""),44662.66244212963)</f>
        <v>44662.66244</v>
      </c>
      <c r="D2384" s="13">
        <f t="shared" si="1"/>
        <v>11</v>
      </c>
      <c r="E2384" s="13">
        <f t="shared" si="2"/>
        <v>15</v>
      </c>
    </row>
    <row r="2385">
      <c r="A2385" s="4" t="s">
        <v>2741</v>
      </c>
      <c r="B2385" s="4" t="s">
        <v>2740</v>
      </c>
      <c r="C2385" s="12">
        <f>IFERROR(__xludf.DUMMYFUNCTION("""COMPUTED_VALUE"""),44662.662407407406)</f>
        <v>44662.66241</v>
      </c>
      <c r="D2385" s="13">
        <f t="shared" si="1"/>
        <v>11</v>
      </c>
      <c r="E2385" s="13">
        <f t="shared" si="2"/>
        <v>15</v>
      </c>
    </row>
    <row r="2386">
      <c r="A2386" s="4" t="s">
        <v>2742</v>
      </c>
      <c r="B2386" s="4" t="s">
        <v>2743</v>
      </c>
      <c r="C2386" s="12">
        <f>IFERROR(__xludf.DUMMYFUNCTION("""COMPUTED_VALUE"""),44662.6615625)</f>
        <v>44662.66156</v>
      </c>
      <c r="D2386" s="13">
        <f t="shared" si="1"/>
        <v>11</v>
      </c>
      <c r="E2386" s="13">
        <f t="shared" si="2"/>
        <v>15</v>
      </c>
    </row>
    <row r="2387">
      <c r="A2387" s="4" t="s">
        <v>2744</v>
      </c>
      <c r="B2387" s="16"/>
      <c r="C2387" s="12">
        <f>IFERROR(__xludf.DUMMYFUNCTION("""COMPUTED_VALUE"""),44662.661261574074)</f>
        <v>44662.66126</v>
      </c>
      <c r="D2387" s="13">
        <f t="shared" si="1"/>
        <v>11</v>
      </c>
      <c r="E2387" s="13">
        <f t="shared" si="2"/>
        <v>15</v>
      </c>
    </row>
    <row r="2388">
      <c r="A2388" s="4" t="s">
        <v>2745</v>
      </c>
      <c r="B2388" s="16"/>
      <c r="C2388" s="12">
        <f>IFERROR(__xludf.DUMMYFUNCTION("""COMPUTED_VALUE"""),44662.66125)</f>
        <v>44662.66125</v>
      </c>
      <c r="D2388" s="13">
        <f t="shared" si="1"/>
        <v>11</v>
      </c>
      <c r="E2388" s="13">
        <f t="shared" si="2"/>
        <v>15</v>
      </c>
    </row>
    <row r="2389">
      <c r="A2389" s="4" t="s">
        <v>2746</v>
      </c>
      <c r="B2389" s="16"/>
      <c r="C2389" s="12">
        <f>IFERROR(__xludf.DUMMYFUNCTION("""COMPUTED_VALUE"""),44662.661203703705)</f>
        <v>44662.6612</v>
      </c>
      <c r="D2389" s="13">
        <f t="shared" si="1"/>
        <v>11</v>
      </c>
      <c r="E2389" s="13">
        <f t="shared" si="2"/>
        <v>15</v>
      </c>
    </row>
    <row r="2390">
      <c r="A2390" s="4" t="s">
        <v>2747</v>
      </c>
      <c r="B2390" s="4" t="s">
        <v>2748</v>
      </c>
      <c r="C2390" s="12">
        <f>IFERROR(__xludf.DUMMYFUNCTION("""COMPUTED_VALUE"""),44662.66119212963)</f>
        <v>44662.66119</v>
      </c>
      <c r="D2390" s="13">
        <f t="shared" si="1"/>
        <v>11</v>
      </c>
      <c r="E2390" s="13">
        <f t="shared" si="2"/>
        <v>15</v>
      </c>
    </row>
    <row r="2391">
      <c r="A2391" s="4" t="s">
        <v>2749</v>
      </c>
      <c r="B2391" s="4" t="s">
        <v>2750</v>
      </c>
      <c r="C2391" s="12">
        <f>IFERROR(__xludf.DUMMYFUNCTION("""COMPUTED_VALUE"""),44662.66118055555)</f>
        <v>44662.66118</v>
      </c>
      <c r="D2391" s="13">
        <f t="shared" si="1"/>
        <v>11</v>
      </c>
      <c r="E2391" s="13">
        <f t="shared" si="2"/>
        <v>15</v>
      </c>
    </row>
    <row r="2392">
      <c r="A2392" s="4" t="s">
        <v>2751</v>
      </c>
      <c r="B2392" s="4" t="s">
        <v>2748</v>
      </c>
      <c r="C2392" s="12">
        <f>IFERROR(__xludf.DUMMYFUNCTION("""COMPUTED_VALUE"""),44662.66116898148)</f>
        <v>44662.66117</v>
      </c>
      <c r="D2392" s="13">
        <f t="shared" si="1"/>
        <v>11</v>
      </c>
      <c r="E2392" s="13">
        <f t="shared" si="2"/>
        <v>15</v>
      </c>
    </row>
    <row r="2393">
      <c r="A2393" s="4" t="s">
        <v>2752</v>
      </c>
      <c r="B2393" s="4" t="s">
        <v>2748</v>
      </c>
      <c r="C2393" s="12">
        <f>IFERROR(__xludf.DUMMYFUNCTION("""COMPUTED_VALUE"""),44662.66113425926)</f>
        <v>44662.66113</v>
      </c>
      <c r="D2393" s="13">
        <f t="shared" si="1"/>
        <v>11</v>
      </c>
      <c r="E2393" s="13">
        <f t="shared" si="2"/>
        <v>15</v>
      </c>
    </row>
    <row r="2394">
      <c r="A2394" s="4" t="s">
        <v>2753</v>
      </c>
      <c r="B2394" s="4" t="s">
        <v>2754</v>
      </c>
      <c r="C2394" s="12">
        <f>IFERROR(__xludf.DUMMYFUNCTION("""COMPUTED_VALUE"""),44662.66112268518)</f>
        <v>44662.66112</v>
      </c>
      <c r="D2394" s="13">
        <f t="shared" si="1"/>
        <v>11</v>
      </c>
      <c r="E2394" s="13">
        <f t="shared" si="2"/>
        <v>15</v>
      </c>
    </row>
    <row r="2395">
      <c r="A2395" s="4" t="s">
        <v>2755</v>
      </c>
      <c r="B2395" s="16"/>
      <c r="C2395" s="12">
        <f>IFERROR(__xludf.DUMMYFUNCTION("""COMPUTED_VALUE"""),44662.66106481481)</f>
        <v>44662.66106</v>
      </c>
      <c r="D2395" s="13">
        <f t="shared" si="1"/>
        <v>11</v>
      </c>
      <c r="E2395" s="13">
        <f t="shared" si="2"/>
        <v>15</v>
      </c>
    </row>
    <row r="2396">
      <c r="A2396" s="4" t="s">
        <v>2756</v>
      </c>
      <c r="B2396" s="4" t="s">
        <v>2757</v>
      </c>
      <c r="C2396" s="12">
        <f>IFERROR(__xludf.DUMMYFUNCTION("""COMPUTED_VALUE"""),44662.66081018518)</f>
        <v>44662.66081</v>
      </c>
      <c r="D2396" s="13">
        <f t="shared" si="1"/>
        <v>11</v>
      </c>
      <c r="E2396" s="13">
        <f t="shared" si="2"/>
        <v>15</v>
      </c>
    </row>
    <row r="2397">
      <c r="A2397" s="4" t="s">
        <v>2758</v>
      </c>
      <c r="B2397" s="4" t="s">
        <v>2748</v>
      </c>
      <c r="C2397" s="12">
        <f>IFERROR(__xludf.DUMMYFUNCTION("""COMPUTED_VALUE"""),44662.66076388889)</f>
        <v>44662.66076</v>
      </c>
      <c r="D2397" s="13">
        <f t="shared" si="1"/>
        <v>11</v>
      </c>
      <c r="E2397" s="13">
        <f t="shared" si="2"/>
        <v>15</v>
      </c>
    </row>
    <row r="2398">
      <c r="A2398" s="4" t="s">
        <v>2759</v>
      </c>
      <c r="B2398" s="4" t="s">
        <v>2748</v>
      </c>
      <c r="C2398" s="12">
        <f>IFERROR(__xludf.DUMMYFUNCTION("""COMPUTED_VALUE"""),44662.660740740735)</f>
        <v>44662.66074</v>
      </c>
      <c r="D2398" s="13">
        <f t="shared" si="1"/>
        <v>11</v>
      </c>
      <c r="E2398" s="13">
        <f t="shared" si="2"/>
        <v>15</v>
      </c>
    </row>
    <row r="2399">
      <c r="A2399" s="4" t="s">
        <v>2760</v>
      </c>
      <c r="B2399" s="4" t="s">
        <v>2748</v>
      </c>
      <c r="C2399" s="12">
        <f>IFERROR(__xludf.DUMMYFUNCTION("""COMPUTED_VALUE"""),44662.66063657407)</f>
        <v>44662.66064</v>
      </c>
      <c r="D2399" s="13">
        <f t="shared" si="1"/>
        <v>11</v>
      </c>
      <c r="E2399" s="13">
        <f t="shared" si="2"/>
        <v>15</v>
      </c>
    </row>
    <row r="2400">
      <c r="A2400" s="4" t="s">
        <v>2761</v>
      </c>
      <c r="B2400" s="16"/>
      <c r="C2400" s="12">
        <f>IFERROR(__xludf.DUMMYFUNCTION("""COMPUTED_VALUE"""),44662.66060185185)</f>
        <v>44662.6606</v>
      </c>
      <c r="D2400" s="13">
        <f t="shared" si="1"/>
        <v>11</v>
      </c>
      <c r="E2400" s="13">
        <f t="shared" si="2"/>
        <v>15</v>
      </c>
    </row>
    <row r="2401">
      <c r="A2401" s="4" t="s">
        <v>2762</v>
      </c>
      <c r="B2401" s="4" t="s">
        <v>2748</v>
      </c>
      <c r="C2401" s="12">
        <f>IFERROR(__xludf.DUMMYFUNCTION("""COMPUTED_VALUE"""),44662.660578703704)</f>
        <v>44662.66058</v>
      </c>
      <c r="D2401" s="13">
        <f t="shared" si="1"/>
        <v>11</v>
      </c>
      <c r="E2401" s="13">
        <f t="shared" si="2"/>
        <v>15</v>
      </c>
    </row>
    <row r="2402">
      <c r="A2402" s="4" t="s">
        <v>2763</v>
      </c>
      <c r="B2402" s="4" t="s">
        <v>2750</v>
      </c>
      <c r="C2402" s="12">
        <f>IFERROR(__xludf.DUMMYFUNCTION("""COMPUTED_VALUE"""),44662.660474537035)</f>
        <v>44662.66047</v>
      </c>
      <c r="D2402" s="13">
        <f t="shared" si="1"/>
        <v>11</v>
      </c>
      <c r="E2402" s="13">
        <f t="shared" si="2"/>
        <v>15</v>
      </c>
    </row>
    <row r="2403">
      <c r="A2403" s="4" t="s">
        <v>2764</v>
      </c>
      <c r="B2403" s="4" t="s">
        <v>2750</v>
      </c>
      <c r="C2403" s="12">
        <f>IFERROR(__xludf.DUMMYFUNCTION("""COMPUTED_VALUE"""),44662.66045138889)</f>
        <v>44662.66045</v>
      </c>
      <c r="D2403" s="13">
        <f t="shared" si="1"/>
        <v>11</v>
      </c>
      <c r="E2403" s="13">
        <f t="shared" si="2"/>
        <v>15</v>
      </c>
    </row>
    <row r="2404">
      <c r="A2404" s="4" t="s">
        <v>2765</v>
      </c>
      <c r="B2404" s="16"/>
      <c r="C2404" s="12">
        <f>IFERROR(__xludf.DUMMYFUNCTION("""COMPUTED_VALUE"""),44662.66030092593)</f>
        <v>44662.6603</v>
      </c>
      <c r="D2404" s="13">
        <f t="shared" si="1"/>
        <v>11</v>
      </c>
      <c r="E2404" s="13">
        <f t="shared" si="2"/>
        <v>15</v>
      </c>
    </row>
    <row r="2405">
      <c r="A2405" s="4" t="s">
        <v>2766</v>
      </c>
      <c r="B2405" s="16"/>
      <c r="C2405" s="12">
        <f>IFERROR(__xludf.DUMMYFUNCTION("""COMPUTED_VALUE"""),44662.660266203704)</f>
        <v>44662.66027</v>
      </c>
      <c r="D2405" s="13">
        <f t="shared" si="1"/>
        <v>11</v>
      </c>
      <c r="E2405" s="13">
        <f t="shared" si="2"/>
        <v>15</v>
      </c>
    </row>
    <row r="2406">
      <c r="A2406" s="4" t="s">
        <v>2767</v>
      </c>
      <c r="B2406" s="16"/>
      <c r="C2406" s="12">
        <f>IFERROR(__xludf.DUMMYFUNCTION("""COMPUTED_VALUE"""),44662.66009259259)</f>
        <v>44662.66009</v>
      </c>
      <c r="D2406" s="13">
        <f t="shared" si="1"/>
        <v>11</v>
      </c>
      <c r="E2406" s="13">
        <f t="shared" si="2"/>
        <v>15</v>
      </c>
    </row>
    <row r="2407">
      <c r="A2407" s="4" t="s">
        <v>2768</v>
      </c>
      <c r="B2407" s="4" t="s">
        <v>1082</v>
      </c>
      <c r="C2407" s="12">
        <f>IFERROR(__xludf.DUMMYFUNCTION("""COMPUTED_VALUE"""),44662.660057870366)</f>
        <v>44662.66006</v>
      </c>
      <c r="D2407" s="13">
        <f t="shared" si="1"/>
        <v>11</v>
      </c>
      <c r="E2407" s="13">
        <f t="shared" si="2"/>
        <v>15</v>
      </c>
    </row>
    <row r="2408">
      <c r="A2408" s="4" t="s">
        <v>2769</v>
      </c>
      <c r="B2408" s="4" t="s">
        <v>1082</v>
      </c>
      <c r="C2408" s="12">
        <f>IFERROR(__xludf.DUMMYFUNCTION("""COMPUTED_VALUE"""),44662.66001157407)</f>
        <v>44662.66001</v>
      </c>
      <c r="D2408" s="13">
        <f t="shared" si="1"/>
        <v>11</v>
      </c>
      <c r="E2408" s="13">
        <f t="shared" si="2"/>
        <v>15</v>
      </c>
    </row>
    <row r="2409">
      <c r="A2409" s="4" t="s">
        <v>2770</v>
      </c>
      <c r="B2409" s="16"/>
      <c r="C2409" s="12">
        <f>IFERROR(__xludf.DUMMYFUNCTION("""COMPUTED_VALUE"""),44662.65998842593)</f>
        <v>44662.65999</v>
      </c>
      <c r="D2409" s="13">
        <f t="shared" si="1"/>
        <v>11</v>
      </c>
      <c r="E2409" s="13">
        <f t="shared" si="2"/>
        <v>15</v>
      </c>
    </row>
    <row r="2410">
      <c r="A2410" s="4" t="s">
        <v>2771</v>
      </c>
      <c r="B2410" s="16"/>
      <c r="C2410" s="12">
        <f>IFERROR(__xludf.DUMMYFUNCTION("""COMPUTED_VALUE"""),44662.65996527777)</f>
        <v>44662.65997</v>
      </c>
      <c r="D2410" s="13">
        <f t="shared" si="1"/>
        <v>11</v>
      </c>
      <c r="E2410" s="13">
        <f t="shared" si="2"/>
        <v>15</v>
      </c>
    </row>
    <row r="2411">
      <c r="A2411" s="4" t="s">
        <v>2772</v>
      </c>
      <c r="B2411" s="16"/>
      <c r="C2411" s="12">
        <f>IFERROR(__xludf.DUMMYFUNCTION("""COMPUTED_VALUE"""),44662.65994212963)</f>
        <v>44662.65994</v>
      </c>
      <c r="D2411" s="13">
        <f t="shared" si="1"/>
        <v>11</v>
      </c>
      <c r="E2411" s="13">
        <f t="shared" si="2"/>
        <v>15</v>
      </c>
    </row>
    <row r="2412">
      <c r="A2412" s="4" t="s">
        <v>2773</v>
      </c>
      <c r="B2412" s="4" t="s">
        <v>2750</v>
      </c>
      <c r="C2412" s="12">
        <f>IFERROR(__xludf.DUMMYFUNCTION("""COMPUTED_VALUE"""),44662.659895833334)</f>
        <v>44662.6599</v>
      </c>
      <c r="D2412" s="13">
        <f t="shared" si="1"/>
        <v>11</v>
      </c>
      <c r="E2412" s="13">
        <f t="shared" si="2"/>
        <v>15</v>
      </c>
    </row>
    <row r="2413">
      <c r="A2413" s="4" t="s">
        <v>2774</v>
      </c>
      <c r="B2413" s="16"/>
      <c r="C2413" s="12">
        <f>IFERROR(__xludf.DUMMYFUNCTION("""COMPUTED_VALUE"""),44662.659745370365)</f>
        <v>44662.65975</v>
      </c>
      <c r="D2413" s="13">
        <f t="shared" si="1"/>
        <v>11</v>
      </c>
      <c r="E2413" s="13">
        <f t="shared" si="2"/>
        <v>15</v>
      </c>
    </row>
    <row r="2414">
      <c r="A2414" s="4" t="s">
        <v>2775</v>
      </c>
      <c r="B2414" s="4" t="s">
        <v>1082</v>
      </c>
      <c r="C2414" s="12">
        <f>IFERROR(__xludf.DUMMYFUNCTION("""COMPUTED_VALUE"""),44662.659687499996)</f>
        <v>44662.65969</v>
      </c>
      <c r="D2414" s="13">
        <f t="shared" si="1"/>
        <v>11</v>
      </c>
      <c r="E2414" s="13">
        <f t="shared" si="2"/>
        <v>15</v>
      </c>
    </row>
    <row r="2415">
      <c r="A2415" s="4" t="s">
        <v>2776</v>
      </c>
      <c r="B2415" s="4" t="s">
        <v>2777</v>
      </c>
      <c r="C2415" s="12">
        <f>IFERROR(__xludf.DUMMYFUNCTION("""COMPUTED_VALUE"""),44662.65967592593)</f>
        <v>44662.65968</v>
      </c>
      <c r="D2415" s="13">
        <f t="shared" si="1"/>
        <v>11</v>
      </c>
      <c r="E2415" s="13">
        <f t="shared" si="2"/>
        <v>15</v>
      </c>
    </row>
    <row r="2416">
      <c r="A2416" s="4" t="s">
        <v>2778</v>
      </c>
      <c r="B2416" s="16"/>
      <c r="C2416" s="12">
        <f>IFERROR(__xludf.DUMMYFUNCTION("""COMPUTED_VALUE"""),44662.65966435185)</f>
        <v>44662.65966</v>
      </c>
      <c r="D2416" s="13">
        <f t="shared" si="1"/>
        <v>11</v>
      </c>
      <c r="E2416" s="13">
        <f t="shared" si="2"/>
        <v>15</v>
      </c>
    </row>
    <row r="2417">
      <c r="A2417" s="4" t="s">
        <v>2778</v>
      </c>
      <c r="B2417" s="16"/>
      <c r="C2417" s="12">
        <f>IFERROR(__xludf.DUMMYFUNCTION("""COMPUTED_VALUE"""),44662.65966435185)</f>
        <v>44662.65966</v>
      </c>
      <c r="D2417" s="13">
        <f t="shared" si="1"/>
        <v>11</v>
      </c>
      <c r="E2417" s="13">
        <f t="shared" si="2"/>
        <v>15</v>
      </c>
    </row>
    <row r="2418">
      <c r="A2418" s="4" t="s">
        <v>2779</v>
      </c>
      <c r="B2418" s="4" t="s">
        <v>1082</v>
      </c>
      <c r="C2418" s="12">
        <f>IFERROR(__xludf.DUMMYFUNCTION("""COMPUTED_VALUE"""),44662.6596412037)</f>
        <v>44662.65964</v>
      </c>
      <c r="D2418" s="13">
        <f t="shared" si="1"/>
        <v>11</v>
      </c>
      <c r="E2418" s="13">
        <f t="shared" si="2"/>
        <v>15</v>
      </c>
    </row>
    <row r="2419">
      <c r="A2419" s="4" t="s">
        <v>2780</v>
      </c>
      <c r="B2419" s="16"/>
      <c r="C2419" s="12">
        <f>IFERROR(__xludf.DUMMYFUNCTION("""COMPUTED_VALUE"""),44662.65962962963)</f>
        <v>44662.65963</v>
      </c>
      <c r="D2419" s="13">
        <f t="shared" si="1"/>
        <v>11</v>
      </c>
      <c r="E2419" s="13">
        <f t="shared" si="2"/>
        <v>15</v>
      </c>
    </row>
    <row r="2420">
      <c r="A2420" s="4" t="s">
        <v>2781</v>
      </c>
      <c r="B2420" s="4" t="s">
        <v>1082</v>
      </c>
      <c r="C2420" s="12">
        <f>IFERROR(__xludf.DUMMYFUNCTION("""COMPUTED_VALUE"""),44662.65961805555)</f>
        <v>44662.65962</v>
      </c>
      <c r="D2420" s="13">
        <f t="shared" si="1"/>
        <v>11</v>
      </c>
      <c r="E2420" s="13">
        <f t="shared" si="2"/>
        <v>15</v>
      </c>
    </row>
    <row r="2421">
      <c r="A2421" s="4" t="s">
        <v>2782</v>
      </c>
      <c r="B2421" s="4" t="s">
        <v>2748</v>
      </c>
      <c r="C2421" s="12">
        <f>IFERROR(__xludf.DUMMYFUNCTION("""COMPUTED_VALUE"""),44662.65952546296)</f>
        <v>44662.65953</v>
      </c>
      <c r="D2421" s="13">
        <f t="shared" si="1"/>
        <v>11</v>
      </c>
      <c r="E2421" s="13">
        <f t="shared" si="2"/>
        <v>15</v>
      </c>
    </row>
    <row r="2422">
      <c r="A2422" s="4" t="s">
        <v>2783</v>
      </c>
      <c r="B2422" s="16"/>
      <c r="C2422" s="12">
        <f>IFERROR(__xludf.DUMMYFUNCTION("""COMPUTED_VALUE"""),44662.65951388889)</f>
        <v>44662.65951</v>
      </c>
      <c r="D2422" s="13">
        <f t="shared" si="1"/>
        <v>11</v>
      </c>
      <c r="E2422" s="13">
        <f t="shared" si="2"/>
        <v>15</v>
      </c>
    </row>
    <row r="2423">
      <c r="A2423" s="4" t="s">
        <v>2784</v>
      </c>
      <c r="B2423" s="4" t="s">
        <v>1082</v>
      </c>
      <c r="C2423" s="12">
        <f>IFERROR(__xludf.DUMMYFUNCTION("""COMPUTED_VALUE"""),44662.65949074074)</f>
        <v>44662.65949</v>
      </c>
      <c r="D2423" s="13">
        <f t="shared" si="1"/>
        <v>11</v>
      </c>
      <c r="E2423" s="13">
        <f t="shared" si="2"/>
        <v>15</v>
      </c>
    </row>
    <row r="2424">
      <c r="A2424" s="4" t="s">
        <v>2785</v>
      </c>
      <c r="B2424" s="16"/>
      <c r="C2424" s="12">
        <f>IFERROR(__xludf.DUMMYFUNCTION("""COMPUTED_VALUE"""),44662.65946759259)</f>
        <v>44662.65947</v>
      </c>
      <c r="D2424" s="13">
        <f t="shared" si="1"/>
        <v>11</v>
      </c>
      <c r="E2424" s="13">
        <f t="shared" si="2"/>
        <v>15</v>
      </c>
    </row>
    <row r="2425">
      <c r="A2425" s="4" t="s">
        <v>2786</v>
      </c>
      <c r="B2425" s="16"/>
      <c r="C2425" s="12">
        <f>IFERROR(__xludf.DUMMYFUNCTION("""COMPUTED_VALUE"""),44662.659421296295)</f>
        <v>44662.65942</v>
      </c>
      <c r="D2425" s="13">
        <f t="shared" si="1"/>
        <v>11</v>
      </c>
      <c r="E2425" s="13">
        <f t="shared" si="2"/>
        <v>15</v>
      </c>
    </row>
    <row r="2426">
      <c r="A2426" s="4" t="s">
        <v>2787</v>
      </c>
      <c r="B2426" s="16"/>
      <c r="C2426" s="12">
        <f>IFERROR(__xludf.DUMMYFUNCTION("""COMPUTED_VALUE"""),44662.65939814815)</f>
        <v>44662.6594</v>
      </c>
      <c r="D2426" s="13">
        <f t="shared" si="1"/>
        <v>11</v>
      </c>
      <c r="E2426" s="13">
        <f t="shared" si="2"/>
        <v>15</v>
      </c>
    </row>
    <row r="2427">
      <c r="A2427" s="4" t="s">
        <v>2788</v>
      </c>
      <c r="B2427" s="16"/>
      <c r="C2427" s="12">
        <f>IFERROR(__xludf.DUMMYFUNCTION("""COMPUTED_VALUE"""),44662.659374999996)</f>
        <v>44662.65938</v>
      </c>
      <c r="D2427" s="13">
        <f t="shared" si="1"/>
        <v>11</v>
      </c>
      <c r="E2427" s="13">
        <f t="shared" si="2"/>
        <v>15</v>
      </c>
    </row>
    <row r="2428">
      <c r="A2428" s="4" t="s">
        <v>2789</v>
      </c>
      <c r="B2428" s="4" t="s">
        <v>1082</v>
      </c>
      <c r="C2428" s="12">
        <f>IFERROR(__xludf.DUMMYFUNCTION("""COMPUTED_VALUE"""),44662.65935185185)</f>
        <v>44662.65935</v>
      </c>
      <c r="D2428" s="13">
        <f t="shared" si="1"/>
        <v>11</v>
      </c>
      <c r="E2428" s="13">
        <f t="shared" si="2"/>
        <v>15</v>
      </c>
    </row>
    <row r="2429">
      <c r="A2429" s="4" t="s">
        <v>2790</v>
      </c>
      <c r="B2429" s="4" t="s">
        <v>2791</v>
      </c>
      <c r="C2429" s="12">
        <f>IFERROR(__xludf.DUMMYFUNCTION("""COMPUTED_VALUE"""),44662.65899305556)</f>
        <v>44662.65899</v>
      </c>
      <c r="D2429" s="13">
        <f t="shared" si="1"/>
        <v>11</v>
      </c>
      <c r="E2429" s="13">
        <f t="shared" si="2"/>
        <v>15</v>
      </c>
    </row>
    <row r="2430">
      <c r="A2430" s="4" t="s">
        <v>2792</v>
      </c>
      <c r="B2430" s="16"/>
      <c r="C2430" s="12">
        <f>IFERROR(__xludf.DUMMYFUNCTION("""COMPUTED_VALUE"""),44662.658900462964)</f>
        <v>44662.6589</v>
      </c>
      <c r="D2430" s="13">
        <f t="shared" si="1"/>
        <v>11</v>
      </c>
      <c r="E2430" s="13">
        <f t="shared" si="2"/>
        <v>15</v>
      </c>
    </row>
    <row r="2431">
      <c r="A2431" s="4" t="s">
        <v>2793</v>
      </c>
      <c r="B2431" s="16"/>
      <c r="C2431" s="12">
        <f>IFERROR(__xludf.DUMMYFUNCTION("""COMPUTED_VALUE"""),44662.65884259259)</f>
        <v>44662.65884</v>
      </c>
      <c r="D2431" s="13">
        <f t="shared" si="1"/>
        <v>11</v>
      </c>
      <c r="E2431" s="13">
        <f t="shared" si="2"/>
        <v>15</v>
      </c>
    </row>
    <row r="2432">
      <c r="A2432" s="4" t="s">
        <v>2794</v>
      </c>
      <c r="B2432" s="16"/>
      <c r="C2432" s="12">
        <f>IFERROR(__xludf.DUMMYFUNCTION("""COMPUTED_VALUE"""),44662.65877314815)</f>
        <v>44662.65877</v>
      </c>
      <c r="D2432" s="13">
        <f t="shared" si="1"/>
        <v>11</v>
      </c>
      <c r="E2432" s="13">
        <f t="shared" si="2"/>
        <v>15</v>
      </c>
    </row>
    <row r="2433">
      <c r="A2433" s="4" t="s">
        <v>2795</v>
      </c>
      <c r="B2433" s="16"/>
      <c r="C2433" s="12">
        <f>IFERROR(__xludf.DUMMYFUNCTION("""COMPUTED_VALUE"""),44662.658749999995)</f>
        <v>44662.65875</v>
      </c>
      <c r="D2433" s="13">
        <f t="shared" si="1"/>
        <v>11</v>
      </c>
      <c r="E2433" s="13">
        <f t="shared" si="2"/>
        <v>15</v>
      </c>
    </row>
    <row r="2434">
      <c r="A2434" s="4" t="s">
        <v>2796</v>
      </c>
      <c r="B2434" s="16"/>
      <c r="C2434" s="12">
        <f>IFERROR(__xludf.DUMMYFUNCTION("""COMPUTED_VALUE"""),44662.6587037037)</f>
        <v>44662.6587</v>
      </c>
      <c r="D2434" s="13">
        <f t="shared" si="1"/>
        <v>11</v>
      </c>
      <c r="E2434" s="13">
        <f t="shared" si="2"/>
        <v>15</v>
      </c>
    </row>
    <row r="2435">
      <c r="A2435" s="4" t="s">
        <v>2797</v>
      </c>
      <c r="B2435" s="4" t="s">
        <v>1269</v>
      </c>
      <c r="C2435" s="12">
        <f>IFERROR(__xludf.DUMMYFUNCTION("""COMPUTED_VALUE"""),44662.658680555556)</f>
        <v>44662.65868</v>
      </c>
      <c r="D2435" s="13">
        <f t="shared" si="1"/>
        <v>11</v>
      </c>
      <c r="E2435" s="13">
        <f t="shared" si="2"/>
        <v>15</v>
      </c>
    </row>
    <row r="2436">
      <c r="A2436" s="4" t="s">
        <v>2798</v>
      </c>
      <c r="B2436" s="4" t="s">
        <v>2799</v>
      </c>
      <c r="C2436" s="12">
        <f>IFERROR(__xludf.DUMMYFUNCTION("""COMPUTED_VALUE"""),44662.6586574074)</f>
        <v>44662.65866</v>
      </c>
      <c r="D2436" s="13">
        <f t="shared" si="1"/>
        <v>11</v>
      </c>
      <c r="E2436" s="13">
        <f t="shared" si="2"/>
        <v>15</v>
      </c>
    </row>
    <row r="2437">
      <c r="A2437" s="4" t="s">
        <v>2800</v>
      </c>
      <c r="B2437" s="4" t="s">
        <v>2801</v>
      </c>
      <c r="C2437" s="12">
        <f>IFERROR(__xludf.DUMMYFUNCTION("""COMPUTED_VALUE"""),44662.65864583333)</f>
        <v>44662.65865</v>
      </c>
      <c r="D2437" s="13">
        <f t="shared" si="1"/>
        <v>11</v>
      </c>
      <c r="E2437" s="13">
        <f t="shared" si="2"/>
        <v>15</v>
      </c>
    </row>
    <row r="2438">
      <c r="A2438" s="4" t="s">
        <v>2802</v>
      </c>
      <c r="B2438" s="16"/>
      <c r="C2438" s="12">
        <f>IFERROR(__xludf.DUMMYFUNCTION("""COMPUTED_VALUE"""),44662.65861111111)</f>
        <v>44662.65861</v>
      </c>
      <c r="D2438" s="13">
        <f t="shared" si="1"/>
        <v>11</v>
      </c>
      <c r="E2438" s="13">
        <f t="shared" si="2"/>
        <v>15</v>
      </c>
    </row>
    <row r="2439">
      <c r="A2439" s="4" t="s">
        <v>2803</v>
      </c>
      <c r="B2439" s="4" t="s">
        <v>2748</v>
      </c>
      <c r="C2439" s="12">
        <f>IFERROR(__xludf.DUMMYFUNCTION("""COMPUTED_VALUE"""),44662.65859953703)</f>
        <v>44662.6586</v>
      </c>
      <c r="D2439" s="13">
        <f t="shared" si="1"/>
        <v>11</v>
      </c>
      <c r="E2439" s="13">
        <f t="shared" si="2"/>
        <v>15</v>
      </c>
    </row>
    <row r="2440">
      <c r="A2440" s="4" t="s">
        <v>2804</v>
      </c>
      <c r="B2440" s="4" t="s">
        <v>1082</v>
      </c>
      <c r="C2440" s="12">
        <f>IFERROR(__xludf.DUMMYFUNCTION("""COMPUTED_VALUE"""),44662.658587962964)</f>
        <v>44662.65859</v>
      </c>
      <c r="D2440" s="13">
        <f t="shared" si="1"/>
        <v>11</v>
      </c>
      <c r="E2440" s="13">
        <f t="shared" si="2"/>
        <v>15</v>
      </c>
    </row>
    <row r="2441">
      <c r="A2441" s="4" t="s">
        <v>2805</v>
      </c>
      <c r="B2441" s="16"/>
      <c r="C2441" s="12">
        <f>IFERROR(__xludf.DUMMYFUNCTION("""COMPUTED_VALUE"""),44662.658541666664)</f>
        <v>44662.65854</v>
      </c>
      <c r="D2441" s="13">
        <f t="shared" si="1"/>
        <v>11</v>
      </c>
      <c r="E2441" s="13">
        <f t="shared" si="2"/>
        <v>15</v>
      </c>
    </row>
    <row r="2442">
      <c r="A2442" s="4" t="s">
        <v>2806</v>
      </c>
      <c r="B2442" s="4" t="s">
        <v>1082</v>
      </c>
      <c r="C2442" s="12">
        <f>IFERROR(__xludf.DUMMYFUNCTION("""COMPUTED_VALUE"""),44662.658437499995)</f>
        <v>44662.65844</v>
      </c>
      <c r="D2442" s="13">
        <f t="shared" si="1"/>
        <v>11</v>
      </c>
      <c r="E2442" s="13">
        <f t="shared" si="2"/>
        <v>15</v>
      </c>
    </row>
    <row r="2443">
      <c r="A2443" s="4" t="s">
        <v>2807</v>
      </c>
      <c r="B2443" s="4" t="s">
        <v>2808</v>
      </c>
      <c r="C2443" s="12">
        <f>IFERROR(__xludf.DUMMYFUNCTION("""COMPUTED_VALUE"""),44662.657997685186)</f>
        <v>44662.658</v>
      </c>
      <c r="D2443" s="13">
        <f t="shared" si="1"/>
        <v>11</v>
      </c>
      <c r="E2443" s="13">
        <f t="shared" si="2"/>
        <v>15</v>
      </c>
    </row>
    <row r="2444">
      <c r="A2444" s="4" t="s">
        <v>2809</v>
      </c>
      <c r="B2444" s="4" t="s">
        <v>2808</v>
      </c>
      <c r="C2444" s="12">
        <f>IFERROR(__xludf.DUMMYFUNCTION("""COMPUTED_VALUE"""),44662.65793981481)</f>
        <v>44662.65794</v>
      </c>
      <c r="D2444" s="13">
        <f t="shared" si="1"/>
        <v>11</v>
      </c>
      <c r="E2444" s="13">
        <f t="shared" si="2"/>
        <v>15</v>
      </c>
    </row>
    <row r="2445">
      <c r="A2445" s="4" t="s">
        <v>2810</v>
      </c>
      <c r="B2445" s="4" t="s">
        <v>2808</v>
      </c>
      <c r="C2445" s="12">
        <f>IFERROR(__xludf.DUMMYFUNCTION("""COMPUTED_VALUE"""),44662.65792824074)</f>
        <v>44662.65793</v>
      </c>
      <c r="D2445" s="13">
        <f t="shared" si="1"/>
        <v>11</v>
      </c>
      <c r="E2445" s="13">
        <f t="shared" si="2"/>
        <v>15</v>
      </c>
    </row>
    <row r="2446">
      <c r="A2446" s="4" t="s">
        <v>2811</v>
      </c>
      <c r="B2446" s="4" t="s">
        <v>2812</v>
      </c>
      <c r="C2446" s="12">
        <f>IFERROR(__xludf.DUMMYFUNCTION("""COMPUTED_VALUE"""),44662.65751157407)</f>
        <v>44662.65751</v>
      </c>
      <c r="D2446" s="13">
        <f t="shared" si="1"/>
        <v>11</v>
      </c>
      <c r="E2446" s="13">
        <f t="shared" si="2"/>
        <v>15</v>
      </c>
    </row>
    <row r="2447">
      <c r="A2447" s="4" t="s">
        <v>2813</v>
      </c>
      <c r="B2447" s="16"/>
      <c r="C2447" s="12">
        <f>IFERROR(__xludf.DUMMYFUNCTION("""COMPUTED_VALUE"""),44662.6574074074)</f>
        <v>44662.65741</v>
      </c>
      <c r="D2447" s="13">
        <f t="shared" si="1"/>
        <v>11</v>
      </c>
      <c r="E2447" s="13">
        <f t="shared" si="2"/>
        <v>15</v>
      </c>
    </row>
    <row r="2448">
      <c r="A2448" s="4" t="s">
        <v>2814</v>
      </c>
      <c r="B2448" s="4" t="s">
        <v>2812</v>
      </c>
      <c r="C2448" s="12">
        <f>IFERROR(__xludf.DUMMYFUNCTION("""COMPUTED_VALUE"""),44662.657384259255)</f>
        <v>44662.65738</v>
      </c>
      <c r="D2448" s="13">
        <f t="shared" si="1"/>
        <v>11</v>
      </c>
      <c r="E2448" s="13">
        <f t="shared" si="2"/>
        <v>15</v>
      </c>
    </row>
    <row r="2449">
      <c r="A2449" s="4" t="s">
        <v>2815</v>
      </c>
      <c r="B2449" s="4" t="s">
        <v>2812</v>
      </c>
      <c r="C2449" s="12">
        <f>IFERROR(__xludf.DUMMYFUNCTION("""COMPUTED_VALUE"""),44662.657372685186)</f>
        <v>44662.65737</v>
      </c>
      <c r="D2449" s="13">
        <f t="shared" si="1"/>
        <v>11</v>
      </c>
      <c r="E2449" s="13">
        <f t="shared" si="2"/>
        <v>15</v>
      </c>
    </row>
    <row r="2450">
      <c r="A2450" s="4" t="s">
        <v>2816</v>
      </c>
      <c r="B2450" s="16"/>
      <c r="C2450" s="12">
        <f>IFERROR(__xludf.DUMMYFUNCTION("""COMPUTED_VALUE"""),44662.657326388886)</f>
        <v>44662.65733</v>
      </c>
      <c r="D2450" s="13">
        <f t="shared" si="1"/>
        <v>11</v>
      </c>
      <c r="E2450" s="13">
        <f t="shared" si="2"/>
        <v>15</v>
      </c>
    </row>
    <row r="2451">
      <c r="A2451" s="4" t="s">
        <v>2817</v>
      </c>
      <c r="B2451" s="16"/>
      <c r="C2451" s="12">
        <f>IFERROR(__xludf.DUMMYFUNCTION("""COMPUTED_VALUE"""),44662.65731481481)</f>
        <v>44662.65731</v>
      </c>
      <c r="D2451" s="13">
        <f t="shared" si="1"/>
        <v>11</v>
      </c>
      <c r="E2451" s="13">
        <f t="shared" si="2"/>
        <v>15</v>
      </c>
    </row>
    <row r="2452">
      <c r="A2452" s="4" t="s">
        <v>2818</v>
      </c>
      <c r="B2452" s="4" t="s">
        <v>2819</v>
      </c>
      <c r="C2452" s="12">
        <f>IFERROR(__xludf.DUMMYFUNCTION("""COMPUTED_VALUE"""),44662.65716435185)</f>
        <v>44662.65716</v>
      </c>
      <c r="D2452" s="13">
        <f t="shared" si="1"/>
        <v>11</v>
      </c>
      <c r="E2452" s="13">
        <f t="shared" si="2"/>
        <v>15</v>
      </c>
    </row>
    <row r="2453">
      <c r="A2453" s="4" t="s">
        <v>2820</v>
      </c>
      <c r="B2453" s="4" t="s">
        <v>1235</v>
      </c>
      <c r="C2453" s="12">
        <f>IFERROR(__xludf.DUMMYFUNCTION("""COMPUTED_VALUE"""),44662.65715277778)</f>
        <v>44662.65715</v>
      </c>
      <c r="D2453" s="13">
        <f t="shared" si="1"/>
        <v>11</v>
      </c>
      <c r="E2453" s="13">
        <f t="shared" si="2"/>
        <v>15</v>
      </c>
    </row>
    <row r="2454">
      <c r="A2454" s="4" t="s">
        <v>2821</v>
      </c>
      <c r="B2454" s="4" t="s">
        <v>2433</v>
      </c>
      <c r="C2454" s="12">
        <f>IFERROR(__xludf.DUMMYFUNCTION("""COMPUTED_VALUE"""),44662.657129629624)</f>
        <v>44662.65713</v>
      </c>
      <c r="D2454" s="13">
        <f t="shared" si="1"/>
        <v>11</v>
      </c>
      <c r="E2454" s="13">
        <f t="shared" si="2"/>
        <v>15</v>
      </c>
    </row>
    <row r="2455">
      <c r="A2455" s="4" t="s">
        <v>2822</v>
      </c>
      <c r="B2455" s="4" t="s">
        <v>1269</v>
      </c>
      <c r="C2455" s="12">
        <f>IFERROR(__xludf.DUMMYFUNCTION("""COMPUTED_VALUE"""),44662.65709490741)</f>
        <v>44662.65709</v>
      </c>
      <c r="D2455" s="13">
        <f t="shared" si="1"/>
        <v>11</v>
      </c>
      <c r="E2455" s="13">
        <f t="shared" si="2"/>
        <v>15</v>
      </c>
    </row>
    <row r="2456">
      <c r="A2456" s="4" t="s">
        <v>2823</v>
      </c>
      <c r="B2456" s="16"/>
      <c r="C2456" s="12">
        <f>IFERROR(__xludf.DUMMYFUNCTION("""COMPUTED_VALUE"""),44662.657071759255)</f>
        <v>44662.65707</v>
      </c>
      <c r="D2456" s="13">
        <f t="shared" si="1"/>
        <v>11</v>
      </c>
      <c r="E2456" s="13">
        <f t="shared" si="2"/>
        <v>15</v>
      </c>
    </row>
    <row r="2457">
      <c r="A2457" s="4" t="s">
        <v>2823</v>
      </c>
      <c r="B2457" s="16"/>
      <c r="C2457" s="12">
        <f>IFERROR(__xludf.DUMMYFUNCTION("""COMPUTED_VALUE"""),44662.657071759255)</f>
        <v>44662.65707</v>
      </c>
      <c r="D2457" s="13">
        <f t="shared" si="1"/>
        <v>11</v>
      </c>
      <c r="E2457" s="13">
        <f t="shared" si="2"/>
        <v>15</v>
      </c>
    </row>
    <row r="2458">
      <c r="A2458" s="4" t="s">
        <v>2824</v>
      </c>
      <c r="B2458" s="16"/>
      <c r="C2458" s="12">
        <f>IFERROR(__xludf.DUMMYFUNCTION("""COMPUTED_VALUE"""),44662.65704861111)</f>
        <v>44662.65705</v>
      </c>
      <c r="D2458" s="13">
        <f t="shared" si="1"/>
        <v>11</v>
      </c>
      <c r="E2458" s="13">
        <f t="shared" si="2"/>
        <v>15</v>
      </c>
    </row>
    <row r="2459">
      <c r="A2459" s="4" t="s">
        <v>2824</v>
      </c>
      <c r="B2459" s="4" t="s">
        <v>2819</v>
      </c>
      <c r="C2459" s="12">
        <f>IFERROR(__xludf.DUMMYFUNCTION("""COMPUTED_VALUE"""),44662.65704861111)</f>
        <v>44662.65705</v>
      </c>
      <c r="D2459" s="13">
        <f t="shared" si="1"/>
        <v>11</v>
      </c>
      <c r="E2459" s="13">
        <f t="shared" si="2"/>
        <v>15</v>
      </c>
    </row>
    <row r="2460">
      <c r="A2460" s="4" t="s">
        <v>2825</v>
      </c>
      <c r="B2460" s="4" t="s">
        <v>2799</v>
      </c>
      <c r="C2460" s="12">
        <f>IFERROR(__xludf.DUMMYFUNCTION("""COMPUTED_VALUE"""),44662.657013888886)</f>
        <v>44662.65701</v>
      </c>
      <c r="D2460" s="13">
        <f t="shared" si="1"/>
        <v>11</v>
      </c>
      <c r="E2460" s="13">
        <f t="shared" si="2"/>
        <v>15</v>
      </c>
    </row>
    <row r="2461">
      <c r="A2461" s="4" t="s">
        <v>2826</v>
      </c>
      <c r="B2461" s="4" t="s">
        <v>1235</v>
      </c>
      <c r="C2461" s="12">
        <f>IFERROR(__xludf.DUMMYFUNCTION("""COMPUTED_VALUE"""),44662.65700231481)</f>
        <v>44662.657</v>
      </c>
      <c r="D2461" s="13">
        <f t="shared" si="1"/>
        <v>11</v>
      </c>
      <c r="E2461" s="13">
        <f t="shared" si="2"/>
        <v>15</v>
      </c>
    </row>
    <row r="2462">
      <c r="A2462" s="4" t="s">
        <v>2827</v>
      </c>
      <c r="B2462" s="4" t="s">
        <v>2799</v>
      </c>
      <c r="C2462" s="12">
        <f>IFERROR(__xludf.DUMMYFUNCTION("""COMPUTED_VALUE"""),44662.65699074074)</f>
        <v>44662.65699</v>
      </c>
      <c r="D2462" s="13">
        <f t="shared" si="1"/>
        <v>11</v>
      </c>
      <c r="E2462" s="13">
        <f t="shared" si="2"/>
        <v>15</v>
      </c>
    </row>
    <row r="2463">
      <c r="A2463" s="4" t="s">
        <v>2828</v>
      </c>
      <c r="B2463" s="4" t="s">
        <v>2799</v>
      </c>
      <c r="C2463" s="12">
        <f>IFERROR(__xludf.DUMMYFUNCTION("""COMPUTED_VALUE"""),44662.65694444444)</f>
        <v>44662.65694</v>
      </c>
      <c r="D2463" s="13">
        <f t="shared" si="1"/>
        <v>11</v>
      </c>
      <c r="E2463" s="13">
        <f t="shared" si="2"/>
        <v>15</v>
      </c>
    </row>
    <row r="2464">
      <c r="A2464" s="4" t="s">
        <v>2829</v>
      </c>
      <c r="B2464" s="4" t="s">
        <v>2722</v>
      </c>
      <c r="C2464" s="12">
        <f>IFERROR(__xludf.DUMMYFUNCTION("""COMPUTED_VALUE"""),44662.65685185185)</f>
        <v>44662.65685</v>
      </c>
      <c r="D2464" s="13">
        <f t="shared" si="1"/>
        <v>11</v>
      </c>
      <c r="E2464" s="13">
        <f t="shared" si="2"/>
        <v>15</v>
      </c>
    </row>
    <row r="2465">
      <c r="A2465" s="4" t="s">
        <v>2830</v>
      </c>
      <c r="B2465" s="4" t="s">
        <v>1235</v>
      </c>
      <c r="C2465" s="12">
        <f>IFERROR(__xludf.DUMMYFUNCTION("""COMPUTED_VALUE"""),44662.656759259255)</f>
        <v>44662.65676</v>
      </c>
      <c r="D2465" s="13">
        <f t="shared" si="1"/>
        <v>11</v>
      </c>
      <c r="E2465" s="13">
        <f t="shared" si="2"/>
        <v>15</v>
      </c>
    </row>
    <row r="2466">
      <c r="A2466" s="4" t="s">
        <v>2831</v>
      </c>
      <c r="B2466" s="4" t="s">
        <v>2750</v>
      </c>
      <c r="C2466" s="12">
        <f>IFERROR(__xludf.DUMMYFUNCTION("""COMPUTED_VALUE"""),44662.65653935185)</f>
        <v>44662.65654</v>
      </c>
      <c r="D2466" s="13">
        <f t="shared" si="1"/>
        <v>11</v>
      </c>
      <c r="E2466" s="13">
        <f t="shared" si="2"/>
        <v>15</v>
      </c>
    </row>
    <row r="2467">
      <c r="A2467" s="4" t="s">
        <v>2832</v>
      </c>
      <c r="B2467" s="16"/>
      <c r="C2467" s="12">
        <f>IFERROR(__xludf.DUMMYFUNCTION("""COMPUTED_VALUE"""),44662.65597222222)</f>
        <v>44662.65597</v>
      </c>
      <c r="D2467" s="13">
        <f t="shared" si="1"/>
        <v>11</v>
      </c>
      <c r="E2467" s="13">
        <f t="shared" si="2"/>
        <v>15</v>
      </c>
    </row>
    <row r="2468">
      <c r="A2468" s="4" t="s">
        <v>2833</v>
      </c>
      <c r="B2468" s="4" t="s">
        <v>1269</v>
      </c>
      <c r="C2468" s="12">
        <f>IFERROR(__xludf.DUMMYFUNCTION("""COMPUTED_VALUE"""),44662.65590277778)</f>
        <v>44662.6559</v>
      </c>
      <c r="D2468" s="13">
        <f t="shared" si="1"/>
        <v>11</v>
      </c>
      <c r="E2468" s="13">
        <f t="shared" si="2"/>
        <v>15</v>
      </c>
    </row>
    <row r="2469">
      <c r="A2469" s="4" t="s">
        <v>2834</v>
      </c>
      <c r="B2469" s="16"/>
      <c r="C2469" s="12">
        <f>IFERROR(__xludf.DUMMYFUNCTION("""COMPUTED_VALUE"""),44662.65585648148)</f>
        <v>44662.65586</v>
      </c>
      <c r="D2469" s="13">
        <f t="shared" si="1"/>
        <v>11</v>
      </c>
      <c r="E2469" s="13">
        <f t="shared" si="2"/>
        <v>15</v>
      </c>
    </row>
    <row r="2470">
      <c r="A2470" s="4" t="s">
        <v>2835</v>
      </c>
      <c r="B2470" s="16"/>
      <c r="C2470" s="12">
        <f>IFERROR(__xludf.DUMMYFUNCTION("""COMPUTED_VALUE"""),44662.65584490741)</f>
        <v>44662.65584</v>
      </c>
      <c r="D2470" s="13">
        <f t="shared" si="1"/>
        <v>11</v>
      </c>
      <c r="E2470" s="13">
        <f t="shared" si="2"/>
        <v>15</v>
      </c>
    </row>
    <row r="2471">
      <c r="A2471" s="4" t="s">
        <v>2836</v>
      </c>
      <c r="B2471" s="4" t="s">
        <v>2433</v>
      </c>
      <c r="C2471" s="12">
        <f>IFERROR(__xludf.DUMMYFUNCTION("""COMPUTED_VALUE"""),44662.65583333333)</f>
        <v>44662.65583</v>
      </c>
      <c r="D2471" s="13">
        <f t="shared" si="1"/>
        <v>11</v>
      </c>
      <c r="E2471" s="13">
        <f t="shared" si="2"/>
        <v>15</v>
      </c>
    </row>
    <row r="2472">
      <c r="A2472" s="4" t="s">
        <v>2837</v>
      </c>
      <c r="B2472" s="16"/>
      <c r="C2472" s="12">
        <f>IFERROR(__xludf.DUMMYFUNCTION("""COMPUTED_VALUE"""),44662.655648148146)</f>
        <v>44662.65565</v>
      </c>
      <c r="D2472" s="13">
        <f t="shared" si="1"/>
        <v>11</v>
      </c>
      <c r="E2472" s="13">
        <f t="shared" si="2"/>
        <v>15</v>
      </c>
    </row>
    <row r="2473">
      <c r="A2473" s="4" t="s">
        <v>2838</v>
      </c>
      <c r="B2473" s="4" t="s">
        <v>2839</v>
      </c>
      <c r="C2473" s="12">
        <f>IFERROR(__xludf.DUMMYFUNCTION("""COMPUTED_VALUE"""),44662.65524305555)</f>
        <v>44662.65524</v>
      </c>
      <c r="D2473" s="13">
        <f t="shared" si="1"/>
        <v>11</v>
      </c>
      <c r="E2473" s="13">
        <f t="shared" si="2"/>
        <v>15</v>
      </c>
    </row>
    <row r="2474">
      <c r="A2474" s="4" t="s">
        <v>2840</v>
      </c>
      <c r="B2474" s="4" t="s">
        <v>2841</v>
      </c>
      <c r="C2474" s="12">
        <f>IFERROR(__xludf.DUMMYFUNCTION("""COMPUTED_VALUE"""),44662.65395833333)</f>
        <v>44662.65396</v>
      </c>
      <c r="D2474" s="13">
        <f t="shared" si="1"/>
        <v>11</v>
      </c>
      <c r="E2474" s="13">
        <f t="shared" si="2"/>
        <v>15</v>
      </c>
    </row>
    <row r="2475">
      <c r="A2475" s="4" t="s">
        <v>2842</v>
      </c>
      <c r="B2475" s="16"/>
      <c r="C2475" s="12">
        <f>IFERROR(__xludf.DUMMYFUNCTION("""COMPUTED_VALUE"""),44662.65353009259)</f>
        <v>44662.65353</v>
      </c>
      <c r="D2475" s="13">
        <f t="shared" si="1"/>
        <v>11</v>
      </c>
      <c r="E2475" s="13">
        <f t="shared" si="2"/>
        <v>15</v>
      </c>
    </row>
    <row r="2476">
      <c r="A2476" s="4" t="s">
        <v>2843</v>
      </c>
      <c r="B2476" s="16"/>
      <c r="C2476" s="12">
        <f>IFERROR(__xludf.DUMMYFUNCTION("""COMPUTED_VALUE"""),44662.65347222222)</f>
        <v>44662.65347</v>
      </c>
      <c r="D2476" s="13">
        <f t="shared" si="1"/>
        <v>11</v>
      </c>
      <c r="E2476" s="13">
        <f t="shared" si="2"/>
        <v>15</v>
      </c>
    </row>
    <row r="2477">
      <c r="A2477" s="4" t="s">
        <v>2843</v>
      </c>
      <c r="B2477" s="4" t="s">
        <v>2844</v>
      </c>
      <c r="C2477" s="12">
        <f>IFERROR(__xludf.DUMMYFUNCTION("""COMPUTED_VALUE"""),44662.65347222222)</f>
        <v>44662.65347</v>
      </c>
      <c r="D2477" s="13">
        <f t="shared" si="1"/>
        <v>11</v>
      </c>
      <c r="E2477" s="13">
        <f t="shared" si="2"/>
        <v>15</v>
      </c>
    </row>
    <row r="2478">
      <c r="A2478" s="4" t="s">
        <v>2845</v>
      </c>
      <c r="B2478" s="16"/>
      <c r="C2478" s="12">
        <f>IFERROR(__xludf.DUMMYFUNCTION("""COMPUTED_VALUE"""),44662.653391203705)</f>
        <v>44662.65339</v>
      </c>
      <c r="D2478" s="13">
        <f t="shared" si="1"/>
        <v>11</v>
      </c>
      <c r="E2478" s="13">
        <f t="shared" si="2"/>
        <v>15</v>
      </c>
    </row>
    <row r="2479">
      <c r="A2479" s="4" t="s">
        <v>2846</v>
      </c>
      <c r="B2479" s="16"/>
      <c r="C2479" s="12">
        <f>IFERROR(__xludf.DUMMYFUNCTION("""COMPUTED_VALUE"""),44662.653298611105)</f>
        <v>44662.6533</v>
      </c>
      <c r="D2479" s="13">
        <f t="shared" si="1"/>
        <v>11</v>
      </c>
      <c r="E2479" s="13">
        <f t="shared" si="2"/>
        <v>15</v>
      </c>
    </row>
    <row r="2480">
      <c r="A2480" s="4" t="s">
        <v>2847</v>
      </c>
      <c r="B2480" s="4" t="s">
        <v>806</v>
      </c>
      <c r="C2480" s="12">
        <f>IFERROR(__xludf.DUMMYFUNCTION("""COMPUTED_VALUE"""),44662.653229166666)</f>
        <v>44662.65323</v>
      </c>
      <c r="D2480" s="13">
        <f t="shared" si="1"/>
        <v>11</v>
      </c>
      <c r="E2480" s="13">
        <f t="shared" si="2"/>
        <v>15</v>
      </c>
    </row>
    <row r="2481">
      <c r="A2481" s="4" t="s">
        <v>2848</v>
      </c>
      <c r="B2481" s="16"/>
      <c r="C2481" s="12">
        <f>IFERROR(__xludf.DUMMYFUNCTION("""COMPUTED_VALUE"""),44662.65310185185)</f>
        <v>44662.6531</v>
      </c>
      <c r="D2481" s="13">
        <f t="shared" si="1"/>
        <v>11</v>
      </c>
      <c r="E2481" s="13">
        <f t="shared" si="2"/>
        <v>15</v>
      </c>
    </row>
    <row r="2482">
      <c r="A2482" s="4" t="s">
        <v>2849</v>
      </c>
      <c r="B2482" s="4" t="s">
        <v>806</v>
      </c>
      <c r="C2482" s="12">
        <f>IFERROR(__xludf.DUMMYFUNCTION("""COMPUTED_VALUE"""),44662.653078703705)</f>
        <v>44662.65308</v>
      </c>
      <c r="D2482" s="13">
        <f t="shared" si="1"/>
        <v>11</v>
      </c>
      <c r="E2482" s="13">
        <f t="shared" si="2"/>
        <v>15</v>
      </c>
    </row>
    <row r="2483">
      <c r="A2483" s="4" t="s">
        <v>2850</v>
      </c>
      <c r="B2483" s="4" t="s">
        <v>806</v>
      </c>
      <c r="C2483" s="12">
        <f>IFERROR(__xludf.DUMMYFUNCTION("""COMPUTED_VALUE"""),44662.65300925926)</f>
        <v>44662.65301</v>
      </c>
      <c r="D2483" s="13">
        <f t="shared" si="1"/>
        <v>11</v>
      </c>
      <c r="E2483" s="13">
        <f t="shared" si="2"/>
        <v>15</v>
      </c>
    </row>
    <row r="2484">
      <c r="A2484" s="4" t="s">
        <v>2851</v>
      </c>
      <c r="B2484" s="4" t="s">
        <v>806</v>
      </c>
      <c r="C2484" s="12">
        <f>IFERROR(__xludf.DUMMYFUNCTION("""COMPUTED_VALUE"""),44662.65298611111)</f>
        <v>44662.65299</v>
      </c>
      <c r="D2484" s="13">
        <f t="shared" si="1"/>
        <v>11</v>
      </c>
      <c r="E2484" s="13">
        <f t="shared" si="2"/>
        <v>15</v>
      </c>
    </row>
    <row r="2485">
      <c r="A2485" s="4" t="s">
        <v>2852</v>
      </c>
      <c r="B2485" s="4" t="s">
        <v>2853</v>
      </c>
      <c r="C2485" s="12">
        <f>IFERROR(__xludf.DUMMYFUNCTION("""COMPUTED_VALUE"""),44662.652974537035)</f>
        <v>44662.65297</v>
      </c>
      <c r="D2485" s="13">
        <f t="shared" si="1"/>
        <v>11</v>
      </c>
      <c r="E2485" s="13">
        <f t="shared" si="2"/>
        <v>15</v>
      </c>
    </row>
    <row r="2486">
      <c r="A2486" s="4" t="s">
        <v>2854</v>
      </c>
      <c r="B2486" s="4" t="s">
        <v>806</v>
      </c>
      <c r="C2486" s="12">
        <f>IFERROR(__xludf.DUMMYFUNCTION("""COMPUTED_VALUE"""),44662.65293981481)</f>
        <v>44662.65294</v>
      </c>
      <c r="D2486" s="13">
        <f t="shared" si="1"/>
        <v>11</v>
      </c>
      <c r="E2486" s="13">
        <f t="shared" si="2"/>
        <v>15</v>
      </c>
    </row>
    <row r="2487">
      <c r="A2487" s="4" t="s">
        <v>2855</v>
      </c>
      <c r="B2487" s="4" t="s">
        <v>806</v>
      </c>
      <c r="C2487" s="12">
        <f>IFERROR(__xludf.DUMMYFUNCTION("""COMPUTED_VALUE"""),44662.652870370366)</f>
        <v>44662.65287</v>
      </c>
      <c r="D2487" s="13">
        <f t="shared" si="1"/>
        <v>11</v>
      </c>
      <c r="E2487" s="13">
        <f t="shared" si="2"/>
        <v>15</v>
      </c>
    </row>
    <row r="2488">
      <c r="A2488" s="4" t="s">
        <v>2856</v>
      </c>
      <c r="B2488" s="16"/>
      <c r="C2488" s="12">
        <f>IFERROR(__xludf.DUMMYFUNCTION("""COMPUTED_VALUE"""),44662.65282407407)</f>
        <v>44662.65282</v>
      </c>
      <c r="D2488" s="13">
        <f t="shared" si="1"/>
        <v>11</v>
      </c>
      <c r="E2488" s="13">
        <f t="shared" si="2"/>
        <v>15</v>
      </c>
    </row>
    <row r="2489">
      <c r="A2489" s="4" t="s">
        <v>2857</v>
      </c>
      <c r="B2489" s="16"/>
      <c r="C2489" s="12">
        <f>IFERROR(__xludf.DUMMYFUNCTION("""COMPUTED_VALUE"""),44662.65280092592)</f>
        <v>44662.6528</v>
      </c>
      <c r="D2489" s="13">
        <f t="shared" si="1"/>
        <v>11</v>
      </c>
      <c r="E2489" s="13">
        <f t="shared" si="2"/>
        <v>15</v>
      </c>
    </row>
    <row r="2490">
      <c r="A2490" s="4" t="s">
        <v>2858</v>
      </c>
      <c r="B2490" s="4" t="s">
        <v>829</v>
      </c>
      <c r="C2490" s="12">
        <f>IFERROR(__xludf.DUMMYFUNCTION("""COMPUTED_VALUE"""),44662.652766203704)</f>
        <v>44662.65277</v>
      </c>
      <c r="D2490" s="13">
        <f t="shared" si="1"/>
        <v>11</v>
      </c>
      <c r="E2490" s="13">
        <f t="shared" si="2"/>
        <v>15</v>
      </c>
    </row>
    <row r="2491">
      <c r="A2491" s="4" t="s">
        <v>2859</v>
      </c>
      <c r="B2491" s="4" t="s">
        <v>2860</v>
      </c>
      <c r="C2491" s="12">
        <f>IFERROR(__xludf.DUMMYFUNCTION("""COMPUTED_VALUE"""),44662.652719907404)</f>
        <v>44662.65272</v>
      </c>
      <c r="D2491" s="13">
        <f t="shared" si="1"/>
        <v>11</v>
      </c>
      <c r="E2491" s="13">
        <f t="shared" si="2"/>
        <v>15</v>
      </c>
    </row>
    <row r="2492">
      <c r="A2492" s="4" t="s">
        <v>2861</v>
      </c>
      <c r="B2492" s="4" t="s">
        <v>2862</v>
      </c>
      <c r="C2492" s="12">
        <f>IFERROR(__xludf.DUMMYFUNCTION("""COMPUTED_VALUE"""),44662.65244212963)</f>
        <v>44662.65244</v>
      </c>
      <c r="D2492" s="13">
        <f t="shared" si="1"/>
        <v>11</v>
      </c>
      <c r="E2492" s="13">
        <f t="shared" si="2"/>
        <v>15</v>
      </c>
    </row>
    <row r="2493">
      <c r="A2493" s="4" t="s">
        <v>2863</v>
      </c>
      <c r="B2493" s="4" t="s">
        <v>2864</v>
      </c>
      <c r="C2493" s="12">
        <f>IFERROR(__xludf.DUMMYFUNCTION("""COMPUTED_VALUE"""),44662.65188657407)</f>
        <v>44662.65189</v>
      </c>
      <c r="D2493" s="13">
        <f t="shared" si="1"/>
        <v>11</v>
      </c>
      <c r="E2493" s="13">
        <f t="shared" si="2"/>
        <v>15</v>
      </c>
    </row>
    <row r="2494">
      <c r="A2494" s="4" t="s">
        <v>2865</v>
      </c>
      <c r="B2494" s="4" t="s">
        <v>2864</v>
      </c>
      <c r="C2494" s="12">
        <f>IFERROR(__xludf.DUMMYFUNCTION("""COMPUTED_VALUE"""),44662.65181712963)</f>
        <v>44662.65182</v>
      </c>
      <c r="D2494" s="13">
        <f t="shared" si="1"/>
        <v>11</v>
      </c>
      <c r="E2494" s="13">
        <f t="shared" si="2"/>
        <v>15</v>
      </c>
    </row>
    <row r="2495">
      <c r="A2495" s="4" t="s">
        <v>2866</v>
      </c>
      <c r="B2495" s="4" t="s">
        <v>2615</v>
      </c>
      <c r="C2495" s="12">
        <f>IFERROR(__xludf.DUMMYFUNCTION("""COMPUTED_VALUE"""),44662.65171296296)</f>
        <v>44662.65171</v>
      </c>
      <c r="D2495" s="13">
        <f t="shared" si="1"/>
        <v>11</v>
      </c>
      <c r="E2495" s="13">
        <f t="shared" si="2"/>
        <v>15</v>
      </c>
    </row>
    <row r="2496">
      <c r="A2496" s="4" t="s">
        <v>2867</v>
      </c>
      <c r="B2496" s="16"/>
      <c r="C2496" s="12">
        <f>IFERROR(__xludf.DUMMYFUNCTION("""COMPUTED_VALUE"""),44662.651666666665)</f>
        <v>44662.65167</v>
      </c>
      <c r="D2496" s="13">
        <f t="shared" si="1"/>
        <v>11</v>
      </c>
      <c r="E2496" s="13">
        <f t="shared" si="2"/>
        <v>15</v>
      </c>
    </row>
    <row r="2497">
      <c r="A2497" s="4" t="s">
        <v>2867</v>
      </c>
      <c r="B2497" s="16"/>
      <c r="C2497" s="12">
        <f>IFERROR(__xludf.DUMMYFUNCTION("""COMPUTED_VALUE"""),44662.651666666665)</f>
        <v>44662.65167</v>
      </c>
      <c r="D2497" s="13">
        <f t="shared" si="1"/>
        <v>11</v>
      </c>
      <c r="E2497" s="13">
        <f t="shared" si="2"/>
        <v>15</v>
      </c>
    </row>
    <row r="2498">
      <c r="A2498" s="4" t="s">
        <v>2868</v>
      </c>
      <c r="B2498" s="4" t="s">
        <v>2317</v>
      </c>
      <c r="C2498" s="12">
        <f>IFERROR(__xludf.DUMMYFUNCTION("""COMPUTED_VALUE"""),44662.6515162037)</f>
        <v>44662.65152</v>
      </c>
      <c r="D2498" s="13">
        <f t="shared" si="1"/>
        <v>11</v>
      </c>
      <c r="E2498" s="13">
        <f t="shared" si="2"/>
        <v>15</v>
      </c>
    </row>
    <row r="2499">
      <c r="A2499" s="4" t="s">
        <v>2869</v>
      </c>
      <c r="B2499" s="16"/>
      <c r="C2499" s="12">
        <f>IFERROR(__xludf.DUMMYFUNCTION("""COMPUTED_VALUE"""),44662.65043981481)</f>
        <v>44662.65044</v>
      </c>
      <c r="D2499" s="13">
        <f t="shared" si="1"/>
        <v>11</v>
      </c>
      <c r="E2499" s="13">
        <f t="shared" si="2"/>
        <v>15</v>
      </c>
    </row>
    <row r="2500">
      <c r="A2500" s="4" t="s">
        <v>2870</v>
      </c>
      <c r="B2500" s="16"/>
      <c r="C2500" s="12">
        <f>IFERROR(__xludf.DUMMYFUNCTION("""COMPUTED_VALUE"""),44662.650416666664)</f>
        <v>44662.65042</v>
      </c>
      <c r="D2500" s="13">
        <f t="shared" si="1"/>
        <v>11</v>
      </c>
      <c r="E2500" s="13">
        <f t="shared" si="2"/>
        <v>15</v>
      </c>
    </row>
    <row r="2501">
      <c r="A2501" s="4" t="s">
        <v>2871</v>
      </c>
      <c r="B2501" s="16"/>
      <c r="C2501" s="12">
        <f>IFERROR(__xludf.DUMMYFUNCTION("""COMPUTED_VALUE"""),44662.650358796294)</f>
        <v>44662.65036</v>
      </c>
      <c r="D2501" s="13">
        <f t="shared" si="1"/>
        <v>11</v>
      </c>
      <c r="E2501" s="13">
        <f t="shared" si="2"/>
        <v>15</v>
      </c>
    </row>
    <row r="2502">
      <c r="A2502" s="4" t="s">
        <v>2872</v>
      </c>
      <c r="B2502" s="16"/>
      <c r="C2502" s="12">
        <f>IFERROR(__xludf.DUMMYFUNCTION("""COMPUTED_VALUE"""),44662.65033564815)</f>
        <v>44662.65034</v>
      </c>
      <c r="D2502" s="13">
        <f t="shared" si="1"/>
        <v>11</v>
      </c>
      <c r="E2502" s="13">
        <f t="shared" si="2"/>
        <v>15</v>
      </c>
    </row>
    <row r="2503">
      <c r="A2503" s="4" t="s">
        <v>2873</v>
      </c>
      <c r="B2503" s="16"/>
      <c r="C2503" s="12">
        <f>IFERROR(__xludf.DUMMYFUNCTION("""COMPUTED_VALUE"""),44662.65006944444)</f>
        <v>44662.65007</v>
      </c>
      <c r="D2503" s="13">
        <f t="shared" si="1"/>
        <v>11</v>
      </c>
      <c r="E2503" s="13">
        <f t="shared" si="2"/>
        <v>15</v>
      </c>
    </row>
    <row r="2504">
      <c r="A2504" s="4" t="s">
        <v>2874</v>
      </c>
      <c r="B2504" s="16"/>
      <c r="C2504" s="12">
        <f>IFERROR(__xludf.DUMMYFUNCTION("""COMPUTED_VALUE"""),44662.6496875)</f>
        <v>44662.64969</v>
      </c>
      <c r="D2504" s="13">
        <f t="shared" si="1"/>
        <v>11</v>
      </c>
      <c r="E2504" s="13">
        <f t="shared" si="2"/>
        <v>15</v>
      </c>
    </row>
    <row r="2505">
      <c r="A2505" s="4" t="s">
        <v>2875</v>
      </c>
      <c r="B2505" s="16"/>
      <c r="C2505" s="12">
        <f>IFERROR(__xludf.DUMMYFUNCTION("""COMPUTED_VALUE"""),44662.64934027778)</f>
        <v>44662.64934</v>
      </c>
      <c r="D2505" s="13">
        <f t="shared" si="1"/>
        <v>11</v>
      </c>
      <c r="E2505" s="13">
        <f t="shared" si="2"/>
        <v>15</v>
      </c>
    </row>
    <row r="2506">
      <c r="A2506" s="4" t="s">
        <v>2876</v>
      </c>
      <c r="B2506" s="16"/>
      <c r="C2506" s="12">
        <f>IFERROR(__xludf.DUMMYFUNCTION("""COMPUTED_VALUE"""),44662.649305555555)</f>
        <v>44662.64931</v>
      </c>
      <c r="D2506" s="13">
        <f t="shared" si="1"/>
        <v>11</v>
      </c>
      <c r="E2506" s="13">
        <f t="shared" si="2"/>
        <v>15</v>
      </c>
    </row>
    <row r="2507">
      <c r="A2507" s="4" t="s">
        <v>2877</v>
      </c>
      <c r="B2507" s="4" t="s">
        <v>2878</v>
      </c>
      <c r="C2507" s="12">
        <f>IFERROR(__xludf.DUMMYFUNCTION("""COMPUTED_VALUE"""),44662.64928240741)</f>
        <v>44662.64928</v>
      </c>
      <c r="D2507" s="13">
        <f t="shared" si="1"/>
        <v>11</v>
      </c>
      <c r="E2507" s="13">
        <f t="shared" si="2"/>
        <v>15</v>
      </c>
    </row>
    <row r="2508">
      <c r="A2508" s="4" t="s">
        <v>2879</v>
      </c>
      <c r="B2508" s="16"/>
      <c r="C2508" s="12">
        <f>IFERROR(__xludf.DUMMYFUNCTION("""COMPUTED_VALUE"""),44662.64895833333)</f>
        <v>44662.64896</v>
      </c>
      <c r="D2508" s="13">
        <f t="shared" si="1"/>
        <v>11</v>
      </c>
      <c r="E2508" s="13">
        <f t="shared" si="2"/>
        <v>15</v>
      </c>
    </row>
    <row r="2509">
      <c r="A2509" s="4" t="s">
        <v>2880</v>
      </c>
      <c r="B2509" s="16"/>
      <c r="C2509" s="12">
        <f>IFERROR(__xludf.DUMMYFUNCTION("""COMPUTED_VALUE"""),44662.64892361111)</f>
        <v>44662.64892</v>
      </c>
      <c r="D2509" s="13">
        <f t="shared" si="1"/>
        <v>11</v>
      </c>
      <c r="E2509" s="13">
        <f t="shared" si="2"/>
        <v>15</v>
      </c>
    </row>
    <row r="2510">
      <c r="A2510" s="4" t="s">
        <v>2881</v>
      </c>
      <c r="B2510" s="16"/>
      <c r="C2510" s="12">
        <f>IFERROR(__xludf.DUMMYFUNCTION("""COMPUTED_VALUE"""),44662.64890046296)</f>
        <v>44662.6489</v>
      </c>
      <c r="D2510" s="13">
        <f t="shared" si="1"/>
        <v>11</v>
      </c>
      <c r="E2510" s="13">
        <f t="shared" si="2"/>
        <v>15</v>
      </c>
    </row>
    <row r="2511">
      <c r="A2511" s="4" t="s">
        <v>2882</v>
      </c>
      <c r="B2511" s="16"/>
      <c r="C2511" s="12">
        <f>IFERROR(__xludf.DUMMYFUNCTION("""COMPUTED_VALUE"""),44662.64886574074)</f>
        <v>44662.64887</v>
      </c>
      <c r="D2511" s="13">
        <f t="shared" si="1"/>
        <v>11</v>
      </c>
      <c r="E2511" s="13">
        <f t="shared" si="2"/>
        <v>15</v>
      </c>
    </row>
    <row r="2512">
      <c r="A2512" s="4" t="s">
        <v>2883</v>
      </c>
      <c r="B2512" s="4" t="s">
        <v>2562</v>
      </c>
      <c r="C2512" s="12">
        <f>IFERROR(__xludf.DUMMYFUNCTION("""COMPUTED_VALUE"""),44662.64872685185)</f>
        <v>44662.64873</v>
      </c>
      <c r="D2512" s="13">
        <f t="shared" si="1"/>
        <v>11</v>
      </c>
      <c r="E2512" s="13">
        <f t="shared" si="2"/>
        <v>15</v>
      </c>
    </row>
    <row r="2513">
      <c r="A2513" s="4" t="s">
        <v>2884</v>
      </c>
      <c r="B2513" s="4" t="s">
        <v>2885</v>
      </c>
      <c r="C2513" s="12">
        <f>IFERROR(__xludf.DUMMYFUNCTION("""COMPUTED_VALUE"""),44662.648680555554)</f>
        <v>44662.64868</v>
      </c>
      <c r="D2513" s="13">
        <f t="shared" si="1"/>
        <v>11</v>
      </c>
      <c r="E2513" s="13">
        <f t="shared" si="2"/>
        <v>15</v>
      </c>
    </row>
    <row r="2514">
      <c r="A2514" s="4" t="s">
        <v>2886</v>
      </c>
      <c r="B2514" s="16"/>
      <c r="C2514" s="12">
        <f>IFERROR(__xludf.DUMMYFUNCTION("""COMPUTED_VALUE"""),44662.648310185185)</f>
        <v>44662.64831</v>
      </c>
      <c r="D2514" s="13">
        <f t="shared" si="1"/>
        <v>11</v>
      </c>
      <c r="E2514" s="13">
        <f t="shared" si="2"/>
        <v>15</v>
      </c>
    </row>
    <row r="2515">
      <c r="A2515" s="4" t="s">
        <v>2887</v>
      </c>
      <c r="B2515" s="4" t="s">
        <v>2888</v>
      </c>
      <c r="C2515" s="12">
        <f>IFERROR(__xludf.DUMMYFUNCTION("""COMPUTED_VALUE"""),44662.647939814815)</f>
        <v>44662.64794</v>
      </c>
      <c r="D2515" s="13">
        <f t="shared" si="1"/>
        <v>11</v>
      </c>
      <c r="E2515" s="13">
        <f t="shared" si="2"/>
        <v>15</v>
      </c>
    </row>
    <row r="2516">
      <c r="A2516" s="4" t="s">
        <v>2889</v>
      </c>
      <c r="B2516" s="4" t="s">
        <v>2888</v>
      </c>
      <c r="C2516" s="12">
        <f>IFERROR(__xludf.DUMMYFUNCTION("""COMPUTED_VALUE"""),44662.64790509259)</f>
        <v>44662.64791</v>
      </c>
      <c r="D2516" s="13">
        <f t="shared" si="1"/>
        <v>11</v>
      </c>
      <c r="E2516" s="13">
        <f t="shared" si="2"/>
        <v>15</v>
      </c>
    </row>
    <row r="2517">
      <c r="A2517" s="4" t="s">
        <v>2890</v>
      </c>
      <c r="B2517" s="4" t="s">
        <v>2888</v>
      </c>
      <c r="C2517" s="12">
        <f>IFERROR(__xludf.DUMMYFUNCTION("""COMPUTED_VALUE"""),44662.64787037037)</f>
        <v>44662.64787</v>
      </c>
      <c r="D2517" s="13">
        <f t="shared" si="1"/>
        <v>11</v>
      </c>
      <c r="E2517" s="13">
        <f t="shared" si="2"/>
        <v>15</v>
      </c>
    </row>
    <row r="2518">
      <c r="A2518" s="4" t="s">
        <v>2891</v>
      </c>
      <c r="B2518" s="4" t="s">
        <v>2888</v>
      </c>
      <c r="C2518" s="12">
        <f>IFERROR(__xludf.DUMMYFUNCTION("""COMPUTED_VALUE"""),44662.647835648146)</f>
        <v>44662.64784</v>
      </c>
      <c r="D2518" s="13">
        <f t="shared" si="1"/>
        <v>11</v>
      </c>
      <c r="E2518" s="13">
        <f t="shared" si="2"/>
        <v>15</v>
      </c>
    </row>
    <row r="2519">
      <c r="A2519" s="4" t="s">
        <v>2892</v>
      </c>
      <c r="B2519" s="4" t="s">
        <v>2888</v>
      </c>
      <c r="C2519" s="12">
        <f>IFERROR(__xludf.DUMMYFUNCTION("""COMPUTED_VALUE"""),44662.6478125)</f>
        <v>44662.64781</v>
      </c>
      <c r="D2519" s="13">
        <f t="shared" si="1"/>
        <v>11</v>
      </c>
      <c r="E2519" s="13">
        <f t="shared" si="2"/>
        <v>15</v>
      </c>
    </row>
    <row r="2520">
      <c r="A2520" s="4" t="s">
        <v>2893</v>
      </c>
      <c r="B2520" s="4" t="s">
        <v>2888</v>
      </c>
      <c r="C2520" s="12">
        <f>IFERROR(__xludf.DUMMYFUNCTION("""COMPUTED_VALUE"""),44662.647789351846)</f>
        <v>44662.64779</v>
      </c>
      <c r="D2520" s="13">
        <f t="shared" si="1"/>
        <v>11</v>
      </c>
      <c r="E2520" s="13">
        <f t="shared" si="2"/>
        <v>15</v>
      </c>
    </row>
    <row r="2521">
      <c r="A2521" s="4" t="s">
        <v>2894</v>
      </c>
      <c r="B2521" s="4" t="s">
        <v>1892</v>
      </c>
      <c r="C2521" s="12">
        <f>IFERROR(__xludf.DUMMYFUNCTION("""COMPUTED_VALUE"""),44662.64771990741)</f>
        <v>44662.64772</v>
      </c>
      <c r="D2521" s="13">
        <f t="shared" si="1"/>
        <v>11</v>
      </c>
      <c r="E2521" s="13">
        <f t="shared" si="2"/>
        <v>15</v>
      </c>
    </row>
    <row r="2522">
      <c r="A2522" s="4" t="s">
        <v>2894</v>
      </c>
      <c r="B2522" s="4" t="s">
        <v>2888</v>
      </c>
      <c r="C2522" s="12">
        <f>IFERROR(__xludf.DUMMYFUNCTION("""COMPUTED_VALUE"""),44662.64771990741)</f>
        <v>44662.64772</v>
      </c>
      <c r="D2522" s="13">
        <f t="shared" si="1"/>
        <v>11</v>
      </c>
      <c r="E2522" s="13">
        <f t="shared" si="2"/>
        <v>15</v>
      </c>
    </row>
    <row r="2523">
      <c r="A2523" s="4" t="s">
        <v>2895</v>
      </c>
      <c r="B2523" s="4" t="s">
        <v>2627</v>
      </c>
      <c r="C2523" s="12">
        <f>IFERROR(__xludf.DUMMYFUNCTION("""COMPUTED_VALUE"""),44662.64747685185)</f>
        <v>44662.64748</v>
      </c>
      <c r="D2523" s="13">
        <f t="shared" si="1"/>
        <v>11</v>
      </c>
      <c r="E2523" s="13">
        <f t="shared" si="2"/>
        <v>15</v>
      </c>
    </row>
    <row r="2524">
      <c r="A2524" s="4" t="s">
        <v>2896</v>
      </c>
      <c r="B2524" s="16"/>
      <c r="C2524" s="12">
        <f>IFERROR(__xludf.DUMMYFUNCTION("""COMPUTED_VALUE"""),44662.647465277776)</f>
        <v>44662.64747</v>
      </c>
      <c r="D2524" s="13">
        <f t="shared" si="1"/>
        <v>11</v>
      </c>
      <c r="E2524" s="13">
        <f t="shared" si="2"/>
        <v>15</v>
      </c>
    </row>
    <row r="2525">
      <c r="A2525" s="4" t="s">
        <v>2897</v>
      </c>
      <c r="B2525" s="4" t="s">
        <v>2627</v>
      </c>
      <c r="C2525" s="12">
        <f>IFERROR(__xludf.DUMMYFUNCTION("""COMPUTED_VALUE"""),44662.6474537037)</f>
        <v>44662.64745</v>
      </c>
      <c r="D2525" s="13">
        <f t="shared" si="1"/>
        <v>11</v>
      </c>
      <c r="E2525" s="13">
        <f t="shared" si="2"/>
        <v>15</v>
      </c>
    </row>
    <row r="2526">
      <c r="A2526" s="4" t="s">
        <v>2898</v>
      </c>
      <c r="B2526" s="4" t="s">
        <v>2627</v>
      </c>
      <c r="C2526" s="12">
        <f>IFERROR(__xludf.DUMMYFUNCTION("""COMPUTED_VALUE"""),44662.64744212963)</f>
        <v>44662.64744</v>
      </c>
      <c r="D2526" s="13">
        <f t="shared" si="1"/>
        <v>11</v>
      </c>
      <c r="E2526" s="13">
        <f t="shared" si="2"/>
        <v>15</v>
      </c>
    </row>
    <row r="2527">
      <c r="A2527" s="4" t="s">
        <v>2899</v>
      </c>
      <c r="B2527" s="16"/>
      <c r="C2527" s="12">
        <f>IFERROR(__xludf.DUMMYFUNCTION("""COMPUTED_VALUE"""),44662.647418981476)</f>
        <v>44662.64742</v>
      </c>
      <c r="D2527" s="13">
        <f t="shared" si="1"/>
        <v>11</v>
      </c>
      <c r="E2527" s="13">
        <f t="shared" si="2"/>
        <v>15</v>
      </c>
    </row>
    <row r="2528">
      <c r="A2528" s="4" t="s">
        <v>2900</v>
      </c>
      <c r="B2528" s="16"/>
      <c r="C2528" s="12">
        <f>IFERROR(__xludf.DUMMYFUNCTION("""COMPUTED_VALUE"""),44662.64740740741)</f>
        <v>44662.64741</v>
      </c>
      <c r="D2528" s="13">
        <f t="shared" si="1"/>
        <v>11</v>
      </c>
      <c r="E2528" s="13">
        <f t="shared" si="2"/>
        <v>15</v>
      </c>
    </row>
    <row r="2529">
      <c r="A2529" s="4" t="s">
        <v>2901</v>
      </c>
      <c r="B2529" s="16"/>
      <c r="C2529" s="12">
        <f>IFERROR(__xludf.DUMMYFUNCTION("""COMPUTED_VALUE"""),44662.64739583333)</f>
        <v>44662.6474</v>
      </c>
      <c r="D2529" s="13">
        <f t="shared" si="1"/>
        <v>11</v>
      </c>
      <c r="E2529" s="13">
        <f t="shared" si="2"/>
        <v>15</v>
      </c>
    </row>
    <row r="2530">
      <c r="A2530" s="4" t="s">
        <v>2902</v>
      </c>
      <c r="B2530" s="16"/>
      <c r="C2530" s="12">
        <f>IFERROR(__xludf.DUMMYFUNCTION("""COMPUTED_VALUE"""),44662.647372685184)</f>
        <v>44662.64737</v>
      </c>
      <c r="D2530" s="13">
        <f t="shared" si="1"/>
        <v>11</v>
      </c>
      <c r="E2530" s="13">
        <f t="shared" si="2"/>
        <v>15</v>
      </c>
    </row>
    <row r="2531">
      <c r="A2531" s="4" t="s">
        <v>2903</v>
      </c>
      <c r="B2531" s="16"/>
      <c r="C2531" s="12">
        <f>IFERROR(__xludf.DUMMYFUNCTION("""COMPUTED_VALUE"""),44662.647314814814)</f>
        <v>44662.64731</v>
      </c>
      <c r="D2531" s="13">
        <f t="shared" si="1"/>
        <v>11</v>
      </c>
      <c r="E2531" s="13">
        <f t="shared" si="2"/>
        <v>15</v>
      </c>
    </row>
    <row r="2532">
      <c r="A2532" s="4" t="s">
        <v>2904</v>
      </c>
      <c r="B2532" s="16"/>
      <c r="C2532" s="12">
        <f>IFERROR(__xludf.DUMMYFUNCTION("""COMPUTED_VALUE"""),44662.64729166666)</f>
        <v>44662.64729</v>
      </c>
      <c r="D2532" s="13">
        <f t="shared" si="1"/>
        <v>11</v>
      </c>
      <c r="E2532" s="13">
        <f t="shared" si="2"/>
        <v>15</v>
      </c>
    </row>
    <row r="2533">
      <c r="A2533" s="4" t="s">
        <v>2904</v>
      </c>
      <c r="B2533" s="4" t="s">
        <v>2905</v>
      </c>
      <c r="C2533" s="12">
        <f>IFERROR(__xludf.DUMMYFUNCTION("""COMPUTED_VALUE"""),44662.64729166666)</f>
        <v>44662.64729</v>
      </c>
      <c r="D2533" s="13">
        <f t="shared" si="1"/>
        <v>11</v>
      </c>
      <c r="E2533" s="13">
        <f t="shared" si="2"/>
        <v>15</v>
      </c>
    </row>
    <row r="2534">
      <c r="A2534" s="4" t="s">
        <v>2906</v>
      </c>
      <c r="B2534" s="4" t="s">
        <v>2907</v>
      </c>
      <c r="C2534" s="12">
        <f>IFERROR(__xludf.DUMMYFUNCTION("""COMPUTED_VALUE"""),44662.64686342592)</f>
        <v>44662.64686</v>
      </c>
      <c r="D2534" s="13">
        <f t="shared" si="1"/>
        <v>11</v>
      </c>
      <c r="E2534" s="13">
        <f t="shared" si="2"/>
        <v>15</v>
      </c>
    </row>
    <row r="2535">
      <c r="A2535" s="4" t="s">
        <v>2908</v>
      </c>
      <c r="B2535" s="16"/>
      <c r="C2535" s="12">
        <f>IFERROR(__xludf.DUMMYFUNCTION("""COMPUTED_VALUE"""),44662.64665509259)</f>
        <v>44662.64666</v>
      </c>
      <c r="D2535" s="13">
        <f t="shared" si="1"/>
        <v>11</v>
      </c>
      <c r="E2535" s="13">
        <f t="shared" si="2"/>
        <v>15</v>
      </c>
    </row>
    <row r="2536">
      <c r="A2536" s="4" t="s">
        <v>2909</v>
      </c>
      <c r="B2536" s="4" t="s">
        <v>2910</v>
      </c>
      <c r="C2536" s="12">
        <f>IFERROR(__xludf.DUMMYFUNCTION("""COMPUTED_VALUE"""),44662.64662037037)</f>
        <v>44662.64662</v>
      </c>
      <c r="D2536" s="13">
        <f t="shared" si="1"/>
        <v>11</v>
      </c>
      <c r="E2536" s="13">
        <f t="shared" si="2"/>
        <v>15</v>
      </c>
    </row>
    <row r="2537">
      <c r="A2537" s="4" t="s">
        <v>2911</v>
      </c>
      <c r="B2537" s="4" t="s">
        <v>2912</v>
      </c>
      <c r="C2537" s="12">
        <f>IFERROR(__xludf.DUMMYFUNCTION("""COMPUTED_VALUE"""),44662.64655092592)</f>
        <v>44662.64655</v>
      </c>
      <c r="D2537" s="13">
        <f t="shared" si="1"/>
        <v>11</v>
      </c>
      <c r="E2537" s="13">
        <f t="shared" si="2"/>
        <v>15</v>
      </c>
    </row>
    <row r="2538">
      <c r="A2538" s="4" t="s">
        <v>2913</v>
      </c>
      <c r="B2538" s="4" t="s">
        <v>1892</v>
      </c>
      <c r="C2538" s="12">
        <f>IFERROR(__xludf.DUMMYFUNCTION("""COMPUTED_VALUE"""),44662.64650462963)</f>
        <v>44662.6465</v>
      </c>
      <c r="D2538" s="13">
        <f t="shared" si="1"/>
        <v>11</v>
      </c>
      <c r="E2538" s="13">
        <f t="shared" si="2"/>
        <v>15</v>
      </c>
    </row>
    <row r="2539">
      <c r="A2539" s="4" t="s">
        <v>2914</v>
      </c>
      <c r="B2539" s="4" t="s">
        <v>2915</v>
      </c>
      <c r="C2539" s="12">
        <f>IFERROR(__xludf.DUMMYFUNCTION("""COMPUTED_VALUE"""),44662.64645833333)</f>
        <v>44662.64646</v>
      </c>
      <c r="D2539" s="13">
        <f t="shared" si="1"/>
        <v>11</v>
      </c>
      <c r="E2539" s="13">
        <f t="shared" si="2"/>
        <v>15</v>
      </c>
    </row>
    <row r="2540">
      <c r="A2540" s="4" t="s">
        <v>2916</v>
      </c>
      <c r="B2540" s="4" t="s">
        <v>2915</v>
      </c>
      <c r="C2540" s="12">
        <f>IFERROR(__xludf.DUMMYFUNCTION("""COMPUTED_VALUE"""),44662.64640046296)</f>
        <v>44662.6464</v>
      </c>
      <c r="D2540" s="13">
        <f t="shared" si="1"/>
        <v>11</v>
      </c>
      <c r="E2540" s="13">
        <f t="shared" si="2"/>
        <v>15</v>
      </c>
    </row>
    <row r="2541">
      <c r="A2541" s="4" t="s">
        <v>2917</v>
      </c>
      <c r="B2541" s="4" t="s">
        <v>2915</v>
      </c>
      <c r="C2541" s="12">
        <f>IFERROR(__xludf.DUMMYFUNCTION("""COMPUTED_VALUE"""),44662.64636574074)</f>
        <v>44662.64637</v>
      </c>
      <c r="D2541" s="13">
        <f t="shared" si="1"/>
        <v>11</v>
      </c>
      <c r="E2541" s="13">
        <f t="shared" si="2"/>
        <v>15</v>
      </c>
    </row>
    <row r="2542">
      <c r="A2542" s="4" t="s">
        <v>2918</v>
      </c>
      <c r="B2542" s="16"/>
      <c r="C2542" s="12">
        <f>IFERROR(__xludf.DUMMYFUNCTION("""COMPUTED_VALUE"""),44662.64451388889)</f>
        <v>44662.64451</v>
      </c>
      <c r="D2542" s="13">
        <f t="shared" si="1"/>
        <v>11</v>
      </c>
      <c r="E2542" s="13">
        <f t="shared" si="2"/>
        <v>15</v>
      </c>
    </row>
    <row r="2543">
      <c r="A2543" s="4" t="s">
        <v>2919</v>
      </c>
      <c r="B2543" s="4" t="s">
        <v>2920</v>
      </c>
      <c r="C2543" s="12">
        <f>IFERROR(__xludf.DUMMYFUNCTION("""COMPUTED_VALUE"""),44662.64392361111)</f>
        <v>44662.64392</v>
      </c>
      <c r="D2543" s="13">
        <f t="shared" si="1"/>
        <v>11</v>
      </c>
      <c r="E2543" s="13">
        <f t="shared" si="2"/>
        <v>15</v>
      </c>
    </row>
    <row r="2544">
      <c r="A2544" s="4" t="s">
        <v>2921</v>
      </c>
      <c r="B2544" s="16"/>
      <c r="C2544" s="12">
        <f>IFERROR(__xludf.DUMMYFUNCTION("""COMPUTED_VALUE"""),44662.643645833334)</f>
        <v>44662.64365</v>
      </c>
      <c r="D2544" s="13">
        <f t="shared" si="1"/>
        <v>11</v>
      </c>
      <c r="E2544" s="13">
        <f t="shared" si="2"/>
        <v>15</v>
      </c>
    </row>
    <row r="2545">
      <c r="A2545" s="4" t="s">
        <v>2922</v>
      </c>
      <c r="B2545" s="16"/>
      <c r="C2545" s="12">
        <f>IFERROR(__xludf.DUMMYFUNCTION("""COMPUTED_VALUE"""),44662.64357638889)</f>
        <v>44662.64358</v>
      </c>
      <c r="D2545" s="13">
        <f t="shared" si="1"/>
        <v>11</v>
      </c>
      <c r="E2545" s="13">
        <f t="shared" si="2"/>
        <v>15</v>
      </c>
    </row>
    <row r="2546">
      <c r="A2546" s="4" t="s">
        <v>2923</v>
      </c>
      <c r="B2546" s="4" t="s">
        <v>2924</v>
      </c>
      <c r="C2546" s="12">
        <f>IFERROR(__xludf.DUMMYFUNCTION("""COMPUTED_VALUE"""),44662.64326388889)</f>
        <v>44662.64326</v>
      </c>
      <c r="D2546" s="13">
        <f t="shared" si="1"/>
        <v>11</v>
      </c>
      <c r="E2546" s="13">
        <f t="shared" si="2"/>
        <v>15</v>
      </c>
    </row>
    <row r="2547">
      <c r="A2547" s="4" t="s">
        <v>2925</v>
      </c>
      <c r="B2547" s="16"/>
      <c r="C2547" s="12">
        <f>IFERROR(__xludf.DUMMYFUNCTION("""COMPUTED_VALUE"""),44662.643113425926)</f>
        <v>44662.64311</v>
      </c>
      <c r="D2547" s="13">
        <f t="shared" si="1"/>
        <v>11</v>
      </c>
      <c r="E2547" s="13">
        <f t="shared" si="2"/>
        <v>15</v>
      </c>
    </row>
    <row r="2548">
      <c r="A2548" s="4" t="s">
        <v>2926</v>
      </c>
      <c r="B2548" s="16"/>
      <c r="C2548" s="12">
        <f>IFERROR(__xludf.DUMMYFUNCTION("""COMPUTED_VALUE"""),44662.64097222222)</f>
        <v>44662.64097</v>
      </c>
      <c r="D2548" s="13">
        <f t="shared" si="1"/>
        <v>11</v>
      </c>
      <c r="E2548" s="13">
        <f t="shared" si="2"/>
        <v>15</v>
      </c>
    </row>
    <row r="2549">
      <c r="A2549" s="4" t="s">
        <v>2927</v>
      </c>
      <c r="B2549" s="4" t="s">
        <v>2928</v>
      </c>
      <c r="C2549" s="12">
        <f>IFERROR(__xludf.DUMMYFUNCTION("""COMPUTED_VALUE"""),44662.64037037037)</f>
        <v>44662.64037</v>
      </c>
      <c r="D2549" s="13">
        <f t="shared" si="1"/>
        <v>11</v>
      </c>
      <c r="E2549" s="13">
        <f t="shared" si="2"/>
        <v>15</v>
      </c>
    </row>
    <row r="2550">
      <c r="A2550" s="4" t="s">
        <v>2929</v>
      </c>
      <c r="B2550" s="16"/>
      <c r="C2550" s="12">
        <f>IFERROR(__xludf.DUMMYFUNCTION("""COMPUTED_VALUE"""),44662.64034722222)</f>
        <v>44662.64035</v>
      </c>
      <c r="D2550" s="13">
        <f t="shared" si="1"/>
        <v>11</v>
      </c>
      <c r="E2550" s="13">
        <f t="shared" si="2"/>
        <v>15</v>
      </c>
    </row>
    <row r="2551">
      <c r="A2551" s="4" t="s">
        <v>2929</v>
      </c>
      <c r="B2551" s="4" t="s">
        <v>1917</v>
      </c>
      <c r="C2551" s="12">
        <f>IFERROR(__xludf.DUMMYFUNCTION("""COMPUTED_VALUE"""),44662.64034722222)</f>
        <v>44662.64035</v>
      </c>
      <c r="D2551" s="13">
        <f t="shared" si="1"/>
        <v>11</v>
      </c>
      <c r="E2551" s="13">
        <f t="shared" si="2"/>
        <v>15</v>
      </c>
    </row>
    <row r="2552">
      <c r="A2552" s="4" t="s">
        <v>2930</v>
      </c>
      <c r="B2552" s="16"/>
      <c r="C2552" s="12">
        <f>IFERROR(__xludf.DUMMYFUNCTION("""COMPUTED_VALUE"""),44662.64030092592)</f>
        <v>44662.6403</v>
      </c>
      <c r="D2552" s="13">
        <f t="shared" si="1"/>
        <v>11</v>
      </c>
      <c r="E2552" s="13">
        <f t="shared" si="2"/>
        <v>15</v>
      </c>
    </row>
    <row r="2553">
      <c r="A2553" s="4" t="s">
        <v>2931</v>
      </c>
      <c r="B2553" s="16"/>
      <c r="C2553" s="12">
        <f>IFERROR(__xludf.DUMMYFUNCTION("""COMPUTED_VALUE"""),44662.63990740741)</f>
        <v>44662.63991</v>
      </c>
      <c r="D2553" s="13">
        <f t="shared" si="1"/>
        <v>11</v>
      </c>
      <c r="E2553" s="13">
        <f t="shared" si="2"/>
        <v>15</v>
      </c>
    </row>
    <row r="2554">
      <c r="A2554" s="4" t="s">
        <v>2932</v>
      </c>
      <c r="B2554" s="4" t="s">
        <v>2317</v>
      </c>
      <c r="C2554" s="12">
        <f>IFERROR(__xludf.DUMMYFUNCTION("""COMPUTED_VALUE"""),44662.63966435185)</f>
        <v>44662.63966</v>
      </c>
      <c r="D2554" s="13">
        <f t="shared" si="1"/>
        <v>11</v>
      </c>
      <c r="E2554" s="13">
        <f t="shared" si="2"/>
        <v>15</v>
      </c>
    </row>
    <row r="2555">
      <c r="A2555" s="4" t="s">
        <v>2933</v>
      </c>
      <c r="B2555" s="4" t="s">
        <v>2934</v>
      </c>
      <c r="C2555" s="12">
        <f>IFERROR(__xludf.DUMMYFUNCTION("""COMPUTED_VALUE"""),44662.639606481476)</f>
        <v>44662.63961</v>
      </c>
      <c r="D2555" s="13">
        <f t="shared" si="1"/>
        <v>11</v>
      </c>
      <c r="E2555" s="13">
        <f t="shared" si="2"/>
        <v>15</v>
      </c>
    </row>
    <row r="2556">
      <c r="A2556" s="4" t="s">
        <v>2935</v>
      </c>
      <c r="B2556" s="4" t="s">
        <v>2936</v>
      </c>
      <c r="C2556" s="12">
        <f>IFERROR(__xludf.DUMMYFUNCTION("""COMPUTED_VALUE"""),44662.639444444445)</f>
        <v>44662.63944</v>
      </c>
      <c r="D2556" s="13">
        <f t="shared" si="1"/>
        <v>11</v>
      </c>
      <c r="E2556" s="13">
        <f t="shared" si="2"/>
        <v>15</v>
      </c>
    </row>
    <row r="2557">
      <c r="A2557" s="4" t="s">
        <v>2937</v>
      </c>
      <c r="B2557" s="16"/>
      <c r="C2557" s="12">
        <f>IFERROR(__xludf.DUMMYFUNCTION("""COMPUTED_VALUE"""),44662.63935185185)</f>
        <v>44662.63935</v>
      </c>
      <c r="D2557" s="13">
        <f t="shared" si="1"/>
        <v>11</v>
      </c>
      <c r="E2557" s="13">
        <f t="shared" si="2"/>
        <v>15</v>
      </c>
    </row>
    <row r="2558">
      <c r="A2558" s="4" t="s">
        <v>2938</v>
      </c>
      <c r="B2558" s="4" t="s">
        <v>1590</v>
      </c>
      <c r="C2558" s="12">
        <f>IFERROR(__xludf.DUMMYFUNCTION("""COMPUTED_VALUE"""),44662.63893518518)</f>
        <v>44662.63894</v>
      </c>
      <c r="D2558" s="13">
        <f t="shared" si="1"/>
        <v>11</v>
      </c>
      <c r="E2558" s="13">
        <f t="shared" si="2"/>
        <v>15</v>
      </c>
    </row>
    <row r="2559">
      <c r="A2559" s="4" t="s">
        <v>2939</v>
      </c>
      <c r="B2559" s="4" t="s">
        <v>1590</v>
      </c>
      <c r="C2559" s="12">
        <f>IFERROR(__xludf.DUMMYFUNCTION("""COMPUTED_VALUE"""),44662.638819444444)</f>
        <v>44662.63882</v>
      </c>
      <c r="D2559" s="13">
        <f t="shared" si="1"/>
        <v>11</v>
      </c>
      <c r="E2559" s="13">
        <f t="shared" si="2"/>
        <v>15</v>
      </c>
    </row>
    <row r="2560">
      <c r="A2560" s="4" t="s">
        <v>2940</v>
      </c>
      <c r="B2560" s="16"/>
      <c r="C2560" s="12">
        <f>IFERROR(__xludf.DUMMYFUNCTION("""COMPUTED_VALUE"""),44662.63872685185)</f>
        <v>44662.63873</v>
      </c>
      <c r="D2560" s="13">
        <f t="shared" si="1"/>
        <v>11</v>
      </c>
      <c r="E2560" s="13">
        <f t="shared" si="2"/>
        <v>15</v>
      </c>
    </row>
    <row r="2561">
      <c r="A2561" s="4" t="s">
        <v>2941</v>
      </c>
      <c r="B2561" s="16"/>
      <c r="C2561" s="12">
        <f>IFERROR(__xludf.DUMMYFUNCTION("""COMPUTED_VALUE"""),44662.63863425926)</f>
        <v>44662.63863</v>
      </c>
      <c r="D2561" s="13">
        <f t="shared" si="1"/>
        <v>11</v>
      </c>
      <c r="E2561" s="13">
        <f t="shared" si="2"/>
        <v>15</v>
      </c>
    </row>
    <row r="2562">
      <c r="A2562" s="4" t="s">
        <v>2942</v>
      </c>
      <c r="B2562" s="4" t="s">
        <v>2943</v>
      </c>
      <c r="C2562" s="12">
        <f>IFERROR(__xludf.DUMMYFUNCTION("""COMPUTED_VALUE"""),44662.63853009259)</f>
        <v>44662.63853</v>
      </c>
      <c r="D2562" s="13">
        <f t="shared" si="1"/>
        <v>11</v>
      </c>
      <c r="E2562" s="13">
        <f t="shared" si="2"/>
        <v>15</v>
      </c>
    </row>
    <row r="2563">
      <c r="A2563" s="4" t="s">
        <v>2944</v>
      </c>
      <c r="B2563" s="4" t="s">
        <v>2945</v>
      </c>
      <c r="C2563" s="12">
        <f>IFERROR(__xludf.DUMMYFUNCTION("""COMPUTED_VALUE"""),44662.638287037036)</f>
        <v>44662.63829</v>
      </c>
      <c r="D2563" s="13">
        <f t="shared" si="1"/>
        <v>11</v>
      </c>
      <c r="E2563" s="13">
        <f t="shared" si="2"/>
        <v>15</v>
      </c>
    </row>
    <row r="2564">
      <c r="A2564" s="4" t="s">
        <v>2946</v>
      </c>
      <c r="B2564" s="16"/>
      <c r="C2564" s="12">
        <f>IFERROR(__xludf.DUMMYFUNCTION("""COMPUTED_VALUE"""),44662.63804398148)</f>
        <v>44662.63804</v>
      </c>
      <c r="D2564" s="13">
        <f t="shared" si="1"/>
        <v>11</v>
      </c>
      <c r="E2564" s="13">
        <f t="shared" si="2"/>
        <v>15</v>
      </c>
    </row>
    <row r="2565">
      <c r="A2565" s="4" t="s">
        <v>2947</v>
      </c>
      <c r="B2565" s="16"/>
      <c r="C2565" s="12">
        <f>IFERROR(__xludf.DUMMYFUNCTION("""COMPUTED_VALUE"""),44662.63802083333)</f>
        <v>44662.63802</v>
      </c>
      <c r="D2565" s="13">
        <f t="shared" si="1"/>
        <v>11</v>
      </c>
      <c r="E2565" s="13">
        <f t="shared" si="2"/>
        <v>15</v>
      </c>
    </row>
    <row r="2566">
      <c r="A2566" s="4" t="s">
        <v>2948</v>
      </c>
      <c r="B2566" s="16"/>
      <c r="C2566" s="12">
        <f>IFERROR(__xludf.DUMMYFUNCTION("""COMPUTED_VALUE"""),44662.63800925926)</f>
        <v>44662.63801</v>
      </c>
      <c r="D2566" s="13">
        <f t="shared" si="1"/>
        <v>11</v>
      </c>
      <c r="E2566" s="13">
        <f t="shared" si="2"/>
        <v>15</v>
      </c>
    </row>
    <row r="2567">
      <c r="A2567" s="4" t="s">
        <v>2949</v>
      </c>
      <c r="B2567" s="16"/>
      <c r="C2567" s="12">
        <f>IFERROR(__xludf.DUMMYFUNCTION("""COMPUTED_VALUE"""),44662.637974537036)</f>
        <v>44662.63797</v>
      </c>
      <c r="D2567" s="13">
        <f t="shared" si="1"/>
        <v>11</v>
      </c>
      <c r="E2567" s="13">
        <f t="shared" si="2"/>
        <v>15</v>
      </c>
    </row>
    <row r="2568">
      <c r="A2568" s="4" t="s">
        <v>2950</v>
      </c>
      <c r="B2568" s="16"/>
      <c r="C2568" s="12">
        <f>IFERROR(__xludf.DUMMYFUNCTION("""COMPUTED_VALUE"""),44662.63795138889)</f>
        <v>44662.63795</v>
      </c>
      <c r="D2568" s="13">
        <f t="shared" si="1"/>
        <v>11</v>
      </c>
      <c r="E2568" s="13">
        <f t="shared" si="2"/>
        <v>15</v>
      </c>
    </row>
    <row r="2569">
      <c r="A2569" s="4" t="s">
        <v>2950</v>
      </c>
      <c r="B2569" s="4" t="s">
        <v>2951</v>
      </c>
      <c r="C2569" s="12">
        <f>IFERROR(__xludf.DUMMYFUNCTION("""COMPUTED_VALUE"""),44662.63795138889)</f>
        <v>44662.63795</v>
      </c>
      <c r="D2569" s="13">
        <f t="shared" si="1"/>
        <v>11</v>
      </c>
      <c r="E2569" s="13">
        <f t="shared" si="2"/>
        <v>15</v>
      </c>
    </row>
    <row r="2570">
      <c r="A2570" s="4" t="s">
        <v>2952</v>
      </c>
      <c r="B2570" s="4" t="s">
        <v>2317</v>
      </c>
      <c r="C2570" s="12">
        <f>IFERROR(__xludf.DUMMYFUNCTION("""COMPUTED_VALUE"""),44662.63787037037)</f>
        <v>44662.63787</v>
      </c>
      <c r="D2570" s="13">
        <f t="shared" si="1"/>
        <v>11</v>
      </c>
      <c r="E2570" s="13">
        <f t="shared" si="2"/>
        <v>15</v>
      </c>
    </row>
    <row r="2571">
      <c r="A2571" s="4" t="s">
        <v>2953</v>
      </c>
      <c r="B2571" s="16"/>
      <c r="C2571" s="12">
        <f>IFERROR(__xludf.DUMMYFUNCTION("""COMPUTED_VALUE"""),44662.637615740736)</f>
        <v>44662.63762</v>
      </c>
      <c r="D2571" s="13">
        <f t="shared" si="1"/>
        <v>11</v>
      </c>
      <c r="E2571" s="13">
        <f t="shared" si="2"/>
        <v>15</v>
      </c>
    </row>
    <row r="2572">
      <c r="A2572" s="4" t="s">
        <v>2954</v>
      </c>
      <c r="B2572" s="16"/>
      <c r="C2572" s="12">
        <f>IFERROR(__xludf.DUMMYFUNCTION("""COMPUTED_VALUE"""),44662.63756944444)</f>
        <v>44662.63757</v>
      </c>
      <c r="D2572" s="13">
        <f t="shared" si="1"/>
        <v>11</v>
      </c>
      <c r="E2572" s="13">
        <f t="shared" si="2"/>
        <v>15</v>
      </c>
    </row>
    <row r="2573">
      <c r="A2573" s="4" t="s">
        <v>2954</v>
      </c>
      <c r="B2573" s="4" t="s">
        <v>2951</v>
      </c>
      <c r="C2573" s="12">
        <f>IFERROR(__xludf.DUMMYFUNCTION("""COMPUTED_VALUE"""),44662.63756944444)</f>
        <v>44662.63757</v>
      </c>
      <c r="D2573" s="13">
        <f t="shared" si="1"/>
        <v>11</v>
      </c>
      <c r="E2573" s="13">
        <f t="shared" si="2"/>
        <v>15</v>
      </c>
    </row>
    <row r="2574">
      <c r="A2574" s="4" t="s">
        <v>2955</v>
      </c>
      <c r="B2574" s="16"/>
      <c r="C2574" s="12">
        <f>IFERROR(__xludf.DUMMYFUNCTION("""COMPUTED_VALUE"""),44662.63755787037)</f>
        <v>44662.63756</v>
      </c>
      <c r="D2574" s="13">
        <f t="shared" si="1"/>
        <v>11</v>
      </c>
      <c r="E2574" s="13">
        <f t="shared" si="2"/>
        <v>15</v>
      </c>
    </row>
    <row r="2575">
      <c r="A2575" s="4" t="s">
        <v>2956</v>
      </c>
      <c r="B2575" s="4" t="s">
        <v>2957</v>
      </c>
      <c r="C2575" s="12">
        <f>IFERROR(__xludf.DUMMYFUNCTION("""COMPUTED_VALUE"""),44662.6375)</f>
        <v>44662.6375</v>
      </c>
      <c r="D2575" s="13">
        <f t="shared" si="1"/>
        <v>11</v>
      </c>
      <c r="E2575" s="13">
        <f t="shared" si="2"/>
        <v>15</v>
      </c>
    </row>
    <row r="2576">
      <c r="A2576" s="4" t="s">
        <v>2958</v>
      </c>
      <c r="B2576" s="16"/>
      <c r="C2576" s="12">
        <f>IFERROR(__xludf.DUMMYFUNCTION("""COMPUTED_VALUE"""),44662.63733796296)</f>
        <v>44662.63734</v>
      </c>
      <c r="D2576" s="13">
        <f t="shared" si="1"/>
        <v>11</v>
      </c>
      <c r="E2576" s="13">
        <f t="shared" si="2"/>
        <v>15</v>
      </c>
    </row>
    <row r="2577">
      <c r="A2577" s="4" t="s">
        <v>2959</v>
      </c>
      <c r="B2577" s="16"/>
      <c r="C2577" s="12">
        <f>IFERROR(__xludf.DUMMYFUNCTION("""COMPUTED_VALUE"""),44662.63731481481)</f>
        <v>44662.63731</v>
      </c>
      <c r="D2577" s="13">
        <f t="shared" si="1"/>
        <v>11</v>
      </c>
      <c r="E2577" s="13">
        <f t="shared" si="2"/>
        <v>15</v>
      </c>
    </row>
    <row r="2578">
      <c r="A2578" s="4" t="s">
        <v>2960</v>
      </c>
      <c r="B2578" s="16"/>
      <c r="C2578" s="12">
        <f>IFERROR(__xludf.DUMMYFUNCTION("""COMPUTED_VALUE"""),44662.637303240735)</f>
        <v>44662.6373</v>
      </c>
      <c r="D2578" s="13">
        <f t="shared" si="1"/>
        <v>11</v>
      </c>
      <c r="E2578" s="13">
        <f t="shared" si="2"/>
        <v>15</v>
      </c>
    </row>
    <row r="2579">
      <c r="A2579" s="4" t="s">
        <v>2961</v>
      </c>
      <c r="B2579" s="4" t="s">
        <v>1269</v>
      </c>
      <c r="C2579" s="12">
        <f>IFERROR(__xludf.DUMMYFUNCTION("""COMPUTED_VALUE"""),44662.63728009259)</f>
        <v>44662.63728</v>
      </c>
      <c r="D2579" s="13">
        <f t="shared" si="1"/>
        <v>11</v>
      </c>
      <c r="E2579" s="13">
        <f t="shared" si="2"/>
        <v>15</v>
      </c>
    </row>
    <row r="2580">
      <c r="A2580" s="4" t="s">
        <v>2962</v>
      </c>
      <c r="B2580" s="4" t="s">
        <v>2963</v>
      </c>
      <c r="C2580" s="12">
        <f>IFERROR(__xludf.DUMMYFUNCTION("""COMPUTED_VALUE"""),44662.637152777774)</f>
        <v>44662.63715</v>
      </c>
      <c r="D2580" s="13">
        <f t="shared" si="1"/>
        <v>11</v>
      </c>
      <c r="E2580" s="13">
        <f t="shared" si="2"/>
        <v>15</v>
      </c>
    </row>
    <row r="2581">
      <c r="A2581" s="4" t="s">
        <v>2964</v>
      </c>
      <c r="B2581" s="4" t="s">
        <v>2965</v>
      </c>
      <c r="C2581" s="12">
        <f>IFERROR(__xludf.DUMMYFUNCTION("""COMPUTED_VALUE"""),44662.63712962963)</f>
        <v>44662.63713</v>
      </c>
      <c r="D2581" s="13">
        <f t="shared" si="1"/>
        <v>11</v>
      </c>
      <c r="E2581" s="13">
        <f t="shared" si="2"/>
        <v>15</v>
      </c>
    </row>
    <row r="2582">
      <c r="A2582" s="4" t="s">
        <v>2964</v>
      </c>
      <c r="B2582" s="4" t="s">
        <v>2951</v>
      </c>
      <c r="C2582" s="12">
        <f>IFERROR(__xludf.DUMMYFUNCTION("""COMPUTED_VALUE"""),44662.63712962963)</f>
        <v>44662.63713</v>
      </c>
      <c r="D2582" s="13">
        <f t="shared" si="1"/>
        <v>11</v>
      </c>
      <c r="E2582" s="13">
        <f t="shared" si="2"/>
        <v>15</v>
      </c>
    </row>
    <row r="2583">
      <c r="A2583" s="4" t="s">
        <v>2966</v>
      </c>
      <c r="B2583" s="16"/>
      <c r="C2583" s="12">
        <f>IFERROR(__xludf.DUMMYFUNCTION("""COMPUTED_VALUE"""),44662.63711805555)</f>
        <v>44662.63712</v>
      </c>
      <c r="D2583" s="13">
        <f t="shared" si="1"/>
        <v>11</v>
      </c>
      <c r="E2583" s="13">
        <f t="shared" si="2"/>
        <v>15</v>
      </c>
    </row>
    <row r="2584">
      <c r="A2584" s="4" t="s">
        <v>2967</v>
      </c>
      <c r="B2584" s="16"/>
      <c r="C2584" s="12">
        <f>IFERROR(__xludf.DUMMYFUNCTION("""COMPUTED_VALUE"""),44662.63710648148)</f>
        <v>44662.63711</v>
      </c>
      <c r="D2584" s="13">
        <f t="shared" si="1"/>
        <v>11</v>
      </c>
      <c r="E2584" s="13">
        <f t="shared" si="2"/>
        <v>15</v>
      </c>
    </row>
    <row r="2585">
      <c r="A2585" s="4" t="s">
        <v>2967</v>
      </c>
      <c r="B2585" s="4" t="s">
        <v>2968</v>
      </c>
      <c r="C2585" s="12">
        <f>IFERROR(__xludf.DUMMYFUNCTION("""COMPUTED_VALUE"""),44662.63710648148)</f>
        <v>44662.63711</v>
      </c>
      <c r="D2585" s="13">
        <f t="shared" si="1"/>
        <v>11</v>
      </c>
      <c r="E2585" s="13">
        <f t="shared" si="2"/>
        <v>15</v>
      </c>
    </row>
    <row r="2586">
      <c r="A2586" s="4" t="s">
        <v>2969</v>
      </c>
      <c r="B2586" s="16"/>
      <c r="C2586" s="12">
        <f>IFERROR(__xludf.DUMMYFUNCTION("""COMPUTED_VALUE"""),44662.63708333333)</f>
        <v>44662.63708</v>
      </c>
      <c r="D2586" s="13">
        <f t="shared" si="1"/>
        <v>11</v>
      </c>
      <c r="E2586" s="13">
        <f t="shared" si="2"/>
        <v>15</v>
      </c>
    </row>
    <row r="2587">
      <c r="A2587" s="4" t="s">
        <v>2970</v>
      </c>
      <c r="B2587" s="16"/>
      <c r="C2587" s="12">
        <f>IFERROR(__xludf.DUMMYFUNCTION("""COMPUTED_VALUE"""),44662.63706018518)</f>
        <v>44662.63706</v>
      </c>
      <c r="D2587" s="13">
        <f t="shared" si="1"/>
        <v>11</v>
      </c>
      <c r="E2587" s="13">
        <f t="shared" si="2"/>
        <v>15</v>
      </c>
    </row>
    <row r="2588">
      <c r="A2588" s="4" t="s">
        <v>2971</v>
      </c>
      <c r="B2588" s="16"/>
      <c r="C2588" s="12">
        <f>IFERROR(__xludf.DUMMYFUNCTION("""COMPUTED_VALUE"""),44662.637037037035)</f>
        <v>44662.63704</v>
      </c>
      <c r="D2588" s="13">
        <f t="shared" si="1"/>
        <v>11</v>
      </c>
      <c r="E2588" s="13">
        <f t="shared" si="2"/>
        <v>15</v>
      </c>
    </row>
    <row r="2589">
      <c r="A2589" s="4" t="s">
        <v>2972</v>
      </c>
      <c r="B2589" s="4" t="s">
        <v>2973</v>
      </c>
      <c r="C2589" s="12">
        <f>IFERROR(__xludf.DUMMYFUNCTION("""COMPUTED_VALUE"""),44662.63702546296)</f>
        <v>44662.63703</v>
      </c>
      <c r="D2589" s="13">
        <f t="shared" si="1"/>
        <v>11</v>
      </c>
      <c r="E2589" s="13">
        <f t="shared" si="2"/>
        <v>15</v>
      </c>
    </row>
    <row r="2590">
      <c r="A2590" s="4" t="s">
        <v>2974</v>
      </c>
      <c r="B2590" s="16"/>
      <c r="C2590" s="12">
        <f>IFERROR(__xludf.DUMMYFUNCTION("""COMPUTED_VALUE"""),44662.63701388889)</f>
        <v>44662.63701</v>
      </c>
      <c r="D2590" s="13">
        <f t="shared" si="1"/>
        <v>11</v>
      </c>
      <c r="E2590" s="13">
        <f t="shared" si="2"/>
        <v>15</v>
      </c>
    </row>
    <row r="2591">
      <c r="A2591" s="4" t="s">
        <v>2975</v>
      </c>
      <c r="B2591" s="16"/>
      <c r="C2591" s="12">
        <f>IFERROR(__xludf.DUMMYFUNCTION("""COMPUTED_VALUE"""),44662.63700231481)</f>
        <v>44662.637</v>
      </c>
      <c r="D2591" s="13">
        <f t="shared" si="1"/>
        <v>11</v>
      </c>
      <c r="E2591" s="13">
        <f t="shared" si="2"/>
        <v>15</v>
      </c>
    </row>
    <row r="2592">
      <c r="A2592" s="4" t="s">
        <v>2976</v>
      </c>
      <c r="B2592" s="16"/>
      <c r="C2592" s="12">
        <f>IFERROR(__xludf.DUMMYFUNCTION("""COMPUTED_VALUE"""),44662.63695601852)</f>
        <v>44662.63696</v>
      </c>
      <c r="D2592" s="13">
        <f t="shared" si="1"/>
        <v>11</v>
      </c>
      <c r="E2592" s="13">
        <f t="shared" si="2"/>
        <v>15</v>
      </c>
    </row>
    <row r="2593">
      <c r="A2593" s="4" t="s">
        <v>2977</v>
      </c>
      <c r="B2593" s="16"/>
      <c r="C2593" s="12">
        <f>IFERROR(__xludf.DUMMYFUNCTION("""COMPUTED_VALUE"""),44662.636932870366)</f>
        <v>44662.63693</v>
      </c>
      <c r="D2593" s="13">
        <f t="shared" si="1"/>
        <v>11</v>
      </c>
      <c r="E2593" s="13">
        <f t="shared" si="2"/>
        <v>15</v>
      </c>
    </row>
    <row r="2594">
      <c r="A2594" s="4" t="s">
        <v>2978</v>
      </c>
      <c r="B2594" s="16"/>
      <c r="C2594" s="12">
        <f>IFERROR(__xludf.DUMMYFUNCTION("""COMPUTED_VALUE"""),44662.63690972222)</f>
        <v>44662.63691</v>
      </c>
      <c r="D2594" s="13">
        <f t="shared" si="1"/>
        <v>11</v>
      </c>
      <c r="E2594" s="13">
        <f t="shared" si="2"/>
        <v>15</v>
      </c>
    </row>
    <row r="2595">
      <c r="A2595" s="4" t="s">
        <v>2979</v>
      </c>
      <c r="B2595" s="16"/>
      <c r="C2595" s="12">
        <f>IFERROR(__xludf.DUMMYFUNCTION("""COMPUTED_VALUE"""),44662.63688657407)</f>
        <v>44662.63689</v>
      </c>
      <c r="D2595" s="13">
        <f t="shared" si="1"/>
        <v>11</v>
      </c>
      <c r="E2595" s="13">
        <f t="shared" si="2"/>
        <v>15</v>
      </c>
    </row>
    <row r="2596">
      <c r="A2596" s="4" t="s">
        <v>2980</v>
      </c>
      <c r="B2596" s="16"/>
      <c r="C2596" s="12">
        <f>IFERROR(__xludf.DUMMYFUNCTION("""COMPUTED_VALUE"""),44662.636678240735)</f>
        <v>44662.63668</v>
      </c>
      <c r="D2596" s="13">
        <f t="shared" si="1"/>
        <v>11</v>
      </c>
      <c r="E2596" s="13">
        <f t="shared" si="2"/>
        <v>15</v>
      </c>
    </row>
    <row r="2597">
      <c r="A2597" s="4" t="s">
        <v>2981</v>
      </c>
      <c r="B2597" s="16"/>
      <c r="C2597" s="12">
        <f>IFERROR(__xludf.DUMMYFUNCTION("""COMPUTED_VALUE"""),44662.63665509259)</f>
        <v>44662.63666</v>
      </c>
      <c r="D2597" s="13">
        <f t="shared" si="1"/>
        <v>11</v>
      </c>
      <c r="E2597" s="13">
        <f t="shared" si="2"/>
        <v>15</v>
      </c>
    </row>
    <row r="2598">
      <c r="A2598" s="4" t="s">
        <v>2982</v>
      </c>
      <c r="B2598" s="4" t="s">
        <v>2317</v>
      </c>
      <c r="C2598" s="12">
        <f>IFERROR(__xludf.DUMMYFUNCTION("""COMPUTED_VALUE"""),44662.63664351852)</f>
        <v>44662.63664</v>
      </c>
      <c r="D2598" s="13">
        <f t="shared" si="1"/>
        <v>11</v>
      </c>
      <c r="E2598" s="13">
        <f t="shared" si="2"/>
        <v>15</v>
      </c>
    </row>
    <row r="2599">
      <c r="A2599" s="4" t="s">
        <v>2983</v>
      </c>
      <c r="B2599" s="16"/>
      <c r="C2599" s="12">
        <f>IFERROR(__xludf.DUMMYFUNCTION("""COMPUTED_VALUE"""),44662.63663194444)</f>
        <v>44662.63663</v>
      </c>
      <c r="D2599" s="13">
        <f t="shared" si="1"/>
        <v>11</v>
      </c>
      <c r="E2599" s="13">
        <f t="shared" si="2"/>
        <v>15</v>
      </c>
    </row>
    <row r="2600">
      <c r="A2600" s="4" t="s">
        <v>2984</v>
      </c>
      <c r="B2600" s="16"/>
      <c r="C2600" s="12">
        <f>IFERROR(__xludf.DUMMYFUNCTION("""COMPUTED_VALUE"""),44662.636608796296)</f>
        <v>44662.63661</v>
      </c>
      <c r="D2600" s="13">
        <f t="shared" si="1"/>
        <v>11</v>
      </c>
      <c r="E2600" s="13">
        <f t="shared" si="2"/>
        <v>15</v>
      </c>
    </row>
    <row r="2601">
      <c r="A2601" s="4" t="s">
        <v>2985</v>
      </c>
      <c r="B2601" s="4" t="s">
        <v>2317</v>
      </c>
      <c r="C2601" s="12">
        <f>IFERROR(__xludf.DUMMYFUNCTION("""COMPUTED_VALUE"""),44662.63659722222)</f>
        <v>44662.6366</v>
      </c>
      <c r="D2601" s="13">
        <f t="shared" si="1"/>
        <v>11</v>
      </c>
      <c r="E2601" s="13">
        <f t="shared" si="2"/>
        <v>15</v>
      </c>
    </row>
    <row r="2602">
      <c r="A2602" s="4" t="s">
        <v>2986</v>
      </c>
      <c r="B2602" s="4" t="s">
        <v>2987</v>
      </c>
      <c r="C2602" s="12">
        <f>IFERROR(__xludf.DUMMYFUNCTION("""COMPUTED_VALUE"""),44662.63657407407)</f>
        <v>44662.63657</v>
      </c>
      <c r="D2602" s="13">
        <f t="shared" si="1"/>
        <v>11</v>
      </c>
      <c r="E2602" s="13">
        <f t="shared" si="2"/>
        <v>15</v>
      </c>
    </row>
    <row r="2603">
      <c r="A2603" s="4" t="s">
        <v>2986</v>
      </c>
      <c r="B2603" s="4" t="s">
        <v>2317</v>
      </c>
      <c r="C2603" s="12">
        <f>IFERROR(__xludf.DUMMYFUNCTION("""COMPUTED_VALUE"""),44662.63657407407)</f>
        <v>44662.63657</v>
      </c>
      <c r="D2603" s="13">
        <f t="shared" si="1"/>
        <v>11</v>
      </c>
      <c r="E2603" s="13">
        <f t="shared" si="2"/>
        <v>15</v>
      </c>
    </row>
    <row r="2604">
      <c r="A2604" s="4" t="s">
        <v>2988</v>
      </c>
      <c r="B2604" s="16"/>
      <c r="C2604" s="12">
        <f>IFERROR(__xludf.DUMMYFUNCTION("""COMPUTED_VALUE"""),44662.63652777777)</f>
        <v>44662.63653</v>
      </c>
      <c r="D2604" s="13">
        <f t="shared" si="1"/>
        <v>11</v>
      </c>
      <c r="E2604" s="13">
        <f t="shared" si="2"/>
        <v>15</v>
      </c>
    </row>
    <row r="2605">
      <c r="A2605" s="4" t="s">
        <v>2988</v>
      </c>
      <c r="B2605" s="4" t="s">
        <v>2989</v>
      </c>
      <c r="C2605" s="12">
        <f>IFERROR(__xludf.DUMMYFUNCTION("""COMPUTED_VALUE"""),44662.63652777777)</f>
        <v>44662.63653</v>
      </c>
      <c r="D2605" s="13">
        <f t="shared" si="1"/>
        <v>11</v>
      </c>
      <c r="E2605" s="13">
        <f t="shared" si="2"/>
        <v>15</v>
      </c>
    </row>
    <row r="2606">
      <c r="A2606" s="4" t="s">
        <v>2990</v>
      </c>
      <c r="B2606" s="16"/>
      <c r="C2606" s="12">
        <f>IFERROR(__xludf.DUMMYFUNCTION("""COMPUTED_VALUE"""),44662.6362037037)</f>
        <v>44662.6362</v>
      </c>
      <c r="D2606" s="13">
        <f t="shared" si="1"/>
        <v>11</v>
      </c>
      <c r="E2606" s="13">
        <f t="shared" si="2"/>
        <v>15</v>
      </c>
    </row>
    <row r="2607">
      <c r="A2607" s="4" t="s">
        <v>2991</v>
      </c>
      <c r="B2607" s="16"/>
      <c r="C2607" s="12">
        <f>IFERROR(__xludf.DUMMYFUNCTION("""COMPUTED_VALUE"""),44662.63618055555)</f>
        <v>44662.63618</v>
      </c>
      <c r="D2607" s="13">
        <f t="shared" si="1"/>
        <v>11</v>
      </c>
      <c r="E2607" s="13">
        <f t="shared" si="2"/>
        <v>15</v>
      </c>
    </row>
    <row r="2608">
      <c r="A2608" s="4" t="s">
        <v>2992</v>
      </c>
      <c r="B2608" s="4" t="s">
        <v>2957</v>
      </c>
      <c r="C2608" s="12">
        <f>IFERROR(__xludf.DUMMYFUNCTION("""COMPUTED_VALUE"""),44662.63613425926)</f>
        <v>44662.63613</v>
      </c>
      <c r="D2608" s="13">
        <f t="shared" si="1"/>
        <v>11</v>
      </c>
      <c r="E2608" s="13">
        <f t="shared" si="2"/>
        <v>15</v>
      </c>
    </row>
    <row r="2609">
      <c r="A2609" s="4" t="s">
        <v>2993</v>
      </c>
      <c r="B2609" s="4" t="s">
        <v>2994</v>
      </c>
      <c r="C2609" s="12">
        <f>IFERROR(__xludf.DUMMYFUNCTION("""COMPUTED_VALUE"""),44662.63586805555)</f>
        <v>44662.63587</v>
      </c>
      <c r="D2609" s="13">
        <f t="shared" si="1"/>
        <v>11</v>
      </c>
      <c r="E2609" s="13">
        <f t="shared" si="2"/>
        <v>15</v>
      </c>
    </row>
    <row r="2610">
      <c r="A2610" s="4" t="s">
        <v>2993</v>
      </c>
      <c r="B2610" s="4" t="s">
        <v>1917</v>
      </c>
      <c r="C2610" s="12">
        <f>IFERROR(__xludf.DUMMYFUNCTION("""COMPUTED_VALUE"""),44662.63586805555)</f>
        <v>44662.63587</v>
      </c>
      <c r="D2610" s="13">
        <f t="shared" si="1"/>
        <v>11</v>
      </c>
      <c r="E2610" s="13">
        <f t="shared" si="2"/>
        <v>15</v>
      </c>
    </row>
    <row r="2611">
      <c r="A2611" s="4" t="s">
        <v>2995</v>
      </c>
      <c r="B2611" s="16"/>
      <c r="C2611" s="12">
        <f>IFERROR(__xludf.DUMMYFUNCTION("""COMPUTED_VALUE"""),44662.63581018518)</f>
        <v>44662.63581</v>
      </c>
      <c r="D2611" s="13">
        <f t="shared" si="1"/>
        <v>11</v>
      </c>
      <c r="E2611" s="13">
        <f t="shared" si="2"/>
        <v>15</v>
      </c>
    </row>
    <row r="2612">
      <c r="A2612" s="4" t="s">
        <v>2996</v>
      </c>
      <c r="B2612" s="4" t="s">
        <v>143</v>
      </c>
      <c r="C2612" s="12">
        <f>IFERROR(__xludf.DUMMYFUNCTION("""COMPUTED_VALUE"""),44662.63429398148)</f>
        <v>44662.63429</v>
      </c>
      <c r="D2612" s="13">
        <f t="shared" si="1"/>
        <v>11</v>
      </c>
      <c r="E2612" s="13">
        <f t="shared" si="2"/>
        <v>15</v>
      </c>
    </row>
    <row r="2613">
      <c r="A2613" s="4" t="s">
        <v>2997</v>
      </c>
      <c r="B2613" s="4" t="s">
        <v>2998</v>
      </c>
      <c r="C2613" s="12">
        <f>IFERROR(__xludf.DUMMYFUNCTION("""COMPUTED_VALUE"""),44662.63371527778)</f>
        <v>44662.63372</v>
      </c>
      <c r="D2613" s="13">
        <f t="shared" si="1"/>
        <v>11</v>
      </c>
      <c r="E2613" s="13">
        <f t="shared" si="2"/>
        <v>15</v>
      </c>
    </row>
    <row r="2614">
      <c r="A2614" s="4" t="s">
        <v>2999</v>
      </c>
      <c r="B2614" s="16"/>
      <c r="C2614" s="12">
        <f>IFERROR(__xludf.DUMMYFUNCTION("""COMPUTED_VALUE"""),44662.63315972222)</f>
        <v>44662.63316</v>
      </c>
      <c r="D2614" s="13">
        <f t="shared" si="1"/>
        <v>11</v>
      </c>
      <c r="E2614" s="13">
        <f t="shared" si="2"/>
        <v>15</v>
      </c>
    </row>
    <row r="2615">
      <c r="A2615" s="4" t="s">
        <v>3000</v>
      </c>
      <c r="B2615" s="16"/>
      <c r="C2615" s="12">
        <f>IFERROR(__xludf.DUMMYFUNCTION("""COMPUTED_VALUE"""),44662.633067129624)</f>
        <v>44662.63307</v>
      </c>
      <c r="D2615" s="13">
        <f t="shared" si="1"/>
        <v>11</v>
      </c>
      <c r="E2615" s="13">
        <f t="shared" si="2"/>
        <v>15</v>
      </c>
    </row>
    <row r="2616">
      <c r="A2616" s="4" t="s">
        <v>3001</v>
      </c>
      <c r="B2616" s="16"/>
      <c r="C2616" s="12">
        <f>IFERROR(__xludf.DUMMYFUNCTION("""COMPUTED_VALUE"""),44662.63304398148)</f>
        <v>44662.63304</v>
      </c>
      <c r="D2616" s="13">
        <f t="shared" si="1"/>
        <v>11</v>
      </c>
      <c r="E2616" s="13">
        <f t="shared" si="2"/>
        <v>15</v>
      </c>
    </row>
    <row r="2617">
      <c r="A2617" s="4" t="s">
        <v>3001</v>
      </c>
      <c r="B2617" s="4" t="s">
        <v>3002</v>
      </c>
      <c r="C2617" s="12">
        <f>IFERROR(__xludf.DUMMYFUNCTION("""COMPUTED_VALUE"""),44662.63304398148)</f>
        <v>44662.63304</v>
      </c>
      <c r="D2617" s="13">
        <f t="shared" si="1"/>
        <v>11</v>
      </c>
      <c r="E2617" s="13">
        <f t="shared" si="2"/>
        <v>15</v>
      </c>
    </row>
    <row r="2618">
      <c r="A2618" s="4" t="s">
        <v>3003</v>
      </c>
      <c r="B2618" s="16"/>
      <c r="C2618" s="12">
        <f>IFERROR(__xludf.DUMMYFUNCTION("""COMPUTED_VALUE"""),44662.633009259254)</f>
        <v>44662.63301</v>
      </c>
      <c r="D2618" s="13">
        <f t="shared" si="1"/>
        <v>11</v>
      </c>
      <c r="E2618" s="13">
        <f t="shared" si="2"/>
        <v>15</v>
      </c>
    </row>
    <row r="2619">
      <c r="A2619" s="4" t="s">
        <v>3003</v>
      </c>
      <c r="B2619" s="4" t="s">
        <v>3004</v>
      </c>
      <c r="C2619" s="12">
        <f>IFERROR(__xludf.DUMMYFUNCTION("""COMPUTED_VALUE"""),44662.633009259254)</f>
        <v>44662.63301</v>
      </c>
      <c r="D2619" s="13">
        <f t="shared" si="1"/>
        <v>11</v>
      </c>
      <c r="E2619" s="13">
        <f t="shared" si="2"/>
        <v>15</v>
      </c>
    </row>
    <row r="2620">
      <c r="A2620" s="4" t="s">
        <v>3005</v>
      </c>
      <c r="B2620" s="16"/>
      <c r="C2620" s="12">
        <f>IFERROR(__xludf.DUMMYFUNCTION("""COMPUTED_VALUE"""),44662.63296296296)</f>
        <v>44662.63296</v>
      </c>
      <c r="D2620" s="13">
        <f t="shared" si="1"/>
        <v>11</v>
      </c>
      <c r="E2620" s="13">
        <f t="shared" si="2"/>
        <v>15</v>
      </c>
    </row>
    <row r="2621">
      <c r="A2621" s="4" t="s">
        <v>3006</v>
      </c>
      <c r="B2621" s="16"/>
      <c r="C2621" s="12">
        <f>IFERROR(__xludf.DUMMYFUNCTION("""COMPUTED_VALUE"""),44662.632951388885)</f>
        <v>44662.63295</v>
      </c>
      <c r="D2621" s="13">
        <f t="shared" si="1"/>
        <v>11</v>
      </c>
      <c r="E2621" s="13">
        <f t="shared" si="2"/>
        <v>15</v>
      </c>
    </row>
    <row r="2622">
      <c r="A2622" s="4" t="s">
        <v>3007</v>
      </c>
      <c r="B2622" s="16"/>
      <c r="C2622" s="12">
        <f>IFERROR(__xludf.DUMMYFUNCTION("""COMPUTED_VALUE"""),44662.632893518516)</f>
        <v>44662.63289</v>
      </c>
      <c r="D2622" s="13">
        <f t="shared" si="1"/>
        <v>11</v>
      </c>
      <c r="E2622" s="13">
        <f t="shared" si="2"/>
        <v>15</v>
      </c>
    </row>
    <row r="2623">
      <c r="A2623" s="4" t="s">
        <v>3008</v>
      </c>
      <c r="B2623" s="16"/>
      <c r="C2623" s="12">
        <f>IFERROR(__xludf.DUMMYFUNCTION("""COMPUTED_VALUE"""),44662.63287037037)</f>
        <v>44662.63287</v>
      </c>
      <c r="D2623" s="13">
        <f t="shared" si="1"/>
        <v>11</v>
      </c>
      <c r="E2623" s="13">
        <f t="shared" si="2"/>
        <v>15</v>
      </c>
    </row>
    <row r="2624">
      <c r="A2624" s="4" t="s">
        <v>3009</v>
      </c>
      <c r="B2624" s="4" t="s">
        <v>3010</v>
      </c>
      <c r="C2624" s="12">
        <f>IFERROR(__xludf.DUMMYFUNCTION("""COMPUTED_VALUE"""),44662.632835648146)</f>
        <v>44662.63284</v>
      </c>
      <c r="D2624" s="13">
        <f t="shared" si="1"/>
        <v>11</v>
      </c>
      <c r="E2624" s="13">
        <f t="shared" si="2"/>
        <v>15</v>
      </c>
    </row>
    <row r="2625">
      <c r="A2625" s="4" t="s">
        <v>3011</v>
      </c>
      <c r="B2625" s="16"/>
      <c r="C2625" s="12">
        <f>IFERROR(__xludf.DUMMYFUNCTION("""COMPUTED_VALUE"""),44662.63282407407)</f>
        <v>44662.63282</v>
      </c>
      <c r="D2625" s="13">
        <f t="shared" si="1"/>
        <v>11</v>
      </c>
      <c r="E2625" s="13">
        <f t="shared" si="2"/>
        <v>15</v>
      </c>
    </row>
    <row r="2626">
      <c r="A2626" s="4" t="s">
        <v>3012</v>
      </c>
      <c r="B2626" s="4" t="s">
        <v>1406</v>
      </c>
      <c r="C2626" s="12">
        <f>IFERROR(__xludf.DUMMYFUNCTION("""COMPUTED_VALUE"""),44662.6327662037)</f>
        <v>44662.63277</v>
      </c>
      <c r="D2626" s="13">
        <f t="shared" si="1"/>
        <v>11</v>
      </c>
      <c r="E2626" s="13">
        <f t="shared" si="2"/>
        <v>15</v>
      </c>
    </row>
    <row r="2627">
      <c r="A2627" s="4" t="s">
        <v>3013</v>
      </c>
      <c r="B2627" s="16"/>
      <c r="C2627" s="12">
        <f>IFERROR(__xludf.DUMMYFUNCTION("""COMPUTED_VALUE"""),44662.63273148148)</f>
        <v>44662.63273</v>
      </c>
      <c r="D2627" s="13">
        <f t="shared" si="1"/>
        <v>11</v>
      </c>
      <c r="E2627" s="13">
        <f t="shared" si="2"/>
        <v>15</v>
      </c>
    </row>
    <row r="2628">
      <c r="A2628" s="4" t="s">
        <v>3014</v>
      </c>
      <c r="B2628" s="16"/>
      <c r="C2628" s="12">
        <f>IFERROR(__xludf.DUMMYFUNCTION("""COMPUTED_VALUE"""),44662.63270833333)</f>
        <v>44662.63271</v>
      </c>
      <c r="D2628" s="13">
        <f t="shared" si="1"/>
        <v>11</v>
      </c>
      <c r="E2628" s="13">
        <f t="shared" si="2"/>
        <v>15</v>
      </c>
    </row>
    <row r="2629">
      <c r="A2629" s="4" t="s">
        <v>3015</v>
      </c>
      <c r="B2629" s="16"/>
      <c r="C2629" s="12">
        <f>IFERROR(__xludf.DUMMYFUNCTION("""COMPUTED_VALUE"""),44662.632696759254)</f>
        <v>44662.6327</v>
      </c>
      <c r="D2629" s="13">
        <f t="shared" si="1"/>
        <v>11</v>
      </c>
      <c r="E2629" s="13">
        <f t="shared" si="2"/>
        <v>15</v>
      </c>
    </row>
    <row r="2630">
      <c r="A2630" s="4" t="s">
        <v>3016</v>
      </c>
      <c r="B2630" s="16"/>
      <c r="C2630" s="12">
        <f>IFERROR(__xludf.DUMMYFUNCTION("""COMPUTED_VALUE"""),44662.63265046296)</f>
        <v>44662.63265</v>
      </c>
      <c r="D2630" s="13">
        <f t="shared" si="1"/>
        <v>11</v>
      </c>
      <c r="E2630" s="13">
        <f t="shared" si="2"/>
        <v>15</v>
      </c>
    </row>
    <row r="2631">
      <c r="A2631" s="4" t="s">
        <v>3017</v>
      </c>
      <c r="B2631" s="16"/>
      <c r="C2631" s="12">
        <f>IFERROR(__xludf.DUMMYFUNCTION("""COMPUTED_VALUE"""),44662.632581018515)</f>
        <v>44662.63258</v>
      </c>
      <c r="D2631" s="13">
        <f t="shared" si="1"/>
        <v>11</v>
      </c>
      <c r="E2631" s="13">
        <f t="shared" si="2"/>
        <v>15</v>
      </c>
    </row>
    <row r="2632">
      <c r="A2632" s="4" t="s">
        <v>3018</v>
      </c>
      <c r="B2632" s="16"/>
      <c r="C2632" s="12">
        <f>IFERROR(__xludf.DUMMYFUNCTION("""COMPUTED_VALUE"""),44662.63255787037)</f>
        <v>44662.63256</v>
      </c>
      <c r="D2632" s="13">
        <f t="shared" si="1"/>
        <v>11</v>
      </c>
      <c r="E2632" s="13">
        <f t="shared" si="2"/>
        <v>15</v>
      </c>
    </row>
    <row r="2633">
      <c r="A2633" s="4" t="s">
        <v>3019</v>
      </c>
      <c r="B2633" s="16"/>
      <c r="C2633" s="12">
        <f>IFERROR(__xludf.DUMMYFUNCTION("""COMPUTED_VALUE"""),44662.63253472222)</f>
        <v>44662.63253</v>
      </c>
      <c r="D2633" s="13">
        <f t="shared" si="1"/>
        <v>11</v>
      </c>
      <c r="E2633" s="13">
        <f t="shared" si="2"/>
        <v>15</v>
      </c>
    </row>
    <row r="2634">
      <c r="A2634" s="4" t="s">
        <v>3020</v>
      </c>
      <c r="B2634" s="4" t="s">
        <v>3021</v>
      </c>
      <c r="C2634" s="12">
        <f>IFERROR(__xludf.DUMMYFUNCTION("""COMPUTED_VALUE"""),44662.632523148146)</f>
        <v>44662.63252</v>
      </c>
      <c r="D2634" s="13">
        <f t="shared" si="1"/>
        <v>11</v>
      </c>
      <c r="E2634" s="13">
        <f t="shared" si="2"/>
        <v>15</v>
      </c>
    </row>
    <row r="2635">
      <c r="A2635" s="4" t="s">
        <v>3022</v>
      </c>
      <c r="B2635" s="16"/>
      <c r="C2635" s="12">
        <f>IFERROR(__xludf.DUMMYFUNCTION("""COMPUTED_VALUE"""),44662.632476851846)</f>
        <v>44662.63248</v>
      </c>
      <c r="D2635" s="13">
        <f t="shared" si="1"/>
        <v>11</v>
      </c>
      <c r="E2635" s="13">
        <f t="shared" si="2"/>
        <v>15</v>
      </c>
    </row>
    <row r="2636">
      <c r="A2636" s="4" t="s">
        <v>3023</v>
      </c>
      <c r="B2636" s="16"/>
      <c r="C2636" s="12">
        <f>IFERROR(__xludf.DUMMYFUNCTION("""COMPUTED_VALUE"""),44662.632384259254)</f>
        <v>44662.63238</v>
      </c>
      <c r="D2636" s="13">
        <f t="shared" si="1"/>
        <v>11</v>
      </c>
      <c r="E2636" s="13">
        <f t="shared" si="2"/>
        <v>15</v>
      </c>
    </row>
    <row r="2637">
      <c r="A2637" s="4" t="s">
        <v>3024</v>
      </c>
      <c r="B2637" s="4" t="s">
        <v>3025</v>
      </c>
      <c r="C2637" s="12">
        <f>IFERROR(__xludf.DUMMYFUNCTION("""COMPUTED_VALUE"""),44662.632326388884)</f>
        <v>44662.63233</v>
      </c>
      <c r="D2637" s="13">
        <f t="shared" si="1"/>
        <v>11</v>
      </c>
      <c r="E2637" s="13">
        <f t="shared" si="2"/>
        <v>15</v>
      </c>
    </row>
    <row r="2638">
      <c r="A2638" s="4" t="s">
        <v>3024</v>
      </c>
      <c r="B2638" s="16"/>
      <c r="C2638" s="12">
        <f>IFERROR(__xludf.DUMMYFUNCTION("""COMPUTED_VALUE"""),44662.632326388884)</f>
        <v>44662.63233</v>
      </c>
      <c r="D2638" s="13">
        <f t="shared" si="1"/>
        <v>11</v>
      </c>
      <c r="E2638" s="13">
        <f t="shared" si="2"/>
        <v>15</v>
      </c>
    </row>
    <row r="2639">
      <c r="A2639" s="4" t="s">
        <v>3026</v>
      </c>
      <c r="B2639" s="4" t="s">
        <v>3010</v>
      </c>
      <c r="C2639" s="12">
        <f>IFERROR(__xludf.DUMMYFUNCTION("""COMPUTED_VALUE"""),44662.63229166666)</f>
        <v>44662.63229</v>
      </c>
      <c r="D2639" s="13">
        <f t="shared" si="1"/>
        <v>11</v>
      </c>
      <c r="E2639" s="13">
        <f t="shared" si="2"/>
        <v>15</v>
      </c>
    </row>
    <row r="2640">
      <c r="A2640" s="4" t="s">
        <v>3027</v>
      </c>
      <c r="B2640" s="16"/>
      <c r="C2640" s="12">
        <f>IFERROR(__xludf.DUMMYFUNCTION("""COMPUTED_VALUE"""),44662.632013888884)</f>
        <v>44662.63201</v>
      </c>
      <c r="D2640" s="13">
        <f t="shared" si="1"/>
        <v>11</v>
      </c>
      <c r="E2640" s="13">
        <f t="shared" si="2"/>
        <v>15</v>
      </c>
    </row>
    <row r="2641">
      <c r="A2641" s="4" t="s">
        <v>3028</v>
      </c>
      <c r="B2641" s="16"/>
      <c r="C2641" s="12">
        <f>IFERROR(__xludf.DUMMYFUNCTION("""COMPUTED_VALUE"""),44662.632002314815)</f>
        <v>44662.632</v>
      </c>
      <c r="D2641" s="13">
        <f t="shared" si="1"/>
        <v>11</v>
      </c>
      <c r="E2641" s="13">
        <f t="shared" si="2"/>
        <v>15</v>
      </c>
    </row>
    <row r="2642">
      <c r="A2642" s="4" t="s">
        <v>3029</v>
      </c>
      <c r="B2642" s="16"/>
      <c r="C2642" s="12">
        <f>IFERROR(__xludf.DUMMYFUNCTION("""COMPUTED_VALUE"""),44662.63193287037)</f>
        <v>44662.63193</v>
      </c>
      <c r="D2642" s="13">
        <f t="shared" si="1"/>
        <v>11</v>
      </c>
      <c r="E2642" s="13">
        <f t="shared" si="2"/>
        <v>15</v>
      </c>
    </row>
    <row r="2643">
      <c r="A2643" s="4" t="s">
        <v>3030</v>
      </c>
      <c r="B2643" s="16"/>
      <c r="C2643" s="12">
        <f>IFERROR(__xludf.DUMMYFUNCTION("""COMPUTED_VALUE"""),44662.63162037037)</f>
        <v>44662.63162</v>
      </c>
      <c r="D2643" s="13">
        <f t="shared" si="1"/>
        <v>11</v>
      </c>
      <c r="E2643" s="13">
        <f t="shared" si="2"/>
        <v>15</v>
      </c>
    </row>
    <row r="2644">
      <c r="A2644" s="4" t="s">
        <v>3031</v>
      </c>
      <c r="B2644" s="4" t="s">
        <v>3032</v>
      </c>
      <c r="C2644" s="12">
        <f>IFERROR(__xludf.DUMMYFUNCTION("""COMPUTED_VALUE"""),44662.63157407407)</f>
        <v>44662.63157</v>
      </c>
      <c r="D2644" s="13">
        <f t="shared" si="1"/>
        <v>11</v>
      </c>
      <c r="E2644" s="13">
        <f t="shared" si="2"/>
        <v>15</v>
      </c>
    </row>
    <row r="2645">
      <c r="A2645" s="4" t="s">
        <v>3033</v>
      </c>
      <c r="B2645" s="16"/>
      <c r="C2645" s="12">
        <f>IFERROR(__xludf.DUMMYFUNCTION("""COMPUTED_VALUE"""),44662.63123842592)</f>
        <v>44662.63124</v>
      </c>
      <c r="D2645" s="13">
        <f t="shared" si="1"/>
        <v>11</v>
      </c>
      <c r="E2645" s="13">
        <f t="shared" si="2"/>
        <v>15</v>
      </c>
    </row>
    <row r="2646">
      <c r="A2646" s="4" t="s">
        <v>3034</v>
      </c>
      <c r="B2646" s="4" t="s">
        <v>3035</v>
      </c>
      <c r="C2646" s="12">
        <f>IFERROR(__xludf.DUMMYFUNCTION("""COMPUTED_VALUE"""),44662.6308912037)</f>
        <v>44662.63089</v>
      </c>
      <c r="D2646" s="13">
        <f t="shared" si="1"/>
        <v>11</v>
      </c>
      <c r="E2646" s="13">
        <f t="shared" si="2"/>
        <v>15</v>
      </c>
    </row>
    <row r="2647">
      <c r="A2647" s="4" t="s">
        <v>3036</v>
      </c>
      <c r="B2647" s="16"/>
      <c r="C2647" s="12">
        <f>IFERROR(__xludf.DUMMYFUNCTION("""COMPUTED_VALUE"""),44662.63083333333)</f>
        <v>44662.63083</v>
      </c>
      <c r="D2647" s="13">
        <f t="shared" si="1"/>
        <v>11</v>
      </c>
      <c r="E2647" s="13">
        <f t="shared" si="2"/>
        <v>15</v>
      </c>
    </row>
    <row r="2648">
      <c r="A2648" s="4" t="s">
        <v>3037</v>
      </c>
      <c r="B2648" s="16"/>
      <c r="C2648" s="12">
        <f>IFERROR(__xludf.DUMMYFUNCTION("""COMPUTED_VALUE"""),44662.62927083333)</f>
        <v>44662.62927</v>
      </c>
      <c r="D2648" s="13">
        <f t="shared" si="1"/>
        <v>11</v>
      </c>
      <c r="E2648" s="13">
        <f t="shared" si="2"/>
        <v>15</v>
      </c>
    </row>
    <row r="2649">
      <c r="A2649" s="4" t="s">
        <v>3038</v>
      </c>
      <c r="B2649" s="16"/>
      <c r="C2649" s="12">
        <f>IFERROR(__xludf.DUMMYFUNCTION("""COMPUTED_VALUE"""),44662.62914351852)</f>
        <v>44662.62914</v>
      </c>
      <c r="D2649" s="13">
        <f t="shared" si="1"/>
        <v>11</v>
      </c>
      <c r="E2649" s="13">
        <f t="shared" si="2"/>
        <v>15</v>
      </c>
    </row>
    <row r="2650">
      <c r="A2650" s="4" t="s">
        <v>3039</v>
      </c>
      <c r="B2650" s="16"/>
      <c r="C2650" s="12">
        <f>IFERROR(__xludf.DUMMYFUNCTION("""COMPUTED_VALUE"""),44662.62903935185)</f>
        <v>44662.62904</v>
      </c>
      <c r="D2650" s="13">
        <f t="shared" si="1"/>
        <v>11</v>
      </c>
      <c r="E2650" s="13">
        <f t="shared" si="2"/>
        <v>15</v>
      </c>
    </row>
    <row r="2651">
      <c r="A2651" s="4" t="s">
        <v>3040</v>
      </c>
      <c r="B2651" s="4" t="s">
        <v>3041</v>
      </c>
      <c r="C2651" s="12">
        <f>IFERROR(__xludf.DUMMYFUNCTION("""COMPUTED_VALUE"""),44662.62894675926)</f>
        <v>44662.62895</v>
      </c>
      <c r="D2651" s="13">
        <f t="shared" si="1"/>
        <v>11</v>
      </c>
      <c r="E2651" s="13">
        <f t="shared" si="2"/>
        <v>15</v>
      </c>
    </row>
    <row r="2652">
      <c r="A2652" s="4" t="s">
        <v>3042</v>
      </c>
      <c r="B2652" s="4" t="s">
        <v>3041</v>
      </c>
      <c r="C2652" s="12">
        <f>IFERROR(__xludf.DUMMYFUNCTION("""COMPUTED_VALUE"""),44662.62871527777)</f>
        <v>44662.62872</v>
      </c>
      <c r="D2652" s="13">
        <f t="shared" si="1"/>
        <v>11</v>
      </c>
      <c r="E2652" s="13">
        <f t="shared" si="2"/>
        <v>15</v>
      </c>
    </row>
    <row r="2653">
      <c r="A2653" s="4" t="s">
        <v>3043</v>
      </c>
      <c r="B2653" s="16"/>
      <c r="C2653" s="12">
        <f>IFERROR(__xludf.DUMMYFUNCTION("""COMPUTED_VALUE"""),44662.62855324074)</f>
        <v>44662.62855</v>
      </c>
      <c r="D2653" s="13">
        <f t="shared" si="1"/>
        <v>11</v>
      </c>
      <c r="E2653" s="13">
        <f t="shared" si="2"/>
        <v>15</v>
      </c>
    </row>
    <row r="2654">
      <c r="A2654" s="4" t="s">
        <v>3044</v>
      </c>
      <c r="B2654" s="4" t="s">
        <v>3045</v>
      </c>
      <c r="C2654" s="12">
        <f>IFERROR(__xludf.DUMMYFUNCTION("""COMPUTED_VALUE"""),44662.62853009259)</f>
        <v>44662.62853</v>
      </c>
      <c r="D2654" s="13">
        <f t="shared" si="1"/>
        <v>11</v>
      </c>
      <c r="E2654" s="13">
        <f t="shared" si="2"/>
        <v>15</v>
      </c>
    </row>
    <row r="2655">
      <c r="A2655" s="4" t="s">
        <v>3046</v>
      </c>
      <c r="B2655" s="4" t="s">
        <v>3047</v>
      </c>
      <c r="C2655" s="12">
        <f>IFERROR(__xludf.DUMMYFUNCTION("""COMPUTED_VALUE"""),44662.628182870365)</f>
        <v>44662.62818</v>
      </c>
      <c r="D2655" s="13">
        <f t="shared" si="1"/>
        <v>11</v>
      </c>
      <c r="E2655" s="13">
        <f t="shared" si="2"/>
        <v>15</v>
      </c>
    </row>
    <row r="2656">
      <c r="A2656" s="4" t="s">
        <v>3048</v>
      </c>
      <c r="B2656" s="16"/>
      <c r="C2656" s="12">
        <f>IFERROR(__xludf.DUMMYFUNCTION("""COMPUTED_VALUE"""),44662.628113425926)</f>
        <v>44662.62811</v>
      </c>
      <c r="D2656" s="13">
        <f t="shared" si="1"/>
        <v>11</v>
      </c>
      <c r="E2656" s="13">
        <f t="shared" si="2"/>
        <v>15</v>
      </c>
    </row>
    <row r="2657">
      <c r="A2657" s="4" t="s">
        <v>3049</v>
      </c>
      <c r="B2657" s="4" t="s">
        <v>3045</v>
      </c>
      <c r="C2657" s="12">
        <f>IFERROR(__xludf.DUMMYFUNCTION("""COMPUTED_VALUE"""),44662.6280787037)</f>
        <v>44662.62808</v>
      </c>
      <c r="D2657" s="13">
        <f t="shared" si="1"/>
        <v>11</v>
      </c>
      <c r="E2657" s="13">
        <f t="shared" si="2"/>
        <v>15</v>
      </c>
    </row>
    <row r="2658">
      <c r="A2658" s="4" t="s">
        <v>3050</v>
      </c>
      <c r="B2658" s="4" t="s">
        <v>3051</v>
      </c>
      <c r="C2658" s="12">
        <f>IFERROR(__xludf.DUMMYFUNCTION("""COMPUTED_VALUE"""),44662.627858796295)</f>
        <v>44662.62786</v>
      </c>
      <c r="D2658" s="13">
        <f t="shared" si="1"/>
        <v>11</v>
      </c>
      <c r="E2658" s="13">
        <f t="shared" si="2"/>
        <v>15</v>
      </c>
    </row>
    <row r="2659">
      <c r="A2659" s="4" t="s">
        <v>3052</v>
      </c>
      <c r="B2659" s="4" t="s">
        <v>1688</v>
      </c>
      <c r="C2659" s="12">
        <f>IFERROR(__xludf.DUMMYFUNCTION("""COMPUTED_VALUE"""),44662.62783564815)</f>
        <v>44662.62784</v>
      </c>
      <c r="D2659" s="13">
        <f t="shared" si="1"/>
        <v>11</v>
      </c>
      <c r="E2659" s="13">
        <f t="shared" si="2"/>
        <v>15</v>
      </c>
    </row>
    <row r="2660">
      <c r="A2660" s="4" t="s">
        <v>3053</v>
      </c>
      <c r="B2660" s="4" t="s">
        <v>3054</v>
      </c>
      <c r="C2660" s="12">
        <f>IFERROR(__xludf.DUMMYFUNCTION("""COMPUTED_VALUE"""),44662.62782407407)</f>
        <v>44662.62782</v>
      </c>
      <c r="D2660" s="13">
        <f t="shared" si="1"/>
        <v>11</v>
      </c>
      <c r="E2660" s="13">
        <f t="shared" si="2"/>
        <v>15</v>
      </c>
    </row>
    <row r="2661">
      <c r="A2661" s="4" t="s">
        <v>3055</v>
      </c>
      <c r="B2661" s="16"/>
      <c r="C2661" s="12">
        <f>IFERROR(__xludf.DUMMYFUNCTION("""COMPUTED_VALUE"""),44662.627800925926)</f>
        <v>44662.6278</v>
      </c>
      <c r="D2661" s="13">
        <f t="shared" si="1"/>
        <v>11</v>
      </c>
      <c r="E2661" s="13">
        <f t="shared" si="2"/>
        <v>15</v>
      </c>
    </row>
    <row r="2662">
      <c r="A2662" s="4" t="s">
        <v>3056</v>
      </c>
      <c r="B2662" s="16"/>
      <c r="C2662" s="12">
        <f>IFERROR(__xludf.DUMMYFUNCTION("""COMPUTED_VALUE"""),44662.62777777777)</f>
        <v>44662.62778</v>
      </c>
      <c r="D2662" s="13">
        <f t="shared" si="1"/>
        <v>11</v>
      </c>
      <c r="E2662" s="13">
        <f t="shared" si="2"/>
        <v>15</v>
      </c>
    </row>
    <row r="2663">
      <c r="A2663" s="4" t="s">
        <v>3057</v>
      </c>
      <c r="B2663" s="4" t="s">
        <v>3054</v>
      </c>
      <c r="C2663" s="12">
        <f>IFERROR(__xludf.DUMMYFUNCTION("""COMPUTED_VALUE"""),44662.627754629626)</f>
        <v>44662.62775</v>
      </c>
      <c r="D2663" s="13">
        <f t="shared" si="1"/>
        <v>11</v>
      </c>
      <c r="E2663" s="13">
        <f t="shared" si="2"/>
        <v>15</v>
      </c>
    </row>
    <row r="2664">
      <c r="A2664" s="4" t="s">
        <v>3058</v>
      </c>
      <c r="B2664" s="16"/>
      <c r="C2664" s="12">
        <f>IFERROR(__xludf.DUMMYFUNCTION("""COMPUTED_VALUE"""),44662.62773148148)</f>
        <v>44662.62773</v>
      </c>
      <c r="D2664" s="13">
        <f t="shared" si="1"/>
        <v>11</v>
      </c>
      <c r="E2664" s="13">
        <f t="shared" si="2"/>
        <v>15</v>
      </c>
    </row>
    <row r="2665">
      <c r="A2665" s="4" t="s">
        <v>3059</v>
      </c>
      <c r="B2665" s="16"/>
      <c r="C2665" s="12">
        <f>IFERROR(__xludf.DUMMYFUNCTION("""COMPUTED_VALUE"""),44662.62768518518)</f>
        <v>44662.62769</v>
      </c>
      <c r="D2665" s="13">
        <f t="shared" si="1"/>
        <v>11</v>
      </c>
      <c r="E2665" s="13">
        <f t="shared" si="2"/>
        <v>15</v>
      </c>
    </row>
    <row r="2666">
      <c r="A2666" s="4" t="s">
        <v>3060</v>
      </c>
      <c r="B2666" s="16"/>
      <c r="C2666" s="12">
        <f>IFERROR(__xludf.DUMMYFUNCTION("""COMPUTED_VALUE"""),44662.62766203703)</f>
        <v>44662.62766</v>
      </c>
      <c r="D2666" s="13">
        <f t="shared" si="1"/>
        <v>11</v>
      </c>
      <c r="E2666" s="13">
        <f t="shared" si="2"/>
        <v>15</v>
      </c>
    </row>
    <row r="2667">
      <c r="A2667" s="4" t="s">
        <v>3061</v>
      </c>
      <c r="B2667" s="4" t="s">
        <v>3054</v>
      </c>
      <c r="C2667" s="12">
        <f>IFERROR(__xludf.DUMMYFUNCTION("""COMPUTED_VALUE"""),44662.62762731481)</f>
        <v>44662.62763</v>
      </c>
      <c r="D2667" s="13">
        <f t="shared" si="1"/>
        <v>11</v>
      </c>
      <c r="E2667" s="13">
        <f t="shared" si="2"/>
        <v>15</v>
      </c>
    </row>
    <row r="2668">
      <c r="A2668" s="4" t="s">
        <v>3061</v>
      </c>
      <c r="B2668" s="16"/>
      <c r="C2668" s="12">
        <f>IFERROR(__xludf.DUMMYFUNCTION("""COMPUTED_VALUE"""),44662.62762731481)</f>
        <v>44662.62763</v>
      </c>
      <c r="D2668" s="13">
        <f t="shared" si="1"/>
        <v>11</v>
      </c>
      <c r="E2668" s="13">
        <f t="shared" si="2"/>
        <v>15</v>
      </c>
    </row>
    <row r="2669">
      <c r="A2669" s="4" t="s">
        <v>3062</v>
      </c>
      <c r="B2669" s="16"/>
      <c r="C2669" s="12">
        <f>IFERROR(__xludf.DUMMYFUNCTION("""COMPUTED_VALUE"""),44662.62751157407)</f>
        <v>44662.62751</v>
      </c>
      <c r="D2669" s="13">
        <f t="shared" si="1"/>
        <v>11</v>
      </c>
      <c r="E2669" s="13">
        <f t="shared" si="2"/>
        <v>15</v>
      </c>
    </row>
    <row r="2670">
      <c r="A2670" s="4" t="s">
        <v>3063</v>
      </c>
      <c r="B2670" s="16"/>
      <c r="C2670" s="12">
        <f>IFERROR(__xludf.DUMMYFUNCTION("""COMPUTED_VALUE"""),44662.627430555556)</f>
        <v>44662.62743</v>
      </c>
      <c r="D2670" s="13">
        <f t="shared" si="1"/>
        <v>11</v>
      </c>
      <c r="E2670" s="13">
        <f t="shared" si="2"/>
        <v>15</v>
      </c>
    </row>
    <row r="2671">
      <c r="A2671" s="4" t="s">
        <v>3064</v>
      </c>
      <c r="B2671" s="4" t="s">
        <v>1406</v>
      </c>
      <c r="C2671" s="12">
        <f>IFERROR(__xludf.DUMMYFUNCTION("""COMPUTED_VALUE"""),44662.62739583333)</f>
        <v>44662.6274</v>
      </c>
      <c r="D2671" s="13">
        <f t="shared" si="1"/>
        <v>11</v>
      </c>
      <c r="E2671" s="13">
        <f t="shared" si="2"/>
        <v>15</v>
      </c>
    </row>
    <row r="2672">
      <c r="A2672" s="4" t="s">
        <v>3065</v>
      </c>
      <c r="B2672" s="4" t="s">
        <v>854</v>
      </c>
      <c r="C2672" s="12">
        <f>IFERROR(__xludf.DUMMYFUNCTION("""COMPUTED_VALUE"""),44662.627384259256)</f>
        <v>44662.62738</v>
      </c>
      <c r="D2672" s="13">
        <f t="shared" si="1"/>
        <v>11</v>
      </c>
      <c r="E2672" s="13">
        <f t="shared" si="2"/>
        <v>15</v>
      </c>
    </row>
    <row r="2673">
      <c r="A2673" s="4" t="s">
        <v>3066</v>
      </c>
      <c r="B2673" s="16"/>
      <c r="C2673" s="12">
        <f>IFERROR(__xludf.DUMMYFUNCTION("""COMPUTED_VALUE"""),44662.62725694444)</f>
        <v>44662.62726</v>
      </c>
      <c r="D2673" s="13">
        <f t="shared" si="1"/>
        <v>11</v>
      </c>
      <c r="E2673" s="13">
        <f t="shared" si="2"/>
        <v>15</v>
      </c>
    </row>
    <row r="2674">
      <c r="A2674" s="4" t="s">
        <v>3067</v>
      </c>
      <c r="B2674" s="16"/>
      <c r="C2674" s="12">
        <f>IFERROR(__xludf.DUMMYFUNCTION("""COMPUTED_VALUE"""),44662.6262037037)</f>
        <v>44662.6262</v>
      </c>
      <c r="D2674" s="13">
        <f t="shared" si="1"/>
        <v>11</v>
      </c>
      <c r="E2674" s="13">
        <f t="shared" si="2"/>
        <v>15</v>
      </c>
    </row>
    <row r="2675">
      <c r="A2675" s="4" t="s">
        <v>3068</v>
      </c>
      <c r="B2675" s="4" t="s">
        <v>3069</v>
      </c>
      <c r="C2675" s="12">
        <f>IFERROR(__xludf.DUMMYFUNCTION("""COMPUTED_VALUE"""),44662.62598379629)</f>
        <v>44662.62598</v>
      </c>
      <c r="D2675" s="13">
        <f t="shared" si="1"/>
        <v>11</v>
      </c>
      <c r="E2675" s="13">
        <f t="shared" si="2"/>
        <v>15</v>
      </c>
    </row>
    <row r="2676">
      <c r="A2676" s="4" t="s">
        <v>3070</v>
      </c>
      <c r="B2676" s="16"/>
      <c r="C2676" s="12">
        <f>IFERROR(__xludf.DUMMYFUNCTION("""COMPUTED_VALUE"""),44662.625925925924)</f>
        <v>44662.62593</v>
      </c>
      <c r="D2676" s="13">
        <f t="shared" si="1"/>
        <v>11</v>
      </c>
      <c r="E2676" s="13">
        <f t="shared" si="2"/>
        <v>15</v>
      </c>
    </row>
    <row r="2677">
      <c r="A2677" s="4" t="s">
        <v>3071</v>
      </c>
      <c r="B2677" s="4" t="s">
        <v>1455</v>
      </c>
      <c r="C2677" s="12">
        <f>IFERROR(__xludf.DUMMYFUNCTION("""COMPUTED_VALUE"""),44662.6255787037)</f>
        <v>44662.62558</v>
      </c>
      <c r="D2677" s="13">
        <f t="shared" si="1"/>
        <v>11</v>
      </c>
      <c r="E2677" s="13">
        <f t="shared" si="2"/>
        <v>15</v>
      </c>
    </row>
    <row r="2678">
      <c r="A2678" s="4" t="s">
        <v>3072</v>
      </c>
      <c r="B2678" s="4" t="s">
        <v>1455</v>
      </c>
      <c r="C2678" s="12">
        <f>IFERROR(__xludf.DUMMYFUNCTION("""COMPUTED_VALUE"""),44662.62553240741)</f>
        <v>44662.62553</v>
      </c>
      <c r="D2678" s="13">
        <f t="shared" si="1"/>
        <v>11</v>
      </c>
      <c r="E2678" s="13">
        <f t="shared" si="2"/>
        <v>15</v>
      </c>
    </row>
    <row r="2679">
      <c r="A2679" s="4" t="s">
        <v>3073</v>
      </c>
      <c r="B2679" s="4" t="s">
        <v>1455</v>
      </c>
      <c r="C2679" s="12">
        <f>IFERROR(__xludf.DUMMYFUNCTION("""COMPUTED_VALUE"""),44662.62547453703)</f>
        <v>44662.62547</v>
      </c>
      <c r="D2679" s="13">
        <f t="shared" si="1"/>
        <v>11</v>
      </c>
      <c r="E2679" s="13">
        <f t="shared" si="2"/>
        <v>15</v>
      </c>
    </row>
    <row r="2680">
      <c r="A2680" s="4" t="s">
        <v>3074</v>
      </c>
      <c r="B2680" s="4" t="s">
        <v>1455</v>
      </c>
      <c r="C2680" s="12">
        <f>IFERROR(__xludf.DUMMYFUNCTION("""COMPUTED_VALUE"""),44662.625451388885)</f>
        <v>44662.62545</v>
      </c>
      <c r="D2680" s="13">
        <f t="shared" si="1"/>
        <v>11</v>
      </c>
      <c r="E2680" s="13">
        <f t="shared" si="2"/>
        <v>15</v>
      </c>
    </row>
    <row r="2681">
      <c r="A2681" s="4" t="s">
        <v>3075</v>
      </c>
      <c r="B2681" s="4" t="s">
        <v>806</v>
      </c>
      <c r="C2681" s="12">
        <f>IFERROR(__xludf.DUMMYFUNCTION("""COMPUTED_VALUE"""),44662.62535879629)</f>
        <v>44662.62536</v>
      </c>
      <c r="D2681" s="13">
        <f t="shared" si="1"/>
        <v>11</v>
      </c>
      <c r="E2681" s="13">
        <f t="shared" si="2"/>
        <v>15</v>
      </c>
    </row>
    <row r="2682">
      <c r="A2682" s="4" t="s">
        <v>3075</v>
      </c>
      <c r="B2682" s="16"/>
      <c r="C2682" s="12">
        <f>IFERROR(__xludf.DUMMYFUNCTION("""COMPUTED_VALUE"""),44662.62535879629)</f>
        <v>44662.62536</v>
      </c>
      <c r="D2682" s="13">
        <f t="shared" si="1"/>
        <v>11</v>
      </c>
      <c r="E2682" s="13">
        <f t="shared" si="2"/>
        <v>15</v>
      </c>
    </row>
    <row r="2683">
      <c r="A2683" s="4" t="s">
        <v>3076</v>
      </c>
      <c r="B2683" s="4" t="s">
        <v>806</v>
      </c>
      <c r="C2683" s="12">
        <f>IFERROR(__xludf.DUMMYFUNCTION("""COMPUTED_VALUE"""),44662.62532407407)</f>
        <v>44662.62532</v>
      </c>
      <c r="D2683" s="13">
        <f t="shared" si="1"/>
        <v>11</v>
      </c>
      <c r="E2683" s="13">
        <f t="shared" si="2"/>
        <v>15</v>
      </c>
    </row>
    <row r="2684">
      <c r="A2684" s="4" t="s">
        <v>3076</v>
      </c>
      <c r="B2684" s="16"/>
      <c r="C2684" s="12">
        <f>IFERROR(__xludf.DUMMYFUNCTION("""COMPUTED_VALUE"""),44662.62532407407)</f>
        <v>44662.62532</v>
      </c>
      <c r="D2684" s="13">
        <f t="shared" si="1"/>
        <v>11</v>
      </c>
      <c r="E2684" s="13">
        <f t="shared" si="2"/>
        <v>15</v>
      </c>
    </row>
    <row r="2685">
      <c r="A2685" s="4" t="s">
        <v>3077</v>
      </c>
      <c r="B2685" s="4" t="s">
        <v>806</v>
      </c>
      <c r="C2685" s="12">
        <f>IFERROR(__xludf.DUMMYFUNCTION("""COMPUTED_VALUE"""),44662.62528935185)</f>
        <v>44662.62529</v>
      </c>
      <c r="D2685" s="13">
        <f t="shared" si="1"/>
        <v>11</v>
      </c>
      <c r="E2685" s="13">
        <f t="shared" si="2"/>
        <v>15</v>
      </c>
    </row>
    <row r="2686">
      <c r="A2686" s="4" t="s">
        <v>3078</v>
      </c>
      <c r="B2686" s="16"/>
      <c r="C2686" s="12">
        <f>IFERROR(__xludf.DUMMYFUNCTION("""COMPUTED_VALUE"""),44662.62467592592)</f>
        <v>44662.62468</v>
      </c>
      <c r="D2686" s="13">
        <f t="shared" si="1"/>
        <v>11</v>
      </c>
      <c r="E2686" s="13">
        <f t="shared" si="2"/>
        <v>14</v>
      </c>
    </row>
    <row r="2687">
      <c r="A2687" s="4" t="s">
        <v>3079</v>
      </c>
      <c r="B2687" s="16"/>
      <c r="C2687" s="12">
        <f>IFERROR(__xludf.DUMMYFUNCTION("""COMPUTED_VALUE"""),44662.62460648148)</f>
        <v>44662.62461</v>
      </c>
      <c r="D2687" s="13">
        <f t="shared" si="1"/>
        <v>11</v>
      </c>
      <c r="E2687" s="13">
        <f t="shared" si="2"/>
        <v>14</v>
      </c>
    </row>
    <row r="2688">
      <c r="A2688" s="4" t="s">
        <v>3080</v>
      </c>
      <c r="B2688" s="16"/>
      <c r="C2688" s="12">
        <f>IFERROR(__xludf.DUMMYFUNCTION("""COMPUTED_VALUE"""),44662.62438657407)</f>
        <v>44662.62439</v>
      </c>
      <c r="D2688" s="13">
        <f t="shared" si="1"/>
        <v>11</v>
      </c>
      <c r="E2688" s="13">
        <f t="shared" si="2"/>
        <v>14</v>
      </c>
    </row>
    <row r="2689">
      <c r="A2689" s="4" t="s">
        <v>3081</v>
      </c>
      <c r="B2689" s="4" t="s">
        <v>3082</v>
      </c>
      <c r="C2689" s="12">
        <f>IFERROR(__xludf.DUMMYFUNCTION("""COMPUTED_VALUE"""),44662.6243287037)</f>
        <v>44662.62433</v>
      </c>
      <c r="D2689" s="13">
        <f t="shared" si="1"/>
        <v>11</v>
      </c>
      <c r="E2689" s="13">
        <f t="shared" si="2"/>
        <v>14</v>
      </c>
    </row>
    <row r="2690">
      <c r="A2690" s="4" t="s">
        <v>3081</v>
      </c>
      <c r="B2690" s="4" t="s">
        <v>3083</v>
      </c>
      <c r="C2690" s="12">
        <f>IFERROR(__xludf.DUMMYFUNCTION("""COMPUTED_VALUE"""),44662.6243287037)</f>
        <v>44662.62433</v>
      </c>
      <c r="D2690" s="13">
        <f t="shared" si="1"/>
        <v>11</v>
      </c>
      <c r="E2690" s="13">
        <f t="shared" si="2"/>
        <v>14</v>
      </c>
    </row>
    <row r="2691">
      <c r="A2691" s="4" t="s">
        <v>3084</v>
      </c>
      <c r="B2691" s="16"/>
      <c r="C2691" s="12">
        <f>IFERROR(__xludf.DUMMYFUNCTION("""COMPUTED_VALUE"""),44662.62431712963)</f>
        <v>44662.62432</v>
      </c>
      <c r="D2691" s="13">
        <f t="shared" si="1"/>
        <v>11</v>
      </c>
      <c r="E2691" s="13">
        <f t="shared" si="2"/>
        <v>14</v>
      </c>
    </row>
    <row r="2692">
      <c r="A2692" s="4" t="s">
        <v>3085</v>
      </c>
      <c r="B2692" s="16"/>
      <c r="C2692" s="12">
        <f>IFERROR(__xludf.DUMMYFUNCTION("""COMPUTED_VALUE"""),44662.62430555555)</f>
        <v>44662.62431</v>
      </c>
      <c r="D2692" s="13">
        <f t="shared" si="1"/>
        <v>11</v>
      </c>
      <c r="E2692" s="13">
        <f t="shared" si="2"/>
        <v>14</v>
      </c>
    </row>
    <row r="2693">
      <c r="A2693" s="4" t="s">
        <v>3086</v>
      </c>
      <c r="B2693" s="16"/>
      <c r="C2693" s="12">
        <f>IFERROR(__xludf.DUMMYFUNCTION("""COMPUTED_VALUE"""),44662.62429398148)</f>
        <v>44662.62429</v>
      </c>
      <c r="D2693" s="13">
        <f t="shared" si="1"/>
        <v>11</v>
      </c>
      <c r="E2693" s="13">
        <f t="shared" si="2"/>
        <v>14</v>
      </c>
    </row>
    <row r="2694">
      <c r="A2694" s="4" t="s">
        <v>3087</v>
      </c>
      <c r="B2694" s="16"/>
      <c r="C2694" s="12">
        <f>IFERROR(__xludf.DUMMYFUNCTION("""COMPUTED_VALUE"""),44662.62428240741)</f>
        <v>44662.62428</v>
      </c>
      <c r="D2694" s="13">
        <f t="shared" si="1"/>
        <v>11</v>
      </c>
      <c r="E2694" s="13">
        <f t="shared" si="2"/>
        <v>14</v>
      </c>
    </row>
    <row r="2695">
      <c r="A2695" s="4" t="s">
        <v>3088</v>
      </c>
      <c r="B2695" s="16"/>
      <c r="C2695" s="12">
        <f>IFERROR(__xludf.DUMMYFUNCTION("""COMPUTED_VALUE"""),44662.62427083333)</f>
        <v>44662.62427</v>
      </c>
      <c r="D2695" s="13">
        <f t="shared" si="1"/>
        <v>11</v>
      </c>
      <c r="E2695" s="13">
        <f t="shared" si="2"/>
        <v>14</v>
      </c>
    </row>
    <row r="2696">
      <c r="A2696" s="4" t="s">
        <v>3089</v>
      </c>
      <c r="B2696" s="4" t="s">
        <v>3082</v>
      </c>
      <c r="C2696" s="12">
        <f>IFERROR(__xludf.DUMMYFUNCTION("""COMPUTED_VALUE"""),44662.62425925925)</f>
        <v>44662.62426</v>
      </c>
      <c r="D2696" s="13">
        <f t="shared" si="1"/>
        <v>11</v>
      </c>
      <c r="E2696" s="13">
        <f t="shared" si="2"/>
        <v>14</v>
      </c>
    </row>
    <row r="2697">
      <c r="A2697" s="4" t="s">
        <v>3089</v>
      </c>
      <c r="B2697" s="4" t="s">
        <v>806</v>
      </c>
      <c r="C2697" s="12">
        <f>IFERROR(__xludf.DUMMYFUNCTION("""COMPUTED_VALUE"""),44662.62425925925)</f>
        <v>44662.62426</v>
      </c>
      <c r="D2697" s="13">
        <f t="shared" si="1"/>
        <v>11</v>
      </c>
      <c r="E2697" s="13">
        <f t="shared" si="2"/>
        <v>14</v>
      </c>
    </row>
    <row r="2698">
      <c r="A2698" s="4" t="s">
        <v>3090</v>
      </c>
      <c r="B2698" s="16"/>
      <c r="C2698" s="12">
        <f>IFERROR(__xludf.DUMMYFUNCTION("""COMPUTED_VALUE"""),44662.624247685184)</f>
        <v>44662.62425</v>
      </c>
      <c r="D2698" s="13">
        <f t="shared" si="1"/>
        <v>11</v>
      </c>
      <c r="E2698" s="13">
        <f t="shared" si="2"/>
        <v>14</v>
      </c>
    </row>
    <row r="2699">
      <c r="A2699" s="4" t="s">
        <v>3091</v>
      </c>
      <c r="B2699" s="16"/>
      <c r="C2699" s="12">
        <f>IFERROR(__xludf.DUMMYFUNCTION("""COMPUTED_VALUE"""),44662.62422453704)</f>
        <v>44662.62422</v>
      </c>
      <c r="D2699" s="13">
        <f t="shared" si="1"/>
        <v>11</v>
      </c>
      <c r="E2699" s="13">
        <f t="shared" si="2"/>
        <v>14</v>
      </c>
    </row>
    <row r="2700">
      <c r="A2700" s="4" t="s">
        <v>3092</v>
      </c>
      <c r="B2700" s="4" t="s">
        <v>3093</v>
      </c>
      <c r="C2700" s="12">
        <f>IFERROR(__xludf.DUMMYFUNCTION("""COMPUTED_VALUE"""),44662.62417824074)</f>
        <v>44662.62418</v>
      </c>
      <c r="D2700" s="13">
        <f t="shared" si="1"/>
        <v>11</v>
      </c>
      <c r="E2700" s="13">
        <f t="shared" si="2"/>
        <v>14</v>
      </c>
    </row>
    <row r="2701">
      <c r="A2701" s="4" t="s">
        <v>3094</v>
      </c>
      <c r="B2701" s="16"/>
      <c r="C2701" s="12">
        <f>IFERROR(__xludf.DUMMYFUNCTION("""COMPUTED_VALUE"""),44662.62410879629)</f>
        <v>44662.62411</v>
      </c>
      <c r="D2701" s="13">
        <f t="shared" si="1"/>
        <v>11</v>
      </c>
      <c r="E2701" s="13">
        <f t="shared" si="2"/>
        <v>14</v>
      </c>
    </row>
    <row r="2702">
      <c r="A2702" s="4" t="s">
        <v>3095</v>
      </c>
      <c r="B2702" s="16"/>
      <c r="C2702" s="12">
        <f>IFERROR(__xludf.DUMMYFUNCTION("""COMPUTED_VALUE"""),44662.62409722222)</f>
        <v>44662.6241</v>
      </c>
      <c r="D2702" s="13">
        <f t="shared" si="1"/>
        <v>11</v>
      </c>
      <c r="E2702" s="13">
        <f t="shared" si="2"/>
        <v>14</v>
      </c>
    </row>
    <row r="2703">
      <c r="A2703" s="4" t="s">
        <v>3096</v>
      </c>
      <c r="B2703" s="16"/>
      <c r="C2703" s="12">
        <f>IFERROR(__xludf.DUMMYFUNCTION("""COMPUTED_VALUE"""),44662.62405092592)</f>
        <v>44662.62405</v>
      </c>
      <c r="D2703" s="13">
        <f t="shared" si="1"/>
        <v>11</v>
      </c>
      <c r="E2703" s="13">
        <f t="shared" si="2"/>
        <v>14</v>
      </c>
    </row>
    <row r="2704">
      <c r="A2704" s="4" t="s">
        <v>3097</v>
      </c>
      <c r="B2704" s="4" t="s">
        <v>829</v>
      </c>
      <c r="C2704" s="12">
        <f>IFERROR(__xludf.DUMMYFUNCTION("""COMPUTED_VALUE"""),44662.623888888884)</f>
        <v>44662.62389</v>
      </c>
      <c r="D2704" s="13">
        <f t="shared" si="1"/>
        <v>11</v>
      </c>
      <c r="E2704" s="13">
        <f t="shared" si="2"/>
        <v>14</v>
      </c>
    </row>
    <row r="2705">
      <c r="A2705" s="4" t="s">
        <v>3098</v>
      </c>
      <c r="B2705" s="4" t="s">
        <v>829</v>
      </c>
      <c r="C2705" s="12">
        <f>IFERROR(__xludf.DUMMYFUNCTION("""COMPUTED_VALUE"""),44662.62386574074)</f>
        <v>44662.62387</v>
      </c>
      <c r="D2705" s="13">
        <f t="shared" si="1"/>
        <v>11</v>
      </c>
      <c r="E2705" s="13">
        <f t="shared" si="2"/>
        <v>14</v>
      </c>
    </row>
    <row r="2706">
      <c r="A2706" s="4" t="s">
        <v>3099</v>
      </c>
      <c r="B2706" s="4" t="s">
        <v>829</v>
      </c>
      <c r="C2706" s="12">
        <f>IFERROR(__xludf.DUMMYFUNCTION("""COMPUTED_VALUE"""),44662.62384259259)</f>
        <v>44662.62384</v>
      </c>
      <c r="D2706" s="13">
        <f t="shared" si="1"/>
        <v>11</v>
      </c>
      <c r="E2706" s="13">
        <f t="shared" si="2"/>
        <v>14</v>
      </c>
    </row>
    <row r="2707">
      <c r="A2707" s="4" t="s">
        <v>3100</v>
      </c>
      <c r="B2707" s="4" t="s">
        <v>829</v>
      </c>
      <c r="C2707" s="12">
        <f>IFERROR(__xludf.DUMMYFUNCTION("""COMPUTED_VALUE"""),44662.623831018514)</f>
        <v>44662.62383</v>
      </c>
      <c r="D2707" s="13">
        <f t="shared" si="1"/>
        <v>11</v>
      </c>
      <c r="E2707" s="13">
        <f t="shared" si="2"/>
        <v>14</v>
      </c>
    </row>
    <row r="2708">
      <c r="A2708" s="4" t="s">
        <v>3101</v>
      </c>
      <c r="B2708" s="16"/>
      <c r="C2708" s="12">
        <f>IFERROR(__xludf.DUMMYFUNCTION("""COMPUTED_VALUE"""),44662.62375)</f>
        <v>44662.62375</v>
      </c>
      <c r="D2708" s="13">
        <f t="shared" si="1"/>
        <v>11</v>
      </c>
      <c r="E2708" s="13">
        <f t="shared" si="2"/>
        <v>14</v>
      </c>
    </row>
    <row r="2709">
      <c r="A2709" s="4" t="s">
        <v>3102</v>
      </c>
      <c r="B2709" s="4" t="s">
        <v>829</v>
      </c>
      <c r="C2709" s="12">
        <f>IFERROR(__xludf.DUMMYFUNCTION("""COMPUTED_VALUE"""),44662.62372685185)</f>
        <v>44662.62373</v>
      </c>
      <c r="D2709" s="13">
        <f t="shared" si="1"/>
        <v>11</v>
      </c>
      <c r="E2709" s="13">
        <f t="shared" si="2"/>
        <v>14</v>
      </c>
    </row>
    <row r="2710">
      <c r="A2710" s="4" t="s">
        <v>3103</v>
      </c>
      <c r="B2710" s="4" t="s">
        <v>829</v>
      </c>
      <c r="C2710" s="12">
        <f>IFERROR(__xludf.DUMMYFUNCTION("""COMPUTED_VALUE"""),44662.62369212963)</f>
        <v>44662.62369</v>
      </c>
      <c r="D2710" s="13">
        <f t="shared" si="1"/>
        <v>11</v>
      </c>
      <c r="E2710" s="13">
        <f t="shared" si="2"/>
        <v>14</v>
      </c>
    </row>
    <row r="2711">
      <c r="A2711" s="4" t="s">
        <v>3104</v>
      </c>
      <c r="B2711" s="16"/>
      <c r="C2711" s="12">
        <f>IFERROR(__xludf.DUMMYFUNCTION("""COMPUTED_VALUE"""),44662.62368055555)</f>
        <v>44662.62368</v>
      </c>
      <c r="D2711" s="13">
        <f t="shared" si="1"/>
        <v>11</v>
      </c>
      <c r="E2711" s="13">
        <f t="shared" si="2"/>
        <v>14</v>
      </c>
    </row>
    <row r="2712">
      <c r="A2712" s="4" t="s">
        <v>3105</v>
      </c>
      <c r="B2712" s="16"/>
      <c r="C2712" s="12">
        <f>IFERROR(__xludf.DUMMYFUNCTION("""COMPUTED_VALUE"""),44662.62365740741)</f>
        <v>44662.62366</v>
      </c>
      <c r="D2712" s="13">
        <f t="shared" si="1"/>
        <v>11</v>
      </c>
      <c r="E2712" s="13">
        <f t="shared" si="2"/>
        <v>14</v>
      </c>
    </row>
    <row r="2713">
      <c r="A2713" s="4" t="s">
        <v>3106</v>
      </c>
      <c r="B2713" s="16"/>
      <c r="C2713" s="12">
        <f>IFERROR(__xludf.DUMMYFUNCTION("""COMPUTED_VALUE"""),44662.62362268518)</f>
        <v>44662.62362</v>
      </c>
      <c r="D2713" s="13">
        <f t="shared" si="1"/>
        <v>11</v>
      </c>
      <c r="E2713" s="13">
        <f t="shared" si="2"/>
        <v>14</v>
      </c>
    </row>
    <row r="2714">
      <c r="A2714" s="4" t="s">
        <v>3107</v>
      </c>
      <c r="B2714" s="16"/>
      <c r="C2714" s="12">
        <f>IFERROR(__xludf.DUMMYFUNCTION("""COMPUTED_VALUE"""),44662.62358796296)</f>
        <v>44662.62359</v>
      </c>
      <c r="D2714" s="13">
        <f t="shared" si="1"/>
        <v>11</v>
      </c>
      <c r="E2714" s="13">
        <f t="shared" si="2"/>
        <v>14</v>
      </c>
    </row>
    <row r="2715">
      <c r="A2715" s="4" t="s">
        <v>3108</v>
      </c>
      <c r="B2715" s="16"/>
      <c r="C2715" s="12">
        <f>IFERROR(__xludf.DUMMYFUNCTION("""COMPUTED_VALUE"""),44662.62354166667)</f>
        <v>44662.62354</v>
      </c>
      <c r="D2715" s="13">
        <f t="shared" si="1"/>
        <v>11</v>
      </c>
      <c r="E2715" s="13">
        <f t="shared" si="2"/>
        <v>14</v>
      </c>
    </row>
    <row r="2716">
      <c r="A2716" s="4" t="s">
        <v>3109</v>
      </c>
      <c r="B2716" s="4" t="s">
        <v>3110</v>
      </c>
      <c r="C2716" s="12">
        <f>IFERROR(__xludf.DUMMYFUNCTION("""COMPUTED_VALUE"""),44662.62347222222)</f>
        <v>44662.62347</v>
      </c>
      <c r="D2716" s="13">
        <f t="shared" si="1"/>
        <v>11</v>
      </c>
      <c r="E2716" s="13">
        <f t="shared" si="2"/>
        <v>14</v>
      </c>
    </row>
    <row r="2717">
      <c r="A2717" s="4" t="s">
        <v>3111</v>
      </c>
      <c r="B2717" s="16"/>
      <c r="C2717" s="12">
        <f>IFERROR(__xludf.DUMMYFUNCTION("""COMPUTED_VALUE"""),44662.62344907407)</f>
        <v>44662.62345</v>
      </c>
      <c r="D2717" s="13">
        <f t="shared" si="1"/>
        <v>11</v>
      </c>
      <c r="E2717" s="13">
        <f t="shared" si="2"/>
        <v>14</v>
      </c>
    </row>
    <row r="2718">
      <c r="A2718" s="4" t="s">
        <v>3112</v>
      </c>
      <c r="B2718" s="16"/>
      <c r="C2718" s="12">
        <f>IFERROR(__xludf.DUMMYFUNCTION("""COMPUTED_VALUE"""),44662.623402777775)</f>
        <v>44662.6234</v>
      </c>
      <c r="D2718" s="13">
        <f t="shared" si="1"/>
        <v>11</v>
      </c>
      <c r="E2718" s="13">
        <f t="shared" si="2"/>
        <v>14</v>
      </c>
    </row>
    <row r="2719">
      <c r="A2719" s="4" t="s">
        <v>3113</v>
      </c>
      <c r="B2719" s="16"/>
      <c r="C2719" s="12">
        <f>IFERROR(__xludf.DUMMYFUNCTION("""COMPUTED_VALUE"""),44662.623356481476)</f>
        <v>44662.62336</v>
      </c>
      <c r="D2719" s="13">
        <f t="shared" si="1"/>
        <v>11</v>
      </c>
      <c r="E2719" s="13">
        <f t="shared" si="2"/>
        <v>14</v>
      </c>
    </row>
    <row r="2720">
      <c r="A2720" s="4" t="s">
        <v>3114</v>
      </c>
      <c r="B2720" s="4" t="s">
        <v>1688</v>
      </c>
      <c r="C2720" s="12">
        <f>IFERROR(__xludf.DUMMYFUNCTION("""COMPUTED_VALUE"""),44662.62331018518)</f>
        <v>44662.62331</v>
      </c>
      <c r="D2720" s="13">
        <f t="shared" si="1"/>
        <v>11</v>
      </c>
      <c r="E2720" s="13">
        <f t="shared" si="2"/>
        <v>14</v>
      </c>
    </row>
    <row r="2721">
      <c r="A2721" s="4" t="s">
        <v>3115</v>
      </c>
      <c r="B2721" s="16"/>
      <c r="C2721" s="12">
        <f>IFERROR(__xludf.DUMMYFUNCTION("""COMPUTED_VALUE"""),44662.62324074074)</f>
        <v>44662.62324</v>
      </c>
      <c r="D2721" s="13">
        <f t="shared" si="1"/>
        <v>11</v>
      </c>
      <c r="E2721" s="13">
        <f t="shared" si="2"/>
        <v>14</v>
      </c>
    </row>
    <row r="2722">
      <c r="A2722" s="4" t="s">
        <v>3116</v>
      </c>
      <c r="B2722" s="16"/>
      <c r="C2722" s="12">
        <f>IFERROR(__xludf.DUMMYFUNCTION("""COMPUTED_VALUE"""),44662.62285879629)</f>
        <v>44662.62286</v>
      </c>
      <c r="D2722" s="13">
        <f t="shared" si="1"/>
        <v>11</v>
      </c>
      <c r="E2722" s="13">
        <f t="shared" si="2"/>
        <v>14</v>
      </c>
    </row>
    <row r="2723">
      <c r="A2723" s="4" t="s">
        <v>3117</v>
      </c>
      <c r="B2723" s="16"/>
      <c r="C2723" s="12">
        <f>IFERROR(__xludf.DUMMYFUNCTION("""COMPUTED_VALUE"""),44662.622835648144)</f>
        <v>44662.62284</v>
      </c>
      <c r="D2723" s="13">
        <f t="shared" si="1"/>
        <v>11</v>
      </c>
      <c r="E2723" s="13">
        <f t="shared" si="2"/>
        <v>14</v>
      </c>
    </row>
    <row r="2724">
      <c r="A2724" s="4" t="s">
        <v>3118</v>
      </c>
      <c r="B2724" s="16"/>
      <c r="C2724" s="12">
        <f>IFERROR(__xludf.DUMMYFUNCTION("""COMPUTED_VALUE"""),44662.62280092592)</f>
        <v>44662.6228</v>
      </c>
      <c r="D2724" s="13">
        <f t="shared" si="1"/>
        <v>11</v>
      </c>
      <c r="E2724" s="13">
        <f t="shared" si="2"/>
        <v>14</v>
      </c>
    </row>
    <row r="2725">
      <c r="A2725" s="4" t="s">
        <v>3119</v>
      </c>
      <c r="B2725" s="16"/>
      <c r="C2725" s="12">
        <f>IFERROR(__xludf.DUMMYFUNCTION("""COMPUTED_VALUE"""),44662.622777777775)</f>
        <v>44662.62278</v>
      </c>
      <c r="D2725" s="13">
        <f t="shared" si="1"/>
        <v>11</v>
      </c>
      <c r="E2725" s="13">
        <f t="shared" si="2"/>
        <v>14</v>
      </c>
    </row>
    <row r="2726">
      <c r="A2726" s="4" t="s">
        <v>3120</v>
      </c>
      <c r="B2726" s="16"/>
      <c r="C2726" s="12">
        <f>IFERROR(__xludf.DUMMYFUNCTION("""COMPUTED_VALUE"""),44662.62269675926)</f>
        <v>44662.6227</v>
      </c>
      <c r="D2726" s="13">
        <f t="shared" si="1"/>
        <v>11</v>
      </c>
      <c r="E2726" s="13">
        <f t="shared" si="2"/>
        <v>14</v>
      </c>
    </row>
    <row r="2727">
      <c r="A2727" s="4" t="s">
        <v>3121</v>
      </c>
      <c r="B2727" s="4" t="s">
        <v>2943</v>
      </c>
      <c r="C2727" s="12">
        <f>IFERROR(__xludf.DUMMYFUNCTION("""COMPUTED_VALUE"""),44662.622662037036)</f>
        <v>44662.62266</v>
      </c>
      <c r="D2727" s="13">
        <f t="shared" si="1"/>
        <v>11</v>
      </c>
      <c r="E2727" s="13">
        <f t="shared" si="2"/>
        <v>14</v>
      </c>
    </row>
    <row r="2728">
      <c r="A2728" s="4" t="s">
        <v>3122</v>
      </c>
      <c r="B2728" s="16"/>
      <c r="C2728" s="12">
        <f>IFERROR(__xludf.DUMMYFUNCTION("""COMPUTED_VALUE"""),44662.62262731481)</f>
        <v>44662.62263</v>
      </c>
      <c r="D2728" s="13">
        <f t="shared" si="1"/>
        <v>11</v>
      </c>
      <c r="E2728" s="13">
        <f t="shared" si="2"/>
        <v>14</v>
      </c>
    </row>
    <row r="2729">
      <c r="A2729" s="4" t="s">
        <v>3123</v>
      </c>
      <c r="B2729" s="16"/>
      <c r="C2729" s="12">
        <f>IFERROR(__xludf.DUMMYFUNCTION("""COMPUTED_VALUE"""),44662.62244212963)</f>
        <v>44662.62244</v>
      </c>
      <c r="D2729" s="13">
        <f t="shared" si="1"/>
        <v>11</v>
      </c>
      <c r="E2729" s="13">
        <f t="shared" si="2"/>
        <v>14</v>
      </c>
    </row>
    <row r="2730">
      <c r="A2730" s="4" t="s">
        <v>3124</v>
      </c>
      <c r="B2730" s="4" t="s">
        <v>1688</v>
      </c>
      <c r="C2730" s="12">
        <f>IFERROR(__xludf.DUMMYFUNCTION("""COMPUTED_VALUE"""),44662.62224537037)</f>
        <v>44662.62225</v>
      </c>
      <c r="D2730" s="13">
        <f t="shared" si="1"/>
        <v>11</v>
      </c>
      <c r="E2730" s="13">
        <f t="shared" si="2"/>
        <v>14</v>
      </c>
    </row>
    <row r="2731">
      <c r="A2731" s="4" t="s">
        <v>3125</v>
      </c>
      <c r="B2731" s="4" t="s">
        <v>3126</v>
      </c>
      <c r="C2731" s="12">
        <f>IFERROR(__xludf.DUMMYFUNCTION("""COMPUTED_VALUE"""),44662.62163194444)</f>
        <v>44662.62163</v>
      </c>
      <c r="D2731" s="13">
        <f t="shared" si="1"/>
        <v>11</v>
      </c>
      <c r="E2731" s="13">
        <f t="shared" si="2"/>
        <v>14</v>
      </c>
    </row>
    <row r="2732">
      <c r="A2732" s="4" t="s">
        <v>3127</v>
      </c>
      <c r="B2732" s="16"/>
      <c r="C2732" s="12">
        <f>IFERROR(__xludf.DUMMYFUNCTION("""COMPUTED_VALUE"""),44662.62114583333)</f>
        <v>44662.62115</v>
      </c>
      <c r="D2732" s="13">
        <f t="shared" si="1"/>
        <v>11</v>
      </c>
      <c r="E2732" s="13">
        <f t="shared" si="2"/>
        <v>14</v>
      </c>
    </row>
    <row r="2733">
      <c r="A2733" s="4" t="s">
        <v>3128</v>
      </c>
      <c r="B2733" s="4" t="s">
        <v>854</v>
      </c>
      <c r="C2733" s="12">
        <f>IFERROR(__xludf.DUMMYFUNCTION("""COMPUTED_VALUE"""),44662.62077546296)</f>
        <v>44662.62078</v>
      </c>
      <c r="D2733" s="13">
        <f t="shared" si="1"/>
        <v>11</v>
      </c>
      <c r="E2733" s="13">
        <f t="shared" si="2"/>
        <v>14</v>
      </c>
    </row>
    <row r="2734">
      <c r="A2734" s="4" t="s">
        <v>3129</v>
      </c>
      <c r="B2734" s="4" t="s">
        <v>3130</v>
      </c>
      <c r="C2734" s="12">
        <f>IFERROR(__xludf.DUMMYFUNCTION("""COMPUTED_VALUE"""),44662.62063657407)</f>
        <v>44662.62064</v>
      </c>
      <c r="D2734" s="13">
        <f t="shared" si="1"/>
        <v>11</v>
      </c>
      <c r="E2734" s="13">
        <f t="shared" si="2"/>
        <v>14</v>
      </c>
    </row>
    <row r="2735">
      <c r="A2735" s="4" t="s">
        <v>3131</v>
      </c>
      <c r="B2735" s="16"/>
      <c r="C2735" s="12">
        <f>IFERROR(__xludf.DUMMYFUNCTION("""COMPUTED_VALUE"""),44662.620624999996)</f>
        <v>44662.62063</v>
      </c>
      <c r="D2735" s="13">
        <f t="shared" si="1"/>
        <v>11</v>
      </c>
      <c r="E2735" s="13">
        <f t="shared" si="2"/>
        <v>14</v>
      </c>
    </row>
    <row r="2736">
      <c r="A2736" s="4" t="s">
        <v>3132</v>
      </c>
      <c r="B2736" s="4" t="s">
        <v>240</v>
      </c>
      <c r="C2736" s="12">
        <f>IFERROR(__xludf.DUMMYFUNCTION("""COMPUTED_VALUE"""),44662.62060185185)</f>
        <v>44662.6206</v>
      </c>
      <c r="D2736" s="13">
        <f t="shared" si="1"/>
        <v>11</v>
      </c>
      <c r="E2736" s="13">
        <f t="shared" si="2"/>
        <v>14</v>
      </c>
    </row>
    <row r="2737">
      <c r="A2737" s="4" t="s">
        <v>3133</v>
      </c>
      <c r="B2737" s="16"/>
      <c r="C2737" s="12">
        <f>IFERROR(__xludf.DUMMYFUNCTION("""COMPUTED_VALUE"""),44662.62059027777)</f>
        <v>44662.62059</v>
      </c>
      <c r="D2737" s="13">
        <f t="shared" si="1"/>
        <v>11</v>
      </c>
      <c r="E2737" s="13">
        <f t="shared" si="2"/>
        <v>14</v>
      </c>
    </row>
    <row r="2738">
      <c r="A2738" s="4" t="s">
        <v>3134</v>
      </c>
      <c r="B2738" s="16"/>
      <c r="C2738" s="12">
        <f>IFERROR(__xludf.DUMMYFUNCTION("""COMPUTED_VALUE"""),44662.6205787037)</f>
        <v>44662.62058</v>
      </c>
      <c r="D2738" s="13">
        <f t="shared" si="1"/>
        <v>11</v>
      </c>
      <c r="E2738" s="13">
        <f t="shared" si="2"/>
        <v>14</v>
      </c>
    </row>
    <row r="2739">
      <c r="A2739" s="4" t="s">
        <v>3135</v>
      </c>
      <c r="B2739" s="16"/>
      <c r="C2739" s="12">
        <f>IFERROR(__xludf.DUMMYFUNCTION("""COMPUTED_VALUE"""),44662.6205324074)</f>
        <v>44662.62053</v>
      </c>
      <c r="D2739" s="13">
        <f t="shared" si="1"/>
        <v>11</v>
      </c>
      <c r="E2739" s="13">
        <f t="shared" si="2"/>
        <v>14</v>
      </c>
    </row>
    <row r="2740">
      <c r="A2740" s="4" t="s">
        <v>3136</v>
      </c>
      <c r="B2740" s="4" t="s">
        <v>240</v>
      </c>
      <c r="C2740" s="12">
        <f>IFERROR(__xludf.DUMMYFUNCTION("""COMPUTED_VALUE"""),44662.62043981481)</f>
        <v>44662.62044</v>
      </c>
      <c r="D2740" s="13">
        <f t="shared" si="1"/>
        <v>11</v>
      </c>
      <c r="E2740" s="13">
        <f t="shared" si="2"/>
        <v>14</v>
      </c>
    </row>
    <row r="2741">
      <c r="A2741" s="4" t="s">
        <v>3137</v>
      </c>
      <c r="B2741" s="4" t="s">
        <v>3138</v>
      </c>
      <c r="C2741" s="12">
        <f>IFERROR(__xludf.DUMMYFUNCTION("""COMPUTED_VALUE"""),44662.619942129626)</f>
        <v>44662.61994</v>
      </c>
      <c r="D2741" s="13">
        <f t="shared" si="1"/>
        <v>11</v>
      </c>
      <c r="E2741" s="13">
        <f t="shared" si="2"/>
        <v>14</v>
      </c>
    </row>
    <row r="2742">
      <c r="A2742" s="4" t="s">
        <v>3139</v>
      </c>
      <c r="B2742" s="4" t="s">
        <v>3138</v>
      </c>
      <c r="C2742" s="12">
        <f>IFERROR(__xludf.DUMMYFUNCTION("""COMPUTED_VALUE"""),44662.61991898148)</f>
        <v>44662.61992</v>
      </c>
      <c r="D2742" s="13">
        <f t="shared" si="1"/>
        <v>11</v>
      </c>
      <c r="E2742" s="13">
        <f t="shared" si="2"/>
        <v>14</v>
      </c>
    </row>
    <row r="2743">
      <c r="A2743" s="4" t="s">
        <v>3140</v>
      </c>
      <c r="B2743" s="16"/>
      <c r="C2743" s="12">
        <f>IFERROR(__xludf.DUMMYFUNCTION("""COMPUTED_VALUE"""),44662.6199074074)</f>
        <v>44662.61991</v>
      </c>
      <c r="D2743" s="13">
        <f t="shared" si="1"/>
        <v>11</v>
      </c>
      <c r="E2743" s="13">
        <f t="shared" si="2"/>
        <v>14</v>
      </c>
    </row>
    <row r="2744">
      <c r="A2744" s="4" t="s">
        <v>3140</v>
      </c>
      <c r="B2744" s="4" t="s">
        <v>3138</v>
      </c>
      <c r="C2744" s="12">
        <f>IFERROR(__xludf.DUMMYFUNCTION("""COMPUTED_VALUE"""),44662.6199074074)</f>
        <v>44662.61991</v>
      </c>
      <c r="D2744" s="13">
        <f t="shared" si="1"/>
        <v>11</v>
      </c>
      <c r="E2744" s="13">
        <f t="shared" si="2"/>
        <v>14</v>
      </c>
    </row>
    <row r="2745">
      <c r="A2745" s="4" t="s">
        <v>3141</v>
      </c>
      <c r="B2745" s="4" t="s">
        <v>3138</v>
      </c>
      <c r="C2745" s="12">
        <f>IFERROR(__xludf.DUMMYFUNCTION("""COMPUTED_VALUE"""),44662.61988425926)</f>
        <v>44662.61988</v>
      </c>
      <c r="D2745" s="13">
        <f t="shared" si="1"/>
        <v>11</v>
      </c>
      <c r="E2745" s="13">
        <f t="shared" si="2"/>
        <v>14</v>
      </c>
    </row>
    <row r="2746">
      <c r="A2746" s="4" t="s">
        <v>3142</v>
      </c>
      <c r="B2746" s="4" t="s">
        <v>3138</v>
      </c>
      <c r="C2746" s="12">
        <f>IFERROR(__xludf.DUMMYFUNCTION("""COMPUTED_VALUE"""),44662.61987268518)</f>
        <v>44662.61987</v>
      </c>
      <c r="D2746" s="13">
        <f t="shared" si="1"/>
        <v>11</v>
      </c>
      <c r="E2746" s="13">
        <f t="shared" si="2"/>
        <v>14</v>
      </c>
    </row>
    <row r="2747">
      <c r="A2747" s="4" t="s">
        <v>3143</v>
      </c>
      <c r="B2747" s="16"/>
      <c r="C2747" s="12">
        <f>IFERROR(__xludf.DUMMYFUNCTION("""COMPUTED_VALUE"""),44662.61986111111)</f>
        <v>44662.61986</v>
      </c>
      <c r="D2747" s="13">
        <f t="shared" si="1"/>
        <v>11</v>
      </c>
      <c r="E2747" s="13">
        <f t="shared" si="2"/>
        <v>14</v>
      </c>
    </row>
    <row r="2748">
      <c r="A2748" s="4" t="s">
        <v>3143</v>
      </c>
      <c r="B2748" s="4" t="s">
        <v>3138</v>
      </c>
      <c r="C2748" s="12">
        <f>IFERROR(__xludf.DUMMYFUNCTION("""COMPUTED_VALUE"""),44662.61986111111)</f>
        <v>44662.61986</v>
      </c>
      <c r="D2748" s="13">
        <f t="shared" si="1"/>
        <v>11</v>
      </c>
      <c r="E2748" s="13">
        <f t="shared" si="2"/>
        <v>14</v>
      </c>
    </row>
    <row r="2749">
      <c r="A2749" s="4" t="s">
        <v>3144</v>
      </c>
      <c r="B2749" s="4" t="s">
        <v>3138</v>
      </c>
      <c r="C2749" s="12">
        <f>IFERROR(__xludf.DUMMYFUNCTION("""COMPUTED_VALUE"""),44662.619837962964)</f>
        <v>44662.61984</v>
      </c>
      <c r="D2749" s="13">
        <f t="shared" si="1"/>
        <v>11</v>
      </c>
      <c r="E2749" s="13">
        <f t="shared" si="2"/>
        <v>14</v>
      </c>
    </row>
    <row r="2750">
      <c r="A2750" s="4" t="s">
        <v>3145</v>
      </c>
      <c r="B2750" s="4" t="s">
        <v>3138</v>
      </c>
      <c r="C2750" s="12">
        <f>IFERROR(__xludf.DUMMYFUNCTION("""COMPUTED_VALUE"""),44662.61982638889)</f>
        <v>44662.61983</v>
      </c>
      <c r="D2750" s="13">
        <f t="shared" si="1"/>
        <v>11</v>
      </c>
      <c r="E2750" s="13">
        <f t="shared" si="2"/>
        <v>14</v>
      </c>
    </row>
    <row r="2751">
      <c r="A2751" s="4" t="s">
        <v>3146</v>
      </c>
      <c r="B2751" s="16"/>
      <c r="C2751" s="12">
        <f>IFERROR(__xludf.DUMMYFUNCTION("""COMPUTED_VALUE"""),44662.61981481481)</f>
        <v>44662.61981</v>
      </c>
      <c r="D2751" s="13">
        <f t="shared" si="1"/>
        <v>11</v>
      </c>
      <c r="E2751" s="13">
        <f t="shared" si="2"/>
        <v>14</v>
      </c>
    </row>
    <row r="2752">
      <c r="A2752" s="4" t="s">
        <v>3146</v>
      </c>
      <c r="B2752" s="16"/>
      <c r="C2752" s="12">
        <f>IFERROR(__xludf.DUMMYFUNCTION("""COMPUTED_VALUE"""),44662.61981481481)</f>
        <v>44662.61981</v>
      </c>
      <c r="D2752" s="13">
        <f t="shared" si="1"/>
        <v>11</v>
      </c>
      <c r="E2752" s="13">
        <f t="shared" si="2"/>
        <v>14</v>
      </c>
    </row>
    <row r="2753">
      <c r="A2753" s="4" t="s">
        <v>3147</v>
      </c>
      <c r="B2753" s="4" t="s">
        <v>3138</v>
      </c>
      <c r="C2753" s="12">
        <f>IFERROR(__xludf.DUMMYFUNCTION("""COMPUTED_VALUE"""),44662.619791666664)</f>
        <v>44662.61979</v>
      </c>
      <c r="D2753" s="13">
        <f t="shared" si="1"/>
        <v>11</v>
      </c>
      <c r="E2753" s="13">
        <f t="shared" si="2"/>
        <v>14</v>
      </c>
    </row>
    <row r="2754">
      <c r="A2754" s="4" t="s">
        <v>3148</v>
      </c>
      <c r="B2754" s="4" t="s">
        <v>3138</v>
      </c>
      <c r="C2754" s="12">
        <f>IFERROR(__xludf.DUMMYFUNCTION("""COMPUTED_VALUE"""),44662.61978009259)</f>
        <v>44662.61978</v>
      </c>
      <c r="D2754" s="13">
        <f t="shared" si="1"/>
        <v>11</v>
      </c>
      <c r="E2754" s="13">
        <f t="shared" si="2"/>
        <v>14</v>
      </c>
    </row>
    <row r="2755">
      <c r="A2755" s="4" t="s">
        <v>3149</v>
      </c>
      <c r="B2755" s="4" t="s">
        <v>3138</v>
      </c>
      <c r="C2755" s="12">
        <f>IFERROR(__xludf.DUMMYFUNCTION("""COMPUTED_VALUE"""),44662.61976851852)</f>
        <v>44662.61977</v>
      </c>
      <c r="D2755" s="13">
        <f t="shared" si="1"/>
        <v>11</v>
      </c>
      <c r="E2755" s="13">
        <f t="shared" si="2"/>
        <v>14</v>
      </c>
    </row>
    <row r="2756">
      <c r="A2756" s="4" t="s">
        <v>3150</v>
      </c>
      <c r="B2756" s="4" t="s">
        <v>3138</v>
      </c>
      <c r="C2756" s="12">
        <f>IFERROR(__xludf.DUMMYFUNCTION("""COMPUTED_VALUE"""),44662.619745370364)</f>
        <v>44662.61975</v>
      </c>
      <c r="D2756" s="13">
        <f t="shared" si="1"/>
        <v>11</v>
      </c>
      <c r="E2756" s="13">
        <f t="shared" si="2"/>
        <v>14</v>
      </c>
    </row>
    <row r="2757">
      <c r="A2757" s="4" t="s">
        <v>3151</v>
      </c>
      <c r="B2757" s="4" t="s">
        <v>3138</v>
      </c>
      <c r="C2757" s="12">
        <f>IFERROR(__xludf.DUMMYFUNCTION("""COMPUTED_VALUE"""),44662.619733796295)</f>
        <v>44662.61973</v>
      </c>
      <c r="D2757" s="13">
        <f t="shared" si="1"/>
        <v>11</v>
      </c>
      <c r="E2757" s="13">
        <f t="shared" si="2"/>
        <v>14</v>
      </c>
    </row>
    <row r="2758">
      <c r="A2758" s="4" t="s">
        <v>3152</v>
      </c>
      <c r="B2758" s="4" t="s">
        <v>3138</v>
      </c>
      <c r="C2758" s="12">
        <f>IFERROR(__xludf.DUMMYFUNCTION("""COMPUTED_VALUE"""),44662.61972222222)</f>
        <v>44662.61972</v>
      </c>
      <c r="D2758" s="13">
        <f t="shared" si="1"/>
        <v>11</v>
      </c>
      <c r="E2758" s="13">
        <f t="shared" si="2"/>
        <v>14</v>
      </c>
    </row>
    <row r="2759">
      <c r="A2759" s="4" t="s">
        <v>3153</v>
      </c>
      <c r="B2759" s="4" t="s">
        <v>3138</v>
      </c>
      <c r="C2759" s="12">
        <f>IFERROR(__xludf.DUMMYFUNCTION("""COMPUTED_VALUE"""),44662.61969907407)</f>
        <v>44662.6197</v>
      </c>
      <c r="D2759" s="13">
        <f t="shared" si="1"/>
        <v>11</v>
      </c>
      <c r="E2759" s="13">
        <f t="shared" si="2"/>
        <v>14</v>
      </c>
    </row>
    <row r="2760">
      <c r="A2760" s="4" t="s">
        <v>3154</v>
      </c>
      <c r="B2760" s="16"/>
      <c r="C2760" s="12">
        <f>IFERROR(__xludf.DUMMYFUNCTION("""COMPUTED_VALUE"""),44662.619675925926)</f>
        <v>44662.61968</v>
      </c>
      <c r="D2760" s="13">
        <f t="shared" si="1"/>
        <v>11</v>
      </c>
      <c r="E2760" s="13">
        <f t="shared" si="2"/>
        <v>14</v>
      </c>
    </row>
    <row r="2761">
      <c r="A2761" s="4" t="s">
        <v>3155</v>
      </c>
      <c r="B2761" s="4" t="s">
        <v>3156</v>
      </c>
      <c r="C2761" s="12">
        <f>IFERROR(__xludf.DUMMYFUNCTION("""COMPUTED_VALUE"""),44662.61965277777)</f>
        <v>44662.61965</v>
      </c>
      <c r="D2761" s="13">
        <f t="shared" si="1"/>
        <v>11</v>
      </c>
      <c r="E2761" s="13">
        <f t="shared" si="2"/>
        <v>14</v>
      </c>
    </row>
    <row r="2762">
      <c r="A2762" s="4" t="s">
        <v>3157</v>
      </c>
      <c r="B2762" s="16"/>
      <c r="C2762" s="12">
        <f>IFERROR(__xludf.DUMMYFUNCTION("""COMPUTED_VALUE"""),44662.6196412037)</f>
        <v>44662.61964</v>
      </c>
      <c r="D2762" s="13">
        <f t="shared" si="1"/>
        <v>11</v>
      </c>
      <c r="E2762" s="13">
        <f t="shared" si="2"/>
        <v>14</v>
      </c>
    </row>
    <row r="2763">
      <c r="A2763" s="4" t="s">
        <v>3158</v>
      </c>
      <c r="B2763" s="4" t="s">
        <v>3159</v>
      </c>
      <c r="C2763" s="12">
        <f>IFERROR(__xludf.DUMMYFUNCTION("""COMPUTED_VALUE"""),44662.6195949074)</f>
        <v>44662.61959</v>
      </c>
      <c r="D2763" s="13">
        <f t="shared" si="1"/>
        <v>11</v>
      </c>
      <c r="E2763" s="13">
        <f t="shared" si="2"/>
        <v>14</v>
      </c>
    </row>
    <row r="2764">
      <c r="A2764" s="4" t="s">
        <v>3160</v>
      </c>
      <c r="B2764" s="16"/>
      <c r="C2764" s="12">
        <f>IFERROR(__xludf.DUMMYFUNCTION("""COMPUTED_VALUE"""),44662.61958333333)</f>
        <v>44662.61958</v>
      </c>
      <c r="D2764" s="13">
        <f t="shared" si="1"/>
        <v>11</v>
      </c>
      <c r="E2764" s="13">
        <f t="shared" si="2"/>
        <v>14</v>
      </c>
    </row>
    <row r="2765">
      <c r="A2765" s="4" t="s">
        <v>3161</v>
      </c>
      <c r="B2765" s="16"/>
      <c r="C2765" s="12">
        <f>IFERROR(__xludf.DUMMYFUNCTION("""COMPUTED_VALUE"""),44662.619571759256)</f>
        <v>44662.61957</v>
      </c>
      <c r="D2765" s="13">
        <f t="shared" si="1"/>
        <v>11</v>
      </c>
      <c r="E2765" s="13">
        <f t="shared" si="2"/>
        <v>14</v>
      </c>
    </row>
    <row r="2766">
      <c r="A2766" s="4" t="s">
        <v>3162</v>
      </c>
      <c r="B2766" s="4" t="s">
        <v>3138</v>
      </c>
      <c r="C2766" s="12">
        <f>IFERROR(__xludf.DUMMYFUNCTION("""COMPUTED_VALUE"""),44662.61956018518)</f>
        <v>44662.61956</v>
      </c>
      <c r="D2766" s="13">
        <f t="shared" si="1"/>
        <v>11</v>
      </c>
      <c r="E2766" s="13">
        <f t="shared" si="2"/>
        <v>14</v>
      </c>
    </row>
    <row r="2767">
      <c r="A2767" s="4" t="s">
        <v>3163</v>
      </c>
      <c r="B2767" s="16"/>
      <c r="C2767" s="12">
        <f>IFERROR(__xludf.DUMMYFUNCTION("""COMPUTED_VALUE"""),44662.61935185185)</f>
        <v>44662.61935</v>
      </c>
      <c r="D2767" s="13">
        <f t="shared" si="1"/>
        <v>11</v>
      </c>
      <c r="E2767" s="13">
        <f t="shared" si="2"/>
        <v>14</v>
      </c>
    </row>
    <row r="2768">
      <c r="A2768" s="4" t="s">
        <v>3164</v>
      </c>
      <c r="B2768" s="4" t="s">
        <v>1746</v>
      </c>
      <c r="C2768" s="12">
        <f>IFERROR(__xludf.DUMMYFUNCTION("""COMPUTED_VALUE"""),44662.61898148148)</f>
        <v>44662.61898</v>
      </c>
      <c r="D2768" s="13">
        <f t="shared" si="1"/>
        <v>11</v>
      </c>
      <c r="E2768" s="13">
        <f t="shared" si="2"/>
        <v>14</v>
      </c>
    </row>
    <row r="2769">
      <c r="A2769" s="4" t="s">
        <v>3165</v>
      </c>
      <c r="B2769" s="4" t="s">
        <v>3166</v>
      </c>
      <c r="C2769" s="12">
        <f>IFERROR(__xludf.DUMMYFUNCTION("""COMPUTED_VALUE"""),44662.61817129629)</f>
        <v>44662.61817</v>
      </c>
      <c r="D2769" s="13">
        <f t="shared" si="1"/>
        <v>11</v>
      </c>
      <c r="E2769" s="13">
        <f t="shared" si="2"/>
        <v>14</v>
      </c>
    </row>
    <row r="2770">
      <c r="A2770" s="4" t="s">
        <v>3167</v>
      </c>
      <c r="B2770" s="4" t="s">
        <v>3168</v>
      </c>
      <c r="C2770" s="12">
        <f>IFERROR(__xludf.DUMMYFUNCTION("""COMPUTED_VALUE"""),44662.61814814815)</f>
        <v>44662.61815</v>
      </c>
      <c r="D2770" s="13">
        <f t="shared" si="1"/>
        <v>11</v>
      </c>
      <c r="E2770" s="13">
        <f t="shared" si="2"/>
        <v>14</v>
      </c>
    </row>
    <row r="2771">
      <c r="A2771" s="4" t="s">
        <v>3169</v>
      </c>
      <c r="B2771" s="16"/>
      <c r="C2771" s="12">
        <f>IFERROR(__xludf.DUMMYFUNCTION("""COMPUTED_VALUE"""),44662.61788194444)</f>
        <v>44662.61788</v>
      </c>
      <c r="D2771" s="13">
        <f t="shared" si="1"/>
        <v>11</v>
      </c>
      <c r="E2771" s="13">
        <f t="shared" si="2"/>
        <v>14</v>
      </c>
    </row>
    <row r="2772">
      <c r="A2772" s="4" t="s">
        <v>3170</v>
      </c>
      <c r="B2772" s="16"/>
      <c r="C2772" s="12">
        <f>IFERROR(__xludf.DUMMYFUNCTION("""COMPUTED_VALUE"""),44662.61710648148)</f>
        <v>44662.61711</v>
      </c>
      <c r="D2772" s="13">
        <f t="shared" si="1"/>
        <v>11</v>
      </c>
      <c r="E2772" s="13">
        <f t="shared" si="2"/>
        <v>14</v>
      </c>
    </row>
    <row r="2773">
      <c r="A2773" s="4" t="s">
        <v>3171</v>
      </c>
      <c r="B2773" s="4" t="s">
        <v>3130</v>
      </c>
      <c r="C2773" s="12">
        <f>IFERROR(__xludf.DUMMYFUNCTION("""COMPUTED_VALUE"""),44662.61697916666)</f>
        <v>44662.61698</v>
      </c>
      <c r="D2773" s="13">
        <f t="shared" si="1"/>
        <v>11</v>
      </c>
      <c r="E2773" s="13">
        <f t="shared" si="2"/>
        <v>14</v>
      </c>
    </row>
    <row r="2774">
      <c r="A2774" s="4" t="s">
        <v>3172</v>
      </c>
      <c r="B2774" s="4" t="s">
        <v>3130</v>
      </c>
      <c r="C2774" s="12">
        <f>IFERROR(__xludf.DUMMYFUNCTION("""COMPUTED_VALUE"""),44662.61694444444)</f>
        <v>44662.61694</v>
      </c>
      <c r="D2774" s="13">
        <f t="shared" si="1"/>
        <v>11</v>
      </c>
      <c r="E2774" s="13">
        <f t="shared" si="2"/>
        <v>14</v>
      </c>
    </row>
    <row r="2775">
      <c r="A2775" s="4" t="s">
        <v>3173</v>
      </c>
      <c r="B2775" s="4" t="s">
        <v>2757</v>
      </c>
      <c r="C2775" s="12">
        <f>IFERROR(__xludf.DUMMYFUNCTION("""COMPUTED_VALUE"""),44662.616851851846)</f>
        <v>44662.61685</v>
      </c>
      <c r="D2775" s="13">
        <f t="shared" si="1"/>
        <v>11</v>
      </c>
      <c r="E2775" s="13">
        <f t="shared" si="2"/>
        <v>14</v>
      </c>
    </row>
    <row r="2776">
      <c r="A2776" s="4" t="s">
        <v>3174</v>
      </c>
      <c r="B2776" s="16"/>
      <c r="C2776" s="12">
        <f>IFERROR(__xludf.DUMMYFUNCTION("""COMPUTED_VALUE"""),44662.61678240741)</f>
        <v>44662.61678</v>
      </c>
      <c r="D2776" s="13">
        <f t="shared" si="1"/>
        <v>11</v>
      </c>
      <c r="E2776" s="13">
        <f t="shared" si="2"/>
        <v>14</v>
      </c>
    </row>
    <row r="2777">
      <c r="A2777" s="4" t="s">
        <v>3175</v>
      </c>
      <c r="B2777" s="16"/>
      <c r="C2777" s="12">
        <f>IFERROR(__xludf.DUMMYFUNCTION("""COMPUTED_VALUE"""),44662.61655092592)</f>
        <v>44662.61655</v>
      </c>
      <c r="D2777" s="13">
        <f t="shared" si="1"/>
        <v>11</v>
      </c>
      <c r="E2777" s="13">
        <f t="shared" si="2"/>
        <v>14</v>
      </c>
    </row>
    <row r="2778">
      <c r="A2778" s="4" t="s">
        <v>3176</v>
      </c>
      <c r="B2778" s="4" t="s">
        <v>3177</v>
      </c>
      <c r="C2778" s="12">
        <f>IFERROR(__xludf.DUMMYFUNCTION("""COMPUTED_VALUE"""),44662.615902777776)</f>
        <v>44662.6159</v>
      </c>
      <c r="D2778" s="13">
        <f t="shared" si="1"/>
        <v>11</v>
      </c>
      <c r="E2778" s="13">
        <f t="shared" si="2"/>
        <v>14</v>
      </c>
    </row>
    <row r="2779">
      <c r="A2779" s="4" t="s">
        <v>3178</v>
      </c>
      <c r="B2779" s="16"/>
      <c r="C2779" s="12">
        <f>IFERROR(__xludf.DUMMYFUNCTION("""COMPUTED_VALUE"""),44662.61466435185)</f>
        <v>44662.61466</v>
      </c>
      <c r="D2779" s="13">
        <f t="shared" si="1"/>
        <v>11</v>
      </c>
      <c r="E2779" s="13">
        <f t="shared" si="2"/>
        <v>14</v>
      </c>
    </row>
    <row r="2780">
      <c r="A2780" s="4" t="s">
        <v>3179</v>
      </c>
      <c r="B2780" s="16"/>
      <c r="C2780" s="12">
        <f>IFERROR(__xludf.DUMMYFUNCTION("""COMPUTED_VALUE"""),44662.6146412037)</f>
        <v>44662.61464</v>
      </c>
      <c r="D2780" s="13">
        <f t="shared" si="1"/>
        <v>11</v>
      </c>
      <c r="E2780" s="13">
        <f t="shared" si="2"/>
        <v>14</v>
      </c>
    </row>
    <row r="2781">
      <c r="A2781" s="4" t="s">
        <v>3180</v>
      </c>
      <c r="B2781" s="16"/>
      <c r="C2781" s="12">
        <f>IFERROR(__xludf.DUMMYFUNCTION("""COMPUTED_VALUE"""),44662.61461805555)</f>
        <v>44662.61462</v>
      </c>
      <c r="D2781" s="13">
        <f t="shared" si="1"/>
        <v>11</v>
      </c>
      <c r="E2781" s="13">
        <f t="shared" si="2"/>
        <v>14</v>
      </c>
    </row>
    <row r="2782">
      <c r="A2782" s="4" t="s">
        <v>3181</v>
      </c>
      <c r="B2782" s="16"/>
      <c r="C2782" s="12">
        <f>IFERROR(__xludf.DUMMYFUNCTION("""COMPUTED_VALUE"""),44662.614594907405)</f>
        <v>44662.61459</v>
      </c>
      <c r="D2782" s="13">
        <f t="shared" si="1"/>
        <v>11</v>
      </c>
      <c r="E2782" s="13">
        <f t="shared" si="2"/>
        <v>14</v>
      </c>
    </row>
    <row r="2783">
      <c r="A2783" s="4" t="s">
        <v>3182</v>
      </c>
      <c r="B2783" s="4" t="s">
        <v>3183</v>
      </c>
      <c r="C2783" s="12">
        <f>IFERROR(__xludf.DUMMYFUNCTION("""COMPUTED_VALUE"""),44662.61457175926)</f>
        <v>44662.61457</v>
      </c>
      <c r="D2783" s="13">
        <f t="shared" si="1"/>
        <v>11</v>
      </c>
      <c r="E2783" s="13">
        <f t="shared" si="2"/>
        <v>14</v>
      </c>
    </row>
    <row r="2784">
      <c r="A2784" s="4" t="s">
        <v>3184</v>
      </c>
      <c r="B2784" s="16"/>
      <c r="C2784" s="12">
        <f>IFERROR(__xludf.DUMMYFUNCTION("""COMPUTED_VALUE"""),44662.614548611105)</f>
        <v>44662.61455</v>
      </c>
      <c r="D2784" s="13">
        <f t="shared" si="1"/>
        <v>11</v>
      </c>
      <c r="E2784" s="13">
        <f t="shared" si="2"/>
        <v>14</v>
      </c>
    </row>
    <row r="2785">
      <c r="A2785" s="4" t="s">
        <v>3185</v>
      </c>
      <c r="B2785" s="16"/>
      <c r="C2785" s="12">
        <f>IFERROR(__xludf.DUMMYFUNCTION("""COMPUTED_VALUE"""),44662.61450231481)</f>
        <v>44662.6145</v>
      </c>
      <c r="D2785" s="13">
        <f t="shared" si="1"/>
        <v>11</v>
      </c>
      <c r="E2785" s="13">
        <f t="shared" si="2"/>
        <v>14</v>
      </c>
    </row>
    <row r="2786">
      <c r="A2786" s="4" t="s">
        <v>3186</v>
      </c>
      <c r="B2786" s="16"/>
      <c r="C2786" s="12">
        <f>IFERROR(__xludf.DUMMYFUNCTION("""COMPUTED_VALUE"""),44662.61446759259)</f>
        <v>44662.61447</v>
      </c>
      <c r="D2786" s="13">
        <f t="shared" si="1"/>
        <v>11</v>
      </c>
      <c r="E2786" s="13">
        <f t="shared" si="2"/>
        <v>14</v>
      </c>
    </row>
    <row r="2787">
      <c r="A2787" s="4" t="s">
        <v>3187</v>
      </c>
      <c r="B2787" s="16"/>
      <c r="C2787" s="12">
        <f>IFERROR(__xludf.DUMMYFUNCTION("""COMPUTED_VALUE"""),44662.6144212963)</f>
        <v>44662.61442</v>
      </c>
      <c r="D2787" s="13">
        <f t="shared" si="1"/>
        <v>11</v>
      </c>
      <c r="E2787" s="13">
        <f t="shared" si="2"/>
        <v>14</v>
      </c>
    </row>
    <row r="2788">
      <c r="A2788" s="4" t="s">
        <v>3188</v>
      </c>
      <c r="B2788" s="4" t="s">
        <v>3130</v>
      </c>
      <c r="C2788" s="12">
        <f>IFERROR(__xludf.DUMMYFUNCTION("""COMPUTED_VALUE"""),44662.61436342592)</f>
        <v>44662.61436</v>
      </c>
      <c r="D2788" s="13">
        <f t="shared" si="1"/>
        <v>11</v>
      </c>
      <c r="E2788" s="13">
        <f t="shared" si="2"/>
        <v>14</v>
      </c>
    </row>
    <row r="2789">
      <c r="A2789" s="4" t="s">
        <v>3188</v>
      </c>
      <c r="B2789" s="16"/>
      <c r="C2789" s="12">
        <f>IFERROR(__xludf.DUMMYFUNCTION("""COMPUTED_VALUE"""),44662.61436342592)</f>
        <v>44662.61436</v>
      </c>
      <c r="D2789" s="13">
        <f t="shared" si="1"/>
        <v>11</v>
      </c>
      <c r="E2789" s="13">
        <f t="shared" si="2"/>
        <v>14</v>
      </c>
    </row>
    <row r="2790">
      <c r="A2790" s="4" t="s">
        <v>3189</v>
      </c>
      <c r="B2790" s="16"/>
      <c r="C2790" s="12">
        <f>IFERROR(__xludf.DUMMYFUNCTION("""COMPUTED_VALUE"""),44662.61431712963)</f>
        <v>44662.61432</v>
      </c>
      <c r="D2790" s="13">
        <f t="shared" si="1"/>
        <v>11</v>
      </c>
      <c r="E2790" s="13">
        <f t="shared" si="2"/>
        <v>14</v>
      </c>
    </row>
    <row r="2791">
      <c r="A2791" s="4" t="s">
        <v>3190</v>
      </c>
      <c r="B2791" s="4" t="s">
        <v>1667</v>
      </c>
      <c r="C2791" s="12">
        <f>IFERROR(__xludf.DUMMYFUNCTION("""COMPUTED_VALUE"""),44662.61421296296)</f>
        <v>44662.61421</v>
      </c>
      <c r="D2791" s="13">
        <f t="shared" si="1"/>
        <v>11</v>
      </c>
      <c r="E2791" s="13">
        <f t="shared" si="2"/>
        <v>14</v>
      </c>
    </row>
    <row r="2792">
      <c r="A2792" s="4" t="s">
        <v>3191</v>
      </c>
      <c r="B2792" s="4" t="s">
        <v>2298</v>
      </c>
      <c r="C2792" s="12">
        <f>IFERROR(__xludf.DUMMYFUNCTION("""COMPUTED_VALUE"""),44662.61369212963)</f>
        <v>44662.61369</v>
      </c>
      <c r="D2792" s="13">
        <f t="shared" si="1"/>
        <v>11</v>
      </c>
      <c r="E2792" s="13">
        <f t="shared" si="2"/>
        <v>14</v>
      </c>
    </row>
    <row r="2793">
      <c r="A2793" s="4" t="s">
        <v>3192</v>
      </c>
      <c r="B2793" s="16"/>
      <c r="C2793" s="12">
        <f>IFERROR(__xludf.DUMMYFUNCTION("""COMPUTED_VALUE"""),44662.6134375)</f>
        <v>44662.61344</v>
      </c>
      <c r="D2793" s="13">
        <f t="shared" si="1"/>
        <v>11</v>
      </c>
      <c r="E2793" s="13">
        <f t="shared" si="2"/>
        <v>14</v>
      </c>
    </row>
    <row r="2794">
      <c r="A2794" s="4" t="s">
        <v>3193</v>
      </c>
      <c r="B2794" s="16"/>
      <c r="C2794" s="12">
        <f>IFERROR(__xludf.DUMMYFUNCTION("""COMPUTED_VALUE"""),44662.613391203704)</f>
        <v>44662.61339</v>
      </c>
      <c r="D2794" s="13">
        <f t="shared" si="1"/>
        <v>11</v>
      </c>
      <c r="E2794" s="13">
        <f t="shared" si="2"/>
        <v>14</v>
      </c>
    </row>
    <row r="2795">
      <c r="A2795" s="4" t="s">
        <v>3194</v>
      </c>
      <c r="B2795" s="16"/>
      <c r="C2795" s="12">
        <f>IFERROR(__xludf.DUMMYFUNCTION("""COMPUTED_VALUE"""),44662.6121412037)</f>
        <v>44662.61214</v>
      </c>
      <c r="D2795" s="13">
        <f t="shared" si="1"/>
        <v>11</v>
      </c>
      <c r="E2795" s="13">
        <f t="shared" si="2"/>
        <v>14</v>
      </c>
    </row>
    <row r="2796">
      <c r="A2796" s="4" t="s">
        <v>3195</v>
      </c>
      <c r="B2796" s="16"/>
      <c r="C2796" s="12">
        <f>IFERROR(__xludf.DUMMYFUNCTION("""COMPUTED_VALUE"""),44662.61190972222)</f>
        <v>44662.61191</v>
      </c>
      <c r="D2796" s="13">
        <f t="shared" si="1"/>
        <v>11</v>
      </c>
      <c r="E2796" s="13">
        <f t="shared" si="2"/>
        <v>14</v>
      </c>
    </row>
    <row r="2797">
      <c r="A2797" s="4" t="s">
        <v>3196</v>
      </c>
      <c r="B2797" s="4" t="s">
        <v>3197</v>
      </c>
      <c r="C2797" s="12">
        <f>IFERROR(__xludf.DUMMYFUNCTION("""COMPUTED_VALUE"""),44662.61173611111)</f>
        <v>44662.61174</v>
      </c>
      <c r="D2797" s="13">
        <f t="shared" si="1"/>
        <v>11</v>
      </c>
      <c r="E2797" s="13">
        <f t="shared" si="2"/>
        <v>14</v>
      </c>
    </row>
    <row r="2798">
      <c r="A2798" s="4" t="s">
        <v>3198</v>
      </c>
      <c r="B2798" s="4" t="s">
        <v>3199</v>
      </c>
      <c r="C2798" s="12">
        <f>IFERROR(__xludf.DUMMYFUNCTION("""COMPUTED_VALUE"""),44662.61157407407)</f>
        <v>44662.61157</v>
      </c>
      <c r="D2798" s="13">
        <f t="shared" si="1"/>
        <v>11</v>
      </c>
      <c r="E2798" s="13">
        <f t="shared" si="2"/>
        <v>14</v>
      </c>
    </row>
    <row r="2799">
      <c r="A2799" s="4" t="s">
        <v>3200</v>
      </c>
      <c r="B2799" s="16"/>
      <c r="C2799" s="12">
        <f>IFERROR(__xludf.DUMMYFUNCTION("""COMPUTED_VALUE"""),44662.61153935185)</f>
        <v>44662.61154</v>
      </c>
      <c r="D2799" s="13">
        <f t="shared" si="1"/>
        <v>11</v>
      </c>
      <c r="E2799" s="13">
        <f t="shared" si="2"/>
        <v>14</v>
      </c>
    </row>
    <row r="2800">
      <c r="A2800" s="4" t="s">
        <v>3201</v>
      </c>
      <c r="B2800" s="16"/>
      <c r="C2800" s="12">
        <f>IFERROR(__xludf.DUMMYFUNCTION("""COMPUTED_VALUE"""),44662.61133101852)</f>
        <v>44662.61133</v>
      </c>
      <c r="D2800" s="13">
        <f t="shared" si="1"/>
        <v>11</v>
      </c>
      <c r="E2800" s="13">
        <f t="shared" si="2"/>
        <v>14</v>
      </c>
    </row>
    <row r="2801">
      <c r="A2801" s="4" t="s">
        <v>3202</v>
      </c>
      <c r="B2801" s="16"/>
      <c r="C2801" s="12">
        <f>IFERROR(__xludf.DUMMYFUNCTION("""COMPUTED_VALUE"""),44662.61126157407)</f>
        <v>44662.61126</v>
      </c>
      <c r="D2801" s="13">
        <f t="shared" si="1"/>
        <v>11</v>
      </c>
      <c r="E2801" s="13">
        <f t="shared" si="2"/>
        <v>14</v>
      </c>
    </row>
    <row r="2802">
      <c r="A2802" s="4" t="s">
        <v>3203</v>
      </c>
      <c r="B2802" s="4" t="s">
        <v>3204</v>
      </c>
      <c r="C2802" s="12">
        <f>IFERROR(__xludf.DUMMYFUNCTION("""COMPUTED_VALUE"""),44662.611238425925)</f>
        <v>44662.61124</v>
      </c>
      <c r="D2802" s="13">
        <f t="shared" si="1"/>
        <v>11</v>
      </c>
      <c r="E2802" s="13">
        <f t="shared" si="2"/>
        <v>14</v>
      </c>
    </row>
    <row r="2803">
      <c r="A2803" s="4" t="s">
        <v>3205</v>
      </c>
      <c r="B2803" s="4" t="s">
        <v>3204</v>
      </c>
      <c r="C2803" s="12">
        <f>IFERROR(__xludf.DUMMYFUNCTION("""COMPUTED_VALUE"""),44662.611192129625)</f>
        <v>44662.61119</v>
      </c>
      <c r="D2803" s="13">
        <f t="shared" si="1"/>
        <v>11</v>
      </c>
      <c r="E2803" s="13">
        <f t="shared" si="2"/>
        <v>14</v>
      </c>
    </row>
    <row r="2804">
      <c r="A2804" s="4" t="s">
        <v>3206</v>
      </c>
      <c r="B2804" s="4" t="s">
        <v>3207</v>
      </c>
      <c r="C2804" s="12">
        <f>IFERROR(__xludf.DUMMYFUNCTION("""COMPUTED_VALUE"""),44662.61078703703)</f>
        <v>44662.61079</v>
      </c>
      <c r="D2804" s="13">
        <f t="shared" si="1"/>
        <v>11</v>
      </c>
      <c r="E2804" s="13">
        <f t="shared" si="2"/>
        <v>14</v>
      </c>
    </row>
    <row r="2805">
      <c r="A2805" s="4" t="s">
        <v>3208</v>
      </c>
      <c r="B2805" s="4" t="s">
        <v>3207</v>
      </c>
      <c r="C2805" s="12">
        <f>IFERROR(__xludf.DUMMYFUNCTION("""COMPUTED_VALUE"""),44662.61068287037)</f>
        <v>44662.61068</v>
      </c>
      <c r="D2805" s="13">
        <f t="shared" si="1"/>
        <v>11</v>
      </c>
      <c r="E2805" s="13">
        <f t="shared" si="2"/>
        <v>14</v>
      </c>
    </row>
    <row r="2806">
      <c r="A2806" s="4" t="s">
        <v>3209</v>
      </c>
      <c r="B2806" s="4" t="s">
        <v>3032</v>
      </c>
      <c r="C2806" s="12">
        <f>IFERROR(__xludf.DUMMYFUNCTION("""COMPUTED_VALUE"""),44662.61010416666)</f>
        <v>44662.6101</v>
      </c>
      <c r="D2806" s="13">
        <f t="shared" si="1"/>
        <v>11</v>
      </c>
      <c r="E2806" s="13">
        <f t="shared" si="2"/>
        <v>14</v>
      </c>
    </row>
    <row r="2807">
      <c r="A2807" s="4" t="s">
        <v>3210</v>
      </c>
      <c r="B2807" s="16"/>
      <c r="C2807" s="12">
        <f>IFERROR(__xludf.DUMMYFUNCTION("""COMPUTED_VALUE"""),44662.60965277778)</f>
        <v>44662.60965</v>
      </c>
      <c r="D2807" s="13">
        <f t="shared" si="1"/>
        <v>11</v>
      </c>
      <c r="E2807" s="13">
        <f t="shared" si="2"/>
        <v>14</v>
      </c>
    </row>
    <row r="2808">
      <c r="A2808" s="4" t="s">
        <v>3211</v>
      </c>
      <c r="B2808" s="16"/>
      <c r="C2808" s="12">
        <f>IFERROR(__xludf.DUMMYFUNCTION("""COMPUTED_VALUE"""),44662.609560185185)</f>
        <v>44662.60956</v>
      </c>
      <c r="D2808" s="13">
        <f t="shared" si="1"/>
        <v>11</v>
      </c>
      <c r="E2808" s="13">
        <f t="shared" si="2"/>
        <v>14</v>
      </c>
    </row>
    <row r="2809">
      <c r="A2809" s="4" t="s">
        <v>3212</v>
      </c>
      <c r="B2809" s="4" t="s">
        <v>1269</v>
      </c>
      <c r="C2809" s="12">
        <f>IFERROR(__xludf.DUMMYFUNCTION("""COMPUTED_VALUE"""),44662.609305555554)</f>
        <v>44662.60931</v>
      </c>
      <c r="D2809" s="13">
        <f t="shared" si="1"/>
        <v>11</v>
      </c>
      <c r="E2809" s="13">
        <f t="shared" si="2"/>
        <v>14</v>
      </c>
    </row>
    <row r="2810">
      <c r="A2810" s="4" t="s">
        <v>3213</v>
      </c>
      <c r="B2810" s="4" t="s">
        <v>1269</v>
      </c>
      <c r="C2810" s="12">
        <f>IFERROR(__xludf.DUMMYFUNCTION("""COMPUTED_VALUE"""),44662.60927083333)</f>
        <v>44662.60927</v>
      </c>
      <c r="D2810" s="13">
        <f t="shared" si="1"/>
        <v>11</v>
      </c>
      <c r="E2810" s="13">
        <f t="shared" si="2"/>
        <v>14</v>
      </c>
    </row>
    <row r="2811">
      <c r="A2811" s="4" t="s">
        <v>3214</v>
      </c>
      <c r="B2811" s="4" t="s">
        <v>1269</v>
      </c>
      <c r="C2811" s="12">
        <f>IFERROR(__xludf.DUMMYFUNCTION("""COMPUTED_VALUE"""),44662.60923611111)</f>
        <v>44662.60924</v>
      </c>
      <c r="D2811" s="13">
        <f t="shared" si="1"/>
        <v>11</v>
      </c>
      <c r="E2811" s="13">
        <f t="shared" si="2"/>
        <v>14</v>
      </c>
    </row>
    <row r="2812">
      <c r="A2812" s="4" t="s">
        <v>3215</v>
      </c>
      <c r="B2812" s="4" t="s">
        <v>1269</v>
      </c>
      <c r="C2812" s="12">
        <f>IFERROR(__xludf.DUMMYFUNCTION("""COMPUTED_VALUE"""),44662.60921296296)</f>
        <v>44662.60921</v>
      </c>
      <c r="D2812" s="13">
        <f t="shared" si="1"/>
        <v>11</v>
      </c>
      <c r="E2812" s="13">
        <f t="shared" si="2"/>
        <v>14</v>
      </c>
    </row>
    <row r="2813">
      <c r="A2813" s="4" t="s">
        <v>3216</v>
      </c>
      <c r="B2813" s="4" t="s">
        <v>1269</v>
      </c>
      <c r="C2813" s="12">
        <f>IFERROR(__xludf.DUMMYFUNCTION("""COMPUTED_VALUE"""),44662.60916666666)</f>
        <v>44662.60917</v>
      </c>
      <c r="D2813" s="13">
        <f t="shared" si="1"/>
        <v>11</v>
      </c>
      <c r="E2813" s="13">
        <f t="shared" si="2"/>
        <v>14</v>
      </c>
    </row>
    <row r="2814">
      <c r="A2814" s="4" t="s">
        <v>3217</v>
      </c>
      <c r="B2814" s="4" t="s">
        <v>1269</v>
      </c>
      <c r="C2814" s="12">
        <f>IFERROR(__xludf.DUMMYFUNCTION("""COMPUTED_VALUE"""),44662.60909722222)</f>
        <v>44662.6091</v>
      </c>
      <c r="D2814" s="13">
        <f t="shared" si="1"/>
        <v>11</v>
      </c>
      <c r="E2814" s="13">
        <f t="shared" si="2"/>
        <v>14</v>
      </c>
    </row>
    <row r="2815">
      <c r="A2815" s="4" t="s">
        <v>3218</v>
      </c>
      <c r="B2815" s="4" t="s">
        <v>1269</v>
      </c>
      <c r="C2815" s="12">
        <f>IFERROR(__xludf.DUMMYFUNCTION("""COMPUTED_VALUE"""),44662.609039351846)</f>
        <v>44662.60904</v>
      </c>
      <c r="D2815" s="13">
        <f t="shared" si="1"/>
        <v>11</v>
      </c>
      <c r="E2815" s="13">
        <f t="shared" si="2"/>
        <v>14</v>
      </c>
    </row>
    <row r="2816">
      <c r="A2816" s="4" t="s">
        <v>3219</v>
      </c>
      <c r="B2816" s="4" t="s">
        <v>1269</v>
      </c>
      <c r="C2816" s="12">
        <f>IFERROR(__xludf.DUMMYFUNCTION("""COMPUTED_VALUE"""),44662.60898148148)</f>
        <v>44662.60898</v>
      </c>
      <c r="D2816" s="13">
        <f t="shared" si="1"/>
        <v>11</v>
      </c>
      <c r="E2816" s="13">
        <f t="shared" si="2"/>
        <v>14</v>
      </c>
    </row>
    <row r="2817">
      <c r="A2817" s="4" t="s">
        <v>3220</v>
      </c>
      <c r="B2817" s="4" t="s">
        <v>1269</v>
      </c>
      <c r="C2817" s="12">
        <f>IFERROR(__xludf.DUMMYFUNCTION("""COMPUTED_VALUE"""),44662.60892361111)</f>
        <v>44662.60892</v>
      </c>
      <c r="D2817" s="13">
        <f t="shared" si="1"/>
        <v>11</v>
      </c>
      <c r="E2817" s="13">
        <f t="shared" si="2"/>
        <v>14</v>
      </c>
    </row>
    <row r="2818">
      <c r="A2818" s="4" t="s">
        <v>3221</v>
      </c>
      <c r="B2818" s="4" t="s">
        <v>1269</v>
      </c>
      <c r="C2818" s="12">
        <f>IFERROR(__xludf.DUMMYFUNCTION("""COMPUTED_VALUE"""),44662.608888888884)</f>
        <v>44662.60889</v>
      </c>
      <c r="D2818" s="13">
        <f t="shared" si="1"/>
        <v>11</v>
      </c>
      <c r="E2818" s="13">
        <f t="shared" si="2"/>
        <v>14</v>
      </c>
    </row>
    <row r="2819">
      <c r="A2819" s="4" t="s">
        <v>3222</v>
      </c>
      <c r="B2819" s="4" t="s">
        <v>2615</v>
      </c>
      <c r="C2819" s="12">
        <f>IFERROR(__xludf.DUMMYFUNCTION("""COMPUTED_VALUE"""),44662.60886574074)</f>
        <v>44662.60887</v>
      </c>
      <c r="D2819" s="13">
        <f t="shared" si="1"/>
        <v>11</v>
      </c>
      <c r="E2819" s="13">
        <f t="shared" si="2"/>
        <v>14</v>
      </c>
    </row>
    <row r="2820">
      <c r="A2820" s="4" t="s">
        <v>3223</v>
      </c>
      <c r="B2820" s="4" t="s">
        <v>2615</v>
      </c>
      <c r="C2820" s="12">
        <f>IFERROR(__xludf.DUMMYFUNCTION("""COMPUTED_VALUE"""),44662.60885416666)</f>
        <v>44662.60885</v>
      </c>
      <c r="D2820" s="13">
        <f t="shared" si="1"/>
        <v>11</v>
      </c>
      <c r="E2820" s="13">
        <f t="shared" si="2"/>
        <v>14</v>
      </c>
    </row>
    <row r="2821">
      <c r="A2821" s="4" t="s">
        <v>3224</v>
      </c>
      <c r="B2821" s="4" t="s">
        <v>2615</v>
      </c>
      <c r="C2821" s="12">
        <f>IFERROR(__xludf.DUMMYFUNCTION("""COMPUTED_VALUE"""),44662.60884259259)</f>
        <v>44662.60884</v>
      </c>
      <c r="D2821" s="13">
        <f t="shared" si="1"/>
        <v>11</v>
      </c>
      <c r="E2821" s="13">
        <f t="shared" si="2"/>
        <v>14</v>
      </c>
    </row>
    <row r="2822">
      <c r="A2822" s="4" t="s">
        <v>3224</v>
      </c>
      <c r="B2822" s="16"/>
      <c r="C2822" s="12">
        <f>IFERROR(__xludf.DUMMYFUNCTION("""COMPUTED_VALUE"""),44662.60884259259)</f>
        <v>44662.60884</v>
      </c>
      <c r="D2822" s="13">
        <f t="shared" si="1"/>
        <v>11</v>
      </c>
      <c r="E2822" s="13">
        <f t="shared" si="2"/>
        <v>14</v>
      </c>
    </row>
    <row r="2823">
      <c r="A2823" s="4" t="s">
        <v>3225</v>
      </c>
      <c r="B2823" s="4" t="s">
        <v>2615</v>
      </c>
      <c r="C2823" s="12">
        <f>IFERROR(__xludf.DUMMYFUNCTION("""COMPUTED_VALUE"""),44662.608831018515)</f>
        <v>44662.60883</v>
      </c>
      <c r="D2823" s="13">
        <f t="shared" si="1"/>
        <v>11</v>
      </c>
      <c r="E2823" s="13">
        <f t="shared" si="2"/>
        <v>14</v>
      </c>
    </row>
    <row r="2824">
      <c r="A2824" s="4" t="s">
        <v>3226</v>
      </c>
      <c r="B2824" s="4" t="s">
        <v>829</v>
      </c>
      <c r="C2824" s="12">
        <f>IFERROR(__xludf.DUMMYFUNCTION("""COMPUTED_VALUE"""),44662.608819444446)</f>
        <v>44662.60882</v>
      </c>
      <c r="D2824" s="13">
        <f t="shared" si="1"/>
        <v>11</v>
      </c>
      <c r="E2824" s="13">
        <f t="shared" si="2"/>
        <v>14</v>
      </c>
    </row>
    <row r="2825">
      <c r="A2825" s="4" t="s">
        <v>3227</v>
      </c>
      <c r="B2825" s="4" t="s">
        <v>2615</v>
      </c>
      <c r="C2825" s="12">
        <f>IFERROR(__xludf.DUMMYFUNCTION("""COMPUTED_VALUE"""),44662.60880787037)</f>
        <v>44662.60881</v>
      </c>
      <c r="D2825" s="13">
        <f t="shared" si="1"/>
        <v>11</v>
      </c>
      <c r="E2825" s="13">
        <f t="shared" si="2"/>
        <v>14</v>
      </c>
    </row>
    <row r="2826">
      <c r="A2826" s="4" t="s">
        <v>3228</v>
      </c>
      <c r="B2826" s="4" t="s">
        <v>2615</v>
      </c>
      <c r="C2826" s="12">
        <f>IFERROR(__xludf.DUMMYFUNCTION("""COMPUTED_VALUE"""),44662.60879629629)</f>
        <v>44662.6088</v>
      </c>
      <c r="D2826" s="13">
        <f t="shared" si="1"/>
        <v>11</v>
      </c>
      <c r="E2826" s="13">
        <f t="shared" si="2"/>
        <v>14</v>
      </c>
    </row>
    <row r="2827">
      <c r="A2827" s="4" t="s">
        <v>3229</v>
      </c>
      <c r="B2827" s="4" t="s">
        <v>2615</v>
      </c>
      <c r="C2827" s="12">
        <f>IFERROR(__xludf.DUMMYFUNCTION("""COMPUTED_VALUE"""),44662.608726851846)</f>
        <v>44662.60873</v>
      </c>
      <c r="D2827" s="13">
        <f t="shared" si="1"/>
        <v>11</v>
      </c>
      <c r="E2827" s="13">
        <f t="shared" si="2"/>
        <v>14</v>
      </c>
    </row>
    <row r="2828">
      <c r="A2828" s="4" t="s">
        <v>3230</v>
      </c>
      <c r="B2828" s="4" t="s">
        <v>3231</v>
      </c>
      <c r="C2828" s="12">
        <f>IFERROR(__xludf.DUMMYFUNCTION("""COMPUTED_VALUE"""),44662.608460648145)</f>
        <v>44662.60846</v>
      </c>
      <c r="D2828" s="13">
        <f t="shared" si="1"/>
        <v>11</v>
      </c>
      <c r="E2828" s="13">
        <f t="shared" si="2"/>
        <v>14</v>
      </c>
    </row>
    <row r="2829">
      <c r="A2829" s="4" t="s">
        <v>3232</v>
      </c>
      <c r="B2829" s="4" t="s">
        <v>3233</v>
      </c>
      <c r="C2829" s="12">
        <f>IFERROR(__xludf.DUMMYFUNCTION("""COMPUTED_VALUE"""),44662.60763888888)</f>
        <v>44662.60764</v>
      </c>
      <c r="D2829" s="13">
        <f t="shared" si="1"/>
        <v>11</v>
      </c>
      <c r="E2829" s="13">
        <f t="shared" si="2"/>
        <v>14</v>
      </c>
    </row>
    <row r="2830">
      <c r="A2830" s="4" t="s">
        <v>3234</v>
      </c>
      <c r="B2830" s="16"/>
      <c r="C2830" s="12">
        <f>IFERROR(__xludf.DUMMYFUNCTION("""COMPUTED_VALUE"""),44662.60760416667)</f>
        <v>44662.6076</v>
      </c>
      <c r="D2830" s="13">
        <f t="shared" si="1"/>
        <v>11</v>
      </c>
      <c r="E2830" s="13">
        <f t="shared" si="2"/>
        <v>14</v>
      </c>
    </row>
    <row r="2831">
      <c r="A2831" s="4" t="s">
        <v>3235</v>
      </c>
      <c r="B2831" s="4" t="s">
        <v>3236</v>
      </c>
      <c r="C2831" s="12">
        <f>IFERROR(__xludf.DUMMYFUNCTION("""COMPUTED_VALUE"""),44662.60759259259)</f>
        <v>44662.60759</v>
      </c>
      <c r="D2831" s="13">
        <f t="shared" si="1"/>
        <v>11</v>
      </c>
      <c r="E2831" s="13">
        <f t="shared" si="2"/>
        <v>14</v>
      </c>
    </row>
    <row r="2832">
      <c r="A2832" s="4" t="s">
        <v>3237</v>
      </c>
      <c r="B2832" s="16"/>
      <c r="C2832" s="12">
        <f>IFERROR(__xludf.DUMMYFUNCTION("""COMPUTED_VALUE"""),44662.607569444444)</f>
        <v>44662.60757</v>
      </c>
      <c r="D2832" s="13">
        <f t="shared" si="1"/>
        <v>11</v>
      </c>
      <c r="E2832" s="13">
        <f t="shared" si="2"/>
        <v>14</v>
      </c>
    </row>
    <row r="2833">
      <c r="A2833" s="4" t="s">
        <v>3238</v>
      </c>
      <c r="B2833" s="4" t="s">
        <v>3239</v>
      </c>
      <c r="C2833" s="12">
        <f>IFERROR(__xludf.DUMMYFUNCTION("""COMPUTED_VALUE"""),44662.60701388889)</f>
        <v>44662.60701</v>
      </c>
      <c r="D2833" s="13">
        <f t="shared" si="1"/>
        <v>11</v>
      </c>
      <c r="E2833" s="13">
        <f t="shared" si="2"/>
        <v>14</v>
      </c>
    </row>
    <row r="2834">
      <c r="A2834" s="4" t="s">
        <v>3240</v>
      </c>
      <c r="B2834" s="4" t="s">
        <v>3241</v>
      </c>
      <c r="C2834" s="12">
        <f>IFERROR(__xludf.DUMMYFUNCTION("""COMPUTED_VALUE"""),44662.60671296296)</f>
        <v>44662.60671</v>
      </c>
      <c r="D2834" s="13">
        <f t="shared" si="1"/>
        <v>11</v>
      </c>
      <c r="E2834" s="13">
        <f t="shared" si="2"/>
        <v>14</v>
      </c>
    </row>
    <row r="2835">
      <c r="A2835" s="4" t="s">
        <v>3242</v>
      </c>
      <c r="B2835" s="16"/>
      <c r="C2835" s="12">
        <f>IFERROR(__xludf.DUMMYFUNCTION("""COMPUTED_VALUE"""),44662.60648148148)</f>
        <v>44662.60648</v>
      </c>
      <c r="D2835" s="13">
        <f t="shared" si="1"/>
        <v>11</v>
      </c>
      <c r="E2835" s="13">
        <f t="shared" si="2"/>
        <v>14</v>
      </c>
    </row>
    <row r="2836">
      <c r="A2836" s="4" t="s">
        <v>3243</v>
      </c>
      <c r="B2836" s="4" t="s">
        <v>1733</v>
      </c>
      <c r="C2836" s="12">
        <f>IFERROR(__xludf.DUMMYFUNCTION("""COMPUTED_VALUE"""),44662.60644675926)</f>
        <v>44662.60645</v>
      </c>
      <c r="D2836" s="13">
        <f t="shared" si="1"/>
        <v>11</v>
      </c>
      <c r="E2836" s="13">
        <f t="shared" si="2"/>
        <v>14</v>
      </c>
    </row>
    <row r="2837">
      <c r="A2837" s="4" t="s">
        <v>3244</v>
      </c>
      <c r="B2837" s="4" t="s">
        <v>3245</v>
      </c>
      <c r="C2837" s="12">
        <f>IFERROR(__xludf.DUMMYFUNCTION("""COMPUTED_VALUE"""),44662.60597222222)</f>
        <v>44662.60597</v>
      </c>
      <c r="D2837" s="13">
        <f t="shared" si="1"/>
        <v>11</v>
      </c>
      <c r="E2837" s="13">
        <f t="shared" si="2"/>
        <v>14</v>
      </c>
    </row>
    <row r="2838">
      <c r="A2838" s="4" t="s">
        <v>3246</v>
      </c>
      <c r="B2838" s="4" t="s">
        <v>3247</v>
      </c>
      <c r="C2838" s="12">
        <f>IFERROR(__xludf.DUMMYFUNCTION("""COMPUTED_VALUE"""),44662.60585648148)</f>
        <v>44662.60586</v>
      </c>
      <c r="D2838" s="13">
        <f t="shared" si="1"/>
        <v>11</v>
      </c>
      <c r="E2838" s="13">
        <f t="shared" si="2"/>
        <v>14</v>
      </c>
    </row>
    <row r="2839">
      <c r="A2839" s="4" t="s">
        <v>3248</v>
      </c>
      <c r="B2839" s="16"/>
      <c r="C2839" s="12">
        <f>IFERROR(__xludf.DUMMYFUNCTION("""COMPUTED_VALUE"""),44662.60576388889)</f>
        <v>44662.60576</v>
      </c>
      <c r="D2839" s="13">
        <f t="shared" si="1"/>
        <v>11</v>
      </c>
      <c r="E2839" s="13">
        <f t="shared" si="2"/>
        <v>14</v>
      </c>
    </row>
    <row r="2840">
      <c r="A2840" s="4" t="s">
        <v>3249</v>
      </c>
      <c r="B2840" s="16"/>
      <c r="C2840" s="12">
        <f>IFERROR(__xludf.DUMMYFUNCTION("""COMPUTED_VALUE"""),44662.605682870366)</f>
        <v>44662.60568</v>
      </c>
      <c r="D2840" s="13">
        <f t="shared" si="1"/>
        <v>11</v>
      </c>
      <c r="E2840" s="13">
        <f t="shared" si="2"/>
        <v>14</v>
      </c>
    </row>
    <row r="2841">
      <c r="A2841" s="4" t="s">
        <v>3250</v>
      </c>
      <c r="B2841" s="16"/>
      <c r="C2841" s="12">
        <f>IFERROR(__xludf.DUMMYFUNCTION("""COMPUTED_VALUE"""),44662.60561342593)</f>
        <v>44662.60561</v>
      </c>
      <c r="D2841" s="13">
        <f t="shared" si="1"/>
        <v>11</v>
      </c>
      <c r="E2841" s="13">
        <f t="shared" si="2"/>
        <v>14</v>
      </c>
    </row>
    <row r="2842">
      <c r="A2842" s="4" t="s">
        <v>3251</v>
      </c>
      <c r="B2842" s="16"/>
      <c r="C2842" s="12">
        <f>IFERROR(__xludf.DUMMYFUNCTION("""COMPUTED_VALUE"""),44662.605578703704)</f>
        <v>44662.60558</v>
      </c>
      <c r="D2842" s="13">
        <f t="shared" si="1"/>
        <v>11</v>
      </c>
      <c r="E2842" s="13">
        <f t="shared" si="2"/>
        <v>14</v>
      </c>
    </row>
    <row r="2843">
      <c r="A2843" s="4" t="s">
        <v>3252</v>
      </c>
      <c r="B2843" s="16"/>
      <c r="C2843" s="12">
        <f>IFERROR(__xludf.DUMMYFUNCTION("""COMPUTED_VALUE"""),44662.60548611111)</f>
        <v>44662.60549</v>
      </c>
      <c r="D2843" s="13">
        <f t="shared" si="1"/>
        <v>11</v>
      </c>
      <c r="E2843" s="13">
        <f t="shared" si="2"/>
        <v>14</v>
      </c>
    </row>
    <row r="2844">
      <c r="A2844" s="4" t="s">
        <v>3253</v>
      </c>
      <c r="B2844" s="4" t="s">
        <v>3254</v>
      </c>
      <c r="C2844" s="12">
        <f>IFERROR(__xludf.DUMMYFUNCTION("""COMPUTED_VALUE"""),44662.60533564814)</f>
        <v>44662.60534</v>
      </c>
      <c r="D2844" s="13">
        <f t="shared" si="1"/>
        <v>11</v>
      </c>
      <c r="E2844" s="13">
        <f t="shared" si="2"/>
        <v>14</v>
      </c>
    </row>
    <row r="2845">
      <c r="A2845" s="4" t="s">
        <v>3255</v>
      </c>
      <c r="B2845" s="4" t="s">
        <v>3256</v>
      </c>
      <c r="C2845" s="12">
        <f>IFERROR(__xludf.DUMMYFUNCTION("""COMPUTED_VALUE"""),44662.60476851852)</f>
        <v>44662.60477</v>
      </c>
      <c r="D2845" s="13">
        <f t="shared" si="1"/>
        <v>11</v>
      </c>
      <c r="E2845" s="13">
        <f t="shared" si="2"/>
        <v>14</v>
      </c>
    </row>
    <row r="2846">
      <c r="A2846" s="4" t="s">
        <v>3257</v>
      </c>
      <c r="B2846" s="4" t="s">
        <v>3258</v>
      </c>
      <c r="C2846" s="12">
        <f>IFERROR(__xludf.DUMMYFUNCTION("""COMPUTED_VALUE"""),44662.604629629626)</f>
        <v>44662.60463</v>
      </c>
      <c r="D2846" s="13">
        <f t="shared" si="1"/>
        <v>11</v>
      </c>
      <c r="E2846" s="13">
        <f t="shared" si="2"/>
        <v>14</v>
      </c>
    </row>
    <row r="2847">
      <c r="A2847" s="4" t="s">
        <v>3259</v>
      </c>
      <c r="B2847" s="4" t="s">
        <v>3260</v>
      </c>
      <c r="C2847" s="12">
        <f>IFERROR(__xludf.DUMMYFUNCTION("""COMPUTED_VALUE"""),44662.6045949074)</f>
        <v>44662.60459</v>
      </c>
      <c r="D2847" s="13">
        <f t="shared" si="1"/>
        <v>11</v>
      </c>
      <c r="E2847" s="13">
        <f t="shared" si="2"/>
        <v>14</v>
      </c>
    </row>
    <row r="2848">
      <c r="A2848" s="4" t="s">
        <v>3261</v>
      </c>
      <c r="B2848" s="16"/>
      <c r="C2848" s="12">
        <f>IFERROR(__xludf.DUMMYFUNCTION("""COMPUTED_VALUE"""),44662.60434027777)</f>
        <v>44662.60434</v>
      </c>
      <c r="D2848" s="13">
        <f t="shared" si="1"/>
        <v>11</v>
      </c>
      <c r="E2848" s="13">
        <f t="shared" si="2"/>
        <v>14</v>
      </c>
    </row>
    <row r="2849">
      <c r="A2849" s="4" t="s">
        <v>3262</v>
      </c>
      <c r="B2849" s="16"/>
      <c r="C2849" s="12">
        <f>IFERROR(__xludf.DUMMYFUNCTION("""COMPUTED_VALUE"""),44662.60427083333)</f>
        <v>44662.60427</v>
      </c>
      <c r="D2849" s="13">
        <f t="shared" si="1"/>
        <v>11</v>
      </c>
      <c r="E2849" s="13">
        <f t="shared" si="2"/>
        <v>14</v>
      </c>
    </row>
    <row r="2850">
      <c r="A2850" s="4" t="s">
        <v>3262</v>
      </c>
      <c r="B2850" s="4" t="s">
        <v>3263</v>
      </c>
      <c r="C2850" s="12">
        <f>IFERROR(__xludf.DUMMYFUNCTION("""COMPUTED_VALUE"""),44662.60427083333)</f>
        <v>44662.60427</v>
      </c>
      <c r="D2850" s="13">
        <f t="shared" si="1"/>
        <v>11</v>
      </c>
      <c r="E2850" s="13">
        <f t="shared" si="2"/>
        <v>14</v>
      </c>
    </row>
    <row r="2851">
      <c r="A2851" s="4" t="s">
        <v>3264</v>
      </c>
      <c r="B2851" s="16"/>
      <c r="C2851" s="12">
        <f>IFERROR(__xludf.DUMMYFUNCTION("""COMPUTED_VALUE"""),44662.60415509259)</f>
        <v>44662.60416</v>
      </c>
      <c r="D2851" s="13">
        <f t="shared" si="1"/>
        <v>11</v>
      </c>
      <c r="E2851" s="13">
        <f t="shared" si="2"/>
        <v>14</v>
      </c>
    </row>
    <row r="2852">
      <c r="A2852" s="4" t="s">
        <v>3265</v>
      </c>
      <c r="B2852" s="4" t="s">
        <v>3138</v>
      </c>
      <c r="C2852" s="12">
        <f>IFERROR(__xludf.DUMMYFUNCTION("""COMPUTED_VALUE"""),44662.6039699074)</f>
        <v>44662.60397</v>
      </c>
      <c r="D2852" s="13">
        <f t="shared" si="1"/>
        <v>11</v>
      </c>
      <c r="E2852" s="13">
        <f t="shared" si="2"/>
        <v>14</v>
      </c>
    </row>
    <row r="2853">
      <c r="A2853" s="4" t="s">
        <v>3266</v>
      </c>
      <c r="B2853" s="4" t="s">
        <v>3138</v>
      </c>
      <c r="C2853" s="12">
        <f>IFERROR(__xludf.DUMMYFUNCTION("""COMPUTED_VALUE"""),44662.603946759256)</f>
        <v>44662.60395</v>
      </c>
      <c r="D2853" s="13">
        <f t="shared" si="1"/>
        <v>11</v>
      </c>
      <c r="E2853" s="13">
        <f t="shared" si="2"/>
        <v>14</v>
      </c>
    </row>
    <row r="2854">
      <c r="A2854" s="4" t="s">
        <v>3267</v>
      </c>
      <c r="B2854" s="16"/>
      <c r="C2854" s="12">
        <f>IFERROR(__xludf.DUMMYFUNCTION("""COMPUTED_VALUE"""),44662.60391203703)</f>
        <v>44662.60391</v>
      </c>
      <c r="D2854" s="13">
        <f t="shared" si="1"/>
        <v>11</v>
      </c>
      <c r="E2854" s="13">
        <f t="shared" si="2"/>
        <v>14</v>
      </c>
    </row>
    <row r="2855">
      <c r="A2855" s="4" t="s">
        <v>3268</v>
      </c>
      <c r="B2855" s="4" t="s">
        <v>3032</v>
      </c>
      <c r="C2855" s="12">
        <f>IFERROR(__xludf.DUMMYFUNCTION("""COMPUTED_VALUE"""),44662.60387731481)</f>
        <v>44662.60388</v>
      </c>
      <c r="D2855" s="13">
        <f t="shared" si="1"/>
        <v>11</v>
      </c>
      <c r="E2855" s="13">
        <f t="shared" si="2"/>
        <v>14</v>
      </c>
    </row>
    <row r="2856">
      <c r="A2856" s="4" t="s">
        <v>3269</v>
      </c>
      <c r="B2856" s="4" t="s">
        <v>3032</v>
      </c>
      <c r="C2856" s="12">
        <f>IFERROR(__xludf.DUMMYFUNCTION("""COMPUTED_VALUE"""),44662.603854166664)</f>
        <v>44662.60385</v>
      </c>
      <c r="D2856" s="13">
        <f t="shared" si="1"/>
        <v>11</v>
      </c>
      <c r="E2856" s="13">
        <f t="shared" si="2"/>
        <v>14</v>
      </c>
    </row>
    <row r="2857">
      <c r="A2857" s="4" t="s">
        <v>3270</v>
      </c>
      <c r="B2857" s="4" t="s">
        <v>3263</v>
      </c>
      <c r="C2857" s="12">
        <f>IFERROR(__xludf.DUMMYFUNCTION("""COMPUTED_VALUE"""),44662.60383101852)</f>
        <v>44662.60383</v>
      </c>
      <c r="D2857" s="13">
        <f t="shared" si="1"/>
        <v>11</v>
      </c>
      <c r="E2857" s="13">
        <f t="shared" si="2"/>
        <v>14</v>
      </c>
    </row>
    <row r="2858">
      <c r="A2858" s="4" t="s">
        <v>3271</v>
      </c>
      <c r="B2858" s="16"/>
      <c r="C2858" s="12">
        <f>IFERROR(__xludf.DUMMYFUNCTION("""COMPUTED_VALUE"""),44662.60380787037)</f>
        <v>44662.60381</v>
      </c>
      <c r="D2858" s="13">
        <f t="shared" si="1"/>
        <v>11</v>
      </c>
      <c r="E2858" s="13">
        <f t="shared" si="2"/>
        <v>14</v>
      </c>
    </row>
    <row r="2859">
      <c r="A2859" s="4" t="s">
        <v>3272</v>
      </c>
      <c r="B2859" s="16"/>
      <c r="C2859" s="12">
        <f>IFERROR(__xludf.DUMMYFUNCTION("""COMPUTED_VALUE"""),44662.603738425925)</f>
        <v>44662.60374</v>
      </c>
      <c r="D2859" s="13">
        <f t="shared" si="1"/>
        <v>11</v>
      </c>
      <c r="E2859" s="13">
        <f t="shared" si="2"/>
        <v>14</v>
      </c>
    </row>
    <row r="2860">
      <c r="A2860" s="4" t="s">
        <v>3273</v>
      </c>
      <c r="B2860" s="16"/>
      <c r="C2860" s="12">
        <f>IFERROR(__xludf.DUMMYFUNCTION("""COMPUTED_VALUE"""),44662.6037037037)</f>
        <v>44662.6037</v>
      </c>
      <c r="D2860" s="13">
        <f t="shared" si="1"/>
        <v>11</v>
      </c>
      <c r="E2860" s="13">
        <f t="shared" si="2"/>
        <v>14</v>
      </c>
    </row>
    <row r="2861">
      <c r="A2861" s="4" t="s">
        <v>3274</v>
      </c>
      <c r="B2861" s="16"/>
      <c r="C2861" s="12">
        <f>IFERROR(__xludf.DUMMYFUNCTION("""COMPUTED_VALUE"""),44662.60366898148)</f>
        <v>44662.60367</v>
      </c>
      <c r="D2861" s="13">
        <f t="shared" si="1"/>
        <v>11</v>
      </c>
      <c r="E2861" s="13">
        <f t="shared" si="2"/>
        <v>14</v>
      </c>
    </row>
    <row r="2862">
      <c r="A2862" s="4" t="s">
        <v>3275</v>
      </c>
      <c r="B2862" s="16"/>
      <c r="C2862" s="12">
        <f>IFERROR(__xludf.DUMMYFUNCTION("""COMPUTED_VALUE"""),44662.60364583333)</f>
        <v>44662.60365</v>
      </c>
      <c r="D2862" s="13">
        <f t="shared" si="1"/>
        <v>11</v>
      </c>
      <c r="E2862" s="13">
        <f t="shared" si="2"/>
        <v>14</v>
      </c>
    </row>
    <row r="2863">
      <c r="A2863" s="4" t="s">
        <v>3276</v>
      </c>
      <c r="B2863" s="16"/>
      <c r="C2863" s="12">
        <f>IFERROR(__xludf.DUMMYFUNCTION("""COMPUTED_VALUE"""),44662.60359953703)</f>
        <v>44662.6036</v>
      </c>
      <c r="D2863" s="13">
        <f t="shared" si="1"/>
        <v>11</v>
      </c>
      <c r="E2863" s="13">
        <f t="shared" si="2"/>
        <v>14</v>
      </c>
    </row>
    <row r="2864">
      <c r="A2864" s="4" t="s">
        <v>3277</v>
      </c>
      <c r="B2864" s="16"/>
      <c r="C2864" s="12">
        <f>IFERROR(__xludf.DUMMYFUNCTION("""COMPUTED_VALUE"""),44662.60357638889)</f>
        <v>44662.60358</v>
      </c>
      <c r="D2864" s="13">
        <f t="shared" si="1"/>
        <v>11</v>
      </c>
      <c r="E2864" s="13">
        <f t="shared" si="2"/>
        <v>14</v>
      </c>
    </row>
    <row r="2865">
      <c r="A2865" s="4" t="s">
        <v>3278</v>
      </c>
      <c r="B2865" s="16"/>
      <c r="C2865" s="12">
        <f>IFERROR(__xludf.DUMMYFUNCTION("""COMPUTED_VALUE"""),44662.60353009259)</f>
        <v>44662.60353</v>
      </c>
      <c r="D2865" s="13">
        <f t="shared" si="1"/>
        <v>11</v>
      </c>
      <c r="E2865" s="13">
        <f t="shared" si="2"/>
        <v>14</v>
      </c>
    </row>
    <row r="2866">
      <c r="A2866" s="4" t="s">
        <v>3278</v>
      </c>
      <c r="B2866" s="16"/>
      <c r="C2866" s="12">
        <f>IFERROR(__xludf.DUMMYFUNCTION("""COMPUTED_VALUE"""),44662.60353009259)</f>
        <v>44662.60353</v>
      </c>
      <c r="D2866" s="13">
        <f t="shared" si="1"/>
        <v>11</v>
      </c>
      <c r="E2866" s="13">
        <f t="shared" si="2"/>
        <v>14</v>
      </c>
    </row>
    <row r="2867">
      <c r="A2867" s="4" t="s">
        <v>3279</v>
      </c>
      <c r="B2867" s="16"/>
      <c r="C2867" s="12">
        <f>IFERROR(__xludf.DUMMYFUNCTION("""COMPUTED_VALUE"""),44662.60349537037)</f>
        <v>44662.6035</v>
      </c>
      <c r="D2867" s="13">
        <f t="shared" si="1"/>
        <v>11</v>
      </c>
      <c r="E2867" s="13">
        <f t="shared" si="2"/>
        <v>14</v>
      </c>
    </row>
    <row r="2868">
      <c r="A2868" s="4" t="s">
        <v>3280</v>
      </c>
      <c r="B2868" s="16"/>
      <c r="C2868" s="12">
        <f>IFERROR(__xludf.DUMMYFUNCTION("""COMPUTED_VALUE"""),44662.60347222222)</f>
        <v>44662.60347</v>
      </c>
      <c r="D2868" s="13">
        <f t="shared" si="1"/>
        <v>11</v>
      </c>
      <c r="E2868" s="13">
        <f t="shared" si="2"/>
        <v>14</v>
      </c>
    </row>
    <row r="2869">
      <c r="A2869" s="4" t="s">
        <v>3281</v>
      </c>
      <c r="B2869" s="16"/>
      <c r="C2869" s="12">
        <f>IFERROR(__xludf.DUMMYFUNCTION("""COMPUTED_VALUE"""),44662.60346064815)</f>
        <v>44662.60346</v>
      </c>
      <c r="D2869" s="13">
        <f t="shared" si="1"/>
        <v>11</v>
      </c>
      <c r="E2869" s="13">
        <f t="shared" si="2"/>
        <v>14</v>
      </c>
    </row>
    <row r="2870">
      <c r="A2870" s="4" t="s">
        <v>3282</v>
      </c>
      <c r="B2870" s="16"/>
      <c r="C2870" s="12">
        <f>IFERROR(__xludf.DUMMYFUNCTION("""COMPUTED_VALUE"""),44662.603425925925)</f>
        <v>44662.60343</v>
      </c>
      <c r="D2870" s="13">
        <f t="shared" si="1"/>
        <v>11</v>
      </c>
      <c r="E2870" s="13">
        <f t="shared" si="2"/>
        <v>14</v>
      </c>
    </row>
    <row r="2871">
      <c r="A2871" s="4" t="s">
        <v>3283</v>
      </c>
      <c r="B2871" s="4" t="s">
        <v>3284</v>
      </c>
      <c r="C2871" s="12">
        <f>IFERROR(__xludf.DUMMYFUNCTION("""COMPUTED_VALUE"""),44662.6033912037)</f>
        <v>44662.60339</v>
      </c>
      <c r="D2871" s="13">
        <f t="shared" si="1"/>
        <v>11</v>
      </c>
      <c r="E2871" s="13">
        <f t="shared" si="2"/>
        <v>14</v>
      </c>
    </row>
    <row r="2872">
      <c r="A2872" s="4" t="s">
        <v>3285</v>
      </c>
      <c r="B2872" s="16"/>
      <c r="C2872" s="12">
        <f>IFERROR(__xludf.DUMMYFUNCTION("""COMPUTED_VALUE"""),44662.60335648148)</f>
        <v>44662.60336</v>
      </c>
      <c r="D2872" s="13">
        <f t="shared" si="1"/>
        <v>11</v>
      </c>
      <c r="E2872" s="13">
        <f t="shared" si="2"/>
        <v>14</v>
      </c>
    </row>
    <row r="2873">
      <c r="A2873" s="4" t="s">
        <v>3286</v>
      </c>
      <c r="B2873" s="4" t="s">
        <v>3032</v>
      </c>
      <c r="C2873" s="12">
        <f>IFERROR(__xludf.DUMMYFUNCTION("""COMPUTED_VALUE"""),44662.60297453703)</f>
        <v>44662.60297</v>
      </c>
      <c r="D2873" s="13">
        <f t="shared" si="1"/>
        <v>11</v>
      </c>
      <c r="E2873" s="13">
        <f t="shared" si="2"/>
        <v>14</v>
      </c>
    </row>
    <row r="2874">
      <c r="A2874" s="4" t="s">
        <v>3287</v>
      </c>
      <c r="B2874" s="16"/>
      <c r="C2874" s="12">
        <f>IFERROR(__xludf.DUMMYFUNCTION("""COMPUTED_VALUE"""),44662.602743055555)</f>
        <v>44662.60274</v>
      </c>
      <c r="D2874" s="13">
        <f t="shared" si="1"/>
        <v>11</v>
      </c>
      <c r="E2874" s="13">
        <f t="shared" si="2"/>
        <v>14</v>
      </c>
    </row>
    <row r="2875">
      <c r="A2875" s="4" t="s">
        <v>3287</v>
      </c>
      <c r="B2875" s="16"/>
      <c r="C2875" s="12">
        <f>IFERROR(__xludf.DUMMYFUNCTION("""COMPUTED_VALUE"""),44662.602743055555)</f>
        <v>44662.60274</v>
      </c>
      <c r="D2875" s="13">
        <f t="shared" si="1"/>
        <v>11</v>
      </c>
      <c r="E2875" s="13">
        <f t="shared" si="2"/>
        <v>14</v>
      </c>
    </row>
    <row r="2876">
      <c r="A2876" s="4" t="s">
        <v>3288</v>
      </c>
      <c r="B2876" s="16"/>
      <c r="C2876" s="12">
        <f>IFERROR(__xludf.DUMMYFUNCTION("""COMPUTED_VALUE"""),44662.602488425924)</f>
        <v>44662.60249</v>
      </c>
      <c r="D2876" s="13">
        <f t="shared" si="1"/>
        <v>11</v>
      </c>
      <c r="E2876" s="13">
        <f t="shared" si="2"/>
        <v>14</v>
      </c>
    </row>
    <row r="2877">
      <c r="A2877" s="4" t="s">
        <v>3289</v>
      </c>
      <c r="B2877" s="4" t="s">
        <v>3032</v>
      </c>
      <c r="C2877" s="12">
        <f>IFERROR(__xludf.DUMMYFUNCTION("""COMPUTED_VALUE"""),44662.60246527778)</f>
        <v>44662.60247</v>
      </c>
      <c r="D2877" s="13">
        <f t="shared" si="1"/>
        <v>11</v>
      </c>
      <c r="E2877" s="13">
        <f t="shared" si="2"/>
        <v>14</v>
      </c>
    </row>
    <row r="2878">
      <c r="A2878" s="4" t="s">
        <v>3290</v>
      </c>
      <c r="B2878" s="16"/>
      <c r="C2878" s="12">
        <f>IFERROR(__xludf.DUMMYFUNCTION("""COMPUTED_VALUE"""),44662.60241898148)</f>
        <v>44662.60242</v>
      </c>
      <c r="D2878" s="13">
        <f t="shared" si="1"/>
        <v>11</v>
      </c>
      <c r="E2878" s="13">
        <f t="shared" si="2"/>
        <v>14</v>
      </c>
    </row>
    <row r="2879">
      <c r="A2879" s="4" t="s">
        <v>3291</v>
      </c>
      <c r="B2879" s="16"/>
      <c r="C2879" s="12">
        <f>IFERROR(__xludf.DUMMYFUNCTION("""COMPUTED_VALUE"""),44662.602384259255)</f>
        <v>44662.60238</v>
      </c>
      <c r="D2879" s="13">
        <f t="shared" si="1"/>
        <v>11</v>
      </c>
      <c r="E2879" s="13">
        <f t="shared" si="2"/>
        <v>14</v>
      </c>
    </row>
    <row r="2880">
      <c r="A2880" s="4" t="s">
        <v>3292</v>
      </c>
      <c r="B2880" s="16"/>
      <c r="C2880" s="12">
        <f>IFERROR(__xludf.DUMMYFUNCTION("""COMPUTED_VALUE"""),44662.602326388886)</f>
        <v>44662.60233</v>
      </c>
      <c r="D2880" s="13">
        <f t="shared" si="1"/>
        <v>11</v>
      </c>
      <c r="E2880" s="13">
        <f t="shared" si="2"/>
        <v>14</v>
      </c>
    </row>
    <row r="2881">
      <c r="A2881" s="4" t="s">
        <v>3293</v>
      </c>
      <c r="B2881" s="16"/>
      <c r="C2881" s="12">
        <f>IFERROR(__xludf.DUMMYFUNCTION("""COMPUTED_VALUE"""),44662.602175925924)</f>
        <v>44662.60218</v>
      </c>
      <c r="D2881" s="13">
        <f t="shared" si="1"/>
        <v>11</v>
      </c>
      <c r="E2881" s="13">
        <f t="shared" si="2"/>
        <v>14</v>
      </c>
    </row>
    <row r="2882">
      <c r="A2882" s="4" t="s">
        <v>3294</v>
      </c>
      <c r="B2882" s="4" t="s">
        <v>1269</v>
      </c>
      <c r="C2882" s="12">
        <f>IFERROR(__xludf.DUMMYFUNCTION("""COMPUTED_VALUE"""),44662.60142361111)</f>
        <v>44662.60142</v>
      </c>
      <c r="D2882" s="13">
        <f t="shared" si="1"/>
        <v>11</v>
      </c>
      <c r="E2882" s="13">
        <f t="shared" si="2"/>
        <v>14</v>
      </c>
    </row>
    <row r="2883">
      <c r="A2883" s="4" t="s">
        <v>3295</v>
      </c>
      <c r="B2883" s="4" t="s">
        <v>3296</v>
      </c>
      <c r="C2883" s="12">
        <f>IFERROR(__xludf.DUMMYFUNCTION("""COMPUTED_VALUE"""),44662.601377314815)</f>
        <v>44662.60138</v>
      </c>
      <c r="D2883" s="13">
        <f t="shared" si="1"/>
        <v>11</v>
      </c>
      <c r="E2883" s="13">
        <f t="shared" si="2"/>
        <v>14</v>
      </c>
    </row>
    <row r="2884">
      <c r="A2884" s="4" t="s">
        <v>3297</v>
      </c>
      <c r="B2884" s="16"/>
      <c r="C2884" s="12">
        <f>IFERROR(__xludf.DUMMYFUNCTION("""COMPUTED_VALUE"""),44662.601018518515)</f>
        <v>44662.60102</v>
      </c>
      <c r="D2884" s="13">
        <f t="shared" si="1"/>
        <v>11</v>
      </c>
      <c r="E2884" s="13">
        <f t="shared" si="2"/>
        <v>14</v>
      </c>
    </row>
    <row r="2885">
      <c r="A2885" s="4" t="s">
        <v>3298</v>
      </c>
      <c r="B2885" s="4" t="s">
        <v>3299</v>
      </c>
      <c r="C2885" s="12">
        <f>IFERROR(__xludf.DUMMYFUNCTION("""COMPUTED_VALUE"""),44662.60099537037)</f>
        <v>44662.601</v>
      </c>
      <c r="D2885" s="13">
        <f t="shared" si="1"/>
        <v>11</v>
      </c>
      <c r="E2885" s="13">
        <f t="shared" si="2"/>
        <v>14</v>
      </c>
    </row>
    <row r="2886">
      <c r="A2886" s="4" t="s">
        <v>3300</v>
      </c>
      <c r="B2886" s="16"/>
      <c r="C2886" s="12">
        <f>IFERROR(__xludf.DUMMYFUNCTION("""COMPUTED_VALUE"""),44662.60097222222)</f>
        <v>44662.60097</v>
      </c>
      <c r="D2886" s="13">
        <f t="shared" si="1"/>
        <v>11</v>
      </c>
      <c r="E2886" s="13">
        <f t="shared" si="2"/>
        <v>14</v>
      </c>
    </row>
    <row r="2887">
      <c r="A2887" s="4" t="s">
        <v>3301</v>
      </c>
      <c r="B2887" s="4" t="s">
        <v>3299</v>
      </c>
      <c r="C2887" s="12">
        <f>IFERROR(__xludf.DUMMYFUNCTION("""COMPUTED_VALUE"""),44662.600960648146)</f>
        <v>44662.60096</v>
      </c>
      <c r="D2887" s="13">
        <f t="shared" si="1"/>
        <v>11</v>
      </c>
      <c r="E2887" s="13">
        <f t="shared" si="2"/>
        <v>14</v>
      </c>
    </row>
    <row r="2888">
      <c r="A2888" s="4" t="s">
        <v>3302</v>
      </c>
      <c r="B2888" s="16"/>
      <c r="C2888" s="12">
        <f>IFERROR(__xludf.DUMMYFUNCTION("""COMPUTED_VALUE"""),44662.60053240741)</f>
        <v>44662.60053</v>
      </c>
      <c r="D2888" s="13">
        <f t="shared" si="1"/>
        <v>11</v>
      </c>
      <c r="E2888" s="13">
        <f t="shared" si="2"/>
        <v>14</v>
      </c>
    </row>
    <row r="2889">
      <c r="A2889" s="4" t="s">
        <v>3303</v>
      </c>
      <c r="B2889" s="16"/>
      <c r="C2889" s="12">
        <f>IFERROR(__xludf.DUMMYFUNCTION("""COMPUTED_VALUE"""),44662.59987268518)</f>
        <v>44662.59987</v>
      </c>
      <c r="D2889" s="13">
        <f t="shared" si="1"/>
        <v>11</v>
      </c>
      <c r="E2889" s="13">
        <f t="shared" si="2"/>
        <v>14</v>
      </c>
    </row>
    <row r="2890">
      <c r="A2890" s="4" t="s">
        <v>3304</v>
      </c>
      <c r="B2890" s="4" t="s">
        <v>3305</v>
      </c>
      <c r="C2890" s="12">
        <f>IFERROR(__xludf.DUMMYFUNCTION("""COMPUTED_VALUE"""),44662.59980324074)</f>
        <v>44662.5998</v>
      </c>
      <c r="D2890" s="13">
        <f t="shared" si="1"/>
        <v>11</v>
      </c>
      <c r="E2890" s="13">
        <f t="shared" si="2"/>
        <v>14</v>
      </c>
    </row>
    <row r="2891">
      <c r="A2891" s="4" t="s">
        <v>3306</v>
      </c>
      <c r="B2891" s="16"/>
      <c r="C2891" s="12">
        <f>IFERROR(__xludf.DUMMYFUNCTION("""COMPUTED_VALUE"""),44662.59957175926)</f>
        <v>44662.59957</v>
      </c>
      <c r="D2891" s="13">
        <f t="shared" si="1"/>
        <v>11</v>
      </c>
      <c r="E2891" s="13">
        <f t="shared" si="2"/>
        <v>14</v>
      </c>
    </row>
    <row r="2892">
      <c r="A2892" s="4" t="s">
        <v>3307</v>
      </c>
      <c r="B2892" s="16"/>
      <c r="C2892" s="12">
        <f>IFERROR(__xludf.DUMMYFUNCTION("""COMPUTED_VALUE"""),44662.59946759259)</f>
        <v>44662.59947</v>
      </c>
      <c r="D2892" s="13">
        <f t="shared" si="1"/>
        <v>11</v>
      </c>
      <c r="E2892" s="13">
        <f t="shared" si="2"/>
        <v>14</v>
      </c>
    </row>
    <row r="2893">
      <c r="A2893" s="4" t="s">
        <v>3308</v>
      </c>
      <c r="B2893" s="4" t="s">
        <v>1269</v>
      </c>
      <c r="C2893" s="12">
        <f>IFERROR(__xludf.DUMMYFUNCTION("""COMPUTED_VALUE"""),44662.59920138889)</f>
        <v>44662.5992</v>
      </c>
      <c r="D2893" s="13">
        <f t="shared" si="1"/>
        <v>11</v>
      </c>
      <c r="E2893" s="13">
        <f t="shared" si="2"/>
        <v>14</v>
      </c>
    </row>
    <row r="2894">
      <c r="A2894" s="4" t="s">
        <v>3309</v>
      </c>
      <c r="B2894" s="16"/>
      <c r="C2894" s="12">
        <f>IFERROR(__xludf.DUMMYFUNCTION("""COMPUTED_VALUE"""),44662.599131944444)</f>
        <v>44662.59913</v>
      </c>
      <c r="D2894" s="13">
        <f t="shared" si="1"/>
        <v>11</v>
      </c>
      <c r="E2894" s="13">
        <f t="shared" si="2"/>
        <v>14</v>
      </c>
    </row>
    <row r="2895">
      <c r="A2895" s="4" t="s">
        <v>3310</v>
      </c>
      <c r="B2895" s="16"/>
      <c r="C2895" s="12">
        <f>IFERROR(__xludf.DUMMYFUNCTION("""COMPUTED_VALUE"""),44662.59888888889)</f>
        <v>44662.59889</v>
      </c>
      <c r="D2895" s="13">
        <f t="shared" si="1"/>
        <v>11</v>
      </c>
      <c r="E2895" s="13">
        <f t="shared" si="2"/>
        <v>14</v>
      </c>
    </row>
    <row r="2896">
      <c r="A2896" s="4" t="s">
        <v>3311</v>
      </c>
      <c r="B2896" s="16"/>
      <c r="C2896" s="12">
        <f>IFERROR(__xludf.DUMMYFUNCTION("""COMPUTED_VALUE"""),44662.59864583333)</f>
        <v>44662.59865</v>
      </c>
      <c r="D2896" s="13">
        <f t="shared" si="1"/>
        <v>11</v>
      </c>
      <c r="E2896" s="13">
        <f t="shared" si="2"/>
        <v>14</v>
      </c>
    </row>
    <row r="2897">
      <c r="A2897" s="4" t="s">
        <v>3312</v>
      </c>
      <c r="B2897" s="4" t="s">
        <v>3313</v>
      </c>
      <c r="C2897" s="12">
        <f>IFERROR(__xludf.DUMMYFUNCTION("""COMPUTED_VALUE"""),44662.59863425926)</f>
        <v>44662.59863</v>
      </c>
      <c r="D2897" s="13">
        <f t="shared" si="1"/>
        <v>11</v>
      </c>
      <c r="E2897" s="13">
        <f t="shared" si="2"/>
        <v>14</v>
      </c>
    </row>
    <row r="2898">
      <c r="A2898" s="4" t="s">
        <v>3314</v>
      </c>
      <c r="B2898" s="4" t="s">
        <v>3313</v>
      </c>
      <c r="C2898" s="12">
        <f>IFERROR(__xludf.DUMMYFUNCTION("""COMPUTED_VALUE"""),44662.598599537036)</f>
        <v>44662.5986</v>
      </c>
      <c r="D2898" s="13">
        <f t="shared" si="1"/>
        <v>11</v>
      </c>
      <c r="E2898" s="13">
        <f t="shared" si="2"/>
        <v>14</v>
      </c>
    </row>
    <row r="2899">
      <c r="A2899" s="4" t="s">
        <v>3315</v>
      </c>
      <c r="B2899" s="4" t="s">
        <v>1466</v>
      </c>
      <c r="C2899" s="12">
        <f>IFERROR(__xludf.DUMMYFUNCTION("""COMPUTED_VALUE"""),44662.598078703704)</f>
        <v>44662.59808</v>
      </c>
      <c r="D2899" s="13">
        <f t="shared" si="1"/>
        <v>11</v>
      </c>
      <c r="E2899" s="13">
        <f t="shared" si="2"/>
        <v>14</v>
      </c>
    </row>
    <row r="2900">
      <c r="A2900" s="4" t="s">
        <v>3316</v>
      </c>
      <c r="B2900" s="4" t="s">
        <v>1466</v>
      </c>
      <c r="C2900" s="12">
        <f>IFERROR(__xludf.DUMMYFUNCTION("""COMPUTED_VALUE"""),44662.59805555555)</f>
        <v>44662.59806</v>
      </c>
      <c r="D2900" s="13">
        <f t="shared" si="1"/>
        <v>11</v>
      </c>
      <c r="E2900" s="13">
        <f t="shared" si="2"/>
        <v>14</v>
      </c>
    </row>
    <row r="2901">
      <c r="A2901" s="4" t="s">
        <v>3317</v>
      </c>
      <c r="B2901" s="4" t="s">
        <v>1466</v>
      </c>
      <c r="C2901" s="12">
        <f>IFERROR(__xludf.DUMMYFUNCTION("""COMPUTED_VALUE"""),44662.59795138889)</f>
        <v>44662.59795</v>
      </c>
      <c r="D2901" s="13">
        <f t="shared" si="1"/>
        <v>11</v>
      </c>
      <c r="E2901" s="13">
        <f t="shared" si="2"/>
        <v>14</v>
      </c>
    </row>
    <row r="2902">
      <c r="A2902" s="4" t="s">
        <v>3318</v>
      </c>
      <c r="B2902" s="4" t="s">
        <v>1466</v>
      </c>
      <c r="C2902" s="12">
        <f>IFERROR(__xludf.DUMMYFUNCTION("""COMPUTED_VALUE"""),44662.597916666666)</f>
        <v>44662.59792</v>
      </c>
      <c r="D2902" s="13">
        <f t="shared" si="1"/>
        <v>11</v>
      </c>
      <c r="E2902" s="13">
        <f t="shared" si="2"/>
        <v>14</v>
      </c>
    </row>
    <row r="2903">
      <c r="A2903" s="4" t="s">
        <v>3319</v>
      </c>
      <c r="B2903" s="4" t="s">
        <v>2317</v>
      </c>
      <c r="C2903" s="12">
        <f>IFERROR(__xludf.DUMMYFUNCTION("""COMPUTED_VALUE"""),44662.59789351852)</f>
        <v>44662.59789</v>
      </c>
      <c r="D2903" s="13">
        <f t="shared" si="1"/>
        <v>11</v>
      </c>
      <c r="E2903" s="13">
        <f t="shared" si="2"/>
        <v>14</v>
      </c>
    </row>
    <row r="2904">
      <c r="A2904" s="4" t="s">
        <v>3320</v>
      </c>
      <c r="B2904" s="4" t="s">
        <v>2317</v>
      </c>
      <c r="C2904" s="12">
        <f>IFERROR(__xludf.DUMMYFUNCTION("""COMPUTED_VALUE"""),44662.59782407407)</f>
        <v>44662.59782</v>
      </c>
      <c r="D2904" s="13">
        <f t="shared" si="1"/>
        <v>11</v>
      </c>
      <c r="E2904" s="13">
        <f t="shared" si="2"/>
        <v>14</v>
      </c>
    </row>
    <row r="2905">
      <c r="A2905" s="4" t="s">
        <v>3321</v>
      </c>
      <c r="B2905" s="16"/>
      <c r="C2905" s="12">
        <f>IFERROR(__xludf.DUMMYFUNCTION("""COMPUTED_VALUE"""),44662.59699074074)</f>
        <v>44662.59699</v>
      </c>
      <c r="D2905" s="13">
        <f t="shared" si="1"/>
        <v>11</v>
      </c>
      <c r="E2905" s="13">
        <f t="shared" si="2"/>
        <v>14</v>
      </c>
    </row>
    <row r="2906">
      <c r="A2906" s="4" t="s">
        <v>3322</v>
      </c>
      <c r="B2906" s="4" t="s">
        <v>1688</v>
      </c>
      <c r="C2906" s="12">
        <f>IFERROR(__xludf.DUMMYFUNCTION("""COMPUTED_VALUE"""),44662.59694444444)</f>
        <v>44662.59694</v>
      </c>
      <c r="D2906" s="13">
        <f t="shared" si="1"/>
        <v>11</v>
      </c>
      <c r="E2906" s="13">
        <f t="shared" si="2"/>
        <v>14</v>
      </c>
    </row>
    <row r="2907">
      <c r="A2907" s="4" t="s">
        <v>3323</v>
      </c>
      <c r="B2907" s="4" t="s">
        <v>1688</v>
      </c>
      <c r="C2907" s="12">
        <f>IFERROR(__xludf.DUMMYFUNCTION("""COMPUTED_VALUE"""),44662.596921296295)</f>
        <v>44662.59692</v>
      </c>
      <c r="D2907" s="13">
        <f t="shared" si="1"/>
        <v>11</v>
      </c>
      <c r="E2907" s="13">
        <f t="shared" si="2"/>
        <v>14</v>
      </c>
    </row>
    <row r="2908">
      <c r="A2908" s="4" t="s">
        <v>3324</v>
      </c>
      <c r="B2908" s="16"/>
      <c r="C2908" s="12">
        <f>IFERROR(__xludf.DUMMYFUNCTION("""COMPUTED_VALUE"""),44662.596874999996)</f>
        <v>44662.59688</v>
      </c>
      <c r="D2908" s="13">
        <f t="shared" si="1"/>
        <v>11</v>
      </c>
      <c r="E2908" s="13">
        <f t="shared" si="2"/>
        <v>14</v>
      </c>
    </row>
    <row r="2909">
      <c r="A2909" s="4" t="s">
        <v>3325</v>
      </c>
      <c r="B2909" s="16"/>
      <c r="C2909" s="12">
        <f>IFERROR(__xludf.DUMMYFUNCTION("""COMPUTED_VALUE"""),44662.59684027777)</f>
        <v>44662.59684</v>
      </c>
      <c r="D2909" s="13">
        <f t="shared" si="1"/>
        <v>11</v>
      </c>
      <c r="E2909" s="13">
        <f t="shared" si="2"/>
        <v>14</v>
      </c>
    </row>
    <row r="2910">
      <c r="A2910" s="4" t="s">
        <v>3326</v>
      </c>
      <c r="B2910" s="16"/>
      <c r="C2910" s="12">
        <f>IFERROR(__xludf.DUMMYFUNCTION("""COMPUTED_VALUE"""),44662.59680555555)</f>
        <v>44662.59681</v>
      </c>
      <c r="D2910" s="13">
        <f t="shared" si="1"/>
        <v>11</v>
      </c>
      <c r="E2910" s="13">
        <f t="shared" si="2"/>
        <v>14</v>
      </c>
    </row>
    <row r="2911">
      <c r="A2911" s="4" t="s">
        <v>3327</v>
      </c>
      <c r="B2911" s="16"/>
      <c r="C2911" s="12">
        <f>IFERROR(__xludf.DUMMYFUNCTION("""COMPUTED_VALUE"""),44662.59679398148)</f>
        <v>44662.59679</v>
      </c>
      <c r="D2911" s="13">
        <f t="shared" si="1"/>
        <v>11</v>
      </c>
      <c r="E2911" s="13">
        <f t="shared" si="2"/>
        <v>14</v>
      </c>
    </row>
    <row r="2912">
      <c r="A2912" s="4" t="s">
        <v>3328</v>
      </c>
      <c r="B2912" s="16"/>
      <c r="C2912" s="12">
        <f>IFERROR(__xludf.DUMMYFUNCTION("""COMPUTED_VALUE"""),44662.59675925926)</f>
        <v>44662.59676</v>
      </c>
      <c r="D2912" s="13">
        <f t="shared" si="1"/>
        <v>11</v>
      </c>
      <c r="E2912" s="13">
        <f t="shared" si="2"/>
        <v>14</v>
      </c>
    </row>
    <row r="2913">
      <c r="A2913" s="4" t="s">
        <v>3329</v>
      </c>
      <c r="B2913" s="16"/>
      <c r="C2913" s="12">
        <f>IFERROR(__xludf.DUMMYFUNCTION("""COMPUTED_VALUE"""),44662.59667824074)</f>
        <v>44662.59668</v>
      </c>
      <c r="D2913" s="13">
        <f t="shared" si="1"/>
        <v>11</v>
      </c>
      <c r="E2913" s="13">
        <f t="shared" si="2"/>
        <v>14</v>
      </c>
    </row>
    <row r="2914">
      <c r="A2914" s="4" t="s">
        <v>3330</v>
      </c>
      <c r="B2914" s="4" t="s">
        <v>3331</v>
      </c>
      <c r="C2914" s="12">
        <f>IFERROR(__xludf.DUMMYFUNCTION("""COMPUTED_VALUE"""),44662.59665509259)</f>
        <v>44662.59666</v>
      </c>
      <c r="D2914" s="13">
        <f t="shared" si="1"/>
        <v>11</v>
      </c>
      <c r="E2914" s="13">
        <f t="shared" si="2"/>
        <v>14</v>
      </c>
    </row>
    <row r="2915">
      <c r="A2915" s="4" t="s">
        <v>3332</v>
      </c>
      <c r="B2915" s="4" t="s">
        <v>3041</v>
      </c>
      <c r="C2915" s="12">
        <f>IFERROR(__xludf.DUMMYFUNCTION("""COMPUTED_VALUE"""),44662.596562499995)</f>
        <v>44662.59656</v>
      </c>
      <c r="D2915" s="13">
        <f t="shared" si="1"/>
        <v>11</v>
      </c>
      <c r="E2915" s="13">
        <f t="shared" si="2"/>
        <v>14</v>
      </c>
    </row>
    <row r="2916">
      <c r="A2916" s="4" t="s">
        <v>3333</v>
      </c>
      <c r="B2916" s="16"/>
      <c r="C2916" s="12">
        <f>IFERROR(__xludf.DUMMYFUNCTION("""COMPUTED_VALUE"""),44662.59652777777)</f>
        <v>44662.59653</v>
      </c>
      <c r="D2916" s="13">
        <f t="shared" si="1"/>
        <v>11</v>
      </c>
      <c r="E2916" s="13">
        <f t="shared" si="2"/>
        <v>14</v>
      </c>
    </row>
    <row r="2917">
      <c r="A2917" s="4" t="s">
        <v>3333</v>
      </c>
      <c r="B2917" s="16"/>
      <c r="C2917" s="12">
        <f>IFERROR(__xludf.DUMMYFUNCTION("""COMPUTED_VALUE"""),44662.59652777777)</f>
        <v>44662.59653</v>
      </c>
      <c r="D2917" s="13">
        <f t="shared" si="1"/>
        <v>11</v>
      </c>
      <c r="E2917" s="13">
        <f t="shared" si="2"/>
        <v>14</v>
      </c>
    </row>
    <row r="2918">
      <c r="A2918" s="4" t="s">
        <v>3334</v>
      </c>
      <c r="B2918" s="16"/>
      <c r="C2918" s="12">
        <f>IFERROR(__xludf.DUMMYFUNCTION("""COMPUTED_VALUE"""),44662.596504629626)</f>
        <v>44662.5965</v>
      </c>
      <c r="D2918" s="13">
        <f t="shared" si="1"/>
        <v>11</v>
      </c>
      <c r="E2918" s="13">
        <f t="shared" si="2"/>
        <v>14</v>
      </c>
    </row>
    <row r="2919">
      <c r="A2919" s="4" t="s">
        <v>3335</v>
      </c>
      <c r="B2919" s="4" t="s">
        <v>3336</v>
      </c>
      <c r="C2919" s="12">
        <f>IFERROR(__xludf.DUMMYFUNCTION("""COMPUTED_VALUE"""),44662.59648148148)</f>
        <v>44662.59648</v>
      </c>
      <c r="D2919" s="13">
        <f t="shared" si="1"/>
        <v>11</v>
      </c>
      <c r="E2919" s="13">
        <f t="shared" si="2"/>
        <v>14</v>
      </c>
    </row>
    <row r="2920">
      <c r="A2920" s="4" t="s">
        <v>3337</v>
      </c>
      <c r="B2920" s="4" t="s">
        <v>3336</v>
      </c>
      <c r="C2920" s="12">
        <f>IFERROR(__xludf.DUMMYFUNCTION("""COMPUTED_VALUE"""),44662.59642361111)</f>
        <v>44662.59642</v>
      </c>
      <c r="D2920" s="13">
        <f t="shared" si="1"/>
        <v>11</v>
      </c>
      <c r="E2920" s="13">
        <f t="shared" si="2"/>
        <v>14</v>
      </c>
    </row>
    <row r="2921">
      <c r="A2921" s="4" t="s">
        <v>3338</v>
      </c>
      <c r="B2921" s="16"/>
      <c r="C2921" s="12">
        <f>IFERROR(__xludf.DUMMYFUNCTION("""COMPUTED_VALUE"""),44662.596296296295)</f>
        <v>44662.5963</v>
      </c>
      <c r="D2921" s="13">
        <f t="shared" si="1"/>
        <v>11</v>
      </c>
      <c r="E2921" s="13">
        <f t="shared" si="2"/>
        <v>14</v>
      </c>
    </row>
    <row r="2922">
      <c r="A2922" s="4" t="s">
        <v>3339</v>
      </c>
      <c r="B2922" s="4" t="s">
        <v>2317</v>
      </c>
      <c r="C2922" s="12">
        <f>IFERROR(__xludf.DUMMYFUNCTION("""COMPUTED_VALUE"""),44662.596238425926)</f>
        <v>44662.59624</v>
      </c>
      <c r="D2922" s="13">
        <f t="shared" si="1"/>
        <v>11</v>
      </c>
      <c r="E2922" s="13">
        <f t="shared" si="2"/>
        <v>14</v>
      </c>
    </row>
    <row r="2923">
      <c r="A2923" s="4" t="s">
        <v>3340</v>
      </c>
      <c r="B2923" s="4" t="s">
        <v>3341</v>
      </c>
      <c r="C2923" s="12">
        <f>IFERROR(__xludf.DUMMYFUNCTION("""COMPUTED_VALUE"""),44662.595937499995)</f>
        <v>44662.59594</v>
      </c>
      <c r="D2923" s="13">
        <f t="shared" si="1"/>
        <v>11</v>
      </c>
      <c r="E2923" s="13">
        <f t="shared" si="2"/>
        <v>14</v>
      </c>
    </row>
    <row r="2924">
      <c r="A2924" s="4" t="s">
        <v>3342</v>
      </c>
      <c r="B2924" s="16"/>
      <c r="C2924" s="12">
        <f>IFERROR(__xludf.DUMMYFUNCTION("""COMPUTED_VALUE"""),44662.595821759256)</f>
        <v>44662.59582</v>
      </c>
      <c r="D2924" s="13">
        <f t="shared" si="1"/>
        <v>11</v>
      </c>
      <c r="E2924" s="13">
        <f t="shared" si="2"/>
        <v>14</v>
      </c>
    </row>
    <row r="2925">
      <c r="A2925" s="4" t="s">
        <v>3343</v>
      </c>
      <c r="B2925" s="4" t="s">
        <v>3344</v>
      </c>
      <c r="C2925" s="12">
        <f>IFERROR(__xludf.DUMMYFUNCTION("""COMPUTED_VALUE"""),44662.59569444444)</f>
        <v>44662.59569</v>
      </c>
      <c r="D2925" s="13">
        <f t="shared" si="1"/>
        <v>11</v>
      </c>
      <c r="E2925" s="13">
        <f t="shared" si="2"/>
        <v>14</v>
      </c>
    </row>
    <row r="2926">
      <c r="A2926" s="4" t="s">
        <v>3345</v>
      </c>
      <c r="B2926" s="16"/>
      <c r="C2926" s="12">
        <f>IFERROR(__xludf.DUMMYFUNCTION("""COMPUTED_VALUE"""),44662.59564814815)</f>
        <v>44662.59565</v>
      </c>
      <c r="D2926" s="13">
        <f t="shared" si="1"/>
        <v>11</v>
      </c>
      <c r="E2926" s="13">
        <f t="shared" si="2"/>
        <v>14</v>
      </c>
    </row>
    <row r="2927">
      <c r="A2927" s="4" t="s">
        <v>3346</v>
      </c>
      <c r="B2927" s="16"/>
      <c r="C2927" s="12">
        <f>IFERROR(__xludf.DUMMYFUNCTION("""COMPUTED_VALUE"""),44662.59560185185)</f>
        <v>44662.5956</v>
      </c>
      <c r="D2927" s="13">
        <f t="shared" si="1"/>
        <v>11</v>
      </c>
      <c r="E2927" s="13">
        <f t="shared" si="2"/>
        <v>14</v>
      </c>
    </row>
    <row r="2928">
      <c r="A2928" s="4" t="s">
        <v>3347</v>
      </c>
      <c r="B2928" s="4" t="s">
        <v>3348</v>
      </c>
      <c r="C2928" s="12">
        <f>IFERROR(__xludf.DUMMYFUNCTION("""COMPUTED_VALUE"""),44662.59559027778)</f>
        <v>44662.59559</v>
      </c>
      <c r="D2928" s="13">
        <f t="shared" si="1"/>
        <v>11</v>
      </c>
      <c r="E2928" s="13">
        <f t="shared" si="2"/>
        <v>14</v>
      </c>
    </row>
    <row r="2929">
      <c r="A2929" s="4" t="s">
        <v>3349</v>
      </c>
      <c r="B2929" s="16"/>
      <c r="C2929" s="12">
        <f>IFERROR(__xludf.DUMMYFUNCTION("""COMPUTED_VALUE"""),44662.59539351852)</f>
        <v>44662.59539</v>
      </c>
      <c r="D2929" s="13">
        <f t="shared" si="1"/>
        <v>11</v>
      </c>
      <c r="E2929" s="13">
        <f t="shared" si="2"/>
        <v>14</v>
      </c>
    </row>
    <row r="2930">
      <c r="A2930" s="4" t="s">
        <v>3350</v>
      </c>
      <c r="B2930" s="4" t="s">
        <v>3351</v>
      </c>
      <c r="C2930" s="12">
        <f>IFERROR(__xludf.DUMMYFUNCTION("""COMPUTED_VALUE"""),44662.59533564815)</f>
        <v>44662.59534</v>
      </c>
      <c r="D2930" s="13">
        <f t="shared" si="1"/>
        <v>11</v>
      </c>
      <c r="E2930" s="13">
        <f t="shared" si="2"/>
        <v>14</v>
      </c>
    </row>
    <row r="2931">
      <c r="A2931" s="4" t="s">
        <v>3352</v>
      </c>
      <c r="B2931" s="16"/>
      <c r="C2931" s="12">
        <f>IFERROR(__xludf.DUMMYFUNCTION("""COMPUTED_VALUE"""),44662.59527777778)</f>
        <v>44662.59528</v>
      </c>
      <c r="D2931" s="13">
        <f t="shared" si="1"/>
        <v>11</v>
      </c>
      <c r="E2931" s="13">
        <f t="shared" si="2"/>
        <v>14</v>
      </c>
    </row>
    <row r="2932">
      <c r="A2932" s="4" t="s">
        <v>3353</v>
      </c>
      <c r="B2932" s="16"/>
      <c r="C2932" s="12">
        <f>IFERROR(__xludf.DUMMYFUNCTION("""COMPUTED_VALUE"""),44662.5952199074)</f>
        <v>44662.59522</v>
      </c>
      <c r="D2932" s="13">
        <f t="shared" si="1"/>
        <v>11</v>
      </c>
      <c r="E2932" s="13">
        <f t="shared" si="2"/>
        <v>14</v>
      </c>
    </row>
    <row r="2933">
      <c r="A2933" s="4" t="s">
        <v>3354</v>
      </c>
      <c r="B2933" s="4" t="s">
        <v>3344</v>
      </c>
      <c r="C2933" s="12">
        <f>IFERROR(__xludf.DUMMYFUNCTION("""COMPUTED_VALUE"""),44662.59509259259)</f>
        <v>44662.59509</v>
      </c>
      <c r="D2933" s="13">
        <f t="shared" si="1"/>
        <v>11</v>
      </c>
      <c r="E2933" s="13">
        <f t="shared" si="2"/>
        <v>14</v>
      </c>
    </row>
    <row r="2934">
      <c r="A2934" s="4" t="s">
        <v>3355</v>
      </c>
      <c r="B2934" s="16"/>
      <c r="C2934" s="12">
        <f>IFERROR(__xludf.DUMMYFUNCTION("""COMPUTED_VALUE"""),44662.59497685185)</f>
        <v>44662.59498</v>
      </c>
      <c r="D2934" s="13">
        <f t="shared" si="1"/>
        <v>11</v>
      </c>
      <c r="E2934" s="13">
        <f t="shared" si="2"/>
        <v>14</v>
      </c>
    </row>
    <row r="2935">
      <c r="A2935" s="4" t="s">
        <v>3356</v>
      </c>
      <c r="B2935" s="16"/>
      <c r="C2935" s="12">
        <f>IFERROR(__xludf.DUMMYFUNCTION("""COMPUTED_VALUE"""),44662.59491898148)</f>
        <v>44662.59492</v>
      </c>
      <c r="D2935" s="13">
        <f t="shared" si="1"/>
        <v>11</v>
      </c>
      <c r="E2935" s="13">
        <f t="shared" si="2"/>
        <v>14</v>
      </c>
    </row>
    <row r="2936">
      <c r="A2936" s="4" t="s">
        <v>3356</v>
      </c>
      <c r="B2936" s="4" t="s">
        <v>1008</v>
      </c>
      <c r="C2936" s="12">
        <f>IFERROR(__xludf.DUMMYFUNCTION("""COMPUTED_VALUE"""),44662.59491898148)</f>
        <v>44662.59492</v>
      </c>
      <c r="D2936" s="13">
        <f t="shared" si="1"/>
        <v>11</v>
      </c>
      <c r="E2936" s="13">
        <f t="shared" si="2"/>
        <v>14</v>
      </c>
    </row>
    <row r="2937">
      <c r="A2937" s="4" t="s">
        <v>3357</v>
      </c>
      <c r="B2937" s="4" t="s">
        <v>1008</v>
      </c>
      <c r="C2937" s="12">
        <f>IFERROR(__xludf.DUMMYFUNCTION("""COMPUTED_VALUE"""),44662.59454861111)</f>
        <v>44662.59455</v>
      </c>
      <c r="D2937" s="13">
        <f t="shared" si="1"/>
        <v>11</v>
      </c>
      <c r="E2937" s="13">
        <f t="shared" si="2"/>
        <v>14</v>
      </c>
    </row>
    <row r="2938">
      <c r="A2938" s="4" t="s">
        <v>3358</v>
      </c>
      <c r="B2938" s="4" t="s">
        <v>2627</v>
      </c>
      <c r="C2938" s="12">
        <f>IFERROR(__xludf.DUMMYFUNCTION("""COMPUTED_VALUE"""),44662.594305555554)</f>
        <v>44662.59431</v>
      </c>
      <c r="D2938" s="13">
        <f t="shared" si="1"/>
        <v>11</v>
      </c>
      <c r="E2938" s="13">
        <f t="shared" si="2"/>
        <v>14</v>
      </c>
    </row>
    <row r="2939">
      <c r="A2939" s="4" t="s">
        <v>3359</v>
      </c>
      <c r="B2939" s="4" t="s">
        <v>3360</v>
      </c>
      <c r="C2939" s="12">
        <f>IFERROR(__xludf.DUMMYFUNCTION("""COMPUTED_VALUE"""),44662.59428240741)</f>
        <v>44662.59428</v>
      </c>
      <c r="D2939" s="13">
        <f t="shared" si="1"/>
        <v>11</v>
      </c>
      <c r="E2939" s="13">
        <f t="shared" si="2"/>
        <v>14</v>
      </c>
    </row>
    <row r="2940">
      <c r="A2940" s="4" t="s">
        <v>3361</v>
      </c>
      <c r="B2940" s="16"/>
      <c r="C2940" s="12">
        <f>IFERROR(__xludf.DUMMYFUNCTION("""COMPUTED_VALUE"""),44662.59422453703)</f>
        <v>44662.59422</v>
      </c>
      <c r="D2940" s="13">
        <f t="shared" si="1"/>
        <v>11</v>
      </c>
      <c r="E2940" s="13">
        <f t="shared" si="2"/>
        <v>14</v>
      </c>
    </row>
    <row r="2941">
      <c r="A2941" s="4" t="s">
        <v>3362</v>
      </c>
      <c r="B2941" s="16"/>
      <c r="C2941" s="12">
        <f>IFERROR(__xludf.DUMMYFUNCTION("""COMPUTED_VALUE"""),44662.59417824074)</f>
        <v>44662.59418</v>
      </c>
      <c r="D2941" s="13">
        <f t="shared" si="1"/>
        <v>11</v>
      </c>
      <c r="E2941" s="13">
        <f t="shared" si="2"/>
        <v>14</v>
      </c>
    </row>
    <row r="2942">
      <c r="A2942" s="4" t="s">
        <v>3363</v>
      </c>
      <c r="B2942" s="16"/>
      <c r="C2942" s="12">
        <f>IFERROR(__xludf.DUMMYFUNCTION("""COMPUTED_VALUE"""),44662.59413194444)</f>
        <v>44662.59413</v>
      </c>
      <c r="D2942" s="13">
        <f t="shared" si="1"/>
        <v>11</v>
      </c>
      <c r="E2942" s="13">
        <f t="shared" si="2"/>
        <v>14</v>
      </c>
    </row>
    <row r="2943">
      <c r="A2943" s="4" t="s">
        <v>3364</v>
      </c>
      <c r="B2943" s="4" t="s">
        <v>1086</v>
      </c>
      <c r="C2943" s="12">
        <f>IFERROR(__xludf.DUMMYFUNCTION("""COMPUTED_VALUE"""),44662.59412037037)</f>
        <v>44662.59412</v>
      </c>
      <c r="D2943" s="13">
        <f t="shared" si="1"/>
        <v>11</v>
      </c>
      <c r="E2943" s="13">
        <f t="shared" si="2"/>
        <v>14</v>
      </c>
    </row>
    <row r="2944">
      <c r="A2944" s="4" t="s">
        <v>3365</v>
      </c>
      <c r="B2944" s="4" t="s">
        <v>3366</v>
      </c>
      <c r="C2944" s="12">
        <f>IFERROR(__xludf.DUMMYFUNCTION("""COMPUTED_VALUE"""),44662.59409722222)</f>
        <v>44662.5941</v>
      </c>
      <c r="D2944" s="13">
        <f t="shared" si="1"/>
        <v>11</v>
      </c>
      <c r="E2944" s="13">
        <f t="shared" si="2"/>
        <v>14</v>
      </c>
    </row>
    <row r="2945">
      <c r="A2945" s="4" t="s">
        <v>3367</v>
      </c>
      <c r="B2945" s="16"/>
      <c r="C2945" s="12">
        <f>IFERROR(__xludf.DUMMYFUNCTION("""COMPUTED_VALUE"""),44662.59381944444)</f>
        <v>44662.59382</v>
      </c>
      <c r="D2945" s="13">
        <f t="shared" si="1"/>
        <v>11</v>
      </c>
      <c r="E2945" s="13">
        <f t="shared" si="2"/>
        <v>14</v>
      </c>
    </row>
    <row r="2946">
      <c r="A2946" s="4" t="s">
        <v>3368</v>
      </c>
      <c r="B2946" s="16"/>
      <c r="C2946" s="12">
        <f>IFERROR(__xludf.DUMMYFUNCTION("""COMPUTED_VALUE"""),44662.59379629629)</f>
        <v>44662.5938</v>
      </c>
      <c r="D2946" s="13">
        <f t="shared" si="1"/>
        <v>11</v>
      </c>
      <c r="E2946" s="13">
        <f t="shared" si="2"/>
        <v>14</v>
      </c>
    </row>
    <row r="2947">
      <c r="A2947" s="4" t="s">
        <v>3369</v>
      </c>
      <c r="B2947" s="4" t="s">
        <v>3370</v>
      </c>
      <c r="C2947" s="12">
        <f>IFERROR(__xludf.DUMMYFUNCTION("""COMPUTED_VALUE"""),44662.59378472222)</f>
        <v>44662.59378</v>
      </c>
      <c r="D2947" s="13">
        <f t="shared" si="1"/>
        <v>11</v>
      </c>
      <c r="E2947" s="13">
        <f t="shared" si="2"/>
        <v>14</v>
      </c>
    </row>
    <row r="2948">
      <c r="A2948" s="4" t="s">
        <v>3371</v>
      </c>
      <c r="B2948" s="4" t="s">
        <v>3372</v>
      </c>
      <c r="C2948" s="12">
        <f>IFERROR(__xludf.DUMMYFUNCTION("""COMPUTED_VALUE"""),44662.593622685185)</f>
        <v>44662.59362</v>
      </c>
      <c r="D2948" s="13">
        <f t="shared" si="1"/>
        <v>11</v>
      </c>
      <c r="E2948" s="13">
        <f t="shared" si="2"/>
        <v>14</v>
      </c>
    </row>
    <row r="2949">
      <c r="A2949" s="4" t="s">
        <v>3373</v>
      </c>
      <c r="B2949" s="4" t="s">
        <v>3360</v>
      </c>
      <c r="C2949" s="12">
        <f>IFERROR(__xludf.DUMMYFUNCTION("""COMPUTED_VALUE"""),44662.59313657407)</f>
        <v>44662.59314</v>
      </c>
      <c r="D2949" s="13">
        <f t="shared" si="1"/>
        <v>11</v>
      </c>
      <c r="E2949" s="13">
        <f t="shared" si="2"/>
        <v>14</v>
      </c>
    </row>
    <row r="2950">
      <c r="A2950" s="4" t="s">
        <v>3374</v>
      </c>
      <c r="B2950" s="16"/>
      <c r="C2950" s="12">
        <f>IFERROR(__xludf.DUMMYFUNCTION("""COMPUTED_VALUE"""),44662.59302083333)</f>
        <v>44662.59302</v>
      </c>
      <c r="D2950" s="13">
        <f t="shared" si="1"/>
        <v>11</v>
      </c>
      <c r="E2950" s="13">
        <f t="shared" si="2"/>
        <v>14</v>
      </c>
    </row>
    <row r="2951">
      <c r="A2951" s="4" t="s">
        <v>3375</v>
      </c>
      <c r="B2951" s="4" t="s">
        <v>3360</v>
      </c>
      <c r="C2951" s="12">
        <f>IFERROR(__xludf.DUMMYFUNCTION("""COMPUTED_VALUE"""),44662.59278935185)</f>
        <v>44662.59279</v>
      </c>
      <c r="D2951" s="13">
        <f t="shared" si="1"/>
        <v>11</v>
      </c>
      <c r="E2951" s="13">
        <f t="shared" si="2"/>
        <v>14</v>
      </c>
    </row>
    <row r="2952">
      <c r="A2952" s="4" t="s">
        <v>3376</v>
      </c>
      <c r="B2952" s="4" t="s">
        <v>3377</v>
      </c>
      <c r="C2952" s="12">
        <f>IFERROR(__xludf.DUMMYFUNCTION("""COMPUTED_VALUE"""),44662.59238425926)</f>
        <v>44662.59238</v>
      </c>
      <c r="D2952" s="13">
        <f t="shared" si="1"/>
        <v>11</v>
      </c>
      <c r="E2952" s="13">
        <f t="shared" si="2"/>
        <v>14</v>
      </c>
    </row>
    <row r="2953">
      <c r="A2953" s="4" t="s">
        <v>3378</v>
      </c>
      <c r="B2953" s="16"/>
      <c r="C2953" s="12">
        <f>IFERROR(__xludf.DUMMYFUNCTION("""COMPUTED_VALUE"""),44662.59233796296)</f>
        <v>44662.59234</v>
      </c>
      <c r="D2953" s="13">
        <f t="shared" si="1"/>
        <v>11</v>
      </c>
      <c r="E2953" s="13">
        <f t="shared" si="2"/>
        <v>14</v>
      </c>
    </row>
    <row r="2954">
      <c r="A2954" s="4" t="s">
        <v>3379</v>
      </c>
      <c r="B2954" s="4" t="s">
        <v>1269</v>
      </c>
      <c r="C2954" s="12">
        <f>IFERROR(__xludf.DUMMYFUNCTION("""COMPUTED_VALUE"""),44662.59232638888)</f>
        <v>44662.59233</v>
      </c>
      <c r="D2954" s="13">
        <f t="shared" si="1"/>
        <v>11</v>
      </c>
      <c r="E2954" s="13">
        <f t="shared" si="2"/>
        <v>14</v>
      </c>
    </row>
    <row r="2955">
      <c r="A2955" s="4" t="s">
        <v>3380</v>
      </c>
      <c r="B2955" s="4" t="s">
        <v>829</v>
      </c>
      <c r="C2955" s="12">
        <f>IFERROR(__xludf.DUMMYFUNCTION("""COMPUTED_VALUE"""),44662.59223379629)</f>
        <v>44662.59223</v>
      </c>
      <c r="D2955" s="13">
        <f t="shared" si="1"/>
        <v>11</v>
      </c>
      <c r="E2955" s="13">
        <f t="shared" si="2"/>
        <v>14</v>
      </c>
    </row>
    <row r="2956">
      <c r="A2956" s="4" t="s">
        <v>3381</v>
      </c>
      <c r="B2956" s="4" t="s">
        <v>829</v>
      </c>
      <c r="C2956" s="12">
        <f>IFERROR(__xludf.DUMMYFUNCTION("""COMPUTED_VALUE"""),44662.59216435185)</f>
        <v>44662.59216</v>
      </c>
      <c r="D2956" s="13">
        <f t="shared" si="1"/>
        <v>11</v>
      </c>
      <c r="E2956" s="13">
        <f t="shared" si="2"/>
        <v>14</v>
      </c>
    </row>
    <row r="2957">
      <c r="A2957" s="4" t="s">
        <v>3382</v>
      </c>
      <c r="B2957" s="16"/>
      <c r="C2957" s="12">
        <f>IFERROR(__xludf.DUMMYFUNCTION("""COMPUTED_VALUE"""),44662.59103009259)</f>
        <v>44662.59103</v>
      </c>
      <c r="D2957" s="13">
        <f t="shared" si="1"/>
        <v>11</v>
      </c>
      <c r="E2957" s="13">
        <f t="shared" si="2"/>
        <v>14</v>
      </c>
    </row>
    <row r="2958">
      <c r="A2958" s="4" t="s">
        <v>3383</v>
      </c>
      <c r="B2958" s="16"/>
      <c r="C2958" s="12">
        <f>IFERROR(__xludf.DUMMYFUNCTION("""COMPUTED_VALUE"""),44662.59099537037)</f>
        <v>44662.591</v>
      </c>
      <c r="D2958" s="13">
        <f t="shared" si="1"/>
        <v>11</v>
      </c>
      <c r="E2958" s="13">
        <f t="shared" si="2"/>
        <v>14</v>
      </c>
    </row>
    <row r="2959">
      <c r="A2959" s="4" t="s">
        <v>3384</v>
      </c>
      <c r="B2959" s="16"/>
      <c r="C2959" s="12">
        <f>IFERROR(__xludf.DUMMYFUNCTION("""COMPUTED_VALUE"""),44662.5909375)</f>
        <v>44662.59094</v>
      </c>
      <c r="D2959" s="13">
        <f t="shared" si="1"/>
        <v>11</v>
      </c>
      <c r="E2959" s="13">
        <f t="shared" si="2"/>
        <v>14</v>
      </c>
    </row>
    <row r="2960">
      <c r="A2960" s="4" t="s">
        <v>3385</v>
      </c>
      <c r="B2960" s="16"/>
      <c r="C2960" s="12">
        <f>IFERROR(__xludf.DUMMYFUNCTION("""COMPUTED_VALUE"""),44662.590902777774)</f>
        <v>44662.5909</v>
      </c>
      <c r="D2960" s="13">
        <f t="shared" si="1"/>
        <v>11</v>
      </c>
      <c r="E2960" s="13">
        <f t="shared" si="2"/>
        <v>14</v>
      </c>
    </row>
    <row r="2961">
      <c r="A2961" s="4" t="s">
        <v>3386</v>
      </c>
      <c r="B2961" s="16"/>
      <c r="C2961" s="12">
        <f>IFERROR(__xludf.DUMMYFUNCTION("""COMPUTED_VALUE"""),44662.59075231481)</f>
        <v>44662.59075</v>
      </c>
      <c r="D2961" s="13">
        <f t="shared" si="1"/>
        <v>11</v>
      </c>
      <c r="E2961" s="13">
        <f t="shared" si="2"/>
        <v>14</v>
      </c>
    </row>
    <row r="2962">
      <c r="A2962" s="4" t="s">
        <v>3387</v>
      </c>
      <c r="B2962" s="16"/>
      <c r="C2962" s="12">
        <f>IFERROR(__xludf.DUMMYFUNCTION("""COMPUTED_VALUE"""),44662.590740740736)</f>
        <v>44662.59074</v>
      </c>
      <c r="D2962" s="13">
        <f t="shared" si="1"/>
        <v>11</v>
      </c>
      <c r="E2962" s="13">
        <f t="shared" si="2"/>
        <v>14</v>
      </c>
    </row>
    <row r="2963">
      <c r="A2963" s="4" t="s">
        <v>3388</v>
      </c>
      <c r="B2963" s="16"/>
      <c r="C2963" s="12">
        <f>IFERROR(__xludf.DUMMYFUNCTION("""COMPUTED_VALUE"""),44662.59061342592)</f>
        <v>44662.59061</v>
      </c>
      <c r="D2963" s="13">
        <f t="shared" si="1"/>
        <v>11</v>
      </c>
      <c r="E2963" s="13">
        <f t="shared" si="2"/>
        <v>14</v>
      </c>
    </row>
    <row r="2964">
      <c r="A2964" s="4" t="s">
        <v>3389</v>
      </c>
      <c r="B2964" s="16"/>
      <c r="C2964" s="12">
        <f>IFERROR(__xludf.DUMMYFUNCTION("""COMPUTED_VALUE"""),44662.590370370366)</f>
        <v>44662.59037</v>
      </c>
      <c r="D2964" s="13">
        <f t="shared" si="1"/>
        <v>11</v>
      </c>
      <c r="E2964" s="13">
        <f t="shared" si="2"/>
        <v>14</v>
      </c>
    </row>
    <row r="2965">
      <c r="A2965" s="4" t="s">
        <v>3390</v>
      </c>
      <c r="B2965" s="16"/>
      <c r="C2965" s="12">
        <f>IFERROR(__xludf.DUMMYFUNCTION("""COMPUTED_VALUE"""),44662.59034722222)</f>
        <v>44662.59035</v>
      </c>
      <c r="D2965" s="13">
        <f t="shared" si="1"/>
        <v>11</v>
      </c>
      <c r="E2965" s="13">
        <f t="shared" si="2"/>
        <v>14</v>
      </c>
    </row>
    <row r="2966">
      <c r="A2966" s="4" t="s">
        <v>3391</v>
      </c>
      <c r="B2966" s="16"/>
      <c r="C2966" s="12">
        <f>IFERROR(__xludf.DUMMYFUNCTION("""COMPUTED_VALUE"""),44662.59023148148)</f>
        <v>44662.59023</v>
      </c>
      <c r="D2966" s="13">
        <f t="shared" si="1"/>
        <v>11</v>
      </c>
      <c r="E2966" s="13">
        <f t="shared" si="2"/>
        <v>14</v>
      </c>
    </row>
    <row r="2967">
      <c r="A2967" s="4" t="s">
        <v>3392</v>
      </c>
      <c r="B2967" s="16"/>
      <c r="C2967" s="12">
        <f>IFERROR(__xludf.DUMMYFUNCTION("""COMPUTED_VALUE"""),44662.59019675926)</f>
        <v>44662.5902</v>
      </c>
      <c r="D2967" s="13">
        <f t="shared" si="1"/>
        <v>11</v>
      </c>
      <c r="E2967" s="13">
        <f t="shared" si="2"/>
        <v>14</v>
      </c>
    </row>
    <row r="2968">
      <c r="A2968" s="4" t="s">
        <v>3393</v>
      </c>
      <c r="B2968" s="16"/>
      <c r="C2968" s="12">
        <f>IFERROR(__xludf.DUMMYFUNCTION("""COMPUTED_VALUE"""),44662.59017361111)</f>
        <v>44662.59017</v>
      </c>
      <c r="D2968" s="13">
        <f t="shared" si="1"/>
        <v>11</v>
      </c>
      <c r="E2968" s="13">
        <f t="shared" si="2"/>
        <v>14</v>
      </c>
    </row>
    <row r="2969">
      <c r="A2969" s="4" t="s">
        <v>3394</v>
      </c>
      <c r="B2969" s="16"/>
      <c r="C2969" s="12">
        <f>IFERROR(__xludf.DUMMYFUNCTION("""COMPUTED_VALUE"""),44662.59013888889)</f>
        <v>44662.59014</v>
      </c>
      <c r="D2969" s="13">
        <f t="shared" si="1"/>
        <v>11</v>
      </c>
      <c r="E2969" s="13">
        <f t="shared" si="2"/>
        <v>14</v>
      </c>
    </row>
    <row r="2970">
      <c r="A2970" s="4" t="s">
        <v>3395</v>
      </c>
      <c r="B2970" s="16"/>
      <c r="C2970" s="12">
        <f>IFERROR(__xludf.DUMMYFUNCTION("""COMPUTED_VALUE"""),44662.59008101852)</f>
        <v>44662.59008</v>
      </c>
      <c r="D2970" s="13">
        <f t="shared" si="1"/>
        <v>11</v>
      </c>
      <c r="E2970" s="13">
        <f t="shared" si="2"/>
        <v>14</v>
      </c>
    </row>
    <row r="2971">
      <c r="A2971" s="4" t="s">
        <v>3396</v>
      </c>
      <c r="B2971" s="4" t="s">
        <v>3366</v>
      </c>
      <c r="C2971" s="12">
        <f>IFERROR(__xludf.DUMMYFUNCTION("""COMPUTED_VALUE"""),44662.590046296296)</f>
        <v>44662.59005</v>
      </c>
      <c r="D2971" s="13">
        <f t="shared" si="1"/>
        <v>11</v>
      </c>
      <c r="E2971" s="13">
        <f t="shared" si="2"/>
        <v>14</v>
      </c>
    </row>
    <row r="2972">
      <c r="A2972" s="4" t="s">
        <v>3397</v>
      </c>
      <c r="B2972" s="16"/>
      <c r="C2972" s="12">
        <f>IFERROR(__xludf.DUMMYFUNCTION("""COMPUTED_VALUE"""),44662.59001157407)</f>
        <v>44662.59001</v>
      </c>
      <c r="D2972" s="13">
        <f t="shared" si="1"/>
        <v>11</v>
      </c>
      <c r="E2972" s="13">
        <f t="shared" si="2"/>
        <v>14</v>
      </c>
    </row>
    <row r="2973">
      <c r="A2973" s="4" t="s">
        <v>3398</v>
      </c>
      <c r="B2973" s="16"/>
      <c r="C2973" s="12">
        <f>IFERROR(__xludf.DUMMYFUNCTION("""COMPUTED_VALUE"""),44662.58994212963)</f>
        <v>44662.58994</v>
      </c>
      <c r="D2973" s="13">
        <f t="shared" si="1"/>
        <v>11</v>
      </c>
      <c r="E2973" s="13">
        <f t="shared" si="2"/>
        <v>14</v>
      </c>
    </row>
    <row r="2974">
      <c r="A2974" s="4" t="s">
        <v>3399</v>
      </c>
      <c r="B2974" s="16"/>
      <c r="C2974" s="12">
        <f>IFERROR(__xludf.DUMMYFUNCTION("""COMPUTED_VALUE"""),44662.58982638889)</f>
        <v>44662.58983</v>
      </c>
      <c r="D2974" s="13">
        <f t="shared" si="1"/>
        <v>11</v>
      </c>
      <c r="E2974" s="13">
        <f t="shared" si="2"/>
        <v>14</v>
      </c>
    </row>
    <row r="2975">
      <c r="A2975" s="4" t="s">
        <v>3400</v>
      </c>
      <c r="B2975" s="4" t="s">
        <v>3401</v>
      </c>
      <c r="C2975" s="12">
        <f>IFERROR(__xludf.DUMMYFUNCTION("""COMPUTED_VALUE"""),44662.589791666665)</f>
        <v>44662.58979</v>
      </c>
      <c r="D2975" s="13">
        <f t="shared" si="1"/>
        <v>11</v>
      </c>
      <c r="E2975" s="13">
        <f t="shared" si="2"/>
        <v>14</v>
      </c>
    </row>
    <row r="2976">
      <c r="A2976" s="4" t="s">
        <v>3402</v>
      </c>
      <c r="B2976" s="16"/>
      <c r="C2976" s="12">
        <f>IFERROR(__xludf.DUMMYFUNCTION("""COMPUTED_VALUE"""),44662.589733796296)</f>
        <v>44662.58973</v>
      </c>
      <c r="D2976" s="13">
        <f t="shared" si="1"/>
        <v>11</v>
      </c>
      <c r="E2976" s="13">
        <f t="shared" si="2"/>
        <v>14</v>
      </c>
    </row>
    <row r="2977">
      <c r="A2977" s="4" t="s">
        <v>3403</v>
      </c>
      <c r="B2977" s="16"/>
      <c r="C2977" s="12">
        <f>IFERROR(__xludf.DUMMYFUNCTION("""COMPUTED_VALUE"""),44662.589687499996)</f>
        <v>44662.58969</v>
      </c>
      <c r="D2977" s="13">
        <f t="shared" si="1"/>
        <v>11</v>
      </c>
      <c r="E2977" s="13">
        <f t="shared" si="2"/>
        <v>14</v>
      </c>
    </row>
    <row r="2978">
      <c r="A2978" s="4" t="s">
        <v>3404</v>
      </c>
      <c r="B2978" s="4" t="s">
        <v>3405</v>
      </c>
      <c r="C2978" s="12">
        <f>IFERROR(__xludf.DUMMYFUNCTION("""COMPUTED_VALUE"""),44662.58956018518)</f>
        <v>44662.58956</v>
      </c>
      <c r="D2978" s="13">
        <f t="shared" si="1"/>
        <v>11</v>
      </c>
      <c r="E2978" s="13">
        <f t="shared" si="2"/>
        <v>14</v>
      </c>
    </row>
    <row r="2979">
      <c r="A2979" s="4" t="s">
        <v>3406</v>
      </c>
      <c r="B2979" s="16"/>
      <c r="C2979" s="12">
        <f>IFERROR(__xludf.DUMMYFUNCTION("""COMPUTED_VALUE"""),44662.58944444444)</f>
        <v>44662.58944</v>
      </c>
      <c r="D2979" s="13">
        <f t="shared" si="1"/>
        <v>11</v>
      </c>
      <c r="E2979" s="13">
        <f t="shared" si="2"/>
        <v>14</v>
      </c>
    </row>
    <row r="2980">
      <c r="A2980" s="4" t="s">
        <v>3407</v>
      </c>
      <c r="B2980" s="16"/>
      <c r="C2980" s="12">
        <f>IFERROR(__xludf.DUMMYFUNCTION("""COMPUTED_VALUE"""),44662.589374999996)</f>
        <v>44662.58938</v>
      </c>
      <c r="D2980" s="13">
        <f t="shared" si="1"/>
        <v>11</v>
      </c>
      <c r="E2980" s="13">
        <f t="shared" si="2"/>
        <v>14</v>
      </c>
    </row>
    <row r="2981">
      <c r="A2981" s="4" t="s">
        <v>3408</v>
      </c>
      <c r="B2981" s="16"/>
      <c r="C2981" s="12">
        <f>IFERROR(__xludf.DUMMYFUNCTION("""COMPUTED_VALUE"""),44662.58930555555)</f>
        <v>44662.58931</v>
      </c>
      <c r="D2981" s="13">
        <f t="shared" si="1"/>
        <v>11</v>
      </c>
      <c r="E2981" s="13">
        <f t="shared" si="2"/>
        <v>14</v>
      </c>
    </row>
    <row r="2982">
      <c r="A2982" s="4" t="s">
        <v>3409</v>
      </c>
      <c r="B2982" s="16"/>
      <c r="C2982" s="12">
        <f>IFERROR(__xludf.DUMMYFUNCTION("""COMPUTED_VALUE"""),44662.58884259259)</f>
        <v>44662.58884</v>
      </c>
      <c r="D2982" s="13">
        <f t="shared" si="1"/>
        <v>11</v>
      </c>
      <c r="E2982" s="13">
        <f t="shared" si="2"/>
        <v>14</v>
      </c>
    </row>
    <row r="2983">
      <c r="A2983" s="4" t="s">
        <v>3410</v>
      </c>
      <c r="B2983" s="4" t="s">
        <v>3411</v>
      </c>
      <c r="C2983" s="12">
        <f>IFERROR(__xludf.DUMMYFUNCTION("""COMPUTED_VALUE"""),44662.58883101852)</f>
        <v>44662.58883</v>
      </c>
      <c r="D2983" s="13">
        <f t="shared" si="1"/>
        <v>11</v>
      </c>
      <c r="E2983" s="13">
        <f t="shared" si="2"/>
        <v>14</v>
      </c>
    </row>
    <row r="2984">
      <c r="A2984" s="4" t="s">
        <v>3412</v>
      </c>
      <c r="B2984" s="4" t="s">
        <v>1269</v>
      </c>
      <c r="C2984" s="12">
        <f>IFERROR(__xludf.DUMMYFUNCTION("""COMPUTED_VALUE"""),44662.588796296295)</f>
        <v>44662.5888</v>
      </c>
      <c r="D2984" s="13">
        <f t="shared" si="1"/>
        <v>11</v>
      </c>
      <c r="E2984" s="13">
        <f t="shared" si="2"/>
        <v>14</v>
      </c>
    </row>
    <row r="2985">
      <c r="A2985" s="4" t="s">
        <v>3413</v>
      </c>
      <c r="B2985" s="4" t="s">
        <v>3414</v>
      </c>
      <c r="C2985" s="12">
        <f>IFERROR(__xludf.DUMMYFUNCTION("""COMPUTED_VALUE"""),44662.588749999995)</f>
        <v>44662.58875</v>
      </c>
      <c r="D2985" s="13">
        <f t="shared" si="1"/>
        <v>11</v>
      </c>
      <c r="E2985" s="13">
        <f t="shared" si="2"/>
        <v>14</v>
      </c>
    </row>
    <row r="2986">
      <c r="A2986" s="4" t="s">
        <v>3415</v>
      </c>
      <c r="B2986" s="4" t="s">
        <v>3416</v>
      </c>
      <c r="C2986" s="12">
        <f>IFERROR(__xludf.DUMMYFUNCTION("""COMPUTED_VALUE"""),44662.588738425926)</f>
        <v>44662.58874</v>
      </c>
      <c r="D2986" s="13">
        <f t="shared" si="1"/>
        <v>11</v>
      </c>
      <c r="E2986" s="13">
        <f t="shared" si="2"/>
        <v>14</v>
      </c>
    </row>
    <row r="2987">
      <c r="A2987" s="4" t="s">
        <v>3417</v>
      </c>
      <c r="B2987" s="4" t="s">
        <v>3418</v>
      </c>
      <c r="C2987" s="12">
        <f>IFERROR(__xludf.DUMMYFUNCTION("""COMPUTED_VALUE"""),44662.5887037037)</f>
        <v>44662.5887</v>
      </c>
      <c r="D2987" s="13">
        <f t="shared" si="1"/>
        <v>11</v>
      </c>
      <c r="E2987" s="13">
        <f t="shared" si="2"/>
        <v>14</v>
      </c>
    </row>
    <row r="2988">
      <c r="A2988" s="4" t="s">
        <v>3417</v>
      </c>
      <c r="B2988" s="4" t="s">
        <v>1269</v>
      </c>
      <c r="C2988" s="12">
        <f>IFERROR(__xludf.DUMMYFUNCTION("""COMPUTED_VALUE"""),44662.5887037037)</f>
        <v>44662.5887</v>
      </c>
      <c r="D2988" s="13">
        <f t="shared" si="1"/>
        <v>11</v>
      </c>
      <c r="E2988" s="13">
        <f t="shared" si="2"/>
        <v>14</v>
      </c>
    </row>
    <row r="2989">
      <c r="A2989" s="4" t="s">
        <v>3419</v>
      </c>
      <c r="B2989" s="4" t="s">
        <v>1269</v>
      </c>
      <c r="C2989" s="12">
        <f>IFERROR(__xludf.DUMMYFUNCTION("""COMPUTED_VALUE"""),44662.58859953703)</f>
        <v>44662.5886</v>
      </c>
      <c r="D2989" s="13">
        <f t="shared" si="1"/>
        <v>11</v>
      </c>
      <c r="E2989" s="13">
        <f t="shared" si="2"/>
        <v>14</v>
      </c>
    </row>
    <row r="2990">
      <c r="A2990" s="4" t="s">
        <v>3420</v>
      </c>
      <c r="B2990" s="4" t="s">
        <v>1269</v>
      </c>
      <c r="C2990" s="12">
        <f>IFERROR(__xludf.DUMMYFUNCTION("""COMPUTED_VALUE"""),44662.58856481481)</f>
        <v>44662.58856</v>
      </c>
      <c r="D2990" s="13">
        <f t="shared" si="1"/>
        <v>11</v>
      </c>
      <c r="E2990" s="13">
        <f t="shared" si="2"/>
        <v>14</v>
      </c>
    </row>
    <row r="2991">
      <c r="A2991" s="4" t="s">
        <v>3421</v>
      </c>
      <c r="B2991" s="16"/>
      <c r="C2991" s="12">
        <f>IFERROR(__xludf.DUMMYFUNCTION("""COMPUTED_VALUE"""),44662.58851851852)</f>
        <v>44662.58852</v>
      </c>
      <c r="D2991" s="13">
        <f t="shared" si="1"/>
        <v>11</v>
      </c>
      <c r="E2991" s="13">
        <f t="shared" si="2"/>
        <v>14</v>
      </c>
    </row>
    <row r="2992">
      <c r="A2992" s="4" t="s">
        <v>3422</v>
      </c>
      <c r="B2992" s="4" t="s">
        <v>1269</v>
      </c>
      <c r="C2992" s="12">
        <f>IFERROR(__xludf.DUMMYFUNCTION("""COMPUTED_VALUE"""),44662.58847222222)</f>
        <v>44662.58847</v>
      </c>
      <c r="D2992" s="13">
        <f t="shared" si="1"/>
        <v>11</v>
      </c>
      <c r="E2992" s="13">
        <f t="shared" si="2"/>
        <v>14</v>
      </c>
    </row>
    <row r="2993">
      <c r="A2993" s="4" t="s">
        <v>3423</v>
      </c>
      <c r="B2993" s="4" t="s">
        <v>1269</v>
      </c>
      <c r="C2993" s="12">
        <f>IFERROR(__xludf.DUMMYFUNCTION("""COMPUTED_VALUE"""),44662.58840277777)</f>
        <v>44662.5884</v>
      </c>
      <c r="D2993" s="13">
        <f t="shared" si="1"/>
        <v>11</v>
      </c>
      <c r="E2993" s="13">
        <f t="shared" si="2"/>
        <v>14</v>
      </c>
    </row>
    <row r="2994">
      <c r="A2994" s="4" t="s">
        <v>3424</v>
      </c>
      <c r="B2994" s="4" t="s">
        <v>1269</v>
      </c>
      <c r="C2994" s="12">
        <f>IFERROR(__xludf.DUMMYFUNCTION("""COMPUTED_VALUE"""),44662.588379629626)</f>
        <v>44662.58838</v>
      </c>
      <c r="D2994" s="13">
        <f t="shared" si="1"/>
        <v>11</v>
      </c>
      <c r="E2994" s="13">
        <f t="shared" si="2"/>
        <v>14</v>
      </c>
    </row>
    <row r="2995">
      <c r="A2995" s="4" t="s">
        <v>3425</v>
      </c>
      <c r="B2995" s="4" t="s">
        <v>1269</v>
      </c>
      <c r="C2995" s="12">
        <f>IFERROR(__xludf.DUMMYFUNCTION("""COMPUTED_VALUE"""),44662.5883449074)</f>
        <v>44662.58834</v>
      </c>
      <c r="D2995" s="13">
        <f t="shared" si="1"/>
        <v>11</v>
      </c>
      <c r="E2995" s="13">
        <f t="shared" si="2"/>
        <v>14</v>
      </c>
    </row>
    <row r="2996">
      <c r="A2996" s="4" t="s">
        <v>3426</v>
      </c>
      <c r="B2996" s="16"/>
      <c r="C2996" s="12">
        <f>IFERROR(__xludf.DUMMYFUNCTION("""COMPUTED_VALUE"""),44662.588171296295)</f>
        <v>44662.58817</v>
      </c>
      <c r="D2996" s="13">
        <f t="shared" si="1"/>
        <v>11</v>
      </c>
      <c r="E2996" s="13">
        <f t="shared" si="2"/>
        <v>14</v>
      </c>
    </row>
    <row r="2997">
      <c r="A2997" s="4" t="s">
        <v>3427</v>
      </c>
      <c r="B2997" s="16"/>
      <c r="C2997" s="12">
        <f>IFERROR(__xludf.DUMMYFUNCTION("""COMPUTED_VALUE"""),44662.58815972222)</f>
        <v>44662.58816</v>
      </c>
      <c r="D2997" s="13">
        <f t="shared" si="1"/>
        <v>11</v>
      </c>
      <c r="E2997" s="13">
        <f t="shared" si="2"/>
        <v>14</v>
      </c>
    </row>
    <row r="2998">
      <c r="A2998" s="4" t="s">
        <v>3427</v>
      </c>
      <c r="B2998" s="4" t="s">
        <v>2912</v>
      </c>
      <c r="C2998" s="12">
        <f>IFERROR(__xludf.DUMMYFUNCTION("""COMPUTED_VALUE"""),44662.58815972222)</f>
        <v>44662.58816</v>
      </c>
      <c r="D2998" s="13">
        <f t="shared" si="1"/>
        <v>11</v>
      </c>
      <c r="E2998" s="13">
        <f t="shared" si="2"/>
        <v>14</v>
      </c>
    </row>
    <row r="2999">
      <c r="A2999" s="4" t="s">
        <v>3427</v>
      </c>
      <c r="B2999" s="4" t="s">
        <v>1269</v>
      </c>
      <c r="C2999" s="12">
        <f>IFERROR(__xludf.DUMMYFUNCTION("""COMPUTED_VALUE"""),44662.58815972222)</f>
        <v>44662.58816</v>
      </c>
      <c r="D2999" s="13">
        <f t="shared" si="1"/>
        <v>11</v>
      </c>
      <c r="E2999" s="13">
        <f t="shared" si="2"/>
        <v>14</v>
      </c>
    </row>
    <row r="3000">
      <c r="A3000" s="4" t="s">
        <v>3428</v>
      </c>
      <c r="B3000" s="4" t="s">
        <v>3401</v>
      </c>
      <c r="C3000" s="12">
        <f>IFERROR(__xludf.DUMMYFUNCTION("""COMPUTED_VALUE"""),44662.588124999995)</f>
        <v>44662.58813</v>
      </c>
      <c r="D3000" s="13">
        <f t="shared" si="1"/>
        <v>11</v>
      </c>
      <c r="E3000" s="13">
        <f t="shared" si="2"/>
        <v>14</v>
      </c>
    </row>
    <row r="3001">
      <c r="A3001" s="4" t="s">
        <v>3429</v>
      </c>
      <c r="B3001" s="16"/>
      <c r="C3001" s="12">
        <f>IFERROR(__xludf.DUMMYFUNCTION("""COMPUTED_VALUE"""),44662.5880787037)</f>
        <v>44662.58808</v>
      </c>
      <c r="D3001" s="13">
        <f t="shared" si="1"/>
        <v>11</v>
      </c>
      <c r="E3001" s="13">
        <f t="shared" si="2"/>
        <v>14</v>
      </c>
    </row>
    <row r="3002">
      <c r="A3002" s="4" t="s">
        <v>3430</v>
      </c>
      <c r="B3002" s="4" t="s">
        <v>3431</v>
      </c>
      <c r="C3002" s="12">
        <f>IFERROR(__xludf.DUMMYFUNCTION("""COMPUTED_VALUE"""),44662.588055555556)</f>
        <v>44662.58806</v>
      </c>
      <c r="D3002" s="13">
        <f t="shared" si="1"/>
        <v>11</v>
      </c>
      <c r="E3002" s="13">
        <f t="shared" si="2"/>
        <v>14</v>
      </c>
    </row>
    <row r="3003">
      <c r="A3003" s="4" t="s">
        <v>3432</v>
      </c>
      <c r="B3003" s="16"/>
      <c r="C3003" s="12">
        <f>IFERROR(__xludf.DUMMYFUNCTION("""COMPUTED_VALUE"""),44662.5880324074)</f>
        <v>44662.58803</v>
      </c>
      <c r="D3003" s="13">
        <f t="shared" si="1"/>
        <v>11</v>
      </c>
      <c r="E3003" s="13">
        <f t="shared" si="2"/>
        <v>14</v>
      </c>
    </row>
    <row r="3004">
      <c r="A3004" s="4" t="s">
        <v>3433</v>
      </c>
      <c r="B3004" s="4" t="s">
        <v>3431</v>
      </c>
      <c r="C3004" s="12">
        <f>IFERROR(__xludf.DUMMYFUNCTION("""COMPUTED_VALUE"""),44662.58802083333)</f>
        <v>44662.58802</v>
      </c>
      <c r="D3004" s="13">
        <f t="shared" si="1"/>
        <v>11</v>
      </c>
      <c r="E3004" s="13">
        <f t="shared" si="2"/>
        <v>14</v>
      </c>
    </row>
    <row r="3005">
      <c r="A3005" s="4" t="s">
        <v>3433</v>
      </c>
      <c r="B3005" s="4" t="s">
        <v>2912</v>
      </c>
      <c r="C3005" s="12">
        <f>IFERROR(__xludf.DUMMYFUNCTION("""COMPUTED_VALUE"""),44662.58802083333)</f>
        <v>44662.58802</v>
      </c>
      <c r="D3005" s="13">
        <f t="shared" si="1"/>
        <v>11</v>
      </c>
      <c r="E3005" s="13">
        <f t="shared" si="2"/>
        <v>14</v>
      </c>
    </row>
    <row r="3006">
      <c r="A3006" s="4" t="s">
        <v>3434</v>
      </c>
      <c r="B3006" s="4" t="s">
        <v>2912</v>
      </c>
      <c r="C3006" s="12">
        <f>IFERROR(__xludf.DUMMYFUNCTION("""COMPUTED_VALUE"""),44662.58797453703)</f>
        <v>44662.58797</v>
      </c>
      <c r="D3006" s="13">
        <f t="shared" si="1"/>
        <v>11</v>
      </c>
      <c r="E3006" s="13">
        <f t="shared" si="2"/>
        <v>14</v>
      </c>
    </row>
    <row r="3007">
      <c r="A3007" s="4" t="s">
        <v>3435</v>
      </c>
      <c r="B3007" s="16"/>
      <c r="C3007" s="12">
        <f>IFERROR(__xludf.DUMMYFUNCTION("""COMPUTED_VALUE"""),44662.58792824074)</f>
        <v>44662.58793</v>
      </c>
      <c r="D3007" s="13">
        <f t="shared" si="1"/>
        <v>11</v>
      </c>
      <c r="E3007" s="13">
        <f t="shared" si="2"/>
        <v>14</v>
      </c>
    </row>
    <row r="3008">
      <c r="A3008" s="4" t="s">
        <v>3436</v>
      </c>
      <c r="B3008" s="16"/>
      <c r="C3008" s="12">
        <f>IFERROR(__xludf.DUMMYFUNCTION("""COMPUTED_VALUE"""),44662.587858796294)</f>
        <v>44662.58786</v>
      </c>
      <c r="D3008" s="13">
        <f t="shared" si="1"/>
        <v>11</v>
      </c>
      <c r="E3008" s="13">
        <f t="shared" si="2"/>
        <v>14</v>
      </c>
    </row>
    <row r="3009">
      <c r="A3009" s="4" t="s">
        <v>3437</v>
      </c>
      <c r="B3009" s="4" t="s">
        <v>3431</v>
      </c>
      <c r="C3009" s="12">
        <f>IFERROR(__xludf.DUMMYFUNCTION("""COMPUTED_VALUE"""),44662.58782407407)</f>
        <v>44662.58782</v>
      </c>
      <c r="D3009" s="13">
        <f t="shared" si="1"/>
        <v>11</v>
      </c>
      <c r="E3009" s="13">
        <f t="shared" si="2"/>
        <v>14</v>
      </c>
    </row>
    <row r="3010">
      <c r="A3010" s="4" t="s">
        <v>3438</v>
      </c>
      <c r="B3010" s="4" t="s">
        <v>3431</v>
      </c>
      <c r="C3010" s="12">
        <f>IFERROR(__xludf.DUMMYFUNCTION("""COMPUTED_VALUE"""),44662.587812499994)</f>
        <v>44662.58781</v>
      </c>
      <c r="D3010" s="13">
        <f t="shared" si="1"/>
        <v>11</v>
      </c>
      <c r="E3010" s="13">
        <f t="shared" si="2"/>
        <v>14</v>
      </c>
    </row>
    <row r="3011">
      <c r="A3011" s="4" t="s">
        <v>3439</v>
      </c>
      <c r="B3011" s="4" t="s">
        <v>3431</v>
      </c>
      <c r="C3011" s="12">
        <f>IFERROR(__xludf.DUMMYFUNCTION("""COMPUTED_VALUE"""),44662.58778935185)</f>
        <v>44662.58779</v>
      </c>
      <c r="D3011" s="13">
        <f t="shared" si="1"/>
        <v>11</v>
      </c>
      <c r="E3011" s="13">
        <f t="shared" si="2"/>
        <v>14</v>
      </c>
    </row>
    <row r="3012">
      <c r="A3012" s="4" t="s">
        <v>3440</v>
      </c>
      <c r="B3012" s="16"/>
      <c r="C3012" s="12">
        <f>IFERROR(__xludf.DUMMYFUNCTION("""COMPUTED_VALUE"""),44662.58777777778)</f>
        <v>44662.58778</v>
      </c>
      <c r="D3012" s="13">
        <f t="shared" si="1"/>
        <v>11</v>
      </c>
      <c r="E3012" s="13">
        <f t="shared" si="2"/>
        <v>14</v>
      </c>
    </row>
    <row r="3013">
      <c r="A3013" s="4" t="s">
        <v>3440</v>
      </c>
      <c r="B3013" s="4" t="s">
        <v>3431</v>
      </c>
      <c r="C3013" s="12">
        <f>IFERROR(__xludf.DUMMYFUNCTION("""COMPUTED_VALUE"""),44662.58777777778)</f>
        <v>44662.58778</v>
      </c>
      <c r="D3013" s="13">
        <f t="shared" si="1"/>
        <v>11</v>
      </c>
      <c r="E3013" s="13">
        <f t="shared" si="2"/>
        <v>14</v>
      </c>
    </row>
    <row r="3014">
      <c r="A3014" s="4" t="s">
        <v>3441</v>
      </c>
      <c r="B3014" s="4" t="s">
        <v>3431</v>
      </c>
      <c r="C3014" s="12">
        <f>IFERROR(__xludf.DUMMYFUNCTION("""COMPUTED_VALUE"""),44662.587754629625)</f>
        <v>44662.58775</v>
      </c>
      <c r="D3014" s="13">
        <f t="shared" si="1"/>
        <v>11</v>
      </c>
      <c r="E3014" s="13">
        <f t="shared" si="2"/>
        <v>14</v>
      </c>
    </row>
    <row r="3015">
      <c r="A3015" s="4" t="s">
        <v>3441</v>
      </c>
      <c r="B3015" s="16"/>
      <c r="C3015" s="12">
        <f>IFERROR(__xludf.DUMMYFUNCTION("""COMPUTED_VALUE"""),44662.587754629625)</f>
        <v>44662.58775</v>
      </c>
      <c r="D3015" s="13">
        <f t="shared" si="1"/>
        <v>11</v>
      </c>
      <c r="E3015" s="13">
        <f t="shared" si="2"/>
        <v>14</v>
      </c>
    </row>
    <row r="3016">
      <c r="A3016" s="4" t="s">
        <v>3441</v>
      </c>
      <c r="B3016" s="4" t="s">
        <v>3442</v>
      </c>
      <c r="C3016" s="12">
        <f>IFERROR(__xludf.DUMMYFUNCTION("""COMPUTED_VALUE"""),44662.587754629625)</f>
        <v>44662.58775</v>
      </c>
      <c r="D3016" s="13">
        <f t="shared" si="1"/>
        <v>11</v>
      </c>
      <c r="E3016" s="13">
        <f t="shared" si="2"/>
        <v>14</v>
      </c>
    </row>
    <row r="3017">
      <c r="A3017" s="4" t="s">
        <v>3443</v>
      </c>
      <c r="B3017" s="4" t="s">
        <v>3431</v>
      </c>
      <c r="C3017" s="12">
        <f>IFERROR(__xludf.DUMMYFUNCTION("""COMPUTED_VALUE"""),44662.587743055556)</f>
        <v>44662.58774</v>
      </c>
      <c r="D3017" s="13">
        <f t="shared" si="1"/>
        <v>11</v>
      </c>
      <c r="E3017" s="13">
        <f t="shared" si="2"/>
        <v>14</v>
      </c>
    </row>
    <row r="3018">
      <c r="A3018" s="4" t="s">
        <v>3444</v>
      </c>
      <c r="B3018" s="16"/>
      <c r="C3018" s="12">
        <f>IFERROR(__xludf.DUMMYFUNCTION("""COMPUTED_VALUE"""),44662.587696759256)</f>
        <v>44662.5877</v>
      </c>
      <c r="D3018" s="13">
        <f t="shared" si="1"/>
        <v>11</v>
      </c>
      <c r="E3018" s="13">
        <f t="shared" si="2"/>
        <v>14</v>
      </c>
    </row>
    <row r="3019">
      <c r="A3019" s="4" t="s">
        <v>3445</v>
      </c>
      <c r="B3019" s="4" t="s">
        <v>3431</v>
      </c>
      <c r="C3019" s="12">
        <f>IFERROR(__xludf.DUMMYFUNCTION("""COMPUTED_VALUE"""),44662.587685185186)</f>
        <v>44662.58769</v>
      </c>
      <c r="D3019" s="13">
        <f t="shared" si="1"/>
        <v>11</v>
      </c>
      <c r="E3019" s="13">
        <f t="shared" si="2"/>
        <v>14</v>
      </c>
    </row>
    <row r="3020">
      <c r="A3020" s="4" t="s">
        <v>3446</v>
      </c>
      <c r="B3020" s="16"/>
      <c r="C3020" s="12">
        <f>IFERROR(__xludf.DUMMYFUNCTION("""COMPUTED_VALUE"""),44662.58766203703)</f>
        <v>44662.58766</v>
      </c>
      <c r="D3020" s="13">
        <f t="shared" si="1"/>
        <v>11</v>
      </c>
      <c r="E3020" s="13">
        <f t="shared" si="2"/>
        <v>14</v>
      </c>
    </row>
    <row r="3021">
      <c r="A3021" s="4" t="s">
        <v>3446</v>
      </c>
      <c r="B3021" s="16"/>
      <c r="C3021" s="12">
        <f>IFERROR(__xludf.DUMMYFUNCTION("""COMPUTED_VALUE"""),44662.58766203703)</f>
        <v>44662.58766</v>
      </c>
      <c r="D3021" s="13">
        <f t="shared" si="1"/>
        <v>11</v>
      </c>
      <c r="E3021" s="13">
        <f t="shared" si="2"/>
        <v>14</v>
      </c>
    </row>
    <row r="3022">
      <c r="A3022" s="4" t="s">
        <v>3447</v>
      </c>
      <c r="B3022" s="4" t="s">
        <v>3431</v>
      </c>
      <c r="C3022" s="12">
        <f>IFERROR(__xludf.DUMMYFUNCTION("""COMPUTED_VALUE"""),44662.58765046296)</f>
        <v>44662.58765</v>
      </c>
      <c r="D3022" s="13">
        <f t="shared" si="1"/>
        <v>11</v>
      </c>
      <c r="E3022" s="13">
        <f t="shared" si="2"/>
        <v>14</v>
      </c>
    </row>
    <row r="3023">
      <c r="A3023" s="4" t="s">
        <v>3448</v>
      </c>
      <c r="B3023" s="4" t="s">
        <v>3431</v>
      </c>
      <c r="C3023" s="12">
        <f>IFERROR(__xludf.DUMMYFUNCTION("""COMPUTED_VALUE"""),44662.58762731481)</f>
        <v>44662.58763</v>
      </c>
      <c r="D3023" s="13">
        <f t="shared" si="1"/>
        <v>11</v>
      </c>
      <c r="E3023" s="13">
        <f t="shared" si="2"/>
        <v>14</v>
      </c>
    </row>
    <row r="3024">
      <c r="A3024" s="4" t="s">
        <v>3449</v>
      </c>
      <c r="B3024" s="4" t="s">
        <v>3431</v>
      </c>
      <c r="C3024" s="12">
        <f>IFERROR(__xludf.DUMMYFUNCTION("""COMPUTED_VALUE"""),44662.58761574074)</f>
        <v>44662.58762</v>
      </c>
      <c r="D3024" s="13">
        <f t="shared" si="1"/>
        <v>11</v>
      </c>
      <c r="E3024" s="13">
        <f t="shared" si="2"/>
        <v>14</v>
      </c>
    </row>
    <row r="3025">
      <c r="A3025" s="4" t="s">
        <v>3450</v>
      </c>
      <c r="B3025" s="4" t="s">
        <v>3431</v>
      </c>
      <c r="C3025" s="12">
        <f>IFERROR(__xludf.DUMMYFUNCTION("""COMPUTED_VALUE"""),44662.58759259259)</f>
        <v>44662.58759</v>
      </c>
      <c r="D3025" s="13">
        <f t="shared" si="1"/>
        <v>11</v>
      </c>
      <c r="E3025" s="13">
        <f t="shared" si="2"/>
        <v>14</v>
      </c>
    </row>
    <row r="3026">
      <c r="A3026" s="4" t="s">
        <v>3451</v>
      </c>
      <c r="B3026" s="4" t="s">
        <v>3431</v>
      </c>
      <c r="C3026" s="12">
        <f>IFERROR(__xludf.DUMMYFUNCTION("""COMPUTED_VALUE"""),44662.58758101852)</f>
        <v>44662.58758</v>
      </c>
      <c r="D3026" s="13">
        <f t="shared" si="1"/>
        <v>11</v>
      </c>
      <c r="E3026" s="13">
        <f t="shared" si="2"/>
        <v>14</v>
      </c>
    </row>
    <row r="3027">
      <c r="A3027" s="4" t="s">
        <v>3452</v>
      </c>
      <c r="B3027" s="4" t="s">
        <v>3431</v>
      </c>
      <c r="C3027" s="12">
        <f>IFERROR(__xludf.DUMMYFUNCTION("""COMPUTED_VALUE"""),44662.58755787037)</f>
        <v>44662.58756</v>
      </c>
      <c r="D3027" s="13">
        <f t="shared" si="1"/>
        <v>11</v>
      </c>
      <c r="E3027" s="13">
        <f t="shared" si="2"/>
        <v>14</v>
      </c>
    </row>
    <row r="3028">
      <c r="A3028" s="4" t="s">
        <v>3453</v>
      </c>
      <c r="B3028" s="16"/>
      <c r="C3028" s="12">
        <f>IFERROR(__xludf.DUMMYFUNCTION("""COMPUTED_VALUE"""),44662.587442129625)</f>
        <v>44662.58744</v>
      </c>
      <c r="D3028" s="13">
        <f t="shared" si="1"/>
        <v>11</v>
      </c>
      <c r="E3028" s="13">
        <f t="shared" si="2"/>
        <v>14</v>
      </c>
    </row>
    <row r="3029">
      <c r="A3029" s="4" t="s">
        <v>3454</v>
      </c>
      <c r="B3029" s="4" t="s">
        <v>3431</v>
      </c>
      <c r="C3029" s="12">
        <f>IFERROR(__xludf.DUMMYFUNCTION("""COMPUTED_VALUE"""),44662.58739583333)</f>
        <v>44662.5874</v>
      </c>
      <c r="D3029" s="13">
        <f t="shared" si="1"/>
        <v>11</v>
      </c>
      <c r="E3029" s="13">
        <f t="shared" si="2"/>
        <v>14</v>
      </c>
    </row>
    <row r="3030">
      <c r="A3030" s="4" t="s">
        <v>3455</v>
      </c>
      <c r="B3030" s="4" t="s">
        <v>3431</v>
      </c>
      <c r="C3030" s="12">
        <f>IFERROR(__xludf.DUMMYFUNCTION("""COMPUTED_VALUE"""),44662.587372685186)</f>
        <v>44662.58737</v>
      </c>
      <c r="D3030" s="13">
        <f t="shared" si="1"/>
        <v>11</v>
      </c>
      <c r="E3030" s="13">
        <f t="shared" si="2"/>
        <v>14</v>
      </c>
    </row>
    <row r="3031">
      <c r="A3031" s="4" t="s">
        <v>3456</v>
      </c>
      <c r="B3031" s="4" t="s">
        <v>3431</v>
      </c>
      <c r="C3031" s="12">
        <f>IFERROR(__xludf.DUMMYFUNCTION("""COMPUTED_VALUE"""),44662.58726851852)</f>
        <v>44662.58727</v>
      </c>
      <c r="D3031" s="13">
        <f t="shared" si="1"/>
        <v>11</v>
      </c>
      <c r="E3031" s="13">
        <f t="shared" si="2"/>
        <v>14</v>
      </c>
    </row>
    <row r="3032">
      <c r="A3032" s="4" t="s">
        <v>3457</v>
      </c>
      <c r="B3032" s="4" t="s">
        <v>2615</v>
      </c>
      <c r="C3032" s="12">
        <f>IFERROR(__xludf.DUMMYFUNCTION("""COMPUTED_VALUE"""),44662.58704861111)</f>
        <v>44662.58705</v>
      </c>
      <c r="D3032" s="13">
        <f t="shared" si="1"/>
        <v>11</v>
      </c>
      <c r="E3032" s="13">
        <f t="shared" si="2"/>
        <v>14</v>
      </c>
    </row>
    <row r="3033">
      <c r="A3033" s="4" t="s">
        <v>3458</v>
      </c>
      <c r="B3033" s="4" t="s">
        <v>2615</v>
      </c>
      <c r="C3033" s="12">
        <f>IFERROR(__xludf.DUMMYFUNCTION("""COMPUTED_VALUE"""),44662.58702546296)</f>
        <v>44662.58703</v>
      </c>
      <c r="D3033" s="13">
        <f t="shared" si="1"/>
        <v>11</v>
      </c>
      <c r="E3033" s="13">
        <f t="shared" si="2"/>
        <v>14</v>
      </c>
    </row>
    <row r="3034">
      <c r="A3034" s="4" t="s">
        <v>3459</v>
      </c>
      <c r="B3034" s="4" t="s">
        <v>1455</v>
      </c>
      <c r="C3034" s="12">
        <f>IFERROR(__xludf.DUMMYFUNCTION("""COMPUTED_VALUE"""),44662.587013888886)</f>
        <v>44662.58701</v>
      </c>
      <c r="D3034" s="13">
        <f t="shared" si="1"/>
        <v>11</v>
      </c>
      <c r="E3034" s="13">
        <f t="shared" si="2"/>
        <v>14</v>
      </c>
    </row>
    <row r="3035">
      <c r="A3035" s="4" t="s">
        <v>3460</v>
      </c>
      <c r="B3035" s="4" t="s">
        <v>2615</v>
      </c>
      <c r="C3035" s="12">
        <f>IFERROR(__xludf.DUMMYFUNCTION("""COMPUTED_VALUE"""),44662.58700231481)</f>
        <v>44662.587</v>
      </c>
      <c r="D3035" s="13">
        <f t="shared" si="1"/>
        <v>11</v>
      </c>
      <c r="E3035" s="13">
        <f t="shared" si="2"/>
        <v>14</v>
      </c>
    </row>
    <row r="3036">
      <c r="A3036" s="4" t="s">
        <v>3461</v>
      </c>
      <c r="B3036" s="4" t="s">
        <v>2615</v>
      </c>
      <c r="C3036" s="12">
        <f>IFERROR(__xludf.DUMMYFUNCTION("""COMPUTED_VALUE"""),44662.58697916666)</f>
        <v>44662.58698</v>
      </c>
      <c r="D3036" s="13">
        <f t="shared" si="1"/>
        <v>11</v>
      </c>
      <c r="E3036" s="13">
        <f t="shared" si="2"/>
        <v>14</v>
      </c>
    </row>
    <row r="3037">
      <c r="A3037" s="4" t="s">
        <v>3462</v>
      </c>
      <c r="B3037" s="4" t="s">
        <v>1455</v>
      </c>
      <c r="C3037" s="12">
        <f>IFERROR(__xludf.DUMMYFUNCTION("""COMPUTED_VALUE"""),44662.58695601852)</f>
        <v>44662.58696</v>
      </c>
      <c r="D3037" s="13">
        <f t="shared" si="1"/>
        <v>11</v>
      </c>
      <c r="E3037" s="13">
        <f t="shared" si="2"/>
        <v>14</v>
      </c>
    </row>
    <row r="3038">
      <c r="A3038" s="4" t="s">
        <v>3462</v>
      </c>
      <c r="B3038" s="4" t="s">
        <v>2615</v>
      </c>
      <c r="C3038" s="12">
        <f>IFERROR(__xludf.DUMMYFUNCTION("""COMPUTED_VALUE"""),44662.58695601852)</f>
        <v>44662.58696</v>
      </c>
      <c r="D3038" s="13">
        <f t="shared" si="1"/>
        <v>11</v>
      </c>
      <c r="E3038" s="13">
        <f t="shared" si="2"/>
        <v>14</v>
      </c>
    </row>
    <row r="3039">
      <c r="A3039" s="4" t="s">
        <v>3463</v>
      </c>
      <c r="B3039" s="4" t="s">
        <v>1455</v>
      </c>
      <c r="C3039" s="12">
        <f>IFERROR(__xludf.DUMMYFUNCTION("""COMPUTED_VALUE"""),44662.58693287037)</f>
        <v>44662.58693</v>
      </c>
      <c r="D3039" s="13">
        <f t="shared" si="1"/>
        <v>11</v>
      </c>
      <c r="E3039" s="13">
        <f t="shared" si="2"/>
        <v>14</v>
      </c>
    </row>
    <row r="3040">
      <c r="A3040" s="4" t="s">
        <v>3464</v>
      </c>
      <c r="B3040" s="4" t="s">
        <v>2615</v>
      </c>
      <c r="C3040" s="12">
        <f>IFERROR(__xludf.DUMMYFUNCTION("""COMPUTED_VALUE"""),44662.586875)</f>
        <v>44662.58688</v>
      </c>
      <c r="D3040" s="13">
        <f t="shared" si="1"/>
        <v>11</v>
      </c>
      <c r="E3040" s="13">
        <f t="shared" si="2"/>
        <v>14</v>
      </c>
    </row>
    <row r="3041">
      <c r="A3041" s="4" t="s">
        <v>3465</v>
      </c>
      <c r="B3041" s="4" t="s">
        <v>2615</v>
      </c>
      <c r="C3041" s="12">
        <f>IFERROR(__xludf.DUMMYFUNCTION("""COMPUTED_VALUE"""),44662.586504629624)</f>
        <v>44662.5865</v>
      </c>
      <c r="D3041" s="13">
        <f t="shared" si="1"/>
        <v>11</v>
      </c>
      <c r="E3041" s="13">
        <f t="shared" si="2"/>
        <v>14</v>
      </c>
    </row>
    <row r="3042">
      <c r="A3042" s="4" t="s">
        <v>3466</v>
      </c>
      <c r="B3042" s="4" t="s">
        <v>2615</v>
      </c>
      <c r="C3042" s="12">
        <f>IFERROR(__xludf.DUMMYFUNCTION("""COMPUTED_VALUE"""),44662.58648148148)</f>
        <v>44662.58648</v>
      </c>
      <c r="D3042" s="13">
        <f t="shared" si="1"/>
        <v>11</v>
      </c>
      <c r="E3042" s="13">
        <f t="shared" si="2"/>
        <v>14</v>
      </c>
    </row>
    <row r="3043">
      <c r="A3043" s="4" t="s">
        <v>3467</v>
      </c>
      <c r="B3043" s="16"/>
      <c r="C3043" s="12">
        <f>IFERROR(__xludf.DUMMYFUNCTION("""COMPUTED_VALUE"""),44662.58642361111)</f>
        <v>44662.58642</v>
      </c>
      <c r="D3043" s="13">
        <f t="shared" si="1"/>
        <v>11</v>
      </c>
      <c r="E3043" s="13">
        <f t="shared" si="2"/>
        <v>14</v>
      </c>
    </row>
    <row r="3044">
      <c r="A3044" s="4" t="s">
        <v>3468</v>
      </c>
      <c r="B3044" s="4" t="s">
        <v>2615</v>
      </c>
      <c r="C3044" s="12">
        <f>IFERROR(__xludf.DUMMYFUNCTION("""COMPUTED_VALUE"""),44662.586388888885)</f>
        <v>44662.58639</v>
      </c>
      <c r="D3044" s="13">
        <f t="shared" si="1"/>
        <v>11</v>
      </c>
      <c r="E3044" s="13">
        <f t="shared" si="2"/>
        <v>14</v>
      </c>
    </row>
    <row r="3045">
      <c r="A3045" s="4" t="s">
        <v>3469</v>
      </c>
      <c r="B3045" s="16"/>
      <c r="C3045" s="12">
        <f>IFERROR(__xludf.DUMMYFUNCTION("""COMPUTED_VALUE"""),44662.58626157407)</f>
        <v>44662.58626</v>
      </c>
      <c r="D3045" s="13">
        <f t="shared" si="1"/>
        <v>11</v>
      </c>
      <c r="E3045" s="13">
        <f t="shared" si="2"/>
        <v>14</v>
      </c>
    </row>
    <row r="3046">
      <c r="A3046" s="4" t="s">
        <v>3470</v>
      </c>
      <c r="B3046" s="4" t="s">
        <v>2615</v>
      </c>
      <c r="C3046" s="12">
        <f>IFERROR(__xludf.DUMMYFUNCTION("""COMPUTED_VALUE"""),44662.58605324074)</f>
        <v>44662.58605</v>
      </c>
      <c r="D3046" s="13">
        <f t="shared" si="1"/>
        <v>11</v>
      </c>
      <c r="E3046" s="13">
        <f t="shared" si="2"/>
        <v>14</v>
      </c>
    </row>
    <row r="3047">
      <c r="A3047" s="4" t="s">
        <v>3471</v>
      </c>
      <c r="B3047" s="16"/>
      <c r="C3047" s="12">
        <f>IFERROR(__xludf.DUMMYFUNCTION("""COMPUTED_VALUE"""),44662.585821759254)</f>
        <v>44662.58582</v>
      </c>
      <c r="D3047" s="13">
        <f t="shared" si="1"/>
        <v>11</v>
      </c>
      <c r="E3047" s="13">
        <f t="shared" si="2"/>
        <v>14</v>
      </c>
    </row>
    <row r="3048">
      <c r="A3048" s="4" t="s">
        <v>3472</v>
      </c>
      <c r="B3048" s="16"/>
      <c r="C3048" s="12">
        <f>IFERROR(__xludf.DUMMYFUNCTION("""COMPUTED_VALUE"""),44662.58488425926)</f>
        <v>44662.58488</v>
      </c>
      <c r="D3048" s="13">
        <f t="shared" si="1"/>
        <v>11</v>
      </c>
      <c r="E3048" s="13">
        <f t="shared" si="2"/>
        <v>14</v>
      </c>
    </row>
    <row r="3049">
      <c r="A3049" s="4" t="s">
        <v>3473</v>
      </c>
      <c r="B3049" s="16"/>
      <c r="C3049" s="12">
        <f>IFERROR(__xludf.DUMMYFUNCTION("""COMPUTED_VALUE"""),44662.584872685184)</f>
        <v>44662.58487</v>
      </c>
      <c r="D3049" s="13">
        <f t="shared" si="1"/>
        <v>11</v>
      </c>
      <c r="E3049" s="13">
        <f t="shared" si="2"/>
        <v>14</v>
      </c>
    </row>
    <row r="3050">
      <c r="A3050" s="4" t="s">
        <v>3474</v>
      </c>
      <c r="B3050" s="16"/>
      <c r="C3050" s="12">
        <f>IFERROR(__xludf.DUMMYFUNCTION("""COMPUTED_VALUE"""),44662.58484953704)</f>
        <v>44662.58485</v>
      </c>
      <c r="D3050" s="13">
        <f t="shared" si="1"/>
        <v>11</v>
      </c>
      <c r="E3050" s="13">
        <f t="shared" si="2"/>
        <v>14</v>
      </c>
    </row>
    <row r="3051">
      <c r="A3051" s="4" t="s">
        <v>3475</v>
      </c>
      <c r="B3051" s="16"/>
      <c r="C3051" s="12">
        <f>IFERROR(__xludf.DUMMYFUNCTION("""COMPUTED_VALUE"""),44662.58483796296)</f>
        <v>44662.58484</v>
      </c>
      <c r="D3051" s="13">
        <f t="shared" si="1"/>
        <v>11</v>
      </c>
      <c r="E3051" s="13">
        <f t="shared" si="2"/>
        <v>14</v>
      </c>
    </row>
    <row r="3052">
      <c r="A3052" s="4" t="s">
        <v>3476</v>
      </c>
      <c r="B3052" s="16"/>
      <c r="C3052" s="12">
        <f>IFERROR(__xludf.DUMMYFUNCTION("""COMPUTED_VALUE"""),44662.584814814814)</f>
        <v>44662.58481</v>
      </c>
      <c r="D3052" s="13">
        <f t="shared" si="1"/>
        <v>11</v>
      </c>
      <c r="E3052" s="13">
        <f t="shared" si="2"/>
        <v>14</v>
      </c>
    </row>
    <row r="3053">
      <c r="A3053" s="4" t="s">
        <v>3477</v>
      </c>
      <c r="B3053" s="16"/>
      <c r="C3053" s="12">
        <f>IFERROR(__xludf.DUMMYFUNCTION("""COMPUTED_VALUE"""),44662.58480324074)</f>
        <v>44662.5848</v>
      </c>
      <c r="D3053" s="13">
        <f t="shared" si="1"/>
        <v>11</v>
      </c>
      <c r="E3053" s="13">
        <f t="shared" si="2"/>
        <v>14</v>
      </c>
    </row>
    <row r="3054">
      <c r="A3054" s="4" t="s">
        <v>3478</v>
      </c>
      <c r="B3054" s="4" t="s">
        <v>3479</v>
      </c>
      <c r="C3054" s="12">
        <f>IFERROR(__xludf.DUMMYFUNCTION("""COMPUTED_VALUE"""),44662.58479166666)</f>
        <v>44662.58479</v>
      </c>
      <c r="D3054" s="13">
        <f t="shared" si="1"/>
        <v>11</v>
      </c>
      <c r="E3054" s="13">
        <f t="shared" si="2"/>
        <v>14</v>
      </c>
    </row>
    <row r="3055">
      <c r="A3055" s="4" t="s">
        <v>3480</v>
      </c>
      <c r="B3055" s="16"/>
      <c r="C3055" s="12">
        <f>IFERROR(__xludf.DUMMYFUNCTION("""COMPUTED_VALUE"""),44662.58478009259)</f>
        <v>44662.58478</v>
      </c>
      <c r="D3055" s="13">
        <f t="shared" si="1"/>
        <v>11</v>
      </c>
      <c r="E3055" s="13">
        <f t="shared" si="2"/>
        <v>14</v>
      </c>
    </row>
    <row r="3056">
      <c r="A3056" s="4" t="s">
        <v>3481</v>
      </c>
      <c r="B3056" s="16"/>
      <c r="C3056" s="12">
        <f>IFERROR(__xludf.DUMMYFUNCTION("""COMPUTED_VALUE"""),44662.584768518514)</f>
        <v>44662.58477</v>
      </c>
      <c r="D3056" s="13">
        <f t="shared" si="1"/>
        <v>11</v>
      </c>
      <c r="E3056" s="13">
        <f t="shared" si="2"/>
        <v>14</v>
      </c>
    </row>
    <row r="3057">
      <c r="A3057" s="4" t="s">
        <v>3482</v>
      </c>
      <c r="B3057" s="4" t="s">
        <v>3313</v>
      </c>
      <c r="C3057" s="12">
        <f>IFERROR(__xludf.DUMMYFUNCTION("""COMPUTED_VALUE"""),44662.584756944445)</f>
        <v>44662.58476</v>
      </c>
      <c r="D3057" s="13">
        <f t="shared" si="1"/>
        <v>11</v>
      </c>
      <c r="E3057" s="13">
        <f t="shared" si="2"/>
        <v>14</v>
      </c>
    </row>
    <row r="3058">
      <c r="A3058" s="4" t="s">
        <v>3483</v>
      </c>
      <c r="B3058" s="16"/>
      <c r="C3058" s="12">
        <f>IFERROR(__xludf.DUMMYFUNCTION("""COMPUTED_VALUE"""),44662.58474537037)</f>
        <v>44662.58475</v>
      </c>
      <c r="D3058" s="13">
        <f t="shared" si="1"/>
        <v>11</v>
      </c>
      <c r="E3058" s="13">
        <f t="shared" si="2"/>
        <v>14</v>
      </c>
    </row>
    <row r="3059">
      <c r="A3059" s="4" t="s">
        <v>3483</v>
      </c>
      <c r="B3059" s="4" t="s">
        <v>3313</v>
      </c>
      <c r="C3059" s="12">
        <f>IFERROR(__xludf.DUMMYFUNCTION("""COMPUTED_VALUE"""),44662.58474537037)</f>
        <v>44662.58475</v>
      </c>
      <c r="D3059" s="13">
        <f t="shared" si="1"/>
        <v>11</v>
      </c>
      <c r="E3059" s="13">
        <f t="shared" si="2"/>
        <v>14</v>
      </c>
    </row>
    <row r="3060">
      <c r="A3060" s="4" t="s">
        <v>3484</v>
      </c>
      <c r="B3060" s="4" t="s">
        <v>3313</v>
      </c>
      <c r="C3060" s="12">
        <f>IFERROR(__xludf.DUMMYFUNCTION("""COMPUTED_VALUE"""),44662.58472222222)</f>
        <v>44662.58472</v>
      </c>
      <c r="D3060" s="13">
        <f t="shared" si="1"/>
        <v>11</v>
      </c>
      <c r="E3060" s="13">
        <f t="shared" si="2"/>
        <v>14</v>
      </c>
    </row>
    <row r="3061">
      <c r="A3061" s="4" t="s">
        <v>3485</v>
      </c>
      <c r="B3061" s="4" t="s">
        <v>3313</v>
      </c>
      <c r="C3061" s="12">
        <f>IFERROR(__xludf.DUMMYFUNCTION("""COMPUTED_VALUE"""),44662.58467592592)</f>
        <v>44662.58468</v>
      </c>
      <c r="D3061" s="13">
        <f t="shared" si="1"/>
        <v>11</v>
      </c>
      <c r="E3061" s="13">
        <f t="shared" si="2"/>
        <v>14</v>
      </c>
    </row>
    <row r="3062">
      <c r="A3062" s="4" t="s">
        <v>3486</v>
      </c>
      <c r="B3062" s="16"/>
      <c r="C3062" s="12">
        <f>IFERROR(__xludf.DUMMYFUNCTION("""COMPUTED_VALUE"""),44662.584652777776)</f>
        <v>44662.58465</v>
      </c>
      <c r="D3062" s="13">
        <f t="shared" si="1"/>
        <v>11</v>
      </c>
      <c r="E3062" s="13">
        <f t="shared" si="2"/>
        <v>14</v>
      </c>
    </row>
    <row r="3063">
      <c r="A3063" s="4" t="s">
        <v>3487</v>
      </c>
      <c r="B3063" s="4" t="s">
        <v>3313</v>
      </c>
      <c r="C3063" s="12">
        <f>IFERROR(__xludf.DUMMYFUNCTION("""COMPUTED_VALUE"""),44662.58462962963)</f>
        <v>44662.58463</v>
      </c>
      <c r="D3063" s="13">
        <f t="shared" si="1"/>
        <v>11</v>
      </c>
      <c r="E3063" s="13">
        <f t="shared" si="2"/>
        <v>14</v>
      </c>
    </row>
    <row r="3064">
      <c r="A3064" s="4" t="s">
        <v>3488</v>
      </c>
      <c r="B3064" s="4" t="s">
        <v>3489</v>
      </c>
      <c r="C3064" s="12">
        <f>IFERROR(__xludf.DUMMYFUNCTION("""COMPUTED_VALUE"""),44662.58454861111)</f>
        <v>44662.58455</v>
      </c>
      <c r="D3064" s="13">
        <f t="shared" si="1"/>
        <v>11</v>
      </c>
      <c r="E3064" s="13">
        <f t="shared" si="2"/>
        <v>14</v>
      </c>
    </row>
    <row r="3065">
      <c r="A3065" s="4" t="s">
        <v>3490</v>
      </c>
      <c r="B3065" s="4" t="s">
        <v>3491</v>
      </c>
      <c r="C3065" s="12">
        <f>IFERROR(__xludf.DUMMYFUNCTION("""COMPUTED_VALUE"""),44662.58452546296)</f>
        <v>44662.58453</v>
      </c>
      <c r="D3065" s="13">
        <f t="shared" si="1"/>
        <v>11</v>
      </c>
      <c r="E3065" s="13">
        <f t="shared" si="2"/>
        <v>14</v>
      </c>
    </row>
    <row r="3066">
      <c r="A3066" s="4" t="s">
        <v>3490</v>
      </c>
      <c r="B3066" s="4" t="s">
        <v>1269</v>
      </c>
      <c r="C3066" s="12">
        <f>IFERROR(__xludf.DUMMYFUNCTION("""COMPUTED_VALUE"""),44662.58452546296)</f>
        <v>44662.58453</v>
      </c>
      <c r="D3066" s="13">
        <f t="shared" si="1"/>
        <v>11</v>
      </c>
      <c r="E3066" s="13">
        <f t="shared" si="2"/>
        <v>14</v>
      </c>
    </row>
    <row r="3067">
      <c r="A3067" s="4" t="s">
        <v>3492</v>
      </c>
      <c r="B3067" s="16"/>
      <c r="C3067" s="12">
        <f>IFERROR(__xludf.DUMMYFUNCTION("""COMPUTED_VALUE"""),44662.58443287037)</f>
        <v>44662.58443</v>
      </c>
      <c r="D3067" s="13">
        <f t="shared" si="1"/>
        <v>11</v>
      </c>
      <c r="E3067" s="13">
        <f t="shared" si="2"/>
        <v>14</v>
      </c>
    </row>
    <row r="3068">
      <c r="A3068" s="4" t="s">
        <v>3493</v>
      </c>
      <c r="B3068" s="4" t="s">
        <v>1269</v>
      </c>
      <c r="C3068" s="12">
        <f>IFERROR(__xludf.DUMMYFUNCTION("""COMPUTED_VALUE"""),44662.58424768518)</f>
        <v>44662.58425</v>
      </c>
      <c r="D3068" s="13">
        <f t="shared" si="1"/>
        <v>11</v>
      </c>
      <c r="E3068" s="13">
        <f t="shared" si="2"/>
        <v>14</v>
      </c>
    </row>
    <row r="3069">
      <c r="A3069" s="4" t="s">
        <v>3494</v>
      </c>
      <c r="B3069" s="16"/>
      <c r="C3069" s="12">
        <f>IFERROR(__xludf.DUMMYFUNCTION("""COMPUTED_VALUE"""),44662.584131944444)</f>
        <v>44662.58413</v>
      </c>
      <c r="D3069" s="13">
        <f t="shared" si="1"/>
        <v>11</v>
      </c>
      <c r="E3069" s="13">
        <f t="shared" si="2"/>
        <v>14</v>
      </c>
    </row>
    <row r="3070">
      <c r="A3070" s="4" t="s">
        <v>3495</v>
      </c>
      <c r="B3070" s="4" t="s">
        <v>3313</v>
      </c>
      <c r="C3070" s="12">
        <f>IFERROR(__xludf.DUMMYFUNCTION("""COMPUTED_VALUE"""),44662.58412037037)</f>
        <v>44662.58412</v>
      </c>
      <c r="D3070" s="13">
        <f t="shared" si="1"/>
        <v>11</v>
      </c>
      <c r="E3070" s="13">
        <f t="shared" si="2"/>
        <v>14</v>
      </c>
    </row>
    <row r="3071">
      <c r="A3071" s="4" t="s">
        <v>3496</v>
      </c>
      <c r="B3071" s="16"/>
      <c r="C3071" s="12">
        <f>IFERROR(__xludf.DUMMYFUNCTION("""COMPUTED_VALUE"""),44662.58409722222)</f>
        <v>44662.5841</v>
      </c>
      <c r="D3071" s="13">
        <f t="shared" si="1"/>
        <v>11</v>
      </c>
      <c r="E3071" s="13">
        <f t="shared" si="2"/>
        <v>14</v>
      </c>
    </row>
    <row r="3072">
      <c r="A3072" s="4" t="s">
        <v>3497</v>
      </c>
      <c r="B3072" s="16"/>
      <c r="C3072" s="12">
        <f>IFERROR(__xludf.DUMMYFUNCTION("""COMPUTED_VALUE"""),44662.584085648145)</f>
        <v>44662.58409</v>
      </c>
      <c r="D3072" s="13">
        <f t="shared" si="1"/>
        <v>11</v>
      </c>
      <c r="E3072" s="13">
        <f t="shared" si="2"/>
        <v>14</v>
      </c>
    </row>
    <row r="3073">
      <c r="A3073" s="4" t="s">
        <v>3498</v>
      </c>
      <c r="B3073" s="16"/>
      <c r="C3073" s="12">
        <f>IFERROR(__xludf.DUMMYFUNCTION("""COMPUTED_VALUE"""),44662.584074074075)</f>
        <v>44662.58407</v>
      </c>
      <c r="D3073" s="13">
        <f t="shared" si="1"/>
        <v>11</v>
      </c>
      <c r="E3073" s="13">
        <f t="shared" si="2"/>
        <v>14</v>
      </c>
    </row>
    <row r="3074">
      <c r="A3074" s="4" t="s">
        <v>3499</v>
      </c>
      <c r="B3074" s="4" t="s">
        <v>3313</v>
      </c>
      <c r="C3074" s="12">
        <f>IFERROR(__xludf.DUMMYFUNCTION("""COMPUTED_VALUE"""),44662.5840625)</f>
        <v>44662.58406</v>
      </c>
      <c r="D3074" s="13">
        <f t="shared" si="1"/>
        <v>11</v>
      </c>
      <c r="E3074" s="13">
        <f t="shared" si="2"/>
        <v>14</v>
      </c>
    </row>
    <row r="3075">
      <c r="A3075" s="4" t="s">
        <v>3500</v>
      </c>
      <c r="B3075" s="16"/>
      <c r="C3075" s="12">
        <f>IFERROR(__xludf.DUMMYFUNCTION("""COMPUTED_VALUE"""),44662.58405092592)</f>
        <v>44662.58405</v>
      </c>
      <c r="D3075" s="13">
        <f t="shared" si="1"/>
        <v>11</v>
      </c>
      <c r="E3075" s="13">
        <f t="shared" si="2"/>
        <v>14</v>
      </c>
    </row>
    <row r="3076">
      <c r="A3076" s="4" t="s">
        <v>3501</v>
      </c>
      <c r="B3076" s="16"/>
      <c r="C3076" s="12">
        <f>IFERROR(__xludf.DUMMYFUNCTION("""COMPUTED_VALUE"""),44662.584027777775)</f>
        <v>44662.58403</v>
      </c>
      <c r="D3076" s="13">
        <f t="shared" si="1"/>
        <v>11</v>
      </c>
      <c r="E3076" s="13">
        <f t="shared" si="2"/>
        <v>14</v>
      </c>
    </row>
    <row r="3077">
      <c r="A3077" s="4" t="s">
        <v>3502</v>
      </c>
      <c r="B3077" s="16"/>
      <c r="C3077" s="12">
        <f>IFERROR(__xludf.DUMMYFUNCTION("""COMPUTED_VALUE"""),44662.5840162037)</f>
        <v>44662.58402</v>
      </c>
      <c r="D3077" s="13">
        <f t="shared" si="1"/>
        <v>11</v>
      </c>
      <c r="E3077" s="13">
        <f t="shared" si="2"/>
        <v>14</v>
      </c>
    </row>
    <row r="3078">
      <c r="A3078" s="4" t="s">
        <v>3503</v>
      </c>
      <c r="B3078" s="16"/>
      <c r="C3078" s="12">
        <f>IFERROR(__xludf.DUMMYFUNCTION("""COMPUTED_VALUE"""),44662.58400462963)</f>
        <v>44662.584</v>
      </c>
      <c r="D3078" s="13">
        <f t="shared" si="1"/>
        <v>11</v>
      </c>
      <c r="E3078" s="13">
        <f t="shared" si="2"/>
        <v>14</v>
      </c>
    </row>
    <row r="3079">
      <c r="A3079" s="4" t="s">
        <v>3504</v>
      </c>
      <c r="B3079" s="16"/>
      <c r="C3079" s="12">
        <f>IFERROR(__xludf.DUMMYFUNCTION("""COMPUTED_VALUE"""),44662.58399305555)</f>
        <v>44662.58399</v>
      </c>
      <c r="D3079" s="13">
        <f t="shared" si="1"/>
        <v>11</v>
      </c>
      <c r="E3079" s="13">
        <f t="shared" si="2"/>
        <v>14</v>
      </c>
    </row>
    <row r="3080">
      <c r="A3080" s="4" t="s">
        <v>3505</v>
      </c>
      <c r="B3080" s="16"/>
      <c r="C3080" s="12">
        <f>IFERROR(__xludf.DUMMYFUNCTION("""COMPUTED_VALUE"""),44662.583969907406)</f>
        <v>44662.58397</v>
      </c>
      <c r="D3080" s="13">
        <f t="shared" si="1"/>
        <v>11</v>
      </c>
      <c r="E3080" s="13">
        <f t="shared" si="2"/>
        <v>14</v>
      </c>
    </row>
    <row r="3081">
      <c r="A3081" s="4" t="s">
        <v>3506</v>
      </c>
      <c r="B3081" s="16"/>
      <c r="C3081" s="12">
        <f>IFERROR(__xludf.DUMMYFUNCTION("""COMPUTED_VALUE"""),44662.58395833333)</f>
        <v>44662.58396</v>
      </c>
      <c r="D3081" s="13">
        <f t="shared" si="1"/>
        <v>11</v>
      </c>
      <c r="E3081" s="13">
        <f t="shared" si="2"/>
        <v>14</v>
      </c>
    </row>
    <row r="3082">
      <c r="A3082" s="4" t="s">
        <v>3507</v>
      </c>
      <c r="B3082" s="16"/>
      <c r="C3082" s="12">
        <f>IFERROR(__xludf.DUMMYFUNCTION("""COMPUTED_VALUE"""),44662.58393518518)</f>
        <v>44662.58394</v>
      </c>
      <c r="D3082" s="13">
        <f t="shared" si="1"/>
        <v>11</v>
      </c>
      <c r="E3082" s="13">
        <f t="shared" si="2"/>
        <v>14</v>
      </c>
    </row>
    <row r="3083">
      <c r="A3083" s="4" t="s">
        <v>3508</v>
      </c>
      <c r="B3083" s="16"/>
      <c r="C3083" s="12">
        <f>IFERROR(__xludf.DUMMYFUNCTION("""COMPUTED_VALUE"""),44662.58390046296)</f>
        <v>44662.5839</v>
      </c>
      <c r="D3083" s="13">
        <f t="shared" si="1"/>
        <v>11</v>
      </c>
      <c r="E3083" s="13">
        <f t="shared" si="2"/>
        <v>14</v>
      </c>
    </row>
    <row r="3084">
      <c r="A3084" s="4" t="s">
        <v>3509</v>
      </c>
      <c r="B3084" s="16"/>
      <c r="C3084" s="12">
        <f>IFERROR(__xludf.DUMMYFUNCTION("""COMPUTED_VALUE"""),44662.58387731481)</f>
        <v>44662.58388</v>
      </c>
      <c r="D3084" s="13">
        <f t="shared" si="1"/>
        <v>11</v>
      </c>
      <c r="E3084" s="13">
        <f t="shared" si="2"/>
        <v>14</v>
      </c>
    </row>
    <row r="3085">
      <c r="A3085" s="4" t="s">
        <v>3510</v>
      </c>
      <c r="B3085" s="4" t="s">
        <v>3511</v>
      </c>
      <c r="C3085" s="12">
        <f>IFERROR(__xludf.DUMMYFUNCTION("""COMPUTED_VALUE"""),44662.58364583333)</f>
        <v>44662.58365</v>
      </c>
      <c r="D3085" s="13">
        <f t="shared" si="1"/>
        <v>11</v>
      </c>
      <c r="E3085" s="13">
        <f t="shared" si="2"/>
        <v>14</v>
      </c>
    </row>
    <row r="3086">
      <c r="A3086" s="4" t="s">
        <v>3512</v>
      </c>
      <c r="B3086" s="16"/>
      <c r="C3086" s="12">
        <f>IFERROR(__xludf.DUMMYFUNCTION("""COMPUTED_VALUE"""),44662.58349537037)</f>
        <v>44662.5835</v>
      </c>
      <c r="D3086" s="13">
        <f t="shared" si="1"/>
        <v>11</v>
      </c>
      <c r="E3086" s="13">
        <f t="shared" si="2"/>
        <v>14</v>
      </c>
    </row>
    <row r="3087">
      <c r="A3087" s="4" t="s">
        <v>3513</v>
      </c>
      <c r="B3087" s="16"/>
      <c r="C3087" s="12">
        <f>IFERROR(__xludf.DUMMYFUNCTION("""COMPUTED_VALUE"""),44662.583449074074)</f>
        <v>44662.58345</v>
      </c>
      <c r="D3087" s="13">
        <f t="shared" si="1"/>
        <v>11</v>
      </c>
      <c r="E3087" s="13">
        <f t="shared" si="2"/>
        <v>14</v>
      </c>
    </row>
    <row r="3088">
      <c r="A3088" s="4" t="s">
        <v>3514</v>
      </c>
      <c r="B3088" s="4" t="s">
        <v>3515</v>
      </c>
      <c r="C3088" s="12">
        <f>IFERROR(__xludf.DUMMYFUNCTION("""COMPUTED_VALUE"""),44662.58333333333)</f>
        <v>44662.58333</v>
      </c>
      <c r="D3088" s="13">
        <f t="shared" si="1"/>
        <v>11</v>
      </c>
      <c r="E3088" s="13">
        <f t="shared" si="2"/>
        <v>14</v>
      </c>
    </row>
    <row r="3089">
      <c r="A3089" s="4" t="s">
        <v>3516</v>
      </c>
      <c r="B3089" s="4" t="s">
        <v>3517</v>
      </c>
      <c r="C3089" s="12">
        <f>IFERROR(__xludf.DUMMYFUNCTION("""COMPUTED_VALUE"""),44662.58325231481)</f>
        <v>44662.58325</v>
      </c>
      <c r="D3089" s="13">
        <f t="shared" si="1"/>
        <v>11</v>
      </c>
      <c r="E3089" s="13">
        <f t="shared" si="2"/>
        <v>13</v>
      </c>
    </row>
    <row r="3090">
      <c r="A3090" s="4" t="s">
        <v>3518</v>
      </c>
      <c r="B3090" s="16"/>
      <c r="C3090" s="12">
        <f>IFERROR(__xludf.DUMMYFUNCTION("""COMPUTED_VALUE"""),44662.58318287037)</f>
        <v>44662.58318</v>
      </c>
      <c r="D3090" s="13">
        <f t="shared" si="1"/>
        <v>11</v>
      </c>
      <c r="E3090" s="13">
        <f t="shared" si="2"/>
        <v>13</v>
      </c>
    </row>
    <row r="3091">
      <c r="A3091" s="4" t="s">
        <v>3519</v>
      </c>
      <c r="B3091" s="4" t="s">
        <v>3515</v>
      </c>
      <c r="C3091" s="12">
        <f>IFERROR(__xludf.DUMMYFUNCTION("""COMPUTED_VALUE"""),44662.5831712963)</f>
        <v>44662.58317</v>
      </c>
      <c r="D3091" s="13">
        <f t="shared" si="1"/>
        <v>11</v>
      </c>
      <c r="E3091" s="13">
        <f t="shared" si="2"/>
        <v>13</v>
      </c>
    </row>
    <row r="3092">
      <c r="A3092" s="4" t="s">
        <v>3520</v>
      </c>
      <c r="B3092" s="4" t="s">
        <v>3515</v>
      </c>
      <c r="C3092" s="12">
        <f>IFERROR(__xludf.DUMMYFUNCTION("""COMPUTED_VALUE"""),44662.583125)</f>
        <v>44662.58313</v>
      </c>
      <c r="D3092" s="13">
        <f t="shared" si="1"/>
        <v>11</v>
      </c>
      <c r="E3092" s="13">
        <f t="shared" si="2"/>
        <v>13</v>
      </c>
    </row>
    <row r="3093">
      <c r="A3093" s="4" t="s">
        <v>3521</v>
      </c>
      <c r="B3093" s="16"/>
      <c r="C3093" s="12">
        <f>IFERROR(__xludf.DUMMYFUNCTION("""COMPUTED_VALUE"""),44662.58310185185)</f>
        <v>44662.5831</v>
      </c>
      <c r="D3093" s="13">
        <f t="shared" si="1"/>
        <v>11</v>
      </c>
      <c r="E3093" s="13">
        <f t="shared" si="2"/>
        <v>13</v>
      </c>
    </row>
    <row r="3094">
      <c r="A3094" s="4" t="s">
        <v>3522</v>
      </c>
      <c r="B3094" s="4" t="s">
        <v>3515</v>
      </c>
      <c r="C3094" s="12">
        <f>IFERROR(__xludf.DUMMYFUNCTION("""COMPUTED_VALUE"""),44662.58304398148)</f>
        <v>44662.58304</v>
      </c>
      <c r="D3094" s="13">
        <f t="shared" si="1"/>
        <v>11</v>
      </c>
      <c r="E3094" s="13">
        <f t="shared" si="2"/>
        <v>13</v>
      </c>
    </row>
    <row r="3095">
      <c r="A3095" s="4" t="s">
        <v>3523</v>
      </c>
      <c r="B3095" s="4" t="s">
        <v>3515</v>
      </c>
      <c r="C3095" s="12">
        <f>IFERROR(__xludf.DUMMYFUNCTION("""COMPUTED_VALUE"""),44662.582974537036)</f>
        <v>44662.58297</v>
      </c>
      <c r="D3095" s="13">
        <f t="shared" si="1"/>
        <v>11</v>
      </c>
      <c r="E3095" s="13">
        <f t="shared" si="2"/>
        <v>13</v>
      </c>
    </row>
    <row r="3096">
      <c r="A3096" s="4" t="s">
        <v>3524</v>
      </c>
      <c r="B3096" s="4" t="s">
        <v>3525</v>
      </c>
      <c r="C3096" s="12">
        <f>IFERROR(__xludf.DUMMYFUNCTION("""COMPUTED_VALUE"""),44662.58288194444)</f>
        <v>44662.58288</v>
      </c>
      <c r="D3096" s="13">
        <f t="shared" si="1"/>
        <v>11</v>
      </c>
      <c r="E3096" s="13">
        <f t="shared" si="2"/>
        <v>13</v>
      </c>
    </row>
    <row r="3097">
      <c r="A3097" s="4" t="s">
        <v>3526</v>
      </c>
      <c r="B3097" s="16"/>
      <c r="C3097" s="12">
        <f>IFERROR(__xludf.DUMMYFUNCTION("""COMPUTED_VALUE"""),44662.58196759259)</f>
        <v>44662.58197</v>
      </c>
      <c r="D3097" s="13">
        <f t="shared" si="1"/>
        <v>11</v>
      </c>
      <c r="E3097" s="13">
        <f t="shared" si="2"/>
        <v>13</v>
      </c>
    </row>
    <row r="3098">
      <c r="A3098" s="4" t="s">
        <v>3527</v>
      </c>
      <c r="B3098" s="16"/>
      <c r="C3098" s="12">
        <f>IFERROR(__xludf.DUMMYFUNCTION("""COMPUTED_VALUE"""),44662.581921296296)</f>
        <v>44662.58192</v>
      </c>
      <c r="D3098" s="13">
        <f t="shared" si="1"/>
        <v>11</v>
      </c>
      <c r="E3098" s="13">
        <f t="shared" si="2"/>
        <v>13</v>
      </c>
    </row>
    <row r="3099">
      <c r="A3099" s="4" t="s">
        <v>3528</v>
      </c>
      <c r="B3099" s="4" t="s">
        <v>3529</v>
      </c>
      <c r="C3099" s="12">
        <f>IFERROR(__xludf.DUMMYFUNCTION("""COMPUTED_VALUE"""),44662.58181712963)</f>
        <v>44662.58182</v>
      </c>
      <c r="D3099" s="13">
        <f t="shared" si="1"/>
        <v>11</v>
      </c>
      <c r="E3099" s="13">
        <f t="shared" si="2"/>
        <v>13</v>
      </c>
    </row>
    <row r="3100">
      <c r="A3100" s="4" t="s">
        <v>3530</v>
      </c>
      <c r="B3100" s="16"/>
      <c r="C3100" s="12">
        <f>IFERROR(__xludf.DUMMYFUNCTION("""COMPUTED_VALUE"""),44662.581770833334)</f>
        <v>44662.58177</v>
      </c>
      <c r="D3100" s="13">
        <f t="shared" si="1"/>
        <v>11</v>
      </c>
      <c r="E3100" s="13">
        <f t="shared" si="2"/>
        <v>13</v>
      </c>
    </row>
    <row r="3101">
      <c r="A3101" s="4" t="s">
        <v>3531</v>
      </c>
      <c r="B3101" s="16"/>
      <c r="C3101" s="12">
        <f>IFERROR(__xludf.DUMMYFUNCTION("""COMPUTED_VALUE"""),44662.58174768518)</f>
        <v>44662.58175</v>
      </c>
      <c r="D3101" s="13">
        <f t="shared" si="1"/>
        <v>11</v>
      </c>
      <c r="E3101" s="13">
        <f t="shared" si="2"/>
        <v>13</v>
      </c>
    </row>
    <row r="3102">
      <c r="A3102" s="4" t="s">
        <v>3532</v>
      </c>
      <c r="B3102" s="4" t="s">
        <v>2627</v>
      </c>
      <c r="C3102" s="12">
        <f>IFERROR(__xludf.DUMMYFUNCTION("""COMPUTED_VALUE"""),44662.581724537034)</f>
        <v>44662.58172</v>
      </c>
      <c r="D3102" s="13">
        <f t="shared" si="1"/>
        <v>11</v>
      </c>
      <c r="E3102" s="13">
        <f t="shared" si="2"/>
        <v>13</v>
      </c>
    </row>
    <row r="3103">
      <c r="A3103" s="4" t="s">
        <v>3533</v>
      </c>
      <c r="B3103" s="16"/>
      <c r="C3103" s="12">
        <f>IFERROR(__xludf.DUMMYFUNCTION("""COMPUTED_VALUE"""),44662.58171296296)</f>
        <v>44662.58171</v>
      </c>
      <c r="D3103" s="13">
        <f t="shared" si="1"/>
        <v>11</v>
      </c>
      <c r="E3103" s="13">
        <f t="shared" si="2"/>
        <v>13</v>
      </c>
    </row>
    <row r="3104">
      <c r="A3104" s="4" t="s">
        <v>3534</v>
      </c>
      <c r="B3104" s="4" t="s">
        <v>2627</v>
      </c>
      <c r="C3104" s="12">
        <f>IFERROR(__xludf.DUMMYFUNCTION("""COMPUTED_VALUE"""),44662.58168981481)</f>
        <v>44662.58169</v>
      </c>
      <c r="D3104" s="13">
        <f t="shared" si="1"/>
        <v>11</v>
      </c>
      <c r="E3104" s="13">
        <f t="shared" si="2"/>
        <v>13</v>
      </c>
    </row>
    <row r="3105">
      <c r="A3105" s="4" t="s">
        <v>3535</v>
      </c>
      <c r="B3105" s="4" t="s">
        <v>2627</v>
      </c>
      <c r="C3105" s="12">
        <f>IFERROR(__xludf.DUMMYFUNCTION("""COMPUTED_VALUE"""),44662.58167824074)</f>
        <v>44662.58168</v>
      </c>
      <c r="D3105" s="13">
        <f t="shared" si="1"/>
        <v>11</v>
      </c>
      <c r="E3105" s="13">
        <f t="shared" si="2"/>
        <v>13</v>
      </c>
    </row>
    <row r="3106">
      <c r="A3106" s="4" t="s">
        <v>3535</v>
      </c>
      <c r="B3106" s="16"/>
      <c r="C3106" s="12">
        <f>IFERROR(__xludf.DUMMYFUNCTION("""COMPUTED_VALUE"""),44662.58167824074)</f>
        <v>44662.58168</v>
      </c>
      <c r="D3106" s="13">
        <f t="shared" si="1"/>
        <v>11</v>
      </c>
      <c r="E3106" s="13">
        <f t="shared" si="2"/>
        <v>13</v>
      </c>
    </row>
    <row r="3107">
      <c r="A3107" s="4" t="s">
        <v>3536</v>
      </c>
      <c r="B3107" s="16"/>
      <c r="C3107" s="12">
        <f>IFERROR(__xludf.DUMMYFUNCTION("""COMPUTED_VALUE"""),44662.58163194444)</f>
        <v>44662.58163</v>
      </c>
      <c r="D3107" s="13">
        <f t="shared" si="1"/>
        <v>11</v>
      </c>
      <c r="E3107" s="13">
        <f t="shared" si="2"/>
        <v>13</v>
      </c>
    </row>
    <row r="3108">
      <c r="A3108" s="4" t="s">
        <v>3537</v>
      </c>
      <c r="B3108" s="4" t="s">
        <v>2627</v>
      </c>
      <c r="C3108" s="12">
        <f>IFERROR(__xludf.DUMMYFUNCTION("""COMPUTED_VALUE"""),44662.581608796296)</f>
        <v>44662.58161</v>
      </c>
      <c r="D3108" s="13">
        <f t="shared" si="1"/>
        <v>11</v>
      </c>
      <c r="E3108" s="13">
        <f t="shared" si="2"/>
        <v>13</v>
      </c>
    </row>
    <row r="3109">
      <c r="A3109" s="4" t="s">
        <v>3538</v>
      </c>
      <c r="B3109" s="16"/>
      <c r="C3109" s="12">
        <f>IFERROR(__xludf.DUMMYFUNCTION("""COMPUTED_VALUE"""),44662.581562499996)</f>
        <v>44662.58156</v>
      </c>
      <c r="D3109" s="13">
        <f t="shared" si="1"/>
        <v>11</v>
      </c>
      <c r="E3109" s="13">
        <f t="shared" si="2"/>
        <v>13</v>
      </c>
    </row>
    <row r="3110">
      <c r="A3110" s="4" t="s">
        <v>3539</v>
      </c>
      <c r="B3110" s="16"/>
      <c r="C3110" s="12">
        <f>IFERROR(__xludf.DUMMYFUNCTION("""COMPUTED_VALUE"""),44662.58153935185)</f>
        <v>44662.58154</v>
      </c>
      <c r="D3110" s="13">
        <f t="shared" si="1"/>
        <v>11</v>
      </c>
      <c r="E3110" s="13">
        <f t="shared" si="2"/>
        <v>13</v>
      </c>
    </row>
    <row r="3111">
      <c r="A3111" s="4" t="s">
        <v>3540</v>
      </c>
      <c r="B3111" s="4" t="s">
        <v>3541</v>
      </c>
      <c r="C3111" s="12">
        <f>IFERROR(__xludf.DUMMYFUNCTION("""COMPUTED_VALUE"""),44662.5815162037)</f>
        <v>44662.58152</v>
      </c>
      <c r="D3111" s="13">
        <f t="shared" si="1"/>
        <v>11</v>
      </c>
      <c r="E3111" s="13">
        <f t="shared" si="2"/>
        <v>13</v>
      </c>
    </row>
    <row r="3112">
      <c r="A3112" s="4" t="s">
        <v>3542</v>
      </c>
      <c r="B3112" s="4" t="s">
        <v>829</v>
      </c>
      <c r="C3112" s="12">
        <f>IFERROR(__xludf.DUMMYFUNCTION("""COMPUTED_VALUE"""),44662.58142361111)</f>
        <v>44662.58142</v>
      </c>
      <c r="D3112" s="13">
        <f t="shared" si="1"/>
        <v>11</v>
      </c>
      <c r="E3112" s="13">
        <f t="shared" si="2"/>
        <v>13</v>
      </c>
    </row>
    <row r="3113">
      <c r="A3113" s="4" t="s">
        <v>3543</v>
      </c>
      <c r="B3113" s="4" t="s">
        <v>3544</v>
      </c>
      <c r="C3113" s="12">
        <f>IFERROR(__xludf.DUMMYFUNCTION("""COMPUTED_VALUE"""),44662.58112268518)</f>
        <v>44662.58112</v>
      </c>
      <c r="D3113" s="13">
        <f t="shared" si="1"/>
        <v>11</v>
      </c>
      <c r="E3113" s="13">
        <f t="shared" si="2"/>
        <v>13</v>
      </c>
    </row>
    <row r="3114">
      <c r="A3114" s="4" t="s">
        <v>3545</v>
      </c>
      <c r="B3114" s="16"/>
      <c r="C3114" s="12">
        <f>IFERROR(__xludf.DUMMYFUNCTION("""COMPUTED_VALUE"""),44662.581099537034)</f>
        <v>44662.5811</v>
      </c>
      <c r="D3114" s="13">
        <f t="shared" si="1"/>
        <v>11</v>
      </c>
      <c r="E3114" s="13">
        <f t="shared" si="2"/>
        <v>13</v>
      </c>
    </row>
    <row r="3115">
      <c r="A3115" s="4" t="s">
        <v>3546</v>
      </c>
      <c r="B3115" s="16"/>
      <c r="C3115" s="12">
        <f>IFERROR(__xludf.DUMMYFUNCTION("""COMPUTED_VALUE"""),44662.58108796296)</f>
        <v>44662.58109</v>
      </c>
      <c r="D3115" s="13">
        <f t="shared" si="1"/>
        <v>11</v>
      </c>
      <c r="E3115" s="13">
        <f t="shared" si="2"/>
        <v>13</v>
      </c>
    </row>
    <row r="3116">
      <c r="A3116" s="4" t="s">
        <v>3547</v>
      </c>
      <c r="B3116" s="16"/>
      <c r="C3116" s="12">
        <f>IFERROR(__xludf.DUMMYFUNCTION("""COMPUTED_VALUE"""),44662.58106481481)</f>
        <v>44662.58106</v>
      </c>
      <c r="D3116" s="13">
        <f t="shared" si="1"/>
        <v>11</v>
      </c>
      <c r="E3116" s="13">
        <f t="shared" si="2"/>
        <v>13</v>
      </c>
    </row>
    <row r="3117">
      <c r="A3117" s="4" t="s">
        <v>3548</v>
      </c>
      <c r="B3117" s="16"/>
      <c r="C3117" s="12">
        <f>IFERROR(__xludf.DUMMYFUNCTION("""COMPUTED_VALUE"""),44662.58105324074)</f>
        <v>44662.58105</v>
      </c>
      <c r="D3117" s="13">
        <f t="shared" si="1"/>
        <v>11</v>
      </c>
      <c r="E3117" s="13">
        <f t="shared" si="2"/>
        <v>13</v>
      </c>
    </row>
    <row r="3118">
      <c r="A3118" s="4" t="s">
        <v>3549</v>
      </c>
      <c r="B3118" s="4" t="s">
        <v>3541</v>
      </c>
      <c r="C3118" s="12">
        <f>IFERROR(__xludf.DUMMYFUNCTION("""COMPUTED_VALUE"""),44662.58101851852)</f>
        <v>44662.58102</v>
      </c>
      <c r="D3118" s="13">
        <f t="shared" si="1"/>
        <v>11</v>
      </c>
      <c r="E3118" s="13">
        <f t="shared" si="2"/>
        <v>13</v>
      </c>
    </row>
    <row r="3119">
      <c r="A3119" s="4" t="s">
        <v>3550</v>
      </c>
      <c r="B3119" s="4" t="s">
        <v>3541</v>
      </c>
      <c r="C3119" s="12">
        <f>IFERROR(__xludf.DUMMYFUNCTION("""COMPUTED_VALUE"""),44662.58071759259)</f>
        <v>44662.58072</v>
      </c>
      <c r="D3119" s="13">
        <f t="shared" si="1"/>
        <v>11</v>
      </c>
      <c r="E3119" s="13">
        <f t="shared" si="2"/>
        <v>13</v>
      </c>
    </row>
    <row r="3120">
      <c r="A3120" s="4" t="s">
        <v>3551</v>
      </c>
      <c r="B3120" s="16"/>
      <c r="C3120" s="12">
        <f>IFERROR(__xludf.DUMMYFUNCTION("""COMPUTED_VALUE"""),44662.580624999995)</f>
        <v>44662.58063</v>
      </c>
      <c r="D3120" s="13">
        <f t="shared" si="1"/>
        <v>11</v>
      </c>
      <c r="E3120" s="13">
        <f t="shared" si="2"/>
        <v>13</v>
      </c>
    </row>
    <row r="3121">
      <c r="A3121" s="4" t="s">
        <v>3551</v>
      </c>
      <c r="B3121" s="4" t="s">
        <v>3552</v>
      </c>
      <c r="C3121" s="12">
        <f>IFERROR(__xludf.DUMMYFUNCTION("""COMPUTED_VALUE"""),44662.580624999995)</f>
        <v>44662.58063</v>
      </c>
      <c r="D3121" s="13">
        <f t="shared" si="1"/>
        <v>11</v>
      </c>
      <c r="E3121" s="13">
        <f t="shared" si="2"/>
        <v>13</v>
      </c>
    </row>
    <row r="3122">
      <c r="A3122" s="4" t="s">
        <v>3553</v>
      </c>
      <c r="B3122" s="16"/>
      <c r="C3122" s="12">
        <f>IFERROR(__xludf.DUMMYFUNCTION("""COMPUTED_VALUE"""),44662.58060185185)</f>
        <v>44662.5806</v>
      </c>
      <c r="D3122" s="13">
        <f t="shared" si="1"/>
        <v>11</v>
      </c>
      <c r="E3122" s="13">
        <f t="shared" si="2"/>
        <v>13</v>
      </c>
    </row>
    <row r="3123">
      <c r="A3123" s="4" t="s">
        <v>3554</v>
      </c>
      <c r="B3123" s="16"/>
      <c r="C3123" s="12">
        <f>IFERROR(__xludf.DUMMYFUNCTION("""COMPUTED_VALUE"""),44662.58059027777)</f>
        <v>44662.58059</v>
      </c>
      <c r="D3123" s="13">
        <f t="shared" si="1"/>
        <v>11</v>
      </c>
      <c r="E3123" s="13">
        <f t="shared" si="2"/>
        <v>13</v>
      </c>
    </row>
    <row r="3124">
      <c r="A3124" s="4" t="s">
        <v>3555</v>
      </c>
      <c r="B3124" s="16"/>
      <c r="C3124" s="12">
        <f>IFERROR(__xludf.DUMMYFUNCTION("""COMPUTED_VALUE"""),44662.580567129626)</f>
        <v>44662.58057</v>
      </c>
      <c r="D3124" s="13">
        <f t="shared" si="1"/>
        <v>11</v>
      </c>
      <c r="E3124" s="13">
        <f t="shared" si="2"/>
        <v>13</v>
      </c>
    </row>
    <row r="3125">
      <c r="A3125" s="4" t="s">
        <v>3555</v>
      </c>
      <c r="B3125" s="4" t="s">
        <v>3556</v>
      </c>
      <c r="C3125" s="12">
        <f>IFERROR(__xludf.DUMMYFUNCTION("""COMPUTED_VALUE"""),44662.580567129626)</f>
        <v>44662.58057</v>
      </c>
      <c r="D3125" s="13">
        <f t="shared" si="1"/>
        <v>11</v>
      </c>
      <c r="E3125" s="13">
        <f t="shared" si="2"/>
        <v>13</v>
      </c>
    </row>
    <row r="3126">
      <c r="A3126" s="4" t="s">
        <v>3557</v>
      </c>
      <c r="B3126" s="16"/>
      <c r="C3126" s="12">
        <f>IFERROR(__xludf.DUMMYFUNCTION("""COMPUTED_VALUE"""),44662.58039351852)</f>
        <v>44662.58039</v>
      </c>
      <c r="D3126" s="13">
        <f t="shared" si="1"/>
        <v>11</v>
      </c>
      <c r="E3126" s="13">
        <f t="shared" si="2"/>
        <v>13</v>
      </c>
    </row>
    <row r="3127">
      <c r="A3127" s="4" t="s">
        <v>3558</v>
      </c>
      <c r="B3127" s="4" t="s">
        <v>3559</v>
      </c>
      <c r="C3127" s="12">
        <f>IFERROR(__xludf.DUMMYFUNCTION("""COMPUTED_VALUE"""),44662.58034722222)</f>
        <v>44662.58035</v>
      </c>
      <c r="D3127" s="13">
        <f t="shared" si="1"/>
        <v>11</v>
      </c>
      <c r="E3127" s="13">
        <f t="shared" si="2"/>
        <v>13</v>
      </c>
    </row>
    <row r="3128">
      <c r="A3128" s="4" t="s">
        <v>3560</v>
      </c>
      <c r="B3128" s="16"/>
      <c r="C3128" s="12">
        <f>IFERROR(__xludf.DUMMYFUNCTION("""COMPUTED_VALUE"""),44662.58027777778)</f>
        <v>44662.58028</v>
      </c>
      <c r="D3128" s="13">
        <f t="shared" si="1"/>
        <v>11</v>
      </c>
      <c r="E3128" s="13">
        <f t="shared" si="2"/>
        <v>13</v>
      </c>
    </row>
    <row r="3129">
      <c r="A3129" s="4" t="s">
        <v>3561</v>
      </c>
      <c r="B3129" s="16"/>
      <c r="C3129" s="12">
        <f>IFERROR(__xludf.DUMMYFUNCTION("""COMPUTED_VALUE"""),44662.58023148148)</f>
        <v>44662.58023</v>
      </c>
      <c r="D3129" s="13">
        <f t="shared" si="1"/>
        <v>11</v>
      </c>
      <c r="E3129" s="13">
        <f t="shared" si="2"/>
        <v>13</v>
      </c>
    </row>
    <row r="3130">
      <c r="A3130" s="4" t="s">
        <v>3562</v>
      </c>
      <c r="B3130" s="4" t="s">
        <v>3563</v>
      </c>
      <c r="C3130" s="12">
        <f>IFERROR(__xludf.DUMMYFUNCTION("""COMPUTED_VALUE"""),44662.58017361111)</f>
        <v>44662.58017</v>
      </c>
      <c r="D3130" s="13">
        <f t="shared" si="1"/>
        <v>11</v>
      </c>
      <c r="E3130" s="13">
        <f t="shared" si="2"/>
        <v>13</v>
      </c>
    </row>
    <row r="3131">
      <c r="A3131" s="4" t="s">
        <v>3564</v>
      </c>
      <c r="B3131" s="16"/>
      <c r="C3131" s="12">
        <f>IFERROR(__xludf.DUMMYFUNCTION("""COMPUTED_VALUE"""),44662.58008101852)</f>
        <v>44662.58008</v>
      </c>
      <c r="D3131" s="13">
        <f t="shared" si="1"/>
        <v>11</v>
      </c>
      <c r="E3131" s="13">
        <f t="shared" si="2"/>
        <v>13</v>
      </c>
    </row>
    <row r="3132">
      <c r="A3132" s="4" t="s">
        <v>3565</v>
      </c>
      <c r="B3132" s="16"/>
      <c r="C3132" s="12">
        <f>IFERROR(__xludf.DUMMYFUNCTION("""COMPUTED_VALUE"""),44662.58003472222)</f>
        <v>44662.58003</v>
      </c>
      <c r="D3132" s="13">
        <f t="shared" si="1"/>
        <v>11</v>
      </c>
      <c r="E3132" s="13">
        <f t="shared" si="2"/>
        <v>13</v>
      </c>
    </row>
    <row r="3133">
      <c r="A3133" s="4" t="s">
        <v>3566</v>
      </c>
      <c r="B3133" s="16"/>
      <c r="C3133" s="12">
        <f>IFERROR(__xludf.DUMMYFUNCTION("""COMPUTED_VALUE"""),44662.579988425925)</f>
        <v>44662.57999</v>
      </c>
      <c r="D3133" s="13">
        <f t="shared" si="1"/>
        <v>11</v>
      </c>
      <c r="E3133" s="13">
        <f t="shared" si="2"/>
        <v>13</v>
      </c>
    </row>
    <row r="3134">
      <c r="A3134" s="4" t="s">
        <v>3567</v>
      </c>
      <c r="B3134" s="16"/>
      <c r="C3134" s="12">
        <f>IFERROR(__xludf.DUMMYFUNCTION("""COMPUTED_VALUE"""),44662.57996527778)</f>
        <v>44662.57997</v>
      </c>
      <c r="D3134" s="13">
        <f t="shared" si="1"/>
        <v>11</v>
      </c>
      <c r="E3134" s="13">
        <f t="shared" si="2"/>
        <v>13</v>
      </c>
    </row>
    <row r="3135">
      <c r="A3135" s="4" t="s">
        <v>3568</v>
      </c>
      <c r="B3135" s="16"/>
      <c r="C3135" s="12">
        <f>IFERROR(__xludf.DUMMYFUNCTION("""COMPUTED_VALUE"""),44662.5799537037)</f>
        <v>44662.57995</v>
      </c>
      <c r="D3135" s="13">
        <f t="shared" si="1"/>
        <v>11</v>
      </c>
      <c r="E3135" s="13">
        <f t="shared" si="2"/>
        <v>13</v>
      </c>
    </row>
    <row r="3136">
      <c r="A3136" s="4" t="s">
        <v>3569</v>
      </c>
      <c r="B3136" s="16"/>
      <c r="C3136" s="12">
        <f>IFERROR(__xludf.DUMMYFUNCTION("""COMPUTED_VALUE"""),44662.579930555556)</f>
        <v>44662.57993</v>
      </c>
      <c r="D3136" s="13">
        <f t="shared" si="1"/>
        <v>11</v>
      </c>
      <c r="E3136" s="13">
        <f t="shared" si="2"/>
        <v>13</v>
      </c>
    </row>
    <row r="3137">
      <c r="A3137" s="4" t="s">
        <v>3570</v>
      </c>
      <c r="B3137" s="16"/>
      <c r="C3137" s="12">
        <f>IFERROR(__xludf.DUMMYFUNCTION("""COMPUTED_VALUE"""),44662.57991898148)</f>
        <v>44662.57992</v>
      </c>
      <c r="D3137" s="13">
        <f t="shared" si="1"/>
        <v>11</v>
      </c>
      <c r="E3137" s="13">
        <f t="shared" si="2"/>
        <v>13</v>
      </c>
    </row>
    <row r="3138">
      <c r="A3138" s="4" t="s">
        <v>3571</v>
      </c>
      <c r="B3138" s="16"/>
      <c r="C3138" s="12">
        <f>IFERROR(__xludf.DUMMYFUNCTION("""COMPUTED_VALUE"""),44662.579872685186)</f>
        <v>44662.57987</v>
      </c>
      <c r="D3138" s="13">
        <f t="shared" si="1"/>
        <v>11</v>
      </c>
      <c r="E3138" s="13">
        <f t="shared" si="2"/>
        <v>13</v>
      </c>
    </row>
    <row r="3139">
      <c r="A3139" s="4" t="s">
        <v>3572</v>
      </c>
      <c r="B3139" s="16"/>
      <c r="C3139" s="12">
        <f>IFERROR(__xludf.DUMMYFUNCTION("""COMPUTED_VALUE"""),44662.57986111111)</f>
        <v>44662.57986</v>
      </c>
      <c r="D3139" s="13">
        <f t="shared" si="1"/>
        <v>11</v>
      </c>
      <c r="E3139" s="13">
        <f t="shared" si="2"/>
        <v>13</v>
      </c>
    </row>
    <row r="3140">
      <c r="A3140" s="4" t="s">
        <v>3573</v>
      </c>
      <c r="B3140" s="16"/>
      <c r="C3140" s="12">
        <f>IFERROR(__xludf.DUMMYFUNCTION("""COMPUTED_VALUE"""),44662.57984953703)</f>
        <v>44662.57985</v>
      </c>
      <c r="D3140" s="13">
        <f t="shared" si="1"/>
        <v>11</v>
      </c>
      <c r="E3140" s="13">
        <f t="shared" si="2"/>
        <v>13</v>
      </c>
    </row>
    <row r="3141">
      <c r="A3141" s="4" t="s">
        <v>3574</v>
      </c>
      <c r="B3141" s="16"/>
      <c r="C3141" s="12">
        <f>IFERROR(__xludf.DUMMYFUNCTION("""COMPUTED_VALUE"""),44662.57982638889)</f>
        <v>44662.57983</v>
      </c>
      <c r="D3141" s="13">
        <f t="shared" si="1"/>
        <v>11</v>
      </c>
      <c r="E3141" s="13">
        <f t="shared" si="2"/>
        <v>13</v>
      </c>
    </row>
    <row r="3142">
      <c r="A3142" s="4" t="s">
        <v>3575</v>
      </c>
      <c r="B3142" s="4" t="s">
        <v>3576</v>
      </c>
      <c r="C3142" s="12">
        <f>IFERROR(__xludf.DUMMYFUNCTION("""COMPUTED_VALUE"""),44662.57980324074)</f>
        <v>44662.5798</v>
      </c>
      <c r="D3142" s="13">
        <f t="shared" si="1"/>
        <v>11</v>
      </c>
      <c r="E3142" s="13">
        <f t="shared" si="2"/>
        <v>13</v>
      </c>
    </row>
    <row r="3143">
      <c r="A3143" s="4" t="s">
        <v>3577</v>
      </c>
      <c r="B3143" s="16"/>
      <c r="C3143" s="12">
        <f>IFERROR(__xludf.DUMMYFUNCTION("""COMPUTED_VALUE"""),44662.57978009259)</f>
        <v>44662.57978</v>
      </c>
      <c r="D3143" s="13">
        <f t="shared" si="1"/>
        <v>11</v>
      </c>
      <c r="E3143" s="13">
        <f t="shared" si="2"/>
        <v>13</v>
      </c>
    </row>
    <row r="3144">
      <c r="A3144" s="4" t="s">
        <v>3578</v>
      </c>
      <c r="B3144" s="16"/>
      <c r="C3144" s="12">
        <f>IFERROR(__xludf.DUMMYFUNCTION("""COMPUTED_VALUE"""),44662.57974537037)</f>
        <v>44662.57975</v>
      </c>
      <c r="D3144" s="13">
        <f t="shared" si="1"/>
        <v>11</v>
      </c>
      <c r="E3144" s="13">
        <f t="shared" si="2"/>
        <v>13</v>
      </c>
    </row>
    <row r="3145">
      <c r="A3145" s="4" t="s">
        <v>3579</v>
      </c>
      <c r="B3145" s="16"/>
      <c r="C3145" s="12">
        <f>IFERROR(__xludf.DUMMYFUNCTION("""COMPUTED_VALUE"""),44662.57972222222)</f>
        <v>44662.57972</v>
      </c>
      <c r="D3145" s="13">
        <f t="shared" si="1"/>
        <v>11</v>
      </c>
      <c r="E3145" s="13">
        <f t="shared" si="2"/>
        <v>13</v>
      </c>
    </row>
    <row r="3146">
      <c r="A3146" s="4" t="s">
        <v>3580</v>
      </c>
      <c r="B3146" s="16"/>
      <c r="C3146" s="12">
        <f>IFERROR(__xludf.DUMMYFUNCTION("""COMPUTED_VALUE"""),44662.57969907407)</f>
        <v>44662.5797</v>
      </c>
      <c r="D3146" s="13">
        <f t="shared" si="1"/>
        <v>11</v>
      </c>
      <c r="E3146" s="13">
        <f t="shared" si="2"/>
        <v>13</v>
      </c>
    </row>
    <row r="3147">
      <c r="A3147" s="4" t="s">
        <v>3581</v>
      </c>
      <c r="B3147" s="16"/>
      <c r="C3147" s="12">
        <f>IFERROR(__xludf.DUMMYFUNCTION("""COMPUTED_VALUE"""),44662.57966435185)</f>
        <v>44662.57966</v>
      </c>
      <c r="D3147" s="13">
        <f t="shared" si="1"/>
        <v>11</v>
      </c>
      <c r="E3147" s="13">
        <f t="shared" si="2"/>
        <v>13</v>
      </c>
    </row>
    <row r="3148">
      <c r="A3148" s="4" t="s">
        <v>3582</v>
      </c>
      <c r="B3148" s="16"/>
      <c r="C3148" s="12">
        <f>IFERROR(__xludf.DUMMYFUNCTION("""COMPUTED_VALUE"""),44662.579629629625)</f>
        <v>44662.57963</v>
      </c>
      <c r="D3148" s="13">
        <f t="shared" si="1"/>
        <v>11</v>
      </c>
      <c r="E3148" s="13">
        <f t="shared" si="2"/>
        <v>13</v>
      </c>
    </row>
    <row r="3149">
      <c r="A3149" s="4" t="s">
        <v>3582</v>
      </c>
      <c r="B3149" s="4" t="s">
        <v>3583</v>
      </c>
      <c r="C3149" s="12">
        <f>IFERROR(__xludf.DUMMYFUNCTION("""COMPUTED_VALUE"""),44662.579629629625)</f>
        <v>44662.57963</v>
      </c>
      <c r="D3149" s="13">
        <f t="shared" si="1"/>
        <v>11</v>
      </c>
      <c r="E3149" s="13">
        <f t="shared" si="2"/>
        <v>13</v>
      </c>
    </row>
    <row r="3150">
      <c r="A3150" s="4" t="s">
        <v>3584</v>
      </c>
      <c r="B3150" s="16"/>
      <c r="C3150" s="12">
        <f>IFERROR(__xludf.DUMMYFUNCTION("""COMPUTED_VALUE"""),44662.5795949074)</f>
        <v>44662.57959</v>
      </c>
      <c r="D3150" s="13">
        <f t="shared" si="1"/>
        <v>11</v>
      </c>
      <c r="E3150" s="13">
        <f t="shared" si="2"/>
        <v>13</v>
      </c>
    </row>
    <row r="3151">
      <c r="A3151" s="4" t="s">
        <v>3585</v>
      </c>
      <c r="B3151" s="16"/>
      <c r="C3151" s="12">
        <f>IFERROR(__xludf.DUMMYFUNCTION("""COMPUTED_VALUE"""),44662.57949074074)</f>
        <v>44662.57949</v>
      </c>
      <c r="D3151" s="13">
        <f t="shared" si="1"/>
        <v>11</v>
      </c>
      <c r="E3151" s="13">
        <f t="shared" si="2"/>
        <v>13</v>
      </c>
    </row>
    <row r="3152">
      <c r="A3152" s="4" t="s">
        <v>3586</v>
      </c>
      <c r="B3152" s="16"/>
      <c r="C3152" s="12">
        <f>IFERROR(__xludf.DUMMYFUNCTION("""COMPUTED_VALUE"""),44662.57945601852)</f>
        <v>44662.57946</v>
      </c>
      <c r="D3152" s="13">
        <f t="shared" si="1"/>
        <v>11</v>
      </c>
      <c r="E3152" s="13">
        <f t="shared" si="2"/>
        <v>13</v>
      </c>
    </row>
    <row r="3153">
      <c r="A3153" s="4" t="s">
        <v>3587</v>
      </c>
      <c r="B3153" s="16"/>
      <c r="C3153" s="12">
        <f>IFERROR(__xludf.DUMMYFUNCTION("""COMPUTED_VALUE"""),44662.579421296294)</f>
        <v>44662.57942</v>
      </c>
      <c r="D3153" s="13">
        <f t="shared" si="1"/>
        <v>11</v>
      </c>
      <c r="E3153" s="13">
        <f t="shared" si="2"/>
        <v>13</v>
      </c>
    </row>
    <row r="3154">
      <c r="A3154" s="4" t="s">
        <v>3588</v>
      </c>
      <c r="B3154" s="16"/>
      <c r="C3154" s="12">
        <f>IFERROR(__xludf.DUMMYFUNCTION("""COMPUTED_VALUE"""),44662.579375)</f>
        <v>44662.57938</v>
      </c>
      <c r="D3154" s="13">
        <f t="shared" si="1"/>
        <v>11</v>
      </c>
      <c r="E3154" s="13">
        <f t="shared" si="2"/>
        <v>13</v>
      </c>
    </row>
    <row r="3155">
      <c r="A3155" s="4" t="s">
        <v>3589</v>
      </c>
      <c r="B3155" s="4" t="s">
        <v>3590</v>
      </c>
      <c r="C3155" s="12">
        <f>IFERROR(__xludf.DUMMYFUNCTION("""COMPUTED_VALUE"""),44662.57935185185)</f>
        <v>44662.57935</v>
      </c>
      <c r="D3155" s="13">
        <f t="shared" si="1"/>
        <v>11</v>
      </c>
      <c r="E3155" s="13">
        <f t="shared" si="2"/>
        <v>13</v>
      </c>
    </row>
    <row r="3156">
      <c r="A3156" s="4" t="s">
        <v>3589</v>
      </c>
      <c r="B3156" s="16"/>
      <c r="C3156" s="12">
        <f>IFERROR(__xludf.DUMMYFUNCTION("""COMPUTED_VALUE"""),44662.57935185185)</f>
        <v>44662.57935</v>
      </c>
      <c r="D3156" s="13">
        <f t="shared" si="1"/>
        <v>11</v>
      </c>
      <c r="E3156" s="13">
        <f t="shared" si="2"/>
        <v>13</v>
      </c>
    </row>
    <row r="3157">
      <c r="A3157" s="4" t="s">
        <v>3591</v>
      </c>
      <c r="B3157" s="16"/>
      <c r="C3157" s="12">
        <f>IFERROR(__xludf.DUMMYFUNCTION("""COMPUTED_VALUE"""),44662.57929398148)</f>
        <v>44662.57929</v>
      </c>
      <c r="D3157" s="13">
        <f t="shared" si="1"/>
        <v>11</v>
      </c>
      <c r="E3157" s="13">
        <f t="shared" si="2"/>
        <v>13</v>
      </c>
    </row>
    <row r="3158">
      <c r="A3158" s="4" t="s">
        <v>3592</v>
      </c>
      <c r="B3158" s="4" t="s">
        <v>3590</v>
      </c>
      <c r="C3158" s="12">
        <f>IFERROR(__xludf.DUMMYFUNCTION("""COMPUTED_VALUE"""),44662.57927083333)</f>
        <v>44662.57927</v>
      </c>
      <c r="D3158" s="13">
        <f t="shared" si="1"/>
        <v>11</v>
      </c>
      <c r="E3158" s="13">
        <f t="shared" si="2"/>
        <v>13</v>
      </c>
    </row>
    <row r="3159">
      <c r="A3159" s="4" t="s">
        <v>3593</v>
      </c>
      <c r="B3159" s="4" t="s">
        <v>3594</v>
      </c>
      <c r="C3159" s="12">
        <f>IFERROR(__xludf.DUMMYFUNCTION("""COMPUTED_VALUE"""),44662.57921296296)</f>
        <v>44662.57921</v>
      </c>
      <c r="D3159" s="13">
        <f t="shared" si="1"/>
        <v>11</v>
      </c>
      <c r="E3159" s="13">
        <f t="shared" si="2"/>
        <v>13</v>
      </c>
    </row>
    <row r="3160">
      <c r="A3160" s="4" t="s">
        <v>3595</v>
      </c>
      <c r="B3160" s="4" t="s">
        <v>3596</v>
      </c>
      <c r="C3160" s="12">
        <f>IFERROR(__xludf.DUMMYFUNCTION("""COMPUTED_VALUE"""),44662.57896990741)</f>
        <v>44662.57897</v>
      </c>
      <c r="D3160" s="13">
        <f t="shared" si="1"/>
        <v>11</v>
      </c>
      <c r="E3160" s="13">
        <f t="shared" si="2"/>
        <v>13</v>
      </c>
    </row>
    <row r="3161">
      <c r="A3161" s="4" t="s">
        <v>3597</v>
      </c>
      <c r="B3161" s="16"/>
      <c r="C3161" s="12">
        <f>IFERROR(__xludf.DUMMYFUNCTION("""COMPUTED_VALUE"""),44662.57876157407)</f>
        <v>44662.57876</v>
      </c>
      <c r="D3161" s="13">
        <f t="shared" si="1"/>
        <v>11</v>
      </c>
      <c r="E3161" s="13">
        <f t="shared" si="2"/>
        <v>13</v>
      </c>
    </row>
    <row r="3162">
      <c r="A3162" s="4" t="s">
        <v>3598</v>
      </c>
      <c r="B3162" s="16"/>
      <c r="C3162" s="12">
        <f>IFERROR(__xludf.DUMMYFUNCTION("""COMPUTED_VALUE"""),44662.57850694444)</f>
        <v>44662.57851</v>
      </c>
      <c r="D3162" s="13">
        <f t="shared" si="1"/>
        <v>11</v>
      </c>
      <c r="E3162" s="13">
        <f t="shared" si="2"/>
        <v>13</v>
      </c>
    </row>
    <row r="3163">
      <c r="A3163" s="4" t="s">
        <v>3599</v>
      </c>
      <c r="B3163" s="4" t="s">
        <v>3600</v>
      </c>
      <c r="C3163" s="12">
        <f>IFERROR(__xludf.DUMMYFUNCTION("""COMPUTED_VALUE"""),44662.57849537037)</f>
        <v>44662.5785</v>
      </c>
      <c r="D3163" s="13">
        <f t="shared" si="1"/>
        <v>11</v>
      </c>
      <c r="E3163" s="13">
        <f t="shared" si="2"/>
        <v>13</v>
      </c>
    </row>
    <row r="3164">
      <c r="A3164" s="4" t="s">
        <v>3601</v>
      </c>
      <c r="B3164" s="4" t="s">
        <v>2757</v>
      </c>
      <c r="C3164" s="12">
        <f>IFERROR(__xludf.DUMMYFUNCTION("""COMPUTED_VALUE"""),44662.5784375)</f>
        <v>44662.57844</v>
      </c>
      <c r="D3164" s="13">
        <f t="shared" si="1"/>
        <v>11</v>
      </c>
      <c r="E3164" s="13">
        <f t="shared" si="2"/>
        <v>13</v>
      </c>
    </row>
    <row r="3165">
      <c r="A3165" s="4" t="s">
        <v>3602</v>
      </c>
      <c r="B3165" s="16"/>
      <c r="C3165" s="12">
        <f>IFERROR(__xludf.DUMMYFUNCTION("""COMPUTED_VALUE"""),44662.578321759254)</f>
        <v>44662.57832</v>
      </c>
      <c r="D3165" s="13">
        <f t="shared" si="1"/>
        <v>11</v>
      </c>
      <c r="E3165" s="13">
        <f t="shared" si="2"/>
        <v>13</v>
      </c>
    </row>
    <row r="3166">
      <c r="A3166" s="4" t="s">
        <v>3603</v>
      </c>
      <c r="B3166" s="4" t="s">
        <v>3604</v>
      </c>
      <c r="C3166" s="12">
        <f>IFERROR(__xludf.DUMMYFUNCTION("""COMPUTED_VALUE"""),44662.578310185185)</f>
        <v>44662.57831</v>
      </c>
      <c r="D3166" s="13">
        <f t="shared" si="1"/>
        <v>11</v>
      </c>
      <c r="E3166" s="13">
        <f t="shared" si="2"/>
        <v>13</v>
      </c>
    </row>
    <row r="3167">
      <c r="A3167" s="4" t="s">
        <v>3605</v>
      </c>
      <c r="B3167" s="4" t="s">
        <v>3606</v>
      </c>
      <c r="C3167" s="12">
        <f>IFERROR(__xludf.DUMMYFUNCTION("""COMPUTED_VALUE"""),44662.57829861111)</f>
        <v>44662.5783</v>
      </c>
      <c r="D3167" s="13">
        <f t="shared" si="1"/>
        <v>11</v>
      </c>
      <c r="E3167" s="13">
        <f t="shared" si="2"/>
        <v>13</v>
      </c>
    </row>
    <row r="3168">
      <c r="A3168" s="4" t="s">
        <v>3607</v>
      </c>
      <c r="B3168" s="16"/>
      <c r="C3168" s="12">
        <f>IFERROR(__xludf.DUMMYFUNCTION("""COMPUTED_VALUE"""),44662.578252314815)</f>
        <v>44662.57825</v>
      </c>
      <c r="D3168" s="13">
        <f t="shared" si="1"/>
        <v>11</v>
      </c>
      <c r="E3168" s="13">
        <f t="shared" si="2"/>
        <v>13</v>
      </c>
    </row>
    <row r="3169">
      <c r="A3169" s="4" t="s">
        <v>3608</v>
      </c>
      <c r="B3169" s="4" t="s">
        <v>3600</v>
      </c>
      <c r="C3169" s="12">
        <f>IFERROR(__xludf.DUMMYFUNCTION("""COMPUTED_VALUE"""),44662.57821759259)</f>
        <v>44662.57822</v>
      </c>
      <c r="D3169" s="13">
        <f t="shared" si="1"/>
        <v>11</v>
      </c>
      <c r="E3169" s="13">
        <f t="shared" si="2"/>
        <v>13</v>
      </c>
    </row>
    <row r="3170">
      <c r="A3170" s="4" t="s">
        <v>3609</v>
      </c>
      <c r="B3170" s="4" t="s">
        <v>1086</v>
      </c>
      <c r="C3170" s="12">
        <f>IFERROR(__xludf.DUMMYFUNCTION("""COMPUTED_VALUE"""),44662.578206018516)</f>
        <v>44662.57821</v>
      </c>
      <c r="D3170" s="13">
        <f t="shared" si="1"/>
        <v>11</v>
      </c>
      <c r="E3170" s="13">
        <f t="shared" si="2"/>
        <v>13</v>
      </c>
    </row>
    <row r="3171">
      <c r="A3171" s="4" t="s">
        <v>3610</v>
      </c>
      <c r="B3171" s="4" t="s">
        <v>1086</v>
      </c>
      <c r="C3171" s="12">
        <f>IFERROR(__xludf.DUMMYFUNCTION("""COMPUTED_VALUE"""),44662.578148148146)</f>
        <v>44662.57815</v>
      </c>
      <c r="D3171" s="13">
        <f t="shared" si="1"/>
        <v>11</v>
      </c>
      <c r="E3171" s="13">
        <f t="shared" si="2"/>
        <v>13</v>
      </c>
    </row>
    <row r="3172">
      <c r="A3172" s="4" t="s">
        <v>3611</v>
      </c>
      <c r="B3172" s="4" t="s">
        <v>1086</v>
      </c>
      <c r="C3172" s="12">
        <f>IFERROR(__xludf.DUMMYFUNCTION("""COMPUTED_VALUE"""),44662.578125)</f>
        <v>44662.57813</v>
      </c>
      <c r="D3172" s="13">
        <f t="shared" si="1"/>
        <v>11</v>
      </c>
      <c r="E3172" s="13">
        <f t="shared" si="2"/>
        <v>13</v>
      </c>
    </row>
    <row r="3173">
      <c r="A3173" s="4" t="s">
        <v>3612</v>
      </c>
      <c r="B3173" s="4" t="s">
        <v>3600</v>
      </c>
      <c r="C3173" s="12">
        <f>IFERROR(__xludf.DUMMYFUNCTION("""COMPUTED_VALUE"""),44662.57811342592)</f>
        <v>44662.57811</v>
      </c>
      <c r="D3173" s="13">
        <f t="shared" si="1"/>
        <v>11</v>
      </c>
      <c r="E3173" s="13">
        <f t="shared" si="2"/>
        <v>13</v>
      </c>
    </row>
    <row r="3174">
      <c r="A3174" s="4" t="s">
        <v>3613</v>
      </c>
      <c r="B3174" s="16"/>
      <c r="C3174" s="12">
        <f>IFERROR(__xludf.DUMMYFUNCTION("""COMPUTED_VALUE"""),44662.5780787037)</f>
        <v>44662.57808</v>
      </c>
      <c r="D3174" s="13">
        <f t="shared" si="1"/>
        <v>11</v>
      </c>
      <c r="E3174" s="13">
        <f t="shared" si="2"/>
        <v>13</v>
      </c>
    </row>
    <row r="3175">
      <c r="A3175" s="4" t="s">
        <v>3614</v>
      </c>
      <c r="B3175" s="4" t="s">
        <v>3600</v>
      </c>
      <c r="C3175" s="12">
        <f>IFERROR(__xludf.DUMMYFUNCTION("""COMPUTED_VALUE"""),44662.578055555554)</f>
        <v>44662.57806</v>
      </c>
      <c r="D3175" s="13">
        <f t="shared" si="1"/>
        <v>11</v>
      </c>
      <c r="E3175" s="13">
        <f t="shared" si="2"/>
        <v>13</v>
      </c>
    </row>
    <row r="3176">
      <c r="A3176" s="4" t="s">
        <v>3615</v>
      </c>
      <c r="B3176" s="4" t="s">
        <v>3600</v>
      </c>
      <c r="C3176" s="12">
        <f>IFERROR(__xludf.DUMMYFUNCTION("""COMPUTED_VALUE"""),44662.57803240741)</f>
        <v>44662.57803</v>
      </c>
      <c r="D3176" s="13">
        <f t="shared" si="1"/>
        <v>11</v>
      </c>
      <c r="E3176" s="13">
        <f t="shared" si="2"/>
        <v>13</v>
      </c>
    </row>
    <row r="3177">
      <c r="A3177" s="4" t="s">
        <v>3616</v>
      </c>
      <c r="B3177" s="16"/>
      <c r="C3177" s="12">
        <f>IFERROR(__xludf.DUMMYFUNCTION("""COMPUTED_VALUE"""),44662.577939814815)</f>
        <v>44662.57794</v>
      </c>
      <c r="D3177" s="13">
        <f t="shared" si="1"/>
        <v>11</v>
      </c>
      <c r="E3177" s="13">
        <f t="shared" si="2"/>
        <v>13</v>
      </c>
    </row>
    <row r="3178">
      <c r="A3178" s="4" t="s">
        <v>3617</v>
      </c>
      <c r="B3178" s="16"/>
      <c r="C3178" s="12">
        <f>IFERROR(__xludf.DUMMYFUNCTION("""COMPUTED_VALUE"""),44662.57788194444)</f>
        <v>44662.57788</v>
      </c>
      <c r="D3178" s="13">
        <f t="shared" si="1"/>
        <v>11</v>
      </c>
      <c r="E3178" s="13">
        <f t="shared" si="2"/>
        <v>13</v>
      </c>
    </row>
    <row r="3179">
      <c r="A3179" s="4" t="s">
        <v>3618</v>
      </c>
      <c r="B3179" s="16"/>
      <c r="C3179" s="12">
        <f>IFERROR(__xludf.DUMMYFUNCTION("""COMPUTED_VALUE"""),44662.57785879629)</f>
        <v>44662.57786</v>
      </c>
      <c r="D3179" s="13">
        <f t="shared" si="1"/>
        <v>11</v>
      </c>
      <c r="E3179" s="13">
        <f t="shared" si="2"/>
        <v>13</v>
      </c>
    </row>
    <row r="3180">
      <c r="A3180" s="4" t="s">
        <v>3619</v>
      </c>
      <c r="B3180" s="16"/>
      <c r="C3180" s="12">
        <f>IFERROR(__xludf.DUMMYFUNCTION("""COMPUTED_VALUE"""),44662.57780092592)</f>
        <v>44662.5778</v>
      </c>
      <c r="D3180" s="13">
        <f t="shared" si="1"/>
        <v>11</v>
      </c>
      <c r="E3180" s="13">
        <f t="shared" si="2"/>
        <v>13</v>
      </c>
    </row>
    <row r="3181">
      <c r="A3181" s="4" t="s">
        <v>3620</v>
      </c>
      <c r="B3181" s="16"/>
      <c r="C3181" s="12">
        <f>IFERROR(__xludf.DUMMYFUNCTION("""COMPUTED_VALUE"""),44662.57777777778)</f>
        <v>44662.57778</v>
      </c>
      <c r="D3181" s="13">
        <f t="shared" si="1"/>
        <v>11</v>
      </c>
      <c r="E3181" s="13">
        <f t="shared" si="2"/>
        <v>13</v>
      </c>
    </row>
    <row r="3182">
      <c r="A3182" s="4" t="s">
        <v>3621</v>
      </c>
      <c r="B3182" s="16"/>
      <c r="C3182" s="12">
        <f>IFERROR(__xludf.DUMMYFUNCTION("""COMPUTED_VALUE"""),44662.57775462963)</f>
        <v>44662.57775</v>
      </c>
      <c r="D3182" s="13">
        <f t="shared" si="1"/>
        <v>11</v>
      </c>
      <c r="E3182" s="13">
        <f t="shared" si="2"/>
        <v>13</v>
      </c>
    </row>
    <row r="3183">
      <c r="A3183" s="4" t="s">
        <v>3622</v>
      </c>
      <c r="B3183" s="16"/>
      <c r="C3183" s="12">
        <f>IFERROR(__xludf.DUMMYFUNCTION("""COMPUTED_VALUE"""),44662.57760416666)</f>
        <v>44662.5776</v>
      </c>
      <c r="D3183" s="13">
        <f t="shared" si="1"/>
        <v>11</v>
      </c>
      <c r="E3183" s="13">
        <f t="shared" si="2"/>
        <v>13</v>
      </c>
    </row>
    <row r="3184">
      <c r="A3184" s="4" t="s">
        <v>3623</v>
      </c>
      <c r="B3184" s="4" t="s">
        <v>3576</v>
      </c>
      <c r="C3184" s="12">
        <f>IFERROR(__xludf.DUMMYFUNCTION("""COMPUTED_VALUE"""),44662.577326388884)</f>
        <v>44662.57733</v>
      </c>
      <c r="D3184" s="13">
        <f t="shared" si="1"/>
        <v>11</v>
      </c>
      <c r="E3184" s="13">
        <f t="shared" si="2"/>
        <v>13</v>
      </c>
    </row>
    <row r="3185">
      <c r="A3185" s="4" t="s">
        <v>3624</v>
      </c>
      <c r="B3185" s="16"/>
      <c r="C3185" s="12">
        <f>IFERROR(__xludf.DUMMYFUNCTION("""COMPUTED_VALUE"""),44662.57688657407)</f>
        <v>44662.57689</v>
      </c>
      <c r="D3185" s="13">
        <f t="shared" si="1"/>
        <v>11</v>
      </c>
      <c r="E3185" s="13">
        <f t="shared" si="2"/>
        <v>13</v>
      </c>
    </row>
    <row r="3186">
      <c r="A3186" s="4" t="s">
        <v>3625</v>
      </c>
      <c r="B3186" s="4" t="s">
        <v>3207</v>
      </c>
      <c r="C3186" s="12">
        <f>IFERROR(__xludf.DUMMYFUNCTION("""COMPUTED_VALUE"""),44662.5768287037)</f>
        <v>44662.57683</v>
      </c>
      <c r="D3186" s="13">
        <f t="shared" si="1"/>
        <v>11</v>
      </c>
      <c r="E3186" s="13">
        <f t="shared" si="2"/>
        <v>13</v>
      </c>
    </row>
    <row r="3187">
      <c r="A3187" s="4" t="s">
        <v>3626</v>
      </c>
      <c r="B3187" s="16"/>
      <c r="C3187" s="12">
        <f>IFERROR(__xludf.DUMMYFUNCTION("""COMPUTED_VALUE"""),44662.57681712963)</f>
        <v>44662.57682</v>
      </c>
      <c r="D3187" s="13">
        <f t="shared" si="1"/>
        <v>11</v>
      </c>
      <c r="E3187" s="13">
        <f t="shared" si="2"/>
        <v>13</v>
      </c>
    </row>
    <row r="3188">
      <c r="A3188" s="4" t="s">
        <v>3627</v>
      </c>
      <c r="B3188" s="16"/>
      <c r="C3188" s="12">
        <f>IFERROR(__xludf.DUMMYFUNCTION("""COMPUTED_VALUE"""),44662.57678240741)</f>
        <v>44662.57678</v>
      </c>
      <c r="D3188" s="13">
        <f t="shared" si="1"/>
        <v>11</v>
      </c>
      <c r="E3188" s="13">
        <f t="shared" si="2"/>
        <v>13</v>
      </c>
    </row>
    <row r="3189">
      <c r="A3189" s="4" t="s">
        <v>3628</v>
      </c>
      <c r="B3189" s="16"/>
      <c r="C3189" s="12">
        <f>IFERROR(__xludf.DUMMYFUNCTION("""COMPUTED_VALUE"""),44662.57677083333)</f>
        <v>44662.57677</v>
      </c>
      <c r="D3189" s="13">
        <f t="shared" si="1"/>
        <v>11</v>
      </c>
      <c r="E3189" s="13">
        <f t="shared" si="2"/>
        <v>13</v>
      </c>
    </row>
    <row r="3190">
      <c r="A3190" s="4" t="s">
        <v>3629</v>
      </c>
      <c r="B3190" s="16"/>
      <c r="C3190" s="12">
        <f>IFERROR(__xludf.DUMMYFUNCTION("""COMPUTED_VALUE"""),44662.57673611111)</f>
        <v>44662.57674</v>
      </c>
      <c r="D3190" s="13">
        <f t="shared" si="1"/>
        <v>11</v>
      </c>
      <c r="E3190" s="13">
        <f t="shared" si="2"/>
        <v>13</v>
      </c>
    </row>
    <row r="3191">
      <c r="A3191" s="4" t="s">
        <v>3630</v>
      </c>
      <c r="B3191" s="16"/>
      <c r="C3191" s="12">
        <f>IFERROR(__xludf.DUMMYFUNCTION("""COMPUTED_VALUE"""),44662.57672453704)</f>
        <v>44662.57672</v>
      </c>
      <c r="D3191" s="13">
        <f t="shared" si="1"/>
        <v>11</v>
      </c>
      <c r="E3191" s="13">
        <f t="shared" si="2"/>
        <v>13</v>
      </c>
    </row>
    <row r="3192">
      <c r="A3192" s="4" t="s">
        <v>3631</v>
      </c>
      <c r="B3192" s="16"/>
      <c r="C3192" s="12">
        <f>IFERROR(__xludf.DUMMYFUNCTION("""COMPUTED_VALUE"""),44662.57670138888)</f>
        <v>44662.5767</v>
      </c>
      <c r="D3192" s="13">
        <f t="shared" si="1"/>
        <v>11</v>
      </c>
      <c r="E3192" s="13">
        <f t="shared" si="2"/>
        <v>13</v>
      </c>
    </row>
    <row r="3193">
      <c r="A3193" s="4" t="s">
        <v>3632</v>
      </c>
      <c r="B3193" s="16"/>
      <c r="C3193" s="12">
        <f>IFERROR(__xludf.DUMMYFUNCTION("""COMPUTED_VALUE"""),44662.57666666667)</f>
        <v>44662.57667</v>
      </c>
      <c r="D3193" s="13">
        <f t="shared" si="1"/>
        <v>11</v>
      </c>
      <c r="E3193" s="13">
        <f t="shared" si="2"/>
        <v>13</v>
      </c>
    </row>
    <row r="3194">
      <c r="A3194" s="4" t="s">
        <v>3633</v>
      </c>
      <c r="B3194" s="4" t="s">
        <v>3207</v>
      </c>
      <c r="C3194" s="12">
        <f>IFERROR(__xludf.DUMMYFUNCTION("""COMPUTED_VALUE"""),44662.576643518514)</f>
        <v>44662.57664</v>
      </c>
      <c r="D3194" s="13">
        <f t="shared" si="1"/>
        <v>11</v>
      </c>
      <c r="E3194" s="13">
        <f t="shared" si="2"/>
        <v>13</v>
      </c>
    </row>
    <row r="3195">
      <c r="A3195" s="4" t="s">
        <v>3634</v>
      </c>
      <c r="B3195" s="16"/>
      <c r="C3195" s="12">
        <f>IFERROR(__xludf.DUMMYFUNCTION("""COMPUTED_VALUE"""),44662.57662037037)</f>
        <v>44662.57662</v>
      </c>
      <c r="D3195" s="13">
        <f t="shared" si="1"/>
        <v>11</v>
      </c>
      <c r="E3195" s="13">
        <f t="shared" si="2"/>
        <v>13</v>
      </c>
    </row>
    <row r="3196">
      <c r="A3196" s="4" t="s">
        <v>3635</v>
      </c>
      <c r="B3196" s="4" t="s">
        <v>829</v>
      </c>
      <c r="C3196" s="12">
        <f>IFERROR(__xludf.DUMMYFUNCTION("""COMPUTED_VALUE"""),44662.57653935185)</f>
        <v>44662.57654</v>
      </c>
      <c r="D3196" s="13">
        <f t="shared" si="1"/>
        <v>11</v>
      </c>
      <c r="E3196" s="13">
        <f t="shared" si="2"/>
        <v>13</v>
      </c>
    </row>
    <row r="3197">
      <c r="A3197" s="4" t="s">
        <v>3636</v>
      </c>
      <c r="B3197" s="16"/>
      <c r="C3197" s="12">
        <f>IFERROR(__xludf.DUMMYFUNCTION("""COMPUTED_VALUE"""),44662.5765162037)</f>
        <v>44662.57652</v>
      </c>
      <c r="D3197" s="13">
        <f t="shared" si="1"/>
        <v>11</v>
      </c>
      <c r="E3197" s="13">
        <f t="shared" si="2"/>
        <v>13</v>
      </c>
    </row>
    <row r="3198">
      <c r="A3198" s="4" t="s">
        <v>3637</v>
      </c>
      <c r="B3198" s="4" t="s">
        <v>829</v>
      </c>
      <c r="C3198" s="12">
        <f>IFERROR(__xludf.DUMMYFUNCTION("""COMPUTED_VALUE"""),44662.57650462963)</f>
        <v>44662.5765</v>
      </c>
      <c r="D3198" s="13">
        <f t="shared" si="1"/>
        <v>11</v>
      </c>
      <c r="E3198" s="13">
        <f t="shared" si="2"/>
        <v>13</v>
      </c>
    </row>
    <row r="3199">
      <c r="A3199" s="4" t="s">
        <v>3638</v>
      </c>
      <c r="B3199" s="16"/>
      <c r="C3199" s="12">
        <f>IFERROR(__xludf.DUMMYFUNCTION("""COMPUTED_VALUE"""),44662.57603009259)</f>
        <v>44662.57603</v>
      </c>
      <c r="D3199" s="13">
        <f t="shared" si="1"/>
        <v>11</v>
      </c>
      <c r="E3199" s="13">
        <f t="shared" si="2"/>
        <v>13</v>
      </c>
    </row>
    <row r="3200">
      <c r="A3200" s="4" t="s">
        <v>3639</v>
      </c>
      <c r="B3200" s="4" t="s">
        <v>3640</v>
      </c>
      <c r="C3200" s="12">
        <f>IFERROR(__xludf.DUMMYFUNCTION("""COMPUTED_VALUE"""),44662.57585648148)</f>
        <v>44662.57586</v>
      </c>
      <c r="D3200" s="13">
        <f t="shared" si="1"/>
        <v>11</v>
      </c>
      <c r="E3200" s="13">
        <f t="shared" si="2"/>
        <v>13</v>
      </c>
    </row>
    <row r="3201">
      <c r="A3201" s="4" t="s">
        <v>3641</v>
      </c>
      <c r="B3201" s="4" t="s">
        <v>2266</v>
      </c>
      <c r="C3201" s="12">
        <f>IFERROR(__xludf.DUMMYFUNCTION("""COMPUTED_VALUE"""),44662.57583333333)</f>
        <v>44662.57583</v>
      </c>
      <c r="D3201" s="13">
        <f t="shared" si="1"/>
        <v>11</v>
      </c>
      <c r="E3201" s="13">
        <f t="shared" si="2"/>
        <v>13</v>
      </c>
    </row>
    <row r="3202">
      <c r="A3202" s="4" t="s">
        <v>3642</v>
      </c>
      <c r="B3202" s="16"/>
      <c r="C3202" s="12">
        <f>IFERROR(__xludf.DUMMYFUNCTION("""COMPUTED_VALUE"""),44662.575787037036)</f>
        <v>44662.57579</v>
      </c>
      <c r="D3202" s="13">
        <f t="shared" si="1"/>
        <v>11</v>
      </c>
      <c r="E3202" s="13">
        <f t="shared" si="2"/>
        <v>13</v>
      </c>
    </row>
    <row r="3203">
      <c r="A3203" s="4" t="s">
        <v>3643</v>
      </c>
      <c r="B3203" s="16"/>
      <c r="C3203" s="12">
        <f>IFERROR(__xludf.DUMMYFUNCTION("""COMPUTED_VALUE"""),44662.575694444444)</f>
        <v>44662.57569</v>
      </c>
      <c r="D3203" s="13">
        <f t="shared" si="1"/>
        <v>11</v>
      </c>
      <c r="E3203" s="13">
        <f t="shared" si="2"/>
        <v>13</v>
      </c>
    </row>
    <row r="3204">
      <c r="A3204" s="4" t="s">
        <v>3644</v>
      </c>
      <c r="B3204" s="4" t="s">
        <v>3606</v>
      </c>
      <c r="C3204" s="12">
        <f>IFERROR(__xludf.DUMMYFUNCTION("""COMPUTED_VALUE"""),44662.575590277775)</f>
        <v>44662.57559</v>
      </c>
      <c r="D3204" s="13">
        <f t="shared" si="1"/>
        <v>11</v>
      </c>
      <c r="E3204" s="13">
        <f t="shared" si="2"/>
        <v>13</v>
      </c>
    </row>
    <row r="3205">
      <c r="A3205" s="4" t="s">
        <v>3645</v>
      </c>
      <c r="B3205" s="4" t="s">
        <v>3606</v>
      </c>
      <c r="C3205" s="12">
        <f>IFERROR(__xludf.DUMMYFUNCTION("""COMPUTED_VALUE"""),44662.57555555555)</f>
        <v>44662.57556</v>
      </c>
      <c r="D3205" s="13">
        <f t="shared" si="1"/>
        <v>11</v>
      </c>
      <c r="E3205" s="13">
        <f t="shared" si="2"/>
        <v>13</v>
      </c>
    </row>
    <row r="3206">
      <c r="A3206" s="4" t="s">
        <v>3646</v>
      </c>
      <c r="B3206" s="4" t="s">
        <v>3647</v>
      </c>
      <c r="C3206" s="12">
        <f>IFERROR(__xludf.DUMMYFUNCTION("""COMPUTED_VALUE"""),44662.57552083333)</f>
        <v>44662.57552</v>
      </c>
      <c r="D3206" s="13">
        <f t="shared" si="1"/>
        <v>11</v>
      </c>
      <c r="E3206" s="13">
        <f t="shared" si="2"/>
        <v>13</v>
      </c>
    </row>
    <row r="3207">
      <c r="A3207" s="4" t="s">
        <v>3648</v>
      </c>
      <c r="B3207" s="4" t="s">
        <v>3606</v>
      </c>
      <c r="C3207" s="12">
        <f>IFERROR(__xludf.DUMMYFUNCTION("""COMPUTED_VALUE"""),44662.57550925926)</f>
        <v>44662.57551</v>
      </c>
      <c r="D3207" s="13">
        <f t="shared" si="1"/>
        <v>11</v>
      </c>
      <c r="E3207" s="13">
        <f t="shared" si="2"/>
        <v>13</v>
      </c>
    </row>
    <row r="3208">
      <c r="A3208" s="4" t="s">
        <v>3649</v>
      </c>
      <c r="B3208" s="16"/>
      <c r="C3208" s="12">
        <f>IFERROR(__xludf.DUMMYFUNCTION("""COMPUTED_VALUE"""),44662.57525462963)</f>
        <v>44662.57525</v>
      </c>
      <c r="D3208" s="13">
        <f t="shared" si="1"/>
        <v>11</v>
      </c>
      <c r="E3208" s="13">
        <f t="shared" si="2"/>
        <v>13</v>
      </c>
    </row>
    <row r="3209">
      <c r="A3209" s="4" t="s">
        <v>3650</v>
      </c>
      <c r="B3209" s="4" t="s">
        <v>3651</v>
      </c>
      <c r="C3209" s="12">
        <f>IFERROR(__xludf.DUMMYFUNCTION("""COMPUTED_VALUE"""),44662.57524305555)</f>
        <v>44662.57524</v>
      </c>
      <c r="D3209" s="13">
        <f t="shared" si="1"/>
        <v>11</v>
      </c>
      <c r="E3209" s="13">
        <f t="shared" si="2"/>
        <v>13</v>
      </c>
    </row>
    <row r="3210">
      <c r="A3210" s="4" t="s">
        <v>3652</v>
      </c>
      <c r="B3210" s="4" t="s">
        <v>3651</v>
      </c>
      <c r="C3210" s="12">
        <f>IFERROR(__xludf.DUMMYFUNCTION("""COMPUTED_VALUE"""),44662.575219907405)</f>
        <v>44662.57522</v>
      </c>
      <c r="D3210" s="13">
        <f t="shared" si="1"/>
        <v>11</v>
      </c>
      <c r="E3210" s="13">
        <f t="shared" si="2"/>
        <v>13</v>
      </c>
    </row>
    <row r="3211">
      <c r="A3211" s="4" t="s">
        <v>3653</v>
      </c>
      <c r="B3211" s="4" t="s">
        <v>3651</v>
      </c>
      <c r="C3211" s="12">
        <f>IFERROR(__xludf.DUMMYFUNCTION("""COMPUTED_VALUE"""),44662.575162037036)</f>
        <v>44662.57516</v>
      </c>
      <c r="D3211" s="13">
        <f t="shared" si="1"/>
        <v>11</v>
      </c>
      <c r="E3211" s="13">
        <f t="shared" si="2"/>
        <v>13</v>
      </c>
    </row>
    <row r="3212">
      <c r="A3212" s="4" t="s">
        <v>3654</v>
      </c>
      <c r="B3212" s="4" t="s">
        <v>3655</v>
      </c>
      <c r="C3212" s="12">
        <f>IFERROR(__xludf.DUMMYFUNCTION("""COMPUTED_VALUE"""),44662.574803240735)</f>
        <v>44662.5748</v>
      </c>
      <c r="D3212" s="13">
        <f t="shared" si="1"/>
        <v>11</v>
      </c>
      <c r="E3212" s="13">
        <f t="shared" si="2"/>
        <v>13</v>
      </c>
    </row>
    <row r="3213">
      <c r="A3213" s="4" t="s">
        <v>3654</v>
      </c>
      <c r="B3213" s="4" t="s">
        <v>3656</v>
      </c>
      <c r="C3213" s="12">
        <f>IFERROR(__xludf.DUMMYFUNCTION("""COMPUTED_VALUE"""),44662.574803240735)</f>
        <v>44662.5748</v>
      </c>
      <c r="D3213" s="13">
        <f t="shared" si="1"/>
        <v>11</v>
      </c>
      <c r="E3213" s="13">
        <f t="shared" si="2"/>
        <v>13</v>
      </c>
    </row>
    <row r="3214">
      <c r="A3214" s="4" t="s">
        <v>3657</v>
      </c>
      <c r="B3214" s="4" t="s">
        <v>1742</v>
      </c>
      <c r="C3214" s="12">
        <f>IFERROR(__xludf.DUMMYFUNCTION("""COMPUTED_VALUE"""),44662.57467592592)</f>
        <v>44662.57468</v>
      </c>
      <c r="D3214" s="13">
        <f t="shared" si="1"/>
        <v>11</v>
      </c>
      <c r="E3214" s="13">
        <f t="shared" si="2"/>
        <v>13</v>
      </c>
    </row>
    <row r="3215">
      <c r="A3215" s="4" t="s">
        <v>3658</v>
      </c>
      <c r="B3215" s="4" t="s">
        <v>1742</v>
      </c>
      <c r="C3215" s="12">
        <f>IFERROR(__xludf.DUMMYFUNCTION("""COMPUTED_VALUE"""),44662.574641203704)</f>
        <v>44662.57464</v>
      </c>
      <c r="D3215" s="13">
        <f t="shared" si="1"/>
        <v>11</v>
      </c>
      <c r="E3215" s="13">
        <f t="shared" si="2"/>
        <v>13</v>
      </c>
    </row>
    <row r="3216">
      <c r="A3216" s="4" t="s">
        <v>3659</v>
      </c>
      <c r="B3216" s="4" t="s">
        <v>3660</v>
      </c>
      <c r="C3216" s="12">
        <f>IFERROR(__xludf.DUMMYFUNCTION("""COMPUTED_VALUE"""),44662.57456018518)</f>
        <v>44662.57456</v>
      </c>
      <c r="D3216" s="13">
        <f t="shared" si="1"/>
        <v>11</v>
      </c>
      <c r="E3216" s="13">
        <f t="shared" si="2"/>
        <v>13</v>
      </c>
    </row>
    <row r="3217">
      <c r="A3217" s="4" t="s">
        <v>3661</v>
      </c>
      <c r="B3217" s="4" t="s">
        <v>2594</v>
      </c>
      <c r="C3217" s="12">
        <f>IFERROR(__xludf.DUMMYFUNCTION("""COMPUTED_VALUE"""),44662.57454861111)</f>
        <v>44662.57455</v>
      </c>
      <c r="D3217" s="13">
        <f t="shared" si="1"/>
        <v>11</v>
      </c>
      <c r="E3217" s="13">
        <f t="shared" si="2"/>
        <v>13</v>
      </c>
    </row>
    <row r="3218">
      <c r="A3218" s="4" t="s">
        <v>3662</v>
      </c>
      <c r="B3218" s="16"/>
      <c r="C3218" s="12">
        <f>IFERROR(__xludf.DUMMYFUNCTION("""COMPUTED_VALUE"""),44662.57450231481)</f>
        <v>44662.5745</v>
      </c>
      <c r="D3218" s="13">
        <f t="shared" si="1"/>
        <v>11</v>
      </c>
      <c r="E3218" s="13">
        <f t="shared" si="2"/>
        <v>13</v>
      </c>
    </row>
    <row r="3219">
      <c r="A3219" s="4" t="s">
        <v>3663</v>
      </c>
      <c r="B3219" s="4" t="s">
        <v>1086</v>
      </c>
      <c r="C3219" s="12">
        <f>IFERROR(__xludf.DUMMYFUNCTION("""COMPUTED_VALUE"""),44662.574479166666)</f>
        <v>44662.57448</v>
      </c>
      <c r="D3219" s="13">
        <f t="shared" si="1"/>
        <v>11</v>
      </c>
      <c r="E3219" s="13">
        <f t="shared" si="2"/>
        <v>13</v>
      </c>
    </row>
    <row r="3220">
      <c r="A3220" s="4" t="s">
        <v>3663</v>
      </c>
      <c r="B3220" s="4" t="s">
        <v>1742</v>
      </c>
      <c r="C3220" s="12">
        <f>IFERROR(__xludf.DUMMYFUNCTION("""COMPUTED_VALUE"""),44662.574479166666)</f>
        <v>44662.57448</v>
      </c>
      <c r="D3220" s="13">
        <f t="shared" si="1"/>
        <v>11</v>
      </c>
      <c r="E3220" s="13">
        <f t="shared" si="2"/>
        <v>13</v>
      </c>
    </row>
    <row r="3221">
      <c r="A3221" s="4" t="s">
        <v>3664</v>
      </c>
      <c r="B3221" s="4" t="s">
        <v>2853</v>
      </c>
      <c r="C3221" s="12">
        <f>IFERROR(__xludf.DUMMYFUNCTION("""COMPUTED_VALUE"""),44662.57440972222)</f>
        <v>44662.57441</v>
      </c>
      <c r="D3221" s="13">
        <f t="shared" si="1"/>
        <v>11</v>
      </c>
      <c r="E3221" s="13">
        <f t="shared" si="2"/>
        <v>13</v>
      </c>
    </row>
    <row r="3222">
      <c r="A3222" s="4" t="s">
        <v>3664</v>
      </c>
      <c r="B3222" s="16"/>
      <c r="C3222" s="12">
        <f>IFERROR(__xludf.DUMMYFUNCTION("""COMPUTED_VALUE"""),44662.57440972222)</f>
        <v>44662.57441</v>
      </c>
      <c r="D3222" s="13">
        <f t="shared" si="1"/>
        <v>11</v>
      </c>
      <c r="E3222" s="13">
        <f t="shared" si="2"/>
        <v>13</v>
      </c>
    </row>
    <row r="3223">
      <c r="A3223" s="4" t="s">
        <v>3665</v>
      </c>
      <c r="B3223" s="4" t="s">
        <v>3666</v>
      </c>
      <c r="C3223" s="12">
        <f>IFERROR(__xludf.DUMMYFUNCTION("""COMPUTED_VALUE"""),44662.57438657407)</f>
        <v>44662.57439</v>
      </c>
      <c r="D3223" s="13">
        <f t="shared" si="1"/>
        <v>11</v>
      </c>
      <c r="E3223" s="13">
        <f t="shared" si="2"/>
        <v>13</v>
      </c>
    </row>
    <row r="3224">
      <c r="A3224" s="4" t="s">
        <v>3667</v>
      </c>
      <c r="B3224" s="4" t="s">
        <v>3666</v>
      </c>
      <c r="C3224" s="12">
        <f>IFERROR(__xludf.DUMMYFUNCTION("""COMPUTED_VALUE"""),44662.574328703704)</f>
        <v>44662.57433</v>
      </c>
      <c r="D3224" s="13">
        <f t="shared" si="1"/>
        <v>11</v>
      </c>
      <c r="E3224" s="13">
        <f t="shared" si="2"/>
        <v>13</v>
      </c>
    </row>
    <row r="3225">
      <c r="A3225" s="4" t="s">
        <v>3667</v>
      </c>
      <c r="B3225" s="4" t="s">
        <v>1086</v>
      </c>
      <c r="C3225" s="12">
        <f>IFERROR(__xludf.DUMMYFUNCTION("""COMPUTED_VALUE"""),44662.574328703704)</f>
        <v>44662.57433</v>
      </c>
      <c r="D3225" s="13">
        <f t="shared" si="1"/>
        <v>11</v>
      </c>
      <c r="E3225" s="13">
        <f t="shared" si="2"/>
        <v>13</v>
      </c>
    </row>
    <row r="3226">
      <c r="A3226" s="4" t="s">
        <v>3668</v>
      </c>
      <c r="B3226" s="16"/>
      <c r="C3226" s="12">
        <f>IFERROR(__xludf.DUMMYFUNCTION("""COMPUTED_VALUE"""),44662.57431712963)</f>
        <v>44662.57432</v>
      </c>
      <c r="D3226" s="13">
        <f t="shared" si="1"/>
        <v>11</v>
      </c>
      <c r="E3226" s="13">
        <f t="shared" si="2"/>
        <v>13</v>
      </c>
    </row>
    <row r="3227">
      <c r="A3227" s="4" t="s">
        <v>3669</v>
      </c>
      <c r="B3227" s="4" t="s">
        <v>1086</v>
      </c>
      <c r="C3227" s="12">
        <f>IFERROR(__xludf.DUMMYFUNCTION("""COMPUTED_VALUE"""),44662.57429398148)</f>
        <v>44662.57429</v>
      </c>
      <c r="D3227" s="13">
        <f t="shared" si="1"/>
        <v>11</v>
      </c>
      <c r="E3227" s="13">
        <f t="shared" si="2"/>
        <v>13</v>
      </c>
    </row>
    <row r="3228">
      <c r="A3228" s="4" t="s">
        <v>3670</v>
      </c>
      <c r="B3228" s="4" t="s">
        <v>1086</v>
      </c>
      <c r="C3228" s="12">
        <f>IFERROR(__xludf.DUMMYFUNCTION("""COMPUTED_VALUE"""),44662.574282407404)</f>
        <v>44662.57428</v>
      </c>
      <c r="D3228" s="13">
        <f t="shared" si="1"/>
        <v>11</v>
      </c>
      <c r="E3228" s="13">
        <f t="shared" si="2"/>
        <v>13</v>
      </c>
    </row>
    <row r="3229">
      <c r="A3229" s="4" t="s">
        <v>3671</v>
      </c>
      <c r="B3229" s="16"/>
      <c r="C3229" s="12">
        <f>IFERROR(__xludf.DUMMYFUNCTION("""COMPUTED_VALUE"""),44662.574224537035)</f>
        <v>44662.57422</v>
      </c>
      <c r="D3229" s="13">
        <f t="shared" si="1"/>
        <v>11</v>
      </c>
      <c r="E3229" s="13">
        <f t="shared" si="2"/>
        <v>13</v>
      </c>
    </row>
    <row r="3230">
      <c r="A3230" s="4" t="s">
        <v>3672</v>
      </c>
      <c r="B3230" s="4" t="s">
        <v>3666</v>
      </c>
      <c r="C3230" s="12">
        <f>IFERROR(__xludf.DUMMYFUNCTION("""COMPUTED_VALUE"""),44662.57421296296)</f>
        <v>44662.57421</v>
      </c>
      <c r="D3230" s="13">
        <f t="shared" si="1"/>
        <v>11</v>
      </c>
      <c r="E3230" s="13">
        <f t="shared" si="2"/>
        <v>13</v>
      </c>
    </row>
    <row r="3231">
      <c r="A3231" s="4" t="s">
        <v>3673</v>
      </c>
      <c r="B3231" s="4" t="s">
        <v>1385</v>
      </c>
      <c r="C3231" s="12">
        <f>IFERROR(__xludf.DUMMYFUNCTION("""COMPUTED_VALUE"""),44662.57413194444)</f>
        <v>44662.57413</v>
      </c>
      <c r="D3231" s="13">
        <f t="shared" si="1"/>
        <v>11</v>
      </c>
      <c r="E3231" s="13">
        <f t="shared" si="2"/>
        <v>13</v>
      </c>
    </row>
    <row r="3232">
      <c r="A3232" s="4" t="s">
        <v>3674</v>
      </c>
      <c r="B3232" s="4" t="s">
        <v>3600</v>
      </c>
      <c r="C3232" s="12">
        <f>IFERROR(__xludf.DUMMYFUNCTION("""COMPUTED_VALUE"""),44662.57408564814)</f>
        <v>44662.57409</v>
      </c>
      <c r="D3232" s="13">
        <f t="shared" si="1"/>
        <v>11</v>
      </c>
      <c r="E3232" s="13">
        <f t="shared" si="2"/>
        <v>13</v>
      </c>
    </row>
    <row r="3233">
      <c r="A3233" s="4" t="s">
        <v>3675</v>
      </c>
      <c r="B3233" s="4" t="s">
        <v>1385</v>
      </c>
      <c r="C3233" s="12">
        <f>IFERROR(__xludf.DUMMYFUNCTION("""COMPUTED_VALUE"""),44662.57402777777)</f>
        <v>44662.57403</v>
      </c>
      <c r="D3233" s="13">
        <f t="shared" si="1"/>
        <v>11</v>
      </c>
      <c r="E3233" s="13">
        <f t="shared" si="2"/>
        <v>13</v>
      </c>
    </row>
    <row r="3234">
      <c r="A3234" s="4" t="s">
        <v>3676</v>
      </c>
      <c r="B3234" s="4" t="s">
        <v>3651</v>
      </c>
      <c r="C3234" s="12">
        <f>IFERROR(__xludf.DUMMYFUNCTION("""COMPUTED_VALUE"""),44662.57341435185)</f>
        <v>44662.57341</v>
      </c>
      <c r="D3234" s="13">
        <f t="shared" si="1"/>
        <v>11</v>
      </c>
      <c r="E3234" s="13">
        <f t="shared" si="2"/>
        <v>13</v>
      </c>
    </row>
    <row r="3235">
      <c r="A3235" s="4" t="s">
        <v>3677</v>
      </c>
      <c r="B3235" s="4" t="s">
        <v>3678</v>
      </c>
      <c r="C3235" s="12">
        <f>IFERROR(__xludf.DUMMYFUNCTION("""COMPUTED_VALUE"""),44662.573333333334)</f>
        <v>44662.57333</v>
      </c>
      <c r="D3235" s="13">
        <f t="shared" si="1"/>
        <v>11</v>
      </c>
      <c r="E3235" s="13">
        <f t="shared" si="2"/>
        <v>13</v>
      </c>
    </row>
    <row r="3236">
      <c r="A3236" s="4" t="s">
        <v>3679</v>
      </c>
      <c r="B3236" s="16"/>
      <c r="C3236" s="12">
        <f>IFERROR(__xludf.DUMMYFUNCTION("""COMPUTED_VALUE"""),44662.57329861111)</f>
        <v>44662.5733</v>
      </c>
      <c r="D3236" s="13">
        <f t="shared" si="1"/>
        <v>11</v>
      </c>
      <c r="E3236" s="13">
        <f t="shared" si="2"/>
        <v>13</v>
      </c>
    </row>
    <row r="3237">
      <c r="A3237" s="4" t="s">
        <v>3680</v>
      </c>
      <c r="B3237" s="16"/>
      <c r="C3237" s="12">
        <f>IFERROR(__xludf.DUMMYFUNCTION("""COMPUTED_VALUE"""),44662.57326388889)</f>
        <v>44662.57326</v>
      </c>
      <c r="D3237" s="13">
        <f t="shared" si="1"/>
        <v>11</v>
      </c>
      <c r="E3237" s="13">
        <f t="shared" si="2"/>
        <v>13</v>
      </c>
    </row>
    <row r="3238">
      <c r="A3238" s="4" t="s">
        <v>3681</v>
      </c>
      <c r="B3238" s="4" t="s">
        <v>3682</v>
      </c>
      <c r="C3238" s="12">
        <f>IFERROR(__xludf.DUMMYFUNCTION("""COMPUTED_VALUE"""),44662.57321759259)</f>
        <v>44662.57322</v>
      </c>
      <c r="D3238" s="13">
        <f t="shared" si="1"/>
        <v>11</v>
      </c>
      <c r="E3238" s="13">
        <f t="shared" si="2"/>
        <v>13</v>
      </c>
    </row>
    <row r="3239">
      <c r="A3239" s="4" t="s">
        <v>3683</v>
      </c>
      <c r="B3239" s="4" t="s">
        <v>3678</v>
      </c>
      <c r="C3239" s="12">
        <f>IFERROR(__xludf.DUMMYFUNCTION("""COMPUTED_VALUE"""),44662.57320601852)</f>
        <v>44662.57321</v>
      </c>
      <c r="D3239" s="13">
        <f t="shared" si="1"/>
        <v>11</v>
      </c>
      <c r="E3239" s="13">
        <f t="shared" si="2"/>
        <v>13</v>
      </c>
    </row>
    <row r="3240">
      <c r="A3240" s="4" t="s">
        <v>3684</v>
      </c>
      <c r="B3240" s="16"/>
      <c r="C3240" s="12">
        <f>IFERROR(__xludf.DUMMYFUNCTION("""COMPUTED_VALUE"""),44662.573182870365)</f>
        <v>44662.57318</v>
      </c>
      <c r="D3240" s="13">
        <f t="shared" si="1"/>
        <v>11</v>
      </c>
      <c r="E3240" s="13">
        <f t="shared" si="2"/>
        <v>13</v>
      </c>
    </row>
    <row r="3241">
      <c r="A3241" s="4" t="s">
        <v>3684</v>
      </c>
      <c r="B3241" s="4" t="s">
        <v>3685</v>
      </c>
      <c r="C3241" s="12">
        <f>IFERROR(__xludf.DUMMYFUNCTION("""COMPUTED_VALUE"""),44662.573182870365)</f>
        <v>44662.57318</v>
      </c>
      <c r="D3241" s="13">
        <f t="shared" si="1"/>
        <v>11</v>
      </c>
      <c r="E3241" s="13">
        <f t="shared" si="2"/>
        <v>13</v>
      </c>
    </row>
    <row r="3242">
      <c r="A3242" s="4" t="s">
        <v>3686</v>
      </c>
      <c r="B3242" s="16"/>
      <c r="C3242" s="12">
        <f>IFERROR(__xludf.DUMMYFUNCTION("""COMPUTED_VALUE"""),44662.57314814815)</f>
        <v>44662.57315</v>
      </c>
      <c r="D3242" s="13">
        <f t="shared" si="1"/>
        <v>11</v>
      </c>
      <c r="E3242" s="13">
        <f t="shared" si="2"/>
        <v>13</v>
      </c>
    </row>
    <row r="3243">
      <c r="A3243" s="4" t="s">
        <v>3686</v>
      </c>
      <c r="B3243" s="16"/>
      <c r="C3243" s="12">
        <f>IFERROR(__xludf.DUMMYFUNCTION("""COMPUTED_VALUE"""),44662.57314814815)</f>
        <v>44662.57315</v>
      </c>
      <c r="D3243" s="13">
        <f t="shared" si="1"/>
        <v>11</v>
      </c>
      <c r="E3243" s="13">
        <f t="shared" si="2"/>
        <v>13</v>
      </c>
    </row>
    <row r="3244">
      <c r="A3244" s="4" t="s">
        <v>3687</v>
      </c>
      <c r="B3244" s="4" t="s">
        <v>1269</v>
      </c>
      <c r="C3244" s="12">
        <f>IFERROR(__xludf.DUMMYFUNCTION("""COMPUTED_VALUE"""),44662.57310185185)</f>
        <v>44662.5731</v>
      </c>
      <c r="D3244" s="13">
        <f t="shared" si="1"/>
        <v>11</v>
      </c>
      <c r="E3244" s="13">
        <f t="shared" si="2"/>
        <v>13</v>
      </c>
    </row>
    <row r="3245">
      <c r="A3245" s="4" t="s">
        <v>3687</v>
      </c>
      <c r="B3245" s="4" t="s">
        <v>2627</v>
      </c>
      <c r="C3245" s="12">
        <f>IFERROR(__xludf.DUMMYFUNCTION("""COMPUTED_VALUE"""),44662.57310185185)</f>
        <v>44662.5731</v>
      </c>
      <c r="D3245" s="13">
        <f t="shared" si="1"/>
        <v>11</v>
      </c>
      <c r="E3245" s="13">
        <f t="shared" si="2"/>
        <v>13</v>
      </c>
    </row>
    <row r="3246">
      <c r="A3246" s="4" t="s">
        <v>3688</v>
      </c>
      <c r="B3246" s="16"/>
      <c r="C3246" s="12">
        <f>IFERROR(__xludf.DUMMYFUNCTION("""COMPUTED_VALUE"""),44662.57309027777)</f>
        <v>44662.57309</v>
      </c>
      <c r="D3246" s="13">
        <f t="shared" si="1"/>
        <v>11</v>
      </c>
      <c r="E3246" s="13">
        <f t="shared" si="2"/>
        <v>13</v>
      </c>
    </row>
    <row r="3247">
      <c r="A3247" s="4" t="s">
        <v>3689</v>
      </c>
      <c r="B3247" s="16"/>
      <c r="C3247" s="12">
        <f>IFERROR(__xludf.DUMMYFUNCTION("""COMPUTED_VALUE"""),44662.5730787037)</f>
        <v>44662.57308</v>
      </c>
      <c r="D3247" s="13">
        <f t="shared" si="1"/>
        <v>11</v>
      </c>
      <c r="E3247" s="13">
        <f t="shared" si="2"/>
        <v>13</v>
      </c>
    </row>
    <row r="3248">
      <c r="A3248" s="4" t="s">
        <v>3689</v>
      </c>
      <c r="B3248" s="4" t="s">
        <v>1269</v>
      </c>
      <c r="C3248" s="12">
        <f>IFERROR(__xludf.DUMMYFUNCTION("""COMPUTED_VALUE"""),44662.5730787037)</f>
        <v>44662.57308</v>
      </c>
      <c r="D3248" s="13">
        <f t="shared" si="1"/>
        <v>11</v>
      </c>
      <c r="E3248" s="13">
        <f t="shared" si="2"/>
        <v>13</v>
      </c>
    </row>
    <row r="3249">
      <c r="A3249" s="4" t="s">
        <v>3690</v>
      </c>
      <c r="B3249" s="4" t="s">
        <v>1269</v>
      </c>
      <c r="C3249" s="12">
        <f>IFERROR(__xludf.DUMMYFUNCTION("""COMPUTED_VALUE"""),44662.5730324074)</f>
        <v>44662.57303</v>
      </c>
      <c r="D3249" s="13">
        <f t="shared" si="1"/>
        <v>11</v>
      </c>
      <c r="E3249" s="13">
        <f t="shared" si="2"/>
        <v>13</v>
      </c>
    </row>
    <row r="3250">
      <c r="A3250" s="4" t="s">
        <v>3690</v>
      </c>
      <c r="B3250" s="4" t="s">
        <v>3685</v>
      </c>
      <c r="C3250" s="12">
        <f>IFERROR(__xludf.DUMMYFUNCTION("""COMPUTED_VALUE"""),44662.5730324074)</f>
        <v>44662.57303</v>
      </c>
      <c r="D3250" s="13">
        <f t="shared" si="1"/>
        <v>11</v>
      </c>
      <c r="E3250" s="13">
        <f t="shared" si="2"/>
        <v>13</v>
      </c>
    </row>
    <row r="3251">
      <c r="A3251" s="4" t="s">
        <v>3691</v>
      </c>
      <c r="B3251" s="16"/>
      <c r="C3251" s="12">
        <f>IFERROR(__xludf.DUMMYFUNCTION("""COMPUTED_VALUE"""),44662.57300925926)</f>
        <v>44662.57301</v>
      </c>
      <c r="D3251" s="13">
        <f t="shared" si="1"/>
        <v>11</v>
      </c>
      <c r="E3251" s="13">
        <f t="shared" si="2"/>
        <v>13</v>
      </c>
    </row>
    <row r="3252">
      <c r="A3252" s="4" t="s">
        <v>3692</v>
      </c>
      <c r="B3252" s="4" t="s">
        <v>1269</v>
      </c>
      <c r="C3252" s="12">
        <f>IFERROR(__xludf.DUMMYFUNCTION("""COMPUTED_VALUE"""),44662.572962962964)</f>
        <v>44662.57296</v>
      </c>
      <c r="D3252" s="13">
        <f t="shared" si="1"/>
        <v>11</v>
      </c>
      <c r="E3252" s="13">
        <f t="shared" si="2"/>
        <v>13</v>
      </c>
    </row>
    <row r="3253">
      <c r="A3253" s="4" t="s">
        <v>3693</v>
      </c>
      <c r="B3253" s="4" t="s">
        <v>1269</v>
      </c>
      <c r="C3253" s="12">
        <f>IFERROR(__xludf.DUMMYFUNCTION("""COMPUTED_VALUE"""),44662.57292824074)</f>
        <v>44662.57293</v>
      </c>
      <c r="D3253" s="13">
        <f t="shared" si="1"/>
        <v>11</v>
      </c>
      <c r="E3253" s="13">
        <f t="shared" si="2"/>
        <v>13</v>
      </c>
    </row>
    <row r="3254">
      <c r="A3254" s="4" t="s">
        <v>3694</v>
      </c>
      <c r="B3254" s="16"/>
      <c r="C3254" s="12">
        <f>IFERROR(__xludf.DUMMYFUNCTION("""COMPUTED_VALUE"""),44662.57290509259)</f>
        <v>44662.57291</v>
      </c>
      <c r="D3254" s="13">
        <f t="shared" si="1"/>
        <v>11</v>
      </c>
      <c r="E3254" s="13">
        <f t="shared" si="2"/>
        <v>13</v>
      </c>
    </row>
    <row r="3255">
      <c r="A3255" s="4" t="s">
        <v>3694</v>
      </c>
      <c r="B3255" s="4" t="s">
        <v>1269</v>
      </c>
      <c r="C3255" s="12">
        <f>IFERROR(__xludf.DUMMYFUNCTION("""COMPUTED_VALUE"""),44662.57290509259)</f>
        <v>44662.57291</v>
      </c>
      <c r="D3255" s="13">
        <f t="shared" si="1"/>
        <v>11</v>
      </c>
      <c r="E3255" s="13">
        <f t="shared" si="2"/>
        <v>13</v>
      </c>
    </row>
    <row r="3256">
      <c r="A3256" s="4" t="s">
        <v>3695</v>
      </c>
      <c r="B3256" s="4" t="s">
        <v>1269</v>
      </c>
      <c r="C3256" s="12">
        <f>IFERROR(__xludf.DUMMYFUNCTION("""COMPUTED_VALUE"""),44662.57288194444)</f>
        <v>44662.57288</v>
      </c>
      <c r="D3256" s="13">
        <f t="shared" si="1"/>
        <v>11</v>
      </c>
      <c r="E3256" s="13">
        <f t="shared" si="2"/>
        <v>13</v>
      </c>
    </row>
    <row r="3257">
      <c r="A3257" s="4" t="s">
        <v>3696</v>
      </c>
      <c r="B3257" s="4" t="s">
        <v>1269</v>
      </c>
      <c r="C3257" s="12">
        <f>IFERROR(__xludf.DUMMYFUNCTION("""COMPUTED_VALUE"""),44662.572858796295)</f>
        <v>44662.57286</v>
      </c>
      <c r="D3257" s="13">
        <f t="shared" si="1"/>
        <v>11</v>
      </c>
      <c r="E3257" s="13">
        <f t="shared" si="2"/>
        <v>13</v>
      </c>
    </row>
    <row r="3258">
      <c r="A3258" s="4" t="s">
        <v>3697</v>
      </c>
      <c r="B3258" s="4" t="s">
        <v>1269</v>
      </c>
      <c r="C3258" s="12">
        <f>IFERROR(__xludf.DUMMYFUNCTION("""COMPUTED_VALUE"""),44662.572812499995)</f>
        <v>44662.57281</v>
      </c>
      <c r="D3258" s="13">
        <f t="shared" si="1"/>
        <v>11</v>
      </c>
      <c r="E3258" s="13">
        <f t="shared" si="2"/>
        <v>13</v>
      </c>
    </row>
    <row r="3259">
      <c r="A3259" s="4" t="s">
        <v>3697</v>
      </c>
      <c r="B3259" s="16"/>
      <c r="C3259" s="12">
        <f>IFERROR(__xludf.DUMMYFUNCTION("""COMPUTED_VALUE"""),44662.572812499995)</f>
        <v>44662.57281</v>
      </c>
      <c r="D3259" s="13">
        <f t="shared" si="1"/>
        <v>11</v>
      </c>
      <c r="E3259" s="13">
        <f t="shared" si="2"/>
        <v>13</v>
      </c>
    </row>
    <row r="3260">
      <c r="A3260" s="4" t="s">
        <v>3698</v>
      </c>
      <c r="B3260" s="4" t="s">
        <v>1269</v>
      </c>
      <c r="C3260" s="12">
        <f>IFERROR(__xludf.DUMMYFUNCTION("""COMPUTED_VALUE"""),44662.572800925926)</f>
        <v>44662.5728</v>
      </c>
      <c r="D3260" s="13">
        <f t="shared" si="1"/>
        <v>11</v>
      </c>
      <c r="E3260" s="13">
        <f t="shared" si="2"/>
        <v>13</v>
      </c>
    </row>
    <row r="3261">
      <c r="A3261" s="4" t="s">
        <v>3699</v>
      </c>
      <c r="B3261" s="4" t="s">
        <v>1269</v>
      </c>
      <c r="C3261" s="12">
        <f>IFERROR(__xludf.DUMMYFUNCTION("""COMPUTED_VALUE"""),44662.57277777777)</f>
        <v>44662.57278</v>
      </c>
      <c r="D3261" s="13">
        <f t="shared" si="1"/>
        <v>11</v>
      </c>
      <c r="E3261" s="13">
        <f t="shared" si="2"/>
        <v>13</v>
      </c>
    </row>
    <row r="3262">
      <c r="A3262" s="4" t="s">
        <v>3700</v>
      </c>
      <c r="B3262" s="4" t="s">
        <v>1269</v>
      </c>
      <c r="C3262" s="12">
        <f>IFERROR(__xludf.DUMMYFUNCTION("""COMPUTED_VALUE"""),44662.57273148148)</f>
        <v>44662.57273</v>
      </c>
      <c r="D3262" s="13">
        <f t="shared" si="1"/>
        <v>11</v>
      </c>
      <c r="E3262" s="13">
        <f t="shared" si="2"/>
        <v>13</v>
      </c>
    </row>
    <row r="3263">
      <c r="A3263" s="4" t="s">
        <v>3701</v>
      </c>
      <c r="B3263" s="4" t="s">
        <v>1269</v>
      </c>
      <c r="C3263" s="12">
        <f>IFERROR(__xludf.DUMMYFUNCTION("""COMPUTED_VALUE"""),44662.572696759256)</f>
        <v>44662.5727</v>
      </c>
      <c r="D3263" s="13">
        <f t="shared" si="1"/>
        <v>11</v>
      </c>
      <c r="E3263" s="13">
        <f t="shared" si="2"/>
        <v>13</v>
      </c>
    </row>
    <row r="3264">
      <c r="A3264" s="4" t="s">
        <v>3702</v>
      </c>
      <c r="B3264" s="4" t="s">
        <v>1269</v>
      </c>
      <c r="C3264" s="12">
        <f>IFERROR(__xludf.DUMMYFUNCTION("""COMPUTED_VALUE"""),44662.57267361111)</f>
        <v>44662.57267</v>
      </c>
      <c r="D3264" s="13">
        <f t="shared" si="1"/>
        <v>11</v>
      </c>
      <c r="E3264" s="13">
        <f t="shared" si="2"/>
        <v>13</v>
      </c>
    </row>
    <row r="3265">
      <c r="A3265" s="4" t="s">
        <v>3703</v>
      </c>
      <c r="B3265" s="4" t="s">
        <v>1269</v>
      </c>
      <c r="C3265" s="12">
        <f>IFERROR(__xludf.DUMMYFUNCTION("""COMPUTED_VALUE"""),44662.572650462964)</f>
        <v>44662.57265</v>
      </c>
      <c r="D3265" s="13">
        <f t="shared" si="1"/>
        <v>11</v>
      </c>
      <c r="E3265" s="13">
        <f t="shared" si="2"/>
        <v>13</v>
      </c>
    </row>
    <row r="3266">
      <c r="A3266" s="4" t="s">
        <v>3704</v>
      </c>
      <c r="B3266" s="4" t="s">
        <v>1269</v>
      </c>
      <c r="C3266" s="12">
        <f>IFERROR(__xludf.DUMMYFUNCTION("""COMPUTED_VALUE"""),44662.57256944444)</f>
        <v>44662.57257</v>
      </c>
      <c r="D3266" s="13">
        <f t="shared" si="1"/>
        <v>11</v>
      </c>
      <c r="E3266" s="13">
        <f t="shared" si="2"/>
        <v>13</v>
      </c>
    </row>
    <row r="3267">
      <c r="A3267" s="4" t="s">
        <v>3705</v>
      </c>
      <c r="B3267" s="4" t="s">
        <v>2669</v>
      </c>
      <c r="C3267" s="12">
        <f>IFERROR(__xludf.DUMMYFUNCTION("""COMPUTED_VALUE"""),44662.572488425925)</f>
        <v>44662.57249</v>
      </c>
      <c r="D3267" s="13">
        <f t="shared" si="1"/>
        <v>11</v>
      </c>
      <c r="E3267" s="13">
        <f t="shared" si="2"/>
        <v>13</v>
      </c>
    </row>
    <row r="3268">
      <c r="A3268" s="4" t="s">
        <v>3706</v>
      </c>
      <c r="B3268" s="4" t="s">
        <v>1269</v>
      </c>
      <c r="C3268" s="12">
        <f>IFERROR(__xludf.DUMMYFUNCTION("""COMPUTED_VALUE"""),44662.5724537037)</f>
        <v>44662.57245</v>
      </c>
      <c r="D3268" s="13">
        <f t="shared" si="1"/>
        <v>11</v>
      </c>
      <c r="E3268" s="13">
        <f t="shared" si="2"/>
        <v>13</v>
      </c>
    </row>
    <row r="3269">
      <c r="A3269" s="4" t="s">
        <v>3707</v>
      </c>
      <c r="B3269" s="4" t="s">
        <v>1269</v>
      </c>
      <c r="C3269" s="12">
        <f>IFERROR(__xludf.DUMMYFUNCTION("""COMPUTED_VALUE"""),44662.57239583333)</f>
        <v>44662.5724</v>
      </c>
      <c r="D3269" s="13">
        <f t="shared" si="1"/>
        <v>11</v>
      </c>
      <c r="E3269" s="13">
        <f t="shared" si="2"/>
        <v>13</v>
      </c>
    </row>
    <row r="3270">
      <c r="A3270" s="4" t="s">
        <v>3708</v>
      </c>
      <c r="B3270" s="4" t="s">
        <v>1269</v>
      </c>
      <c r="C3270" s="12">
        <f>IFERROR(__xludf.DUMMYFUNCTION("""COMPUTED_VALUE"""),44662.57237268518)</f>
        <v>44662.57237</v>
      </c>
      <c r="D3270" s="13">
        <f t="shared" si="1"/>
        <v>11</v>
      </c>
      <c r="E3270" s="13">
        <f t="shared" si="2"/>
        <v>13</v>
      </c>
    </row>
    <row r="3271">
      <c r="A3271" s="4" t="s">
        <v>3709</v>
      </c>
      <c r="B3271" s="4" t="s">
        <v>1269</v>
      </c>
      <c r="C3271" s="12">
        <f>IFERROR(__xludf.DUMMYFUNCTION("""COMPUTED_VALUE"""),44662.57231481481)</f>
        <v>44662.57231</v>
      </c>
      <c r="D3271" s="13">
        <f t="shared" si="1"/>
        <v>11</v>
      </c>
      <c r="E3271" s="13">
        <f t="shared" si="2"/>
        <v>13</v>
      </c>
    </row>
    <row r="3272">
      <c r="A3272" s="4" t="s">
        <v>3710</v>
      </c>
      <c r="B3272" s="16"/>
      <c r="C3272" s="12">
        <f>IFERROR(__xludf.DUMMYFUNCTION("""COMPUTED_VALUE"""),44662.57225694444)</f>
        <v>44662.57226</v>
      </c>
      <c r="D3272" s="13">
        <f t="shared" si="1"/>
        <v>11</v>
      </c>
      <c r="E3272" s="13">
        <f t="shared" si="2"/>
        <v>13</v>
      </c>
    </row>
    <row r="3273">
      <c r="A3273" s="4" t="s">
        <v>3711</v>
      </c>
      <c r="B3273" s="4" t="s">
        <v>3712</v>
      </c>
      <c r="C3273" s="12">
        <f>IFERROR(__xludf.DUMMYFUNCTION("""COMPUTED_VALUE"""),44662.57224537037)</f>
        <v>44662.57225</v>
      </c>
      <c r="D3273" s="13">
        <f t="shared" si="1"/>
        <v>11</v>
      </c>
      <c r="E3273" s="13">
        <f t="shared" si="2"/>
        <v>13</v>
      </c>
    </row>
    <row r="3274">
      <c r="A3274" s="4" t="s">
        <v>3713</v>
      </c>
      <c r="B3274" s="4" t="s">
        <v>1269</v>
      </c>
      <c r="C3274" s="12">
        <f>IFERROR(__xludf.DUMMYFUNCTION("""COMPUTED_VALUE"""),44662.57221064815)</f>
        <v>44662.57221</v>
      </c>
      <c r="D3274" s="13">
        <f t="shared" si="1"/>
        <v>11</v>
      </c>
      <c r="E3274" s="13">
        <f t="shared" si="2"/>
        <v>13</v>
      </c>
    </row>
    <row r="3275">
      <c r="A3275" s="4" t="s">
        <v>3714</v>
      </c>
      <c r="B3275" s="4" t="s">
        <v>1269</v>
      </c>
      <c r="C3275" s="12">
        <f>IFERROR(__xludf.DUMMYFUNCTION("""COMPUTED_VALUE"""),44662.5721412037)</f>
        <v>44662.57214</v>
      </c>
      <c r="D3275" s="13">
        <f t="shared" si="1"/>
        <v>11</v>
      </c>
      <c r="E3275" s="13">
        <f t="shared" si="2"/>
        <v>13</v>
      </c>
    </row>
    <row r="3276">
      <c r="A3276" s="4" t="s">
        <v>3715</v>
      </c>
      <c r="B3276" s="16"/>
      <c r="C3276" s="12">
        <f>IFERROR(__xludf.DUMMYFUNCTION("""COMPUTED_VALUE"""),44662.57202546296)</f>
        <v>44662.57203</v>
      </c>
      <c r="D3276" s="13">
        <f t="shared" si="1"/>
        <v>11</v>
      </c>
      <c r="E3276" s="13">
        <f t="shared" si="2"/>
        <v>13</v>
      </c>
    </row>
    <row r="3277">
      <c r="A3277" s="4" t="s">
        <v>3716</v>
      </c>
      <c r="B3277" s="16"/>
      <c r="C3277" s="12">
        <f>IFERROR(__xludf.DUMMYFUNCTION("""COMPUTED_VALUE"""),44662.57197916666)</f>
        <v>44662.57198</v>
      </c>
      <c r="D3277" s="13">
        <f t="shared" si="1"/>
        <v>11</v>
      </c>
      <c r="E3277" s="13">
        <f t="shared" si="2"/>
        <v>13</v>
      </c>
    </row>
    <row r="3278">
      <c r="A3278" s="4" t="s">
        <v>3717</v>
      </c>
      <c r="B3278" s="4" t="s">
        <v>2021</v>
      </c>
      <c r="C3278" s="12">
        <f>IFERROR(__xludf.DUMMYFUNCTION("""COMPUTED_VALUE"""),44662.57189814815)</f>
        <v>44662.5719</v>
      </c>
      <c r="D3278" s="13">
        <f t="shared" si="1"/>
        <v>11</v>
      </c>
      <c r="E3278" s="13">
        <f t="shared" si="2"/>
        <v>13</v>
      </c>
    </row>
    <row r="3279">
      <c r="A3279" s="4" t="s">
        <v>3718</v>
      </c>
      <c r="B3279" s="4" t="s">
        <v>3719</v>
      </c>
      <c r="C3279" s="12">
        <f>IFERROR(__xludf.DUMMYFUNCTION("""COMPUTED_VALUE"""),44662.571874999994)</f>
        <v>44662.57188</v>
      </c>
      <c r="D3279" s="13">
        <f t="shared" si="1"/>
        <v>11</v>
      </c>
      <c r="E3279" s="13">
        <f t="shared" si="2"/>
        <v>13</v>
      </c>
    </row>
    <row r="3280">
      <c r="A3280" s="4" t="s">
        <v>3720</v>
      </c>
      <c r="B3280" s="4" t="s">
        <v>2021</v>
      </c>
      <c r="C3280" s="12">
        <f>IFERROR(__xludf.DUMMYFUNCTION("""COMPUTED_VALUE"""),44662.57185185185)</f>
        <v>44662.57185</v>
      </c>
      <c r="D3280" s="13">
        <f t="shared" si="1"/>
        <v>11</v>
      </c>
      <c r="E3280" s="13">
        <f t="shared" si="2"/>
        <v>13</v>
      </c>
    </row>
    <row r="3281">
      <c r="A3281" s="4" t="s">
        <v>3721</v>
      </c>
      <c r="B3281" s="16"/>
      <c r="C3281" s="12">
        <f>IFERROR(__xludf.DUMMYFUNCTION("""COMPUTED_VALUE"""),44662.57184027778)</f>
        <v>44662.57184</v>
      </c>
      <c r="D3281" s="13">
        <f t="shared" si="1"/>
        <v>11</v>
      </c>
      <c r="E3281" s="13">
        <f t="shared" si="2"/>
        <v>13</v>
      </c>
    </row>
    <row r="3282">
      <c r="A3282" s="4" t="s">
        <v>3722</v>
      </c>
      <c r="B3282" s="4" t="s">
        <v>3723</v>
      </c>
      <c r="C3282" s="12">
        <f>IFERROR(__xludf.DUMMYFUNCTION("""COMPUTED_VALUE"""),44662.571805555555)</f>
        <v>44662.57181</v>
      </c>
      <c r="D3282" s="13">
        <f t="shared" si="1"/>
        <v>11</v>
      </c>
      <c r="E3282" s="13">
        <f t="shared" si="2"/>
        <v>13</v>
      </c>
    </row>
    <row r="3283">
      <c r="A3283" s="4" t="s">
        <v>3724</v>
      </c>
      <c r="B3283" s="4" t="s">
        <v>3682</v>
      </c>
      <c r="C3283" s="12">
        <f>IFERROR(__xludf.DUMMYFUNCTION("""COMPUTED_VALUE"""),44662.57173611111)</f>
        <v>44662.57174</v>
      </c>
      <c r="D3283" s="13">
        <f t="shared" si="1"/>
        <v>11</v>
      </c>
      <c r="E3283" s="13">
        <f t="shared" si="2"/>
        <v>13</v>
      </c>
    </row>
    <row r="3284">
      <c r="A3284" s="4" t="s">
        <v>3725</v>
      </c>
      <c r="B3284" s="16"/>
      <c r="C3284" s="12">
        <f>IFERROR(__xludf.DUMMYFUNCTION("""COMPUTED_VALUE"""),44662.57164351852)</f>
        <v>44662.57164</v>
      </c>
      <c r="D3284" s="13">
        <f t="shared" si="1"/>
        <v>11</v>
      </c>
      <c r="E3284" s="13">
        <f t="shared" si="2"/>
        <v>13</v>
      </c>
    </row>
    <row r="3285">
      <c r="A3285" s="4" t="s">
        <v>3726</v>
      </c>
      <c r="B3285" s="16"/>
      <c r="C3285" s="12">
        <f>IFERROR(__xludf.DUMMYFUNCTION("""COMPUTED_VALUE"""),44662.571608796294)</f>
        <v>44662.57161</v>
      </c>
      <c r="D3285" s="13">
        <f t="shared" si="1"/>
        <v>11</v>
      </c>
      <c r="E3285" s="13">
        <f t="shared" si="2"/>
        <v>13</v>
      </c>
    </row>
    <row r="3286">
      <c r="A3286" s="4" t="s">
        <v>3727</v>
      </c>
      <c r="B3286" s="4" t="s">
        <v>3723</v>
      </c>
      <c r="C3286" s="12">
        <f>IFERROR(__xludf.DUMMYFUNCTION("""COMPUTED_VALUE"""),44662.57158564815)</f>
        <v>44662.57159</v>
      </c>
      <c r="D3286" s="13">
        <f t="shared" si="1"/>
        <v>11</v>
      </c>
      <c r="E3286" s="13">
        <f t="shared" si="2"/>
        <v>13</v>
      </c>
    </row>
    <row r="3287">
      <c r="A3287" s="4" t="s">
        <v>3728</v>
      </c>
      <c r="B3287" s="4" t="s">
        <v>3729</v>
      </c>
      <c r="C3287" s="12">
        <f>IFERROR(__xludf.DUMMYFUNCTION("""COMPUTED_VALUE"""),44662.57157407407)</f>
        <v>44662.57157</v>
      </c>
      <c r="D3287" s="13">
        <f t="shared" si="1"/>
        <v>11</v>
      </c>
      <c r="E3287" s="13">
        <f t="shared" si="2"/>
        <v>13</v>
      </c>
    </row>
    <row r="3288">
      <c r="A3288" s="4" t="s">
        <v>3730</v>
      </c>
      <c r="B3288" s="4" t="s">
        <v>3729</v>
      </c>
      <c r="C3288" s="12">
        <f>IFERROR(__xludf.DUMMYFUNCTION("""COMPUTED_VALUE"""),44662.571550925924)</f>
        <v>44662.57155</v>
      </c>
      <c r="D3288" s="13">
        <f t="shared" si="1"/>
        <v>11</v>
      </c>
      <c r="E3288" s="13">
        <f t="shared" si="2"/>
        <v>13</v>
      </c>
    </row>
    <row r="3289">
      <c r="A3289" s="4" t="s">
        <v>3731</v>
      </c>
      <c r="B3289" s="16"/>
      <c r="C3289" s="12">
        <f>IFERROR(__xludf.DUMMYFUNCTION("""COMPUTED_VALUE"""),44662.57153935185)</f>
        <v>44662.57154</v>
      </c>
      <c r="D3289" s="13">
        <f t="shared" si="1"/>
        <v>11</v>
      </c>
      <c r="E3289" s="13">
        <f t="shared" si="2"/>
        <v>13</v>
      </c>
    </row>
    <row r="3290">
      <c r="A3290" s="4" t="s">
        <v>3731</v>
      </c>
      <c r="B3290" s="4" t="s">
        <v>3729</v>
      </c>
      <c r="C3290" s="12">
        <f>IFERROR(__xludf.DUMMYFUNCTION("""COMPUTED_VALUE"""),44662.57153935185)</f>
        <v>44662.57154</v>
      </c>
      <c r="D3290" s="13">
        <f t="shared" si="1"/>
        <v>11</v>
      </c>
      <c r="E3290" s="13">
        <f t="shared" si="2"/>
        <v>13</v>
      </c>
    </row>
    <row r="3291">
      <c r="A3291" s="4" t="s">
        <v>3732</v>
      </c>
      <c r="B3291" s="16"/>
      <c r="C3291" s="12">
        <f>IFERROR(__xludf.DUMMYFUNCTION("""COMPUTED_VALUE"""),44662.571504629625)</f>
        <v>44662.5715</v>
      </c>
      <c r="D3291" s="13">
        <f t="shared" si="1"/>
        <v>11</v>
      </c>
      <c r="E3291" s="13">
        <f t="shared" si="2"/>
        <v>13</v>
      </c>
    </row>
    <row r="3292">
      <c r="A3292" s="4" t="s">
        <v>3733</v>
      </c>
      <c r="B3292" s="4" t="s">
        <v>3729</v>
      </c>
      <c r="C3292" s="12">
        <f>IFERROR(__xludf.DUMMYFUNCTION("""COMPUTED_VALUE"""),44662.571493055555)</f>
        <v>44662.57149</v>
      </c>
      <c r="D3292" s="13">
        <f t="shared" si="1"/>
        <v>11</v>
      </c>
      <c r="E3292" s="13">
        <f t="shared" si="2"/>
        <v>13</v>
      </c>
    </row>
    <row r="3293">
      <c r="A3293" s="4" t="s">
        <v>3734</v>
      </c>
      <c r="B3293" s="16"/>
      <c r="C3293" s="12">
        <f>IFERROR(__xludf.DUMMYFUNCTION("""COMPUTED_VALUE"""),44662.57142361111)</f>
        <v>44662.57142</v>
      </c>
      <c r="D3293" s="13">
        <f t="shared" si="1"/>
        <v>11</v>
      </c>
      <c r="E3293" s="13">
        <f t="shared" si="2"/>
        <v>13</v>
      </c>
    </row>
    <row r="3294">
      <c r="A3294" s="4" t="s">
        <v>3735</v>
      </c>
      <c r="B3294" s="16"/>
      <c r="C3294" s="12">
        <f>IFERROR(__xludf.DUMMYFUNCTION("""COMPUTED_VALUE"""),44662.57131944444)</f>
        <v>44662.57132</v>
      </c>
      <c r="D3294" s="13">
        <f t="shared" si="1"/>
        <v>11</v>
      </c>
      <c r="E3294" s="13">
        <f t="shared" si="2"/>
        <v>13</v>
      </c>
    </row>
    <row r="3295">
      <c r="A3295" s="4" t="s">
        <v>3736</v>
      </c>
      <c r="B3295" s="16"/>
      <c r="C3295" s="12">
        <f>IFERROR(__xludf.DUMMYFUNCTION("""COMPUTED_VALUE"""),44662.57130787037)</f>
        <v>44662.57131</v>
      </c>
      <c r="D3295" s="13">
        <f t="shared" si="1"/>
        <v>11</v>
      </c>
      <c r="E3295" s="13">
        <f t="shared" si="2"/>
        <v>13</v>
      </c>
    </row>
    <row r="3296">
      <c r="A3296" s="4" t="s">
        <v>3737</v>
      </c>
      <c r="B3296" s="4" t="s">
        <v>3738</v>
      </c>
      <c r="C3296" s="12">
        <f>IFERROR(__xludf.DUMMYFUNCTION("""COMPUTED_VALUE"""),44662.57129629629)</f>
        <v>44662.5713</v>
      </c>
      <c r="D3296" s="13">
        <f t="shared" si="1"/>
        <v>11</v>
      </c>
      <c r="E3296" s="13">
        <f t="shared" si="2"/>
        <v>13</v>
      </c>
    </row>
    <row r="3297">
      <c r="A3297" s="4" t="s">
        <v>3739</v>
      </c>
      <c r="B3297" s="16"/>
      <c r="C3297" s="12">
        <f>IFERROR(__xludf.DUMMYFUNCTION("""COMPUTED_VALUE"""),44662.57126157407)</f>
        <v>44662.57126</v>
      </c>
      <c r="D3297" s="13">
        <f t="shared" si="1"/>
        <v>11</v>
      </c>
      <c r="E3297" s="13">
        <f t="shared" si="2"/>
        <v>13</v>
      </c>
    </row>
    <row r="3298">
      <c r="A3298" s="4" t="s">
        <v>3740</v>
      </c>
      <c r="B3298" s="16"/>
      <c r="C3298" s="12">
        <f>IFERROR(__xludf.DUMMYFUNCTION("""COMPUTED_VALUE"""),44662.57125)</f>
        <v>44662.57125</v>
      </c>
      <c r="D3298" s="13">
        <f t="shared" si="1"/>
        <v>11</v>
      </c>
      <c r="E3298" s="13">
        <f t="shared" si="2"/>
        <v>13</v>
      </c>
    </row>
    <row r="3299">
      <c r="A3299" s="4" t="s">
        <v>3741</v>
      </c>
      <c r="B3299" s="4" t="s">
        <v>3742</v>
      </c>
      <c r="C3299" s="12">
        <f>IFERROR(__xludf.DUMMYFUNCTION("""COMPUTED_VALUE"""),44662.571122685185)</f>
        <v>44662.57112</v>
      </c>
      <c r="D3299" s="13">
        <f t="shared" si="1"/>
        <v>11</v>
      </c>
      <c r="E3299" s="13">
        <f t="shared" si="2"/>
        <v>13</v>
      </c>
    </row>
    <row r="3300">
      <c r="A3300" s="4" t="s">
        <v>3743</v>
      </c>
      <c r="B3300" s="4" t="s">
        <v>1008</v>
      </c>
      <c r="C3300" s="12">
        <f>IFERROR(__xludf.DUMMYFUNCTION("""COMPUTED_VALUE"""),44662.5709375)</f>
        <v>44662.57094</v>
      </c>
      <c r="D3300" s="13">
        <f t="shared" si="1"/>
        <v>11</v>
      </c>
      <c r="E3300" s="13">
        <f t="shared" si="2"/>
        <v>13</v>
      </c>
    </row>
    <row r="3301">
      <c r="A3301" s="4" t="s">
        <v>3744</v>
      </c>
      <c r="B3301" s="4" t="s">
        <v>1278</v>
      </c>
      <c r="C3301" s="12">
        <f>IFERROR(__xludf.DUMMYFUNCTION("""COMPUTED_VALUE"""),44662.57071759259)</f>
        <v>44662.57072</v>
      </c>
      <c r="D3301" s="13">
        <f t="shared" si="1"/>
        <v>11</v>
      </c>
      <c r="E3301" s="13">
        <f t="shared" si="2"/>
        <v>13</v>
      </c>
    </row>
    <row r="3302">
      <c r="A3302" s="4" t="s">
        <v>3744</v>
      </c>
      <c r="B3302" s="4" t="s">
        <v>1195</v>
      </c>
      <c r="C3302" s="12">
        <f>IFERROR(__xludf.DUMMYFUNCTION("""COMPUTED_VALUE"""),44662.57071759259)</f>
        <v>44662.57072</v>
      </c>
      <c r="D3302" s="13">
        <f t="shared" si="1"/>
        <v>11</v>
      </c>
      <c r="E3302" s="13">
        <f t="shared" si="2"/>
        <v>13</v>
      </c>
    </row>
    <row r="3303">
      <c r="A3303" s="4" t="s">
        <v>3745</v>
      </c>
      <c r="B3303" s="16"/>
      <c r="C3303" s="12">
        <f>IFERROR(__xludf.DUMMYFUNCTION("""COMPUTED_VALUE"""),44662.57069444444)</f>
        <v>44662.57069</v>
      </c>
      <c r="D3303" s="13">
        <f t="shared" si="1"/>
        <v>11</v>
      </c>
      <c r="E3303" s="13">
        <f t="shared" si="2"/>
        <v>13</v>
      </c>
    </row>
    <row r="3304">
      <c r="A3304" s="4" t="s">
        <v>3746</v>
      </c>
      <c r="B3304" s="4" t="s">
        <v>3747</v>
      </c>
      <c r="C3304" s="12">
        <f>IFERROR(__xludf.DUMMYFUNCTION("""COMPUTED_VALUE"""),44662.57063657407)</f>
        <v>44662.57064</v>
      </c>
      <c r="D3304" s="13">
        <f t="shared" si="1"/>
        <v>11</v>
      </c>
      <c r="E3304" s="13">
        <f t="shared" si="2"/>
        <v>13</v>
      </c>
    </row>
    <row r="3305">
      <c r="A3305" s="4" t="s">
        <v>3748</v>
      </c>
      <c r="B3305" s="4" t="s">
        <v>1278</v>
      </c>
      <c r="C3305" s="12">
        <f>IFERROR(__xludf.DUMMYFUNCTION("""COMPUTED_VALUE"""),44662.57059027778)</f>
        <v>44662.57059</v>
      </c>
      <c r="D3305" s="13">
        <f t="shared" si="1"/>
        <v>11</v>
      </c>
      <c r="E3305" s="13">
        <f t="shared" si="2"/>
        <v>13</v>
      </c>
    </row>
    <row r="3306">
      <c r="A3306" s="4" t="s">
        <v>3749</v>
      </c>
      <c r="B3306" s="4" t="s">
        <v>1278</v>
      </c>
      <c r="C3306" s="12">
        <f>IFERROR(__xludf.DUMMYFUNCTION("""COMPUTED_VALUE"""),44662.570555555554)</f>
        <v>44662.57056</v>
      </c>
      <c r="D3306" s="13">
        <f t="shared" si="1"/>
        <v>11</v>
      </c>
      <c r="E3306" s="13">
        <f t="shared" si="2"/>
        <v>13</v>
      </c>
    </row>
    <row r="3307">
      <c r="A3307" s="4" t="s">
        <v>3750</v>
      </c>
      <c r="B3307" s="4" t="s">
        <v>1278</v>
      </c>
      <c r="C3307" s="12">
        <f>IFERROR(__xludf.DUMMYFUNCTION("""COMPUTED_VALUE"""),44662.57053240741)</f>
        <v>44662.57053</v>
      </c>
      <c r="D3307" s="13">
        <f t="shared" si="1"/>
        <v>11</v>
      </c>
      <c r="E3307" s="13">
        <f t="shared" si="2"/>
        <v>13</v>
      </c>
    </row>
    <row r="3308">
      <c r="A3308" s="4" t="s">
        <v>3751</v>
      </c>
      <c r="B3308" s="4" t="s">
        <v>1278</v>
      </c>
      <c r="C3308" s="12">
        <f>IFERROR(__xludf.DUMMYFUNCTION("""COMPUTED_VALUE"""),44662.570509259254)</f>
        <v>44662.57051</v>
      </c>
      <c r="D3308" s="13">
        <f t="shared" si="1"/>
        <v>11</v>
      </c>
      <c r="E3308" s="13">
        <f t="shared" si="2"/>
        <v>13</v>
      </c>
    </row>
    <row r="3309">
      <c r="A3309" s="4" t="s">
        <v>3752</v>
      </c>
      <c r="B3309" s="4" t="s">
        <v>1278</v>
      </c>
      <c r="C3309" s="12">
        <f>IFERROR(__xludf.DUMMYFUNCTION("""COMPUTED_VALUE"""),44662.57047453703)</f>
        <v>44662.57047</v>
      </c>
      <c r="D3309" s="13">
        <f t="shared" si="1"/>
        <v>11</v>
      </c>
      <c r="E3309" s="13">
        <f t="shared" si="2"/>
        <v>13</v>
      </c>
    </row>
    <row r="3310">
      <c r="A3310" s="4" t="s">
        <v>3753</v>
      </c>
      <c r="B3310" s="16"/>
      <c r="C3310" s="12">
        <f>IFERROR(__xludf.DUMMYFUNCTION("""COMPUTED_VALUE"""),44662.57042824074)</f>
        <v>44662.57043</v>
      </c>
      <c r="D3310" s="13">
        <f t="shared" si="1"/>
        <v>11</v>
      </c>
      <c r="E3310" s="13">
        <f t="shared" si="2"/>
        <v>13</v>
      </c>
    </row>
    <row r="3311">
      <c r="A3311" s="4" t="s">
        <v>3754</v>
      </c>
      <c r="B3311" s="16"/>
      <c r="C3311" s="12">
        <f>IFERROR(__xludf.DUMMYFUNCTION("""COMPUTED_VALUE"""),44662.570081018515)</f>
        <v>44662.57008</v>
      </c>
      <c r="D3311" s="13">
        <f t="shared" si="1"/>
        <v>11</v>
      </c>
      <c r="E3311" s="13">
        <f t="shared" si="2"/>
        <v>13</v>
      </c>
    </row>
    <row r="3312">
      <c r="A3312" s="4" t="s">
        <v>3755</v>
      </c>
      <c r="B3312" s="4" t="s">
        <v>3756</v>
      </c>
      <c r="C3312" s="12">
        <f>IFERROR(__xludf.DUMMYFUNCTION("""COMPUTED_VALUE"""),44662.569976851846)</f>
        <v>44662.56998</v>
      </c>
      <c r="D3312" s="13">
        <f t="shared" si="1"/>
        <v>11</v>
      </c>
      <c r="E3312" s="13">
        <f t="shared" si="2"/>
        <v>13</v>
      </c>
    </row>
    <row r="3313">
      <c r="A3313" s="4" t="s">
        <v>3757</v>
      </c>
      <c r="B3313" s="16"/>
      <c r="C3313" s="12">
        <f>IFERROR(__xludf.DUMMYFUNCTION("""COMPUTED_VALUE"""),44662.569884259254)</f>
        <v>44662.56988</v>
      </c>
      <c r="D3313" s="13">
        <f t="shared" si="1"/>
        <v>11</v>
      </c>
      <c r="E3313" s="13">
        <f t="shared" si="2"/>
        <v>13</v>
      </c>
    </row>
    <row r="3314">
      <c r="A3314" s="4" t="s">
        <v>3758</v>
      </c>
      <c r="B3314" s="16"/>
      <c r="C3314" s="12">
        <f>IFERROR(__xludf.DUMMYFUNCTION("""COMPUTED_VALUE"""),44662.56983796296)</f>
        <v>44662.56984</v>
      </c>
      <c r="D3314" s="13">
        <f t="shared" si="1"/>
        <v>11</v>
      </c>
      <c r="E3314" s="13">
        <f t="shared" si="2"/>
        <v>13</v>
      </c>
    </row>
    <row r="3315">
      <c r="A3315" s="4" t="s">
        <v>3759</v>
      </c>
      <c r="B3315" s="4" t="s">
        <v>3760</v>
      </c>
      <c r="C3315" s="12">
        <f>IFERROR(__xludf.DUMMYFUNCTION("""COMPUTED_VALUE"""),44662.56980324074)</f>
        <v>44662.5698</v>
      </c>
      <c r="D3315" s="13">
        <f t="shared" si="1"/>
        <v>11</v>
      </c>
      <c r="E3315" s="13">
        <f t="shared" si="2"/>
        <v>13</v>
      </c>
    </row>
    <row r="3316">
      <c r="A3316" s="4" t="s">
        <v>3761</v>
      </c>
      <c r="B3316" s="4" t="s">
        <v>3604</v>
      </c>
      <c r="C3316" s="12">
        <f>IFERROR(__xludf.DUMMYFUNCTION("""COMPUTED_VALUE"""),44662.56979166666)</f>
        <v>44662.56979</v>
      </c>
      <c r="D3316" s="13">
        <f t="shared" si="1"/>
        <v>11</v>
      </c>
      <c r="E3316" s="13">
        <f t="shared" si="2"/>
        <v>13</v>
      </c>
    </row>
    <row r="3317">
      <c r="A3317" s="4" t="s">
        <v>3762</v>
      </c>
      <c r="B3317" s="16"/>
      <c r="C3317" s="12">
        <f>IFERROR(__xludf.DUMMYFUNCTION("""COMPUTED_VALUE"""),44662.56974537037)</f>
        <v>44662.56975</v>
      </c>
      <c r="D3317" s="13">
        <f t="shared" si="1"/>
        <v>11</v>
      </c>
      <c r="E3317" s="13">
        <f t="shared" si="2"/>
        <v>13</v>
      </c>
    </row>
    <row r="3318">
      <c r="A3318" s="4" t="s">
        <v>3763</v>
      </c>
      <c r="B3318" s="4" t="s">
        <v>3764</v>
      </c>
      <c r="C3318" s="12">
        <f>IFERROR(__xludf.DUMMYFUNCTION("""COMPUTED_VALUE"""),44662.56973379629)</f>
        <v>44662.56973</v>
      </c>
      <c r="D3318" s="13">
        <f t="shared" si="1"/>
        <v>11</v>
      </c>
      <c r="E3318" s="13">
        <f t="shared" si="2"/>
        <v>13</v>
      </c>
    </row>
    <row r="3319">
      <c r="A3319" s="4" t="s">
        <v>3765</v>
      </c>
      <c r="B3319" s="4" t="s">
        <v>3764</v>
      </c>
      <c r="C3319" s="12">
        <f>IFERROR(__xludf.DUMMYFUNCTION("""COMPUTED_VALUE"""),44662.569664351846)</f>
        <v>44662.56966</v>
      </c>
      <c r="D3319" s="13">
        <f t="shared" si="1"/>
        <v>11</v>
      </c>
      <c r="E3319" s="13">
        <f t="shared" si="2"/>
        <v>13</v>
      </c>
    </row>
    <row r="3320">
      <c r="A3320" s="4" t="s">
        <v>3766</v>
      </c>
      <c r="B3320" s="4" t="s">
        <v>3764</v>
      </c>
      <c r="C3320" s="12">
        <f>IFERROR(__xludf.DUMMYFUNCTION("""COMPUTED_VALUE"""),44662.5696412037)</f>
        <v>44662.56964</v>
      </c>
      <c r="D3320" s="13">
        <f t="shared" si="1"/>
        <v>11</v>
      </c>
      <c r="E3320" s="13">
        <f t="shared" si="2"/>
        <v>13</v>
      </c>
    </row>
    <row r="3321">
      <c r="A3321" s="4" t="s">
        <v>3767</v>
      </c>
      <c r="B3321" s="4" t="s">
        <v>3764</v>
      </c>
      <c r="C3321" s="12">
        <f>IFERROR(__xludf.DUMMYFUNCTION("""COMPUTED_VALUE"""),44662.56961805555)</f>
        <v>44662.56962</v>
      </c>
      <c r="D3321" s="13">
        <f t="shared" si="1"/>
        <v>11</v>
      </c>
      <c r="E3321" s="13">
        <f t="shared" si="2"/>
        <v>13</v>
      </c>
    </row>
    <row r="3322">
      <c r="A3322" s="4" t="s">
        <v>3768</v>
      </c>
      <c r="B3322" s="4" t="s">
        <v>3764</v>
      </c>
      <c r="C3322" s="12">
        <f>IFERROR(__xludf.DUMMYFUNCTION("""COMPUTED_VALUE"""),44662.56959490741)</f>
        <v>44662.56959</v>
      </c>
      <c r="D3322" s="13">
        <f t="shared" si="1"/>
        <v>11</v>
      </c>
      <c r="E3322" s="13">
        <f t="shared" si="2"/>
        <v>13</v>
      </c>
    </row>
    <row r="3323">
      <c r="A3323" s="4" t="s">
        <v>3769</v>
      </c>
      <c r="B3323" s="16"/>
      <c r="C3323" s="12">
        <f>IFERROR(__xludf.DUMMYFUNCTION("""COMPUTED_VALUE"""),44662.56953703704)</f>
        <v>44662.56954</v>
      </c>
      <c r="D3323" s="13">
        <f t="shared" si="1"/>
        <v>11</v>
      </c>
      <c r="E3323" s="13">
        <f t="shared" si="2"/>
        <v>13</v>
      </c>
    </row>
    <row r="3324">
      <c r="A3324" s="4" t="s">
        <v>3770</v>
      </c>
      <c r="B3324" s="16"/>
      <c r="C3324" s="12">
        <f>IFERROR(__xludf.DUMMYFUNCTION("""COMPUTED_VALUE"""),44662.569502314815)</f>
        <v>44662.5695</v>
      </c>
      <c r="D3324" s="13">
        <f t="shared" si="1"/>
        <v>11</v>
      </c>
      <c r="E3324" s="13">
        <f t="shared" si="2"/>
        <v>13</v>
      </c>
    </row>
    <row r="3325">
      <c r="A3325" s="4" t="s">
        <v>3771</v>
      </c>
      <c r="B3325" s="4" t="s">
        <v>3764</v>
      </c>
      <c r="C3325" s="12">
        <f>IFERROR(__xludf.DUMMYFUNCTION("""COMPUTED_VALUE"""),44662.56936342592)</f>
        <v>44662.56936</v>
      </c>
      <c r="D3325" s="13">
        <f t="shared" si="1"/>
        <v>11</v>
      </c>
      <c r="E3325" s="13">
        <f t="shared" si="2"/>
        <v>13</v>
      </c>
    </row>
    <row r="3326">
      <c r="A3326" s="4" t="s">
        <v>3772</v>
      </c>
      <c r="B3326" s="4" t="s">
        <v>3764</v>
      </c>
      <c r="C3326" s="12">
        <f>IFERROR(__xludf.DUMMYFUNCTION("""COMPUTED_VALUE"""),44662.569340277776)</f>
        <v>44662.56934</v>
      </c>
      <c r="D3326" s="13">
        <f t="shared" si="1"/>
        <v>11</v>
      </c>
      <c r="E3326" s="13">
        <f t="shared" si="2"/>
        <v>13</v>
      </c>
    </row>
    <row r="3327">
      <c r="A3327" s="4" t="s">
        <v>3773</v>
      </c>
      <c r="B3327" s="16"/>
      <c r="C3327" s="12">
        <f>IFERROR(__xludf.DUMMYFUNCTION("""COMPUTED_VALUE"""),44662.569201388884)</f>
        <v>44662.5692</v>
      </c>
      <c r="D3327" s="13">
        <f t="shared" si="1"/>
        <v>11</v>
      </c>
      <c r="E3327" s="13">
        <f t="shared" si="2"/>
        <v>13</v>
      </c>
    </row>
    <row r="3328">
      <c r="A3328" s="4" t="s">
        <v>3774</v>
      </c>
      <c r="B3328" s="16"/>
      <c r="C3328" s="12">
        <f>IFERROR(__xludf.DUMMYFUNCTION("""COMPUTED_VALUE"""),44662.569189814814)</f>
        <v>44662.56919</v>
      </c>
      <c r="D3328" s="13">
        <f t="shared" si="1"/>
        <v>11</v>
      </c>
      <c r="E3328" s="13">
        <f t="shared" si="2"/>
        <v>13</v>
      </c>
    </row>
    <row r="3329">
      <c r="A3329" s="4" t="s">
        <v>3775</v>
      </c>
      <c r="B3329" s="16"/>
      <c r="C3329" s="12">
        <f>IFERROR(__xludf.DUMMYFUNCTION("""COMPUTED_VALUE"""),44662.56917824074)</f>
        <v>44662.56918</v>
      </c>
      <c r="D3329" s="13">
        <f t="shared" si="1"/>
        <v>11</v>
      </c>
      <c r="E3329" s="13">
        <f t="shared" si="2"/>
        <v>13</v>
      </c>
    </row>
    <row r="3330">
      <c r="A3330" s="4" t="s">
        <v>3776</v>
      </c>
      <c r="B3330" s="4" t="s">
        <v>3313</v>
      </c>
      <c r="C3330" s="12">
        <f>IFERROR(__xludf.DUMMYFUNCTION("""COMPUTED_VALUE"""),44662.569143518514)</f>
        <v>44662.56914</v>
      </c>
      <c r="D3330" s="13">
        <f t="shared" si="1"/>
        <v>11</v>
      </c>
      <c r="E3330" s="13">
        <f t="shared" si="2"/>
        <v>13</v>
      </c>
    </row>
    <row r="3331">
      <c r="A3331" s="4" t="s">
        <v>3777</v>
      </c>
      <c r="B3331" s="4" t="s">
        <v>3764</v>
      </c>
      <c r="C3331" s="12">
        <f>IFERROR(__xludf.DUMMYFUNCTION("""COMPUTED_VALUE"""),44662.569131944445)</f>
        <v>44662.56913</v>
      </c>
      <c r="D3331" s="13">
        <f t="shared" si="1"/>
        <v>11</v>
      </c>
      <c r="E3331" s="13">
        <f t="shared" si="2"/>
        <v>13</v>
      </c>
    </row>
    <row r="3332">
      <c r="A3332" s="4" t="s">
        <v>3777</v>
      </c>
      <c r="B3332" s="4" t="s">
        <v>3778</v>
      </c>
      <c r="C3332" s="12">
        <f>IFERROR(__xludf.DUMMYFUNCTION("""COMPUTED_VALUE"""),44662.569131944445)</f>
        <v>44662.56913</v>
      </c>
      <c r="D3332" s="13">
        <f t="shared" si="1"/>
        <v>11</v>
      </c>
      <c r="E3332" s="13">
        <f t="shared" si="2"/>
        <v>13</v>
      </c>
    </row>
    <row r="3333">
      <c r="A3333" s="4" t="s">
        <v>3779</v>
      </c>
      <c r="B3333" s="4" t="s">
        <v>1008</v>
      </c>
      <c r="C3333" s="12">
        <f>IFERROR(__xludf.DUMMYFUNCTION("""COMPUTED_VALUE"""),44662.56912037037)</f>
        <v>44662.56912</v>
      </c>
      <c r="D3333" s="13">
        <f t="shared" si="1"/>
        <v>11</v>
      </c>
      <c r="E3333" s="13">
        <f t="shared" si="2"/>
        <v>13</v>
      </c>
    </row>
    <row r="3334">
      <c r="A3334" s="4" t="s">
        <v>3779</v>
      </c>
      <c r="B3334" s="4" t="s">
        <v>1008</v>
      </c>
      <c r="C3334" s="12">
        <f>IFERROR(__xludf.DUMMYFUNCTION("""COMPUTED_VALUE"""),44662.56912037037)</f>
        <v>44662.56912</v>
      </c>
      <c r="D3334" s="13">
        <f t="shared" si="1"/>
        <v>11</v>
      </c>
      <c r="E3334" s="13">
        <f t="shared" si="2"/>
        <v>13</v>
      </c>
    </row>
    <row r="3335">
      <c r="A3335" s="4" t="s">
        <v>3779</v>
      </c>
      <c r="B3335" s="4" t="s">
        <v>1008</v>
      </c>
      <c r="C3335" s="12">
        <f>IFERROR(__xludf.DUMMYFUNCTION("""COMPUTED_VALUE"""),44662.56912037037)</f>
        <v>44662.56912</v>
      </c>
      <c r="D3335" s="13">
        <f t="shared" si="1"/>
        <v>11</v>
      </c>
      <c r="E3335" s="13">
        <f t="shared" si="2"/>
        <v>13</v>
      </c>
    </row>
    <row r="3336">
      <c r="A3336" s="4" t="s">
        <v>3779</v>
      </c>
      <c r="B3336" s="4" t="s">
        <v>1008</v>
      </c>
      <c r="C3336" s="12">
        <f>IFERROR(__xludf.DUMMYFUNCTION("""COMPUTED_VALUE"""),44662.56912037037)</f>
        <v>44662.56912</v>
      </c>
      <c r="D3336" s="13">
        <f t="shared" si="1"/>
        <v>11</v>
      </c>
      <c r="E3336" s="13">
        <f t="shared" si="2"/>
        <v>13</v>
      </c>
    </row>
    <row r="3337">
      <c r="A3337" s="4" t="s">
        <v>3779</v>
      </c>
      <c r="B3337" s="4" t="s">
        <v>1008</v>
      </c>
      <c r="C3337" s="12">
        <f>IFERROR(__xludf.DUMMYFUNCTION("""COMPUTED_VALUE"""),44662.56912037037)</f>
        <v>44662.56912</v>
      </c>
      <c r="D3337" s="13">
        <f t="shared" si="1"/>
        <v>11</v>
      </c>
      <c r="E3337" s="13">
        <f t="shared" si="2"/>
        <v>13</v>
      </c>
    </row>
    <row r="3338">
      <c r="A3338" s="4" t="s">
        <v>3779</v>
      </c>
      <c r="B3338" s="4" t="s">
        <v>1008</v>
      </c>
      <c r="C3338" s="12">
        <f>IFERROR(__xludf.DUMMYFUNCTION("""COMPUTED_VALUE"""),44662.56912037037)</f>
        <v>44662.56912</v>
      </c>
      <c r="D3338" s="13">
        <f t="shared" si="1"/>
        <v>11</v>
      </c>
      <c r="E3338" s="13">
        <f t="shared" si="2"/>
        <v>13</v>
      </c>
    </row>
    <row r="3339">
      <c r="A3339" s="4" t="s">
        <v>3779</v>
      </c>
      <c r="B3339" s="4" t="s">
        <v>1008</v>
      </c>
      <c r="C3339" s="12">
        <f>IFERROR(__xludf.DUMMYFUNCTION("""COMPUTED_VALUE"""),44662.56912037037)</f>
        <v>44662.56912</v>
      </c>
      <c r="D3339" s="13">
        <f t="shared" si="1"/>
        <v>11</v>
      </c>
      <c r="E3339" s="13">
        <f t="shared" si="2"/>
        <v>13</v>
      </c>
    </row>
    <row r="3340">
      <c r="A3340" s="4" t="s">
        <v>3779</v>
      </c>
      <c r="B3340" s="4" t="s">
        <v>1008</v>
      </c>
      <c r="C3340" s="12">
        <f>IFERROR(__xludf.DUMMYFUNCTION("""COMPUTED_VALUE"""),44662.56912037037)</f>
        <v>44662.56912</v>
      </c>
      <c r="D3340" s="13">
        <f t="shared" si="1"/>
        <v>11</v>
      </c>
      <c r="E3340" s="13">
        <f t="shared" si="2"/>
        <v>13</v>
      </c>
    </row>
    <row r="3341">
      <c r="A3341" s="4" t="s">
        <v>3779</v>
      </c>
      <c r="B3341" s="16"/>
      <c r="C3341" s="12">
        <f>IFERROR(__xludf.DUMMYFUNCTION("""COMPUTED_VALUE"""),44662.56912037037)</f>
        <v>44662.56912</v>
      </c>
      <c r="D3341" s="13">
        <f t="shared" si="1"/>
        <v>11</v>
      </c>
      <c r="E3341" s="13">
        <f t="shared" si="2"/>
        <v>13</v>
      </c>
    </row>
    <row r="3342">
      <c r="A3342" s="4" t="s">
        <v>3779</v>
      </c>
      <c r="B3342" s="4" t="s">
        <v>1008</v>
      </c>
      <c r="C3342" s="12">
        <f>IFERROR(__xludf.DUMMYFUNCTION("""COMPUTED_VALUE"""),44662.56912037037)</f>
        <v>44662.56912</v>
      </c>
      <c r="D3342" s="13">
        <f t="shared" si="1"/>
        <v>11</v>
      </c>
      <c r="E3342" s="13">
        <f t="shared" si="2"/>
        <v>13</v>
      </c>
    </row>
    <row r="3343">
      <c r="A3343" s="4" t="s">
        <v>3780</v>
      </c>
      <c r="B3343" s="16"/>
      <c r="C3343" s="12">
        <f>IFERROR(__xludf.DUMMYFUNCTION("""COMPUTED_VALUE"""),44662.568981481476)</f>
        <v>44662.56898</v>
      </c>
      <c r="D3343" s="13">
        <f t="shared" si="1"/>
        <v>11</v>
      </c>
      <c r="E3343" s="13">
        <f t="shared" si="2"/>
        <v>13</v>
      </c>
    </row>
    <row r="3344">
      <c r="A3344" s="4" t="s">
        <v>3781</v>
      </c>
      <c r="B3344" s="16"/>
      <c r="C3344" s="12">
        <f>IFERROR(__xludf.DUMMYFUNCTION("""COMPUTED_VALUE"""),44662.56890046296)</f>
        <v>44662.5689</v>
      </c>
      <c r="D3344" s="13">
        <f t="shared" si="1"/>
        <v>11</v>
      </c>
      <c r="E3344" s="13">
        <f t="shared" si="2"/>
        <v>13</v>
      </c>
    </row>
    <row r="3345">
      <c r="A3345" s="4" t="s">
        <v>3782</v>
      </c>
      <c r="B3345" s="16"/>
      <c r="C3345" s="12">
        <f>IFERROR(__xludf.DUMMYFUNCTION("""COMPUTED_VALUE"""),44662.56884259259)</f>
        <v>44662.56884</v>
      </c>
      <c r="D3345" s="13">
        <f t="shared" si="1"/>
        <v>11</v>
      </c>
      <c r="E3345" s="13">
        <f t="shared" si="2"/>
        <v>13</v>
      </c>
    </row>
    <row r="3346">
      <c r="A3346" s="4" t="s">
        <v>3783</v>
      </c>
      <c r="B3346" s="16"/>
      <c r="C3346" s="12">
        <f>IFERROR(__xludf.DUMMYFUNCTION("""COMPUTED_VALUE"""),44662.568819444445)</f>
        <v>44662.56882</v>
      </c>
      <c r="D3346" s="13">
        <f t="shared" si="1"/>
        <v>11</v>
      </c>
      <c r="E3346" s="13">
        <f t="shared" si="2"/>
        <v>13</v>
      </c>
    </row>
    <row r="3347">
      <c r="A3347" s="4" t="s">
        <v>3784</v>
      </c>
      <c r="B3347" s="16"/>
      <c r="C3347" s="12">
        <f>IFERROR(__xludf.DUMMYFUNCTION("""COMPUTED_VALUE"""),44662.56879629629)</f>
        <v>44662.5688</v>
      </c>
      <c r="D3347" s="13">
        <f t="shared" si="1"/>
        <v>11</v>
      </c>
      <c r="E3347" s="13">
        <f t="shared" si="2"/>
        <v>13</v>
      </c>
    </row>
    <row r="3348">
      <c r="A3348" s="4" t="s">
        <v>3785</v>
      </c>
      <c r="B3348" s="16"/>
      <c r="C3348" s="12">
        <f>IFERROR(__xludf.DUMMYFUNCTION("""COMPUTED_VALUE"""),44662.568773148145)</f>
        <v>44662.56877</v>
      </c>
      <c r="D3348" s="13">
        <f t="shared" si="1"/>
        <v>11</v>
      </c>
      <c r="E3348" s="13">
        <f t="shared" si="2"/>
        <v>13</v>
      </c>
    </row>
    <row r="3349">
      <c r="A3349" s="4" t="s">
        <v>3785</v>
      </c>
      <c r="B3349" s="16"/>
      <c r="C3349" s="12">
        <f>IFERROR(__xludf.DUMMYFUNCTION("""COMPUTED_VALUE"""),44662.568773148145)</f>
        <v>44662.56877</v>
      </c>
      <c r="D3349" s="13">
        <f t="shared" si="1"/>
        <v>11</v>
      </c>
      <c r="E3349" s="13">
        <f t="shared" si="2"/>
        <v>13</v>
      </c>
    </row>
    <row r="3350">
      <c r="A3350" s="4" t="s">
        <v>3786</v>
      </c>
      <c r="B3350" s="16"/>
      <c r="C3350" s="12">
        <f>IFERROR(__xludf.DUMMYFUNCTION("""COMPUTED_VALUE"""),44662.56876157407)</f>
        <v>44662.56876</v>
      </c>
      <c r="D3350" s="13">
        <f t="shared" si="1"/>
        <v>11</v>
      </c>
      <c r="E3350" s="13">
        <f t="shared" si="2"/>
        <v>13</v>
      </c>
    </row>
    <row r="3351">
      <c r="A3351" s="4" t="s">
        <v>3787</v>
      </c>
      <c r="B3351" s="16"/>
      <c r="C3351" s="12">
        <f>IFERROR(__xludf.DUMMYFUNCTION("""COMPUTED_VALUE"""),44662.568715277775)</f>
        <v>44662.56872</v>
      </c>
      <c r="D3351" s="13">
        <f t="shared" si="1"/>
        <v>11</v>
      </c>
      <c r="E3351" s="13">
        <f t="shared" si="2"/>
        <v>13</v>
      </c>
    </row>
    <row r="3352">
      <c r="A3352" s="4" t="s">
        <v>3787</v>
      </c>
      <c r="B3352" s="4" t="s">
        <v>3788</v>
      </c>
      <c r="C3352" s="12">
        <f>IFERROR(__xludf.DUMMYFUNCTION("""COMPUTED_VALUE"""),44662.568715277775)</f>
        <v>44662.56872</v>
      </c>
      <c r="D3352" s="13">
        <f t="shared" si="1"/>
        <v>11</v>
      </c>
      <c r="E3352" s="13">
        <f t="shared" si="2"/>
        <v>13</v>
      </c>
    </row>
    <row r="3353">
      <c r="A3353" s="4" t="s">
        <v>3789</v>
      </c>
      <c r="B3353" s="16"/>
      <c r="C3353" s="12">
        <f>IFERROR(__xludf.DUMMYFUNCTION("""COMPUTED_VALUE"""),44662.56869212963)</f>
        <v>44662.56869</v>
      </c>
      <c r="D3353" s="13">
        <f t="shared" si="1"/>
        <v>11</v>
      </c>
      <c r="E3353" s="13">
        <f t="shared" si="2"/>
        <v>13</v>
      </c>
    </row>
    <row r="3354">
      <c r="A3354" s="4" t="s">
        <v>3790</v>
      </c>
      <c r="B3354" s="4" t="s">
        <v>3788</v>
      </c>
      <c r="C3354" s="12">
        <f>IFERROR(__xludf.DUMMYFUNCTION("""COMPUTED_VALUE"""),44662.568657407406)</f>
        <v>44662.56866</v>
      </c>
      <c r="D3354" s="13">
        <f t="shared" si="1"/>
        <v>11</v>
      </c>
      <c r="E3354" s="13">
        <f t="shared" si="2"/>
        <v>13</v>
      </c>
    </row>
    <row r="3355">
      <c r="A3355" s="4" t="s">
        <v>3791</v>
      </c>
      <c r="B3355" s="16"/>
      <c r="C3355" s="12">
        <f>IFERROR(__xludf.DUMMYFUNCTION("""COMPUTED_VALUE"""),44662.56864583333)</f>
        <v>44662.56865</v>
      </c>
      <c r="D3355" s="13">
        <f t="shared" si="1"/>
        <v>11</v>
      </c>
      <c r="E3355" s="13">
        <f t="shared" si="2"/>
        <v>13</v>
      </c>
    </row>
    <row r="3356">
      <c r="A3356" s="4" t="s">
        <v>3791</v>
      </c>
      <c r="B3356" s="4" t="s">
        <v>3788</v>
      </c>
      <c r="C3356" s="12">
        <f>IFERROR(__xludf.DUMMYFUNCTION("""COMPUTED_VALUE"""),44662.56864583333)</f>
        <v>44662.56865</v>
      </c>
      <c r="D3356" s="13">
        <f t="shared" si="1"/>
        <v>11</v>
      </c>
      <c r="E3356" s="13">
        <f t="shared" si="2"/>
        <v>13</v>
      </c>
    </row>
    <row r="3357">
      <c r="A3357" s="4" t="s">
        <v>3792</v>
      </c>
      <c r="B3357" s="16"/>
      <c r="C3357" s="12">
        <f>IFERROR(__xludf.DUMMYFUNCTION("""COMPUTED_VALUE"""),44662.56862268518)</f>
        <v>44662.56862</v>
      </c>
      <c r="D3357" s="13">
        <f t="shared" si="1"/>
        <v>11</v>
      </c>
      <c r="E3357" s="13">
        <f t="shared" si="2"/>
        <v>13</v>
      </c>
    </row>
    <row r="3358">
      <c r="A3358" s="4" t="s">
        <v>3793</v>
      </c>
      <c r="B3358" s="4" t="s">
        <v>3788</v>
      </c>
      <c r="C3358" s="12">
        <f>IFERROR(__xludf.DUMMYFUNCTION("""COMPUTED_VALUE"""),44662.56859953704)</f>
        <v>44662.5686</v>
      </c>
      <c r="D3358" s="13">
        <f t="shared" si="1"/>
        <v>11</v>
      </c>
      <c r="E3358" s="13">
        <f t="shared" si="2"/>
        <v>13</v>
      </c>
    </row>
    <row r="3359">
      <c r="A3359" s="4" t="s">
        <v>3794</v>
      </c>
      <c r="B3359" s="4" t="s">
        <v>3788</v>
      </c>
      <c r="C3359" s="12">
        <f>IFERROR(__xludf.DUMMYFUNCTION("""COMPUTED_VALUE"""),44662.56858796296)</f>
        <v>44662.56859</v>
      </c>
      <c r="D3359" s="13">
        <f t="shared" si="1"/>
        <v>11</v>
      </c>
      <c r="E3359" s="13">
        <f t="shared" si="2"/>
        <v>13</v>
      </c>
    </row>
    <row r="3360">
      <c r="A3360" s="4" t="s">
        <v>3795</v>
      </c>
      <c r="B3360" s="16"/>
      <c r="C3360" s="12">
        <f>IFERROR(__xludf.DUMMYFUNCTION("""COMPUTED_VALUE"""),44662.56857638888)</f>
        <v>44662.56858</v>
      </c>
      <c r="D3360" s="13">
        <f t="shared" si="1"/>
        <v>11</v>
      </c>
      <c r="E3360" s="13">
        <f t="shared" si="2"/>
        <v>13</v>
      </c>
    </row>
    <row r="3361">
      <c r="A3361" s="4" t="s">
        <v>3796</v>
      </c>
      <c r="B3361" s="4" t="s">
        <v>3241</v>
      </c>
      <c r="C3361" s="12">
        <f>IFERROR(__xludf.DUMMYFUNCTION("""COMPUTED_VALUE"""),44662.56855324074)</f>
        <v>44662.56855</v>
      </c>
      <c r="D3361" s="13">
        <f t="shared" si="1"/>
        <v>11</v>
      </c>
      <c r="E3361" s="13">
        <f t="shared" si="2"/>
        <v>13</v>
      </c>
    </row>
    <row r="3362">
      <c r="A3362" s="4" t="s">
        <v>3797</v>
      </c>
      <c r="B3362" s="16"/>
      <c r="C3362" s="12">
        <f>IFERROR(__xludf.DUMMYFUNCTION("""COMPUTED_VALUE"""),44662.568506944444)</f>
        <v>44662.56851</v>
      </c>
      <c r="D3362" s="13">
        <f t="shared" si="1"/>
        <v>11</v>
      </c>
      <c r="E3362" s="13">
        <f t="shared" si="2"/>
        <v>13</v>
      </c>
    </row>
    <row r="3363">
      <c r="A3363" s="4" t="s">
        <v>3798</v>
      </c>
      <c r="B3363" s="4" t="s">
        <v>880</v>
      </c>
      <c r="C3363" s="12">
        <f>IFERROR(__xludf.DUMMYFUNCTION("""COMPUTED_VALUE"""),44662.568402777775)</f>
        <v>44662.5684</v>
      </c>
      <c r="D3363" s="13">
        <f t="shared" si="1"/>
        <v>11</v>
      </c>
      <c r="E3363" s="13">
        <f t="shared" si="2"/>
        <v>13</v>
      </c>
    </row>
    <row r="3364">
      <c r="A3364" s="4" t="s">
        <v>3799</v>
      </c>
      <c r="B3364" s="4" t="s">
        <v>3800</v>
      </c>
      <c r="C3364" s="12">
        <f>IFERROR(__xludf.DUMMYFUNCTION("""COMPUTED_VALUE"""),44662.56825231481)</f>
        <v>44662.56825</v>
      </c>
      <c r="D3364" s="13">
        <f t="shared" si="1"/>
        <v>11</v>
      </c>
      <c r="E3364" s="13">
        <f t="shared" si="2"/>
        <v>13</v>
      </c>
    </row>
    <row r="3365">
      <c r="A3365" s="4" t="s">
        <v>3801</v>
      </c>
      <c r="B3365" s="16"/>
      <c r="C3365" s="12">
        <f>IFERROR(__xludf.DUMMYFUNCTION("""COMPUTED_VALUE"""),44662.56817129629)</f>
        <v>44662.56817</v>
      </c>
      <c r="D3365" s="13">
        <f t="shared" si="1"/>
        <v>11</v>
      </c>
      <c r="E3365" s="13">
        <f t="shared" si="2"/>
        <v>13</v>
      </c>
    </row>
    <row r="3366">
      <c r="A3366" s="4" t="s">
        <v>3802</v>
      </c>
      <c r="B3366" s="16"/>
      <c r="C3366" s="12">
        <f>IFERROR(__xludf.DUMMYFUNCTION("""COMPUTED_VALUE"""),44662.568136574075)</f>
        <v>44662.56814</v>
      </c>
      <c r="D3366" s="13">
        <f t="shared" si="1"/>
        <v>11</v>
      </c>
      <c r="E3366" s="13">
        <f t="shared" si="2"/>
        <v>13</v>
      </c>
    </row>
    <row r="3367">
      <c r="A3367" s="4" t="s">
        <v>3803</v>
      </c>
      <c r="B3367" s="4" t="s">
        <v>3313</v>
      </c>
      <c r="C3367" s="12">
        <f>IFERROR(__xludf.DUMMYFUNCTION("""COMPUTED_VALUE"""),44662.56811342592)</f>
        <v>44662.56811</v>
      </c>
      <c r="D3367" s="13">
        <f t="shared" si="1"/>
        <v>11</v>
      </c>
      <c r="E3367" s="13">
        <f t="shared" si="2"/>
        <v>13</v>
      </c>
    </row>
    <row r="3368">
      <c r="A3368" s="4" t="s">
        <v>3804</v>
      </c>
      <c r="B3368" s="16"/>
      <c r="C3368" s="12">
        <f>IFERROR(__xludf.DUMMYFUNCTION("""COMPUTED_VALUE"""),44662.568090277775)</f>
        <v>44662.56809</v>
      </c>
      <c r="D3368" s="13">
        <f t="shared" si="1"/>
        <v>11</v>
      </c>
      <c r="E3368" s="13">
        <f t="shared" si="2"/>
        <v>13</v>
      </c>
    </row>
    <row r="3369">
      <c r="A3369" s="4" t="s">
        <v>3805</v>
      </c>
      <c r="B3369" s="4" t="s">
        <v>880</v>
      </c>
      <c r="C3369" s="12">
        <f>IFERROR(__xludf.DUMMYFUNCTION("""COMPUTED_VALUE"""),44662.56806712963)</f>
        <v>44662.56807</v>
      </c>
      <c r="D3369" s="13">
        <f t="shared" si="1"/>
        <v>11</v>
      </c>
      <c r="E3369" s="13">
        <f t="shared" si="2"/>
        <v>13</v>
      </c>
    </row>
    <row r="3370">
      <c r="A3370" s="4" t="s">
        <v>3806</v>
      </c>
      <c r="B3370" s="16"/>
      <c r="C3370" s="12">
        <f>IFERROR(__xludf.DUMMYFUNCTION("""COMPUTED_VALUE"""),44662.568032407406)</f>
        <v>44662.56803</v>
      </c>
      <c r="D3370" s="13">
        <f t="shared" si="1"/>
        <v>11</v>
      </c>
      <c r="E3370" s="13">
        <f t="shared" si="2"/>
        <v>13</v>
      </c>
    </row>
    <row r="3371">
      <c r="A3371" s="4" t="s">
        <v>3807</v>
      </c>
      <c r="B3371" s="4" t="s">
        <v>3682</v>
      </c>
      <c r="C3371" s="12">
        <f>IFERROR(__xludf.DUMMYFUNCTION("""COMPUTED_VALUE"""),44662.56802083333)</f>
        <v>44662.56802</v>
      </c>
      <c r="D3371" s="13">
        <f t="shared" si="1"/>
        <v>11</v>
      </c>
      <c r="E3371" s="13">
        <f t="shared" si="2"/>
        <v>13</v>
      </c>
    </row>
    <row r="3372">
      <c r="A3372" s="4" t="s">
        <v>3808</v>
      </c>
      <c r="B3372" s="16"/>
      <c r="C3372" s="12">
        <f>IFERROR(__xludf.DUMMYFUNCTION("""COMPUTED_VALUE"""),44662.567835648144)</f>
        <v>44662.56784</v>
      </c>
      <c r="D3372" s="13">
        <f t="shared" si="1"/>
        <v>11</v>
      </c>
      <c r="E3372" s="13">
        <f t="shared" si="2"/>
        <v>13</v>
      </c>
    </row>
    <row r="3373">
      <c r="A3373" s="4" t="s">
        <v>3809</v>
      </c>
      <c r="B3373" s="16"/>
      <c r="C3373" s="12">
        <f>IFERROR(__xludf.DUMMYFUNCTION("""COMPUTED_VALUE"""),44662.56763888889)</f>
        <v>44662.56764</v>
      </c>
      <c r="D3373" s="13">
        <f t="shared" si="1"/>
        <v>11</v>
      </c>
      <c r="E3373" s="13">
        <f t="shared" si="2"/>
        <v>13</v>
      </c>
    </row>
    <row r="3374">
      <c r="A3374" s="4" t="s">
        <v>3810</v>
      </c>
      <c r="B3374" s="16"/>
      <c r="C3374" s="12">
        <f>IFERROR(__xludf.DUMMYFUNCTION("""COMPUTED_VALUE"""),44662.567615740736)</f>
        <v>44662.56762</v>
      </c>
      <c r="D3374" s="13">
        <f t="shared" si="1"/>
        <v>11</v>
      </c>
      <c r="E3374" s="13">
        <f t="shared" si="2"/>
        <v>13</v>
      </c>
    </row>
    <row r="3375">
      <c r="A3375" s="4" t="s">
        <v>3811</v>
      </c>
      <c r="B3375" s="16"/>
      <c r="C3375" s="12">
        <f>IFERROR(__xludf.DUMMYFUNCTION("""COMPUTED_VALUE"""),44662.56759259259)</f>
        <v>44662.56759</v>
      </c>
      <c r="D3375" s="13">
        <f t="shared" si="1"/>
        <v>11</v>
      </c>
      <c r="E3375" s="13">
        <f t="shared" si="2"/>
        <v>13</v>
      </c>
    </row>
    <row r="3376">
      <c r="A3376" s="4" t="s">
        <v>3812</v>
      </c>
      <c r="B3376" s="16"/>
      <c r="C3376" s="12">
        <f>IFERROR(__xludf.DUMMYFUNCTION("""COMPUTED_VALUE"""),44662.56755787037)</f>
        <v>44662.56756</v>
      </c>
      <c r="D3376" s="13">
        <f t="shared" si="1"/>
        <v>11</v>
      </c>
      <c r="E3376" s="13">
        <f t="shared" si="2"/>
        <v>13</v>
      </c>
    </row>
    <row r="3377">
      <c r="A3377" s="4" t="s">
        <v>3813</v>
      </c>
      <c r="B3377" s="16"/>
      <c r="C3377" s="12">
        <f>IFERROR(__xludf.DUMMYFUNCTION("""COMPUTED_VALUE"""),44662.56743055555)</f>
        <v>44662.56743</v>
      </c>
      <c r="D3377" s="13">
        <f t="shared" si="1"/>
        <v>11</v>
      </c>
      <c r="E3377" s="13">
        <f t="shared" si="2"/>
        <v>13</v>
      </c>
    </row>
    <row r="3378">
      <c r="A3378" s="4" t="s">
        <v>3814</v>
      </c>
      <c r="B3378" s="4" t="s">
        <v>1759</v>
      </c>
      <c r="C3378" s="12">
        <f>IFERROR(__xludf.DUMMYFUNCTION("""COMPUTED_VALUE"""),44662.56741898148)</f>
        <v>44662.56742</v>
      </c>
      <c r="D3378" s="13">
        <f t="shared" si="1"/>
        <v>11</v>
      </c>
      <c r="E3378" s="13">
        <f t="shared" si="2"/>
        <v>13</v>
      </c>
    </row>
    <row r="3379">
      <c r="A3379" s="4" t="s">
        <v>3815</v>
      </c>
      <c r="B3379" s="16"/>
      <c r="C3379" s="12">
        <f>IFERROR(__xludf.DUMMYFUNCTION("""COMPUTED_VALUE"""),44662.567407407405)</f>
        <v>44662.56741</v>
      </c>
      <c r="D3379" s="13">
        <f t="shared" si="1"/>
        <v>11</v>
      </c>
      <c r="E3379" s="13">
        <f t="shared" si="2"/>
        <v>13</v>
      </c>
    </row>
    <row r="3380">
      <c r="A3380" s="4" t="s">
        <v>3816</v>
      </c>
      <c r="B3380" s="16"/>
      <c r="C3380" s="12">
        <f>IFERROR(__xludf.DUMMYFUNCTION("""COMPUTED_VALUE"""),44662.56738425926)</f>
        <v>44662.56738</v>
      </c>
      <c r="D3380" s="13">
        <f t="shared" si="1"/>
        <v>11</v>
      </c>
      <c r="E3380" s="13">
        <f t="shared" si="2"/>
        <v>13</v>
      </c>
    </row>
    <row r="3381">
      <c r="A3381" s="4" t="s">
        <v>3817</v>
      </c>
      <c r="B3381" s="4" t="s">
        <v>1759</v>
      </c>
      <c r="C3381" s="12">
        <f>IFERROR(__xludf.DUMMYFUNCTION("""COMPUTED_VALUE"""),44662.56737268518)</f>
        <v>44662.56737</v>
      </c>
      <c r="D3381" s="13">
        <f t="shared" si="1"/>
        <v>11</v>
      </c>
      <c r="E3381" s="13">
        <f t="shared" si="2"/>
        <v>13</v>
      </c>
    </row>
    <row r="3382">
      <c r="A3382" s="4" t="s">
        <v>3818</v>
      </c>
      <c r="B3382" s="16"/>
      <c r="C3382" s="12">
        <f>IFERROR(__xludf.DUMMYFUNCTION("""COMPUTED_VALUE"""),44662.567361111105)</f>
        <v>44662.56736</v>
      </c>
      <c r="D3382" s="13">
        <f t="shared" si="1"/>
        <v>11</v>
      </c>
      <c r="E3382" s="13">
        <f t="shared" si="2"/>
        <v>13</v>
      </c>
    </row>
    <row r="3383">
      <c r="A3383" s="4" t="s">
        <v>3819</v>
      </c>
      <c r="B3383" s="16"/>
      <c r="C3383" s="12">
        <f>IFERROR(__xludf.DUMMYFUNCTION("""COMPUTED_VALUE"""),44662.567349537036)</f>
        <v>44662.56735</v>
      </c>
      <c r="D3383" s="13">
        <f t="shared" si="1"/>
        <v>11</v>
      </c>
      <c r="E3383" s="13">
        <f t="shared" si="2"/>
        <v>13</v>
      </c>
    </row>
    <row r="3384">
      <c r="A3384" s="4" t="s">
        <v>3820</v>
      </c>
      <c r="B3384" s="4" t="s">
        <v>3821</v>
      </c>
      <c r="C3384" s="12">
        <f>IFERROR(__xludf.DUMMYFUNCTION("""COMPUTED_VALUE"""),44662.56722222222)</f>
        <v>44662.56722</v>
      </c>
      <c r="D3384" s="13">
        <f t="shared" si="1"/>
        <v>11</v>
      </c>
      <c r="E3384" s="13">
        <f t="shared" si="2"/>
        <v>13</v>
      </c>
    </row>
    <row r="3385">
      <c r="A3385" s="4" t="s">
        <v>3822</v>
      </c>
      <c r="B3385" s="16"/>
      <c r="C3385" s="12">
        <f>IFERROR(__xludf.DUMMYFUNCTION("""COMPUTED_VALUE"""),44662.5671875)</f>
        <v>44662.56719</v>
      </c>
      <c r="D3385" s="13">
        <f t="shared" si="1"/>
        <v>11</v>
      </c>
      <c r="E3385" s="13">
        <f t="shared" si="2"/>
        <v>13</v>
      </c>
    </row>
    <row r="3386">
      <c r="A3386" s="4" t="s">
        <v>3823</v>
      </c>
      <c r="B3386" s="4" t="s">
        <v>3821</v>
      </c>
      <c r="C3386" s="12">
        <f>IFERROR(__xludf.DUMMYFUNCTION("""COMPUTED_VALUE"""),44662.566932870366)</f>
        <v>44662.56693</v>
      </c>
      <c r="D3386" s="13">
        <f t="shared" si="1"/>
        <v>11</v>
      </c>
      <c r="E3386" s="13">
        <f t="shared" si="2"/>
        <v>13</v>
      </c>
    </row>
    <row r="3387">
      <c r="A3387" s="4" t="s">
        <v>3823</v>
      </c>
      <c r="B3387" s="4" t="s">
        <v>1759</v>
      </c>
      <c r="C3387" s="12">
        <f>IFERROR(__xludf.DUMMYFUNCTION("""COMPUTED_VALUE"""),44662.566932870366)</f>
        <v>44662.56693</v>
      </c>
      <c r="D3387" s="13">
        <f t="shared" si="1"/>
        <v>11</v>
      </c>
      <c r="E3387" s="13">
        <f t="shared" si="2"/>
        <v>13</v>
      </c>
    </row>
    <row r="3388">
      <c r="A3388" s="4" t="s">
        <v>3824</v>
      </c>
      <c r="B3388" s="4" t="s">
        <v>1759</v>
      </c>
      <c r="C3388" s="12">
        <f>IFERROR(__xludf.DUMMYFUNCTION("""COMPUTED_VALUE"""),44662.56690972222)</f>
        <v>44662.56691</v>
      </c>
      <c r="D3388" s="13">
        <f t="shared" si="1"/>
        <v>11</v>
      </c>
      <c r="E3388" s="13">
        <f t="shared" si="2"/>
        <v>13</v>
      </c>
    </row>
    <row r="3389">
      <c r="A3389" s="4" t="s">
        <v>3825</v>
      </c>
      <c r="B3389" s="4" t="s">
        <v>3821</v>
      </c>
      <c r="C3389" s="12">
        <f>IFERROR(__xludf.DUMMYFUNCTION("""COMPUTED_VALUE"""),44662.56688657407)</f>
        <v>44662.56689</v>
      </c>
      <c r="D3389" s="13">
        <f t="shared" si="1"/>
        <v>11</v>
      </c>
      <c r="E3389" s="13">
        <f t="shared" si="2"/>
        <v>13</v>
      </c>
    </row>
    <row r="3390">
      <c r="A3390" s="4" t="s">
        <v>3826</v>
      </c>
      <c r="B3390" s="4" t="s">
        <v>3821</v>
      </c>
      <c r="C3390" s="12">
        <f>IFERROR(__xludf.DUMMYFUNCTION("""COMPUTED_VALUE"""),44662.566840277774)</f>
        <v>44662.56684</v>
      </c>
      <c r="D3390" s="13">
        <f t="shared" si="1"/>
        <v>11</v>
      </c>
      <c r="E3390" s="13">
        <f t="shared" si="2"/>
        <v>13</v>
      </c>
    </row>
    <row r="3391">
      <c r="A3391" s="4" t="s">
        <v>3827</v>
      </c>
      <c r="B3391" s="4" t="s">
        <v>3821</v>
      </c>
      <c r="C3391" s="12">
        <f>IFERROR(__xludf.DUMMYFUNCTION("""COMPUTED_VALUE"""),44662.56679398148)</f>
        <v>44662.56679</v>
      </c>
      <c r="D3391" s="13">
        <f t="shared" si="1"/>
        <v>11</v>
      </c>
      <c r="E3391" s="13">
        <f t="shared" si="2"/>
        <v>13</v>
      </c>
    </row>
    <row r="3392">
      <c r="A3392" s="4" t="s">
        <v>3828</v>
      </c>
      <c r="B3392" s="16"/>
      <c r="C3392" s="12">
        <f>IFERROR(__xludf.DUMMYFUNCTION("""COMPUTED_VALUE"""),44662.56671296296)</f>
        <v>44662.56671</v>
      </c>
      <c r="D3392" s="13">
        <f t="shared" si="1"/>
        <v>11</v>
      </c>
      <c r="E3392" s="13">
        <f t="shared" si="2"/>
        <v>13</v>
      </c>
    </row>
    <row r="3393">
      <c r="A3393" s="4" t="s">
        <v>3829</v>
      </c>
      <c r="B3393" s="4" t="s">
        <v>3830</v>
      </c>
      <c r="C3393" s="12">
        <f>IFERROR(__xludf.DUMMYFUNCTION("""COMPUTED_VALUE"""),44662.566666666666)</f>
        <v>44662.56667</v>
      </c>
      <c r="D3393" s="13">
        <f t="shared" si="1"/>
        <v>11</v>
      </c>
      <c r="E3393" s="13">
        <f t="shared" si="2"/>
        <v>13</v>
      </c>
    </row>
    <row r="3394">
      <c r="A3394" s="4" t="s">
        <v>3831</v>
      </c>
      <c r="B3394" s="4" t="s">
        <v>3821</v>
      </c>
      <c r="C3394" s="12">
        <f>IFERROR(__xludf.DUMMYFUNCTION("""COMPUTED_VALUE"""),44662.566620370366)</f>
        <v>44662.56662</v>
      </c>
      <c r="D3394" s="13">
        <f t="shared" si="1"/>
        <v>11</v>
      </c>
      <c r="E3394" s="13">
        <f t="shared" si="2"/>
        <v>13</v>
      </c>
    </row>
    <row r="3395">
      <c r="A3395" s="4" t="s">
        <v>3832</v>
      </c>
      <c r="B3395" s="16"/>
      <c r="C3395" s="12">
        <f>IFERROR(__xludf.DUMMYFUNCTION("""COMPUTED_VALUE"""),44662.566608796296)</f>
        <v>44662.56661</v>
      </c>
      <c r="D3395" s="13">
        <f t="shared" si="1"/>
        <v>11</v>
      </c>
      <c r="E3395" s="13">
        <f t="shared" si="2"/>
        <v>13</v>
      </c>
    </row>
    <row r="3396">
      <c r="A3396" s="4" t="s">
        <v>3833</v>
      </c>
      <c r="B3396" s="16"/>
      <c r="C3396" s="12">
        <f>IFERROR(__xludf.DUMMYFUNCTION("""COMPUTED_VALUE"""),44662.5665625)</f>
        <v>44662.56656</v>
      </c>
      <c r="D3396" s="13">
        <f t="shared" si="1"/>
        <v>11</v>
      </c>
      <c r="E3396" s="13">
        <f t="shared" si="2"/>
        <v>13</v>
      </c>
    </row>
    <row r="3397">
      <c r="A3397" s="4" t="s">
        <v>3834</v>
      </c>
      <c r="B3397" s="4" t="s">
        <v>1759</v>
      </c>
      <c r="C3397" s="12">
        <f>IFERROR(__xludf.DUMMYFUNCTION("""COMPUTED_VALUE"""),44662.56648148148)</f>
        <v>44662.56648</v>
      </c>
      <c r="D3397" s="13">
        <f t="shared" si="1"/>
        <v>11</v>
      </c>
      <c r="E3397" s="13">
        <f t="shared" si="2"/>
        <v>13</v>
      </c>
    </row>
    <row r="3398">
      <c r="A3398" s="4" t="s">
        <v>3835</v>
      </c>
      <c r="B3398" s="4" t="s">
        <v>3836</v>
      </c>
      <c r="C3398" s="12">
        <f>IFERROR(__xludf.DUMMYFUNCTION("""COMPUTED_VALUE"""),44662.56631944444)</f>
        <v>44662.56632</v>
      </c>
      <c r="D3398" s="13">
        <f t="shared" si="1"/>
        <v>11</v>
      </c>
      <c r="E3398" s="13">
        <f t="shared" si="2"/>
        <v>13</v>
      </c>
    </row>
    <row r="3399">
      <c r="A3399" s="4" t="s">
        <v>3837</v>
      </c>
      <c r="B3399" s="16"/>
      <c r="C3399" s="12">
        <f>IFERROR(__xludf.DUMMYFUNCTION("""COMPUTED_VALUE"""),44662.565995370365)</f>
        <v>44662.566</v>
      </c>
      <c r="D3399" s="13">
        <f t="shared" si="1"/>
        <v>11</v>
      </c>
      <c r="E3399" s="13">
        <f t="shared" si="2"/>
        <v>13</v>
      </c>
    </row>
    <row r="3400">
      <c r="A3400" s="4" t="s">
        <v>3838</v>
      </c>
      <c r="B3400" s="16"/>
      <c r="C3400" s="12">
        <f>IFERROR(__xludf.DUMMYFUNCTION("""COMPUTED_VALUE"""),44662.56591435185)</f>
        <v>44662.56591</v>
      </c>
      <c r="D3400" s="13">
        <f t="shared" si="1"/>
        <v>11</v>
      </c>
      <c r="E3400" s="13">
        <f t="shared" si="2"/>
        <v>13</v>
      </c>
    </row>
    <row r="3401">
      <c r="A3401" s="4" t="s">
        <v>3839</v>
      </c>
      <c r="B3401" s="4" t="s">
        <v>3840</v>
      </c>
      <c r="C3401" s="12">
        <f>IFERROR(__xludf.DUMMYFUNCTION("""COMPUTED_VALUE"""),44662.56590277777)</f>
        <v>44662.5659</v>
      </c>
      <c r="D3401" s="13">
        <f t="shared" si="1"/>
        <v>11</v>
      </c>
      <c r="E3401" s="13">
        <f t="shared" si="2"/>
        <v>13</v>
      </c>
    </row>
    <row r="3402">
      <c r="A3402" s="4" t="s">
        <v>3841</v>
      </c>
      <c r="B3402" s="4" t="s">
        <v>3666</v>
      </c>
      <c r="C3402" s="12">
        <f>IFERROR(__xludf.DUMMYFUNCTION("""COMPUTED_VALUE"""),44662.56585648148)</f>
        <v>44662.56586</v>
      </c>
      <c r="D3402" s="13">
        <f t="shared" si="1"/>
        <v>11</v>
      </c>
      <c r="E3402" s="13">
        <f t="shared" si="2"/>
        <v>13</v>
      </c>
    </row>
    <row r="3403">
      <c r="A3403" s="4" t="s">
        <v>3842</v>
      </c>
      <c r="B3403" s="4" t="s">
        <v>3666</v>
      </c>
      <c r="C3403" s="12">
        <f>IFERROR(__xludf.DUMMYFUNCTION("""COMPUTED_VALUE"""),44662.5658449074)</f>
        <v>44662.56584</v>
      </c>
      <c r="D3403" s="13">
        <f t="shared" si="1"/>
        <v>11</v>
      </c>
      <c r="E3403" s="13">
        <f t="shared" si="2"/>
        <v>13</v>
      </c>
    </row>
    <row r="3404">
      <c r="A3404" s="4" t="s">
        <v>3843</v>
      </c>
      <c r="B3404" s="16"/>
      <c r="C3404" s="12">
        <f>IFERROR(__xludf.DUMMYFUNCTION("""COMPUTED_VALUE"""),44662.56582175926)</f>
        <v>44662.56582</v>
      </c>
      <c r="D3404" s="13">
        <f t="shared" si="1"/>
        <v>11</v>
      </c>
      <c r="E3404" s="13">
        <f t="shared" si="2"/>
        <v>13</v>
      </c>
    </row>
    <row r="3405">
      <c r="A3405" s="4" t="s">
        <v>3844</v>
      </c>
      <c r="B3405" s="4" t="s">
        <v>3666</v>
      </c>
      <c r="C3405" s="12">
        <f>IFERROR(__xludf.DUMMYFUNCTION("""COMPUTED_VALUE"""),44662.56581018518)</f>
        <v>44662.56581</v>
      </c>
      <c r="D3405" s="13">
        <f t="shared" si="1"/>
        <v>11</v>
      </c>
      <c r="E3405" s="13">
        <f t="shared" si="2"/>
        <v>13</v>
      </c>
    </row>
    <row r="3406">
      <c r="A3406" s="4" t="s">
        <v>3845</v>
      </c>
      <c r="B3406" s="16"/>
      <c r="C3406" s="12">
        <f>IFERROR(__xludf.DUMMYFUNCTION("""COMPUTED_VALUE"""),44662.565787037034)</f>
        <v>44662.56579</v>
      </c>
      <c r="D3406" s="13">
        <f t="shared" si="1"/>
        <v>11</v>
      </c>
      <c r="E3406" s="13">
        <f t="shared" si="2"/>
        <v>13</v>
      </c>
    </row>
    <row r="3407">
      <c r="A3407" s="4" t="s">
        <v>3846</v>
      </c>
      <c r="B3407" s="16"/>
      <c r="C3407" s="12">
        <f>IFERROR(__xludf.DUMMYFUNCTION("""COMPUTED_VALUE"""),44662.56574074074)</f>
        <v>44662.56574</v>
      </c>
      <c r="D3407" s="13">
        <f t="shared" si="1"/>
        <v>11</v>
      </c>
      <c r="E3407" s="13">
        <f t="shared" si="2"/>
        <v>13</v>
      </c>
    </row>
    <row r="3408">
      <c r="A3408" s="4" t="s">
        <v>3847</v>
      </c>
      <c r="B3408" s="4" t="s">
        <v>3848</v>
      </c>
      <c r="C3408" s="12">
        <f>IFERROR(__xludf.DUMMYFUNCTION("""COMPUTED_VALUE"""),44662.565567129626)</f>
        <v>44662.56557</v>
      </c>
      <c r="D3408" s="13">
        <f t="shared" si="1"/>
        <v>11</v>
      </c>
      <c r="E3408" s="13">
        <f t="shared" si="2"/>
        <v>13</v>
      </c>
    </row>
    <row r="3409">
      <c r="A3409" s="4" t="s">
        <v>3849</v>
      </c>
      <c r="B3409" s="16"/>
      <c r="C3409" s="12">
        <f>IFERROR(__xludf.DUMMYFUNCTION("""COMPUTED_VALUE"""),44662.56532407407)</f>
        <v>44662.56532</v>
      </c>
      <c r="D3409" s="13">
        <f t="shared" si="1"/>
        <v>11</v>
      </c>
      <c r="E3409" s="13">
        <f t="shared" si="2"/>
        <v>13</v>
      </c>
    </row>
    <row r="3410">
      <c r="A3410" s="4" t="s">
        <v>3850</v>
      </c>
      <c r="B3410" s="16"/>
      <c r="C3410" s="12">
        <f>IFERROR(__xludf.DUMMYFUNCTION("""COMPUTED_VALUE"""),44662.56523148148)</f>
        <v>44662.56523</v>
      </c>
      <c r="D3410" s="13">
        <f t="shared" si="1"/>
        <v>11</v>
      </c>
      <c r="E3410" s="13">
        <f t="shared" si="2"/>
        <v>13</v>
      </c>
    </row>
    <row r="3411">
      <c r="A3411" s="4" t="s">
        <v>3850</v>
      </c>
      <c r="B3411" s="4" t="s">
        <v>1759</v>
      </c>
      <c r="C3411" s="12">
        <f>IFERROR(__xludf.DUMMYFUNCTION("""COMPUTED_VALUE"""),44662.56523148148)</f>
        <v>44662.56523</v>
      </c>
      <c r="D3411" s="13">
        <f t="shared" si="1"/>
        <v>11</v>
      </c>
      <c r="E3411" s="13">
        <f t="shared" si="2"/>
        <v>13</v>
      </c>
    </row>
    <row r="3412">
      <c r="A3412" s="4" t="s">
        <v>3851</v>
      </c>
      <c r="B3412" s="4" t="s">
        <v>1455</v>
      </c>
      <c r="C3412" s="12">
        <f>IFERROR(__xludf.DUMMYFUNCTION("""COMPUTED_VALUE"""),44662.56520833333)</f>
        <v>44662.56521</v>
      </c>
      <c r="D3412" s="13">
        <f t="shared" si="1"/>
        <v>11</v>
      </c>
      <c r="E3412" s="13">
        <f t="shared" si="2"/>
        <v>13</v>
      </c>
    </row>
    <row r="3413">
      <c r="A3413" s="4" t="s">
        <v>3852</v>
      </c>
      <c r="B3413" s="16"/>
      <c r="C3413" s="12">
        <f>IFERROR(__xludf.DUMMYFUNCTION("""COMPUTED_VALUE"""),44662.564999999995)</f>
        <v>44662.565</v>
      </c>
      <c r="D3413" s="13">
        <f t="shared" si="1"/>
        <v>11</v>
      </c>
      <c r="E3413" s="13">
        <f t="shared" si="2"/>
        <v>13</v>
      </c>
    </row>
    <row r="3414">
      <c r="A3414" s="4" t="s">
        <v>3853</v>
      </c>
      <c r="B3414" s="4" t="s">
        <v>1759</v>
      </c>
      <c r="C3414" s="12">
        <f>IFERROR(__xludf.DUMMYFUNCTION("""COMPUTED_VALUE"""),44662.56497685185)</f>
        <v>44662.56498</v>
      </c>
      <c r="D3414" s="13">
        <f t="shared" si="1"/>
        <v>11</v>
      </c>
      <c r="E3414" s="13">
        <f t="shared" si="2"/>
        <v>13</v>
      </c>
    </row>
    <row r="3415">
      <c r="A3415" s="4" t="s">
        <v>3854</v>
      </c>
      <c r="B3415" s="16"/>
      <c r="C3415" s="12">
        <f>IFERROR(__xludf.DUMMYFUNCTION("""COMPUTED_VALUE"""),44662.5649537037)</f>
        <v>44662.56495</v>
      </c>
      <c r="D3415" s="13">
        <f t="shared" si="1"/>
        <v>11</v>
      </c>
      <c r="E3415" s="13">
        <f t="shared" si="2"/>
        <v>13</v>
      </c>
    </row>
    <row r="3416">
      <c r="A3416" s="4" t="s">
        <v>3855</v>
      </c>
      <c r="B3416" s="16"/>
      <c r="C3416" s="12">
        <f>IFERROR(__xludf.DUMMYFUNCTION("""COMPUTED_VALUE"""),44662.56489583333)</f>
        <v>44662.5649</v>
      </c>
      <c r="D3416" s="13">
        <f t="shared" si="1"/>
        <v>11</v>
      </c>
      <c r="E3416" s="13">
        <f t="shared" si="2"/>
        <v>13</v>
      </c>
    </row>
    <row r="3417">
      <c r="A3417" s="4" t="s">
        <v>3856</v>
      </c>
      <c r="B3417" s="16"/>
      <c r="C3417" s="12">
        <f>IFERROR(__xludf.DUMMYFUNCTION("""COMPUTED_VALUE"""),44662.564884259256)</f>
        <v>44662.56488</v>
      </c>
      <c r="D3417" s="13">
        <f t="shared" si="1"/>
        <v>11</v>
      </c>
      <c r="E3417" s="13">
        <f t="shared" si="2"/>
        <v>13</v>
      </c>
    </row>
    <row r="3418">
      <c r="A3418" s="4" t="s">
        <v>3856</v>
      </c>
      <c r="B3418" s="4" t="s">
        <v>3666</v>
      </c>
      <c r="C3418" s="12">
        <f>IFERROR(__xludf.DUMMYFUNCTION("""COMPUTED_VALUE"""),44662.564884259256)</f>
        <v>44662.56488</v>
      </c>
      <c r="D3418" s="13">
        <f t="shared" si="1"/>
        <v>11</v>
      </c>
      <c r="E3418" s="13">
        <f t="shared" si="2"/>
        <v>13</v>
      </c>
    </row>
    <row r="3419">
      <c r="A3419" s="4" t="s">
        <v>3857</v>
      </c>
      <c r="B3419" s="4" t="s">
        <v>3858</v>
      </c>
      <c r="C3419" s="12">
        <f>IFERROR(__xludf.DUMMYFUNCTION("""COMPUTED_VALUE"""),44662.56487268518)</f>
        <v>44662.56487</v>
      </c>
      <c r="D3419" s="13">
        <f t="shared" si="1"/>
        <v>11</v>
      </c>
      <c r="E3419" s="13">
        <f t="shared" si="2"/>
        <v>13</v>
      </c>
    </row>
    <row r="3420">
      <c r="A3420" s="4" t="s">
        <v>3859</v>
      </c>
      <c r="B3420" s="16"/>
      <c r="C3420" s="12">
        <f>IFERROR(__xludf.DUMMYFUNCTION("""COMPUTED_VALUE"""),44662.56486111111)</f>
        <v>44662.56486</v>
      </c>
      <c r="D3420" s="13">
        <f t="shared" si="1"/>
        <v>11</v>
      </c>
      <c r="E3420" s="13">
        <f t="shared" si="2"/>
        <v>13</v>
      </c>
    </row>
    <row r="3421">
      <c r="A3421" s="4" t="s">
        <v>3859</v>
      </c>
      <c r="B3421" s="16"/>
      <c r="C3421" s="12">
        <f>IFERROR(__xludf.DUMMYFUNCTION("""COMPUTED_VALUE"""),44662.56486111111)</f>
        <v>44662.56486</v>
      </c>
      <c r="D3421" s="13">
        <f t="shared" si="1"/>
        <v>11</v>
      </c>
      <c r="E3421" s="13">
        <f t="shared" si="2"/>
        <v>13</v>
      </c>
    </row>
    <row r="3422">
      <c r="A3422" s="4" t="s">
        <v>3860</v>
      </c>
      <c r="B3422" s="16"/>
      <c r="C3422" s="12">
        <f>IFERROR(__xludf.DUMMYFUNCTION("""COMPUTED_VALUE"""),44662.56481481481)</f>
        <v>44662.56481</v>
      </c>
      <c r="D3422" s="13">
        <f t="shared" si="1"/>
        <v>11</v>
      </c>
      <c r="E3422" s="13">
        <f t="shared" si="2"/>
        <v>13</v>
      </c>
    </row>
    <row r="3423">
      <c r="A3423" s="4" t="s">
        <v>3861</v>
      </c>
      <c r="B3423" s="16"/>
      <c r="C3423" s="12">
        <f>IFERROR(__xludf.DUMMYFUNCTION("""COMPUTED_VALUE"""),44662.564791666664)</f>
        <v>44662.56479</v>
      </c>
      <c r="D3423" s="13">
        <f t="shared" si="1"/>
        <v>11</v>
      </c>
      <c r="E3423" s="13">
        <f t="shared" si="2"/>
        <v>13</v>
      </c>
    </row>
    <row r="3424">
      <c r="A3424" s="4" t="s">
        <v>3861</v>
      </c>
      <c r="B3424" s="4" t="s">
        <v>3666</v>
      </c>
      <c r="C3424" s="12">
        <f>IFERROR(__xludf.DUMMYFUNCTION("""COMPUTED_VALUE"""),44662.564791666664)</f>
        <v>44662.56479</v>
      </c>
      <c r="D3424" s="13">
        <f t="shared" si="1"/>
        <v>11</v>
      </c>
      <c r="E3424" s="13">
        <f t="shared" si="2"/>
        <v>13</v>
      </c>
    </row>
    <row r="3425">
      <c r="A3425" s="4" t="s">
        <v>3862</v>
      </c>
      <c r="B3425" s="16"/>
      <c r="C3425" s="12">
        <f>IFERROR(__xludf.DUMMYFUNCTION("""COMPUTED_VALUE"""),44662.564733796295)</f>
        <v>44662.56473</v>
      </c>
      <c r="D3425" s="13">
        <f t="shared" si="1"/>
        <v>11</v>
      </c>
      <c r="E3425" s="13">
        <f t="shared" si="2"/>
        <v>13</v>
      </c>
    </row>
    <row r="3426">
      <c r="A3426" s="4" t="s">
        <v>3862</v>
      </c>
      <c r="B3426" s="4" t="s">
        <v>3858</v>
      </c>
      <c r="C3426" s="12">
        <f>IFERROR(__xludf.DUMMYFUNCTION("""COMPUTED_VALUE"""),44662.564733796295)</f>
        <v>44662.56473</v>
      </c>
      <c r="D3426" s="13">
        <f t="shared" si="1"/>
        <v>11</v>
      </c>
      <c r="E3426" s="13">
        <f t="shared" si="2"/>
        <v>13</v>
      </c>
    </row>
    <row r="3427">
      <c r="A3427" s="4" t="s">
        <v>3863</v>
      </c>
      <c r="B3427" s="4" t="s">
        <v>2740</v>
      </c>
      <c r="C3427" s="12">
        <f>IFERROR(__xludf.DUMMYFUNCTION("""COMPUTED_VALUE"""),44662.5645949074)</f>
        <v>44662.56459</v>
      </c>
      <c r="D3427" s="13">
        <f t="shared" si="1"/>
        <v>11</v>
      </c>
      <c r="E3427" s="13">
        <f t="shared" si="2"/>
        <v>13</v>
      </c>
    </row>
    <row r="3428">
      <c r="A3428" s="4" t="s">
        <v>3863</v>
      </c>
      <c r="B3428" s="16"/>
      <c r="C3428" s="12">
        <f>IFERROR(__xludf.DUMMYFUNCTION("""COMPUTED_VALUE"""),44662.5645949074)</f>
        <v>44662.56459</v>
      </c>
      <c r="D3428" s="13">
        <f t="shared" si="1"/>
        <v>11</v>
      </c>
      <c r="E3428" s="13">
        <f t="shared" si="2"/>
        <v>13</v>
      </c>
    </row>
    <row r="3429">
      <c r="A3429" s="4" t="s">
        <v>3864</v>
      </c>
      <c r="B3429" s="16"/>
      <c r="C3429" s="12">
        <f>IFERROR(__xludf.DUMMYFUNCTION("""COMPUTED_VALUE"""),44662.564571759256)</f>
        <v>44662.56457</v>
      </c>
      <c r="D3429" s="13">
        <f t="shared" si="1"/>
        <v>11</v>
      </c>
      <c r="E3429" s="13">
        <f t="shared" si="2"/>
        <v>13</v>
      </c>
    </row>
    <row r="3430">
      <c r="A3430" s="4" t="s">
        <v>3865</v>
      </c>
      <c r="B3430" s="4" t="s">
        <v>3866</v>
      </c>
      <c r="C3430" s="12">
        <f>IFERROR(__xludf.DUMMYFUNCTION("""COMPUTED_VALUE"""),44662.56452546296)</f>
        <v>44662.56453</v>
      </c>
      <c r="D3430" s="13">
        <f t="shared" si="1"/>
        <v>11</v>
      </c>
      <c r="E3430" s="13">
        <f t="shared" si="2"/>
        <v>13</v>
      </c>
    </row>
    <row r="3431">
      <c r="A3431" s="4" t="s">
        <v>3867</v>
      </c>
      <c r="B3431" s="16"/>
      <c r="C3431" s="12">
        <f>IFERROR(__xludf.DUMMYFUNCTION("""COMPUTED_VALUE"""),44662.56445601852)</f>
        <v>44662.56446</v>
      </c>
      <c r="D3431" s="13">
        <f t="shared" si="1"/>
        <v>11</v>
      </c>
      <c r="E3431" s="13">
        <f t="shared" si="2"/>
        <v>13</v>
      </c>
    </row>
    <row r="3432">
      <c r="A3432" s="4" t="s">
        <v>3868</v>
      </c>
      <c r="B3432" s="16"/>
      <c r="C3432" s="12">
        <f>IFERROR(__xludf.DUMMYFUNCTION("""COMPUTED_VALUE"""),44662.564247685186)</f>
        <v>44662.56425</v>
      </c>
      <c r="D3432" s="13">
        <f t="shared" si="1"/>
        <v>11</v>
      </c>
      <c r="E3432" s="13">
        <f t="shared" si="2"/>
        <v>13</v>
      </c>
    </row>
    <row r="3433">
      <c r="A3433" s="4" t="s">
        <v>3869</v>
      </c>
      <c r="B3433" s="16"/>
      <c r="C3433" s="12">
        <f>IFERROR(__xludf.DUMMYFUNCTION("""COMPUTED_VALUE"""),44662.564108796294)</f>
        <v>44662.56411</v>
      </c>
      <c r="D3433" s="13">
        <f t="shared" si="1"/>
        <v>11</v>
      </c>
      <c r="E3433" s="13">
        <f t="shared" si="2"/>
        <v>13</v>
      </c>
    </row>
    <row r="3434">
      <c r="A3434" s="4" t="s">
        <v>3870</v>
      </c>
      <c r="B3434" s="4" t="s">
        <v>2594</v>
      </c>
      <c r="C3434" s="12">
        <f>IFERROR(__xludf.DUMMYFUNCTION("""COMPUTED_VALUE"""),44662.56409722222)</f>
        <v>44662.5641</v>
      </c>
      <c r="D3434" s="13">
        <f t="shared" si="1"/>
        <v>11</v>
      </c>
      <c r="E3434" s="13">
        <f t="shared" si="2"/>
        <v>13</v>
      </c>
    </row>
    <row r="3435">
      <c r="A3435" s="4" t="s">
        <v>3871</v>
      </c>
      <c r="B3435" s="4" t="s">
        <v>2594</v>
      </c>
      <c r="C3435" s="12">
        <f>IFERROR(__xludf.DUMMYFUNCTION("""COMPUTED_VALUE"""),44662.56407407407)</f>
        <v>44662.56407</v>
      </c>
      <c r="D3435" s="13">
        <f t="shared" si="1"/>
        <v>11</v>
      </c>
      <c r="E3435" s="13">
        <f t="shared" si="2"/>
        <v>13</v>
      </c>
    </row>
    <row r="3436">
      <c r="A3436" s="4" t="s">
        <v>3872</v>
      </c>
      <c r="B3436" s="4" t="s">
        <v>2594</v>
      </c>
      <c r="C3436" s="12">
        <f>IFERROR(__xludf.DUMMYFUNCTION("""COMPUTED_VALUE"""),44662.56403935185)</f>
        <v>44662.56404</v>
      </c>
      <c r="D3436" s="13">
        <f t="shared" si="1"/>
        <v>11</v>
      </c>
      <c r="E3436" s="13">
        <f t="shared" si="2"/>
        <v>13</v>
      </c>
    </row>
    <row r="3437">
      <c r="A3437" s="4" t="s">
        <v>3873</v>
      </c>
      <c r="B3437" s="16"/>
      <c r="C3437" s="12">
        <f>IFERROR(__xludf.DUMMYFUNCTION("""COMPUTED_VALUE"""),44662.56384259259)</f>
        <v>44662.56384</v>
      </c>
      <c r="D3437" s="13">
        <f t="shared" si="1"/>
        <v>11</v>
      </c>
      <c r="E3437" s="13">
        <f t="shared" si="2"/>
        <v>13</v>
      </c>
    </row>
    <row r="3438">
      <c r="A3438" s="4" t="s">
        <v>3874</v>
      </c>
      <c r="B3438" s="4" t="s">
        <v>3875</v>
      </c>
      <c r="C3438" s="12">
        <f>IFERROR(__xludf.DUMMYFUNCTION("""COMPUTED_VALUE"""),44662.56381944444)</f>
        <v>44662.56382</v>
      </c>
      <c r="D3438" s="13">
        <f t="shared" si="1"/>
        <v>11</v>
      </c>
      <c r="E3438" s="13">
        <f t="shared" si="2"/>
        <v>13</v>
      </c>
    </row>
    <row r="3439">
      <c r="A3439" s="4" t="s">
        <v>3876</v>
      </c>
      <c r="B3439" s="4" t="s">
        <v>3877</v>
      </c>
      <c r="C3439" s="12">
        <f>IFERROR(__xludf.DUMMYFUNCTION("""COMPUTED_VALUE"""),44662.563796296294)</f>
        <v>44662.5638</v>
      </c>
      <c r="D3439" s="13">
        <f t="shared" si="1"/>
        <v>11</v>
      </c>
      <c r="E3439" s="13">
        <f t="shared" si="2"/>
        <v>13</v>
      </c>
    </row>
    <row r="3440">
      <c r="A3440" s="4" t="s">
        <v>3878</v>
      </c>
      <c r="B3440" s="4" t="s">
        <v>3875</v>
      </c>
      <c r="C3440" s="12">
        <f>IFERROR(__xludf.DUMMYFUNCTION("""COMPUTED_VALUE"""),44662.56377314815)</f>
        <v>44662.56377</v>
      </c>
      <c r="D3440" s="13">
        <f t="shared" si="1"/>
        <v>11</v>
      </c>
      <c r="E3440" s="13">
        <f t="shared" si="2"/>
        <v>13</v>
      </c>
    </row>
    <row r="3441">
      <c r="A3441" s="4" t="s">
        <v>3879</v>
      </c>
      <c r="B3441" s="4" t="s">
        <v>1759</v>
      </c>
      <c r="C3441" s="12">
        <f>IFERROR(__xludf.DUMMYFUNCTION("""COMPUTED_VALUE"""),44662.56359953703)</f>
        <v>44662.5636</v>
      </c>
      <c r="D3441" s="13">
        <f t="shared" si="1"/>
        <v>11</v>
      </c>
      <c r="E3441" s="13">
        <f t="shared" si="2"/>
        <v>13</v>
      </c>
    </row>
    <row r="3442">
      <c r="A3442" s="4" t="s">
        <v>3879</v>
      </c>
      <c r="B3442" s="4" t="s">
        <v>3880</v>
      </c>
      <c r="C3442" s="12">
        <f>IFERROR(__xludf.DUMMYFUNCTION("""COMPUTED_VALUE"""),44662.56359953703)</f>
        <v>44662.5636</v>
      </c>
      <c r="D3442" s="13">
        <f t="shared" si="1"/>
        <v>11</v>
      </c>
      <c r="E3442" s="13">
        <f t="shared" si="2"/>
        <v>13</v>
      </c>
    </row>
    <row r="3443">
      <c r="A3443" s="4" t="s">
        <v>3881</v>
      </c>
      <c r="B3443" s="4" t="s">
        <v>1759</v>
      </c>
      <c r="C3443" s="12">
        <f>IFERROR(__xludf.DUMMYFUNCTION("""COMPUTED_VALUE"""),44662.563576388886)</f>
        <v>44662.56358</v>
      </c>
      <c r="D3443" s="13">
        <f t="shared" si="1"/>
        <v>11</v>
      </c>
      <c r="E3443" s="13">
        <f t="shared" si="2"/>
        <v>13</v>
      </c>
    </row>
    <row r="3444">
      <c r="A3444" s="4" t="s">
        <v>3882</v>
      </c>
      <c r="B3444" s="16"/>
      <c r="C3444" s="12">
        <f>IFERROR(__xludf.DUMMYFUNCTION("""COMPUTED_VALUE"""),44662.56350694444)</f>
        <v>44662.56351</v>
      </c>
      <c r="D3444" s="13">
        <f t="shared" si="1"/>
        <v>11</v>
      </c>
      <c r="E3444" s="13">
        <f t="shared" si="2"/>
        <v>13</v>
      </c>
    </row>
    <row r="3445">
      <c r="A3445" s="4" t="s">
        <v>3883</v>
      </c>
      <c r="B3445" s="16"/>
      <c r="C3445" s="12">
        <f>IFERROR(__xludf.DUMMYFUNCTION("""COMPUTED_VALUE"""),44662.56309027778)</f>
        <v>44662.56309</v>
      </c>
      <c r="D3445" s="13">
        <f t="shared" si="1"/>
        <v>11</v>
      </c>
      <c r="E3445" s="13">
        <f t="shared" si="2"/>
        <v>13</v>
      </c>
    </row>
    <row r="3446">
      <c r="A3446" s="4" t="s">
        <v>3884</v>
      </c>
      <c r="B3446" s="16"/>
      <c r="C3446" s="12">
        <f>IFERROR(__xludf.DUMMYFUNCTION("""COMPUTED_VALUE"""),44662.563067129624)</f>
        <v>44662.56307</v>
      </c>
      <c r="D3446" s="13">
        <f t="shared" si="1"/>
        <v>11</v>
      </c>
      <c r="E3446" s="13">
        <f t="shared" si="2"/>
        <v>13</v>
      </c>
    </row>
    <row r="3447">
      <c r="A3447" s="4" t="s">
        <v>3885</v>
      </c>
      <c r="B3447" s="16"/>
      <c r="C3447" s="12">
        <f>IFERROR(__xludf.DUMMYFUNCTION("""COMPUTED_VALUE"""),44662.56303240741)</f>
        <v>44662.56303</v>
      </c>
      <c r="D3447" s="13">
        <f t="shared" si="1"/>
        <v>11</v>
      </c>
      <c r="E3447" s="13">
        <f t="shared" si="2"/>
        <v>13</v>
      </c>
    </row>
    <row r="3448">
      <c r="A3448" s="4" t="s">
        <v>3886</v>
      </c>
      <c r="B3448" s="16"/>
      <c r="C3448" s="12">
        <f>IFERROR(__xludf.DUMMYFUNCTION("""COMPUTED_VALUE"""),44662.562997685185)</f>
        <v>44662.563</v>
      </c>
      <c r="D3448" s="13">
        <f t="shared" si="1"/>
        <v>11</v>
      </c>
      <c r="E3448" s="13">
        <f t="shared" si="2"/>
        <v>13</v>
      </c>
    </row>
    <row r="3449">
      <c r="A3449" s="4" t="s">
        <v>3887</v>
      </c>
      <c r="B3449" s="16"/>
      <c r="C3449" s="12">
        <f>IFERROR(__xludf.DUMMYFUNCTION("""COMPUTED_VALUE"""),44662.56291666666)</f>
        <v>44662.56292</v>
      </c>
      <c r="D3449" s="13">
        <f t="shared" si="1"/>
        <v>11</v>
      </c>
      <c r="E3449" s="13">
        <f t="shared" si="2"/>
        <v>13</v>
      </c>
    </row>
    <row r="3450">
      <c r="A3450" s="4" t="s">
        <v>3888</v>
      </c>
      <c r="B3450" s="4" t="s">
        <v>3889</v>
      </c>
      <c r="C3450" s="12">
        <f>IFERROR(__xludf.DUMMYFUNCTION("""COMPUTED_VALUE"""),44662.56255787037)</f>
        <v>44662.56256</v>
      </c>
      <c r="D3450" s="13">
        <f t="shared" si="1"/>
        <v>11</v>
      </c>
      <c r="E3450" s="13">
        <f t="shared" si="2"/>
        <v>13</v>
      </c>
    </row>
    <row r="3451">
      <c r="A3451" s="4" t="s">
        <v>3890</v>
      </c>
      <c r="B3451" s="16"/>
      <c r="C3451" s="12">
        <f>IFERROR(__xludf.DUMMYFUNCTION("""COMPUTED_VALUE"""),44662.5625)</f>
        <v>44662.5625</v>
      </c>
      <c r="D3451" s="13">
        <f t="shared" si="1"/>
        <v>11</v>
      </c>
      <c r="E3451" s="13">
        <f t="shared" si="2"/>
        <v>13</v>
      </c>
    </row>
    <row r="3452">
      <c r="A3452" s="4" t="s">
        <v>3891</v>
      </c>
      <c r="B3452" s="16"/>
      <c r="C3452" s="12">
        <f>IFERROR(__xludf.DUMMYFUNCTION("""COMPUTED_VALUE"""),44662.56244212963)</f>
        <v>44662.56244</v>
      </c>
      <c r="D3452" s="13">
        <f t="shared" si="1"/>
        <v>11</v>
      </c>
      <c r="E3452" s="13">
        <f t="shared" si="2"/>
        <v>13</v>
      </c>
    </row>
    <row r="3453">
      <c r="A3453" s="4" t="s">
        <v>3892</v>
      </c>
      <c r="B3453" s="16"/>
      <c r="C3453" s="12">
        <f>IFERROR(__xludf.DUMMYFUNCTION("""COMPUTED_VALUE"""),44662.562384259254)</f>
        <v>44662.56238</v>
      </c>
      <c r="D3453" s="13">
        <f t="shared" si="1"/>
        <v>11</v>
      </c>
      <c r="E3453" s="13">
        <f t="shared" si="2"/>
        <v>13</v>
      </c>
    </row>
    <row r="3454">
      <c r="A3454" s="4" t="s">
        <v>3893</v>
      </c>
      <c r="B3454" s="16"/>
      <c r="C3454" s="12">
        <f>IFERROR(__xludf.DUMMYFUNCTION("""COMPUTED_VALUE"""),44662.562372685185)</f>
        <v>44662.56237</v>
      </c>
      <c r="D3454" s="13">
        <f t="shared" si="1"/>
        <v>11</v>
      </c>
      <c r="E3454" s="13">
        <f t="shared" si="2"/>
        <v>13</v>
      </c>
    </row>
    <row r="3455">
      <c r="A3455" s="4" t="s">
        <v>3894</v>
      </c>
      <c r="B3455" s="16"/>
      <c r="C3455" s="12">
        <f>IFERROR(__xludf.DUMMYFUNCTION("""COMPUTED_VALUE"""),44662.562314814815)</f>
        <v>44662.56231</v>
      </c>
      <c r="D3455" s="13">
        <f t="shared" si="1"/>
        <v>11</v>
      </c>
      <c r="E3455" s="13">
        <f t="shared" si="2"/>
        <v>13</v>
      </c>
    </row>
    <row r="3456">
      <c r="A3456" s="4" t="s">
        <v>3895</v>
      </c>
      <c r="B3456" s="16"/>
      <c r="C3456" s="12">
        <f>IFERROR(__xludf.DUMMYFUNCTION("""COMPUTED_VALUE"""),44662.562268518515)</f>
        <v>44662.56227</v>
      </c>
      <c r="D3456" s="13">
        <f t="shared" si="1"/>
        <v>11</v>
      </c>
      <c r="E3456" s="13">
        <f t="shared" si="2"/>
        <v>13</v>
      </c>
    </row>
    <row r="3457">
      <c r="A3457" s="4" t="s">
        <v>3896</v>
      </c>
      <c r="B3457" s="16"/>
      <c r="C3457" s="12">
        <f>IFERROR(__xludf.DUMMYFUNCTION("""COMPUTED_VALUE"""),44662.56190972222)</f>
        <v>44662.56191</v>
      </c>
      <c r="D3457" s="13">
        <f t="shared" si="1"/>
        <v>11</v>
      </c>
      <c r="E3457" s="13">
        <f t="shared" si="2"/>
        <v>13</v>
      </c>
    </row>
    <row r="3458">
      <c r="A3458" s="4" t="s">
        <v>3897</v>
      </c>
      <c r="B3458" s="16"/>
      <c r="C3458" s="12">
        <f>IFERROR(__xludf.DUMMYFUNCTION("""COMPUTED_VALUE"""),44662.56126157407)</f>
        <v>44662.56126</v>
      </c>
      <c r="D3458" s="13">
        <f t="shared" si="1"/>
        <v>11</v>
      </c>
      <c r="E3458" s="13">
        <f t="shared" si="2"/>
        <v>13</v>
      </c>
    </row>
    <row r="3459">
      <c r="A3459" s="4" t="s">
        <v>3898</v>
      </c>
      <c r="B3459" s="16"/>
      <c r="C3459" s="12">
        <f>IFERROR(__xludf.DUMMYFUNCTION("""COMPUTED_VALUE"""),44662.56115740741)</f>
        <v>44662.56116</v>
      </c>
      <c r="D3459" s="13">
        <f t="shared" si="1"/>
        <v>11</v>
      </c>
      <c r="E3459" s="13">
        <f t="shared" si="2"/>
        <v>13</v>
      </c>
    </row>
    <row r="3460">
      <c r="A3460" s="4" t="s">
        <v>3899</v>
      </c>
      <c r="B3460" s="16"/>
      <c r="C3460" s="12">
        <f>IFERROR(__xludf.DUMMYFUNCTION("""COMPUTED_VALUE"""),44662.56113425926)</f>
        <v>44662.56113</v>
      </c>
      <c r="D3460" s="13">
        <f t="shared" si="1"/>
        <v>11</v>
      </c>
      <c r="E3460" s="13">
        <f t="shared" si="2"/>
        <v>13</v>
      </c>
    </row>
    <row r="3461">
      <c r="A3461" s="4" t="s">
        <v>3900</v>
      </c>
      <c r="B3461" s="16"/>
      <c r="C3461" s="12">
        <f>IFERROR(__xludf.DUMMYFUNCTION("""COMPUTED_VALUE"""),44662.56111111111)</f>
        <v>44662.56111</v>
      </c>
      <c r="D3461" s="13">
        <f t="shared" si="1"/>
        <v>11</v>
      </c>
      <c r="E3461" s="13">
        <f t="shared" si="2"/>
        <v>13</v>
      </c>
    </row>
    <row r="3462">
      <c r="A3462" s="4" t="s">
        <v>3901</v>
      </c>
      <c r="B3462" s="4" t="s">
        <v>3604</v>
      </c>
      <c r="C3462" s="12">
        <f>IFERROR(__xludf.DUMMYFUNCTION("""COMPUTED_VALUE"""),44662.56107638888)</f>
        <v>44662.56108</v>
      </c>
      <c r="D3462" s="13">
        <f t="shared" si="1"/>
        <v>11</v>
      </c>
      <c r="E3462" s="13">
        <f t="shared" si="2"/>
        <v>13</v>
      </c>
    </row>
    <row r="3463">
      <c r="A3463" s="4" t="s">
        <v>3902</v>
      </c>
      <c r="B3463" s="4" t="s">
        <v>3604</v>
      </c>
      <c r="C3463" s="12">
        <f>IFERROR(__xludf.DUMMYFUNCTION("""COMPUTED_VALUE"""),44662.56099537037)</f>
        <v>44662.561</v>
      </c>
      <c r="D3463" s="13">
        <f t="shared" si="1"/>
        <v>11</v>
      </c>
      <c r="E3463" s="13">
        <f t="shared" si="2"/>
        <v>13</v>
      </c>
    </row>
    <row r="3464">
      <c r="A3464" s="4" t="s">
        <v>3903</v>
      </c>
      <c r="B3464" s="4" t="s">
        <v>3848</v>
      </c>
      <c r="C3464" s="12">
        <f>IFERROR(__xludf.DUMMYFUNCTION("""COMPUTED_VALUE"""),44662.56045138888)</f>
        <v>44662.56045</v>
      </c>
      <c r="D3464" s="13">
        <f t="shared" si="1"/>
        <v>11</v>
      </c>
      <c r="E3464" s="13">
        <f t="shared" si="2"/>
        <v>13</v>
      </c>
    </row>
    <row r="3465">
      <c r="A3465" s="4" t="s">
        <v>3904</v>
      </c>
      <c r="B3465" s="4" t="s">
        <v>3905</v>
      </c>
      <c r="C3465" s="12">
        <f>IFERROR(__xludf.DUMMYFUNCTION("""COMPUTED_VALUE"""),44662.560381944444)</f>
        <v>44662.56038</v>
      </c>
      <c r="D3465" s="13">
        <f t="shared" si="1"/>
        <v>11</v>
      </c>
      <c r="E3465" s="13">
        <f t="shared" si="2"/>
        <v>13</v>
      </c>
    </row>
    <row r="3466">
      <c r="A3466" s="4" t="s">
        <v>3906</v>
      </c>
      <c r="B3466" s="16"/>
      <c r="C3466" s="12">
        <f>IFERROR(__xludf.DUMMYFUNCTION("""COMPUTED_VALUE"""),44662.56030092592)</f>
        <v>44662.5603</v>
      </c>
      <c r="D3466" s="13">
        <f t="shared" si="1"/>
        <v>11</v>
      </c>
      <c r="E3466" s="13">
        <f t="shared" si="2"/>
        <v>13</v>
      </c>
    </row>
    <row r="3467">
      <c r="A3467" s="4" t="s">
        <v>3907</v>
      </c>
      <c r="B3467" s="16"/>
      <c r="C3467" s="12">
        <f>IFERROR(__xludf.DUMMYFUNCTION("""COMPUTED_VALUE"""),44662.56028935185)</f>
        <v>44662.56029</v>
      </c>
      <c r="D3467" s="13">
        <f t="shared" si="1"/>
        <v>11</v>
      </c>
      <c r="E3467" s="13">
        <f t="shared" si="2"/>
        <v>13</v>
      </c>
    </row>
    <row r="3468">
      <c r="A3468" s="4" t="s">
        <v>3908</v>
      </c>
      <c r="B3468" s="16"/>
      <c r="C3468" s="12">
        <f>IFERROR(__xludf.DUMMYFUNCTION("""COMPUTED_VALUE"""),44662.5602662037)</f>
        <v>44662.56027</v>
      </c>
      <c r="D3468" s="13">
        <f t="shared" si="1"/>
        <v>11</v>
      </c>
      <c r="E3468" s="13">
        <f t="shared" si="2"/>
        <v>13</v>
      </c>
    </row>
    <row r="3469">
      <c r="A3469" s="4" t="s">
        <v>3909</v>
      </c>
      <c r="B3469" s="4" t="s">
        <v>3905</v>
      </c>
      <c r="C3469" s="12">
        <f>IFERROR(__xludf.DUMMYFUNCTION("""COMPUTED_VALUE"""),44662.56025462963)</f>
        <v>44662.56025</v>
      </c>
      <c r="D3469" s="13">
        <f t="shared" si="1"/>
        <v>11</v>
      </c>
      <c r="E3469" s="13">
        <f t="shared" si="2"/>
        <v>13</v>
      </c>
    </row>
    <row r="3470">
      <c r="A3470" s="4" t="s">
        <v>3910</v>
      </c>
      <c r="B3470" s="4" t="s">
        <v>1759</v>
      </c>
      <c r="C3470" s="12">
        <f>IFERROR(__xludf.DUMMYFUNCTION("""COMPUTED_VALUE"""),44662.56020833333)</f>
        <v>44662.56021</v>
      </c>
      <c r="D3470" s="13">
        <f t="shared" si="1"/>
        <v>11</v>
      </c>
      <c r="E3470" s="13">
        <f t="shared" si="2"/>
        <v>13</v>
      </c>
    </row>
    <row r="3471">
      <c r="A3471" s="4" t="s">
        <v>3911</v>
      </c>
      <c r="B3471" s="4" t="s">
        <v>3848</v>
      </c>
      <c r="C3471" s="12">
        <f>IFERROR(__xludf.DUMMYFUNCTION("""COMPUTED_VALUE"""),44662.560162037036)</f>
        <v>44662.56016</v>
      </c>
      <c r="D3471" s="13">
        <f t="shared" si="1"/>
        <v>11</v>
      </c>
      <c r="E3471" s="13">
        <f t="shared" si="2"/>
        <v>13</v>
      </c>
    </row>
    <row r="3472">
      <c r="A3472" s="4" t="s">
        <v>3912</v>
      </c>
      <c r="B3472" s="16"/>
      <c r="C3472" s="12">
        <f>IFERROR(__xludf.DUMMYFUNCTION("""COMPUTED_VALUE"""),44662.56015046296)</f>
        <v>44662.56015</v>
      </c>
      <c r="D3472" s="13">
        <f t="shared" si="1"/>
        <v>11</v>
      </c>
      <c r="E3472" s="13">
        <f t="shared" si="2"/>
        <v>13</v>
      </c>
    </row>
    <row r="3473">
      <c r="A3473" s="4" t="s">
        <v>3913</v>
      </c>
      <c r="B3473" s="16"/>
      <c r="C3473" s="12">
        <f>IFERROR(__xludf.DUMMYFUNCTION("""COMPUTED_VALUE"""),44662.56011574074)</f>
        <v>44662.56012</v>
      </c>
      <c r="D3473" s="13">
        <f t="shared" si="1"/>
        <v>11</v>
      </c>
      <c r="E3473" s="13">
        <f t="shared" si="2"/>
        <v>13</v>
      </c>
    </row>
    <row r="3474">
      <c r="A3474" s="4" t="s">
        <v>3914</v>
      </c>
      <c r="B3474" s="4" t="s">
        <v>3915</v>
      </c>
      <c r="C3474" s="12">
        <f>IFERROR(__xludf.DUMMYFUNCTION("""COMPUTED_VALUE"""),44662.560023148144)</f>
        <v>44662.56002</v>
      </c>
      <c r="D3474" s="13">
        <f t="shared" si="1"/>
        <v>11</v>
      </c>
      <c r="E3474" s="13">
        <f t="shared" si="2"/>
        <v>13</v>
      </c>
    </row>
    <row r="3475">
      <c r="A3475" s="4" t="s">
        <v>3916</v>
      </c>
      <c r="B3475" s="4" t="s">
        <v>3917</v>
      </c>
      <c r="C3475" s="12">
        <f>IFERROR(__xludf.DUMMYFUNCTION("""COMPUTED_VALUE"""),44662.56)</f>
        <v>44662.56</v>
      </c>
      <c r="D3475" s="13">
        <f t="shared" si="1"/>
        <v>11</v>
      </c>
      <c r="E3475" s="13">
        <f t="shared" si="2"/>
        <v>13</v>
      </c>
    </row>
    <row r="3476">
      <c r="A3476" s="4" t="s">
        <v>3918</v>
      </c>
      <c r="B3476" s="4" t="s">
        <v>3905</v>
      </c>
      <c r="C3476" s="12">
        <f>IFERROR(__xludf.DUMMYFUNCTION("""COMPUTED_VALUE"""),44662.55966435185)</f>
        <v>44662.55966</v>
      </c>
      <c r="D3476" s="13">
        <f t="shared" si="1"/>
        <v>11</v>
      </c>
      <c r="E3476" s="13">
        <f t="shared" si="2"/>
        <v>13</v>
      </c>
    </row>
    <row r="3477">
      <c r="A3477" s="4" t="s">
        <v>3919</v>
      </c>
      <c r="B3477" s="16"/>
      <c r="C3477" s="12">
        <f>IFERROR(__xludf.DUMMYFUNCTION("""COMPUTED_VALUE"""),44662.559537037036)</f>
        <v>44662.55954</v>
      </c>
      <c r="D3477" s="13">
        <f t="shared" si="1"/>
        <v>11</v>
      </c>
      <c r="E3477" s="13">
        <f t="shared" si="2"/>
        <v>13</v>
      </c>
    </row>
    <row r="3478">
      <c r="A3478" s="4" t="s">
        <v>3920</v>
      </c>
      <c r="B3478" s="16"/>
      <c r="C3478" s="12">
        <f>IFERROR(__xludf.DUMMYFUNCTION("""COMPUTED_VALUE"""),44662.55930555555)</f>
        <v>44662.55931</v>
      </c>
      <c r="D3478" s="13">
        <f t="shared" si="1"/>
        <v>11</v>
      </c>
      <c r="E3478" s="13">
        <f t="shared" si="2"/>
        <v>13</v>
      </c>
    </row>
    <row r="3479">
      <c r="A3479" s="4" t="s">
        <v>3921</v>
      </c>
      <c r="B3479" s="16"/>
      <c r="C3479" s="12">
        <f>IFERROR(__xludf.DUMMYFUNCTION("""COMPUTED_VALUE"""),44662.55921296296)</f>
        <v>44662.55921</v>
      </c>
      <c r="D3479" s="13">
        <f t="shared" si="1"/>
        <v>11</v>
      </c>
      <c r="E3479" s="13">
        <f t="shared" si="2"/>
        <v>13</v>
      </c>
    </row>
    <row r="3480">
      <c r="A3480" s="4" t="s">
        <v>3922</v>
      </c>
      <c r="B3480" s="16"/>
      <c r="C3480" s="12">
        <f>IFERROR(__xludf.DUMMYFUNCTION("""COMPUTED_VALUE"""),44662.55918981481)</f>
        <v>44662.55919</v>
      </c>
      <c r="D3480" s="13">
        <f t="shared" si="1"/>
        <v>11</v>
      </c>
      <c r="E3480" s="13">
        <f t="shared" si="2"/>
        <v>13</v>
      </c>
    </row>
    <row r="3481">
      <c r="A3481" s="4" t="s">
        <v>3923</v>
      </c>
      <c r="B3481" s="16"/>
      <c r="C3481" s="12">
        <f>IFERROR(__xludf.DUMMYFUNCTION("""COMPUTED_VALUE"""),44662.5590625)</f>
        <v>44662.55906</v>
      </c>
      <c r="D3481" s="13">
        <f t="shared" si="1"/>
        <v>11</v>
      </c>
      <c r="E3481" s="13">
        <f t="shared" si="2"/>
        <v>13</v>
      </c>
    </row>
    <row r="3482">
      <c r="A3482" s="4" t="s">
        <v>3924</v>
      </c>
      <c r="B3482" s="16"/>
      <c r="C3482" s="12">
        <f>IFERROR(__xludf.DUMMYFUNCTION("""COMPUTED_VALUE"""),44662.559016203704)</f>
        <v>44662.55902</v>
      </c>
      <c r="D3482" s="13">
        <f t="shared" si="1"/>
        <v>11</v>
      </c>
      <c r="E3482" s="13">
        <f t="shared" si="2"/>
        <v>13</v>
      </c>
    </row>
    <row r="3483">
      <c r="A3483" s="4" t="s">
        <v>3925</v>
      </c>
      <c r="B3483" s="16"/>
      <c r="C3483" s="12">
        <f>IFERROR(__xludf.DUMMYFUNCTION("""COMPUTED_VALUE"""),44662.55895833333)</f>
        <v>44662.55896</v>
      </c>
      <c r="D3483" s="13">
        <f t="shared" si="1"/>
        <v>11</v>
      </c>
      <c r="E3483" s="13">
        <f t="shared" si="2"/>
        <v>13</v>
      </c>
    </row>
    <row r="3484">
      <c r="A3484" s="4" t="s">
        <v>3926</v>
      </c>
      <c r="B3484" s="16"/>
      <c r="C3484" s="12">
        <f>IFERROR(__xludf.DUMMYFUNCTION("""COMPUTED_VALUE"""),44662.55877314814)</f>
        <v>44662.55877</v>
      </c>
      <c r="D3484" s="13">
        <f t="shared" si="1"/>
        <v>11</v>
      </c>
      <c r="E3484" s="13">
        <f t="shared" si="2"/>
        <v>13</v>
      </c>
    </row>
    <row r="3485">
      <c r="A3485" s="4" t="s">
        <v>3927</v>
      </c>
      <c r="B3485" s="16"/>
      <c r="C3485" s="12">
        <f>IFERROR(__xludf.DUMMYFUNCTION("""COMPUTED_VALUE"""),44662.558703703704)</f>
        <v>44662.5587</v>
      </c>
      <c r="D3485" s="13">
        <f t="shared" si="1"/>
        <v>11</v>
      </c>
      <c r="E3485" s="13">
        <f t="shared" si="2"/>
        <v>13</v>
      </c>
    </row>
    <row r="3486">
      <c r="A3486" s="4" t="s">
        <v>3927</v>
      </c>
      <c r="B3486" s="4" t="s">
        <v>3655</v>
      </c>
      <c r="C3486" s="12">
        <f>IFERROR(__xludf.DUMMYFUNCTION("""COMPUTED_VALUE"""),44662.558703703704)</f>
        <v>44662.5587</v>
      </c>
      <c r="D3486" s="13">
        <f t="shared" si="1"/>
        <v>11</v>
      </c>
      <c r="E3486" s="13">
        <f t="shared" si="2"/>
        <v>13</v>
      </c>
    </row>
    <row r="3487">
      <c r="A3487" s="4" t="s">
        <v>3928</v>
      </c>
      <c r="B3487" s="16"/>
      <c r="C3487" s="12">
        <f>IFERROR(__xludf.DUMMYFUNCTION("""COMPUTED_VALUE"""),44662.558483796296)</f>
        <v>44662.55848</v>
      </c>
      <c r="D3487" s="13">
        <f t="shared" si="1"/>
        <v>11</v>
      </c>
      <c r="E3487" s="13">
        <f t="shared" si="2"/>
        <v>13</v>
      </c>
    </row>
    <row r="3488">
      <c r="A3488" s="4" t="s">
        <v>3929</v>
      </c>
      <c r="B3488" s="16"/>
      <c r="C3488" s="12">
        <f>IFERROR(__xludf.DUMMYFUNCTION("""COMPUTED_VALUE"""),44662.55847222222)</f>
        <v>44662.55847</v>
      </c>
      <c r="D3488" s="13">
        <f t="shared" si="1"/>
        <v>11</v>
      </c>
      <c r="E3488" s="13">
        <f t="shared" si="2"/>
        <v>13</v>
      </c>
    </row>
    <row r="3489">
      <c r="A3489" s="4" t="s">
        <v>3930</v>
      </c>
      <c r="B3489" s="16"/>
      <c r="C3489" s="12">
        <f>IFERROR(__xludf.DUMMYFUNCTION("""COMPUTED_VALUE"""),44662.558437499996)</f>
        <v>44662.55844</v>
      </c>
      <c r="D3489" s="13">
        <f t="shared" si="1"/>
        <v>11</v>
      </c>
      <c r="E3489" s="13">
        <f t="shared" si="2"/>
        <v>13</v>
      </c>
    </row>
    <row r="3490">
      <c r="A3490" s="4" t="s">
        <v>3931</v>
      </c>
      <c r="B3490" s="16"/>
      <c r="C3490" s="12">
        <f>IFERROR(__xludf.DUMMYFUNCTION("""COMPUTED_VALUE"""),44662.55837962963)</f>
        <v>44662.55838</v>
      </c>
      <c r="D3490" s="13">
        <f t="shared" si="1"/>
        <v>11</v>
      </c>
      <c r="E3490" s="13">
        <f t="shared" si="2"/>
        <v>13</v>
      </c>
    </row>
    <row r="3491">
      <c r="A3491" s="4" t="s">
        <v>3932</v>
      </c>
      <c r="B3491" s="16"/>
      <c r="C3491" s="12">
        <f>IFERROR(__xludf.DUMMYFUNCTION("""COMPUTED_VALUE"""),44662.55832175926)</f>
        <v>44662.55832</v>
      </c>
      <c r="D3491" s="13">
        <f t="shared" si="1"/>
        <v>11</v>
      </c>
      <c r="E3491" s="13">
        <f t="shared" si="2"/>
        <v>13</v>
      </c>
    </row>
    <row r="3492">
      <c r="A3492" s="4" t="s">
        <v>3933</v>
      </c>
      <c r="B3492" s="16"/>
      <c r="C3492" s="12">
        <f>IFERROR(__xludf.DUMMYFUNCTION("""COMPUTED_VALUE"""),44662.55827546296)</f>
        <v>44662.55828</v>
      </c>
      <c r="D3492" s="13">
        <f t="shared" si="1"/>
        <v>11</v>
      </c>
      <c r="E3492" s="13">
        <f t="shared" si="2"/>
        <v>13</v>
      </c>
    </row>
    <row r="3493">
      <c r="A3493" s="4" t="s">
        <v>3934</v>
      </c>
      <c r="B3493" s="16"/>
      <c r="C3493" s="12">
        <f>IFERROR(__xludf.DUMMYFUNCTION("""COMPUTED_VALUE"""),44662.55825231481)</f>
        <v>44662.55825</v>
      </c>
      <c r="D3493" s="13">
        <f t="shared" si="1"/>
        <v>11</v>
      </c>
      <c r="E3493" s="13">
        <f t="shared" si="2"/>
        <v>13</v>
      </c>
    </row>
    <row r="3494">
      <c r="A3494" s="4" t="s">
        <v>3935</v>
      </c>
      <c r="B3494" s="16"/>
      <c r="C3494" s="12">
        <f>IFERROR(__xludf.DUMMYFUNCTION("""COMPUTED_VALUE"""),44662.55821759259)</f>
        <v>44662.55822</v>
      </c>
      <c r="D3494" s="13">
        <f t="shared" si="1"/>
        <v>11</v>
      </c>
      <c r="E3494" s="13">
        <f t="shared" si="2"/>
        <v>13</v>
      </c>
    </row>
    <row r="3495">
      <c r="A3495" s="4" t="s">
        <v>3936</v>
      </c>
      <c r="B3495" s="4" t="s">
        <v>3937</v>
      </c>
      <c r="C3495" s="12">
        <f>IFERROR(__xludf.DUMMYFUNCTION("""COMPUTED_VALUE"""),44662.55819444444)</f>
        <v>44662.55819</v>
      </c>
      <c r="D3495" s="13">
        <f t="shared" si="1"/>
        <v>11</v>
      </c>
      <c r="E3495" s="13">
        <f t="shared" si="2"/>
        <v>13</v>
      </c>
    </row>
    <row r="3496">
      <c r="A3496" s="4" t="s">
        <v>3938</v>
      </c>
      <c r="B3496" s="4" t="s">
        <v>3937</v>
      </c>
      <c r="C3496" s="12">
        <f>IFERROR(__xludf.DUMMYFUNCTION("""COMPUTED_VALUE"""),44662.558124999996)</f>
        <v>44662.55813</v>
      </c>
      <c r="D3496" s="13">
        <f t="shared" si="1"/>
        <v>11</v>
      </c>
      <c r="E3496" s="13">
        <f t="shared" si="2"/>
        <v>13</v>
      </c>
    </row>
    <row r="3497">
      <c r="A3497" s="4" t="s">
        <v>3939</v>
      </c>
      <c r="B3497" s="16"/>
      <c r="C3497" s="12">
        <f>IFERROR(__xludf.DUMMYFUNCTION("""COMPUTED_VALUE"""),44662.55811342593)</f>
        <v>44662.55811</v>
      </c>
      <c r="D3497" s="13">
        <f t="shared" si="1"/>
        <v>11</v>
      </c>
      <c r="E3497" s="13">
        <f t="shared" si="2"/>
        <v>13</v>
      </c>
    </row>
    <row r="3498">
      <c r="A3498" s="4" t="s">
        <v>3939</v>
      </c>
      <c r="B3498" s="16"/>
      <c r="C3498" s="12">
        <f>IFERROR(__xludf.DUMMYFUNCTION("""COMPUTED_VALUE"""),44662.55811342593)</f>
        <v>44662.55811</v>
      </c>
      <c r="D3498" s="13">
        <f t="shared" si="1"/>
        <v>11</v>
      </c>
      <c r="E3498" s="13">
        <f t="shared" si="2"/>
        <v>13</v>
      </c>
    </row>
    <row r="3499">
      <c r="A3499" s="4" t="s">
        <v>3940</v>
      </c>
      <c r="B3499" s="4" t="s">
        <v>3941</v>
      </c>
      <c r="C3499" s="12">
        <f>IFERROR(__xludf.DUMMYFUNCTION("""COMPUTED_VALUE"""),44662.557812499996)</f>
        <v>44662.55781</v>
      </c>
      <c r="D3499" s="13">
        <f t="shared" si="1"/>
        <v>11</v>
      </c>
      <c r="E3499" s="13">
        <f t="shared" si="2"/>
        <v>13</v>
      </c>
    </row>
    <row r="3500">
      <c r="A3500" s="4" t="s">
        <v>3942</v>
      </c>
      <c r="B3500" s="4" t="s">
        <v>3943</v>
      </c>
      <c r="C3500" s="12">
        <f>IFERROR(__xludf.DUMMYFUNCTION("""COMPUTED_VALUE"""),44662.557754629626)</f>
        <v>44662.55775</v>
      </c>
      <c r="D3500" s="13">
        <f t="shared" si="1"/>
        <v>11</v>
      </c>
      <c r="E3500" s="13">
        <f t="shared" si="2"/>
        <v>13</v>
      </c>
    </row>
    <row r="3501">
      <c r="A3501" s="4" t="s">
        <v>3944</v>
      </c>
      <c r="B3501" s="16"/>
      <c r="C3501" s="12">
        <f>IFERROR(__xludf.DUMMYFUNCTION("""COMPUTED_VALUE"""),44662.55747685185)</f>
        <v>44662.55748</v>
      </c>
      <c r="D3501" s="13">
        <f t="shared" si="1"/>
        <v>11</v>
      </c>
      <c r="E3501" s="13">
        <f t="shared" si="2"/>
        <v>13</v>
      </c>
    </row>
    <row r="3502">
      <c r="A3502" s="4" t="s">
        <v>3945</v>
      </c>
      <c r="B3502" s="16"/>
      <c r="C3502" s="12">
        <f>IFERROR(__xludf.DUMMYFUNCTION("""COMPUTED_VALUE"""),44662.5574537037)</f>
        <v>44662.55745</v>
      </c>
      <c r="D3502" s="13">
        <f t="shared" si="1"/>
        <v>11</v>
      </c>
      <c r="E3502" s="13">
        <f t="shared" si="2"/>
        <v>13</v>
      </c>
    </row>
    <row r="3503">
      <c r="A3503" s="4" t="s">
        <v>3946</v>
      </c>
      <c r="B3503" s="16"/>
      <c r="C3503" s="12">
        <f>IFERROR(__xludf.DUMMYFUNCTION("""COMPUTED_VALUE"""),44662.557291666664)</f>
        <v>44662.55729</v>
      </c>
      <c r="D3503" s="13">
        <f t="shared" si="1"/>
        <v>11</v>
      </c>
      <c r="E3503" s="13">
        <f t="shared" si="2"/>
        <v>13</v>
      </c>
    </row>
    <row r="3504">
      <c r="A3504" s="4" t="s">
        <v>3947</v>
      </c>
      <c r="B3504" s="16"/>
      <c r="C3504" s="12">
        <f>IFERROR(__xludf.DUMMYFUNCTION("""COMPUTED_VALUE"""),44662.55726851852)</f>
        <v>44662.55727</v>
      </c>
      <c r="D3504" s="13">
        <f t="shared" si="1"/>
        <v>11</v>
      </c>
      <c r="E3504" s="13">
        <f t="shared" si="2"/>
        <v>13</v>
      </c>
    </row>
    <row r="3505">
      <c r="A3505" s="4" t="s">
        <v>3948</v>
      </c>
      <c r="B3505" s="16"/>
      <c r="C3505" s="12">
        <f>IFERROR(__xludf.DUMMYFUNCTION("""COMPUTED_VALUE"""),44662.557233796295)</f>
        <v>44662.55723</v>
      </c>
      <c r="D3505" s="13">
        <f t="shared" si="1"/>
        <v>11</v>
      </c>
      <c r="E3505" s="13">
        <f t="shared" si="2"/>
        <v>13</v>
      </c>
    </row>
    <row r="3506">
      <c r="A3506" s="4" t="s">
        <v>3949</v>
      </c>
      <c r="B3506" s="4" t="s">
        <v>3950</v>
      </c>
      <c r="C3506" s="12">
        <f>IFERROR(__xludf.DUMMYFUNCTION("""COMPUTED_VALUE"""),44662.55721064815)</f>
        <v>44662.55721</v>
      </c>
      <c r="D3506" s="13">
        <f t="shared" si="1"/>
        <v>11</v>
      </c>
      <c r="E3506" s="13">
        <f t="shared" si="2"/>
        <v>13</v>
      </c>
    </row>
    <row r="3507">
      <c r="A3507" s="4" t="s">
        <v>3951</v>
      </c>
      <c r="B3507" s="16"/>
      <c r="C3507" s="12">
        <f>IFERROR(__xludf.DUMMYFUNCTION("""COMPUTED_VALUE"""),44662.55672453703)</f>
        <v>44662.55672</v>
      </c>
      <c r="D3507" s="13">
        <f t="shared" si="1"/>
        <v>11</v>
      </c>
      <c r="E3507" s="13">
        <f t="shared" si="2"/>
        <v>13</v>
      </c>
    </row>
    <row r="3508">
      <c r="A3508" s="4" t="s">
        <v>3952</v>
      </c>
      <c r="B3508" s="4" t="s">
        <v>3950</v>
      </c>
      <c r="C3508" s="12">
        <f>IFERROR(__xludf.DUMMYFUNCTION("""COMPUTED_VALUE"""),44662.55670138889)</f>
        <v>44662.5567</v>
      </c>
      <c r="D3508" s="13">
        <f t="shared" si="1"/>
        <v>11</v>
      </c>
      <c r="E3508" s="13">
        <f t="shared" si="2"/>
        <v>13</v>
      </c>
    </row>
    <row r="3509">
      <c r="A3509" s="4" t="s">
        <v>3953</v>
      </c>
      <c r="B3509" s="16"/>
      <c r="C3509" s="12">
        <f>IFERROR(__xludf.DUMMYFUNCTION("""COMPUTED_VALUE"""),44662.556666666664)</f>
        <v>44662.55667</v>
      </c>
      <c r="D3509" s="13">
        <f t="shared" si="1"/>
        <v>11</v>
      </c>
      <c r="E3509" s="13">
        <f t="shared" si="2"/>
        <v>13</v>
      </c>
    </row>
    <row r="3510">
      <c r="A3510" s="4" t="s">
        <v>3954</v>
      </c>
      <c r="B3510" s="4" t="s">
        <v>3950</v>
      </c>
      <c r="C3510" s="12">
        <f>IFERROR(__xludf.DUMMYFUNCTION("""COMPUTED_VALUE"""),44662.55648148148)</f>
        <v>44662.55648</v>
      </c>
      <c r="D3510" s="13">
        <f t="shared" si="1"/>
        <v>11</v>
      </c>
      <c r="E3510" s="13">
        <f t="shared" si="2"/>
        <v>13</v>
      </c>
    </row>
    <row r="3511">
      <c r="A3511" s="4" t="s">
        <v>3955</v>
      </c>
      <c r="B3511" s="4" t="s">
        <v>3956</v>
      </c>
      <c r="C3511" s="12">
        <f>IFERROR(__xludf.DUMMYFUNCTION("""COMPUTED_VALUE"""),44662.55626157407)</f>
        <v>44662.55626</v>
      </c>
      <c r="D3511" s="13">
        <f t="shared" si="1"/>
        <v>11</v>
      </c>
      <c r="E3511" s="13">
        <f t="shared" si="2"/>
        <v>13</v>
      </c>
    </row>
    <row r="3512">
      <c r="A3512" s="4" t="s">
        <v>3957</v>
      </c>
      <c r="B3512" s="4" t="s">
        <v>3958</v>
      </c>
      <c r="C3512" s="12">
        <f>IFERROR(__xludf.DUMMYFUNCTION("""COMPUTED_VALUE"""),44662.55578703703)</f>
        <v>44662.55579</v>
      </c>
      <c r="D3512" s="13">
        <f t="shared" si="1"/>
        <v>11</v>
      </c>
      <c r="E3512" s="13">
        <f t="shared" si="2"/>
        <v>13</v>
      </c>
    </row>
    <row r="3513">
      <c r="A3513" s="4" t="s">
        <v>3959</v>
      </c>
      <c r="B3513" s="16"/>
      <c r="C3513" s="12">
        <f>IFERROR(__xludf.DUMMYFUNCTION("""COMPUTED_VALUE"""),44662.55574074074)</f>
        <v>44662.55574</v>
      </c>
      <c r="D3513" s="13">
        <f t="shared" si="1"/>
        <v>11</v>
      </c>
      <c r="E3513" s="13">
        <f t="shared" si="2"/>
        <v>13</v>
      </c>
    </row>
    <row r="3514">
      <c r="A3514" s="4" t="s">
        <v>3960</v>
      </c>
      <c r="B3514" s="16"/>
      <c r="C3514" s="12">
        <f>IFERROR(__xludf.DUMMYFUNCTION("""COMPUTED_VALUE"""),44662.55571759259)</f>
        <v>44662.55572</v>
      </c>
      <c r="D3514" s="13">
        <f t="shared" si="1"/>
        <v>11</v>
      </c>
      <c r="E3514" s="13">
        <f t="shared" si="2"/>
        <v>13</v>
      </c>
    </row>
    <row r="3515">
      <c r="A3515" s="4" t="s">
        <v>3961</v>
      </c>
      <c r="B3515" s="4" t="s">
        <v>3241</v>
      </c>
      <c r="C3515" s="12">
        <f>IFERROR(__xludf.DUMMYFUNCTION("""COMPUTED_VALUE"""),44662.55569444444)</f>
        <v>44662.55569</v>
      </c>
      <c r="D3515" s="13">
        <f t="shared" si="1"/>
        <v>11</v>
      </c>
      <c r="E3515" s="13">
        <f t="shared" si="2"/>
        <v>13</v>
      </c>
    </row>
    <row r="3516">
      <c r="A3516" s="4" t="s">
        <v>3962</v>
      </c>
      <c r="B3516" s="4" t="s">
        <v>3963</v>
      </c>
      <c r="C3516" s="12">
        <f>IFERROR(__xludf.DUMMYFUNCTION("""COMPUTED_VALUE"""),44662.55568287037)</f>
        <v>44662.55568</v>
      </c>
      <c r="D3516" s="13">
        <f t="shared" si="1"/>
        <v>11</v>
      </c>
      <c r="E3516" s="13">
        <f t="shared" si="2"/>
        <v>13</v>
      </c>
    </row>
    <row r="3517">
      <c r="A3517" s="4" t="s">
        <v>3964</v>
      </c>
      <c r="B3517" s="4" t="s">
        <v>3963</v>
      </c>
      <c r="C3517" s="12">
        <f>IFERROR(__xludf.DUMMYFUNCTION("""COMPUTED_VALUE"""),44662.55567129629)</f>
        <v>44662.55567</v>
      </c>
      <c r="D3517" s="13">
        <f t="shared" si="1"/>
        <v>11</v>
      </c>
      <c r="E3517" s="13">
        <f t="shared" si="2"/>
        <v>13</v>
      </c>
    </row>
    <row r="3518">
      <c r="A3518" s="4" t="s">
        <v>3964</v>
      </c>
      <c r="B3518" s="4" t="s">
        <v>3963</v>
      </c>
      <c r="C3518" s="12">
        <f>IFERROR(__xludf.DUMMYFUNCTION("""COMPUTED_VALUE"""),44662.55567129629)</f>
        <v>44662.55567</v>
      </c>
      <c r="D3518" s="13">
        <f t="shared" si="1"/>
        <v>11</v>
      </c>
      <c r="E3518" s="13">
        <f t="shared" si="2"/>
        <v>13</v>
      </c>
    </row>
    <row r="3519">
      <c r="A3519" s="4" t="s">
        <v>3965</v>
      </c>
      <c r="B3519" s="4" t="s">
        <v>3963</v>
      </c>
      <c r="C3519" s="12">
        <f>IFERROR(__xludf.DUMMYFUNCTION("""COMPUTED_VALUE"""),44662.55565972222)</f>
        <v>44662.55566</v>
      </c>
      <c r="D3519" s="13">
        <f t="shared" si="1"/>
        <v>11</v>
      </c>
      <c r="E3519" s="13">
        <f t="shared" si="2"/>
        <v>13</v>
      </c>
    </row>
    <row r="3520">
      <c r="A3520" s="4" t="s">
        <v>3966</v>
      </c>
      <c r="B3520" s="4" t="s">
        <v>3963</v>
      </c>
      <c r="C3520" s="12">
        <f>IFERROR(__xludf.DUMMYFUNCTION("""COMPUTED_VALUE"""),44662.55564814815)</f>
        <v>44662.55565</v>
      </c>
      <c r="D3520" s="13">
        <f t="shared" si="1"/>
        <v>11</v>
      </c>
      <c r="E3520" s="13">
        <f t="shared" si="2"/>
        <v>13</v>
      </c>
    </row>
    <row r="3521">
      <c r="A3521" s="4" t="s">
        <v>3967</v>
      </c>
      <c r="B3521" s="4" t="s">
        <v>3963</v>
      </c>
      <c r="C3521" s="12">
        <f>IFERROR(__xludf.DUMMYFUNCTION("""COMPUTED_VALUE"""),44662.55563657407)</f>
        <v>44662.55564</v>
      </c>
      <c r="D3521" s="13">
        <f t="shared" si="1"/>
        <v>11</v>
      </c>
      <c r="E3521" s="13">
        <f t="shared" si="2"/>
        <v>13</v>
      </c>
    </row>
    <row r="3522">
      <c r="A3522" s="4" t="s">
        <v>3968</v>
      </c>
      <c r="B3522" s="4" t="s">
        <v>3963</v>
      </c>
      <c r="C3522" s="12">
        <f>IFERROR(__xludf.DUMMYFUNCTION("""COMPUTED_VALUE"""),44662.555625)</f>
        <v>44662.55563</v>
      </c>
      <c r="D3522" s="13">
        <f t="shared" si="1"/>
        <v>11</v>
      </c>
      <c r="E3522" s="13">
        <f t="shared" si="2"/>
        <v>13</v>
      </c>
    </row>
    <row r="3523">
      <c r="A3523" s="4" t="s">
        <v>3969</v>
      </c>
      <c r="B3523" s="4" t="s">
        <v>3963</v>
      </c>
      <c r="C3523" s="12">
        <f>IFERROR(__xludf.DUMMYFUNCTION("""COMPUTED_VALUE"""),44662.555613425924)</f>
        <v>44662.55561</v>
      </c>
      <c r="D3523" s="13">
        <f t="shared" si="1"/>
        <v>11</v>
      </c>
      <c r="E3523" s="13">
        <f t="shared" si="2"/>
        <v>13</v>
      </c>
    </row>
    <row r="3524">
      <c r="A3524" s="4" t="s">
        <v>3970</v>
      </c>
      <c r="B3524" s="4" t="s">
        <v>3963</v>
      </c>
      <c r="C3524" s="12">
        <f>IFERROR(__xludf.DUMMYFUNCTION("""COMPUTED_VALUE"""),44662.55560185185)</f>
        <v>44662.5556</v>
      </c>
      <c r="D3524" s="13">
        <f t="shared" si="1"/>
        <v>11</v>
      </c>
      <c r="E3524" s="13">
        <f t="shared" si="2"/>
        <v>13</v>
      </c>
    </row>
    <row r="3525">
      <c r="A3525" s="4" t="s">
        <v>3971</v>
      </c>
      <c r="B3525" s="4" t="s">
        <v>3963</v>
      </c>
      <c r="C3525" s="12">
        <f>IFERROR(__xludf.DUMMYFUNCTION("""COMPUTED_VALUE"""),44662.55559027778)</f>
        <v>44662.55559</v>
      </c>
      <c r="D3525" s="13">
        <f t="shared" si="1"/>
        <v>11</v>
      </c>
      <c r="E3525" s="13">
        <f t="shared" si="2"/>
        <v>13</v>
      </c>
    </row>
    <row r="3526">
      <c r="A3526" s="4" t="s">
        <v>3972</v>
      </c>
      <c r="B3526" s="4" t="s">
        <v>3963</v>
      </c>
      <c r="C3526" s="12">
        <f>IFERROR(__xludf.DUMMYFUNCTION("""COMPUTED_VALUE"""),44662.5555787037)</f>
        <v>44662.55558</v>
      </c>
      <c r="D3526" s="13">
        <f t="shared" si="1"/>
        <v>11</v>
      </c>
      <c r="E3526" s="13">
        <f t="shared" si="2"/>
        <v>13</v>
      </c>
    </row>
    <row r="3527">
      <c r="A3527" s="4" t="s">
        <v>3973</v>
      </c>
      <c r="B3527" s="4" t="s">
        <v>3974</v>
      </c>
      <c r="C3527" s="12">
        <f>IFERROR(__xludf.DUMMYFUNCTION("""COMPUTED_VALUE"""),44662.555567129624)</f>
        <v>44662.55557</v>
      </c>
      <c r="D3527" s="13">
        <f t="shared" si="1"/>
        <v>11</v>
      </c>
      <c r="E3527" s="13">
        <f t="shared" si="2"/>
        <v>13</v>
      </c>
    </row>
    <row r="3528">
      <c r="A3528" s="4" t="s">
        <v>3973</v>
      </c>
      <c r="B3528" s="4" t="s">
        <v>3963</v>
      </c>
      <c r="C3528" s="12">
        <f>IFERROR(__xludf.DUMMYFUNCTION("""COMPUTED_VALUE"""),44662.555567129624)</f>
        <v>44662.55557</v>
      </c>
      <c r="D3528" s="13">
        <f t="shared" si="1"/>
        <v>11</v>
      </c>
      <c r="E3528" s="13">
        <f t="shared" si="2"/>
        <v>13</v>
      </c>
    </row>
    <row r="3529">
      <c r="A3529" s="4" t="s">
        <v>3973</v>
      </c>
      <c r="B3529" s="4" t="s">
        <v>3963</v>
      </c>
      <c r="C3529" s="12">
        <f>IFERROR(__xludf.DUMMYFUNCTION("""COMPUTED_VALUE"""),44662.555567129624)</f>
        <v>44662.55557</v>
      </c>
      <c r="D3529" s="13">
        <f t="shared" si="1"/>
        <v>11</v>
      </c>
      <c r="E3529" s="13">
        <f t="shared" si="2"/>
        <v>13</v>
      </c>
    </row>
    <row r="3530">
      <c r="A3530" s="4" t="s">
        <v>3975</v>
      </c>
      <c r="B3530" s="4" t="s">
        <v>3963</v>
      </c>
      <c r="C3530" s="12">
        <f>IFERROR(__xludf.DUMMYFUNCTION("""COMPUTED_VALUE"""),44662.555555555555)</f>
        <v>44662.55556</v>
      </c>
      <c r="D3530" s="13">
        <f t="shared" si="1"/>
        <v>11</v>
      </c>
      <c r="E3530" s="13">
        <f t="shared" si="2"/>
        <v>13</v>
      </c>
    </row>
    <row r="3531">
      <c r="A3531" s="4" t="s">
        <v>3976</v>
      </c>
      <c r="B3531" s="4" t="s">
        <v>3963</v>
      </c>
      <c r="C3531" s="12">
        <f>IFERROR(__xludf.DUMMYFUNCTION("""COMPUTED_VALUE"""),44662.55554398148)</f>
        <v>44662.55554</v>
      </c>
      <c r="D3531" s="13">
        <f t="shared" si="1"/>
        <v>11</v>
      </c>
      <c r="E3531" s="13">
        <f t="shared" si="2"/>
        <v>13</v>
      </c>
    </row>
    <row r="3532">
      <c r="A3532" s="4" t="s">
        <v>3977</v>
      </c>
      <c r="B3532" s="16"/>
      <c r="C3532" s="12">
        <f>IFERROR(__xludf.DUMMYFUNCTION("""COMPUTED_VALUE"""),44662.55553240741)</f>
        <v>44662.55553</v>
      </c>
      <c r="D3532" s="13">
        <f t="shared" si="1"/>
        <v>11</v>
      </c>
      <c r="E3532" s="13">
        <f t="shared" si="2"/>
        <v>13</v>
      </c>
    </row>
    <row r="3533">
      <c r="A3533" s="4" t="s">
        <v>3978</v>
      </c>
      <c r="B3533" s="4" t="s">
        <v>3963</v>
      </c>
      <c r="C3533" s="12">
        <f>IFERROR(__xludf.DUMMYFUNCTION("""COMPUTED_VALUE"""),44662.55552083333)</f>
        <v>44662.55552</v>
      </c>
      <c r="D3533" s="13">
        <f t="shared" si="1"/>
        <v>11</v>
      </c>
      <c r="E3533" s="13">
        <f t="shared" si="2"/>
        <v>13</v>
      </c>
    </row>
    <row r="3534">
      <c r="A3534" s="4" t="s">
        <v>3979</v>
      </c>
      <c r="B3534" s="4" t="s">
        <v>3963</v>
      </c>
      <c r="C3534" s="12">
        <f>IFERROR(__xludf.DUMMYFUNCTION("""COMPUTED_VALUE"""),44662.555509259255)</f>
        <v>44662.55551</v>
      </c>
      <c r="D3534" s="13">
        <f t="shared" si="1"/>
        <v>11</v>
      </c>
      <c r="E3534" s="13">
        <f t="shared" si="2"/>
        <v>13</v>
      </c>
    </row>
    <row r="3535">
      <c r="A3535" s="4" t="s">
        <v>3980</v>
      </c>
      <c r="B3535" s="4" t="s">
        <v>3963</v>
      </c>
      <c r="C3535" s="12">
        <f>IFERROR(__xludf.DUMMYFUNCTION("""COMPUTED_VALUE"""),44662.555497685185)</f>
        <v>44662.5555</v>
      </c>
      <c r="D3535" s="13">
        <f t="shared" si="1"/>
        <v>11</v>
      </c>
      <c r="E3535" s="13">
        <f t="shared" si="2"/>
        <v>13</v>
      </c>
    </row>
    <row r="3536">
      <c r="A3536" s="4" t="s">
        <v>3981</v>
      </c>
      <c r="B3536" s="4" t="s">
        <v>3963</v>
      </c>
      <c r="C3536" s="12">
        <f>IFERROR(__xludf.DUMMYFUNCTION("""COMPUTED_VALUE"""),44662.55548611111)</f>
        <v>44662.55549</v>
      </c>
      <c r="D3536" s="13">
        <f t="shared" si="1"/>
        <v>11</v>
      </c>
      <c r="E3536" s="13">
        <f t="shared" si="2"/>
        <v>13</v>
      </c>
    </row>
    <row r="3537">
      <c r="A3537" s="4" t="s">
        <v>3982</v>
      </c>
      <c r="B3537" s="4" t="s">
        <v>3963</v>
      </c>
      <c r="C3537" s="12">
        <f>IFERROR(__xludf.DUMMYFUNCTION("""COMPUTED_VALUE"""),44662.55547453703)</f>
        <v>44662.55547</v>
      </c>
      <c r="D3537" s="13">
        <f t="shared" si="1"/>
        <v>11</v>
      </c>
      <c r="E3537" s="13">
        <f t="shared" si="2"/>
        <v>13</v>
      </c>
    </row>
    <row r="3538">
      <c r="A3538" s="4" t="s">
        <v>3983</v>
      </c>
      <c r="B3538" s="16"/>
      <c r="C3538" s="12">
        <f>IFERROR(__xludf.DUMMYFUNCTION("""COMPUTED_VALUE"""),44662.55542824074)</f>
        <v>44662.55543</v>
      </c>
      <c r="D3538" s="13">
        <f t="shared" si="1"/>
        <v>11</v>
      </c>
      <c r="E3538" s="13">
        <f t="shared" si="2"/>
        <v>13</v>
      </c>
    </row>
    <row r="3539">
      <c r="A3539" s="4" t="s">
        <v>3983</v>
      </c>
      <c r="B3539" s="16"/>
      <c r="C3539" s="12">
        <f>IFERROR(__xludf.DUMMYFUNCTION("""COMPUTED_VALUE"""),44662.55542824074)</f>
        <v>44662.55543</v>
      </c>
      <c r="D3539" s="13">
        <f t="shared" si="1"/>
        <v>11</v>
      </c>
      <c r="E3539" s="13">
        <f t="shared" si="2"/>
        <v>13</v>
      </c>
    </row>
    <row r="3540">
      <c r="A3540" s="4" t="s">
        <v>3984</v>
      </c>
      <c r="B3540" s="4" t="s">
        <v>3963</v>
      </c>
      <c r="C3540" s="12">
        <f>IFERROR(__xludf.DUMMYFUNCTION("""COMPUTED_VALUE"""),44662.55540509259)</f>
        <v>44662.55541</v>
      </c>
      <c r="D3540" s="13">
        <f t="shared" si="1"/>
        <v>11</v>
      </c>
      <c r="E3540" s="13">
        <f t="shared" si="2"/>
        <v>13</v>
      </c>
    </row>
    <row r="3541">
      <c r="A3541" s="4" t="s">
        <v>3985</v>
      </c>
      <c r="B3541" s="16"/>
      <c r="C3541" s="12">
        <f>IFERROR(__xludf.DUMMYFUNCTION("""COMPUTED_VALUE"""),44662.55537037037)</f>
        <v>44662.55537</v>
      </c>
      <c r="D3541" s="13">
        <f t="shared" si="1"/>
        <v>11</v>
      </c>
      <c r="E3541" s="13">
        <f t="shared" si="2"/>
        <v>13</v>
      </c>
    </row>
    <row r="3542">
      <c r="A3542" s="4" t="s">
        <v>3986</v>
      </c>
      <c r="B3542" s="16"/>
      <c r="C3542" s="12">
        <f>IFERROR(__xludf.DUMMYFUNCTION("""COMPUTED_VALUE"""),44662.55534722222)</f>
        <v>44662.55535</v>
      </c>
      <c r="D3542" s="13">
        <f t="shared" si="1"/>
        <v>11</v>
      </c>
      <c r="E3542" s="13">
        <f t="shared" si="2"/>
        <v>13</v>
      </c>
    </row>
    <row r="3543">
      <c r="A3543" s="4" t="s">
        <v>3987</v>
      </c>
      <c r="B3543" s="16"/>
      <c r="C3543" s="12">
        <f>IFERROR(__xludf.DUMMYFUNCTION("""COMPUTED_VALUE"""),44662.55532407407)</f>
        <v>44662.55532</v>
      </c>
      <c r="D3543" s="13">
        <f t="shared" si="1"/>
        <v>11</v>
      </c>
      <c r="E3543" s="13">
        <f t="shared" si="2"/>
        <v>13</v>
      </c>
    </row>
    <row r="3544">
      <c r="A3544" s="4" t="s">
        <v>3988</v>
      </c>
      <c r="B3544" s="16"/>
      <c r="C3544" s="12">
        <f>IFERROR(__xludf.DUMMYFUNCTION("""COMPUTED_VALUE"""),44662.55528935185)</f>
        <v>44662.55529</v>
      </c>
      <c r="D3544" s="13">
        <f t="shared" si="1"/>
        <v>11</v>
      </c>
      <c r="E3544" s="13">
        <f t="shared" si="2"/>
        <v>13</v>
      </c>
    </row>
    <row r="3545">
      <c r="A3545" s="4" t="s">
        <v>3989</v>
      </c>
      <c r="B3545" s="16"/>
      <c r="C3545" s="12">
        <f>IFERROR(__xludf.DUMMYFUNCTION("""COMPUTED_VALUE"""),44662.5552662037)</f>
        <v>44662.55527</v>
      </c>
      <c r="D3545" s="13">
        <f t="shared" si="1"/>
        <v>11</v>
      </c>
      <c r="E3545" s="13">
        <f t="shared" si="2"/>
        <v>13</v>
      </c>
    </row>
    <row r="3546">
      <c r="A3546" s="4" t="s">
        <v>3990</v>
      </c>
      <c r="B3546" s="4" t="s">
        <v>3991</v>
      </c>
      <c r="C3546" s="12">
        <f>IFERROR(__xludf.DUMMYFUNCTION("""COMPUTED_VALUE"""),44662.555254629624)</f>
        <v>44662.55525</v>
      </c>
      <c r="D3546" s="13">
        <f t="shared" si="1"/>
        <v>11</v>
      </c>
      <c r="E3546" s="13">
        <f t="shared" si="2"/>
        <v>13</v>
      </c>
    </row>
    <row r="3547">
      <c r="A3547" s="4" t="s">
        <v>3992</v>
      </c>
      <c r="B3547" s="4" t="s">
        <v>3991</v>
      </c>
      <c r="C3547" s="12">
        <f>IFERROR(__xludf.DUMMYFUNCTION("""COMPUTED_VALUE"""),44662.555243055554)</f>
        <v>44662.55524</v>
      </c>
      <c r="D3547" s="13">
        <f t="shared" si="1"/>
        <v>11</v>
      </c>
      <c r="E3547" s="13">
        <f t="shared" si="2"/>
        <v>13</v>
      </c>
    </row>
    <row r="3548">
      <c r="A3548" s="4" t="s">
        <v>3993</v>
      </c>
      <c r="B3548" s="4" t="s">
        <v>3991</v>
      </c>
      <c r="C3548" s="12">
        <f>IFERROR(__xludf.DUMMYFUNCTION("""COMPUTED_VALUE"""),44662.555196759255)</f>
        <v>44662.5552</v>
      </c>
      <c r="D3548" s="13">
        <f t="shared" si="1"/>
        <v>11</v>
      </c>
      <c r="E3548" s="13">
        <f t="shared" si="2"/>
        <v>13</v>
      </c>
    </row>
    <row r="3549">
      <c r="A3549" s="4" t="s">
        <v>3994</v>
      </c>
      <c r="B3549" s="4" t="s">
        <v>3995</v>
      </c>
      <c r="C3549" s="12">
        <f>IFERROR(__xludf.DUMMYFUNCTION("""COMPUTED_VALUE"""),44662.555127314816)</f>
        <v>44662.55513</v>
      </c>
      <c r="D3549" s="13">
        <f t="shared" si="1"/>
        <v>11</v>
      </c>
      <c r="E3549" s="13">
        <f t="shared" si="2"/>
        <v>13</v>
      </c>
    </row>
    <row r="3550">
      <c r="A3550" s="4" t="s">
        <v>3996</v>
      </c>
      <c r="B3550" s="4" t="s">
        <v>3997</v>
      </c>
      <c r="C3550" s="12">
        <f>IFERROR(__xludf.DUMMYFUNCTION("""COMPUTED_VALUE"""),44662.55505787037)</f>
        <v>44662.55506</v>
      </c>
      <c r="D3550" s="13">
        <f t="shared" si="1"/>
        <v>11</v>
      </c>
      <c r="E3550" s="13">
        <f t="shared" si="2"/>
        <v>13</v>
      </c>
    </row>
    <row r="3551">
      <c r="A3551" s="4" t="s">
        <v>3998</v>
      </c>
      <c r="B3551" s="4" t="s">
        <v>2266</v>
      </c>
      <c r="C3551" s="12">
        <f>IFERROR(__xludf.DUMMYFUNCTION("""COMPUTED_VALUE"""),44662.554814814815)</f>
        <v>44662.55481</v>
      </c>
      <c r="D3551" s="13">
        <f t="shared" si="1"/>
        <v>11</v>
      </c>
      <c r="E3551" s="13">
        <f t="shared" si="2"/>
        <v>13</v>
      </c>
    </row>
    <row r="3552">
      <c r="A3552" s="4" t="s">
        <v>3999</v>
      </c>
      <c r="B3552" s="16"/>
      <c r="C3552" s="12">
        <f>IFERROR(__xludf.DUMMYFUNCTION("""COMPUTED_VALUE"""),44662.55469907407)</f>
        <v>44662.5547</v>
      </c>
      <c r="D3552" s="13">
        <f t="shared" si="1"/>
        <v>11</v>
      </c>
      <c r="E3552" s="13">
        <f t="shared" si="2"/>
        <v>13</v>
      </c>
    </row>
    <row r="3553">
      <c r="A3553" s="4" t="s">
        <v>4000</v>
      </c>
      <c r="B3553" s="4" t="s">
        <v>829</v>
      </c>
      <c r="C3553" s="12">
        <f>IFERROR(__xludf.DUMMYFUNCTION("""COMPUTED_VALUE"""),44662.5546875)</f>
        <v>44662.55469</v>
      </c>
      <c r="D3553" s="13">
        <f t="shared" si="1"/>
        <v>11</v>
      </c>
      <c r="E3553" s="13">
        <f t="shared" si="2"/>
        <v>13</v>
      </c>
    </row>
    <row r="3554">
      <c r="A3554" s="4" t="s">
        <v>4001</v>
      </c>
      <c r="B3554" s="4" t="s">
        <v>4002</v>
      </c>
      <c r="C3554" s="12">
        <f>IFERROR(__xludf.DUMMYFUNCTION("""COMPUTED_VALUE"""),44662.55467592592)</f>
        <v>44662.55468</v>
      </c>
      <c r="D3554" s="13">
        <f t="shared" si="1"/>
        <v>11</v>
      </c>
      <c r="E3554" s="13">
        <f t="shared" si="2"/>
        <v>13</v>
      </c>
    </row>
    <row r="3555">
      <c r="A3555" s="4" t="s">
        <v>4003</v>
      </c>
      <c r="B3555" s="4" t="s">
        <v>829</v>
      </c>
      <c r="C3555" s="12">
        <f>IFERROR(__xludf.DUMMYFUNCTION("""COMPUTED_VALUE"""),44662.55466435185)</f>
        <v>44662.55466</v>
      </c>
      <c r="D3555" s="13">
        <f t="shared" si="1"/>
        <v>11</v>
      </c>
      <c r="E3555" s="13">
        <f t="shared" si="2"/>
        <v>13</v>
      </c>
    </row>
    <row r="3556">
      <c r="A3556" s="4" t="s">
        <v>4004</v>
      </c>
      <c r="B3556" s="4" t="s">
        <v>829</v>
      </c>
      <c r="C3556" s="12">
        <f>IFERROR(__xludf.DUMMYFUNCTION("""COMPUTED_VALUE"""),44662.55465277778)</f>
        <v>44662.55465</v>
      </c>
      <c r="D3556" s="13">
        <f t="shared" si="1"/>
        <v>11</v>
      </c>
      <c r="E3556" s="13">
        <f t="shared" si="2"/>
        <v>13</v>
      </c>
    </row>
    <row r="3557">
      <c r="A3557" s="4" t="s">
        <v>4005</v>
      </c>
      <c r="B3557" s="4" t="s">
        <v>829</v>
      </c>
      <c r="C3557" s="12">
        <f>IFERROR(__xludf.DUMMYFUNCTION("""COMPUTED_VALUE"""),44662.55462962963)</f>
        <v>44662.55463</v>
      </c>
      <c r="D3557" s="13">
        <f t="shared" si="1"/>
        <v>11</v>
      </c>
      <c r="E3557" s="13">
        <f t="shared" si="2"/>
        <v>13</v>
      </c>
    </row>
    <row r="3558">
      <c r="A3558" s="4" t="s">
        <v>4006</v>
      </c>
      <c r="B3558" s="4" t="s">
        <v>829</v>
      </c>
      <c r="C3558" s="12">
        <f>IFERROR(__xludf.DUMMYFUNCTION("""COMPUTED_VALUE"""),44662.554618055554)</f>
        <v>44662.55462</v>
      </c>
      <c r="D3558" s="13">
        <f t="shared" si="1"/>
        <v>11</v>
      </c>
      <c r="E3558" s="13">
        <f t="shared" si="2"/>
        <v>13</v>
      </c>
    </row>
    <row r="3559">
      <c r="A3559" s="4" t="s">
        <v>4007</v>
      </c>
      <c r="B3559" s="4" t="s">
        <v>2266</v>
      </c>
      <c r="C3559" s="12">
        <f>IFERROR(__xludf.DUMMYFUNCTION("""COMPUTED_VALUE"""),44662.55460648148)</f>
        <v>44662.55461</v>
      </c>
      <c r="D3559" s="13">
        <f t="shared" si="1"/>
        <v>11</v>
      </c>
      <c r="E3559" s="13">
        <f t="shared" si="2"/>
        <v>13</v>
      </c>
    </row>
    <row r="3560">
      <c r="A3560" s="4" t="s">
        <v>4008</v>
      </c>
      <c r="B3560" s="4" t="s">
        <v>829</v>
      </c>
      <c r="C3560" s="12">
        <f>IFERROR(__xludf.DUMMYFUNCTION("""COMPUTED_VALUE"""),44662.55458333333)</f>
        <v>44662.55458</v>
      </c>
      <c r="D3560" s="13">
        <f t="shared" si="1"/>
        <v>11</v>
      </c>
      <c r="E3560" s="13">
        <f t="shared" si="2"/>
        <v>13</v>
      </c>
    </row>
    <row r="3561">
      <c r="A3561" s="4" t="s">
        <v>4009</v>
      </c>
      <c r="B3561" s="4" t="s">
        <v>2740</v>
      </c>
      <c r="C3561" s="12">
        <f>IFERROR(__xludf.DUMMYFUNCTION("""COMPUTED_VALUE"""),44662.554571759254)</f>
        <v>44662.55457</v>
      </c>
      <c r="D3561" s="13">
        <f t="shared" si="1"/>
        <v>11</v>
      </c>
      <c r="E3561" s="13">
        <f t="shared" si="2"/>
        <v>13</v>
      </c>
    </row>
    <row r="3562">
      <c r="A3562" s="4" t="s">
        <v>4010</v>
      </c>
      <c r="B3562" s="4" t="s">
        <v>2740</v>
      </c>
      <c r="C3562" s="12">
        <f>IFERROR(__xludf.DUMMYFUNCTION("""COMPUTED_VALUE"""),44662.55454861111)</f>
        <v>44662.55455</v>
      </c>
      <c r="D3562" s="13">
        <f t="shared" si="1"/>
        <v>11</v>
      </c>
      <c r="E3562" s="13">
        <f t="shared" si="2"/>
        <v>13</v>
      </c>
    </row>
    <row r="3563">
      <c r="A3563" s="4" t="s">
        <v>4011</v>
      </c>
      <c r="B3563" s="4" t="s">
        <v>4012</v>
      </c>
      <c r="C3563" s="12">
        <f>IFERROR(__xludf.DUMMYFUNCTION("""COMPUTED_VALUE"""),44662.55453703704)</f>
        <v>44662.55454</v>
      </c>
      <c r="D3563" s="13">
        <f t="shared" si="1"/>
        <v>11</v>
      </c>
      <c r="E3563" s="13">
        <f t="shared" si="2"/>
        <v>13</v>
      </c>
    </row>
    <row r="3564">
      <c r="A3564" s="4" t="s">
        <v>4011</v>
      </c>
      <c r="B3564" s="16"/>
      <c r="C3564" s="12">
        <f>IFERROR(__xludf.DUMMYFUNCTION("""COMPUTED_VALUE"""),44662.55453703704)</f>
        <v>44662.55454</v>
      </c>
      <c r="D3564" s="13">
        <f t="shared" si="1"/>
        <v>11</v>
      </c>
      <c r="E3564" s="13">
        <f t="shared" si="2"/>
        <v>13</v>
      </c>
    </row>
    <row r="3565">
      <c r="A3565" s="4" t="s">
        <v>4013</v>
      </c>
      <c r="B3565" s="4" t="s">
        <v>2740</v>
      </c>
      <c r="C3565" s="12">
        <f>IFERROR(__xludf.DUMMYFUNCTION("""COMPUTED_VALUE"""),44662.55452546296)</f>
        <v>44662.55453</v>
      </c>
      <c r="D3565" s="13">
        <f t="shared" si="1"/>
        <v>11</v>
      </c>
      <c r="E3565" s="13">
        <f t="shared" si="2"/>
        <v>13</v>
      </c>
    </row>
    <row r="3566">
      <c r="A3566" s="4" t="s">
        <v>4014</v>
      </c>
      <c r="B3566" s="4" t="s">
        <v>829</v>
      </c>
      <c r="C3566" s="12">
        <f>IFERROR(__xludf.DUMMYFUNCTION("""COMPUTED_VALUE"""),44662.554513888885)</f>
        <v>44662.55451</v>
      </c>
      <c r="D3566" s="13">
        <f t="shared" si="1"/>
        <v>11</v>
      </c>
      <c r="E3566" s="13">
        <f t="shared" si="2"/>
        <v>13</v>
      </c>
    </row>
    <row r="3567">
      <c r="A3567" s="4" t="s">
        <v>4015</v>
      </c>
      <c r="B3567" s="4" t="s">
        <v>4012</v>
      </c>
      <c r="C3567" s="12">
        <f>IFERROR(__xludf.DUMMYFUNCTION("""COMPUTED_VALUE"""),44662.55442129629)</f>
        <v>44662.55442</v>
      </c>
      <c r="D3567" s="13">
        <f t="shared" si="1"/>
        <v>11</v>
      </c>
      <c r="E3567" s="13">
        <f t="shared" si="2"/>
        <v>13</v>
      </c>
    </row>
    <row r="3568">
      <c r="A3568" s="4" t="s">
        <v>4016</v>
      </c>
      <c r="B3568" s="4" t="s">
        <v>2740</v>
      </c>
      <c r="C3568" s="12">
        <f>IFERROR(__xludf.DUMMYFUNCTION("""COMPUTED_VALUE"""),44662.55440972222)</f>
        <v>44662.55441</v>
      </c>
      <c r="D3568" s="13">
        <f t="shared" si="1"/>
        <v>11</v>
      </c>
      <c r="E3568" s="13">
        <f t="shared" si="2"/>
        <v>13</v>
      </c>
    </row>
    <row r="3569">
      <c r="A3569" s="4" t="s">
        <v>4017</v>
      </c>
      <c r="B3569" s="16"/>
      <c r="C3569" s="12">
        <f>IFERROR(__xludf.DUMMYFUNCTION("""COMPUTED_VALUE"""),44662.5543287037)</f>
        <v>44662.55433</v>
      </c>
      <c r="D3569" s="13">
        <f t="shared" si="1"/>
        <v>11</v>
      </c>
      <c r="E3569" s="13">
        <f t="shared" si="2"/>
        <v>13</v>
      </c>
    </row>
    <row r="3570">
      <c r="A3570" s="4" t="s">
        <v>4018</v>
      </c>
      <c r="B3570" s="16"/>
      <c r="C3570" s="12">
        <f>IFERROR(__xludf.DUMMYFUNCTION("""COMPUTED_VALUE"""),44662.55412037037)</f>
        <v>44662.55412</v>
      </c>
      <c r="D3570" s="13">
        <f t="shared" si="1"/>
        <v>11</v>
      </c>
      <c r="E3570" s="13">
        <f t="shared" si="2"/>
        <v>13</v>
      </c>
    </row>
    <row r="3571">
      <c r="A3571" s="4" t="s">
        <v>4018</v>
      </c>
      <c r="B3571" s="4" t="s">
        <v>3974</v>
      </c>
      <c r="C3571" s="12">
        <f>IFERROR(__xludf.DUMMYFUNCTION("""COMPUTED_VALUE"""),44662.55412037037)</f>
        <v>44662.55412</v>
      </c>
      <c r="D3571" s="13">
        <f t="shared" si="1"/>
        <v>11</v>
      </c>
      <c r="E3571" s="13">
        <f t="shared" si="2"/>
        <v>13</v>
      </c>
    </row>
    <row r="3572">
      <c r="A3572" s="4" t="s">
        <v>4019</v>
      </c>
      <c r="B3572" s="4" t="s">
        <v>3974</v>
      </c>
      <c r="C3572" s="12">
        <f>IFERROR(__xludf.DUMMYFUNCTION("""COMPUTED_VALUE"""),44662.55398148148)</f>
        <v>44662.55398</v>
      </c>
      <c r="D3572" s="13">
        <f t="shared" si="1"/>
        <v>11</v>
      </c>
      <c r="E3572" s="13">
        <f t="shared" si="2"/>
        <v>13</v>
      </c>
    </row>
    <row r="3573">
      <c r="A3573" s="4" t="s">
        <v>4020</v>
      </c>
      <c r="B3573" s="4" t="s">
        <v>3974</v>
      </c>
      <c r="C3573" s="12">
        <f>IFERROR(__xludf.DUMMYFUNCTION("""COMPUTED_VALUE"""),44662.55390046296)</f>
        <v>44662.5539</v>
      </c>
      <c r="D3573" s="13">
        <f t="shared" si="1"/>
        <v>11</v>
      </c>
      <c r="E3573" s="13">
        <f t="shared" si="2"/>
        <v>13</v>
      </c>
    </row>
    <row r="3574">
      <c r="A3574" s="4" t="s">
        <v>4021</v>
      </c>
      <c r="B3574" s="4" t="s">
        <v>4022</v>
      </c>
      <c r="C3574" s="12">
        <f>IFERROR(__xludf.DUMMYFUNCTION("""COMPUTED_VALUE"""),44662.55349537037)</f>
        <v>44662.5535</v>
      </c>
      <c r="D3574" s="13">
        <f t="shared" si="1"/>
        <v>11</v>
      </c>
      <c r="E3574" s="13">
        <f t="shared" si="2"/>
        <v>13</v>
      </c>
    </row>
    <row r="3575">
      <c r="A3575" s="4" t="s">
        <v>4023</v>
      </c>
      <c r="B3575" s="16"/>
      <c r="C3575" s="12">
        <f>IFERROR(__xludf.DUMMYFUNCTION("""COMPUTED_VALUE"""),44662.55347222222)</f>
        <v>44662.55347</v>
      </c>
      <c r="D3575" s="13">
        <f t="shared" si="1"/>
        <v>11</v>
      </c>
      <c r="E3575" s="13">
        <f t="shared" si="2"/>
        <v>13</v>
      </c>
    </row>
    <row r="3576">
      <c r="A3576" s="4" t="s">
        <v>4024</v>
      </c>
      <c r="B3576" s="16"/>
      <c r="C3576" s="12">
        <f>IFERROR(__xludf.DUMMYFUNCTION("""COMPUTED_VALUE"""),44662.55344907407)</f>
        <v>44662.55345</v>
      </c>
      <c r="D3576" s="13">
        <f t="shared" si="1"/>
        <v>11</v>
      </c>
      <c r="E3576" s="13">
        <f t="shared" si="2"/>
        <v>13</v>
      </c>
    </row>
    <row r="3577">
      <c r="A3577" s="4" t="s">
        <v>4025</v>
      </c>
      <c r="B3577" s="16"/>
      <c r="C3577" s="12">
        <f>IFERROR(__xludf.DUMMYFUNCTION("""COMPUTED_VALUE"""),44662.55331018518)</f>
        <v>44662.55331</v>
      </c>
      <c r="D3577" s="13">
        <f t="shared" si="1"/>
        <v>11</v>
      </c>
      <c r="E3577" s="13">
        <f t="shared" si="2"/>
        <v>13</v>
      </c>
    </row>
    <row r="3578">
      <c r="A3578" s="4" t="s">
        <v>4026</v>
      </c>
      <c r="B3578" s="16"/>
      <c r="C3578" s="12">
        <f>IFERROR(__xludf.DUMMYFUNCTION("""COMPUTED_VALUE"""),44662.55329861111)</f>
        <v>44662.5533</v>
      </c>
      <c r="D3578" s="13">
        <f t="shared" si="1"/>
        <v>11</v>
      </c>
      <c r="E3578" s="13">
        <f t="shared" si="2"/>
        <v>13</v>
      </c>
    </row>
    <row r="3579">
      <c r="A3579" s="4" t="s">
        <v>4027</v>
      </c>
      <c r="B3579" s="16"/>
      <c r="C3579" s="12">
        <f>IFERROR(__xludf.DUMMYFUNCTION("""COMPUTED_VALUE"""),44662.5527662037)</f>
        <v>44662.55277</v>
      </c>
      <c r="D3579" s="13">
        <f t="shared" si="1"/>
        <v>11</v>
      </c>
      <c r="E3579" s="13">
        <f t="shared" si="2"/>
        <v>13</v>
      </c>
    </row>
    <row r="3580">
      <c r="A3580" s="4" t="s">
        <v>4028</v>
      </c>
      <c r="B3580" s="16"/>
      <c r="C3580" s="12">
        <f>IFERROR(__xludf.DUMMYFUNCTION("""COMPUTED_VALUE"""),44662.552673611106)</f>
        <v>44662.55267</v>
      </c>
      <c r="D3580" s="13">
        <f t="shared" si="1"/>
        <v>11</v>
      </c>
      <c r="E3580" s="13">
        <f t="shared" si="2"/>
        <v>13</v>
      </c>
    </row>
    <row r="3581">
      <c r="A3581" s="4" t="s">
        <v>4029</v>
      </c>
      <c r="B3581" s="4" t="s">
        <v>3241</v>
      </c>
      <c r="C3581" s="12">
        <f>IFERROR(__xludf.DUMMYFUNCTION("""COMPUTED_VALUE"""),44662.55259259259)</f>
        <v>44662.55259</v>
      </c>
      <c r="D3581" s="13">
        <f t="shared" si="1"/>
        <v>11</v>
      </c>
      <c r="E3581" s="13">
        <f t="shared" si="2"/>
        <v>13</v>
      </c>
    </row>
    <row r="3582">
      <c r="A3582" s="4" t="s">
        <v>4030</v>
      </c>
      <c r="B3582" s="4" t="s">
        <v>3866</v>
      </c>
      <c r="C3582" s="12">
        <f>IFERROR(__xludf.DUMMYFUNCTION("""COMPUTED_VALUE"""),44662.552523148144)</f>
        <v>44662.55252</v>
      </c>
      <c r="D3582" s="13">
        <f t="shared" si="1"/>
        <v>11</v>
      </c>
      <c r="E3582" s="13">
        <f t="shared" si="2"/>
        <v>13</v>
      </c>
    </row>
    <row r="3583">
      <c r="A3583" s="4" t="s">
        <v>4031</v>
      </c>
      <c r="B3583" s="4" t="s">
        <v>2627</v>
      </c>
      <c r="C3583" s="12">
        <f>IFERROR(__xludf.DUMMYFUNCTION("""COMPUTED_VALUE"""),44662.55226851851)</f>
        <v>44662.55227</v>
      </c>
      <c r="D3583" s="13">
        <f t="shared" si="1"/>
        <v>11</v>
      </c>
      <c r="E3583" s="13">
        <f t="shared" si="2"/>
        <v>13</v>
      </c>
    </row>
    <row r="3584">
      <c r="A3584" s="4" t="s">
        <v>4032</v>
      </c>
      <c r="B3584" s="4" t="s">
        <v>2627</v>
      </c>
      <c r="C3584" s="12">
        <f>IFERROR(__xludf.DUMMYFUNCTION("""COMPUTED_VALUE"""),44662.55224537037)</f>
        <v>44662.55225</v>
      </c>
      <c r="D3584" s="13">
        <f t="shared" si="1"/>
        <v>11</v>
      </c>
      <c r="E3584" s="13">
        <f t="shared" si="2"/>
        <v>13</v>
      </c>
    </row>
    <row r="3585">
      <c r="A3585" s="4" t="s">
        <v>4033</v>
      </c>
      <c r="B3585" s="16"/>
      <c r="C3585" s="12">
        <f>IFERROR(__xludf.DUMMYFUNCTION("""COMPUTED_VALUE"""),44662.55223379629)</f>
        <v>44662.55223</v>
      </c>
      <c r="D3585" s="13">
        <f t="shared" si="1"/>
        <v>11</v>
      </c>
      <c r="E3585" s="13">
        <f t="shared" si="2"/>
        <v>13</v>
      </c>
    </row>
    <row r="3586">
      <c r="A3586" s="4" t="s">
        <v>4034</v>
      </c>
      <c r="B3586" s="4" t="s">
        <v>2627</v>
      </c>
      <c r="C3586" s="12">
        <f>IFERROR(__xludf.DUMMYFUNCTION("""COMPUTED_VALUE"""),44662.55222222222)</f>
        <v>44662.55222</v>
      </c>
      <c r="D3586" s="13">
        <f t="shared" si="1"/>
        <v>11</v>
      </c>
      <c r="E3586" s="13">
        <f t="shared" si="2"/>
        <v>13</v>
      </c>
    </row>
    <row r="3587">
      <c r="A3587" s="4" t="s">
        <v>4035</v>
      </c>
      <c r="B3587" s="4" t="s">
        <v>2627</v>
      </c>
      <c r="C3587" s="12">
        <f>IFERROR(__xludf.DUMMYFUNCTION("""COMPUTED_VALUE"""),44662.552210648144)</f>
        <v>44662.55221</v>
      </c>
      <c r="D3587" s="13">
        <f t="shared" si="1"/>
        <v>11</v>
      </c>
      <c r="E3587" s="13">
        <f t="shared" si="2"/>
        <v>13</v>
      </c>
    </row>
    <row r="3588">
      <c r="A3588" s="4" t="s">
        <v>4036</v>
      </c>
      <c r="B3588" s="16"/>
      <c r="C3588" s="12">
        <f>IFERROR(__xludf.DUMMYFUNCTION("""COMPUTED_VALUE"""),44662.552199074074)</f>
        <v>44662.5522</v>
      </c>
      <c r="D3588" s="13">
        <f t="shared" si="1"/>
        <v>11</v>
      </c>
      <c r="E3588" s="13">
        <f t="shared" si="2"/>
        <v>13</v>
      </c>
    </row>
    <row r="3589">
      <c r="A3589" s="4" t="s">
        <v>4036</v>
      </c>
      <c r="B3589" s="4" t="s">
        <v>2627</v>
      </c>
      <c r="C3589" s="12">
        <f>IFERROR(__xludf.DUMMYFUNCTION("""COMPUTED_VALUE"""),44662.552199074074)</f>
        <v>44662.5522</v>
      </c>
      <c r="D3589" s="13">
        <f t="shared" si="1"/>
        <v>11</v>
      </c>
      <c r="E3589" s="13">
        <f t="shared" si="2"/>
        <v>13</v>
      </c>
    </row>
    <row r="3590">
      <c r="A3590" s="4" t="s">
        <v>4037</v>
      </c>
      <c r="B3590" s="4" t="s">
        <v>2627</v>
      </c>
      <c r="C3590" s="12">
        <f>IFERROR(__xludf.DUMMYFUNCTION("""COMPUTED_VALUE"""),44662.55217592592)</f>
        <v>44662.55218</v>
      </c>
      <c r="D3590" s="13">
        <f t="shared" si="1"/>
        <v>11</v>
      </c>
      <c r="E3590" s="13">
        <f t="shared" si="2"/>
        <v>13</v>
      </c>
    </row>
    <row r="3591">
      <c r="A3591" s="4" t="s">
        <v>4038</v>
      </c>
      <c r="B3591" s="4" t="s">
        <v>2627</v>
      </c>
      <c r="C3591" s="12">
        <f>IFERROR(__xludf.DUMMYFUNCTION("""COMPUTED_VALUE"""),44662.55216435185)</f>
        <v>44662.55216</v>
      </c>
      <c r="D3591" s="13">
        <f t="shared" si="1"/>
        <v>11</v>
      </c>
      <c r="E3591" s="13">
        <f t="shared" si="2"/>
        <v>13</v>
      </c>
    </row>
    <row r="3592">
      <c r="A3592" s="4" t="s">
        <v>4039</v>
      </c>
      <c r="B3592" s="4" t="s">
        <v>2627</v>
      </c>
      <c r="C3592" s="12">
        <f>IFERROR(__xludf.DUMMYFUNCTION("""COMPUTED_VALUE"""),44662.5521412037)</f>
        <v>44662.55214</v>
      </c>
      <c r="D3592" s="13">
        <f t="shared" si="1"/>
        <v>11</v>
      </c>
      <c r="E3592" s="13">
        <f t="shared" si="2"/>
        <v>13</v>
      </c>
    </row>
    <row r="3593">
      <c r="A3593" s="4" t="s">
        <v>4040</v>
      </c>
      <c r="B3593" s="4" t="s">
        <v>2627</v>
      </c>
      <c r="C3593" s="12">
        <f>IFERROR(__xludf.DUMMYFUNCTION("""COMPUTED_VALUE"""),44662.55212962963)</f>
        <v>44662.55213</v>
      </c>
      <c r="D3593" s="13">
        <f t="shared" si="1"/>
        <v>11</v>
      </c>
      <c r="E3593" s="13">
        <f t="shared" si="2"/>
        <v>13</v>
      </c>
    </row>
    <row r="3594">
      <c r="A3594" s="4" t="s">
        <v>4041</v>
      </c>
      <c r="B3594" s="16"/>
      <c r="C3594" s="12">
        <f>IFERROR(__xludf.DUMMYFUNCTION("""COMPUTED_VALUE"""),44662.55211805555)</f>
        <v>44662.55212</v>
      </c>
      <c r="D3594" s="13">
        <f t="shared" si="1"/>
        <v>11</v>
      </c>
      <c r="E3594" s="13">
        <f t="shared" si="2"/>
        <v>13</v>
      </c>
    </row>
    <row r="3595">
      <c r="A3595" s="4" t="s">
        <v>4041</v>
      </c>
      <c r="B3595" s="16"/>
      <c r="C3595" s="12">
        <f>IFERROR(__xludf.DUMMYFUNCTION("""COMPUTED_VALUE"""),44662.55211805555)</f>
        <v>44662.55212</v>
      </c>
      <c r="D3595" s="13">
        <f t="shared" si="1"/>
        <v>11</v>
      </c>
      <c r="E3595" s="13">
        <f t="shared" si="2"/>
        <v>13</v>
      </c>
    </row>
    <row r="3596">
      <c r="A3596" s="4" t="s">
        <v>4042</v>
      </c>
      <c r="B3596" s="4" t="s">
        <v>2627</v>
      </c>
      <c r="C3596" s="12">
        <f>IFERROR(__xludf.DUMMYFUNCTION("""COMPUTED_VALUE"""),44662.55210648148)</f>
        <v>44662.55211</v>
      </c>
      <c r="D3596" s="13">
        <f t="shared" si="1"/>
        <v>11</v>
      </c>
      <c r="E3596" s="13">
        <f t="shared" si="2"/>
        <v>13</v>
      </c>
    </row>
    <row r="3597">
      <c r="A3597" s="4" t="s">
        <v>4043</v>
      </c>
      <c r="B3597" s="16"/>
      <c r="C3597" s="12">
        <f>IFERROR(__xludf.DUMMYFUNCTION("""COMPUTED_VALUE"""),44662.552094907405)</f>
        <v>44662.55209</v>
      </c>
      <c r="D3597" s="13">
        <f t="shared" si="1"/>
        <v>11</v>
      </c>
      <c r="E3597" s="13">
        <f t="shared" si="2"/>
        <v>13</v>
      </c>
    </row>
    <row r="3598">
      <c r="A3598" s="4" t="s">
        <v>4043</v>
      </c>
      <c r="B3598" s="4" t="s">
        <v>4044</v>
      </c>
      <c r="C3598" s="12">
        <f>IFERROR(__xludf.DUMMYFUNCTION("""COMPUTED_VALUE"""),44662.552094907405)</f>
        <v>44662.55209</v>
      </c>
      <c r="D3598" s="13">
        <f t="shared" si="1"/>
        <v>11</v>
      </c>
      <c r="E3598" s="13">
        <f t="shared" si="2"/>
        <v>13</v>
      </c>
    </row>
    <row r="3599">
      <c r="A3599" s="4" t="s">
        <v>4045</v>
      </c>
      <c r="B3599" s="16"/>
      <c r="C3599" s="12">
        <f>IFERROR(__xludf.DUMMYFUNCTION("""COMPUTED_VALUE"""),44662.55208333333)</f>
        <v>44662.55208</v>
      </c>
      <c r="D3599" s="13">
        <f t="shared" si="1"/>
        <v>11</v>
      </c>
      <c r="E3599" s="13">
        <f t="shared" si="2"/>
        <v>13</v>
      </c>
    </row>
    <row r="3600">
      <c r="A3600" s="4" t="s">
        <v>4046</v>
      </c>
      <c r="B3600" s="4" t="s">
        <v>2627</v>
      </c>
      <c r="C3600" s="12">
        <f>IFERROR(__xludf.DUMMYFUNCTION("""COMPUTED_VALUE"""),44662.55207175926)</f>
        <v>44662.55207</v>
      </c>
      <c r="D3600" s="13">
        <f t="shared" si="1"/>
        <v>11</v>
      </c>
      <c r="E3600" s="13">
        <f t="shared" si="2"/>
        <v>13</v>
      </c>
    </row>
    <row r="3601">
      <c r="A3601" s="4" t="s">
        <v>4047</v>
      </c>
      <c r="B3601" s="4" t="s">
        <v>2627</v>
      </c>
      <c r="C3601" s="12">
        <f>IFERROR(__xludf.DUMMYFUNCTION("""COMPUTED_VALUE"""),44662.552048611105)</f>
        <v>44662.55205</v>
      </c>
      <c r="D3601" s="13">
        <f t="shared" si="1"/>
        <v>11</v>
      </c>
      <c r="E3601" s="13">
        <f t="shared" si="2"/>
        <v>13</v>
      </c>
    </row>
    <row r="3602">
      <c r="A3602" s="4" t="s">
        <v>4048</v>
      </c>
      <c r="B3602" s="4" t="s">
        <v>2627</v>
      </c>
      <c r="C3602" s="12">
        <f>IFERROR(__xludf.DUMMYFUNCTION("""COMPUTED_VALUE"""),44662.55202546296)</f>
        <v>44662.55203</v>
      </c>
      <c r="D3602" s="13">
        <f t="shared" si="1"/>
        <v>11</v>
      </c>
      <c r="E3602" s="13">
        <f t="shared" si="2"/>
        <v>13</v>
      </c>
    </row>
    <row r="3603">
      <c r="A3603" s="4" t="s">
        <v>4049</v>
      </c>
      <c r="B3603" s="16"/>
      <c r="C3603" s="12">
        <f>IFERROR(__xludf.DUMMYFUNCTION("""COMPUTED_VALUE"""),44662.55200231481)</f>
        <v>44662.552</v>
      </c>
      <c r="D3603" s="13">
        <f t="shared" si="1"/>
        <v>11</v>
      </c>
      <c r="E3603" s="13">
        <f t="shared" si="2"/>
        <v>13</v>
      </c>
    </row>
    <row r="3604">
      <c r="A3604" s="4" t="s">
        <v>4050</v>
      </c>
      <c r="B3604" s="4" t="s">
        <v>1669</v>
      </c>
      <c r="C3604" s="12">
        <f>IFERROR(__xludf.DUMMYFUNCTION("""COMPUTED_VALUE"""),44662.55196759259)</f>
        <v>44662.55197</v>
      </c>
      <c r="D3604" s="13">
        <f t="shared" si="1"/>
        <v>11</v>
      </c>
      <c r="E3604" s="13">
        <f t="shared" si="2"/>
        <v>13</v>
      </c>
    </row>
    <row r="3605">
      <c r="A3605" s="4" t="s">
        <v>4051</v>
      </c>
      <c r="B3605" s="16"/>
      <c r="C3605" s="12">
        <f>IFERROR(__xludf.DUMMYFUNCTION("""COMPUTED_VALUE"""),44662.55195601851)</f>
        <v>44662.55196</v>
      </c>
      <c r="D3605" s="13">
        <f t="shared" si="1"/>
        <v>11</v>
      </c>
      <c r="E3605" s="13">
        <f t="shared" si="2"/>
        <v>13</v>
      </c>
    </row>
    <row r="3606">
      <c r="A3606" s="4" t="s">
        <v>4052</v>
      </c>
      <c r="B3606" s="4" t="s">
        <v>4053</v>
      </c>
      <c r="C3606" s="12">
        <f>IFERROR(__xludf.DUMMYFUNCTION("""COMPUTED_VALUE"""),44662.55193287037)</f>
        <v>44662.55193</v>
      </c>
      <c r="D3606" s="13">
        <f t="shared" si="1"/>
        <v>11</v>
      </c>
      <c r="E3606" s="13">
        <f t="shared" si="2"/>
        <v>13</v>
      </c>
    </row>
    <row r="3607">
      <c r="A3607" s="4" t="s">
        <v>4052</v>
      </c>
      <c r="B3607" s="4" t="s">
        <v>2627</v>
      </c>
      <c r="C3607" s="12">
        <f>IFERROR(__xludf.DUMMYFUNCTION("""COMPUTED_VALUE"""),44662.55193287037)</f>
        <v>44662.55193</v>
      </c>
      <c r="D3607" s="13">
        <f t="shared" si="1"/>
        <v>11</v>
      </c>
      <c r="E3607" s="13">
        <f t="shared" si="2"/>
        <v>13</v>
      </c>
    </row>
    <row r="3608">
      <c r="A3608" s="4" t="s">
        <v>4054</v>
      </c>
      <c r="B3608" s="4" t="s">
        <v>2317</v>
      </c>
      <c r="C3608" s="12">
        <f>IFERROR(__xludf.DUMMYFUNCTION("""COMPUTED_VALUE"""),44662.5519212963)</f>
        <v>44662.55192</v>
      </c>
      <c r="D3608" s="13">
        <f t="shared" si="1"/>
        <v>11</v>
      </c>
      <c r="E3608" s="13">
        <f t="shared" si="2"/>
        <v>13</v>
      </c>
    </row>
    <row r="3609">
      <c r="A3609" s="4" t="s">
        <v>4055</v>
      </c>
      <c r="B3609" s="16"/>
      <c r="C3609" s="12">
        <f>IFERROR(__xludf.DUMMYFUNCTION("""COMPUTED_VALUE"""),44662.551886574074)</f>
        <v>44662.55189</v>
      </c>
      <c r="D3609" s="13">
        <f t="shared" si="1"/>
        <v>11</v>
      </c>
      <c r="E3609" s="13">
        <f t="shared" si="2"/>
        <v>13</v>
      </c>
    </row>
    <row r="3610">
      <c r="A3610" s="4" t="s">
        <v>4056</v>
      </c>
      <c r="B3610" s="16"/>
      <c r="C3610" s="12">
        <f>IFERROR(__xludf.DUMMYFUNCTION("""COMPUTED_VALUE"""),44662.55185185185)</f>
        <v>44662.55185</v>
      </c>
      <c r="D3610" s="13">
        <f t="shared" si="1"/>
        <v>11</v>
      </c>
      <c r="E3610" s="13">
        <f t="shared" si="2"/>
        <v>13</v>
      </c>
    </row>
    <row r="3611">
      <c r="A3611" s="4" t="s">
        <v>4057</v>
      </c>
      <c r="B3611" s="4" t="s">
        <v>4058</v>
      </c>
      <c r="C3611" s="12">
        <f>IFERROR(__xludf.DUMMYFUNCTION("""COMPUTED_VALUE"""),44662.551736111105)</f>
        <v>44662.55174</v>
      </c>
      <c r="D3611" s="13">
        <f t="shared" si="1"/>
        <v>11</v>
      </c>
      <c r="E3611" s="13">
        <f t="shared" si="2"/>
        <v>13</v>
      </c>
    </row>
    <row r="3612">
      <c r="A3612" s="4" t="s">
        <v>4059</v>
      </c>
      <c r="B3612" s="16"/>
      <c r="C3612" s="12">
        <f>IFERROR(__xludf.DUMMYFUNCTION("""COMPUTED_VALUE"""),44662.55101851852)</f>
        <v>44662.55102</v>
      </c>
      <c r="D3612" s="13">
        <f t="shared" si="1"/>
        <v>11</v>
      </c>
      <c r="E3612" s="13">
        <f t="shared" si="2"/>
        <v>13</v>
      </c>
    </row>
    <row r="3613">
      <c r="A3613" s="4" t="s">
        <v>4059</v>
      </c>
      <c r="B3613" s="4" t="s">
        <v>1669</v>
      </c>
      <c r="C3613" s="12">
        <f>IFERROR(__xludf.DUMMYFUNCTION("""COMPUTED_VALUE"""),44662.55101851852)</f>
        <v>44662.55102</v>
      </c>
      <c r="D3613" s="13">
        <f t="shared" si="1"/>
        <v>11</v>
      </c>
      <c r="E3613" s="13">
        <f t="shared" si="2"/>
        <v>13</v>
      </c>
    </row>
    <row r="3614">
      <c r="A3614" s="4" t="s">
        <v>4060</v>
      </c>
      <c r="B3614" s="16"/>
      <c r="C3614" s="12">
        <f>IFERROR(__xludf.DUMMYFUNCTION("""COMPUTED_VALUE"""),44662.55092592593)</f>
        <v>44662.55093</v>
      </c>
      <c r="D3614" s="13">
        <f t="shared" si="1"/>
        <v>11</v>
      </c>
      <c r="E3614" s="13">
        <f t="shared" si="2"/>
        <v>13</v>
      </c>
    </row>
    <row r="3615">
      <c r="A3615" s="4" t="s">
        <v>4061</v>
      </c>
      <c r="B3615" s="16"/>
      <c r="C3615" s="12">
        <f>IFERROR(__xludf.DUMMYFUNCTION("""COMPUTED_VALUE"""),44662.550844907404)</f>
        <v>44662.55084</v>
      </c>
      <c r="D3615" s="13">
        <f t="shared" si="1"/>
        <v>11</v>
      </c>
      <c r="E3615" s="13">
        <f t="shared" si="2"/>
        <v>13</v>
      </c>
    </row>
    <row r="3616">
      <c r="A3616" s="4" t="s">
        <v>4062</v>
      </c>
      <c r="B3616" s="16"/>
      <c r="C3616" s="12">
        <f>IFERROR(__xludf.DUMMYFUNCTION("""COMPUTED_VALUE"""),44662.55061342593)</f>
        <v>44662.55061</v>
      </c>
      <c r="D3616" s="13">
        <f t="shared" si="1"/>
        <v>11</v>
      </c>
      <c r="E3616" s="13">
        <f t="shared" si="2"/>
        <v>13</v>
      </c>
    </row>
    <row r="3617">
      <c r="A3617" s="4" t="s">
        <v>4063</v>
      </c>
      <c r="B3617" s="4" t="s">
        <v>4064</v>
      </c>
      <c r="C3617" s="12">
        <f>IFERROR(__xludf.DUMMYFUNCTION("""COMPUTED_VALUE"""),44662.55059027777)</f>
        <v>44662.55059</v>
      </c>
      <c r="D3617" s="13">
        <f t="shared" si="1"/>
        <v>11</v>
      </c>
      <c r="E3617" s="13">
        <f t="shared" si="2"/>
        <v>13</v>
      </c>
    </row>
    <row r="3618">
      <c r="A3618" s="4" t="s">
        <v>4065</v>
      </c>
      <c r="B3618" s="4" t="s">
        <v>4066</v>
      </c>
      <c r="C3618" s="12">
        <f>IFERROR(__xludf.DUMMYFUNCTION("""COMPUTED_VALUE"""),44662.550578703704)</f>
        <v>44662.55058</v>
      </c>
      <c r="D3618" s="13">
        <f t="shared" si="1"/>
        <v>11</v>
      </c>
      <c r="E3618" s="13">
        <f t="shared" si="2"/>
        <v>13</v>
      </c>
    </row>
    <row r="3619">
      <c r="A3619" s="4" t="s">
        <v>4067</v>
      </c>
      <c r="B3619" s="4" t="s">
        <v>4068</v>
      </c>
      <c r="C3619" s="12">
        <f>IFERROR(__xludf.DUMMYFUNCTION("""COMPUTED_VALUE"""),44662.55015046296)</f>
        <v>44662.55015</v>
      </c>
      <c r="D3619" s="13">
        <f t="shared" si="1"/>
        <v>11</v>
      </c>
      <c r="E3619" s="13">
        <f t="shared" si="2"/>
        <v>13</v>
      </c>
    </row>
    <row r="3620">
      <c r="A3620" s="4" t="s">
        <v>4067</v>
      </c>
      <c r="B3620" s="4" t="s">
        <v>4069</v>
      </c>
      <c r="C3620" s="12">
        <f>IFERROR(__xludf.DUMMYFUNCTION("""COMPUTED_VALUE"""),44662.55015046296)</f>
        <v>44662.55015</v>
      </c>
      <c r="D3620" s="13">
        <f t="shared" si="1"/>
        <v>11</v>
      </c>
      <c r="E3620" s="13">
        <f t="shared" si="2"/>
        <v>13</v>
      </c>
    </row>
    <row r="3621">
      <c r="A3621" s="4" t="s">
        <v>4070</v>
      </c>
      <c r="B3621" s="16"/>
      <c r="C3621" s="12">
        <f>IFERROR(__xludf.DUMMYFUNCTION("""COMPUTED_VALUE"""),44662.55006944444)</f>
        <v>44662.55007</v>
      </c>
      <c r="D3621" s="13">
        <f t="shared" si="1"/>
        <v>11</v>
      </c>
      <c r="E3621" s="13">
        <f t="shared" si="2"/>
        <v>13</v>
      </c>
    </row>
    <row r="3622">
      <c r="A3622" s="4" t="s">
        <v>4071</v>
      </c>
      <c r="B3622" s="16"/>
      <c r="C3622" s="12">
        <f>IFERROR(__xludf.DUMMYFUNCTION("""COMPUTED_VALUE"""),44662.549988425926)</f>
        <v>44662.54999</v>
      </c>
      <c r="D3622" s="13">
        <f t="shared" si="1"/>
        <v>11</v>
      </c>
      <c r="E3622" s="13">
        <f t="shared" si="2"/>
        <v>13</v>
      </c>
    </row>
    <row r="3623">
      <c r="A3623" s="4" t="s">
        <v>4072</v>
      </c>
      <c r="B3623" s="16"/>
      <c r="C3623" s="12">
        <f>IFERROR(__xludf.DUMMYFUNCTION("""COMPUTED_VALUE"""),44662.5499537037)</f>
        <v>44662.54995</v>
      </c>
      <c r="D3623" s="13">
        <f t="shared" si="1"/>
        <v>11</v>
      </c>
      <c r="E3623" s="13">
        <f t="shared" si="2"/>
        <v>13</v>
      </c>
    </row>
    <row r="3624">
      <c r="A3624" s="4" t="s">
        <v>4073</v>
      </c>
      <c r="B3624" s="4" t="s">
        <v>4068</v>
      </c>
      <c r="C3624" s="12">
        <f>IFERROR(__xludf.DUMMYFUNCTION("""COMPUTED_VALUE"""),44662.54993055555)</f>
        <v>44662.54993</v>
      </c>
      <c r="D3624" s="13">
        <f t="shared" si="1"/>
        <v>11</v>
      </c>
      <c r="E3624" s="13">
        <f t="shared" si="2"/>
        <v>13</v>
      </c>
    </row>
    <row r="3625">
      <c r="A3625" s="4" t="s">
        <v>4074</v>
      </c>
      <c r="B3625" s="4" t="s">
        <v>4068</v>
      </c>
      <c r="C3625" s="12">
        <f>IFERROR(__xludf.DUMMYFUNCTION("""COMPUTED_VALUE"""),44662.549895833334)</f>
        <v>44662.5499</v>
      </c>
      <c r="D3625" s="13">
        <f t="shared" si="1"/>
        <v>11</v>
      </c>
      <c r="E3625" s="13">
        <f t="shared" si="2"/>
        <v>13</v>
      </c>
    </row>
    <row r="3626">
      <c r="A3626" s="4" t="s">
        <v>4075</v>
      </c>
      <c r="B3626" s="4" t="s">
        <v>3245</v>
      </c>
      <c r="C3626" s="12">
        <f>IFERROR(__xludf.DUMMYFUNCTION("""COMPUTED_VALUE"""),44662.54988425926)</f>
        <v>44662.54988</v>
      </c>
      <c r="D3626" s="13">
        <f t="shared" si="1"/>
        <v>11</v>
      </c>
      <c r="E3626" s="13">
        <f t="shared" si="2"/>
        <v>13</v>
      </c>
    </row>
    <row r="3627">
      <c r="A3627" s="4" t="s">
        <v>4076</v>
      </c>
      <c r="B3627" s="4" t="s">
        <v>106</v>
      </c>
      <c r="C3627" s="12">
        <f>IFERROR(__xludf.DUMMYFUNCTION("""COMPUTED_VALUE"""),44662.54983796296)</f>
        <v>44662.54984</v>
      </c>
      <c r="D3627" s="13">
        <f t="shared" si="1"/>
        <v>11</v>
      </c>
      <c r="E3627" s="13">
        <f t="shared" si="2"/>
        <v>13</v>
      </c>
    </row>
    <row r="3628">
      <c r="A3628" s="4" t="s">
        <v>4077</v>
      </c>
      <c r="B3628" s="16"/>
      <c r="C3628" s="12">
        <f>IFERROR(__xludf.DUMMYFUNCTION("""COMPUTED_VALUE"""),44662.54980324074)</f>
        <v>44662.5498</v>
      </c>
      <c r="D3628" s="13">
        <f t="shared" si="1"/>
        <v>11</v>
      </c>
      <c r="E3628" s="13">
        <f t="shared" si="2"/>
        <v>13</v>
      </c>
    </row>
    <row r="3629">
      <c r="A3629" s="4" t="s">
        <v>4077</v>
      </c>
      <c r="B3629" s="4" t="s">
        <v>106</v>
      </c>
      <c r="C3629" s="12">
        <f>IFERROR(__xludf.DUMMYFUNCTION("""COMPUTED_VALUE"""),44662.54980324074)</f>
        <v>44662.5498</v>
      </c>
      <c r="D3629" s="13">
        <f t="shared" si="1"/>
        <v>11</v>
      </c>
      <c r="E3629" s="13">
        <f t="shared" si="2"/>
        <v>13</v>
      </c>
    </row>
    <row r="3630">
      <c r="A3630" s="4" t="s">
        <v>4078</v>
      </c>
      <c r="B3630" s="4" t="s">
        <v>4068</v>
      </c>
      <c r="C3630" s="12">
        <f>IFERROR(__xludf.DUMMYFUNCTION("""COMPUTED_VALUE"""),44662.5496412037)</f>
        <v>44662.54964</v>
      </c>
      <c r="D3630" s="13">
        <f t="shared" si="1"/>
        <v>11</v>
      </c>
      <c r="E3630" s="13">
        <f t="shared" si="2"/>
        <v>13</v>
      </c>
    </row>
    <row r="3631">
      <c r="A3631" s="4" t="s">
        <v>4079</v>
      </c>
      <c r="B3631" s="16"/>
      <c r="C3631" s="12">
        <f>IFERROR(__xludf.DUMMYFUNCTION("""COMPUTED_VALUE"""),44662.54961805556)</f>
        <v>44662.54962</v>
      </c>
      <c r="D3631" s="13">
        <f t="shared" si="1"/>
        <v>11</v>
      </c>
      <c r="E3631" s="13">
        <f t="shared" si="2"/>
        <v>13</v>
      </c>
    </row>
    <row r="3632">
      <c r="A3632" s="4" t="s">
        <v>4080</v>
      </c>
      <c r="B3632" s="4" t="s">
        <v>3245</v>
      </c>
      <c r="C3632" s="12">
        <f>IFERROR(__xludf.DUMMYFUNCTION("""COMPUTED_VALUE"""),44662.54960648148)</f>
        <v>44662.54961</v>
      </c>
      <c r="D3632" s="13">
        <f t="shared" si="1"/>
        <v>11</v>
      </c>
      <c r="E3632" s="13">
        <f t="shared" si="2"/>
        <v>13</v>
      </c>
    </row>
    <row r="3633">
      <c r="A3633" s="4" t="s">
        <v>4081</v>
      </c>
      <c r="B3633" s="4" t="s">
        <v>4068</v>
      </c>
      <c r="C3633" s="12">
        <f>IFERROR(__xludf.DUMMYFUNCTION("""COMPUTED_VALUE"""),44662.54957175926)</f>
        <v>44662.54957</v>
      </c>
      <c r="D3633" s="13">
        <f t="shared" si="1"/>
        <v>11</v>
      </c>
      <c r="E3633" s="13">
        <f t="shared" si="2"/>
        <v>13</v>
      </c>
    </row>
    <row r="3634">
      <c r="A3634" s="4" t="s">
        <v>4082</v>
      </c>
      <c r="B3634" s="4" t="s">
        <v>4068</v>
      </c>
      <c r="C3634" s="12">
        <f>IFERROR(__xludf.DUMMYFUNCTION("""COMPUTED_VALUE"""),44662.54954861111)</f>
        <v>44662.54955</v>
      </c>
      <c r="D3634" s="13">
        <f t="shared" si="1"/>
        <v>11</v>
      </c>
      <c r="E3634" s="13">
        <f t="shared" si="2"/>
        <v>13</v>
      </c>
    </row>
    <row r="3635">
      <c r="A3635" s="4" t="s">
        <v>4083</v>
      </c>
      <c r="B3635" s="16"/>
      <c r="C3635" s="12">
        <f>IFERROR(__xludf.DUMMYFUNCTION("""COMPUTED_VALUE"""),44662.549421296295)</f>
        <v>44662.54942</v>
      </c>
      <c r="D3635" s="13">
        <f t="shared" si="1"/>
        <v>11</v>
      </c>
      <c r="E3635" s="13">
        <f t="shared" si="2"/>
        <v>13</v>
      </c>
    </row>
    <row r="3636">
      <c r="A3636" s="4" t="s">
        <v>4084</v>
      </c>
      <c r="B3636" s="16"/>
      <c r="C3636" s="12">
        <f>IFERROR(__xludf.DUMMYFUNCTION("""COMPUTED_VALUE"""),44662.54938657407)</f>
        <v>44662.54939</v>
      </c>
      <c r="D3636" s="13">
        <f t="shared" si="1"/>
        <v>11</v>
      </c>
      <c r="E3636" s="13">
        <f t="shared" si="2"/>
        <v>13</v>
      </c>
    </row>
    <row r="3637">
      <c r="A3637" s="4" t="s">
        <v>4085</v>
      </c>
      <c r="B3637" s="16"/>
      <c r="C3637" s="12">
        <f>IFERROR(__xludf.DUMMYFUNCTION("""COMPUTED_VALUE"""),44662.549363425926)</f>
        <v>44662.54936</v>
      </c>
      <c r="D3637" s="13">
        <f t="shared" si="1"/>
        <v>11</v>
      </c>
      <c r="E3637" s="13">
        <f t="shared" si="2"/>
        <v>13</v>
      </c>
    </row>
    <row r="3638">
      <c r="A3638" s="4" t="s">
        <v>4086</v>
      </c>
      <c r="B3638" s="16"/>
      <c r="C3638" s="12">
        <f>IFERROR(__xludf.DUMMYFUNCTION("""COMPUTED_VALUE"""),44662.54935185185)</f>
        <v>44662.54935</v>
      </c>
      <c r="D3638" s="13">
        <f t="shared" si="1"/>
        <v>11</v>
      </c>
      <c r="E3638" s="13">
        <f t="shared" si="2"/>
        <v>13</v>
      </c>
    </row>
    <row r="3639">
      <c r="A3639" s="4" t="s">
        <v>4087</v>
      </c>
      <c r="B3639" s="16"/>
      <c r="C3639" s="12">
        <f>IFERROR(__xludf.DUMMYFUNCTION("""COMPUTED_VALUE"""),44662.5493287037)</f>
        <v>44662.54933</v>
      </c>
      <c r="D3639" s="13">
        <f t="shared" si="1"/>
        <v>11</v>
      </c>
      <c r="E3639" s="13">
        <f t="shared" si="2"/>
        <v>13</v>
      </c>
    </row>
    <row r="3640">
      <c r="A3640" s="4" t="s">
        <v>4088</v>
      </c>
      <c r="B3640" s="16"/>
      <c r="C3640" s="12">
        <f>IFERROR(__xludf.DUMMYFUNCTION("""COMPUTED_VALUE"""),44662.54929398148)</f>
        <v>44662.54929</v>
      </c>
      <c r="D3640" s="13">
        <f t="shared" si="1"/>
        <v>11</v>
      </c>
      <c r="E3640" s="13">
        <f t="shared" si="2"/>
        <v>13</v>
      </c>
    </row>
    <row r="3641">
      <c r="A3641" s="4" t="s">
        <v>4089</v>
      </c>
      <c r="B3641" s="16"/>
      <c r="C3641" s="12">
        <f>IFERROR(__xludf.DUMMYFUNCTION("""COMPUTED_VALUE"""),44662.549259259256)</f>
        <v>44662.54926</v>
      </c>
      <c r="D3641" s="13">
        <f t="shared" si="1"/>
        <v>11</v>
      </c>
      <c r="E3641" s="13">
        <f t="shared" si="2"/>
        <v>13</v>
      </c>
    </row>
    <row r="3642">
      <c r="A3642" s="4" t="s">
        <v>4090</v>
      </c>
      <c r="B3642" s="4" t="s">
        <v>4091</v>
      </c>
      <c r="C3642" s="12">
        <f>IFERROR(__xludf.DUMMYFUNCTION("""COMPUTED_VALUE"""),44662.54913194444)</f>
        <v>44662.54913</v>
      </c>
      <c r="D3642" s="13">
        <f t="shared" si="1"/>
        <v>11</v>
      </c>
      <c r="E3642" s="13">
        <f t="shared" si="2"/>
        <v>13</v>
      </c>
    </row>
    <row r="3643">
      <c r="A3643" s="4" t="s">
        <v>4092</v>
      </c>
      <c r="B3643" s="16"/>
      <c r="C3643" s="12">
        <f>IFERROR(__xludf.DUMMYFUNCTION("""COMPUTED_VALUE"""),44662.5489699074)</f>
        <v>44662.54897</v>
      </c>
      <c r="D3643" s="13">
        <f t="shared" si="1"/>
        <v>11</v>
      </c>
      <c r="E3643" s="13">
        <f t="shared" si="2"/>
        <v>13</v>
      </c>
    </row>
    <row r="3644">
      <c r="A3644" s="4" t="s">
        <v>4092</v>
      </c>
      <c r="B3644" s="16"/>
      <c r="C3644" s="12">
        <f>IFERROR(__xludf.DUMMYFUNCTION("""COMPUTED_VALUE"""),44662.5489699074)</f>
        <v>44662.54897</v>
      </c>
      <c r="D3644" s="13">
        <f t="shared" si="1"/>
        <v>11</v>
      </c>
      <c r="E3644" s="13">
        <f t="shared" si="2"/>
        <v>13</v>
      </c>
    </row>
    <row r="3645">
      <c r="A3645" s="4" t="s">
        <v>4093</v>
      </c>
      <c r="B3645" s="16"/>
      <c r="C3645" s="12">
        <f>IFERROR(__xludf.DUMMYFUNCTION("""COMPUTED_VALUE"""),44662.54893518518)</f>
        <v>44662.54894</v>
      </c>
      <c r="D3645" s="13">
        <f t="shared" si="1"/>
        <v>11</v>
      </c>
      <c r="E3645" s="13">
        <f t="shared" si="2"/>
        <v>13</v>
      </c>
    </row>
    <row r="3646">
      <c r="A3646" s="4" t="s">
        <v>4094</v>
      </c>
      <c r="B3646" s="16"/>
      <c r="C3646" s="12">
        <f>IFERROR(__xludf.DUMMYFUNCTION("""COMPUTED_VALUE"""),44662.54887731481)</f>
        <v>44662.54888</v>
      </c>
      <c r="D3646" s="13">
        <f t="shared" si="1"/>
        <v>11</v>
      </c>
      <c r="E3646" s="13">
        <f t="shared" si="2"/>
        <v>13</v>
      </c>
    </row>
    <row r="3647">
      <c r="A3647" s="4" t="s">
        <v>4095</v>
      </c>
      <c r="B3647" s="16"/>
      <c r="C3647" s="12">
        <f>IFERROR(__xludf.DUMMYFUNCTION("""COMPUTED_VALUE"""),44662.54883101852)</f>
        <v>44662.54883</v>
      </c>
      <c r="D3647" s="13">
        <f t="shared" si="1"/>
        <v>11</v>
      </c>
      <c r="E3647" s="13">
        <f t="shared" si="2"/>
        <v>13</v>
      </c>
    </row>
    <row r="3648">
      <c r="A3648" s="4" t="s">
        <v>4096</v>
      </c>
      <c r="B3648" s="16"/>
      <c r="C3648" s="12">
        <f>IFERROR(__xludf.DUMMYFUNCTION("""COMPUTED_VALUE"""),44662.54877314815)</f>
        <v>44662.54877</v>
      </c>
      <c r="D3648" s="13">
        <f t="shared" si="1"/>
        <v>11</v>
      </c>
      <c r="E3648" s="13">
        <f t="shared" si="2"/>
        <v>13</v>
      </c>
    </row>
    <row r="3649">
      <c r="A3649" s="4" t="s">
        <v>4097</v>
      </c>
      <c r="B3649" s="16"/>
      <c r="C3649" s="12">
        <f>IFERROR(__xludf.DUMMYFUNCTION("""COMPUTED_VALUE"""),44662.548749999994)</f>
        <v>44662.54875</v>
      </c>
      <c r="D3649" s="13">
        <f t="shared" si="1"/>
        <v>11</v>
      </c>
      <c r="E3649" s="13">
        <f t="shared" si="2"/>
        <v>13</v>
      </c>
    </row>
    <row r="3650">
      <c r="A3650" s="4" t="s">
        <v>4097</v>
      </c>
      <c r="B3650" s="16"/>
      <c r="C3650" s="12">
        <f>IFERROR(__xludf.DUMMYFUNCTION("""COMPUTED_VALUE"""),44662.548749999994)</f>
        <v>44662.54875</v>
      </c>
      <c r="D3650" s="13">
        <f t="shared" si="1"/>
        <v>11</v>
      </c>
      <c r="E3650" s="13">
        <f t="shared" si="2"/>
        <v>13</v>
      </c>
    </row>
    <row r="3651">
      <c r="A3651" s="4" t="s">
        <v>4098</v>
      </c>
      <c r="B3651" s="4" t="s">
        <v>2317</v>
      </c>
      <c r="C3651" s="12">
        <f>IFERROR(__xludf.DUMMYFUNCTION("""COMPUTED_VALUE"""),44662.54872685185)</f>
        <v>44662.54873</v>
      </c>
      <c r="D3651" s="13">
        <f t="shared" si="1"/>
        <v>11</v>
      </c>
      <c r="E3651" s="13">
        <f t="shared" si="2"/>
        <v>13</v>
      </c>
    </row>
    <row r="3652">
      <c r="A3652" s="4" t="s">
        <v>4099</v>
      </c>
      <c r="B3652" s="16"/>
      <c r="C3652" s="12">
        <f>IFERROR(__xludf.DUMMYFUNCTION("""COMPUTED_VALUE"""),44662.5487037037)</f>
        <v>44662.5487</v>
      </c>
      <c r="D3652" s="13">
        <f t="shared" si="1"/>
        <v>11</v>
      </c>
      <c r="E3652" s="13">
        <f t="shared" si="2"/>
        <v>13</v>
      </c>
    </row>
    <row r="3653">
      <c r="A3653" s="4" t="s">
        <v>4100</v>
      </c>
      <c r="B3653" s="4" t="s">
        <v>4101</v>
      </c>
      <c r="C3653" s="12">
        <f>IFERROR(__xludf.DUMMYFUNCTION("""COMPUTED_VALUE"""),44662.54866898148)</f>
        <v>44662.54867</v>
      </c>
      <c r="D3653" s="13">
        <f t="shared" si="1"/>
        <v>11</v>
      </c>
      <c r="E3653" s="13">
        <f t="shared" si="2"/>
        <v>13</v>
      </c>
    </row>
    <row r="3654">
      <c r="A3654" s="4" t="s">
        <v>4102</v>
      </c>
      <c r="B3654" s="16"/>
      <c r="C3654" s="12">
        <f>IFERROR(__xludf.DUMMYFUNCTION("""COMPUTED_VALUE"""),44662.548634259256)</f>
        <v>44662.54863</v>
      </c>
      <c r="D3654" s="13">
        <f t="shared" si="1"/>
        <v>11</v>
      </c>
      <c r="E3654" s="13">
        <f t="shared" si="2"/>
        <v>13</v>
      </c>
    </row>
    <row r="3655">
      <c r="A3655" s="4" t="s">
        <v>4103</v>
      </c>
      <c r="B3655" s="16"/>
      <c r="C3655" s="12">
        <f>IFERROR(__xludf.DUMMYFUNCTION("""COMPUTED_VALUE"""),44662.548622685186)</f>
        <v>44662.54862</v>
      </c>
      <c r="D3655" s="13">
        <f t="shared" si="1"/>
        <v>11</v>
      </c>
      <c r="E3655" s="13">
        <f t="shared" si="2"/>
        <v>13</v>
      </c>
    </row>
    <row r="3656">
      <c r="A3656" s="4" t="s">
        <v>4104</v>
      </c>
      <c r="B3656" s="16"/>
      <c r="C3656" s="12">
        <f>IFERROR(__xludf.DUMMYFUNCTION("""COMPUTED_VALUE"""),44662.54861111111)</f>
        <v>44662.54861</v>
      </c>
      <c r="D3656" s="13">
        <f t="shared" si="1"/>
        <v>11</v>
      </c>
      <c r="E3656" s="13">
        <f t="shared" si="2"/>
        <v>13</v>
      </c>
    </row>
    <row r="3657">
      <c r="A3657" s="4" t="s">
        <v>4104</v>
      </c>
      <c r="B3657" s="16"/>
      <c r="C3657" s="12">
        <f>IFERROR(__xludf.DUMMYFUNCTION("""COMPUTED_VALUE"""),44662.54861111111)</f>
        <v>44662.54861</v>
      </c>
      <c r="D3657" s="13">
        <f t="shared" si="1"/>
        <v>11</v>
      </c>
      <c r="E3657" s="13">
        <f t="shared" si="2"/>
        <v>13</v>
      </c>
    </row>
    <row r="3658">
      <c r="A3658" s="4" t="s">
        <v>4105</v>
      </c>
      <c r="B3658" s="4" t="s">
        <v>4106</v>
      </c>
      <c r="C3658" s="12">
        <f>IFERROR(__xludf.DUMMYFUNCTION("""COMPUTED_VALUE"""),44662.54859953703)</f>
        <v>44662.5486</v>
      </c>
      <c r="D3658" s="13">
        <f t="shared" si="1"/>
        <v>11</v>
      </c>
      <c r="E3658" s="13">
        <f t="shared" si="2"/>
        <v>13</v>
      </c>
    </row>
    <row r="3659">
      <c r="A3659" s="4" t="s">
        <v>4105</v>
      </c>
      <c r="B3659" s="16"/>
      <c r="C3659" s="12">
        <f>IFERROR(__xludf.DUMMYFUNCTION("""COMPUTED_VALUE"""),44662.54859953703)</f>
        <v>44662.5486</v>
      </c>
      <c r="D3659" s="13">
        <f t="shared" si="1"/>
        <v>11</v>
      </c>
      <c r="E3659" s="13">
        <f t="shared" si="2"/>
        <v>13</v>
      </c>
    </row>
    <row r="3660">
      <c r="A3660" s="4" t="s">
        <v>4107</v>
      </c>
      <c r="B3660" s="16"/>
      <c r="C3660" s="12">
        <f>IFERROR(__xludf.DUMMYFUNCTION("""COMPUTED_VALUE"""),44662.54858796296)</f>
        <v>44662.54859</v>
      </c>
      <c r="D3660" s="13">
        <f t="shared" si="1"/>
        <v>11</v>
      </c>
      <c r="E3660" s="13">
        <f t="shared" si="2"/>
        <v>13</v>
      </c>
    </row>
    <row r="3661">
      <c r="A3661" s="4" t="s">
        <v>4108</v>
      </c>
      <c r="B3661" s="16"/>
      <c r="C3661" s="12">
        <f>IFERROR(__xludf.DUMMYFUNCTION("""COMPUTED_VALUE"""),44662.54855324074)</f>
        <v>44662.54855</v>
      </c>
      <c r="D3661" s="13">
        <f t="shared" si="1"/>
        <v>11</v>
      </c>
      <c r="E3661" s="13">
        <f t="shared" si="2"/>
        <v>13</v>
      </c>
    </row>
    <row r="3662">
      <c r="A3662" s="4" t="s">
        <v>4108</v>
      </c>
      <c r="B3662" s="4" t="s">
        <v>1086</v>
      </c>
      <c r="C3662" s="12">
        <f>IFERROR(__xludf.DUMMYFUNCTION("""COMPUTED_VALUE"""),44662.54855324074)</f>
        <v>44662.54855</v>
      </c>
      <c r="D3662" s="13">
        <f t="shared" si="1"/>
        <v>11</v>
      </c>
      <c r="E3662" s="13">
        <f t="shared" si="2"/>
        <v>13</v>
      </c>
    </row>
    <row r="3663">
      <c r="A3663" s="4" t="s">
        <v>4109</v>
      </c>
      <c r="B3663" s="16"/>
      <c r="C3663" s="12">
        <f>IFERROR(__xludf.DUMMYFUNCTION("""COMPUTED_VALUE"""),44662.54849537037)</f>
        <v>44662.5485</v>
      </c>
      <c r="D3663" s="13">
        <f t="shared" si="1"/>
        <v>11</v>
      </c>
      <c r="E3663" s="13">
        <f t="shared" si="2"/>
        <v>13</v>
      </c>
    </row>
    <row r="3664">
      <c r="A3664" s="4" t="s">
        <v>4110</v>
      </c>
      <c r="B3664" s="16"/>
      <c r="C3664" s="12">
        <f>IFERROR(__xludf.DUMMYFUNCTION("""COMPUTED_VALUE"""),44662.54847222222)</f>
        <v>44662.54847</v>
      </c>
      <c r="D3664" s="13">
        <f t="shared" si="1"/>
        <v>11</v>
      </c>
      <c r="E3664" s="13">
        <f t="shared" si="2"/>
        <v>13</v>
      </c>
    </row>
    <row r="3665">
      <c r="A3665" s="4" t="s">
        <v>4111</v>
      </c>
      <c r="B3665" s="16"/>
      <c r="C3665" s="12">
        <f>IFERROR(__xludf.DUMMYFUNCTION("""COMPUTED_VALUE"""),44662.548437499994)</f>
        <v>44662.54844</v>
      </c>
      <c r="D3665" s="13">
        <f t="shared" si="1"/>
        <v>11</v>
      </c>
      <c r="E3665" s="13">
        <f t="shared" si="2"/>
        <v>13</v>
      </c>
    </row>
    <row r="3666">
      <c r="A3666" s="4" t="s">
        <v>4112</v>
      </c>
      <c r="B3666" s="4" t="s">
        <v>4113</v>
      </c>
      <c r="C3666" s="12">
        <f>IFERROR(__xludf.DUMMYFUNCTION("""COMPUTED_VALUE"""),44662.548425925925)</f>
        <v>44662.54843</v>
      </c>
      <c r="D3666" s="13">
        <f t="shared" si="1"/>
        <v>11</v>
      </c>
      <c r="E3666" s="13">
        <f t="shared" si="2"/>
        <v>13</v>
      </c>
    </row>
    <row r="3667">
      <c r="A3667" s="4" t="s">
        <v>4114</v>
      </c>
      <c r="B3667" s="16"/>
      <c r="C3667" s="12">
        <f>IFERROR(__xludf.DUMMYFUNCTION("""COMPUTED_VALUE"""),44662.5483912037)</f>
        <v>44662.54839</v>
      </c>
      <c r="D3667" s="13">
        <f t="shared" si="1"/>
        <v>11</v>
      </c>
      <c r="E3667" s="13">
        <f t="shared" si="2"/>
        <v>13</v>
      </c>
    </row>
    <row r="3668">
      <c r="A3668" s="4" t="s">
        <v>4115</v>
      </c>
      <c r="B3668" s="16"/>
      <c r="C3668" s="12">
        <f>IFERROR(__xludf.DUMMYFUNCTION("""COMPUTED_VALUE"""),44662.548368055555)</f>
        <v>44662.54837</v>
      </c>
      <c r="D3668" s="13">
        <f t="shared" si="1"/>
        <v>11</v>
      </c>
      <c r="E3668" s="13">
        <f t="shared" si="2"/>
        <v>13</v>
      </c>
    </row>
    <row r="3669">
      <c r="A3669" s="4" t="s">
        <v>4116</v>
      </c>
      <c r="B3669" s="16"/>
      <c r="C3669" s="12">
        <f>IFERROR(__xludf.DUMMYFUNCTION("""COMPUTED_VALUE"""),44662.54835648148)</f>
        <v>44662.54836</v>
      </c>
      <c r="D3669" s="13">
        <f t="shared" si="1"/>
        <v>11</v>
      </c>
      <c r="E3669" s="13">
        <f t="shared" si="2"/>
        <v>13</v>
      </c>
    </row>
    <row r="3670">
      <c r="A3670" s="4" t="s">
        <v>4117</v>
      </c>
      <c r="B3670" s="4" t="s">
        <v>4118</v>
      </c>
      <c r="C3670" s="12">
        <f>IFERROR(__xludf.DUMMYFUNCTION("""COMPUTED_VALUE"""),44662.54827546296)</f>
        <v>44662.54828</v>
      </c>
      <c r="D3670" s="13">
        <f t="shared" si="1"/>
        <v>11</v>
      </c>
      <c r="E3670" s="13">
        <f t="shared" si="2"/>
        <v>13</v>
      </c>
    </row>
    <row r="3671">
      <c r="A3671" s="4" t="s">
        <v>4119</v>
      </c>
      <c r="B3671" s="4" t="s">
        <v>1759</v>
      </c>
      <c r="C3671" s="12">
        <f>IFERROR(__xludf.DUMMYFUNCTION("""COMPUTED_VALUE"""),44662.54810185185)</f>
        <v>44662.5481</v>
      </c>
      <c r="D3671" s="13">
        <f t="shared" si="1"/>
        <v>11</v>
      </c>
      <c r="E3671" s="13">
        <f t="shared" si="2"/>
        <v>13</v>
      </c>
    </row>
    <row r="3672">
      <c r="A3672" s="4" t="s">
        <v>4120</v>
      </c>
      <c r="B3672" s="4" t="s">
        <v>4068</v>
      </c>
      <c r="C3672" s="12">
        <f>IFERROR(__xludf.DUMMYFUNCTION("""COMPUTED_VALUE"""),44662.54789351852)</f>
        <v>44662.54789</v>
      </c>
      <c r="D3672" s="13">
        <f t="shared" si="1"/>
        <v>11</v>
      </c>
      <c r="E3672" s="13">
        <f t="shared" si="2"/>
        <v>13</v>
      </c>
    </row>
    <row r="3673">
      <c r="A3673" s="4" t="s">
        <v>4121</v>
      </c>
      <c r="B3673" s="16"/>
      <c r="C3673" s="12">
        <f>IFERROR(__xludf.DUMMYFUNCTION("""COMPUTED_VALUE"""),44662.54762731481)</f>
        <v>44662.54763</v>
      </c>
      <c r="D3673" s="13">
        <f t="shared" si="1"/>
        <v>11</v>
      </c>
      <c r="E3673" s="13">
        <f t="shared" si="2"/>
        <v>13</v>
      </c>
    </row>
    <row r="3674">
      <c r="A3674" s="4" t="s">
        <v>4122</v>
      </c>
      <c r="B3674" s="16"/>
      <c r="C3674" s="12">
        <f>IFERROR(__xludf.DUMMYFUNCTION("""COMPUTED_VALUE"""),44662.54760416666)</f>
        <v>44662.5476</v>
      </c>
      <c r="D3674" s="13">
        <f t="shared" si="1"/>
        <v>11</v>
      </c>
      <c r="E3674" s="13">
        <f t="shared" si="2"/>
        <v>13</v>
      </c>
    </row>
    <row r="3675">
      <c r="A3675" s="4" t="s">
        <v>4123</v>
      </c>
      <c r="B3675" s="16"/>
      <c r="C3675" s="12">
        <f>IFERROR(__xludf.DUMMYFUNCTION("""COMPUTED_VALUE"""),44662.54751157407)</f>
        <v>44662.54751</v>
      </c>
      <c r="D3675" s="13">
        <f t="shared" si="1"/>
        <v>11</v>
      </c>
      <c r="E3675" s="13">
        <f t="shared" si="2"/>
        <v>13</v>
      </c>
    </row>
    <row r="3676">
      <c r="A3676" s="4" t="s">
        <v>4124</v>
      </c>
      <c r="B3676" s="4" t="s">
        <v>4125</v>
      </c>
      <c r="C3676" s="12">
        <f>IFERROR(__xludf.DUMMYFUNCTION("""COMPUTED_VALUE"""),44662.54747685185)</f>
        <v>44662.54748</v>
      </c>
      <c r="D3676" s="13">
        <f t="shared" si="1"/>
        <v>11</v>
      </c>
      <c r="E3676" s="13">
        <f t="shared" si="2"/>
        <v>13</v>
      </c>
    </row>
    <row r="3677">
      <c r="A3677" s="4" t="s">
        <v>4126</v>
      </c>
      <c r="B3677" s="4" t="s">
        <v>2317</v>
      </c>
      <c r="C3677" s="12">
        <f>IFERROR(__xludf.DUMMYFUNCTION("""COMPUTED_VALUE"""),44662.5474537037)</f>
        <v>44662.54745</v>
      </c>
      <c r="D3677" s="13">
        <f t="shared" si="1"/>
        <v>11</v>
      </c>
      <c r="E3677" s="13">
        <f t="shared" si="2"/>
        <v>13</v>
      </c>
    </row>
    <row r="3678">
      <c r="A3678" s="4" t="s">
        <v>4127</v>
      </c>
      <c r="B3678" s="4" t="s">
        <v>829</v>
      </c>
      <c r="C3678" s="12">
        <f>IFERROR(__xludf.DUMMYFUNCTION("""COMPUTED_VALUE"""),44662.547384259255)</f>
        <v>44662.54738</v>
      </c>
      <c r="D3678" s="13">
        <f t="shared" si="1"/>
        <v>11</v>
      </c>
      <c r="E3678" s="13">
        <f t="shared" si="2"/>
        <v>13</v>
      </c>
    </row>
    <row r="3679">
      <c r="A3679" s="4" t="s">
        <v>4128</v>
      </c>
      <c r="B3679" s="16"/>
      <c r="C3679" s="12">
        <f>IFERROR(__xludf.DUMMYFUNCTION("""COMPUTED_VALUE"""),44662.54734953703)</f>
        <v>44662.54735</v>
      </c>
      <c r="D3679" s="13">
        <f t="shared" si="1"/>
        <v>11</v>
      </c>
      <c r="E3679" s="13">
        <f t="shared" si="2"/>
        <v>13</v>
      </c>
    </row>
    <row r="3680">
      <c r="A3680" s="4" t="s">
        <v>4129</v>
      </c>
      <c r="B3680" s="4" t="s">
        <v>829</v>
      </c>
      <c r="C3680" s="12">
        <f>IFERROR(__xludf.DUMMYFUNCTION("""COMPUTED_VALUE"""),44662.54733796296)</f>
        <v>44662.54734</v>
      </c>
      <c r="D3680" s="13">
        <f t="shared" si="1"/>
        <v>11</v>
      </c>
      <c r="E3680" s="13">
        <f t="shared" si="2"/>
        <v>13</v>
      </c>
    </row>
    <row r="3681">
      <c r="A3681" s="4" t="s">
        <v>4130</v>
      </c>
      <c r="B3681" s="16"/>
      <c r="C3681" s="12">
        <f>IFERROR(__xludf.DUMMYFUNCTION("""COMPUTED_VALUE"""),44662.547326388885)</f>
        <v>44662.54733</v>
      </c>
      <c r="D3681" s="13">
        <f t="shared" si="1"/>
        <v>11</v>
      </c>
      <c r="E3681" s="13">
        <f t="shared" si="2"/>
        <v>13</v>
      </c>
    </row>
    <row r="3682">
      <c r="A3682" s="4" t="s">
        <v>4131</v>
      </c>
      <c r="B3682" s="4" t="s">
        <v>1030</v>
      </c>
      <c r="C3682" s="12">
        <f>IFERROR(__xludf.DUMMYFUNCTION("""COMPUTED_VALUE"""),44662.547314814816)</f>
        <v>44662.54731</v>
      </c>
      <c r="D3682" s="13">
        <f t="shared" si="1"/>
        <v>11</v>
      </c>
      <c r="E3682" s="13">
        <f t="shared" si="2"/>
        <v>13</v>
      </c>
    </row>
    <row r="3683">
      <c r="A3683" s="4" t="s">
        <v>4131</v>
      </c>
      <c r="B3683" s="16"/>
      <c r="C3683" s="12">
        <f>IFERROR(__xludf.DUMMYFUNCTION("""COMPUTED_VALUE"""),44662.547314814816)</f>
        <v>44662.54731</v>
      </c>
      <c r="D3683" s="13">
        <f t="shared" si="1"/>
        <v>11</v>
      </c>
      <c r="E3683" s="13">
        <f t="shared" si="2"/>
        <v>13</v>
      </c>
    </row>
    <row r="3684">
      <c r="A3684" s="4" t="s">
        <v>4132</v>
      </c>
      <c r="B3684" s="16"/>
      <c r="C3684" s="12">
        <f>IFERROR(__xludf.DUMMYFUNCTION("""COMPUTED_VALUE"""),44662.54729166666)</f>
        <v>44662.54729</v>
      </c>
      <c r="D3684" s="13">
        <f t="shared" si="1"/>
        <v>11</v>
      </c>
      <c r="E3684" s="13">
        <f t="shared" si="2"/>
        <v>13</v>
      </c>
    </row>
    <row r="3685">
      <c r="A3685" s="4" t="s">
        <v>4133</v>
      </c>
      <c r="B3685" s="16"/>
      <c r="C3685" s="12">
        <f>IFERROR(__xludf.DUMMYFUNCTION("""COMPUTED_VALUE"""),44662.54728009259)</f>
        <v>44662.54728</v>
      </c>
      <c r="D3685" s="13">
        <f t="shared" si="1"/>
        <v>11</v>
      </c>
      <c r="E3685" s="13">
        <f t="shared" si="2"/>
        <v>13</v>
      </c>
    </row>
    <row r="3686">
      <c r="A3686" s="4" t="s">
        <v>4134</v>
      </c>
      <c r="B3686" s="4" t="s">
        <v>829</v>
      </c>
      <c r="C3686" s="12">
        <f>IFERROR(__xludf.DUMMYFUNCTION("""COMPUTED_VALUE"""),44662.547268518516)</f>
        <v>44662.54727</v>
      </c>
      <c r="D3686" s="13">
        <f t="shared" si="1"/>
        <v>11</v>
      </c>
      <c r="E3686" s="13">
        <f t="shared" si="2"/>
        <v>13</v>
      </c>
    </row>
    <row r="3687">
      <c r="A3687" s="4" t="s">
        <v>4134</v>
      </c>
      <c r="B3687" s="4" t="s">
        <v>2317</v>
      </c>
      <c r="C3687" s="12">
        <f>IFERROR(__xludf.DUMMYFUNCTION("""COMPUTED_VALUE"""),44662.547268518516)</f>
        <v>44662.54727</v>
      </c>
      <c r="D3687" s="13">
        <f t="shared" si="1"/>
        <v>11</v>
      </c>
      <c r="E3687" s="13">
        <f t="shared" si="2"/>
        <v>13</v>
      </c>
    </row>
    <row r="3688">
      <c r="A3688" s="4" t="s">
        <v>4135</v>
      </c>
      <c r="B3688" s="16"/>
      <c r="C3688" s="12">
        <f>IFERROR(__xludf.DUMMYFUNCTION("""COMPUTED_VALUE"""),44662.54725694444)</f>
        <v>44662.54726</v>
      </c>
      <c r="D3688" s="13">
        <f t="shared" si="1"/>
        <v>11</v>
      </c>
      <c r="E3688" s="13">
        <f t="shared" si="2"/>
        <v>13</v>
      </c>
    </row>
    <row r="3689">
      <c r="A3689" s="4" t="s">
        <v>4136</v>
      </c>
      <c r="B3689" s="16"/>
      <c r="C3689" s="12">
        <f>IFERROR(__xludf.DUMMYFUNCTION("""COMPUTED_VALUE"""),44662.54721064815)</f>
        <v>44662.54721</v>
      </c>
      <c r="D3689" s="13">
        <f t="shared" si="1"/>
        <v>11</v>
      </c>
      <c r="E3689" s="13">
        <f t="shared" si="2"/>
        <v>13</v>
      </c>
    </row>
    <row r="3690">
      <c r="A3690" s="4" t="s">
        <v>4137</v>
      </c>
      <c r="B3690" s="16"/>
      <c r="C3690" s="12">
        <f>IFERROR(__xludf.DUMMYFUNCTION("""COMPUTED_VALUE"""),44662.54717592592)</f>
        <v>44662.54718</v>
      </c>
      <c r="D3690" s="13">
        <f t="shared" si="1"/>
        <v>11</v>
      </c>
      <c r="E3690" s="13">
        <f t="shared" si="2"/>
        <v>13</v>
      </c>
    </row>
    <row r="3691">
      <c r="A3691" s="4" t="s">
        <v>4137</v>
      </c>
      <c r="B3691" s="4" t="s">
        <v>4138</v>
      </c>
      <c r="C3691" s="12">
        <f>IFERROR(__xludf.DUMMYFUNCTION("""COMPUTED_VALUE"""),44662.54717592592)</f>
        <v>44662.54718</v>
      </c>
      <c r="D3691" s="13">
        <f t="shared" si="1"/>
        <v>11</v>
      </c>
      <c r="E3691" s="13">
        <f t="shared" si="2"/>
        <v>13</v>
      </c>
    </row>
    <row r="3692">
      <c r="A3692" s="4" t="s">
        <v>4139</v>
      </c>
      <c r="B3692" s="4" t="s">
        <v>4140</v>
      </c>
      <c r="C3692" s="12">
        <f>IFERROR(__xludf.DUMMYFUNCTION("""COMPUTED_VALUE"""),44662.54716435185)</f>
        <v>44662.54716</v>
      </c>
      <c r="D3692" s="13">
        <f t="shared" si="1"/>
        <v>11</v>
      </c>
      <c r="E3692" s="13">
        <f t="shared" si="2"/>
        <v>13</v>
      </c>
    </row>
    <row r="3693">
      <c r="A3693" s="4" t="s">
        <v>4141</v>
      </c>
      <c r="B3693" s="16"/>
      <c r="C3693" s="12">
        <f>IFERROR(__xludf.DUMMYFUNCTION("""COMPUTED_VALUE"""),44662.54715277778)</f>
        <v>44662.54715</v>
      </c>
      <c r="D3693" s="13">
        <f t="shared" si="1"/>
        <v>11</v>
      </c>
      <c r="E3693" s="13">
        <f t="shared" si="2"/>
        <v>13</v>
      </c>
    </row>
    <row r="3694">
      <c r="A3694" s="4" t="s">
        <v>4141</v>
      </c>
      <c r="B3694" s="16"/>
      <c r="C3694" s="12">
        <f>IFERROR(__xludf.DUMMYFUNCTION("""COMPUTED_VALUE"""),44662.54715277778)</f>
        <v>44662.54715</v>
      </c>
      <c r="D3694" s="13">
        <f t="shared" si="1"/>
        <v>11</v>
      </c>
      <c r="E3694" s="13">
        <f t="shared" si="2"/>
        <v>13</v>
      </c>
    </row>
    <row r="3695">
      <c r="A3695" s="4" t="s">
        <v>4142</v>
      </c>
      <c r="B3695" s="4" t="s">
        <v>4044</v>
      </c>
      <c r="C3695" s="12">
        <f>IFERROR(__xludf.DUMMYFUNCTION("""COMPUTED_VALUE"""),44662.547129629624)</f>
        <v>44662.54713</v>
      </c>
      <c r="D3695" s="13">
        <f t="shared" si="1"/>
        <v>11</v>
      </c>
      <c r="E3695" s="13">
        <f t="shared" si="2"/>
        <v>13</v>
      </c>
    </row>
    <row r="3696">
      <c r="A3696" s="4" t="s">
        <v>4143</v>
      </c>
      <c r="B3696" s="4" t="s">
        <v>4144</v>
      </c>
      <c r="C3696" s="12">
        <f>IFERROR(__xludf.DUMMYFUNCTION("""COMPUTED_VALUE"""),44662.547071759254)</f>
        <v>44662.54707</v>
      </c>
      <c r="D3696" s="13">
        <f t="shared" si="1"/>
        <v>11</v>
      </c>
      <c r="E3696" s="13">
        <f t="shared" si="2"/>
        <v>13</v>
      </c>
    </row>
    <row r="3697">
      <c r="A3697" s="4" t="s">
        <v>4145</v>
      </c>
      <c r="B3697" s="4" t="s">
        <v>4044</v>
      </c>
      <c r="C3697" s="12">
        <f>IFERROR(__xludf.DUMMYFUNCTION("""COMPUTED_VALUE"""),44662.54704861111)</f>
        <v>44662.54705</v>
      </c>
      <c r="D3697" s="13">
        <f t="shared" si="1"/>
        <v>11</v>
      </c>
      <c r="E3697" s="13">
        <f t="shared" si="2"/>
        <v>13</v>
      </c>
    </row>
    <row r="3698">
      <c r="A3698" s="4" t="s">
        <v>4146</v>
      </c>
      <c r="B3698" s="16"/>
      <c r="C3698" s="12">
        <f>IFERROR(__xludf.DUMMYFUNCTION("""COMPUTED_VALUE"""),44662.547013888885)</f>
        <v>44662.54701</v>
      </c>
      <c r="D3698" s="13">
        <f t="shared" si="1"/>
        <v>11</v>
      </c>
      <c r="E3698" s="13">
        <f t="shared" si="2"/>
        <v>13</v>
      </c>
    </row>
    <row r="3699">
      <c r="A3699" s="4" t="s">
        <v>4147</v>
      </c>
      <c r="B3699" s="16"/>
      <c r="C3699" s="12">
        <f>IFERROR(__xludf.DUMMYFUNCTION("""COMPUTED_VALUE"""),44662.547002314815)</f>
        <v>44662.547</v>
      </c>
      <c r="D3699" s="13">
        <f t="shared" si="1"/>
        <v>11</v>
      </c>
      <c r="E3699" s="13">
        <f t="shared" si="2"/>
        <v>13</v>
      </c>
    </row>
    <row r="3700">
      <c r="A3700" s="4" t="s">
        <v>4148</v>
      </c>
      <c r="B3700" s="4" t="s">
        <v>4044</v>
      </c>
      <c r="C3700" s="12">
        <f>IFERROR(__xludf.DUMMYFUNCTION("""COMPUTED_VALUE"""),44662.54699074074)</f>
        <v>44662.54699</v>
      </c>
      <c r="D3700" s="13">
        <f t="shared" si="1"/>
        <v>11</v>
      </c>
      <c r="E3700" s="13">
        <f t="shared" si="2"/>
        <v>13</v>
      </c>
    </row>
    <row r="3701">
      <c r="A3701" s="4" t="s">
        <v>4149</v>
      </c>
      <c r="B3701" s="16"/>
      <c r="C3701" s="12">
        <f>IFERROR(__xludf.DUMMYFUNCTION("""COMPUTED_VALUE"""),44662.546956018516)</f>
        <v>44662.54696</v>
      </c>
      <c r="D3701" s="13">
        <f t="shared" si="1"/>
        <v>11</v>
      </c>
      <c r="E3701" s="13">
        <f t="shared" si="2"/>
        <v>13</v>
      </c>
    </row>
    <row r="3702">
      <c r="A3702" s="4" t="s">
        <v>4150</v>
      </c>
      <c r="B3702" s="4" t="s">
        <v>1903</v>
      </c>
      <c r="C3702" s="12">
        <f>IFERROR(__xludf.DUMMYFUNCTION("""COMPUTED_VALUE"""),44662.54694444444)</f>
        <v>44662.54694</v>
      </c>
      <c r="D3702" s="13">
        <f t="shared" si="1"/>
        <v>11</v>
      </c>
      <c r="E3702" s="13">
        <f t="shared" si="2"/>
        <v>13</v>
      </c>
    </row>
    <row r="3703">
      <c r="A3703" s="4" t="s">
        <v>4151</v>
      </c>
      <c r="B3703" s="4" t="s">
        <v>4044</v>
      </c>
      <c r="C3703" s="12">
        <f>IFERROR(__xludf.DUMMYFUNCTION("""COMPUTED_VALUE"""),44662.54693287037)</f>
        <v>44662.54693</v>
      </c>
      <c r="D3703" s="13">
        <f t="shared" si="1"/>
        <v>11</v>
      </c>
      <c r="E3703" s="13">
        <f t="shared" si="2"/>
        <v>13</v>
      </c>
    </row>
    <row r="3704">
      <c r="A3704" s="4" t="s">
        <v>4152</v>
      </c>
      <c r="B3704" s="4" t="s">
        <v>4153</v>
      </c>
      <c r="C3704" s="12">
        <f>IFERROR(__xludf.DUMMYFUNCTION("""COMPUTED_VALUE"""),44662.54692129629)</f>
        <v>44662.54692</v>
      </c>
      <c r="D3704" s="13">
        <f t="shared" si="1"/>
        <v>11</v>
      </c>
      <c r="E3704" s="13">
        <f t="shared" si="2"/>
        <v>13</v>
      </c>
    </row>
    <row r="3705">
      <c r="A3705" s="4" t="s">
        <v>4154</v>
      </c>
      <c r="B3705" s="4" t="s">
        <v>4155</v>
      </c>
      <c r="C3705" s="12">
        <f>IFERROR(__xludf.DUMMYFUNCTION("""COMPUTED_VALUE"""),44662.54690972222)</f>
        <v>44662.54691</v>
      </c>
      <c r="D3705" s="13">
        <f t="shared" si="1"/>
        <v>11</v>
      </c>
      <c r="E3705" s="13">
        <f t="shared" si="2"/>
        <v>13</v>
      </c>
    </row>
    <row r="3706">
      <c r="A3706" s="4" t="s">
        <v>4156</v>
      </c>
      <c r="B3706" s="16"/>
      <c r="C3706" s="12">
        <f>IFERROR(__xludf.DUMMYFUNCTION("""COMPUTED_VALUE"""),44662.546875)</f>
        <v>44662.54688</v>
      </c>
      <c r="D3706" s="13">
        <f t="shared" si="1"/>
        <v>11</v>
      </c>
      <c r="E3706" s="13">
        <f t="shared" si="2"/>
        <v>13</v>
      </c>
    </row>
    <row r="3707">
      <c r="A3707" s="4" t="s">
        <v>4157</v>
      </c>
      <c r="B3707" s="16"/>
      <c r="C3707" s="12">
        <f>IFERROR(__xludf.DUMMYFUNCTION("""COMPUTED_VALUE"""),44662.54686342592)</f>
        <v>44662.54686</v>
      </c>
      <c r="D3707" s="13">
        <f t="shared" si="1"/>
        <v>11</v>
      </c>
      <c r="E3707" s="13">
        <f t="shared" si="2"/>
        <v>13</v>
      </c>
    </row>
    <row r="3708">
      <c r="A3708" s="4" t="s">
        <v>4158</v>
      </c>
      <c r="B3708" s="16"/>
      <c r="C3708" s="12">
        <f>IFERROR(__xludf.DUMMYFUNCTION("""COMPUTED_VALUE"""),44662.5468287037)</f>
        <v>44662.54683</v>
      </c>
      <c r="D3708" s="13">
        <f t="shared" si="1"/>
        <v>11</v>
      </c>
      <c r="E3708" s="13">
        <f t="shared" si="2"/>
        <v>13</v>
      </c>
    </row>
    <row r="3709">
      <c r="A3709" s="4" t="s">
        <v>4159</v>
      </c>
      <c r="B3709" s="4" t="s">
        <v>4044</v>
      </c>
      <c r="C3709" s="12">
        <f>IFERROR(__xludf.DUMMYFUNCTION("""COMPUTED_VALUE"""),44662.546805555554)</f>
        <v>44662.54681</v>
      </c>
      <c r="D3709" s="13">
        <f t="shared" si="1"/>
        <v>11</v>
      </c>
      <c r="E3709" s="13">
        <f t="shared" si="2"/>
        <v>13</v>
      </c>
    </row>
    <row r="3710">
      <c r="A3710" s="4" t="s">
        <v>4160</v>
      </c>
      <c r="B3710" s="4" t="s">
        <v>4044</v>
      </c>
      <c r="C3710" s="12">
        <f>IFERROR(__xludf.DUMMYFUNCTION("""COMPUTED_VALUE"""),44662.54678240741)</f>
        <v>44662.54678</v>
      </c>
      <c r="D3710" s="13">
        <f t="shared" si="1"/>
        <v>11</v>
      </c>
      <c r="E3710" s="13">
        <f t="shared" si="2"/>
        <v>13</v>
      </c>
    </row>
    <row r="3711">
      <c r="A3711" s="4" t="s">
        <v>4161</v>
      </c>
      <c r="B3711" s="4" t="s">
        <v>4044</v>
      </c>
      <c r="C3711" s="12">
        <f>IFERROR(__xludf.DUMMYFUNCTION("""COMPUTED_VALUE"""),44662.546747685185)</f>
        <v>44662.54675</v>
      </c>
      <c r="D3711" s="13">
        <f t="shared" si="1"/>
        <v>11</v>
      </c>
      <c r="E3711" s="13">
        <f t="shared" si="2"/>
        <v>13</v>
      </c>
    </row>
    <row r="3712">
      <c r="A3712" s="4" t="s">
        <v>4161</v>
      </c>
      <c r="B3712" s="16"/>
      <c r="C3712" s="12">
        <f>IFERROR(__xludf.DUMMYFUNCTION("""COMPUTED_VALUE"""),44662.546747685185)</f>
        <v>44662.54675</v>
      </c>
      <c r="D3712" s="13">
        <f t="shared" si="1"/>
        <v>11</v>
      </c>
      <c r="E3712" s="13">
        <f t="shared" si="2"/>
        <v>13</v>
      </c>
    </row>
    <row r="3713">
      <c r="A3713" s="4" t="s">
        <v>4162</v>
      </c>
      <c r="B3713" s="4" t="s">
        <v>4155</v>
      </c>
      <c r="C3713" s="12">
        <f>IFERROR(__xludf.DUMMYFUNCTION("""COMPUTED_VALUE"""),44662.54673611111)</f>
        <v>44662.54674</v>
      </c>
      <c r="D3713" s="13">
        <f t="shared" si="1"/>
        <v>11</v>
      </c>
      <c r="E3713" s="13">
        <f t="shared" si="2"/>
        <v>13</v>
      </c>
    </row>
    <row r="3714">
      <c r="A3714" s="4" t="s">
        <v>4163</v>
      </c>
      <c r="B3714" s="4" t="s">
        <v>4155</v>
      </c>
      <c r="C3714" s="12">
        <f>IFERROR(__xludf.DUMMYFUNCTION("""COMPUTED_VALUE"""),44662.54672453704)</f>
        <v>44662.54672</v>
      </c>
      <c r="D3714" s="13">
        <f t="shared" si="1"/>
        <v>11</v>
      </c>
      <c r="E3714" s="13">
        <f t="shared" si="2"/>
        <v>13</v>
      </c>
    </row>
    <row r="3715">
      <c r="A3715" s="4" t="s">
        <v>4164</v>
      </c>
      <c r="B3715" s="4" t="s">
        <v>4155</v>
      </c>
      <c r="C3715" s="12">
        <f>IFERROR(__xludf.DUMMYFUNCTION("""COMPUTED_VALUE"""),44662.54671296296)</f>
        <v>44662.54671</v>
      </c>
      <c r="D3715" s="13">
        <f t="shared" si="1"/>
        <v>11</v>
      </c>
      <c r="E3715" s="13">
        <f t="shared" si="2"/>
        <v>13</v>
      </c>
    </row>
    <row r="3716">
      <c r="A3716" s="4" t="s">
        <v>4165</v>
      </c>
      <c r="B3716" s="4" t="s">
        <v>4155</v>
      </c>
      <c r="C3716" s="12">
        <f>IFERROR(__xludf.DUMMYFUNCTION("""COMPUTED_VALUE"""),44662.546701388885)</f>
        <v>44662.5467</v>
      </c>
      <c r="D3716" s="13">
        <f t="shared" si="1"/>
        <v>11</v>
      </c>
      <c r="E3716" s="13">
        <f t="shared" si="2"/>
        <v>13</v>
      </c>
    </row>
    <row r="3717">
      <c r="A3717" s="4" t="s">
        <v>4166</v>
      </c>
      <c r="B3717" s="4" t="s">
        <v>4155</v>
      </c>
      <c r="C3717" s="12">
        <f>IFERROR(__xludf.DUMMYFUNCTION("""COMPUTED_VALUE"""),44662.546689814815)</f>
        <v>44662.54669</v>
      </c>
      <c r="D3717" s="13">
        <f t="shared" si="1"/>
        <v>11</v>
      </c>
      <c r="E3717" s="13">
        <f t="shared" si="2"/>
        <v>13</v>
      </c>
    </row>
    <row r="3718">
      <c r="A3718" s="4" t="s">
        <v>4166</v>
      </c>
      <c r="B3718" s="4" t="s">
        <v>4044</v>
      </c>
      <c r="C3718" s="12">
        <f>IFERROR(__xludf.DUMMYFUNCTION("""COMPUTED_VALUE"""),44662.546689814815)</f>
        <v>44662.54669</v>
      </c>
      <c r="D3718" s="13">
        <f t="shared" si="1"/>
        <v>11</v>
      </c>
      <c r="E3718" s="13">
        <f t="shared" si="2"/>
        <v>13</v>
      </c>
    </row>
    <row r="3719">
      <c r="A3719" s="4" t="s">
        <v>4167</v>
      </c>
      <c r="B3719" s="16"/>
      <c r="C3719" s="12">
        <f>IFERROR(__xludf.DUMMYFUNCTION("""COMPUTED_VALUE"""),44662.54667824074)</f>
        <v>44662.54668</v>
      </c>
      <c r="D3719" s="13">
        <f t="shared" si="1"/>
        <v>11</v>
      </c>
      <c r="E3719" s="13">
        <f t="shared" si="2"/>
        <v>13</v>
      </c>
    </row>
    <row r="3720">
      <c r="A3720" s="4" t="s">
        <v>4167</v>
      </c>
      <c r="B3720" s="4" t="s">
        <v>4155</v>
      </c>
      <c r="C3720" s="12">
        <f>IFERROR(__xludf.DUMMYFUNCTION("""COMPUTED_VALUE"""),44662.54667824074)</f>
        <v>44662.54668</v>
      </c>
      <c r="D3720" s="13">
        <f t="shared" si="1"/>
        <v>11</v>
      </c>
      <c r="E3720" s="13">
        <f t="shared" si="2"/>
        <v>13</v>
      </c>
    </row>
    <row r="3721">
      <c r="A3721" s="4" t="s">
        <v>4168</v>
      </c>
      <c r="B3721" s="4" t="s">
        <v>4155</v>
      </c>
      <c r="C3721" s="12">
        <f>IFERROR(__xludf.DUMMYFUNCTION("""COMPUTED_VALUE"""),44662.54666666666)</f>
        <v>44662.54667</v>
      </c>
      <c r="D3721" s="13">
        <f t="shared" si="1"/>
        <v>11</v>
      </c>
      <c r="E3721" s="13">
        <f t="shared" si="2"/>
        <v>13</v>
      </c>
    </row>
    <row r="3722">
      <c r="A3722" s="4" t="s">
        <v>4168</v>
      </c>
      <c r="B3722" s="4" t="s">
        <v>1903</v>
      </c>
      <c r="C3722" s="12">
        <f>IFERROR(__xludf.DUMMYFUNCTION("""COMPUTED_VALUE"""),44662.54666666666)</f>
        <v>44662.54667</v>
      </c>
      <c r="D3722" s="13">
        <f t="shared" si="1"/>
        <v>11</v>
      </c>
      <c r="E3722" s="13">
        <f t="shared" si="2"/>
        <v>13</v>
      </c>
    </row>
    <row r="3723">
      <c r="A3723" s="4" t="s">
        <v>4169</v>
      </c>
      <c r="B3723" s="16"/>
      <c r="C3723" s="12">
        <f>IFERROR(__xludf.DUMMYFUNCTION("""COMPUTED_VALUE"""),44662.54665509259)</f>
        <v>44662.54666</v>
      </c>
      <c r="D3723" s="13">
        <f t="shared" si="1"/>
        <v>11</v>
      </c>
      <c r="E3723" s="13">
        <f t="shared" si="2"/>
        <v>13</v>
      </c>
    </row>
    <row r="3724">
      <c r="A3724" s="4" t="s">
        <v>4170</v>
      </c>
      <c r="B3724" s="4" t="s">
        <v>4155</v>
      </c>
      <c r="C3724" s="12">
        <f>IFERROR(__xludf.DUMMYFUNCTION("""COMPUTED_VALUE"""),44662.546643518515)</f>
        <v>44662.54664</v>
      </c>
      <c r="D3724" s="13">
        <f t="shared" si="1"/>
        <v>11</v>
      </c>
      <c r="E3724" s="13">
        <f t="shared" si="2"/>
        <v>13</v>
      </c>
    </row>
    <row r="3725">
      <c r="A3725" s="4" t="s">
        <v>4171</v>
      </c>
      <c r="B3725" s="4" t="s">
        <v>4155</v>
      </c>
      <c r="C3725" s="12">
        <f>IFERROR(__xludf.DUMMYFUNCTION("""COMPUTED_VALUE"""),44662.54663194444)</f>
        <v>44662.54663</v>
      </c>
      <c r="D3725" s="13">
        <f t="shared" si="1"/>
        <v>11</v>
      </c>
      <c r="E3725" s="13">
        <f t="shared" si="2"/>
        <v>13</v>
      </c>
    </row>
    <row r="3726">
      <c r="A3726" s="4" t="s">
        <v>4172</v>
      </c>
      <c r="B3726" s="4" t="s">
        <v>4155</v>
      </c>
      <c r="C3726" s="12">
        <f>IFERROR(__xludf.DUMMYFUNCTION("""COMPUTED_VALUE"""),44662.54660879629)</f>
        <v>44662.54661</v>
      </c>
      <c r="D3726" s="13">
        <f t="shared" si="1"/>
        <v>11</v>
      </c>
      <c r="E3726" s="13">
        <f t="shared" si="2"/>
        <v>13</v>
      </c>
    </row>
    <row r="3727">
      <c r="A3727" s="4" t="s">
        <v>4173</v>
      </c>
      <c r="B3727" s="4" t="s">
        <v>4155</v>
      </c>
      <c r="C3727" s="12">
        <f>IFERROR(__xludf.DUMMYFUNCTION("""COMPUTED_VALUE"""),44662.54659722222)</f>
        <v>44662.5466</v>
      </c>
      <c r="D3727" s="13">
        <f t="shared" si="1"/>
        <v>11</v>
      </c>
      <c r="E3727" s="13">
        <f t="shared" si="2"/>
        <v>13</v>
      </c>
    </row>
    <row r="3728">
      <c r="A3728" s="4" t="s">
        <v>4174</v>
      </c>
      <c r="B3728" s="4" t="s">
        <v>4155</v>
      </c>
      <c r="C3728" s="12">
        <f>IFERROR(__xludf.DUMMYFUNCTION("""COMPUTED_VALUE"""),44662.546585648146)</f>
        <v>44662.54659</v>
      </c>
      <c r="D3728" s="13">
        <f t="shared" si="1"/>
        <v>11</v>
      </c>
      <c r="E3728" s="13">
        <f t="shared" si="2"/>
        <v>13</v>
      </c>
    </row>
    <row r="3729">
      <c r="A3729" s="4" t="s">
        <v>4175</v>
      </c>
      <c r="B3729" s="4" t="s">
        <v>4155</v>
      </c>
      <c r="C3729" s="12">
        <f>IFERROR(__xludf.DUMMYFUNCTION("""COMPUTED_VALUE"""),44662.54657407407)</f>
        <v>44662.54657</v>
      </c>
      <c r="D3729" s="13">
        <f t="shared" si="1"/>
        <v>11</v>
      </c>
      <c r="E3729" s="13">
        <f t="shared" si="2"/>
        <v>13</v>
      </c>
    </row>
    <row r="3730">
      <c r="A3730" s="4" t="s">
        <v>4176</v>
      </c>
      <c r="B3730" s="4" t="s">
        <v>4155</v>
      </c>
      <c r="C3730" s="12">
        <f>IFERROR(__xludf.DUMMYFUNCTION("""COMPUTED_VALUE"""),44662.5465625)</f>
        <v>44662.54656</v>
      </c>
      <c r="D3730" s="13">
        <f t="shared" si="1"/>
        <v>11</v>
      </c>
      <c r="E3730" s="13">
        <f t="shared" si="2"/>
        <v>13</v>
      </c>
    </row>
    <row r="3731">
      <c r="A3731" s="4" t="s">
        <v>4177</v>
      </c>
      <c r="B3731" s="16"/>
      <c r="C3731" s="12">
        <f>IFERROR(__xludf.DUMMYFUNCTION("""COMPUTED_VALUE"""),44662.5465162037)</f>
        <v>44662.54652</v>
      </c>
      <c r="D3731" s="13">
        <f t="shared" si="1"/>
        <v>11</v>
      </c>
      <c r="E3731" s="13">
        <f t="shared" si="2"/>
        <v>13</v>
      </c>
    </row>
    <row r="3732">
      <c r="A3732" s="4" t="s">
        <v>4178</v>
      </c>
      <c r="B3732" s="4" t="s">
        <v>4179</v>
      </c>
      <c r="C3732" s="12">
        <f>IFERROR(__xludf.DUMMYFUNCTION("""COMPUTED_VALUE"""),44662.546215277776)</f>
        <v>44662.54622</v>
      </c>
      <c r="D3732" s="13">
        <f t="shared" si="1"/>
        <v>11</v>
      </c>
      <c r="E3732" s="13">
        <f t="shared" si="2"/>
        <v>13</v>
      </c>
    </row>
    <row r="3733">
      <c r="A3733" s="4" t="s">
        <v>4180</v>
      </c>
      <c r="B3733" s="16"/>
      <c r="C3733" s="12">
        <f>IFERROR(__xludf.DUMMYFUNCTION("""COMPUTED_VALUE"""),44662.546064814815)</f>
        <v>44662.54606</v>
      </c>
      <c r="D3733" s="13">
        <f t="shared" si="1"/>
        <v>11</v>
      </c>
      <c r="E3733" s="13">
        <f t="shared" si="2"/>
        <v>13</v>
      </c>
    </row>
    <row r="3734">
      <c r="A3734" s="4" t="s">
        <v>4181</v>
      </c>
      <c r="B3734" s="4" t="s">
        <v>4182</v>
      </c>
      <c r="C3734" s="12">
        <f>IFERROR(__xludf.DUMMYFUNCTION("""COMPUTED_VALUE"""),44662.54605324074)</f>
        <v>44662.54605</v>
      </c>
      <c r="D3734" s="13">
        <f t="shared" si="1"/>
        <v>11</v>
      </c>
      <c r="E3734" s="13">
        <f t="shared" si="2"/>
        <v>13</v>
      </c>
    </row>
    <row r="3735">
      <c r="A3735" s="4" t="s">
        <v>4183</v>
      </c>
      <c r="B3735" s="16"/>
      <c r="C3735" s="12">
        <f>IFERROR(__xludf.DUMMYFUNCTION("""COMPUTED_VALUE"""),44662.54604166666)</f>
        <v>44662.54604</v>
      </c>
      <c r="D3735" s="13">
        <f t="shared" si="1"/>
        <v>11</v>
      </c>
      <c r="E3735" s="13">
        <f t="shared" si="2"/>
        <v>13</v>
      </c>
    </row>
    <row r="3736">
      <c r="A3736" s="4" t="s">
        <v>4184</v>
      </c>
      <c r="B3736" s="4" t="s">
        <v>883</v>
      </c>
      <c r="C3736" s="12">
        <f>IFERROR(__xludf.DUMMYFUNCTION("""COMPUTED_VALUE"""),44662.546006944445)</f>
        <v>44662.54601</v>
      </c>
      <c r="D3736" s="13">
        <f t="shared" si="1"/>
        <v>11</v>
      </c>
      <c r="E3736" s="13">
        <f t="shared" si="2"/>
        <v>13</v>
      </c>
    </row>
    <row r="3737">
      <c r="A3737" s="4" t="s">
        <v>4185</v>
      </c>
      <c r="B3737" s="16"/>
      <c r="C3737" s="12">
        <f>IFERROR(__xludf.DUMMYFUNCTION("""COMPUTED_VALUE"""),44662.5459375)</f>
        <v>44662.54594</v>
      </c>
      <c r="D3737" s="13">
        <f t="shared" si="1"/>
        <v>11</v>
      </c>
      <c r="E3737" s="13">
        <f t="shared" si="2"/>
        <v>13</v>
      </c>
    </row>
    <row r="3738">
      <c r="A3738" s="4" t="s">
        <v>4186</v>
      </c>
      <c r="B3738" s="16"/>
      <c r="C3738" s="12">
        <f>IFERROR(__xludf.DUMMYFUNCTION("""COMPUTED_VALUE"""),44662.54586805555)</f>
        <v>44662.54587</v>
      </c>
      <c r="D3738" s="13">
        <f t="shared" si="1"/>
        <v>11</v>
      </c>
      <c r="E3738" s="13">
        <f t="shared" si="2"/>
        <v>13</v>
      </c>
    </row>
    <row r="3739">
      <c r="A3739" s="4" t="s">
        <v>4187</v>
      </c>
      <c r="B3739" s="4" t="s">
        <v>4182</v>
      </c>
      <c r="C3739" s="12">
        <f>IFERROR(__xludf.DUMMYFUNCTION("""COMPUTED_VALUE"""),44662.54583333333)</f>
        <v>44662.54583</v>
      </c>
      <c r="D3739" s="13">
        <f t="shared" si="1"/>
        <v>11</v>
      </c>
      <c r="E3739" s="13">
        <f t="shared" si="2"/>
        <v>13</v>
      </c>
    </row>
    <row r="3740">
      <c r="A3740" s="4" t="s">
        <v>4188</v>
      </c>
      <c r="B3740" s="4" t="s">
        <v>4182</v>
      </c>
      <c r="C3740" s="12">
        <f>IFERROR(__xludf.DUMMYFUNCTION("""COMPUTED_VALUE"""),44662.54578703704)</f>
        <v>44662.54579</v>
      </c>
      <c r="D3740" s="13">
        <f t="shared" si="1"/>
        <v>11</v>
      </c>
      <c r="E3740" s="13">
        <f t="shared" si="2"/>
        <v>13</v>
      </c>
    </row>
    <row r="3741">
      <c r="A3741" s="4" t="s">
        <v>4189</v>
      </c>
      <c r="B3741" s="4" t="s">
        <v>4182</v>
      </c>
      <c r="C3741" s="12">
        <f>IFERROR(__xludf.DUMMYFUNCTION("""COMPUTED_VALUE"""),44662.545590277776)</f>
        <v>44662.54559</v>
      </c>
      <c r="D3741" s="13">
        <f t="shared" si="1"/>
        <v>11</v>
      </c>
      <c r="E3741" s="13">
        <f t="shared" si="2"/>
        <v>13</v>
      </c>
    </row>
    <row r="3742">
      <c r="A3742" s="4" t="s">
        <v>4190</v>
      </c>
      <c r="B3742" s="4" t="s">
        <v>4191</v>
      </c>
      <c r="C3742" s="12">
        <f>IFERROR(__xludf.DUMMYFUNCTION("""COMPUTED_VALUE"""),44662.54535879629)</f>
        <v>44662.54536</v>
      </c>
      <c r="D3742" s="13">
        <f t="shared" si="1"/>
        <v>11</v>
      </c>
      <c r="E3742" s="13">
        <f t="shared" si="2"/>
        <v>13</v>
      </c>
    </row>
    <row r="3743">
      <c r="A3743" s="4" t="s">
        <v>4192</v>
      </c>
      <c r="B3743" s="4" t="s">
        <v>2070</v>
      </c>
      <c r="C3743" s="12">
        <f>IFERROR(__xludf.DUMMYFUNCTION("""COMPUTED_VALUE"""),44662.544652777775)</f>
        <v>44662.54465</v>
      </c>
      <c r="D3743" s="13">
        <f t="shared" si="1"/>
        <v>11</v>
      </c>
      <c r="E3743" s="13">
        <f t="shared" si="2"/>
        <v>13</v>
      </c>
    </row>
    <row r="3744">
      <c r="A3744" s="4" t="s">
        <v>4193</v>
      </c>
      <c r="B3744" s="16"/>
      <c r="C3744" s="12">
        <f>IFERROR(__xludf.DUMMYFUNCTION("""COMPUTED_VALUE"""),44662.54456018518)</f>
        <v>44662.54456</v>
      </c>
      <c r="D3744" s="13">
        <f t="shared" si="1"/>
        <v>11</v>
      </c>
      <c r="E3744" s="13">
        <f t="shared" si="2"/>
        <v>13</v>
      </c>
    </row>
    <row r="3745">
      <c r="A3745" s="4" t="s">
        <v>4194</v>
      </c>
      <c r="B3745" s="4" t="s">
        <v>2669</v>
      </c>
      <c r="C3745" s="12">
        <f>IFERROR(__xludf.DUMMYFUNCTION("""COMPUTED_VALUE"""),44662.54452546296)</f>
        <v>44662.54453</v>
      </c>
      <c r="D3745" s="13">
        <f t="shared" si="1"/>
        <v>11</v>
      </c>
      <c r="E3745" s="13">
        <f t="shared" si="2"/>
        <v>13</v>
      </c>
    </row>
    <row r="3746">
      <c r="A3746" s="4" t="s">
        <v>4195</v>
      </c>
      <c r="B3746" s="4" t="s">
        <v>2669</v>
      </c>
      <c r="C3746" s="12">
        <f>IFERROR(__xludf.DUMMYFUNCTION("""COMPUTED_VALUE"""),44662.54443287037)</f>
        <v>44662.54443</v>
      </c>
      <c r="D3746" s="13">
        <f t="shared" si="1"/>
        <v>11</v>
      </c>
      <c r="E3746" s="13">
        <f t="shared" si="2"/>
        <v>13</v>
      </c>
    </row>
    <row r="3747">
      <c r="A3747" s="4" t="s">
        <v>4196</v>
      </c>
      <c r="B3747" s="4" t="s">
        <v>2298</v>
      </c>
      <c r="C3747" s="12">
        <f>IFERROR(__xludf.DUMMYFUNCTION("""COMPUTED_VALUE"""),44662.54431712963)</f>
        <v>44662.54432</v>
      </c>
      <c r="D3747" s="13">
        <f t="shared" si="1"/>
        <v>11</v>
      </c>
      <c r="E3747" s="13">
        <f t="shared" si="2"/>
        <v>13</v>
      </c>
    </row>
    <row r="3748">
      <c r="A3748" s="4" t="s">
        <v>4197</v>
      </c>
      <c r="B3748" s="4" t="s">
        <v>2298</v>
      </c>
      <c r="C3748" s="12">
        <f>IFERROR(__xludf.DUMMYFUNCTION("""COMPUTED_VALUE"""),44662.54430555555)</f>
        <v>44662.54431</v>
      </c>
      <c r="D3748" s="13">
        <f t="shared" si="1"/>
        <v>11</v>
      </c>
      <c r="E3748" s="13">
        <f t="shared" si="2"/>
        <v>13</v>
      </c>
    </row>
    <row r="3749">
      <c r="A3749" s="4" t="s">
        <v>4198</v>
      </c>
      <c r="B3749" s="16"/>
      <c r="C3749" s="12">
        <f>IFERROR(__xludf.DUMMYFUNCTION("""COMPUTED_VALUE"""),44662.54425925926)</f>
        <v>44662.54426</v>
      </c>
      <c r="D3749" s="13">
        <f t="shared" si="1"/>
        <v>11</v>
      </c>
      <c r="E3749" s="13">
        <f t="shared" si="2"/>
        <v>13</v>
      </c>
    </row>
    <row r="3750">
      <c r="A3750" s="4" t="s">
        <v>4198</v>
      </c>
      <c r="B3750" s="16"/>
      <c r="C3750" s="12">
        <f>IFERROR(__xludf.DUMMYFUNCTION("""COMPUTED_VALUE"""),44662.54425925926)</f>
        <v>44662.54426</v>
      </c>
      <c r="D3750" s="13">
        <f t="shared" si="1"/>
        <v>11</v>
      </c>
      <c r="E3750" s="13">
        <f t="shared" si="2"/>
        <v>13</v>
      </c>
    </row>
    <row r="3751">
      <c r="A3751" s="4" t="s">
        <v>4199</v>
      </c>
      <c r="B3751" s="4" t="s">
        <v>2298</v>
      </c>
      <c r="C3751" s="12">
        <f>IFERROR(__xludf.DUMMYFUNCTION("""COMPUTED_VALUE"""),44662.544224537036)</f>
        <v>44662.54422</v>
      </c>
      <c r="D3751" s="13">
        <f t="shared" si="1"/>
        <v>11</v>
      </c>
      <c r="E3751" s="13">
        <f t="shared" si="2"/>
        <v>13</v>
      </c>
    </row>
    <row r="3752">
      <c r="A3752" s="4" t="s">
        <v>4200</v>
      </c>
      <c r="B3752" s="4" t="s">
        <v>2298</v>
      </c>
      <c r="C3752" s="12">
        <f>IFERROR(__xludf.DUMMYFUNCTION("""COMPUTED_VALUE"""),44662.54399305555)</f>
        <v>44662.54399</v>
      </c>
      <c r="D3752" s="13">
        <f t="shared" si="1"/>
        <v>11</v>
      </c>
      <c r="E3752" s="13">
        <f t="shared" si="2"/>
        <v>13</v>
      </c>
    </row>
    <row r="3753">
      <c r="A3753" s="4" t="s">
        <v>4201</v>
      </c>
      <c r="B3753" s="4" t="s">
        <v>4202</v>
      </c>
      <c r="C3753" s="12">
        <f>IFERROR(__xludf.DUMMYFUNCTION("""COMPUTED_VALUE"""),44662.54346064814)</f>
        <v>44662.54346</v>
      </c>
      <c r="D3753" s="13">
        <f t="shared" si="1"/>
        <v>11</v>
      </c>
      <c r="E3753" s="13">
        <f t="shared" si="2"/>
        <v>13</v>
      </c>
    </row>
    <row r="3754">
      <c r="A3754" s="4" t="s">
        <v>4203</v>
      </c>
      <c r="B3754" s="4" t="s">
        <v>4204</v>
      </c>
      <c r="C3754" s="12">
        <f>IFERROR(__xludf.DUMMYFUNCTION("""COMPUTED_VALUE"""),44662.54344907407)</f>
        <v>44662.54345</v>
      </c>
      <c r="D3754" s="13">
        <f t="shared" si="1"/>
        <v>11</v>
      </c>
      <c r="E3754" s="13">
        <f t="shared" si="2"/>
        <v>13</v>
      </c>
    </row>
    <row r="3755">
      <c r="A3755" s="4" t="s">
        <v>4205</v>
      </c>
      <c r="B3755" s="16"/>
      <c r="C3755" s="12">
        <f>IFERROR(__xludf.DUMMYFUNCTION("""COMPUTED_VALUE"""),44662.543391203704)</f>
        <v>44662.54339</v>
      </c>
      <c r="D3755" s="13">
        <f t="shared" si="1"/>
        <v>11</v>
      </c>
      <c r="E3755" s="13">
        <f t="shared" si="2"/>
        <v>13</v>
      </c>
    </row>
    <row r="3756">
      <c r="A3756" s="4" t="s">
        <v>4206</v>
      </c>
      <c r="B3756" s="4" t="s">
        <v>4140</v>
      </c>
      <c r="C3756" s="12">
        <f>IFERROR(__xludf.DUMMYFUNCTION("""COMPUTED_VALUE"""),44662.54332175926)</f>
        <v>44662.54332</v>
      </c>
      <c r="D3756" s="13">
        <f t="shared" si="1"/>
        <v>11</v>
      </c>
      <c r="E3756" s="13">
        <f t="shared" si="2"/>
        <v>13</v>
      </c>
    </row>
    <row r="3757">
      <c r="A3757" s="4" t="s">
        <v>4207</v>
      </c>
      <c r="B3757" s="4" t="s">
        <v>4140</v>
      </c>
      <c r="C3757" s="12">
        <f>IFERROR(__xludf.DUMMYFUNCTION("""COMPUTED_VALUE"""),44662.54331018518)</f>
        <v>44662.54331</v>
      </c>
      <c r="D3757" s="13">
        <f t="shared" si="1"/>
        <v>11</v>
      </c>
      <c r="E3757" s="13">
        <f t="shared" si="2"/>
        <v>13</v>
      </c>
    </row>
    <row r="3758">
      <c r="A3758" s="4" t="s">
        <v>4208</v>
      </c>
      <c r="B3758" s="16"/>
      <c r="C3758" s="12">
        <f>IFERROR(__xludf.DUMMYFUNCTION("""COMPUTED_VALUE"""),44662.54326388889)</f>
        <v>44662.54326</v>
      </c>
      <c r="D3758" s="13">
        <f t="shared" si="1"/>
        <v>11</v>
      </c>
      <c r="E3758" s="13">
        <f t="shared" si="2"/>
        <v>13</v>
      </c>
    </row>
    <row r="3759">
      <c r="A3759" s="4" t="s">
        <v>4209</v>
      </c>
      <c r="B3759" s="4" t="s">
        <v>4204</v>
      </c>
      <c r="C3759" s="12">
        <f>IFERROR(__xludf.DUMMYFUNCTION("""COMPUTED_VALUE"""),44662.542974537035)</f>
        <v>44662.54297</v>
      </c>
      <c r="D3759" s="13">
        <f t="shared" si="1"/>
        <v>11</v>
      </c>
      <c r="E3759" s="13">
        <f t="shared" si="2"/>
        <v>13</v>
      </c>
    </row>
    <row r="3760">
      <c r="A3760" s="4" t="s">
        <v>4210</v>
      </c>
      <c r="B3760" s="16"/>
      <c r="C3760" s="12">
        <f>IFERROR(__xludf.DUMMYFUNCTION("""COMPUTED_VALUE"""),44662.54278935185)</f>
        <v>44662.54279</v>
      </c>
      <c r="D3760" s="13">
        <f t="shared" si="1"/>
        <v>11</v>
      </c>
      <c r="E3760" s="13">
        <f t="shared" si="2"/>
        <v>13</v>
      </c>
    </row>
    <row r="3761">
      <c r="A3761" s="4" t="s">
        <v>4211</v>
      </c>
      <c r="B3761" s="16"/>
      <c r="C3761" s="12">
        <f>IFERROR(__xludf.DUMMYFUNCTION("""COMPUTED_VALUE"""),44662.542766203704)</f>
        <v>44662.54277</v>
      </c>
      <c r="D3761" s="13">
        <f t="shared" si="1"/>
        <v>11</v>
      </c>
      <c r="E3761" s="13">
        <f t="shared" si="2"/>
        <v>13</v>
      </c>
    </row>
    <row r="3762">
      <c r="A3762" s="4" t="s">
        <v>4212</v>
      </c>
      <c r="B3762" s="16"/>
      <c r="C3762" s="12">
        <f>IFERROR(__xludf.DUMMYFUNCTION("""COMPUTED_VALUE"""),44662.54273148148)</f>
        <v>44662.54273</v>
      </c>
      <c r="D3762" s="13">
        <f t="shared" si="1"/>
        <v>11</v>
      </c>
      <c r="E3762" s="13">
        <f t="shared" si="2"/>
        <v>13</v>
      </c>
    </row>
    <row r="3763">
      <c r="A3763" s="4" t="s">
        <v>4213</v>
      </c>
      <c r="B3763" s="4" t="s">
        <v>4214</v>
      </c>
      <c r="C3763" s="12">
        <f>IFERROR(__xludf.DUMMYFUNCTION("""COMPUTED_VALUE"""),44662.542708333334)</f>
        <v>44662.54271</v>
      </c>
      <c r="D3763" s="13">
        <f t="shared" si="1"/>
        <v>11</v>
      </c>
      <c r="E3763" s="13">
        <f t="shared" si="2"/>
        <v>13</v>
      </c>
    </row>
    <row r="3764">
      <c r="A3764" s="4" t="s">
        <v>4215</v>
      </c>
      <c r="B3764" s="4" t="s">
        <v>4214</v>
      </c>
      <c r="C3764" s="12">
        <f>IFERROR(__xludf.DUMMYFUNCTION("""COMPUTED_VALUE"""),44662.54265046296)</f>
        <v>44662.54265</v>
      </c>
      <c r="D3764" s="13">
        <f t="shared" si="1"/>
        <v>11</v>
      </c>
      <c r="E3764" s="13">
        <f t="shared" si="2"/>
        <v>13</v>
      </c>
    </row>
    <row r="3765">
      <c r="A3765" s="4" t="s">
        <v>4216</v>
      </c>
      <c r="B3765" s="16"/>
      <c r="C3765" s="12">
        <f>IFERROR(__xludf.DUMMYFUNCTION("""COMPUTED_VALUE"""),44662.542557870365)</f>
        <v>44662.54256</v>
      </c>
      <c r="D3765" s="13">
        <f t="shared" si="1"/>
        <v>11</v>
      </c>
      <c r="E3765" s="13">
        <f t="shared" si="2"/>
        <v>13</v>
      </c>
    </row>
    <row r="3766">
      <c r="A3766" s="4" t="s">
        <v>4217</v>
      </c>
      <c r="B3766" s="4" t="s">
        <v>106</v>
      </c>
      <c r="C3766" s="12">
        <f>IFERROR(__xludf.DUMMYFUNCTION("""COMPUTED_VALUE"""),44662.54252314814)</f>
        <v>44662.54252</v>
      </c>
      <c r="D3766" s="13">
        <f t="shared" si="1"/>
        <v>11</v>
      </c>
      <c r="E3766" s="13">
        <f t="shared" si="2"/>
        <v>13</v>
      </c>
    </row>
    <row r="3767">
      <c r="A3767" s="4" t="s">
        <v>4218</v>
      </c>
      <c r="B3767" s="4" t="s">
        <v>4219</v>
      </c>
      <c r="C3767" s="12">
        <f>IFERROR(__xludf.DUMMYFUNCTION("""COMPUTED_VALUE"""),44662.54230324074)</f>
        <v>44662.5423</v>
      </c>
      <c r="D3767" s="13">
        <f t="shared" si="1"/>
        <v>11</v>
      </c>
      <c r="E3767" s="13">
        <f t="shared" si="2"/>
        <v>13</v>
      </c>
    </row>
    <row r="3768">
      <c r="A3768" s="4" t="s">
        <v>4220</v>
      </c>
      <c r="B3768" s="16"/>
      <c r="C3768" s="12">
        <f>IFERROR(__xludf.DUMMYFUNCTION("""COMPUTED_VALUE"""),44662.542245370365)</f>
        <v>44662.54225</v>
      </c>
      <c r="D3768" s="13">
        <f t="shared" si="1"/>
        <v>11</v>
      </c>
      <c r="E3768" s="13">
        <f t="shared" si="2"/>
        <v>13</v>
      </c>
    </row>
    <row r="3769">
      <c r="A3769" s="4" t="s">
        <v>4221</v>
      </c>
      <c r="B3769" s="16"/>
      <c r="C3769" s="12">
        <f>IFERROR(__xludf.DUMMYFUNCTION("""COMPUTED_VALUE"""),44662.54222222222)</f>
        <v>44662.54222</v>
      </c>
      <c r="D3769" s="13">
        <f t="shared" si="1"/>
        <v>11</v>
      </c>
      <c r="E3769" s="13">
        <f t="shared" si="2"/>
        <v>13</v>
      </c>
    </row>
    <row r="3770">
      <c r="A3770" s="4" t="s">
        <v>4222</v>
      </c>
      <c r="B3770" s="4" t="s">
        <v>106</v>
      </c>
      <c r="C3770" s="12">
        <f>IFERROR(__xludf.DUMMYFUNCTION("""COMPUTED_VALUE"""),44662.5420949074)</f>
        <v>44662.54209</v>
      </c>
      <c r="D3770" s="13">
        <f t="shared" si="1"/>
        <v>11</v>
      </c>
      <c r="E3770" s="13">
        <f t="shared" si="2"/>
        <v>13</v>
      </c>
    </row>
    <row r="3771">
      <c r="A3771" s="4" t="s">
        <v>4223</v>
      </c>
      <c r="B3771" s="4" t="s">
        <v>106</v>
      </c>
      <c r="C3771" s="12">
        <f>IFERROR(__xludf.DUMMYFUNCTION("""COMPUTED_VALUE"""),44662.54207175926)</f>
        <v>44662.54207</v>
      </c>
      <c r="D3771" s="13">
        <f t="shared" si="1"/>
        <v>11</v>
      </c>
      <c r="E3771" s="13">
        <f t="shared" si="2"/>
        <v>13</v>
      </c>
    </row>
    <row r="3772">
      <c r="A3772" s="4" t="s">
        <v>4224</v>
      </c>
      <c r="B3772" s="4" t="s">
        <v>1325</v>
      </c>
      <c r="C3772" s="12">
        <f>IFERROR(__xludf.DUMMYFUNCTION("""COMPUTED_VALUE"""),44662.542037037034)</f>
        <v>44662.54204</v>
      </c>
      <c r="D3772" s="13">
        <f t="shared" si="1"/>
        <v>11</v>
      </c>
      <c r="E3772" s="13">
        <f t="shared" si="2"/>
        <v>13</v>
      </c>
    </row>
    <row r="3773">
      <c r="A3773" s="4" t="s">
        <v>4225</v>
      </c>
      <c r="B3773" s="4" t="s">
        <v>106</v>
      </c>
      <c r="C3773" s="12">
        <f>IFERROR(__xludf.DUMMYFUNCTION("""COMPUTED_VALUE"""),44662.54202546296)</f>
        <v>44662.54203</v>
      </c>
      <c r="D3773" s="13">
        <f t="shared" si="1"/>
        <v>11</v>
      </c>
      <c r="E3773" s="13">
        <f t="shared" si="2"/>
        <v>13</v>
      </c>
    </row>
    <row r="3774">
      <c r="A3774" s="4" t="s">
        <v>4226</v>
      </c>
      <c r="B3774" s="4" t="s">
        <v>4227</v>
      </c>
      <c r="C3774" s="12">
        <f>IFERROR(__xludf.DUMMYFUNCTION("""COMPUTED_VALUE"""),44662.541712962964)</f>
        <v>44662.54171</v>
      </c>
      <c r="D3774" s="13">
        <f t="shared" si="1"/>
        <v>11</v>
      </c>
      <c r="E3774" s="13">
        <f t="shared" si="2"/>
        <v>13</v>
      </c>
    </row>
    <row r="3775">
      <c r="A3775" s="4" t="s">
        <v>4228</v>
      </c>
      <c r="B3775" s="4" t="s">
        <v>4229</v>
      </c>
      <c r="C3775" s="12">
        <f>IFERROR(__xludf.DUMMYFUNCTION("""COMPUTED_VALUE"""),44662.54165509259)</f>
        <v>44662.54166</v>
      </c>
      <c r="D3775" s="13">
        <f t="shared" si="1"/>
        <v>11</v>
      </c>
      <c r="E3775" s="13">
        <f t="shared" si="2"/>
        <v>12</v>
      </c>
    </row>
    <row r="3776">
      <c r="A3776" s="4" t="s">
        <v>4230</v>
      </c>
      <c r="B3776" s="4" t="s">
        <v>4227</v>
      </c>
      <c r="C3776" s="12">
        <f>IFERROR(__xludf.DUMMYFUNCTION("""COMPUTED_VALUE"""),44662.5415162037)</f>
        <v>44662.54152</v>
      </c>
      <c r="D3776" s="13">
        <f t="shared" si="1"/>
        <v>11</v>
      </c>
      <c r="E3776" s="13">
        <f t="shared" si="2"/>
        <v>12</v>
      </c>
    </row>
    <row r="3777">
      <c r="A3777" s="4" t="s">
        <v>4231</v>
      </c>
      <c r="B3777" s="4" t="s">
        <v>4232</v>
      </c>
      <c r="C3777" s="12">
        <f>IFERROR(__xludf.DUMMYFUNCTION("""COMPUTED_VALUE"""),44662.54043981481)</f>
        <v>44662.54044</v>
      </c>
      <c r="D3777" s="13">
        <f t="shared" si="1"/>
        <v>11</v>
      </c>
      <c r="E3777" s="13">
        <f t="shared" si="2"/>
        <v>12</v>
      </c>
    </row>
    <row r="3778">
      <c r="A3778" s="4" t="s">
        <v>4233</v>
      </c>
      <c r="B3778" s="4" t="s">
        <v>1903</v>
      </c>
      <c r="C3778" s="12">
        <f>IFERROR(__xludf.DUMMYFUNCTION("""COMPUTED_VALUE"""),44662.54041666666)</f>
        <v>44662.54042</v>
      </c>
      <c r="D3778" s="13">
        <f t="shared" si="1"/>
        <v>11</v>
      </c>
      <c r="E3778" s="13">
        <f t="shared" si="2"/>
        <v>12</v>
      </c>
    </row>
    <row r="3779">
      <c r="A3779" s="4" t="s">
        <v>4234</v>
      </c>
      <c r="B3779" s="4" t="s">
        <v>4235</v>
      </c>
      <c r="C3779" s="12">
        <f>IFERROR(__xludf.DUMMYFUNCTION("""COMPUTED_VALUE"""),44662.540243055555)</f>
        <v>44662.54024</v>
      </c>
      <c r="D3779" s="13">
        <f t="shared" si="1"/>
        <v>11</v>
      </c>
      <c r="E3779" s="13">
        <f t="shared" si="2"/>
        <v>12</v>
      </c>
    </row>
    <row r="3780">
      <c r="A3780" s="4" t="s">
        <v>4236</v>
      </c>
      <c r="B3780" s="16"/>
      <c r="C3780" s="12">
        <f>IFERROR(__xludf.DUMMYFUNCTION("""COMPUTED_VALUE"""),44662.539375)</f>
        <v>44662.53938</v>
      </c>
      <c r="D3780" s="13">
        <f t="shared" si="1"/>
        <v>11</v>
      </c>
      <c r="E3780" s="13">
        <f t="shared" si="2"/>
        <v>12</v>
      </c>
    </row>
    <row r="3781">
      <c r="A3781" s="4" t="s">
        <v>4237</v>
      </c>
      <c r="B3781" s="4" t="s">
        <v>4238</v>
      </c>
      <c r="C3781" s="12">
        <f>IFERROR(__xludf.DUMMYFUNCTION("""COMPUTED_VALUE"""),44662.53934027778)</f>
        <v>44662.53934</v>
      </c>
      <c r="D3781" s="13">
        <f t="shared" si="1"/>
        <v>11</v>
      </c>
      <c r="E3781" s="13">
        <f t="shared" si="2"/>
        <v>12</v>
      </c>
    </row>
    <row r="3782">
      <c r="A3782" s="4" t="s">
        <v>4239</v>
      </c>
      <c r="B3782" s="4" t="s">
        <v>4240</v>
      </c>
      <c r="C3782" s="12">
        <f>IFERROR(__xludf.DUMMYFUNCTION("""COMPUTED_VALUE"""),44662.5393287037)</f>
        <v>44662.53933</v>
      </c>
      <c r="D3782" s="13">
        <f t="shared" si="1"/>
        <v>11</v>
      </c>
      <c r="E3782" s="13">
        <f t="shared" si="2"/>
        <v>12</v>
      </c>
    </row>
    <row r="3783">
      <c r="A3783" s="4" t="s">
        <v>4241</v>
      </c>
      <c r="B3783" s="16"/>
      <c r="C3783" s="12">
        <f>IFERROR(__xludf.DUMMYFUNCTION("""COMPUTED_VALUE"""),44662.539305555554)</f>
        <v>44662.53931</v>
      </c>
      <c r="D3783" s="13">
        <f t="shared" si="1"/>
        <v>11</v>
      </c>
      <c r="E3783" s="13">
        <f t="shared" si="2"/>
        <v>12</v>
      </c>
    </row>
    <row r="3784">
      <c r="A3784" s="4" t="s">
        <v>4242</v>
      </c>
      <c r="B3784" s="4" t="s">
        <v>4240</v>
      </c>
      <c r="C3784" s="12">
        <f>IFERROR(__xludf.DUMMYFUNCTION("""COMPUTED_VALUE"""),44662.53929398148)</f>
        <v>44662.53929</v>
      </c>
      <c r="D3784" s="13">
        <f t="shared" si="1"/>
        <v>11</v>
      </c>
      <c r="E3784" s="13">
        <f t="shared" si="2"/>
        <v>12</v>
      </c>
    </row>
    <row r="3785">
      <c r="A3785" s="4" t="s">
        <v>4243</v>
      </c>
      <c r="B3785" s="4" t="s">
        <v>4240</v>
      </c>
      <c r="C3785" s="12">
        <f>IFERROR(__xludf.DUMMYFUNCTION("""COMPUTED_VALUE"""),44662.53928240741)</f>
        <v>44662.53928</v>
      </c>
      <c r="D3785" s="13">
        <f t="shared" si="1"/>
        <v>11</v>
      </c>
      <c r="E3785" s="13">
        <f t="shared" si="2"/>
        <v>12</v>
      </c>
    </row>
    <row r="3786">
      <c r="A3786" s="4" t="s">
        <v>4244</v>
      </c>
      <c r="B3786" s="16"/>
      <c r="C3786" s="12">
        <f>IFERROR(__xludf.DUMMYFUNCTION("""COMPUTED_VALUE"""),44662.53927083333)</f>
        <v>44662.53927</v>
      </c>
      <c r="D3786" s="13">
        <f t="shared" si="1"/>
        <v>11</v>
      </c>
      <c r="E3786" s="13">
        <f t="shared" si="2"/>
        <v>12</v>
      </c>
    </row>
    <row r="3787">
      <c r="A3787" s="4" t="s">
        <v>4245</v>
      </c>
      <c r="B3787" s="4" t="s">
        <v>4240</v>
      </c>
      <c r="C3787" s="12">
        <f>IFERROR(__xludf.DUMMYFUNCTION("""COMPUTED_VALUE"""),44662.539259259254)</f>
        <v>44662.53926</v>
      </c>
      <c r="D3787" s="13">
        <f t="shared" si="1"/>
        <v>11</v>
      </c>
      <c r="E3787" s="13">
        <f t="shared" si="2"/>
        <v>12</v>
      </c>
    </row>
    <row r="3788">
      <c r="A3788" s="4" t="s">
        <v>4246</v>
      </c>
      <c r="B3788" s="4" t="s">
        <v>4240</v>
      </c>
      <c r="C3788" s="12">
        <f>IFERROR(__xludf.DUMMYFUNCTION("""COMPUTED_VALUE"""),44662.53923611111)</f>
        <v>44662.53924</v>
      </c>
      <c r="D3788" s="13">
        <f t="shared" si="1"/>
        <v>11</v>
      </c>
      <c r="E3788" s="13">
        <f t="shared" si="2"/>
        <v>12</v>
      </c>
    </row>
    <row r="3789">
      <c r="A3789" s="4" t="s">
        <v>4247</v>
      </c>
      <c r="B3789" s="4" t="s">
        <v>4240</v>
      </c>
      <c r="C3789" s="12">
        <f>IFERROR(__xludf.DUMMYFUNCTION("""COMPUTED_VALUE"""),44662.53922453703)</f>
        <v>44662.53922</v>
      </c>
      <c r="D3789" s="13">
        <f t="shared" si="1"/>
        <v>11</v>
      </c>
      <c r="E3789" s="13">
        <f t="shared" si="2"/>
        <v>12</v>
      </c>
    </row>
    <row r="3790">
      <c r="A3790" s="4" t="s">
        <v>4247</v>
      </c>
      <c r="B3790" s="4" t="s">
        <v>3138</v>
      </c>
      <c r="C3790" s="12">
        <f>IFERROR(__xludf.DUMMYFUNCTION("""COMPUTED_VALUE"""),44662.53922453703)</f>
        <v>44662.53922</v>
      </c>
      <c r="D3790" s="13">
        <f t="shared" si="1"/>
        <v>11</v>
      </c>
      <c r="E3790" s="13">
        <f t="shared" si="2"/>
        <v>12</v>
      </c>
    </row>
    <row r="3791">
      <c r="A3791" s="4" t="s">
        <v>4248</v>
      </c>
      <c r="B3791" s="4" t="s">
        <v>3138</v>
      </c>
      <c r="C3791" s="12">
        <f>IFERROR(__xludf.DUMMYFUNCTION("""COMPUTED_VALUE"""),44662.539201388885)</f>
        <v>44662.5392</v>
      </c>
      <c r="D3791" s="13">
        <f t="shared" si="1"/>
        <v>11</v>
      </c>
      <c r="E3791" s="13">
        <f t="shared" si="2"/>
        <v>12</v>
      </c>
    </row>
    <row r="3792">
      <c r="A3792" s="4" t="s">
        <v>4249</v>
      </c>
      <c r="B3792" s="16"/>
      <c r="C3792" s="12">
        <f>IFERROR(__xludf.DUMMYFUNCTION("""COMPUTED_VALUE"""),44662.539189814815)</f>
        <v>44662.53919</v>
      </c>
      <c r="D3792" s="13">
        <f t="shared" si="1"/>
        <v>11</v>
      </c>
      <c r="E3792" s="13">
        <f t="shared" si="2"/>
        <v>12</v>
      </c>
    </row>
    <row r="3793">
      <c r="A3793" s="4" t="s">
        <v>4250</v>
      </c>
      <c r="B3793" s="4" t="s">
        <v>3138</v>
      </c>
      <c r="C3793" s="12">
        <f>IFERROR(__xludf.DUMMYFUNCTION("""COMPUTED_VALUE"""),44662.53917824074)</f>
        <v>44662.53918</v>
      </c>
      <c r="D3793" s="13">
        <f t="shared" si="1"/>
        <v>11</v>
      </c>
      <c r="E3793" s="13">
        <f t="shared" si="2"/>
        <v>12</v>
      </c>
    </row>
    <row r="3794">
      <c r="A3794" s="4" t="s">
        <v>4251</v>
      </c>
      <c r="B3794" s="4" t="s">
        <v>3138</v>
      </c>
      <c r="C3794" s="12">
        <f>IFERROR(__xludf.DUMMYFUNCTION("""COMPUTED_VALUE"""),44662.53916666666)</f>
        <v>44662.53917</v>
      </c>
      <c r="D3794" s="13">
        <f t="shared" si="1"/>
        <v>11</v>
      </c>
      <c r="E3794" s="13">
        <f t="shared" si="2"/>
        <v>12</v>
      </c>
    </row>
    <row r="3795">
      <c r="A3795" s="4" t="s">
        <v>4252</v>
      </c>
      <c r="B3795" s="4" t="s">
        <v>4240</v>
      </c>
      <c r="C3795" s="12">
        <f>IFERROR(__xludf.DUMMYFUNCTION("""COMPUTED_VALUE"""),44662.53915509259)</f>
        <v>44662.53916</v>
      </c>
      <c r="D3795" s="13">
        <f t="shared" si="1"/>
        <v>11</v>
      </c>
      <c r="E3795" s="13">
        <f t="shared" si="2"/>
        <v>12</v>
      </c>
    </row>
    <row r="3796">
      <c r="A3796" s="4" t="s">
        <v>4253</v>
      </c>
      <c r="B3796" s="4" t="s">
        <v>3138</v>
      </c>
      <c r="C3796" s="12">
        <f>IFERROR(__xludf.DUMMYFUNCTION("""COMPUTED_VALUE"""),44662.539143518516)</f>
        <v>44662.53914</v>
      </c>
      <c r="D3796" s="13">
        <f t="shared" si="1"/>
        <v>11</v>
      </c>
      <c r="E3796" s="13">
        <f t="shared" si="2"/>
        <v>12</v>
      </c>
    </row>
    <row r="3797">
      <c r="A3797" s="4" t="s">
        <v>4254</v>
      </c>
      <c r="B3797" s="4" t="s">
        <v>3138</v>
      </c>
      <c r="C3797" s="12">
        <f>IFERROR(__xludf.DUMMYFUNCTION("""COMPUTED_VALUE"""),44662.53913194444)</f>
        <v>44662.53913</v>
      </c>
      <c r="D3797" s="13">
        <f t="shared" si="1"/>
        <v>11</v>
      </c>
      <c r="E3797" s="13">
        <f t="shared" si="2"/>
        <v>12</v>
      </c>
    </row>
    <row r="3798">
      <c r="A3798" s="4" t="s">
        <v>4255</v>
      </c>
      <c r="B3798" s="4" t="s">
        <v>3138</v>
      </c>
      <c r="C3798" s="12">
        <f>IFERROR(__xludf.DUMMYFUNCTION("""COMPUTED_VALUE"""),44662.5390625)</f>
        <v>44662.53906</v>
      </c>
      <c r="D3798" s="13">
        <f t="shared" si="1"/>
        <v>11</v>
      </c>
      <c r="E3798" s="13">
        <f t="shared" si="2"/>
        <v>12</v>
      </c>
    </row>
    <row r="3799">
      <c r="A3799" s="4" t="s">
        <v>4256</v>
      </c>
      <c r="B3799" s="4" t="s">
        <v>4257</v>
      </c>
      <c r="C3799" s="12">
        <f>IFERROR(__xludf.DUMMYFUNCTION("""COMPUTED_VALUE"""),44662.53896990741)</f>
        <v>44662.53897</v>
      </c>
      <c r="D3799" s="13">
        <f t="shared" si="1"/>
        <v>11</v>
      </c>
      <c r="E3799" s="13">
        <f t="shared" si="2"/>
        <v>12</v>
      </c>
    </row>
    <row r="3800">
      <c r="A3800" s="4" t="s">
        <v>4258</v>
      </c>
      <c r="B3800" s="16"/>
      <c r="C3800" s="12">
        <f>IFERROR(__xludf.DUMMYFUNCTION("""COMPUTED_VALUE"""),44662.538946759254)</f>
        <v>44662.53895</v>
      </c>
      <c r="D3800" s="13">
        <f t="shared" si="1"/>
        <v>11</v>
      </c>
      <c r="E3800" s="13">
        <f t="shared" si="2"/>
        <v>12</v>
      </c>
    </row>
    <row r="3801">
      <c r="A3801" s="4" t="s">
        <v>4259</v>
      </c>
      <c r="B3801" s="16"/>
      <c r="C3801" s="12">
        <f>IFERROR(__xludf.DUMMYFUNCTION("""COMPUTED_VALUE"""),44662.538877314815)</f>
        <v>44662.53888</v>
      </c>
      <c r="D3801" s="13">
        <f t="shared" si="1"/>
        <v>11</v>
      </c>
      <c r="E3801" s="13">
        <f t="shared" si="2"/>
        <v>12</v>
      </c>
    </row>
    <row r="3802">
      <c r="A3802" s="4" t="s">
        <v>4260</v>
      </c>
      <c r="B3802" s="16"/>
      <c r="C3802" s="12">
        <f>IFERROR(__xludf.DUMMYFUNCTION("""COMPUTED_VALUE"""),44662.53876157407)</f>
        <v>44662.53876</v>
      </c>
      <c r="D3802" s="13">
        <f t="shared" si="1"/>
        <v>11</v>
      </c>
      <c r="E3802" s="13">
        <f t="shared" si="2"/>
        <v>12</v>
      </c>
    </row>
    <row r="3803">
      <c r="A3803" s="4" t="s">
        <v>4261</v>
      </c>
      <c r="B3803" s="4" t="s">
        <v>4235</v>
      </c>
      <c r="C3803" s="12">
        <f>IFERROR(__xludf.DUMMYFUNCTION("""COMPUTED_VALUE"""),44662.53854166666)</f>
        <v>44662.53854</v>
      </c>
      <c r="D3803" s="13">
        <f t="shared" si="1"/>
        <v>11</v>
      </c>
      <c r="E3803" s="13">
        <f t="shared" si="2"/>
        <v>12</v>
      </c>
    </row>
    <row r="3804">
      <c r="A3804" s="4" t="s">
        <v>4262</v>
      </c>
      <c r="B3804" s="16"/>
      <c r="C3804" s="12">
        <f>IFERROR(__xludf.DUMMYFUNCTION("""COMPUTED_VALUE"""),44662.53849537037)</f>
        <v>44662.5385</v>
      </c>
      <c r="D3804" s="13">
        <f t="shared" si="1"/>
        <v>11</v>
      </c>
      <c r="E3804" s="13">
        <f t="shared" si="2"/>
        <v>12</v>
      </c>
    </row>
    <row r="3805">
      <c r="A3805" s="4" t="s">
        <v>4262</v>
      </c>
      <c r="B3805" s="4" t="s">
        <v>4235</v>
      </c>
      <c r="C3805" s="12">
        <f>IFERROR(__xludf.DUMMYFUNCTION("""COMPUTED_VALUE"""),44662.53849537037)</f>
        <v>44662.5385</v>
      </c>
      <c r="D3805" s="13">
        <f t="shared" si="1"/>
        <v>11</v>
      </c>
      <c r="E3805" s="13">
        <f t="shared" si="2"/>
        <v>12</v>
      </c>
    </row>
    <row r="3806">
      <c r="A3806" s="4" t="s">
        <v>4263</v>
      </c>
      <c r="B3806" s="16"/>
      <c r="C3806" s="12">
        <f>IFERROR(__xludf.DUMMYFUNCTION("""COMPUTED_VALUE"""),44662.538414351846)</f>
        <v>44662.53841</v>
      </c>
      <c r="D3806" s="13">
        <f t="shared" si="1"/>
        <v>11</v>
      </c>
      <c r="E3806" s="13">
        <f t="shared" si="2"/>
        <v>12</v>
      </c>
    </row>
    <row r="3807">
      <c r="A3807" s="4" t="s">
        <v>4264</v>
      </c>
      <c r="B3807" s="4" t="s">
        <v>4240</v>
      </c>
      <c r="C3807" s="12">
        <f>IFERROR(__xludf.DUMMYFUNCTION("""COMPUTED_VALUE"""),44662.537997685184)</f>
        <v>44662.538</v>
      </c>
      <c r="D3807" s="13">
        <f t="shared" si="1"/>
        <v>11</v>
      </c>
      <c r="E3807" s="13">
        <f t="shared" si="2"/>
        <v>12</v>
      </c>
    </row>
    <row r="3808">
      <c r="A3808" s="4" t="s">
        <v>4265</v>
      </c>
      <c r="B3808" s="16"/>
      <c r="C3808" s="12">
        <f>IFERROR(__xludf.DUMMYFUNCTION("""COMPUTED_VALUE"""),44662.537881944445)</f>
        <v>44662.53788</v>
      </c>
      <c r="D3808" s="13">
        <f t="shared" si="1"/>
        <v>11</v>
      </c>
      <c r="E3808" s="13">
        <f t="shared" si="2"/>
        <v>12</v>
      </c>
    </row>
    <row r="3809">
      <c r="A3809" s="4" t="s">
        <v>4266</v>
      </c>
      <c r="B3809" s="16"/>
      <c r="C3809" s="12">
        <f>IFERROR(__xludf.DUMMYFUNCTION("""COMPUTED_VALUE"""),44662.53787037037)</f>
        <v>44662.53787</v>
      </c>
      <c r="D3809" s="13">
        <f t="shared" si="1"/>
        <v>11</v>
      </c>
      <c r="E3809" s="13">
        <f t="shared" si="2"/>
        <v>12</v>
      </c>
    </row>
    <row r="3810">
      <c r="A3810" s="4" t="s">
        <v>4267</v>
      </c>
      <c r="B3810" s="16"/>
      <c r="C3810" s="12">
        <f>IFERROR(__xludf.DUMMYFUNCTION("""COMPUTED_VALUE"""),44662.53785879629)</f>
        <v>44662.53786</v>
      </c>
      <c r="D3810" s="13">
        <f t="shared" si="1"/>
        <v>11</v>
      </c>
      <c r="E3810" s="13">
        <f t="shared" si="2"/>
        <v>12</v>
      </c>
    </row>
    <row r="3811">
      <c r="A3811" s="4" t="s">
        <v>4268</v>
      </c>
      <c r="B3811" s="16"/>
      <c r="C3811" s="12">
        <f>IFERROR(__xludf.DUMMYFUNCTION("""COMPUTED_VALUE"""),44662.537835648145)</f>
        <v>44662.53784</v>
      </c>
      <c r="D3811" s="13">
        <f t="shared" si="1"/>
        <v>11</v>
      </c>
      <c r="E3811" s="13">
        <f t="shared" si="2"/>
        <v>12</v>
      </c>
    </row>
    <row r="3812">
      <c r="A3812" s="4" t="s">
        <v>4269</v>
      </c>
      <c r="B3812" s="16"/>
      <c r="C3812" s="12">
        <f>IFERROR(__xludf.DUMMYFUNCTION("""COMPUTED_VALUE"""),44662.5378125)</f>
        <v>44662.53781</v>
      </c>
      <c r="D3812" s="13">
        <f t="shared" si="1"/>
        <v>11</v>
      </c>
      <c r="E3812" s="13">
        <f t="shared" si="2"/>
        <v>12</v>
      </c>
    </row>
    <row r="3813">
      <c r="A3813" s="4" t="s">
        <v>4270</v>
      </c>
      <c r="B3813" s="4" t="s">
        <v>4271</v>
      </c>
      <c r="C3813" s="12">
        <f>IFERROR(__xludf.DUMMYFUNCTION("""COMPUTED_VALUE"""),44662.53780092592)</f>
        <v>44662.5378</v>
      </c>
      <c r="D3813" s="13">
        <f t="shared" si="1"/>
        <v>11</v>
      </c>
      <c r="E3813" s="13">
        <f t="shared" si="2"/>
        <v>12</v>
      </c>
    </row>
    <row r="3814">
      <c r="A3814" s="4" t="s">
        <v>4272</v>
      </c>
      <c r="B3814" s="4" t="s">
        <v>4271</v>
      </c>
      <c r="C3814" s="12">
        <f>IFERROR(__xludf.DUMMYFUNCTION("""COMPUTED_VALUE"""),44662.53778935185)</f>
        <v>44662.53779</v>
      </c>
      <c r="D3814" s="13">
        <f t="shared" si="1"/>
        <v>11</v>
      </c>
      <c r="E3814" s="13">
        <f t="shared" si="2"/>
        <v>12</v>
      </c>
    </row>
    <row r="3815">
      <c r="A3815" s="4" t="s">
        <v>4273</v>
      </c>
      <c r="B3815" s="4" t="s">
        <v>4271</v>
      </c>
      <c r="C3815" s="12">
        <f>IFERROR(__xludf.DUMMYFUNCTION("""COMPUTED_VALUE"""),44662.5377662037)</f>
        <v>44662.53777</v>
      </c>
      <c r="D3815" s="13">
        <f t="shared" si="1"/>
        <v>11</v>
      </c>
      <c r="E3815" s="13">
        <f t="shared" si="2"/>
        <v>12</v>
      </c>
    </row>
    <row r="3816">
      <c r="A3816" s="4" t="s">
        <v>4274</v>
      </c>
      <c r="B3816" s="4" t="s">
        <v>4271</v>
      </c>
      <c r="C3816" s="12">
        <f>IFERROR(__xludf.DUMMYFUNCTION("""COMPUTED_VALUE"""),44662.53775462963)</f>
        <v>44662.53775</v>
      </c>
      <c r="D3816" s="13">
        <f t="shared" si="1"/>
        <v>11</v>
      </c>
      <c r="E3816" s="13">
        <f t="shared" si="2"/>
        <v>12</v>
      </c>
    </row>
    <row r="3817">
      <c r="A3817" s="4" t="s">
        <v>4275</v>
      </c>
      <c r="B3817" s="4" t="s">
        <v>4271</v>
      </c>
      <c r="C3817" s="12">
        <f>IFERROR(__xludf.DUMMYFUNCTION("""COMPUTED_VALUE"""),44662.537731481476)</f>
        <v>44662.53773</v>
      </c>
      <c r="D3817" s="13">
        <f t="shared" si="1"/>
        <v>11</v>
      </c>
      <c r="E3817" s="13">
        <f t="shared" si="2"/>
        <v>12</v>
      </c>
    </row>
    <row r="3818">
      <c r="A3818" s="4" t="s">
        <v>4276</v>
      </c>
      <c r="B3818" s="4" t="s">
        <v>4271</v>
      </c>
      <c r="C3818" s="12">
        <f>IFERROR(__xludf.DUMMYFUNCTION("""COMPUTED_VALUE"""),44662.53771990741)</f>
        <v>44662.53772</v>
      </c>
      <c r="D3818" s="13">
        <f t="shared" si="1"/>
        <v>11</v>
      </c>
      <c r="E3818" s="13">
        <f t="shared" si="2"/>
        <v>12</v>
      </c>
    </row>
    <row r="3819">
      <c r="A3819" s="4" t="s">
        <v>4277</v>
      </c>
      <c r="B3819" s="4" t="s">
        <v>4271</v>
      </c>
      <c r="C3819" s="12">
        <f>IFERROR(__xludf.DUMMYFUNCTION("""COMPUTED_VALUE"""),44662.53768518518)</f>
        <v>44662.53769</v>
      </c>
      <c r="D3819" s="13">
        <f t="shared" si="1"/>
        <v>11</v>
      </c>
      <c r="E3819" s="13">
        <f t="shared" si="2"/>
        <v>12</v>
      </c>
    </row>
    <row r="3820">
      <c r="A3820" s="4" t="s">
        <v>4278</v>
      </c>
      <c r="B3820" s="4" t="s">
        <v>4271</v>
      </c>
      <c r="C3820" s="12">
        <f>IFERROR(__xludf.DUMMYFUNCTION("""COMPUTED_VALUE"""),44662.53767361111)</f>
        <v>44662.53767</v>
      </c>
      <c r="D3820" s="13">
        <f t="shared" si="1"/>
        <v>11</v>
      </c>
      <c r="E3820" s="13">
        <f t="shared" si="2"/>
        <v>12</v>
      </c>
    </row>
    <row r="3821">
      <c r="A3821" s="4" t="s">
        <v>4279</v>
      </c>
      <c r="B3821" s="4" t="s">
        <v>4271</v>
      </c>
      <c r="C3821" s="12">
        <f>IFERROR(__xludf.DUMMYFUNCTION("""COMPUTED_VALUE"""),44662.53763888888)</f>
        <v>44662.53764</v>
      </c>
      <c r="D3821" s="13">
        <f t="shared" si="1"/>
        <v>11</v>
      </c>
      <c r="E3821" s="13">
        <f t="shared" si="2"/>
        <v>12</v>
      </c>
    </row>
    <row r="3822">
      <c r="A3822" s="4" t="s">
        <v>4280</v>
      </c>
      <c r="B3822" s="4" t="s">
        <v>4271</v>
      </c>
      <c r="C3822" s="12">
        <f>IFERROR(__xludf.DUMMYFUNCTION("""COMPUTED_VALUE"""),44662.53761574074)</f>
        <v>44662.53762</v>
      </c>
      <c r="D3822" s="13">
        <f t="shared" si="1"/>
        <v>11</v>
      </c>
      <c r="E3822" s="13">
        <f t="shared" si="2"/>
        <v>12</v>
      </c>
    </row>
    <row r="3823">
      <c r="A3823" s="4" t="s">
        <v>4281</v>
      </c>
      <c r="B3823" s="16"/>
      <c r="C3823" s="12">
        <f>IFERROR(__xludf.DUMMYFUNCTION("""COMPUTED_VALUE"""),44662.53759259259)</f>
        <v>44662.53759</v>
      </c>
      <c r="D3823" s="13">
        <f t="shared" si="1"/>
        <v>11</v>
      </c>
      <c r="E3823" s="13">
        <f t="shared" si="2"/>
        <v>12</v>
      </c>
    </row>
    <row r="3824">
      <c r="A3824" s="4" t="s">
        <v>4282</v>
      </c>
      <c r="B3824" s="16"/>
      <c r="C3824" s="12">
        <f>IFERROR(__xludf.DUMMYFUNCTION("""COMPUTED_VALUE"""),44662.537569444445)</f>
        <v>44662.53757</v>
      </c>
      <c r="D3824" s="13">
        <f t="shared" si="1"/>
        <v>11</v>
      </c>
      <c r="E3824" s="13">
        <f t="shared" si="2"/>
        <v>12</v>
      </c>
    </row>
    <row r="3825">
      <c r="A3825" s="4" t="s">
        <v>4283</v>
      </c>
      <c r="B3825" s="16"/>
      <c r="C3825" s="12">
        <f>IFERROR(__xludf.DUMMYFUNCTION("""COMPUTED_VALUE"""),44662.53755787037)</f>
        <v>44662.53756</v>
      </c>
      <c r="D3825" s="13">
        <f t="shared" si="1"/>
        <v>11</v>
      </c>
      <c r="E3825" s="13">
        <f t="shared" si="2"/>
        <v>12</v>
      </c>
    </row>
    <row r="3826">
      <c r="A3826" s="4" t="s">
        <v>4284</v>
      </c>
      <c r="B3826" s="4" t="s">
        <v>4271</v>
      </c>
      <c r="C3826" s="12">
        <f>IFERROR(__xludf.DUMMYFUNCTION("""COMPUTED_VALUE"""),44662.53754629629)</f>
        <v>44662.53755</v>
      </c>
      <c r="D3826" s="13">
        <f t="shared" si="1"/>
        <v>11</v>
      </c>
      <c r="E3826" s="13">
        <f t="shared" si="2"/>
        <v>12</v>
      </c>
    </row>
    <row r="3827">
      <c r="A3827" s="4" t="s">
        <v>4285</v>
      </c>
      <c r="B3827" s="16"/>
      <c r="C3827" s="12">
        <f>IFERROR(__xludf.DUMMYFUNCTION("""COMPUTED_VALUE"""),44662.53753472222)</f>
        <v>44662.53753</v>
      </c>
      <c r="D3827" s="13">
        <f t="shared" si="1"/>
        <v>11</v>
      </c>
      <c r="E3827" s="13">
        <f t="shared" si="2"/>
        <v>12</v>
      </c>
    </row>
    <row r="3828">
      <c r="A3828" s="4" t="s">
        <v>4286</v>
      </c>
      <c r="B3828" s="16"/>
      <c r="C3828" s="12">
        <f>IFERROR(__xludf.DUMMYFUNCTION("""COMPUTED_VALUE"""),44662.5375)</f>
        <v>44662.5375</v>
      </c>
      <c r="D3828" s="13">
        <f t="shared" si="1"/>
        <v>11</v>
      </c>
      <c r="E3828" s="13">
        <f t="shared" si="2"/>
        <v>12</v>
      </c>
    </row>
    <row r="3829">
      <c r="A3829" s="4" t="s">
        <v>4287</v>
      </c>
      <c r="B3829" s="4" t="s">
        <v>4288</v>
      </c>
      <c r="C3829" s="12">
        <f>IFERROR(__xludf.DUMMYFUNCTION("""COMPUTED_VALUE"""),44662.53748842592)</f>
        <v>44662.53749</v>
      </c>
      <c r="D3829" s="13">
        <f t="shared" si="1"/>
        <v>11</v>
      </c>
      <c r="E3829" s="13">
        <f t="shared" si="2"/>
        <v>12</v>
      </c>
    </row>
    <row r="3830">
      <c r="A3830" s="4" t="s">
        <v>4289</v>
      </c>
      <c r="B3830" s="4" t="s">
        <v>4290</v>
      </c>
      <c r="C3830" s="12">
        <f>IFERROR(__xludf.DUMMYFUNCTION("""COMPUTED_VALUE"""),44662.537465277775)</f>
        <v>44662.53747</v>
      </c>
      <c r="D3830" s="13">
        <f t="shared" si="1"/>
        <v>11</v>
      </c>
      <c r="E3830" s="13">
        <f t="shared" si="2"/>
        <v>12</v>
      </c>
    </row>
    <row r="3831">
      <c r="A3831" s="4" t="s">
        <v>4291</v>
      </c>
      <c r="B3831" s="4" t="s">
        <v>4290</v>
      </c>
      <c r="C3831" s="12">
        <f>IFERROR(__xludf.DUMMYFUNCTION("""COMPUTED_VALUE"""),44662.53743055555)</f>
        <v>44662.53743</v>
      </c>
      <c r="D3831" s="13">
        <f t="shared" si="1"/>
        <v>11</v>
      </c>
      <c r="E3831" s="13">
        <f t="shared" si="2"/>
        <v>12</v>
      </c>
    </row>
    <row r="3832">
      <c r="A3832" s="4" t="s">
        <v>4292</v>
      </c>
      <c r="B3832" s="16"/>
      <c r="C3832" s="12">
        <f>IFERROR(__xludf.DUMMYFUNCTION("""COMPUTED_VALUE"""),44662.53739583333)</f>
        <v>44662.5374</v>
      </c>
      <c r="D3832" s="13">
        <f t="shared" si="1"/>
        <v>11</v>
      </c>
      <c r="E3832" s="13">
        <f t="shared" si="2"/>
        <v>12</v>
      </c>
    </row>
    <row r="3833">
      <c r="A3833" s="4" t="s">
        <v>4293</v>
      </c>
      <c r="B3833" s="4" t="s">
        <v>4288</v>
      </c>
      <c r="C3833" s="12">
        <f>IFERROR(__xludf.DUMMYFUNCTION("""COMPUTED_VALUE"""),44662.53737268518)</f>
        <v>44662.53737</v>
      </c>
      <c r="D3833" s="13">
        <f t="shared" si="1"/>
        <v>11</v>
      </c>
      <c r="E3833" s="13">
        <f t="shared" si="2"/>
        <v>12</v>
      </c>
    </row>
    <row r="3834">
      <c r="A3834" s="4" t="s">
        <v>4294</v>
      </c>
      <c r="B3834" s="4" t="s">
        <v>4288</v>
      </c>
      <c r="C3834" s="12">
        <f>IFERROR(__xludf.DUMMYFUNCTION("""COMPUTED_VALUE"""),44662.5371875)</f>
        <v>44662.53719</v>
      </c>
      <c r="D3834" s="13">
        <f t="shared" si="1"/>
        <v>11</v>
      </c>
      <c r="E3834" s="13">
        <f t="shared" si="2"/>
        <v>12</v>
      </c>
    </row>
    <row r="3835">
      <c r="A3835" s="4" t="s">
        <v>4295</v>
      </c>
      <c r="B3835" s="16"/>
      <c r="C3835" s="12">
        <f>IFERROR(__xludf.DUMMYFUNCTION("""COMPUTED_VALUE"""),44662.53716435185)</f>
        <v>44662.53716</v>
      </c>
      <c r="D3835" s="13">
        <f t="shared" si="1"/>
        <v>11</v>
      </c>
      <c r="E3835" s="13">
        <f t="shared" si="2"/>
        <v>12</v>
      </c>
    </row>
    <row r="3836">
      <c r="A3836" s="4" t="s">
        <v>4296</v>
      </c>
      <c r="B3836" s="16"/>
      <c r="C3836" s="12">
        <f>IFERROR(__xludf.DUMMYFUNCTION("""COMPUTED_VALUE"""),44662.537152777775)</f>
        <v>44662.53715</v>
      </c>
      <c r="D3836" s="13">
        <f t="shared" si="1"/>
        <v>11</v>
      </c>
      <c r="E3836" s="13">
        <f t="shared" si="2"/>
        <v>12</v>
      </c>
    </row>
    <row r="3837">
      <c r="A3837" s="4" t="s">
        <v>4297</v>
      </c>
      <c r="B3837" s="4" t="s">
        <v>4238</v>
      </c>
      <c r="C3837" s="12">
        <f>IFERROR(__xludf.DUMMYFUNCTION("""COMPUTED_VALUE"""),44662.5371412037)</f>
        <v>44662.53714</v>
      </c>
      <c r="D3837" s="13">
        <f t="shared" si="1"/>
        <v>11</v>
      </c>
      <c r="E3837" s="13">
        <f t="shared" si="2"/>
        <v>12</v>
      </c>
    </row>
    <row r="3838">
      <c r="A3838" s="4" t="s">
        <v>4298</v>
      </c>
      <c r="B3838" s="4" t="s">
        <v>4299</v>
      </c>
      <c r="C3838" s="12">
        <f>IFERROR(__xludf.DUMMYFUNCTION("""COMPUTED_VALUE"""),44662.53706018518)</f>
        <v>44662.53706</v>
      </c>
      <c r="D3838" s="13">
        <f t="shared" si="1"/>
        <v>11</v>
      </c>
      <c r="E3838" s="13">
        <f t="shared" si="2"/>
        <v>12</v>
      </c>
    </row>
    <row r="3839">
      <c r="A3839" s="4" t="s">
        <v>4300</v>
      </c>
      <c r="B3839" s="4" t="s">
        <v>1759</v>
      </c>
      <c r="C3839" s="12">
        <f>IFERROR(__xludf.DUMMYFUNCTION("""COMPUTED_VALUE"""),44662.53700231481)</f>
        <v>44662.537</v>
      </c>
      <c r="D3839" s="13">
        <f t="shared" si="1"/>
        <v>11</v>
      </c>
      <c r="E3839" s="13">
        <f t="shared" si="2"/>
        <v>12</v>
      </c>
    </row>
    <row r="3840">
      <c r="A3840" s="4" t="s">
        <v>4301</v>
      </c>
      <c r="B3840" s="16"/>
      <c r="C3840" s="12">
        <f>IFERROR(__xludf.DUMMYFUNCTION("""COMPUTED_VALUE"""),44662.536875)</f>
        <v>44662.53688</v>
      </c>
      <c r="D3840" s="13">
        <f t="shared" si="1"/>
        <v>11</v>
      </c>
      <c r="E3840" s="13">
        <f t="shared" si="2"/>
        <v>12</v>
      </c>
    </row>
    <row r="3841">
      <c r="A3841" s="4" t="s">
        <v>4302</v>
      </c>
      <c r="B3841" s="16"/>
      <c r="C3841" s="12">
        <f>IFERROR(__xludf.DUMMYFUNCTION("""COMPUTED_VALUE"""),44662.53686342592)</f>
        <v>44662.53686</v>
      </c>
      <c r="D3841" s="13">
        <f t="shared" si="1"/>
        <v>11</v>
      </c>
      <c r="E3841" s="13">
        <f t="shared" si="2"/>
        <v>12</v>
      </c>
    </row>
    <row r="3842">
      <c r="A3842" s="4" t="s">
        <v>4303</v>
      </c>
      <c r="B3842" s="16"/>
      <c r="C3842" s="12">
        <f>IFERROR(__xludf.DUMMYFUNCTION("""COMPUTED_VALUE"""),44662.5368287037)</f>
        <v>44662.53683</v>
      </c>
      <c r="D3842" s="13">
        <f t="shared" si="1"/>
        <v>11</v>
      </c>
      <c r="E3842" s="13">
        <f t="shared" si="2"/>
        <v>12</v>
      </c>
    </row>
    <row r="3843">
      <c r="A3843" s="4" t="s">
        <v>4303</v>
      </c>
      <c r="B3843" s="16"/>
      <c r="C3843" s="12">
        <f>IFERROR(__xludf.DUMMYFUNCTION("""COMPUTED_VALUE"""),44662.5368287037)</f>
        <v>44662.53683</v>
      </c>
      <c r="D3843" s="13">
        <f t="shared" si="1"/>
        <v>11</v>
      </c>
      <c r="E3843" s="13">
        <f t="shared" si="2"/>
        <v>12</v>
      </c>
    </row>
    <row r="3844">
      <c r="A3844" s="4" t="s">
        <v>4304</v>
      </c>
      <c r="B3844" s="4" t="s">
        <v>2070</v>
      </c>
      <c r="C3844" s="12">
        <f>IFERROR(__xludf.DUMMYFUNCTION("""COMPUTED_VALUE"""),44662.53681712963)</f>
        <v>44662.53682</v>
      </c>
      <c r="D3844" s="13">
        <f t="shared" si="1"/>
        <v>11</v>
      </c>
      <c r="E3844" s="13">
        <f t="shared" si="2"/>
        <v>12</v>
      </c>
    </row>
    <row r="3845">
      <c r="A3845" s="4" t="s">
        <v>4305</v>
      </c>
      <c r="B3845" s="16"/>
      <c r="C3845" s="12">
        <f>IFERROR(__xludf.DUMMYFUNCTION("""COMPUTED_VALUE"""),44662.53677083333)</f>
        <v>44662.53677</v>
      </c>
      <c r="D3845" s="13">
        <f t="shared" si="1"/>
        <v>11</v>
      </c>
      <c r="E3845" s="13">
        <f t="shared" si="2"/>
        <v>12</v>
      </c>
    </row>
    <row r="3846">
      <c r="A3846" s="4" t="s">
        <v>4306</v>
      </c>
      <c r="B3846" s="4" t="s">
        <v>4307</v>
      </c>
      <c r="C3846" s="12">
        <f>IFERROR(__xludf.DUMMYFUNCTION("""COMPUTED_VALUE"""),44662.53675925926)</f>
        <v>44662.53676</v>
      </c>
      <c r="D3846" s="13">
        <f t="shared" si="1"/>
        <v>11</v>
      </c>
      <c r="E3846" s="13">
        <f t="shared" si="2"/>
        <v>12</v>
      </c>
    </row>
    <row r="3847">
      <c r="A3847" s="4" t="s">
        <v>4308</v>
      </c>
      <c r="B3847" s="16"/>
      <c r="C3847" s="12">
        <f>IFERROR(__xludf.DUMMYFUNCTION("""COMPUTED_VALUE"""),44662.536724537036)</f>
        <v>44662.53672</v>
      </c>
      <c r="D3847" s="13">
        <f t="shared" si="1"/>
        <v>11</v>
      </c>
      <c r="E3847" s="13">
        <f t="shared" si="2"/>
        <v>12</v>
      </c>
    </row>
    <row r="3848">
      <c r="A3848" s="4" t="s">
        <v>4309</v>
      </c>
      <c r="B3848" s="4" t="s">
        <v>3041</v>
      </c>
      <c r="C3848" s="12">
        <f>IFERROR(__xludf.DUMMYFUNCTION("""COMPUTED_VALUE"""),44662.53671296296)</f>
        <v>44662.53671</v>
      </c>
      <c r="D3848" s="13">
        <f t="shared" si="1"/>
        <v>11</v>
      </c>
      <c r="E3848" s="13">
        <f t="shared" si="2"/>
        <v>12</v>
      </c>
    </row>
    <row r="3849">
      <c r="A3849" s="4" t="s">
        <v>4310</v>
      </c>
      <c r="B3849" s="4" t="s">
        <v>2070</v>
      </c>
      <c r="C3849" s="12">
        <f>IFERROR(__xludf.DUMMYFUNCTION("""COMPUTED_VALUE"""),44662.53670138889)</f>
        <v>44662.5367</v>
      </c>
      <c r="D3849" s="13">
        <f t="shared" si="1"/>
        <v>11</v>
      </c>
      <c r="E3849" s="13">
        <f t="shared" si="2"/>
        <v>12</v>
      </c>
    </row>
    <row r="3850">
      <c r="A3850" s="4" t="s">
        <v>4311</v>
      </c>
      <c r="B3850" s="4" t="s">
        <v>4312</v>
      </c>
      <c r="C3850" s="12">
        <f>IFERROR(__xludf.DUMMYFUNCTION("""COMPUTED_VALUE"""),44662.53668981481)</f>
        <v>44662.53669</v>
      </c>
      <c r="D3850" s="13">
        <f t="shared" si="1"/>
        <v>11</v>
      </c>
      <c r="E3850" s="13">
        <f t="shared" si="2"/>
        <v>12</v>
      </c>
    </row>
    <row r="3851">
      <c r="A3851" s="4" t="s">
        <v>4313</v>
      </c>
      <c r="B3851" s="4" t="s">
        <v>4314</v>
      </c>
      <c r="C3851" s="12">
        <f>IFERROR(__xludf.DUMMYFUNCTION("""COMPUTED_VALUE"""),44662.53667824074)</f>
        <v>44662.53668</v>
      </c>
      <c r="D3851" s="13">
        <f t="shared" si="1"/>
        <v>11</v>
      </c>
      <c r="E3851" s="13">
        <f t="shared" si="2"/>
        <v>12</v>
      </c>
    </row>
    <row r="3852">
      <c r="A3852" s="4" t="s">
        <v>4315</v>
      </c>
      <c r="B3852" s="4" t="s">
        <v>3041</v>
      </c>
      <c r="C3852" s="12">
        <f>IFERROR(__xludf.DUMMYFUNCTION("""COMPUTED_VALUE"""),44662.53643518518)</f>
        <v>44662.53644</v>
      </c>
      <c r="D3852" s="13">
        <f t="shared" si="1"/>
        <v>11</v>
      </c>
      <c r="E3852" s="13">
        <f t="shared" si="2"/>
        <v>12</v>
      </c>
    </row>
    <row r="3853">
      <c r="A3853" s="4" t="s">
        <v>4316</v>
      </c>
      <c r="B3853" s="4" t="s">
        <v>3041</v>
      </c>
      <c r="C3853" s="12">
        <f>IFERROR(__xludf.DUMMYFUNCTION("""COMPUTED_VALUE"""),44662.53638888889)</f>
        <v>44662.53639</v>
      </c>
      <c r="D3853" s="13">
        <f t="shared" si="1"/>
        <v>11</v>
      </c>
      <c r="E3853" s="13">
        <f t="shared" si="2"/>
        <v>12</v>
      </c>
    </row>
    <row r="3854">
      <c r="A3854" s="4" t="s">
        <v>4317</v>
      </c>
      <c r="B3854" s="4" t="s">
        <v>2266</v>
      </c>
      <c r="C3854" s="12">
        <f>IFERROR(__xludf.DUMMYFUNCTION("""COMPUTED_VALUE"""),44662.53631944444)</f>
        <v>44662.53632</v>
      </c>
      <c r="D3854" s="13">
        <f t="shared" si="1"/>
        <v>11</v>
      </c>
      <c r="E3854" s="13">
        <f t="shared" si="2"/>
        <v>12</v>
      </c>
    </row>
    <row r="3855">
      <c r="A3855" s="4" t="s">
        <v>4318</v>
      </c>
      <c r="B3855" s="4" t="s">
        <v>2266</v>
      </c>
      <c r="C3855" s="12">
        <f>IFERROR(__xludf.DUMMYFUNCTION("""COMPUTED_VALUE"""),44662.53623842592)</f>
        <v>44662.53624</v>
      </c>
      <c r="D3855" s="13">
        <f t="shared" si="1"/>
        <v>11</v>
      </c>
      <c r="E3855" s="13">
        <f t="shared" si="2"/>
        <v>12</v>
      </c>
    </row>
    <row r="3856">
      <c r="A3856" s="4" t="s">
        <v>4319</v>
      </c>
      <c r="B3856" s="4" t="s">
        <v>4320</v>
      </c>
      <c r="C3856" s="12">
        <f>IFERROR(__xludf.DUMMYFUNCTION("""COMPUTED_VALUE"""),44662.536111111105)</f>
        <v>44662.53611</v>
      </c>
      <c r="D3856" s="13">
        <f t="shared" si="1"/>
        <v>11</v>
      </c>
      <c r="E3856" s="13">
        <f t="shared" si="2"/>
        <v>12</v>
      </c>
    </row>
    <row r="3857">
      <c r="A3857" s="4" t="s">
        <v>4321</v>
      </c>
      <c r="B3857" s="4" t="s">
        <v>4320</v>
      </c>
      <c r="C3857" s="12">
        <f>IFERROR(__xludf.DUMMYFUNCTION("""COMPUTED_VALUE"""),44662.536099537036)</f>
        <v>44662.5361</v>
      </c>
      <c r="D3857" s="13">
        <f t="shared" si="1"/>
        <v>11</v>
      </c>
      <c r="E3857" s="13">
        <f t="shared" si="2"/>
        <v>12</v>
      </c>
    </row>
    <row r="3858">
      <c r="A3858" s="4" t="s">
        <v>4322</v>
      </c>
      <c r="B3858" s="16"/>
      <c r="C3858" s="12">
        <f>IFERROR(__xludf.DUMMYFUNCTION("""COMPUTED_VALUE"""),44662.53607638889)</f>
        <v>44662.53608</v>
      </c>
      <c r="D3858" s="13">
        <f t="shared" si="1"/>
        <v>11</v>
      </c>
      <c r="E3858" s="13">
        <f t="shared" si="2"/>
        <v>12</v>
      </c>
    </row>
    <row r="3859">
      <c r="A3859" s="4" t="s">
        <v>4323</v>
      </c>
      <c r="B3859" s="4" t="s">
        <v>829</v>
      </c>
      <c r="C3859" s="12">
        <f>IFERROR(__xludf.DUMMYFUNCTION("""COMPUTED_VALUE"""),44662.536053240736)</f>
        <v>44662.53605</v>
      </c>
      <c r="D3859" s="13">
        <f t="shared" si="1"/>
        <v>11</v>
      </c>
      <c r="E3859" s="13">
        <f t="shared" si="2"/>
        <v>12</v>
      </c>
    </row>
    <row r="3860">
      <c r="A3860" s="4" t="s">
        <v>4324</v>
      </c>
      <c r="B3860" s="16"/>
      <c r="C3860" s="12">
        <f>IFERROR(__xludf.DUMMYFUNCTION("""COMPUTED_VALUE"""),44662.53603009259)</f>
        <v>44662.53603</v>
      </c>
      <c r="D3860" s="13">
        <f t="shared" si="1"/>
        <v>11</v>
      </c>
      <c r="E3860" s="13">
        <f t="shared" si="2"/>
        <v>12</v>
      </c>
    </row>
    <row r="3861">
      <c r="A3861" s="4" t="s">
        <v>4324</v>
      </c>
      <c r="B3861" s="4" t="s">
        <v>4325</v>
      </c>
      <c r="C3861" s="12">
        <f>IFERROR(__xludf.DUMMYFUNCTION("""COMPUTED_VALUE"""),44662.53603009259)</f>
        <v>44662.53603</v>
      </c>
      <c r="D3861" s="13">
        <f t="shared" si="1"/>
        <v>11</v>
      </c>
      <c r="E3861" s="13">
        <f t="shared" si="2"/>
        <v>12</v>
      </c>
    </row>
    <row r="3862">
      <c r="A3862" s="4" t="s">
        <v>4326</v>
      </c>
      <c r="B3862" s="4" t="s">
        <v>2070</v>
      </c>
      <c r="C3862" s="12">
        <f>IFERROR(__xludf.DUMMYFUNCTION("""COMPUTED_VALUE"""),44662.5359837963)</f>
        <v>44662.53598</v>
      </c>
      <c r="D3862" s="13">
        <f t="shared" si="1"/>
        <v>11</v>
      </c>
      <c r="E3862" s="13">
        <f t="shared" si="2"/>
        <v>12</v>
      </c>
    </row>
    <row r="3863">
      <c r="A3863" s="4" t="s">
        <v>4327</v>
      </c>
      <c r="B3863" s="4" t="s">
        <v>4320</v>
      </c>
      <c r="C3863" s="12">
        <f>IFERROR(__xludf.DUMMYFUNCTION("""COMPUTED_VALUE"""),44662.535949074074)</f>
        <v>44662.53595</v>
      </c>
      <c r="D3863" s="13">
        <f t="shared" si="1"/>
        <v>11</v>
      </c>
      <c r="E3863" s="13">
        <f t="shared" si="2"/>
        <v>12</v>
      </c>
    </row>
    <row r="3864">
      <c r="A3864" s="4" t="s">
        <v>4328</v>
      </c>
      <c r="B3864" s="4" t="s">
        <v>1235</v>
      </c>
      <c r="C3864" s="12">
        <f>IFERROR(__xludf.DUMMYFUNCTION("""COMPUTED_VALUE"""),44662.535891203705)</f>
        <v>44662.53589</v>
      </c>
      <c r="D3864" s="13">
        <f t="shared" si="1"/>
        <v>11</v>
      </c>
      <c r="E3864" s="13">
        <f t="shared" si="2"/>
        <v>12</v>
      </c>
    </row>
    <row r="3865">
      <c r="A3865" s="4" t="s">
        <v>4329</v>
      </c>
      <c r="B3865" s="4" t="s">
        <v>829</v>
      </c>
      <c r="C3865" s="12">
        <f>IFERROR(__xludf.DUMMYFUNCTION("""COMPUTED_VALUE"""),44662.535844907405)</f>
        <v>44662.53584</v>
      </c>
      <c r="D3865" s="13">
        <f t="shared" si="1"/>
        <v>11</v>
      </c>
      <c r="E3865" s="13">
        <f t="shared" si="2"/>
        <v>12</v>
      </c>
    </row>
    <row r="3866">
      <c r="A3866" s="4" t="s">
        <v>4330</v>
      </c>
      <c r="B3866" s="16"/>
      <c r="C3866" s="12">
        <f>IFERROR(__xludf.DUMMYFUNCTION("""COMPUTED_VALUE"""),44662.53579861111)</f>
        <v>44662.5358</v>
      </c>
      <c r="D3866" s="13">
        <f t="shared" si="1"/>
        <v>11</v>
      </c>
      <c r="E3866" s="13">
        <f t="shared" si="2"/>
        <v>12</v>
      </c>
    </row>
    <row r="3867">
      <c r="A3867" s="4" t="s">
        <v>4330</v>
      </c>
      <c r="B3867" s="4" t="s">
        <v>829</v>
      </c>
      <c r="C3867" s="12">
        <f>IFERROR(__xludf.DUMMYFUNCTION("""COMPUTED_VALUE"""),44662.53579861111)</f>
        <v>44662.5358</v>
      </c>
      <c r="D3867" s="13">
        <f t="shared" si="1"/>
        <v>11</v>
      </c>
      <c r="E3867" s="13">
        <f t="shared" si="2"/>
        <v>12</v>
      </c>
    </row>
    <row r="3868">
      <c r="A3868" s="4" t="s">
        <v>4331</v>
      </c>
      <c r="B3868" s="16"/>
      <c r="C3868" s="12">
        <f>IFERROR(__xludf.DUMMYFUNCTION("""COMPUTED_VALUE"""),44662.535787037035)</f>
        <v>44662.53579</v>
      </c>
      <c r="D3868" s="13">
        <f t="shared" si="1"/>
        <v>11</v>
      </c>
      <c r="E3868" s="13">
        <f t="shared" si="2"/>
        <v>12</v>
      </c>
    </row>
    <row r="3869">
      <c r="A3869" s="4" t="s">
        <v>4332</v>
      </c>
      <c r="B3869" s="16"/>
      <c r="C3869" s="12">
        <f>IFERROR(__xludf.DUMMYFUNCTION("""COMPUTED_VALUE"""),44662.53577546296)</f>
        <v>44662.53578</v>
      </c>
      <c r="D3869" s="13">
        <f t="shared" si="1"/>
        <v>11</v>
      </c>
      <c r="E3869" s="13">
        <f t="shared" si="2"/>
        <v>12</v>
      </c>
    </row>
    <row r="3870">
      <c r="A3870" s="4" t="s">
        <v>4332</v>
      </c>
      <c r="B3870" s="4" t="s">
        <v>829</v>
      </c>
      <c r="C3870" s="12">
        <f>IFERROR(__xludf.DUMMYFUNCTION("""COMPUTED_VALUE"""),44662.53577546296)</f>
        <v>44662.53578</v>
      </c>
      <c r="D3870" s="13">
        <f t="shared" si="1"/>
        <v>11</v>
      </c>
      <c r="E3870" s="13">
        <f t="shared" si="2"/>
        <v>12</v>
      </c>
    </row>
    <row r="3871">
      <c r="A3871" s="4" t="s">
        <v>4333</v>
      </c>
      <c r="B3871" s="16"/>
      <c r="C3871" s="12">
        <f>IFERROR(__xludf.DUMMYFUNCTION("""COMPUTED_VALUE"""),44662.53576388889)</f>
        <v>44662.53576</v>
      </c>
      <c r="D3871" s="13">
        <f t="shared" si="1"/>
        <v>11</v>
      </c>
      <c r="E3871" s="13">
        <f t="shared" si="2"/>
        <v>12</v>
      </c>
    </row>
    <row r="3872">
      <c r="A3872" s="4" t="s">
        <v>4334</v>
      </c>
      <c r="B3872" s="4" t="s">
        <v>3858</v>
      </c>
      <c r="C3872" s="12">
        <f>IFERROR(__xludf.DUMMYFUNCTION("""COMPUTED_VALUE"""),44662.535740740735)</f>
        <v>44662.53574</v>
      </c>
      <c r="D3872" s="13">
        <f t="shared" si="1"/>
        <v>11</v>
      </c>
      <c r="E3872" s="13">
        <f t="shared" si="2"/>
        <v>12</v>
      </c>
    </row>
    <row r="3873">
      <c r="A3873" s="4" t="s">
        <v>4335</v>
      </c>
      <c r="B3873" s="16"/>
      <c r="C3873" s="12">
        <f>IFERROR(__xludf.DUMMYFUNCTION("""COMPUTED_VALUE"""),44662.535729166666)</f>
        <v>44662.53573</v>
      </c>
      <c r="D3873" s="13">
        <f t="shared" si="1"/>
        <v>11</v>
      </c>
      <c r="E3873" s="13">
        <f t="shared" si="2"/>
        <v>12</v>
      </c>
    </row>
    <row r="3874">
      <c r="A3874" s="4" t="s">
        <v>4336</v>
      </c>
      <c r="B3874" s="4" t="s">
        <v>3858</v>
      </c>
      <c r="C3874" s="12">
        <f>IFERROR(__xludf.DUMMYFUNCTION("""COMPUTED_VALUE"""),44662.53571759259)</f>
        <v>44662.53572</v>
      </c>
      <c r="D3874" s="13">
        <f t="shared" si="1"/>
        <v>11</v>
      </c>
      <c r="E3874" s="13">
        <f t="shared" si="2"/>
        <v>12</v>
      </c>
    </row>
    <row r="3875">
      <c r="A3875" s="4" t="s">
        <v>4337</v>
      </c>
      <c r="B3875" s="16"/>
      <c r="C3875" s="12">
        <f>IFERROR(__xludf.DUMMYFUNCTION("""COMPUTED_VALUE"""),44662.53570601852)</f>
        <v>44662.53571</v>
      </c>
      <c r="D3875" s="13">
        <f t="shared" si="1"/>
        <v>11</v>
      </c>
      <c r="E3875" s="13">
        <f t="shared" si="2"/>
        <v>12</v>
      </c>
    </row>
    <row r="3876">
      <c r="A3876" s="4" t="s">
        <v>4338</v>
      </c>
      <c r="B3876" s="16"/>
      <c r="C3876" s="12">
        <f>IFERROR(__xludf.DUMMYFUNCTION("""COMPUTED_VALUE"""),44662.53569444444)</f>
        <v>44662.53569</v>
      </c>
      <c r="D3876" s="13">
        <f t="shared" si="1"/>
        <v>11</v>
      </c>
      <c r="E3876" s="13">
        <f t="shared" si="2"/>
        <v>12</v>
      </c>
    </row>
    <row r="3877">
      <c r="A3877" s="4" t="s">
        <v>4339</v>
      </c>
      <c r="B3877" s="16"/>
      <c r="C3877" s="12">
        <f>IFERROR(__xludf.DUMMYFUNCTION("""COMPUTED_VALUE"""),44662.535682870366)</f>
        <v>44662.53568</v>
      </c>
      <c r="D3877" s="13">
        <f t="shared" si="1"/>
        <v>11</v>
      </c>
      <c r="E3877" s="13">
        <f t="shared" si="2"/>
        <v>12</v>
      </c>
    </row>
    <row r="3878">
      <c r="A3878" s="4" t="s">
        <v>4340</v>
      </c>
      <c r="B3878" s="16"/>
      <c r="C3878" s="12">
        <f>IFERROR(__xludf.DUMMYFUNCTION("""COMPUTED_VALUE"""),44662.5356712963)</f>
        <v>44662.53567</v>
      </c>
      <c r="D3878" s="13">
        <f t="shared" si="1"/>
        <v>11</v>
      </c>
      <c r="E3878" s="13">
        <f t="shared" si="2"/>
        <v>12</v>
      </c>
    </row>
    <row r="3879">
      <c r="A3879" s="4" t="s">
        <v>4341</v>
      </c>
      <c r="B3879" s="16"/>
      <c r="C3879" s="12">
        <f>IFERROR(__xludf.DUMMYFUNCTION("""COMPUTED_VALUE"""),44662.53565972222)</f>
        <v>44662.53566</v>
      </c>
      <c r="D3879" s="13">
        <f t="shared" si="1"/>
        <v>11</v>
      </c>
      <c r="E3879" s="13">
        <f t="shared" si="2"/>
        <v>12</v>
      </c>
    </row>
    <row r="3880">
      <c r="A3880" s="4" t="s">
        <v>4342</v>
      </c>
      <c r="B3880" s="16"/>
      <c r="C3880" s="12">
        <f>IFERROR(__xludf.DUMMYFUNCTION("""COMPUTED_VALUE"""),44662.53563657407)</f>
        <v>44662.53564</v>
      </c>
      <c r="D3880" s="13">
        <f t="shared" si="1"/>
        <v>11</v>
      </c>
      <c r="E3880" s="13">
        <f t="shared" si="2"/>
        <v>12</v>
      </c>
    </row>
    <row r="3881">
      <c r="A3881" s="4" t="s">
        <v>4343</v>
      </c>
      <c r="B3881" s="16"/>
      <c r="C3881" s="12">
        <f>IFERROR(__xludf.DUMMYFUNCTION("""COMPUTED_VALUE"""),44662.535625)</f>
        <v>44662.53563</v>
      </c>
      <c r="D3881" s="13">
        <f t="shared" si="1"/>
        <v>11</v>
      </c>
      <c r="E3881" s="13">
        <f t="shared" si="2"/>
        <v>12</v>
      </c>
    </row>
    <row r="3882">
      <c r="A3882" s="4" t="s">
        <v>4344</v>
      </c>
      <c r="B3882" s="4" t="s">
        <v>4229</v>
      </c>
      <c r="C3882" s="12">
        <f>IFERROR(__xludf.DUMMYFUNCTION("""COMPUTED_VALUE"""),44662.53561342592)</f>
        <v>44662.53561</v>
      </c>
      <c r="D3882" s="13">
        <f t="shared" si="1"/>
        <v>11</v>
      </c>
      <c r="E3882" s="13">
        <f t="shared" si="2"/>
        <v>12</v>
      </c>
    </row>
    <row r="3883">
      <c r="A3883" s="4" t="s">
        <v>4344</v>
      </c>
      <c r="B3883" s="16"/>
      <c r="C3883" s="12">
        <f>IFERROR(__xludf.DUMMYFUNCTION("""COMPUTED_VALUE"""),44662.53561342592)</f>
        <v>44662.53561</v>
      </c>
      <c r="D3883" s="13">
        <f t="shared" si="1"/>
        <v>11</v>
      </c>
      <c r="E3883" s="13">
        <f t="shared" si="2"/>
        <v>12</v>
      </c>
    </row>
    <row r="3884">
      <c r="A3884" s="4" t="s">
        <v>4345</v>
      </c>
      <c r="B3884" s="4" t="s">
        <v>3858</v>
      </c>
      <c r="C3884" s="12">
        <f>IFERROR(__xludf.DUMMYFUNCTION("""COMPUTED_VALUE"""),44662.535590277774)</f>
        <v>44662.53559</v>
      </c>
      <c r="D3884" s="13">
        <f t="shared" si="1"/>
        <v>11</v>
      </c>
      <c r="E3884" s="13">
        <f t="shared" si="2"/>
        <v>12</v>
      </c>
    </row>
    <row r="3885">
      <c r="A3885" s="4" t="s">
        <v>4346</v>
      </c>
      <c r="B3885" s="4" t="s">
        <v>3858</v>
      </c>
      <c r="C3885" s="12">
        <f>IFERROR(__xludf.DUMMYFUNCTION("""COMPUTED_VALUE"""),44662.535578703704)</f>
        <v>44662.53558</v>
      </c>
      <c r="D3885" s="13">
        <f t="shared" si="1"/>
        <v>11</v>
      </c>
      <c r="E3885" s="13">
        <f t="shared" si="2"/>
        <v>12</v>
      </c>
    </row>
    <row r="3886">
      <c r="A3886" s="4" t="s">
        <v>4347</v>
      </c>
      <c r="B3886" s="4" t="s">
        <v>3858</v>
      </c>
      <c r="C3886" s="12">
        <f>IFERROR(__xludf.DUMMYFUNCTION("""COMPUTED_VALUE"""),44662.53556712963)</f>
        <v>44662.53557</v>
      </c>
      <c r="D3886" s="13">
        <f t="shared" si="1"/>
        <v>11</v>
      </c>
      <c r="E3886" s="13">
        <f t="shared" si="2"/>
        <v>12</v>
      </c>
    </row>
    <row r="3887">
      <c r="A3887" s="4" t="s">
        <v>4348</v>
      </c>
      <c r="B3887" s="16"/>
      <c r="C3887" s="12">
        <f>IFERROR(__xludf.DUMMYFUNCTION("""COMPUTED_VALUE"""),44662.53552083333)</f>
        <v>44662.53552</v>
      </c>
      <c r="D3887" s="13">
        <f t="shared" si="1"/>
        <v>11</v>
      </c>
      <c r="E3887" s="13">
        <f t="shared" si="2"/>
        <v>12</v>
      </c>
    </row>
    <row r="3888">
      <c r="A3888" s="4" t="s">
        <v>4349</v>
      </c>
      <c r="B3888" s="4" t="s">
        <v>3858</v>
      </c>
      <c r="C3888" s="12">
        <f>IFERROR(__xludf.DUMMYFUNCTION("""COMPUTED_VALUE"""),44662.53549768518)</f>
        <v>44662.5355</v>
      </c>
      <c r="D3888" s="13">
        <f t="shared" si="1"/>
        <v>11</v>
      </c>
      <c r="E3888" s="13">
        <f t="shared" si="2"/>
        <v>12</v>
      </c>
    </row>
    <row r="3889">
      <c r="A3889" s="4" t="s">
        <v>4350</v>
      </c>
      <c r="B3889" s="16"/>
      <c r="C3889" s="12">
        <f>IFERROR(__xludf.DUMMYFUNCTION("""COMPUTED_VALUE"""),44662.53539351852)</f>
        <v>44662.53539</v>
      </c>
      <c r="D3889" s="13">
        <f t="shared" si="1"/>
        <v>11</v>
      </c>
      <c r="E3889" s="13">
        <f t="shared" si="2"/>
        <v>12</v>
      </c>
    </row>
    <row r="3890">
      <c r="A3890" s="4" t="s">
        <v>4351</v>
      </c>
      <c r="B3890" s="16"/>
      <c r="C3890" s="12">
        <f>IFERROR(__xludf.DUMMYFUNCTION("""COMPUTED_VALUE"""),44662.53524305555)</f>
        <v>44662.53524</v>
      </c>
      <c r="D3890" s="13">
        <f t="shared" si="1"/>
        <v>11</v>
      </c>
      <c r="E3890" s="13">
        <f t="shared" si="2"/>
        <v>12</v>
      </c>
    </row>
    <row r="3891">
      <c r="A3891" s="4" t="s">
        <v>4352</v>
      </c>
      <c r="B3891" s="4" t="s">
        <v>4353</v>
      </c>
      <c r="C3891" s="12">
        <f>IFERROR(__xludf.DUMMYFUNCTION("""COMPUTED_VALUE"""),44662.53457175926)</f>
        <v>44662.53457</v>
      </c>
      <c r="D3891" s="13">
        <f t="shared" si="1"/>
        <v>11</v>
      </c>
      <c r="E3891" s="13">
        <f t="shared" si="2"/>
        <v>12</v>
      </c>
    </row>
    <row r="3892">
      <c r="A3892" s="4" t="s">
        <v>4354</v>
      </c>
      <c r="B3892" s="4" t="s">
        <v>1455</v>
      </c>
      <c r="C3892" s="12">
        <f>IFERROR(__xludf.DUMMYFUNCTION("""COMPUTED_VALUE"""),44662.5342824074)</f>
        <v>44662.53428</v>
      </c>
      <c r="D3892" s="13">
        <f t="shared" si="1"/>
        <v>11</v>
      </c>
      <c r="E3892" s="13">
        <f t="shared" si="2"/>
        <v>12</v>
      </c>
    </row>
    <row r="3893">
      <c r="A3893" s="4" t="s">
        <v>4355</v>
      </c>
      <c r="B3893" s="16"/>
      <c r="C3893" s="12">
        <f>IFERROR(__xludf.DUMMYFUNCTION("""COMPUTED_VALUE"""),44662.53425925926)</f>
        <v>44662.53426</v>
      </c>
      <c r="D3893" s="13">
        <f t="shared" si="1"/>
        <v>11</v>
      </c>
      <c r="E3893" s="13">
        <f t="shared" si="2"/>
        <v>12</v>
      </c>
    </row>
    <row r="3894">
      <c r="A3894" s="4" t="s">
        <v>4356</v>
      </c>
      <c r="B3894" s="16"/>
      <c r="C3894" s="12">
        <f>IFERROR(__xludf.DUMMYFUNCTION("""COMPUTED_VALUE"""),44662.534062499995)</f>
        <v>44662.53406</v>
      </c>
      <c r="D3894" s="13">
        <f t="shared" si="1"/>
        <v>11</v>
      </c>
      <c r="E3894" s="13">
        <f t="shared" si="2"/>
        <v>12</v>
      </c>
    </row>
    <row r="3895">
      <c r="A3895" s="4" t="s">
        <v>4357</v>
      </c>
      <c r="B3895" s="16"/>
      <c r="C3895" s="12">
        <f>IFERROR(__xludf.DUMMYFUNCTION("""COMPUTED_VALUE"""),44662.53402777777)</f>
        <v>44662.53403</v>
      </c>
      <c r="D3895" s="13">
        <f t="shared" si="1"/>
        <v>11</v>
      </c>
      <c r="E3895" s="13">
        <f t="shared" si="2"/>
        <v>12</v>
      </c>
    </row>
    <row r="3896">
      <c r="A3896" s="4" t="s">
        <v>4358</v>
      </c>
      <c r="B3896" s="4" t="s">
        <v>4091</v>
      </c>
      <c r="C3896" s="12">
        <f>IFERROR(__xludf.DUMMYFUNCTION("""COMPUTED_VALUE"""),44662.5340162037)</f>
        <v>44662.53402</v>
      </c>
      <c r="D3896" s="13">
        <f t="shared" si="1"/>
        <v>11</v>
      </c>
      <c r="E3896" s="13">
        <f t="shared" si="2"/>
        <v>12</v>
      </c>
    </row>
    <row r="3897">
      <c r="A3897" s="4" t="s">
        <v>4359</v>
      </c>
      <c r="B3897" s="16"/>
      <c r="C3897" s="12">
        <f>IFERROR(__xludf.DUMMYFUNCTION("""COMPUTED_VALUE"""),44662.5339699074)</f>
        <v>44662.53397</v>
      </c>
      <c r="D3897" s="13">
        <f t="shared" si="1"/>
        <v>11</v>
      </c>
      <c r="E3897" s="13">
        <f t="shared" si="2"/>
        <v>12</v>
      </c>
    </row>
    <row r="3898">
      <c r="A3898" s="4" t="s">
        <v>4360</v>
      </c>
      <c r="B3898" s="16"/>
      <c r="C3898" s="12">
        <f>IFERROR(__xludf.DUMMYFUNCTION("""COMPUTED_VALUE"""),44662.53394675926)</f>
        <v>44662.53395</v>
      </c>
      <c r="D3898" s="13">
        <f t="shared" si="1"/>
        <v>11</v>
      </c>
      <c r="E3898" s="13">
        <f t="shared" si="2"/>
        <v>12</v>
      </c>
    </row>
    <row r="3899">
      <c r="A3899" s="4" t="s">
        <v>4361</v>
      </c>
      <c r="B3899" s="16"/>
      <c r="C3899" s="12">
        <f>IFERROR(__xludf.DUMMYFUNCTION("""COMPUTED_VALUE"""),44662.53391203703)</f>
        <v>44662.53391</v>
      </c>
      <c r="D3899" s="13">
        <f t="shared" si="1"/>
        <v>11</v>
      </c>
      <c r="E3899" s="13">
        <f t="shared" si="2"/>
        <v>12</v>
      </c>
    </row>
    <row r="3900">
      <c r="A3900" s="4" t="s">
        <v>4362</v>
      </c>
      <c r="B3900" s="16"/>
      <c r="C3900" s="12">
        <f>IFERROR(__xludf.DUMMYFUNCTION("""COMPUTED_VALUE"""),44662.53388888889)</f>
        <v>44662.53389</v>
      </c>
      <c r="D3900" s="13">
        <f t="shared" si="1"/>
        <v>11</v>
      </c>
      <c r="E3900" s="13">
        <f t="shared" si="2"/>
        <v>12</v>
      </c>
    </row>
    <row r="3901">
      <c r="A3901" s="4" t="s">
        <v>4363</v>
      </c>
      <c r="B3901" s="16"/>
      <c r="C3901" s="12">
        <f>IFERROR(__xludf.DUMMYFUNCTION("""COMPUTED_VALUE"""),44662.53386574074)</f>
        <v>44662.53387</v>
      </c>
      <c r="D3901" s="13">
        <f t="shared" si="1"/>
        <v>11</v>
      </c>
      <c r="E3901" s="13">
        <f t="shared" si="2"/>
        <v>12</v>
      </c>
    </row>
    <row r="3902">
      <c r="A3902" s="4" t="s">
        <v>4364</v>
      </c>
      <c r="B3902" s="16"/>
      <c r="C3902" s="12">
        <f>IFERROR(__xludf.DUMMYFUNCTION("""COMPUTED_VALUE"""),44662.53383101852)</f>
        <v>44662.53383</v>
      </c>
      <c r="D3902" s="13">
        <f t="shared" si="1"/>
        <v>11</v>
      </c>
      <c r="E3902" s="13">
        <f t="shared" si="2"/>
        <v>12</v>
      </c>
    </row>
    <row r="3903">
      <c r="A3903" s="4" t="s">
        <v>4365</v>
      </c>
      <c r="B3903" s="16"/>
      <c r="C3903" s="12">
        <f>IFERROR(__xludf.DUMMYFUNCTION("""COMPUTED_VALUE"""),44662.533807870364)</f>
        <v>44662.53381</v>
      </c>
      <c r="D3903" s="13">
        <f t="shared" si="1"/>
        <v>11</v>
      </c>
      <c r="E3903" s="13">
        <f t="shared" si="2"/>
        <v>12</v>
      </c>
    </row>
    <row r="3904">
      <c r="A3904" s="4" t="s">
        <v>4366</v>
      </c>
      <c r="B3904" s="16"/>
      <c r="C3904" s="12">
        <f>IFERROR(__xludf.DUMMYFUNCTION("""COMPUTED_VALUE"""),44662.53378472222)</f>
        <v>44662.53378</v>
      </c>
      <c r="D3904" s="13">
        <f t="shared" si="1"/>
        <v>11</v>
      </c>
      <c r="E3904" s="13">
        <f t="shared" si="2"/>
        <v>12</v>
      </c>
    </row>
    <row r="3905">
      <c r="A3905" s="4" t="s">
        <v>4367</v>
      </c>
      <c r="B3905" s="4" t="s">
        <v>4368</v>
      </c>
      <c r="C3905" s="12">
        <f>IFERROR(__xludf.DUMMYFUNCTION("""COMPUTED_VALUE"""),44662.53377314815)</f>
        <v>44662.53377</v>
      </c>
      <c r="D3905" s="13">
        <f t="shared" si="1"/>
        <v>11</v>
      </c>
      <c r="E3905" s="13">
        <f t="shared" si="2"/>
        <v>12</v>
      </c>
    </row>
    <row r="3906">
      <c r="A3906" s="4" t="s">
        <v>4369</v>
      </c>
      <c r="B3906" s="16"/>
      <c r="C3906" s="12">
        <f>IFERROR(__xludf.DUMMYFUNCTION("""COMPUTED_VALUE"""),44662.533749999995)</f>
        <v>44662.53375</v>
      </c>
      <c r="D3906" s="13">
        <f t="shared" si="1"/>
        <v>11</v>
      </c>
      <c r="E3906" s="13">
        <f t="shared" si="2"/>
        <v>12</v>
      </c>
    </row>
    <row r="3907">
      <c r="A3907" s="4" t="s">
        <v>4370</v>
      </c>
      <c r="B3907" s="16"/>
      <c r="C3907" s="12">
        <f>IFERROR(__xludf.DUMMYFUNCTION("""COMPUTED_VALUE"""),44662.53372685185)</f>
        <v>44662.53373</v>
      </c>
      <c r="D3907" s="13">
        <f t="shared" si="1"/>
        <v>11</v>
      </c>
      <c r="E3907" s="13">
        <f t="shared" si="2"/>
        <v>12</v>
      </c>
    </row>
    <row r="3908">
      <c r="A3908" s="4" t="s">
        <v>4371</v>
      </c>
      <c r="B3908" s="16"/>
      <c r="C3908" s="12">
        <f>IFERROR(__xludf.DUMMYFUNCTION("""COMPUTED_VALUE"""),44662.533692129626)</f>
        <v>44662.53369</v>
      </c>
      <c r="D3908" s="13">
        <f t="shared" si="1"/>
        <v>11</v>
      </c>
      <c r="E3908" s="13">
        <f t="shared" si="2"/>
        <v>12</v>
      </c>
    </row>
    <row r="3909">
      <c r="A3909" s="4" t="s">
        <v>4372</v>
      </c>
      <c r="B3909" s="16"/>
      <c r="C3909" s="12">
        <f>IFERROR(__xludf.DUMMYFUNCTION("""COMPUTED_VALUE"""),44662.53366898148)</f>
        <v>44662.53367</v>
      </c>
      <c r="D3909" s="13">
        <f t="shared" si="1"/>
        <v>11</v>
      </c>
      <c r="E3909" s="13">
        <f t="shared" si="2"/>
        <v>12</v>
      </c>
    </row>
    <row r="3910">
      <c r="A3910" s="4" t="s">
        <v>4373</v>
      </c>
      <c r="B3910" s="16"/>
      <c r="C3910" s="12">
        <f>IFERROR(__xludf.DUMMYFUNCTION("""COMPUTED_VALUE"""),44662.533634259256)</f>
        <v>44662.53363</v>
      </c>
      <c r="D3910" s="13">
        <f t="shared" si="1"/>
        <v>11</v>
      </c>
      <c r="E3910" s="13">
        <f t="shared" si="2"/>
        <v>12</v>
      </c>
    </row>
    <row r="3911">
      <c r="A3911" s="4" t="s">
        <v>4374</v>
      </c>
      <c r="B3911" s="16"/>
      <c r="C3911" s="12">
        <f>IFERROR(__xludf.DUMMYFUNCTION("""COMPUTED_VALUE"""),44662.533587962964)</f>
        <v>44662.53359</v>
      </c>
      <c r="D3911" s="13">
        <f t="shared" si="1"/>
        <v>11</v>
      </c>
      <c r="E3911" s="13">
        <f t="shared" si="2"/>
        <v>12</v>
      </c>
    </row>
    <row r="3912">
      <c r="A3912" s="4" t="s">
        <v>4375</v>
      </c>
      <c r="B3912" s="16"/>
      <c r="C3912" s="12">
        <f>IFERROR(__xludf.DUMMYFUNCTION("""COMPUTED_VALUE"""),44662.53355324074)</f>
        <v>44662.53355</v>
      </c>
      <c r="D3912" s="13">
        <f t="shared" si="1"/>
        <v>11</v>
      </c>
      <c r="E3912" s="13">
        <f t="shared" si="2"/>
        <v>12</v>
      </c>
    </row>
    <row r="3913">
      <c r="A3913" s="4" t="s">
        <v>4376</v>
      </c>
      <c r="B3913" s="4" t="s">
        <v>4377</v>
      </c>
      <c r="C3913" s="12">
        <f>IFERROR(__xludf.DUMMYFUNCTION("""COMPUTED_VALUE"""),44662.533483796295)</f>
        <v>44662.53348</v>
      </c>
      <c r="D3913" s="13">
        <f t="shared" si="1"/>
        <v>11</v>
      </c>
      <c r="E3913" s="13">
        <f t="shared" si="2"/>
        <v>12</v>
      </c>
    </row>
    <row r="3914">
      <c r="A3914" s="4" t="s">
        <v>4378</v>
      </c>
      <c r="B3914" s="16"/>
      <c r="C3914" s="12">
        <f>IFERROR(__xludf.DUMMYFUNCTION("""COMPUTED_VALUE"""),44662.53344907407)</f>
        <v>44662.53345</v>
      </c>
      <c r="D3914" s="13">
        <f t="shared" si="1"/>
        <v>11</v>
      </c>
      <c r="E3914" s="13">
        <f t="shared" si="2"/>
        <v>12</v>
      </c>
    </row>
    <row r="3915">
      <c r="A3915" s="4" t="s">
        <v>4379</v>
      </c>
      <c r="B3915" s="4" t="s">
        <v>4380</v>
      </c>
      <c r="C3915" s="12">
        <f>IFERROR(__xludf.DUMMYFUNCTION("""COMPUTED_VALUE"""),44662.533171296294)</f>
        <v>44662.53317</v>
      </c>
      <c r="D3915" s="13">
        <f t="shared" si="1"/>
        <v>11</v>
      </c>
      <c r="E3915" s="13">
        <f t="shared" si="2"/>
        <v>12</v>
      </c>
    </row>
    <row r="3916">
      <c r="A3916" s="4" t="s">
        <v>4381</v>
      </c>
      <c r="B3916" s="4" t="s">
        <v>4377</v>
      </c>
      <c r="C3916" s="12">
        <f>IFERROR(__xludf.DUMMYFUNCTION("""COMPUTED_VALUE"""),44662.5330324074)</f>
        <v>44662.53303</v>
      </c>
      <c r="D3916" s="13">
        <f t="shared" si="1"/>
        <v>11</v>
      </c>
      <c r="E3916" s="13">
        <f t="shared" si="2"/>
        <v>12</v>
      </c>
    </row>
    <row r="3917">
      <c r="A3917" s="4" t="s">
        <v>4382</v>
      </c>
      <c r="B3917" s="16"/>
      <c r="C3917" s="12">
        <f>IFERROR(__xludf.DUMMYFUNCTION("""COMPUTED_VALUE"""),44662.53282407407)</f>
        <v>44662.53282</v>
      </c>
      <c r="D3917" s="13">
        <f t="shared" si="1"/>
        <v>11</v>
      </c>
      <c r="E3917" s="13">
        <f t="shared" si="2"/>
        <v>12</v>
      </c>
    </row>
    <row r="3918">
      <c r="A3918" s="4" t="s">
        <v>4383</v>
      </c>
      <c r="B3918" s="16"/>
      <c r="C3918" s="12">
        <f>IFERROR(__xludf.DUMMYFUNCTION("""COMPUTED_VALUE"""),44662.532800925925)</f>
        <v>44662.5328</v>
      </c>
      <c r="D3918" s="13">
        <f t="shared" si="1"/>
        <v>11</v>
      </c>
      <c r="E3918" s="13">
        <f t="shared" si="2"/>
        <v>12</v>
      </c>
    </row>
    <row r="3919">
      <c r="A3919" s="4" t="s">
        <v>4384</v>
      </c>
      <c r="B3919" s="4" t="s">
        <v>3858</v>
      </c>
      <c r="C3919" s="12">
        <f>IFERROR(__xludf.DUMMYFUNCTION("""COMPUTED_VALUE"""),44662.53278935185)</f>
        <v>44662.53279</v>
      </c>
      <c r="D3919" s="13">
        <f t="shared" si="1"/>
        <v>11</v>
      </c>
      <c r="E3919" s="13">
        <f t="shared" si="2"/>
        <v>12</v>
      </c>
    </row>
    <row r="3920">
      <c r="A3920" s="4" t="s">
        <v>4385</v>
      </c>
      <c r="B3920" s="4" t="s">
        <v>3858</v>
      </c>
      <c r="C3920" s="12">
        <f>IFERROR(__xludf.DUMMYFUNCTION("""COMPUTED_VALUE"""),44662.53239583333)</f>
        <v>44662.5324</v>
      </c>
      <c r="D3920" s="13">
        <f t="shared" si="1"/>
        <v>11</v>
      </c>
      <c r="E3920" s="13">
        <f t="shared" si="2"/>
        <v>12</v>
      </c>
    </row>
    <row r="3921">
      <c r="A3921" s="4" t="s">
        <v>4386</v>
      </c>
      <c r="B3921" s="16"/>
      <c r="C3921" s="12">
        <f>IFERROR(__xludf.DUMMYFUNCTION("""COMPUTED_VALUE"""),44662.53234953703)</f>
        <v>44662.53235</v>
      </c>
      <c r="D3921" s="13">
        <f t="shared" si="1"/>
        <v>11</v>
      </c>
      <c r="E3921" s="13">
        <f t="shared" si="2"/>
        <v>12</v>
      </c>
    </row>
    <row r="3922">
      <c r="A3922" s="4" t="s">
        <v>4387</v>
      </c>
      <c r="B3922" s="4" t="s">
        <v>3858</v>
      </c>
      <c r="C3922" s="12">
        <f>IFERROR(__xludf.DUMMYFUNCTION("""COMPUTED_VALUE"""),44662.53233796296)</f>
        <v>44662.53234</v>
      </c>
      <c r="D3922" s="13">
        <f t="shared" si="1"/>
        <v>11</v>
      </c>
      <c r="E3922" s="13">
        <f t="shared" si="2"/>
        <v>12</v>
      </c>
    </row>
    <row r="3923">
      <c r="A3923" s="4" t="s">
        <v>4388</v>
      </c>
      <c r="B3923" s="4" t="s">
        <v>3858</v>
      </c>
      <c r="C3923" s="12">
        <f>IFERROR(__xludf.DUMMYFUNCTION("""COMPUTED_VALUE"""),44662.53221064815)</f>
        <v>44662.53221</v>
      </c>
      <c r="D3923" s="13">
        <f t="shared" si="1"/>
        <v>11</v>
      </c>
      <c r="E3923" s="13">
        <f t="shared" si="2"/>
        <v>12</v>
      </c>
    </row>
    <row r="3924">
      <c r="A3924" s="4" t="s">
        <v>4389</v>
      </c>
      <c r="B3924" s="4" t="s">
        <v>4390</v>
      </c>
      <c r="C3924" s="12">
        <f>IFERROR(__xludf.DUMMYFUNCTION("""COMPUTED_VALUE"""),44662.53153935185)</f>
        <v>44662.53154</v>
      </c>
      <c r="D3924" s="13">
        <f t="shared" si="1"/>
        <v>11</v>
      </c>
      <c r="E3924" s="13">
        <f t="shared" si="2"/>
        <v>12</v>
      </c>
    </row>
    <row r="3925">
      <c r="A3925" s="4" t="s">
        <v>4391</v>
      </c>
      <c r="B3925" s="4" t="s">
        <v>4390</v>
      </c>
      <c r="C3925" s="12">
        <f>IFERROR(__xludf.DUMMYFUNCTION("""COMPUTED_VALUE"""),44662.53145833333)</f>
        <v>44662.53146</v>
      </c>
      <c r="D3925" s="13">
        <f t="shared" si="1"/>
        <v>11</v>
      </c>
      <c r="E3925" s="13">
        <f t="shared" si="2"/>
        <v>12</v>
      </c>
    </row>
    <row r="3926">
      <c r="A3926" s="4" t="s">
        <v>4392</v>
      </c>
      <c r="B3926" s="16"/>
      <c r="C3926" s="12">
        <f>IFERROR(__xludf.DUMMYFUNCTION("""COMPUTED_VALUE"""),44662.531435185185)</f>
        <v>44662.53144</v>
      </c>
      <c r="D3926" s="13">
        <f t="shared" si="1"/>
        <v>11</v>
      </c>
      <c r="E3926" s="13">
        <f t="shared" si="2"/>
        <v>12</v>
      </c>
    </row>
    <row r="3927">
      <c r="A3927" s="4" t="s">
        <v>4393</v>
      </c>
      <c r="B3927" s="16"/>
      <c r="C3927" s="12">
        <f>IFERROR(__xludf.DUMMYFUNCTION("""COMPUTED_VALUE"""),44662.53128472222)</f>
        <v>44662.53128</v>
      </c>
      <c r="D3927" s="13">
        <f t="shared" si="1"/>
        <v>11</v>
      </c>
      <c r="E3927" s="13">
        <f t="shared" si="2"/>
        <v>12</v>
      </c>
    </row>
    <row r="3928">
      <c r="A3928" s="4" t="s">
        <v>4394</v>
      </c>
      <c r="B3928" s="16"/>
      <c r="C3928" s="12">
        <f>IFERROR(__xludf.DUMMYFUNCTION("""COMPUTED_VALUE"""),44662.53125)</f>
        <v>44662.53125</v>
      </c>
      <c r="D3928" s="13">
        <f t="shared" si="1"/>
        <v>11</v>
      </c>
      <c r="E3928" s="13">
        <f t="shared" si="2"/>
        <v>12</v>
      </c>
    </row>
    <row r="3929">
      <c r="A3929" s="4" t="s">
        <v>4395</v>
      </c>
      <c r="B3929" s="4" t="s">
        <v>3858</v>
      </c>
      <c r="C3929" s="12">
        <f>IFERROR(__xludf.DUMMYFUNCTION("""COMPUTED_VALUE"""),44662.53123842592)</f>
        <v>44662.53124</v>
      </c>
      <c r="D3929" s="13">
        <f t="shared" si="1"/>
        <v>11</v>
      </c>
      <c r="E3929" s="13">
        <f t="shared" si="2"/>
        <v>12</v>
      </c>
    </row>
    <row r="3930">
      <c r="A3930" s="4" t="s">
        <v>4396</v>
      </c>
      <c r="B3930" s="16"/>
      <c r="C3930" s="12">
        <f>IFERROR(__xludf.DUMMYFUNCTION("""COMPUTED_VALUE"""),44662.531180555554)</f>
        <v>44662.53118</v>
      </c>
      <c r="D3930" s="13">
        <f t="shared" si="1"/>
        <v>11</v>
      </c>
      <c r="E3930" s="13">
        <f t="shared" si="2"/>
        <v>12</v>
      </c>
    </row>
    <row r="3931">
      <c r="A3931" s="4" t="s">
        <v>4396</v>
      </c>
      <c r="B3931" s="4" t="s">
        <v>4397</v>
      </c>
      <c r="C3931" s="12">
        <f>IFERROR(__xludf.DUMMYFUNCTION("""COMPUTED_VALUE"""),44662.531180555554)</f>
        <v>44662.53118</v>
      </c>
      <c r="D3931" s="13">
        <f t="shared" si="1"/>
        <v>11</v>
      </c>
      <c r="E3931" s="13">
        <f t="shared" si="2"/>
        <v>12</v>
      </c>
    </row>
    <row r="3932">
      <c r="A3932" s="4" t="s">
        <v>4398</v>
      </c>
      <c r="B3932" s="16"/>
      <c r="C3932" s="12">
        <f>IFERROR(__xludf.DUMMYFUNCTION("""COMPUTED_VALUE"""),44662.53116898148)</f>
        <v>44662.53117</v>
      </c>
      <c r="D3932" s="13">
        <f t="shared" si="1"/>
        <v>11</v>
      </c>
      <c r="E3932" s="13">
        <f t="shared" si="2"/>
        <v>12</v>
      </c>
    </row>
    <row r="3933">
      <c r="A3933" s="4" t="s">
        <v>4399</v>
      </c>
      <c r="B3933" s="4" t="s">
        <v>3858</v>
      </c>
      <c r="C3933" s="12">
        <f>IFERROR(__xludf.DUMMYFUNCTION("""COMPUTED_VALUE"""),44662.53114583333)</f>
        <v>44662.53115</v>
      </c>
      <c r="D3933" s="13">
        <f t="shared" si="1"/>
        <v>11</v>
      </c>
      <c r="E3933" s="13">
        <f t="shared" si="2"/>
        <v>12</v>
      </c>
    </row>
    <row r="3934">
      <c r="A3934" s="4" t="s">
        <v>4400</v>
      </c>
      <c r="B3934" s="4" t="s">
        <v>3858</v>
      </c>
      <c r="C3934" s="12">
        <f>IFERROR(__xludf.DUMMYFUNCTION("""COMPUTED_VALUE"""),44662.53111111111)</f>
        <v>44662.53111</v>
      </c>
      <c r="D3934" s="13">
        <f t="shared" si="1"/>
        <v>11</v>
      </c>
      <c r="E3934" s="13">
        <f t="shared" si="2"/>
        <v>12</v>
      </c>
    </row>
    <row r="3935">
      <c r="A3935" s="4" t="s">
        <v>4401</v>
      </c>
      <c r="B3935" s="4" t="s">
        <v>3858</v>
      </c>
      <c r="C3935" s="12">
        <f>IFERROR(__xludf.DUMMYFUNCTION("""COMPUTED_VALUE"""),44662.531076388885)</f>
        <v>44662.53108</v>
      </c>
      <c r="D3935" s="13">
        <f t="shared" si="1"/>
        <v>11</v>
      </c>
      <c r="E3935" s="13">
        <f t="shared" si="2"/>
        <v>12</v>
      </c>
    </row>
    <row r="3936">
      <c r="A3936" s="4" t="s">
        <v>4402</v>
      </c>
      <c r="B3936" s="16"/>
      <c r="C3936" s="12">
        <f>IFERROR(__xludf.DUMMYFUNCTION("""COMPUTED_VALUE"""),44662.53103009259)</f>
        <v>44662.53103</v>
      </c>
      <c r="D3936" s="13">
        <f t="shared" si="1"/>
        <v>11</v>
      </c>
      <c r="E3936" s="13">
        <f t="shared" si="2"/>
        <v>12</v>
      </c>
    </row>
    <row r="3937">
      <c r="A3937" s="4" t="s">
        <v>4402</v>
      </c>
      <c r="B3937" s="4" t="s">
        <v>1759</v>
      </c>
      <c r="C3937" s="12">
        <f>IFERROR(__xludf.DUMMYFUNCTION("""COMPUTED_VALUE"""),44662.53103009259)</f>
        <v>44662.53103</v>
      </c>
      <c r="D3937" s="13">
        <f t="shared" si="1"/>
        <v>11</v>
      </c>
      <c r="E3937" s="13">
        <f t="shared" si="2"/>
        <v>12</v>
      </c>
    </row>
    <row r="3938">
      <c r="A3938" s="4" t="s">
        <v>4403</v>
      </c>
      <c r="B3938" s="4" t="s">
        <v>4404</v>
      </c>
      <c r="C3938" s="12">
        <f>IFERROR(__xludf.DUMMYFUNCTION("""COMPUTED_VALUE"""),44662.53100694444)</f>
        <v>44662.53101</v>
      </c>
      <c r="D3938" s="13">
        <f t="shared" si="1"/>
        <v>11</v>
      </c>
      <c r="E3938" s="13">
        <f t="shared" si="2"/>
        <v>12</v>
      </c>
    </row>
    <row r="3939">
      <c r="A3939" s="4" t="s">
        <v>4405</v>
      </c>
      <c r="B3939" s="4" t="s">
        <v>4406</v>
      </c>
      <c r="C3939" s="12">
        <f>IFERROR(__xludf.DUMMYFUNCTION("""COMPUTED_VALUE"""),44662.53098379629)</f>
        <v>44662.53098</v>
      </c>
      <c r="D3939" s="13">
        <f t="shared" si="1"/>
        <v>11</v>
      </c>
      <c r="E3939" s="13">
        <f t="shared" si="2"/>
        <v>12</v>
      </c>
    </row>
    <row r="3940">
      <c r="A3940" s="4" t="s">
        <v>4407</v>
      </c>
      <c r="B3940" s="16"/>
      <c r="C3940" s="12">
        <f>IFERROR(__xludf.DUMMYFUNCTION("""COMPUTED_VALUE"""),44662.530914351846)</f>
        <v>44662.53091</v>
      </c>
      <c r="D3940" s="13">
        <f t="shared" si="1"/>
        <v>11</v>
      </c>
      <c r="E3940" s="13">
        <f t="shared" si="2"/>
        <v>12</v>
      </c>
    </row>
    <row r="3941">
      <c r="A3941" s="4" t="s">
        <v>4408</v>
      </c>
      <c r="B3941" s="4" t="s">
        <v>4409</v>
      </c>
      <c r="C3941" s="12">
        <f>IFERROR(__xludf.DUMMYFUNCTION("""COMPUTED_VALUE"""),44662.53077546296)</f>
        <v>44662.53078</v>
      </c>
      <c r="D3941" s="13">
        <f t="shared" si="1"/>
        <v>11</v>
      </c>
      <c r="E3941" s="13">
        <f t="shared" si="2"/>
        <v>12</v>
      </c>
    </row>
    <row r="3942">
      <c r="A3942" s="4" t="s">
        <v>4410</v>
      </c>
      <c r="B3942" s="4" t="s">
        <v>4411</v>
      </c>
      <c r="C3942" s="12">
        <f>IFERROR(__xludf.DUMMYFUNCTION("""COMPUTED_VALUE"""),44662.53074074074)</f>
        <v>44662.53074</v>
      </c>
      <c r="D3942" s="13">
        <f t="shared" si="1"/>
        <v>11</v>
      </c>
      <c r="E3942" s="13">
        <f t="shared" si="2"/>
        <v>12</v>
      </c>
    </row>
    <row r="3943">
      <c r="A3943" s="4" t="s">
        <v>4412</v>
      </c>
      <c r="B3943" s="4" t="s">
        <v>1759</v>
      </c>
      <c r="C3943" s="12">
        <f>IFERROR(__xludf.DUMMYFUNCTION("""COMPUTED_VALUE"""),44662.53071759259)</f>
        <v>44662.53072</v>
      </c>
      <c r="D3943" s="13">
        <f t="shared" si="1"/>
        <v>11</v>
      </c>
      <c r="E3943" s="13">
        <f t="shared" si="2"/>
        <v>12</v>
      </c>
    </row>
    <row r="3944">
      <c r="A3944" s="4" t="s">
        <v>4413</v>
      </c>
      <c r="B3944" s="4" t="s">
        <v>2441</v>
      </c>
      <c r="C3944" s="12">
        <f>IFERROR(__xludf.DUMMYFUNCTION("""COMPUTED_VALUE"""),44662.53068287037)</f>
        <v>44662.53068</v>
      </c>
      <c r="D3944" s="13">
        <f t="shared" si="1"/>
        <v>11</v>
      </c>
      <c r="E3944" s="13">
        <f t="shared" si="2"/>
        <v>12</v>
      </c>
    </row>
    <row r="3945">
      <c r="A3945" s="4" t="s">
        <v>4414</v>
      </c>
      <c r="B3945" s="4" t="s">
        <v>143</v>
      </c>
      <c r="C3945" s="12">
        <f>IFERROR(__xludf.DUMMYFUNCTION("""COMPUTED_VALUE"""),44662.530648148146)</f>
        <v>44662.53065</v>
      </c>
      <c r="D3945" s="13">
        <f t="shared" si="1"/>
        <v>11</v>
      </c>
      <c r="E3945" s="13">
        <f t="shared" si="2"/>
        <v>12</v>
      </c>
    </row>
    <row r="3946">
      <c r="A3946" s="4" t="s">
        <v>4415</v>
      </c>
      <c r="B3946" s="4" t="s">
        <v>4416</v>
      </c>
      <c r="C3946" s="12">
        <f>IFERROR(__xludf.DUMMYFUNCTION("""COMPUTED_VALUE"""),44662.53050925925)</f>
        <v>44662.53051</v>
      </c>
      <c r="D3946" s="13">
        <f t="shared" si="1"/>
        <v>11</v>
      </c>
      <c r="E3946" s="13">
        <f t="shared" si="2"/>
        <v>12</v>
      </c>
    </row>
    <row r="3947">
      <c r="A3947" s="4" t="s">
        <v>4417</v>
      </c>
      <c r="B3947" s="16"/>
      <c r="C3947" s="12">
        <f>IFERROR(__xludf.DUMMYFUNCTION("""COMPUTED_VALUE"""),44662.530138888884)</f>
        <v>44662.53014</v>
      </c>
      <c r="D3947" s="13">
        <f t="shared" si="1"/>
        <v>11</v>
      </c>
      <c r="E3947" s="13">
        <f t="shared" si="2"/>
        <v>12</v>
      </c>
    </row>
    <row r="3948">
      <c r="A3948" s="4" t="s">
        <v>4418</v>
      </c>
      <c r="B3948" s="4" t="s">
        <v>4012</v>
      </c>
      <c r="C3948" s="12">
        <f>IFERROR(__xludf.DUMMYFUNCTION("""COMPUTED_VALUE"""),44662.529814814814)</f>
        <v>44662.52981</v>
      </c>
      <c r="D3948" s="13">
        <f t="shared" si="1"/>
        <v>11</v>
      </c>
      <c r="E3948" s="13">
        <f t="shared" si="2"/>
        <v>12</v>
      </c>
    </row>
    <row r="3949">
      <c r="A3949" s="4" t="s">
        <v>4419</v>
      </c>
      <c r="B3949" s="4" t="s">
        <v>4409</v>
      </c>
      <c r="C3949" s="12">
        <f>IFERROR(__xludf.DUMMYFUNCTION("""COMPUTED_VALUE"""),44662.52921296296)</f>
        <v>44662.52921</v>
      </c>
      <c r="D3949" s="13">
        <f t="shared" si="1"/>
        <v>11</v>
      </c>
      <c r="E3949" s="13">
        <f t="shared" si="2"/>
        <v>12</v>
      </c>
    </row>
    <row r="3950">
      <c r="A3950" s="4" t="s">
        <v>4420</v>
      </c>
      <c r="B3950" s="4" t="s">
        <v>1455</v>
      </c>
      <c r="C3950" s="12">
        <f>IFERROR(__xludf.DUMMYFUNCTION("""COMPUTED_VALUE"""),44662.52920138888)</f>
        <v>44662.5292</v>
      </c>
      <c r="D3950" s="13">
        <f t="shared" si="1"/>
        <v>11</v>
      </c>
      <c r="E3950" s="13">
        <f t="shared" si="2"/>
        <v>12</v>
      </c>
    </row>
    <row r="3951">
      <c r="A3951" s="4" t="s">
        <v>4420</v>
      </c>
      <c r="B3951" s="4" t="s">
        <v>4409</v>
      </c>
      <c r="C3951" s="12">
        <f>IFERROR(__xludf.DUMMYFUNCTION("""COMPUTED_VALUE"""),44662.52920138888)</f>
        <v>44662.5292</v>
      </c>
      <c r="D3951" s="13">
        <f t="shared" si="1"/>
        <v>11</v>
      </c>
      <c r="E3951" s="13">
        <f t="shared" si="2"/>
        <v>12</v>
      </c>
    </row>
    <row r="3952">
      <c r="A3952" s="4" t="s">
        <v>4421</v>
      </c>
      <c r="B3952" s="4" t="s">
        <v>1455</v>
      </c>
      <c r="C3952" s="12">
        <f>IFERROR(__xludf.DUMMYFUNCTION("""COMPUTED_VALUE"""),44662.52916666667)</f>
        <v>44662.52917</v>
      </c>
      <c r="D3952" s="13">
        <f t="shared" si="1"/>
        <v>11</v>
      </c>
      <c r="E3952" s="13">
        <f t="shared" si="2"/>
        <v>12</v>
      </c>
    </row>
    <row r="3953">
      <c r="A3953" s="4" t="s">
        <v>4421</v>
      </c>
      <c r="B3953" s="4" t="s">
        <v>4409</v>
      </c>
      <c r="C3953" s="12">
        <f>IFERROR(__xludf.DUMMYFUNCTION("""COMPUTED_VALUE"""),44662.52916666667)</f>
        <v>44662.52917</v>
      </c>
      <c r="D3953" s="13">
        <f t="shared" si="1"/>
        <v>11</v>
      </c>
      <c r="E3953" s="13">
        <f t="shared" si="2"/>
        <v>12</v>
      </c>
    </row>
    <row r="3954">
      <c r="A3954" s="4" t="s">
        <v>4421</v>
      </c>
      <c r="B3954" s="4" t="s">
        <v>4406</v>
      </c>
      <c r="C3954" s="12">
        <f>IFERROR(__xludf.DUMMYFUNCTION("""COMPUTED_VALUE"""),44662.52916666667)</f>
        <v>44662.52917</v>
      </c>
      <c r="D3954" s="13">
        <f t="shared" si="1"/>
        <v>11</v>
      </c>
      <c r="E3954" s="13">
        <f t="shared" si="2"/>
        <v>12</v>
      </c>
    </row>
    <row r="3955">
      <c r="A3955" s="4" t="s">
        <v>4422</v>
      </c>
      <c r="B3955" s="16"/>
      <c r="C3955" s="12">
        <f>IFERROR(__xludf.DUMMYFUNCTION("""COMPUTED_VALUE"""),44662.52910879629)</f>
        <v>44662.52911</v>
      </c>
      <c r="D3955" s="13">
        <f t="shared" si="1"/>
        <v>11</v>
      </c>
      <c r="E3955" s="13">
        <f t="shared" si="2"/>
        <v>12</v>
      </c>
    </row>
    <row r="3956">
      <c r="A3956" s="4" t="s">
        <v>4423</v>
      </c>
      <c r="B3956" s="4" t="s">
        <v>1455</v>
      </c>
      <c r="C3956" s="12">
        <f>IFERROR(__xludf.DUMMYFUNCTION("""COMPUTED_VALUE"""),44662.529085648144)</f>
        <v>44662.52909</v>
      </c>
      <c r="D3956" s="13">
        <f t="shared" si="1"/>
        <v>11</v>
      </c>
      <c r="E3956" s="13">
        <f t="shared" si="2"/>
        <v>12</v>
      </c>
    </row>
    <row r="3957">
      <c r="A3957" s="4" t="s">
        <v>4424</v>
      </c>
      <c r="B3957" s="4" t="s">
        <v>4406</v>
      </c>
      <c r="C3957" s="12">
        <f>IFERROR(__xludf.DUMMYFUNCTION("""COMPUTED_VALUE"""),44662.529074074075)</f>
        <v>44662.52907</v>
      </c>
      <c r="D3957" s="13">
        <f t="shared" si="1"/>
        <v>11</v>
      </c>
      <c r="E3957" s="13">
        <f t="shared" si="2"/>
        <v>12</v>
      </c>
    </row>
    <row r="3958">
      <c r="A3958" s="4" t="s">
        <v>4425</v>
      </c>
      <c r="B3958" s="4" t="s">
        <v>4426</v>
      </c>
      <c r="C3958" s="12">
        <f>IFERROR(__xludf.DUMMYFUNCTION("""COMPUTED_VALUE"""),44662.52898148148)</f>
        <v>44662.52898</v>
      </c>
      <c r="D3958" s="13">
        <f t="shared" si="1"/>
        <v>11</v>
      </c>
      <c r="E3958" s="13">
        <f t="shared" si="2"/>
        <v>12</v>
      </c>
    </row>
    <row r="3959">
      <c r="A3959" s="4" t="s">
        <v>4427</v>
      </c>
      <c r="B3959" s="4" t="s">
        <v>2703</v>
      </c>
      <c r="C3959" s="12">
        <f>IFERROR(__xludf.DUMMYFUNCTION("""COMPUTED_VALUE"""),44662.528923611106)</f>
        <v>44662.52892</v>
      </c>
      <c r="D3959" s="13">
        <f t="shared" si="1"/>
        <v>11</v>
      </c>
      <c r="E3959" s="13">
        <f t="shared" si="2"/>
        <v>12</v>
      </c>
    </row>
    <row r="3960">
      <c r="A3960" s="4" t="s">
        <v>4428</v>
      </c>
      <c r="B3960" s="4" t="s">
        <v>4411</v>
      </c>
      <c r="C3960" s="12">
        <f>IFERROR(__xludf.DUMMYFUNCTION("""COMPUTED_VALUE"""),44662.52888888889)</f>
        <v>44662.52889</v>
      </c>
      <c r="D3960" s="13">
        <f t="shared" si="1"/>
        <v>11</v>
      </c>
      <c r="E3960" s="13">
        <f t="shared" si="2"/>
        <v>12</v>
      </c>
    </row>
    <row r="3961">
      <c r="A3961" s="4" t="s">
        <v>4429</v>
      </c>
      <c r="B3961" s="4" t="s">
        <v>4409</v>
      </c>
      <c r="C3961" s="12">
        <f>IFERROR(__xludf.DUMMYFUNCTION("""COMPUTED_VALUE"""),44662.52878472222)</f>
        <v>44662.52878</v>
      </c>
      <c r="D3961" s="13">
        <f t="shared" si="1"/>
        <v>11</v>
      </c>
      <c r="E3961" s="13">
        <f t="shared" si="2"/>
        <v>12</v>
      </c>
    </row>
    <row r="3962">
      <c r="A3962" s="4" t="s">
        <v>4430</v>
      </c>
      <c r="B3962" s="4" t="s">
        <v>4409</v>
      </c>
      <c r="C3962" s="12">
        <f>IFERROR(__xludf.DUMMYFUNCTION("""COMPUTED_VALUE"""),44662.52873842592)</f>
        <v>44662.52874</v>
      </c>
      <c r="D3962" s="13">
        <f t="shared" si="1"/>
        <v>11</v>
      </c>
      <c r="E3962" s="13">
        <f t="shared" si="2"/>
        <v>12</v>
      </c>
    </row>
    <row r="3963">
      <c r="A3963" s="4" t="s">
        <v>4431</v>
      </c>
      <c r="B3963" s="4" t="s">
        <v>4406</v>
      </c>
      <c r="C3963" s="12">
        <f>IFERROR(__xludf.DUMMYFUNCTION("""COMPUTED_VALUE"""),44662.528657407405)</f>
        <v>44662.52866</v>
      </c>
      <c r="D3963" s="13">
        <f t="shared" si="1"/>
        <v>11</v>
      </c>
      <c r="E3963" s="13">
        <f t="shared" si="2"/>
        <v>12</v>
      </c>
    </row>
    <row r="3964">
      <c r="A3964" s="4" t="s">
        <v>4432</v>
      </c>
      <c r="B3964" s="4" t="s">
        <v>4406</v>
      </c>
      <c r="C3964" s="12">
        <f>IFERROR(__xludf.DUMMYFUNCTION("""COMPUTED_VALUE"""),44662.528611111105)</f>
        <v>44662.52861</v>
      </c>
      <c r="D3964" s="13">
        <f t="shared" si="1"/>
        <v>11</v>
      </c>
      <c r="E3964" s="13">
        <f t="shared" si="2"/>
        <v>12</v>
      </c>
    </row>
    <row r="3965">
      <c r="A3965" s="4" t="s">
        <v>4433</v>
      </c>
      <c r="B3965" s="4" t="s">
        <v>4406</v>
      </c>
      <c r="C3965" s="12">
        <f>IFERROR(__xludf.DUMMYFUNCTION("""COMPUTED_VALUE"""),44662.5284837963)</f>
        <v>44662.52848</v>
      </c>
      <c r="D3965" s="13">
        <f t="shared" si="1"/>
        <v>11</v>
      </c>
      <c r="E3965" s="13">
        <f t="shared" si="2"/>
        <v>12</v>
      </c>
    </row>
    <row r="3966">
      <c r="A3966" s="4" t="s">
        <v>4434</v>
      </c>
      <c r="B3966" s="4" t="s">
        <v>4406</v>
      </c>
      <c r="C3966" s="12">
        <f>IFERROR(__xludf.DUMMYFUNCTION("""COMPUTED_VALUE"""),44662.528449074074)</f>
        <v>44662.52845</v>
      </c>
      <c r="D3966" s="13">
        <f t="shared" si="1"/>
        <v>11</v>
      </c>
      <c r="E3966" s="13">
        <f t="shared" si="2"/>
        <v>12</v>
      </c>
    </row>
    <row r="3967">
      <c r="A3967" s="4" t="s">
        <v>4435</v>
      </c>
      <c r="B3967" s="4" t="s">
        <v>4409</v>
      </c>
      <c r="C3967" s="12">
        <f>IFERROR(__xludf.DUMMYFUNCTION("""COMPUTED_VALUE"""),44662.52837962963)</f>
        <v>44662.52838</v>
      </c>
      <c r="D3967" s="13">
        <f t="shared" si="1"/>
        <v>11</v>
      </c>
      <c r="E3967" s="13">
        <f t="shared" si="2"/>
        <v>12</v>
      </c>
    </row>
    <row r="3968">
      <c r="A3968" s="4" t="s">
        <v>4436</v>
      </c>
      <c r="B3968" s="4" t="s">
        <v>4409</v>
      </c>
      <c r="C3968" s="12">
        <f>IFERROR(__xludf.DUMMYFUNCTION("""COMPUTED_VALUE"""),44662.52835648148)</f>
        <v>44662.52836</v>
      </c>
      <c r="D3968" s="13">
        <f t="shared" si="1"/>
        <v>11</v>
      </c>
      <c r="E3968" s="13">
        <f t="shared" si="2"/>
        <v>12</v>
      </c>
    </row>
    <row r="3969">
      <c r="A3969" s="4" t="s">
        <v>4437</v>
      </c>
      <c r="B3969" s="4" t="s">
        <v>4409</v>
      </c>
      <c r="C3969" s="12">
        <f>IFERROR(__xludf.DUMMYFUNCTION("""COMPUTED_VALUE"""),44662.528298611105)</f>
        <v>44662.5283</v>
      </c>
      <c r="D3969" s="13">
        <f t="shared" si="1"/>
        <v>11</v>
      </c>
      <c r="E3969" s="13">
        <f t="shared" si="2"/>
        <v>12</v>
      </c>
    </row>
    <row r="3970">
      <c r="A3970" s="4" t="s">
        <v>4438</v>
      </c>
      <c r="B3970" s="4" t="s">
        <v>4406</v>
      </c>
      <c r="C3970" s="12">
        <f>IFERROR(__xludf.DUMMYFUNCTION("""COMPUTED_VALUE"""),44662.52826388889)</f>
        <v>44662.52826</v>
      </c>
      <c r="D3970" s="13">
        <f t="shared" si="1"/>
        <v>11</v>
      </c>
      <c r="E3970" s="13">
        <f t="shared" si="2"/>
        <v>12</v>
      </c>
    </row>
    <row r="3971">
      <c r="A3971" s="4" t="s">
        <v>4439</v>
      </c>
      <c r="B3971" s="4" t="s">
        <v>4406</v>
      </c>
      <c r="C3971" s="12">
        <f>IFERROR(__xludf.DUMMYFUNCTION("""COMPUTED_VALUE"""),44662.528229166666)</f>
        <v>44662.52823</v>
      </c>
      <c r="D3971" s="13">
        <f t="shared" si="1"/>
        <v>11</v>
      </c>
      <c r="E3971" s="13">
        <f t="shared" si="2"/>
        <v>12</v>
      </c>
    </row>
    <row r="3972">
      <c r="A3972" s="4" t="s">
        <v>4440</v>
      </c>
      <c r="B3972" s="16"/>
      <c r="C3972" s="12">
        <f>IFERROR(__xludf.DUMMYFUNCTION("""COMPUTED_VALUE"""),44662.52821759259)</f>
        <v>44662.52822</v>
      </c>
      <c r="D3972" s="13">
        <f t="shared" si="1"/>
        <v>11</v>
      </c>
      <c r="E3972" s="13">
        <f t="shared" si="2"/>
        <v>12</v>
      </c>
    </row>
    <row r="3973">
      <c r="A3973" s="4" t="s">
        <v>4441</v>
      </c>
      <c r="B3973" s="4" t="s">
        <v>4411</v>
      </c>
      <c r="C3973" s="12">
        <f>IFERROR(__xludf.DUMMYFUNCTION("""COMPUTED_VALUE"""),44662.528136574074)</f>
        <v>44662.52814</v>
      </c>
      <c r="D3973" s="13">
        <f t="shared" si="1"/>
        <v>11</v>
      </c>
      <c r="E3973" s="13">
        <f t="shared" si="2"/>
        <v>12</v>
      </c>
    </row>
    <row r="3974">
      <c r="A3974" s="4" t="s">
        <v>4442</v>
      </c>
      <c r="B3974" s="16"/>
      <c r="C3974" s="12">
        <f>IFERROR(__xludf.DUMMYFUNCTION("""COMPUTED_VALUE"""),44662.52805555555)</f>
        <v>44662.52806</v>
      </c>
      <c r="D3974" s="13">
        <f t="shared" si="1"/>
        <v>11</v>
      </c>
      <c r="E3974" s="13">
        <f t="shared" si="2"/>
        <v>12</v>
      </c>
    </row>
    <row r="3975">
      <c r="A3975" s="4" t="s">
        <v>4443</v>
      </c>
      <c r="B3975" s="4" t="s">
        <v>4409</v>
      </c>
      <c r="C3975" s="12">
        <f>IFERROR(__xludf.DUMMYFUNCTION("""COMPUTED_VALUE"""),44662.527916666666)</f>
        <v>44662.52792</v>
      </c>
      <c r="D3975" s="13">
        <f t="shared" si="1"/>
        <v>11</v>
      </c>
      <c r="E3975" s="13">
        <f t="shared" si="2"/>
        <v>12</v>
      </c>
    </row>
    <row r="3976">
      <c r="A3976" s="4" t="s">
        <v>4444</v>
      </c>
      <c r="B3976" s="16"/>
      <c r="C3976" s="12">
        <f>IFERROR(__xludf.DUMMYFUNCTION("""COMPUTED_VALUE"""),44662.52788194444)</f>
        <v>44662.52788</v>
      </c>
      <c r="D3976" s="13">
        <f t="shared" si="1"/>
        <v>11</v>
      </c>
      <c r="E3976" s="13">
        <f t="shared" si="2"/>
        <v>12</v>
      </c>
    </row>
    <row r="3977">
      <c r="A3977" s="4" t="s">
        <v>4445</v>
      </c>
      <c r="B3977" s="4" t="s">
        <v>4406</v>
      </c>
      <c r="C3977" s="12">
        <f>IFERROR(__xludf.DUMMYFUNCTION("""COMPUTED_VALUE"""),44662.5278587963)</f>
        <v>44662.52786</v>
      </c>
      <c r="D3977" s="13">
        <f t="shared" si="1"/>
        <v>11</v>
      </c>
      <c r="E3977" s="13">
        <f t="shared" si="2"/>
        <v>12</v>
      </c>
    </row>
    <row r="3978">
      <c r="A3978" s="4" t="s">
        <v>4446</v>
      </c>
      <c r="B3978" s="4" t="s">
        <v>4406</v>
      </c>
      <c r="C3978" s="12">
        <f>IFERROR(__xludf.DUMMYFUNCTION("""COMPUTED_VALUE"""),44662.52782407407)</f>
        <v>44662.52782</v>
      </c>
      <c r="D3978" s="13">
        <f t="shared" si="1"/>
        <v>11</v>
      </c>
      <c r="E3978" s="13">
        <f t="shared" si="2"/>
        <v>12</v>
      </c>
    </row>
    <row r="3979">
      <c r="A3979" s="4" t="s">
        <v>4447</v>
      </c>
      <c r="B3979" s="4" t="s">
        <v>4411</v>
      </c>
      <c r="C3979" s="12">
        <f>IFERROR(__xludf.DUMMYFUNCTION("""COMPUTED_VALUE"""),44662.52762731481)</f>
        <v>44662.52763</v>
      </c>
      <c r="D3979" s="13">
        <f t="shared" si="1"/>
        <v>11</v>
      </c>
      <c r="E3979" s="13">
        <f t="shared" si="2"/>
        <v>12</v>
      </c>
    </row>
    <row r="3980">
      <c r="A3980" s="4" t="s">
        <v>4448</v>
      </c>
      <c r="B3980" s="4" t="s">
        <v>4406</v>
      </c>
      <c r="C3980" s="12">
        <f>IFERROR(__xludf.DUMMYFUNCTION("""COMPUTED_VALUE"""),44662.52759259259)</f>
        <v>44662.52759</v>
      </c>
      <c r="D3980" s="13">
        <f t="shared" si="1"/>
        <v>11</v>
      </c>
      <c r="E3980" s="13">
        <f t="shared" si="2"/>
        <v>12</v>
      </c>
    </row>
    <row r="3981">
      <c r="A3981" s="4" t="s">
        <v>4449</v>
      </c>
      <c r="B3981" s="4" t="s">
        <v>4411</v>
      </c>
      <c r="C3981" s="12">
        <f>IFERROR(__xludf.DUMMYFUNCTION("""COMPUTED_VALUE"""),44662.527233796296)</f>
        <v>44662.52723</v>
      </c>
      <c r="D3981" s="13">
        <f t="shared" si="1"/>
        <v>11</v>
      </c>
      <c r="E3981" s="13">
        <f t="shared" si="2"/>
        <v>12</v>
      </c>
    </row>
    <row r="3982">
      <c r="A3982" s="4" t="s">
        <v>4450</v>
      </c>
      <c r="B3982" s="4" t="s">
        <v>4271</v>
      </c>
      <c r="C3982" s="12">
        <f>IFERROR(__xludf.DUMMYFUNCTION("""COMPUTED_VALUE"""),44662.52715277777)</f>
        <v>44662.52715</v>
      </c>
      <c r="D3982" s="13">
        <f t="shared" si="1"/>
        <v>11</v>
      </c>
      <c r="E3982" s="13">
        <f t="shared" si="2"/>
        <v>12</v>
      </c>
    </row>
    <row r="3983">
      <c r="A3983" s="4" t="s">
        <v>4451</v>
      </c>
      <c r="B3983" s="4" t="s">
        <v>4411</v>
      </c>
      <c r="C3983" s="12">
        <f>IFERROR(__xludf.DUMMYFUNCTION("""COMPUTED_VALUE"""),44662.527141203704)</f>
        <v>44662.52714</v>
      </c>
      <c r="D3983" s="13">
        <f t="shared" si="1"/>
        <v>11</v>
      </c>
      <c r="E3983" s="13">
        <f t="shared" si="2"/>
        <v>12</v>
      </c>
    </row>
    <row r="3984">
      <c r="A3984" s="4" t="s">
        <v>4452</v>
      </c>
      <c r="B3984" s="4" t="s">
        <v>4411</v>
      </c>
      <c r="C3984" s="12">
        <f>IFERROR(__xludf.DUMMYFUNCTION("""COMPUTED_VALUE"""),44662.52711805555)</f>
        <v>44662.52712</v>
      </c>
      <c r="D3984" s="13">
        <f t="shared" si="1"/>
        <v>11</v>
      </c>
      <c r="E3984" s="13">
        <f t="shared" si="2"/>
        <v>12</v>
      </c>
    </row>
    <row r="3985">
      <c r="A3985" s="4" t="s">
        <v>4453</v>
      </c>
      <c r="B3985" s="16"/>
      <c r="C3985" s="12">
        <f>IFERROR(__xludf.DUMMYFUNCTION("""COMPUTED_VALUE"""),44662.5268287037)</f>
        <v>44662.52683</v>
      </c>
      <c r="D3985" s="13">
        <f t="shared" si="1"/>
        <v>11</v>
      </c>
      <c r="E3985" s="13">
        <f t="shared" si="2"/>
        <v>12</v>
      </c>
    </row>
    <row r="3986">
      <c r="A3986" s="4" t="s">
        <v>4454</v>
      </c>
      <c r="B3986" s="16"/>
      <c r="C3986" s="12">
        <f>IFERROR(__xludf.DUMMYFUNCTION("""COMPUTED_VALUE"""),44662.526608796295)</f>
        <v>44662.52661</v>
      </c>
      <c r="D3986" s="13">
        <f t="shared" si="1"/>
        <v>11</v>
      </c>
      <c r="E3986" s="13">
        <f t="shared" si="2"/>
        <v>12</v>
      </c>
    </row>
    <row r="3987">
      <c r="A3987" s="4" t="s">
        <v>4455</v>
      </c>
      <c r="B3987" s="16"/>
      <c r="C3987" s="12">
        <f>IFERROR(__xludf.DUMMYFUNCTION("""COMPUTED_VALUE"""),44662.526354166665)</f>
        <v>44662.52635</v>
      </c>
      <c r="D3987" s="13">
        <f t="shared" si="1"/>
        <v>11</v>
      </c>
      <c r="E3987" s="13">
        <f t="shared" si="2"/>
        <v>12</v>
      </c>
    </row>
    <row r="3988">
      <c r="A3988" s="4" t="s">
        <v>4456</v>
      </c>
      <c r="B3988" s="16"/>
      <c r="C3988" s="12">
        <f>IFERROR(__xludf.DUMMYFUNCTION("""COMPUTED_VALUE"""),44662.52634259259)</f>
        <v>44662.52634</v>
      </c>
      <c r="D3988" s="13">
        <f t="shared" si="1"/>
        <v>11</v>
      </c>
      <c r="E3988" s="13">
        <f t="shared" si="2"/>
        <v>12</v>
      </c>
    </row>
    <row r="3989">
      <c r="A3989" s="4" t="s">
        <v>4457</v>
      </c>
      <c r="B3989" s="16"/>
      <c r="C3989" s="12">
        <f>IFERROR(__xludf.DUMMYFUNCTION("""COMPUTED_VALUE"""),44662.52631944444)</f>
        <v>44662.52632</v>
      </c>
      <c r="D3989" s="13">
        <f t="shared" si="1"/>
        <v>11</v>
      </c>
      <c r="E3989" s="13">
        <f t="shared" si="2"/>
        <v>12</v>
      </c>
    </row>
    <row r="3990">
      <c r="A3990" s="4" t="s">
        <v>4458</v>
      </c>
      <c r="B3990" s="16"/>
      <c r="C3990" s="12">
        <f>IFERROR(__xludf.DUMMYFUNCTION("""COMPUTED_VALUE"""),44662.526307870365)</f>
        <v>44662.52631</v>
      </c>
      <c r="D3990" s="13">
        <f t="shared" si="1"/>
        <v>11</v>
      </c>
      <c r="E3990" s="13">
        <f t="shared" si="2"/>
        <v>12</v>
      </c>
    </row>
    <row r="3991">
      <c r="A3991" s="4" t="s">
        <v>4458</v>
      </c>
      <c r="B3991" s="4" t="s">
        <v>4411</v>
      </c>
      <c r="C3991" s="12">
        <f>IFERROR(__xludf.DUMMYFUNCTION("""COMPUTED_VALUE"""),44662.526307870365)</f>
        <v>44662.52631</v>
      </c>
      <c r="D3991" s="13">
        <f t="shared" si="1"/>
        <v>11</v>
      </c>
      <c r="E3991" s="13">
        <f t="shared" si="2"/>
        <v>12</v>
      </c>
    </row>
    <row r="3992">
      <c r="A3992" s="4" t="s">
        <v>4459</v>
      </c>
      <c r="B3992" s="16"/>
      <c r="C3992" s="12">
        <f>IFERROR(__xludf.DUMMYFUNCTION("""COMPUTED_VALUE"""),44662.5262037037)</f>
        <v>44662.5262</v>
      </c>
      <c r="D3992" s="13">
        <f t="shared" si="1"/>
        <v>11</v>
      </c>
      <c r="E3992" s="13">
        <f t="shared" si="2"/>
        <v>12</v>
      </c>
    </row>
    <row r="3993">
      <c r="A3993" s="4" t="s">
        <v>4460</v>
      </c>
      <c r="B3993" s="4" t="s">
        <v>2710</v>
      </c>
      <c r="C3993" s="12">
        <f>IFERROR(__xludf.DUMMYFUNCTION("""COMPUTED_VALUE"""),44662.526192129626)</f>
        <v>44662.52619</v>
      </c>
      <c r="D3993" s="13">
        <f t="shared" si="1"/>
        <v>11</v>
      </c>
      <c r="E3993" s="13">
        <f t="shared" si="2"/>
        <v>12</v>
      </c>
    </row>
    <row r="3994">
      <c r="A3994" s="4" t="s">
        <v>4461</v>
      </c>
      <c r="B3994" s="4" t="s">
        <v>4462</v>
      </c>
      <c r="C3994" s="12">
        <f>IFERROR(__xludf.DUMMYFUNCTION("""COMPUTED_VALUE"""),44662.52612268518)</f>
        <v>44662.52612</v>
      </c>
      <c r="D3994" s="13">
        <f t="shared" si="1"/>
        <v>11</v>
      </c>
      <c r="E3994" s="13">
        <f t="shared" si="2"/>
        <v>12</v>
      </c>
    </row>
    <row r="3995">
      <c r="A3995" s="4" t="s">
        <v>4463</v>
      </c>
      <c r="B3995" s="16"/>
      <c r="C3995" s="12">
        <f>IFERROR(__xludf.DUMMYFUNCTION("""COMPUTED_VALUE"""),44662.526087962964)</f>
        <v>44662.52609</v>
      </c>
      <c r="D3995" s="13">
        <f t="shared" si="1"/>
        <v>11</v>
      </c>
      <c r="E3995" s="13">
        <f t="shared" si="2"/>
        <v>12</v>
      </c>
    </row>
    <row r="3996">
      <c r="A3996" s="4" t="s">
        <v>4464</v>
      </c>
      <c r="B3996" s="4" t="s">
        <v>4465</v>
      </c>
      <c r="C3996" s="12">
        <f>IFERROR(__xludf.DUMMYFUNCTION("""COMPUTED_VALUE"""),44662.52607638889)</f>
        <v>44662.52608</v>
      </c>
      <c r="D3996" s="13">
        <f t="shared" si="1"/>
        <v>11</v>
      </c>
      <c r="E3996" s="13">
        <f t="shared" si="2"/>
        <v>12</v>
      </c>
    </row>
    <row r="3997">
      <c r="A3997" s="4" t="s">
        <v>4466</v>
      </c>
      <c r="B3997" s="4" t="s">
        <v>3678</v>
      </c>
      <c r="C3997" s="12">
        <f>IFERROR(__xludf.DUMMYFUNCTION("""COMPUTED_VALUE"""),44662.52603009259)</f>
        <v>44662.52603</v>
      </c>
      <c r="D3997" s="13">
        <f t="shared" si="1"/>
        <v>11</v>
      </c>
      <c r="E3997" s="13">
        <f t="shared" si="2"/>
        <v>12</v>
      </c>
    </row>
    <row r="3998">
      <c r="A3998" s="4" t="s">
        <v>4467</v>
      </c>
      <c r="B3998" s="4" t="s">
        <v>4271</v>
      </c>
      <c r="C3998" s="12">
        <f>IFERROR(__xludf.DUMMYFUNCTION("""COMPUTED_VALUE"""),44662.52601851852)</f>
        <v>44662.52602</v>
      </c>
      <c r="D3998" s="13">
        <f t="shared" si="1"/>
        <v>11</v>
      </c>
      <c r="E3998" s="13">
        <f t="shared" si="2"/>
        <v>12</v>
      </c>
    </row>
    <row r="3999">
      <c r="A3999" s="4" t="s">
        <v>4468</v>
      </c>
      <c r="B3999" s="4" t="s">
        <v>3678</v>
      </c>
      <c r="C3999" s="12">
        <f>IFERROR(__xludf.DUMMYFUNCTION("""COMPUTED_VALUE"""),44662.52600694444)</f>
        <v>44662.52601</v>
      </c>
      <c r="D3999" s="13">
        <f t="shared" si="1"/>
        <v>11</v>
      </c>
      <c r="E3999" s="13">
        <f t="shared" si="2"/>
        <v>12</v>
      </c>
    </row>
    <row r="4000">
      <c r="A4000" s="4" t="s">
        <v>4469</v>
      </c>
      <c r="B4000" s="4" t="s">
        <v>2710</v>
      </c>
      <c r="C4000" s="12">
        <f>IFERROR(__xludf.DUMMYFUNCTION("""COMPUTED_VALUE"""),44662.525995370364)</f>
        <v>44662.526</v>
      </c>
      <c r="D4000" s="13">
        <f t="shared" si="1"/>
        <v>11</v>
      </c>
      <c r="E4000" s="13">
        <f t="shared" si="2"/>
        <v>12</v>
      </c>
    </row>
    <row r="4001">
      <c r="A4001" s="4" t="s">
        <v>4470</v>
      </c>
      <c r="B4001" s="4" t="s">
        <v>4411</v>
      </c>
      <c r="C4001" s="12">
        <f>IFERROR(__xludf.DUMMYFUNCTION("""COMPUTED_VALUE"""),44662.525983796295)</f>
        <v>44662.52598</v>
      </c>
      <c r="D4001" s="13">
        <f t="shared" si="1"/>
        <v>11</v>
      </c>
      <c r="E4001" s="13">
        <f t="shared" si="2"/>
        <v>12</v>
      </c>
    </row>
    <row r="4002">
      <c r="A4002" s="4" t="s">
        <v>4471</v>
      </c>
      <c r="B4002" s="4" t="s">
        <v>3678</v>
      </c>
      <c r="C4002" s="12">
        <f>IFERROR(__xludf.DUMMYFUNCTION("""COMPUTED_VALUE"""),44662.52596064815)</f>
        <v>44662.52596</v>
      </c>
      <c r="D4002" s="13">
        <f t="shared" si="1"/>
        <v>11</v>
      </c>
      <c r="E4002" s="13">
        <f t="shared" si="2"/>
        <v>12</v>
      </c>
    </row>
    <row r="4003">
      <c r="A4003" s="4" t="s">
        <v>4472</v>
      </c>
      <c r="B4003" s="16"/>
      <c r="C4003" s="12">
        <f>IFERROR(__xludf.DUMMYFUNCTION("""COMPUTED_VALUE"""),44662.5258912037)</f>
        <v>44662.52589</v>
      </c>
      <c r="D4003" s="13">
        <f t="shared" si="1"/>
        <v>11</v>
      </c>
      <c r="E4003" s="13">
        <f t="shared" si="2"/>
        <v>12</v>
      </c>
    </row>
    <row r="4004">
      <c r="A4004" s="4" t="s">
        <v>4473</v>
      </c>
      <c r="B4004" s="16"/>
      <c r="C4004" s="12">
        <f>IFERROR(__xludf.DUMMYFUNCTION("""COMPUTED_VALUE"""),44662.525868055556)</f>
        <v>44662.52587</v>
      </c>
      <c r="D4004" s="13">
        <f t="shared" si="1"/>
        <v>11</v>
      </c>
      <c r="E4004" s="13">
        <f t="shared" si="2"/>
        <v>12</v>
      </c>
    </row>
    <row r="4005">
      <c r="A4005" s="4" t="s">
        <v>4474</v>
      </c>
      <c r="B4005" s="16"/>
      <c r="C4005" s="12">
        <f>IFERROR(__xludf.DUMMYFUNCTION("""COMPUTED_VALUE"""),44662.52585648148)</f>
        <v>44662.52586</v>
      </c>
      <c r="D4005" s="13">
        <f t="shared" si="1"/>
        <v>11</v>
      </c>
      <c r="E4005" s="13">
        <f t="shared" si="2"/>
        <v>12</v>
      </c>
    </row>
    <row r="4006">
      <c r="A4006" s="4" t="s">
        <v>4475</v>
      </c>
      <c r="B4006" s="16"/>
      <c r="C4006" s="12">
        <f>IFERROR(__xludf.DUMMYFUNCTION("""COMPUTED_VALUE"""),44662.52583333333)</f>
        <v>44662.52583</v>
      </c>
      <c r="D4006" s="13">
        <f t="shared" si="1"/>
        <v>11</v>
      </c>
      <c r="E4006" s="13">
        <f t="shared" si="2"/>
        <v>12</v>
      </c>
    </row>
    <row r="4007">
      <c r="A4007" s="4" t="s">
        <v>4475</v>
      </c>
      <c r="B4007" s="4" t="s">
        <v>2298</v>
      </c>
      <c r="C4007" s="12">
        <f>IFERROR(__xludf.DUMMYFUNCTION("""COMPUTED_VALUE"""),44662.52583333333)</f>
        <v>44662.52583</v>
      </c>
      <c r="D4007" s="13">
        <f t="shared" si="1"/>
        <v>11</v>
      </c>
      <c r="E4007" s="13">
        <f t="shared" si="2"/>
        <v>12</v>
      </c>
    </row>
    <row r="4008">
      <c r="A4008" s="4" t="s">
        <v>4476</v>
      </c>
      <c r="B4008" s="4" t="s">
        <v>3742</v>
      </c>
      <c r="C4008" s="12">
        <f>IFERROR(__xludf.DUMMYFUNCTION("""COMPUTED_VALUE"""),44662.525821759256)</f>
        <v>44662.52582</v>
      </c>
      <c r="D4008" s="13">
        <f t="shared" si="1"/>
        <v>11</v>
      </c>
      <c r="E4008" s="13">
        <f t="shared" si="2"/>
        <v>12</v>
      </c>
    </row>
    <row r="4009">
      <c r="A4009" s="4" t="s">
        <v>4477</v>
      </c>
      <c r="B4009" s="4" t="s">
        <v>2298</v>
      </c>
      <c r="C4009" s="12">
        <f>IFERROR(__xludf.DUMMYFUNCTION("""COMPUTED_VALUE"""),44662.52581018518)</f>
        <v>44662.52581</v>
      </c>
      <c r="D4009" s="13">
        <f t="shared" si="1"/>
        <v>11</v>
      </c>
      <c r="E4009" s="13">
        <f t="shared" si="2"/>
        <v>12</v>
      </c>
    </row>
    <row r="4010">
      <c r="A4010" s="4" t="s">
        <v>4477</v>
      </c>
      <c r="B4010" s="16"/>
      <c r="C4010" s="12">
        <f>IFERROR(__xludf.DUMMYFUNCTION("""COMPUTED_VALUE"""),44662.52581018518)</f>
        <v>44662.52581</v>
      </c>
      <c r="D4010" s="13">
        <f t="shared" si="1"/>
        <v>11</v>
      </c>
      <c r="E4010" s="13">
        <f t="shared" si="2"/>
        <v>12</v>
      </c>
    </row>
    <row r="4011">
      <c r="A4011" s="4" t="s">
        <v>4478</v>
      </c>
      <c r="B4011" s="4" t="s">
        <v>4462</v>
      </c>
      <c r="C4011" s="12">
        <f>IFERROR(__xludf.DUMMYFUNCTION("""COMPUTED_VALUE"""),44662.525775462964)</f>
        <v>44662.52578</v>
      </c>
      <c r="D4011" s="13">
        <f t="shared" si="1"/>
        <v>11</v>
      </c>
      <c r="E4011" s="13">
        <f t="shared" si="2"/>
        <v>12</v>
      </c>
    </row>
    <row r="4012">
      <c r="A4012" s="4" t="s">
        <v>4479</v>
      </c>
      <c r="B4012" s="16"/>
      <c r="C4012" s="12">
        <f>IFERROR(__xludf.DUMMYFUNCTION("""COMPUTED_VALUE"""),44662.52575231481)</f>
        <v>44662.52575</v>
      </c>
      <c r="D4012" s="13">
        <f t="shared" si="1"/>
        <v>11</v>
      </c>
      <c r="E4012" s="13">
        <f t="shared" si="2"/>
        <v>12</v>
      </c>
    </row>
    <row r="4013">
      <c r="A4013" s="4" t="s">
        <v>4479</v>
      </c>
      <c r="B4013" s="4" t="s">
        <v>4462</v>
      </c>
      <c r="C4013" s="12">
        <f>IFERROR(__xludf.DUMMYFUNCTION("""COMPUTED_VALUE"""),44662.52575231481)</f>
        <v>44662.52575</v>
      </c>
      <c r="D4013" s="13">
        <f t="shared" si="1"/>
        <v>11</v>
      </c>
      <c r="E4013" s="13">
        <f t="shared" si="2"/>
        <v>12</v>
      </c>
    </row>
    <row r="4014">
      <c r="A4014" s="4" t="s">
        <v>4480</v>
      </c>
      <c r="B4014" s="4" t="s">
        <v>3742</v>
      </c>
      <c r="C4014" s="12">
        <f>IFERROR(__xludf.DUMMYFUNCTION("""COMPUTED_VALUE"""),44662.525729166664)</f>
        <v>44662.52573</v>
      </c>
      <c r="D4014" s="13">
        <f t="shared" si="1"/>
        <v>11</v>
      </c>
      <c r="E4014" s="13">
        <f t="shared" si="2"/>
        <v>12</v>
      </c>
    </row>
    <row r="4015">
      <c r="A4015" s="4" t="s">
        <v>4480</v>
      </c>
      <c r="B4015" s="4" t="s">
        <v>4271</v>
      </c>
      <c r="C4015" s="12">
        <f>IFERROR(__xludf.DUMMYFUNCTION("""COMPUTED_VALUE"""),44662.525729166664)</f>
        <v>44662.52573</v>
      </c>
      <c r="D4015" s="13">
        <f t="shared" si="1"/>
        <v>11</v>
      </c>
      <c r="E4015" s="13">
        <f t="shared" si="2"/>
        <v>12</v>
      </c>
    </row>
    <row r="4016">
      <c r="A4016" s="4" t="s">
        <v>4481</v>
      </c>
      <c r="B4016" s="16"/>
      <c r="C4016" s="12">
        <f>IFERROR(__xludf.DUMMYFUNCTION("""COMPUTED_VALUE"""),44662.52568287037)</f>
        <v>44662.52568</v>
      </c>
      <c r="D4016" s="13">
        <f t="shared" si="1"/>
        <v>11</v>
      </c>
      <c r="E4016" s="13">
        <f t="shared" si="2"/>
        <v>12</v>
      </c>
    </row>
    <row r="4017">
      <c r="A4017" s="4" t="s">
        <v>4481</v>
      </c>
      <c r="B4017" s="16"/>
      <c r="C4017" s="12">
        <f>IFERROR(__xludf.DUMMYFUNCTION("""COMPUTED_VALUE"""),44662.52568287037)</f>
        <v>44662.52568</v>
      </c>
      <c r="D4017" s="13">
        <f t="shared" si="1"/>
        <v>11</v>
      </c>
      <c r="E4017" s="13">
        <f t="shared" si="2"/>
        <v>12</v>
      </c>
    </row>
    <row r="4018">
      <c r="A4018" s="4" t="s">
        <v>4482</v>
      </c>
      <c r="B4018" s="16"/>
      <c r="C4018" s="12">
        <f>IFERROR(__xludf.DUMMYFUNCTION("""COMPUTED_VALUE"""),44662.52564814815)</f>
        <v>44662.52565</v>
      </c>
      <c r="D4018" s="13">
        <f t="shared" si="1"/>
        <v>11</v>
      </c>
      <c r="E4018" s="13">
        <f t="shared" si="2"/>
        <v>12</v>
      </c>
    </row>
    <row r="4019">
      <c r="A4019" s="4" t="s">
        <v>4483</v>
      </c>
      <c r="B4019" s="4" t="s">
        <v>4271</v>
      </c>
      <c r="C4019" s="12">
        <f>IFERROR(__xludf.DUMMYFUNCTION("""COMPUTED_VALUE"""),44662.52563657407)</f>
        <v>44662.52564</v>
      </c>
      <c r="D4019" s="13">
        <f t="shared" si="1"/>
        <v>11</v>
      </c>
      <c r="E4019" s="13">
        <f t="shared" si="2"/>
        <v>12</v>
      </c>
    </row>
    <row r="4020">
      <c r="A4020" s="4" t="s">
        <v>4484</v>
      </c>
      <c r="B4020" s="16"/>
      <c r="C4020" s="12">
        <f>IFERROR(__xludf.DUMMYFUNCTION("""COMPUTED_VALUE"""),44662.525613425925)</f>
        <v>44662.52561</v>
      </c>
      <c r="D4020" s="13">
        <f t="shared" si="1"/>
        <v>11</v>
      </c>
      <c r="E4020" s="13">
        <f t="shared" si="2"/>
        <v>12</v>
      </c>
    </row>
    <row r="4021">
      <c r="A4021" s="4" t="s">
        <v>4485</v>
      </c>
      <c r="B4021" s="4" t="s">
        <v>2441</v>
      </c>
      <c r="C4021" s="12">
        <f>IFERROR(__xludf.DUMMYFUNCTION("""COMPUTED_VALUE"""),44662.5255787037)</f>
        <v>44662.52558</v>
      </c>
      <c r="D4021" s="13">
        <f t="shared" si="1"/>
        <v>11</v>
      </c>
      <c r="E4021" s="13">
        <f t="shared" si="2"/>
        <v>12</v>
      </c>
    </row>
    <row r="4022">
      <c r="A4022" s="4" t="s">
        <v>4486</v>
      </c>
      <c r="B4022" s="4" t="s">
        <v>143</v>
      </c>
      <c r="C4022" s="12">
        <f>IFERROR(__xludf.DUMMYFUNCTION("""COMPUTED_VALUE"""),44662.525555555556)</f>
        <v>44662.52556</v>
      </c>
      <c r="D4022" s="13">
        <f t="shared" si="1"/>
        <v>11</v>
      </c>
      <c r="E4022" s="13">
        <f t="shared" si="2"/>
        <v>12</v>
      </c>
    </row>
    <row r="4023">
      <c r="A4023" s="4" t="s">
        <v>4487</v>
      </c>
      <c r="B4023" s="4" t="s">
        <v>143</v>
      </c>
      <c r="C4023" s="12">
        <f>IFERROR(__xludf.DUMMYFUNCTION("""COMPUTED_VALUE"""),44662.52554398148)</f>
        <v>44662.52554</v>
      </c>
      <c r="D4023" s="13">
        <f t="shared" si="1"/>
        <v>11</v>
      </c>
      <c r="E4023" s="13">
        <f t="shared" si="2"/>
        <v>12</v>
      </c>
    </row>
    <row r="4024">
      <c r="A4024" s="4" t="s">
        <v>4488</v>
      </c>
      <c r="B4024" s="4" t="s">
        <v>143</v>
      </c>
      <c r="C4024" s="12">
        <f>IFERROR(__xludf.DUMMYFUNCTION("""COMPUTED_VALUE"""),44662.52552083333)</f>
        <v>44662.52552</v>
      </c>
      <c r="D4024" s="13">
        <f t="shared" si="1"/>
        <v>11</v>
      </c>
      <c r="E4024" s="13">
        <f t="shared" si="2"/>
        <v>12</v>
      </c>
    </row>
    <row r="4025">
      <c r="A4025" s="4" t="s">
        <v>4489</v>
      </c>
      <c r="B4025" s="4" t="s">
        <v>143</v>
      </c>
      <c r="C4025" s="12">
        <f>IFERROR(__xludf.DUMMYFUNCTION("""COMPUTED_VALUE"""),44662.525509259256)</f>
        <v>44662.52551</v>
      </c>
      <c r="D4025" s="13">
        <f t="shared" si="1"/>
        <v>11</v>
      </c>
      <c r="E4025" s="13">
        <f t="shared" si="2"/>
        <v>12</v>
      </c>
    </row>
    <row r="4026">
      <c r="A4026" s="4" t="s">
        <v>4490</v>
      </c>
      <c r="B4026" s="4" t="s">
        <v>4411</v>
      </c>
      <c r="C4026" s="12">
        <f>IFERROR(__xludf.DUMMYFUNCTION("""COMPUTED_VALUE"""),44662.52548611111)</f>
        <v>44662.52549</v>
      </c>
      <c r="D4026" s="13">
        <f t="shared" si="1"/>
        <v>11</v>
      </c>
      <c r="E4026" s="13">
        <f t="shared" si="2"/>
        <v>12</v>
      </c>
    </row>
    <row r="4027">
      <c r="A4027" s="4" t="s">
        <v>4490</v>
      </c>
      <c r="B4027" s="4" t="s">
        <v>143</v>
      </c>
      <c r="C4027" s="12">
        <f>IFERROR(__xludf.DUMMYFUNCTION("""COMPUTED_VALUE"""),44662.52548611111)</f>
        <v>44662.52549</v>
      </c>
      <c r="D4027" s="13">
        <f t="shared" si="1"/>
        <v>11</v>
      </c>
      <c r="E4027" s="13">
        <f t="shared" si="2"/>
        <v>12</v>
      </c>
    </row>
    <row r="4028">
      <c r="A4028" s="4" t="s">
        <v>4491</v>
      </c>
      <c r="B4028" s="4" t="s">
        <v>4406</v>
      </c>
      <c r="C4028" s="12">
        <f>IFERROR(__xludf.DUMMYFUNCTION("""COMPUTED_VALUE"""),44662.52546296296)</f>
        <v>44662.52546</v>
      </c>
      <c r="D4028" s="13">
        <f t="shared" si="1"/>
        <v>11</v>
      </c>
      <c r="E4028" s="13">
        <f t="shared" si="2"/>
        <v>12</v>
      </c>
    </row>
    <row r="4029">
      <c r="A4029" s="4" t="s">
        <v>4492</v>
      </c>
      <c r="B4029" s="16"/>
      <c r="C4029" s="12">
        <f>IFERROR(__xludf.DUMMYFUNCTION("""COMPUTED_VALUE"""),44662.52537037037)</f>
        <v>44662.52537</v>
      </c>
      <c r="D4029" s="13">
        <f t="shared" si="1"/>
        <v>11</v>
      </c>
      <c r="E4029" s="13">
        <f t="shared" si="2"/>
        <v>12</v>
      </c>
    </row>
    <row r="4030">
      <c r="A4030" s="4" t="s">
        <v>4493</v>
      </c>
      <c r="B4030" s="4" t="s">
        <v>4494</v>
      </c>
      <c r="C4030" s="12">
        <f>IFERROR(__xludf.DUMMYFUNCTION("""COMPUTED_VALUE"""),44662.52520833333)</f>
        <v>44662.52521</v>
      </c>
      <c r="D4030" s="13">
        <f t="shared" si="1"/>
        <v>11</v>
      </c>
      <c r="E4030" s="13">
        <f t="shared" si="2"/>
        <v>12</v>
      </c>
    </row>
    <row r="4031">
      <c r="A4031" s="4" t="s">
        <v>4495</v>
      </c>
      <c r="B4031" s="4" t="s">
        <v>4496</v>
      </c>
      <c r="C4031" s="12">
        <f>IFERROR(__xludf.DUMMYFUNCTION("""COMPUTED_VALUE"""),44662.52501157407)</f>
        <v>44662.52501</v>
      </c>
      <c r="D4031" s="13">
        <f t="shared" si="1"/>
        <v>11</v>
      </c>
      <c r="E4031" s="13">
        <f t="shared" si="2"/>
        <v>12</v>
      </c>
    </row>
    <row r="4032">
      <c r="A4032" s="4" t="s">
        <v>4497</v>
      </c>
      <c r="B4032" s="16"/>
      <c r="C4032" s="12">
        <f>IFERROR(__xludf.DUMMYFUNCTION("""COMPUTED_VALUE"""),44662.524942129625)</f>
        <v>44662.52494</v>
      </c>
      <c r="D4032" s="13">
        <f t="shared" si="1"/>
        <v>11</v>
      </c>
      <c r="E4032" s="13">
        <f t="shared" si="2"/>
        <v>12</v>
      </c>
    </row>
    <row r="4033">
      <c r="A4033" s="4" t="s">
        <v>4498</v>
      </c>
      <c r="B4033" s="16"/>
      <c r="C4033" s="12">
        <f>IFERROR(__xludf.DUMMYFUNCTION("""COMPUTED_VALUE"""),44662.52491898148)</f>
        <v>44662.52492</v>
      </c>
      <c r="D4033" s="13">
        <f t="shared" si="1"/>
        <v>11</v>
      </c>
      <c r="E4033" s="13">
        <f t="shared" si="2"/>
        <v>12</v>
      </c>
    </row>
    <row r="4034">
      <c r="A4034" s="4" t="s">
        <v>4499</v>
      </c>
      <c r="B4034" s="16"/>
      <c r="C4034" s="12">
        <f>IFERROR(__xludf.DUMMYFUNCTION("""COMPUTED_VALUE"""),44662.52481481481)</f>
        <v>44662.52481</v>
      </c>
      <c r="D4034" s="13">
        <f t="shared" si="1"/>
        <v>11</v>
      </c>
      <c r="E4034" s="13">
        <f t="shared" si="2"/>
        <v>12</v>
      </c>
    </row>
    <row r="4035">
      <c r="A4035" s="4" t="s">
        <v>4500</v>
      </c>
      <c r="B4035" s="16"/>
      <c r="C4035" s="12">
        <f>IFERROR(__xludf.DUMMYFUNCTION("""COMPUTED_VALUE"""),44662.52478009259)</f>
        <v>44662.52478</v>
      </c>
      <c r="D4035" s="13">
        <f t="shared" si="1"/>
        <v>11</v>
      </c>
      <c r="E4035" s="13">
        <f t="shared" si="2"/>
        <v>12</v>
      </c>
    </row>
    <row r="4036">
      <c r="A4036" s="4" t="s">
        <v>4501</v>
      </c>
      <c r="B4036" s="16"/>
      <c r="C4036" s="12">
        <f>IFERROR(__xludf.DUMMYFUNCTION("""COMPUTED_VALUE"""),44662.5246412037)</f>
        <v>44662.52464</v>
      </c>
      <c r="D4036" s="13">
        <f t="shared" si="1"/>
        <v>11</v>
      </c>
      <c r="E4036" s="13">
        <f t="shared" si="2"/>
        <v>12</v>
      </c>
    </row>
    <row r="4037">
      <c r="A4037" s="4" t="s">
        <v>4502</v>
      </c>
      <c r="B4037" s="16"/>
      <c r="C4037" s="12">
        <f>IFERROR(__xludf.DUMMYFUNCTION("""COMPUTED_VALUE"""),44662.5245949074)</f>
        <v>44662.52459</v>
      </c>
      <c r="D4037" s="13">
        <f t="shared" si="1"/>
        <v>11</v>
      </c>
      <c r="E4037" s="13">
        <f t="shared" si="2"/>
        <v>12</v>
      </c>
    </row>
    <row r="4038">
      <c r="A4038" s="4" t="s">
        <v>4503</v>
      </c>
      <c r="B4038" s="16"/>
      <c r="C4038" s="12">
        <f>IFERROR(__xludf.DUMMYFUNCTION("""COMPUTED_VALUE"""),44662.52454861111)</f>
        <v>44662.52455</v>
      </c>
      <c r="D4038" s="13">
        <f t="shared" si="1"/>
        <v>11</v>
      </c>
      <c r="E4038" s="13">
        <f t="shared" si="2"/>
        <v>12</v>
      </c>
    </row>
    <row r="4039">
      <c r="A4039" s="4" t="s">
        <v>4504</v>
      </c>
      <c r="B4039" s="4" t="s">
        <v>1759</v>
      </c>
      <c r="C4039" s="12">
        <f>IFERROR(__xludf.DUMMYFUNCTION("""COMPUTED_VALUE"""),44662.52446759259)</f>
        <v>44662.52447</v>
      </c>
      <c r="D4039" s="13">
        <f t="shared" si="1"/>
        <v>11</v>
      </c>
      <c r="E4039" s="13">
        <f t="shared" si="2"/>
        <v>12</v>
      </c>
    </row>
    <row r="4040">
      <c r="A4040" s="4" t="s">
        <v>4505</v>
      </c>
      <c r="B4040" s="4" t="s">
        <v>2298</v>
      </c>
      <c r="C4040" s="12">
        <f>IFERROR(__xludf.DUMMYFUNCTION("""COMPUTED_VALUE"""),44662.524247685185)</f>
        <v>44662.52425</v>
      </c>
      <c r="D4040" s="13">
        <f t="shared" si="1"/>
        <v>11</v>
      </c>
      <c r="E4040" s="13">
        <f t="shared" si="2"/>
        <v>12</v>
      </c>
    </row>
    <row r="4041">
      <c r="A4041" s="4" t="s">
        <v>4506</v>
      </c>
      <c r="B4041" s="4" t="s">
        <v>2298</v>
      </c>
      <c r="C4041" s="12">
        <f>IFERROR(__xludf.DUMMYFUNCTION("""COMPUTED_VALUE"""),44662.52423611111)</f>
        <v>44662.52424</v>
      </c>
      <c r="D4041" s="13">
        <f t="shared" si="1"/>
        <v>11</v>
      </c>
      <c r="E4041" s="13">
        <f t="shared" si="2"/>
        <v>12</v>
      </c>
    </row>
    <row r="4042">
      <c r="A4042" s="4" t="s">
        <v>4507</v>
      </c>
      <c r="B4042" s="4" t="s">
        <v>2298</v>
      </c>
      <c r="C4042" s="12">
        <f>IFERROR(__xludf.DUMMYFUNCTION("""COMPUTED_VALUE"""),44662.524143518516)</f>
        <v>44662.52414</v>
      </c>
      <c r="D4042" s="13">
        <f t="shared" si="1"/>
        <v>11</v>
      </c>
      <c r="E4042" s="13">
        <f t="shared" si="2"/>
        <v>12</v>
      </c>
    </row>
    <row r="4043">
      <c r="A4043" s="4" t="s">
        <v>4508</v>
      </c>
      <c r="B4043" s="4" t="s">
        <v>2298</v>
      </c>
      <c r="C4043" s="12">
        <f>IFERROR(__xludf.DUMMYFUNCTION("""COMPUTED_VALUE"""),44662.52412037037)</f>
        <v>44662.52412</v>
      </c>
      <c r="D4043" s="13">
        <f t="shared" si="1"/>
        <v>11</v>
      </c>
      <c r="E4043" s="13">
        <f t="shared" si="2"/>
        <v>12</v>
      </c>
    </row>
    <row r="4044">
      <c r="A4044" s="4" t="s">
        <v>4509</v>
      </c>
      <c r="B4044" s="16"/>
      <c r="C4044" s="12">
        <f>IFERROR(__xludf.DUMMYFUNCTION("""COMPUTED_VALUE"""),44662.523877314816)</f>
        <v>44662.52388</v>
      </c>
      <c r="D4044" s="13">
        <f t="shared" si="1"/>
        <v>11</v>
      </c>
      <c r="E4044" s="13">
        <f t="shared" si="2"/>
        <v>12</v>
      </c>
    </row>
    <row r="4045">
      <c r="A4045" s="4" t="s">
        <v>4510</v>
      </c>
      <c r="B4045" s="4" t="s">
        <v>1759</v>
      </c>
      <c r="C4045" s="12">
        <f>IFERROR(__xludf.DUMMYFUNCTION("""COMPUTED_VALUE"""),44662.523831018516)</f>
        <v>44662.52383</v>
      </c>
      <c r="D4045" s="13">
        <f t="shared" si="1"/>
        <v>11</v>
      </c>
      <c r="E4045" s="13">
        <f t="shared" si="2"/>
        <v>12</v>
      </c>
    </row>
    <row r="4046">
      <c r="A4046" s="4" t="s">
        <v>4511</v>
      </c>
      <c r="B4046" s="4" t="s">
        <v>2441</v>
      </c>
      <c r="C4046" s="12">
        <f>IFERROR(__xludf.DUMMYFUNCTION("""COMPUTED_VALUE"""),44662.52378472222)</f>
        <v>44662.52378</v>
      </c>
      <c r="D4046" s="13">
        <f t="shared" si="1"/>
        <v>11</v>
      </c>
      <c r="E4046" s="13">
        <f t="shared" si="2"/>
        <v>12</v>
      </c>
    </row>
    <row r="4047">
      <c r="A4047" s="4" t="s">
        <v>4512</v>
      </c>
      <c r="B4047" s="16"/>
      <c r="C4047" s="12">
        <f>IFERROR(__xludf.DUMMYFUNCTION("""COMPUTED_VALUE"""),44662.52375)</f>
        <v>44662.52375</v>
      </c>
      <c r="D4047" s="13">
        <f t="shared" si="1"/>
        <v>11</v>
      </c>
      <c r="E4047" s="13">
        <f t="shared" si="2"/>
        <v>12</v>
      </c>
    </row>
    <row r="4048">
      <c r="A4048" s="4" t="s">
        <v>4513</v>
      </c>
      <c r="B4048" s="4" t="s">
        <v>143</v>
      </c>
      <c r="C4048" s="12">
        <f>IFERROR(__xludf.DUMMYFUNCTION("""COMPUTED_VALUE"""),44662.52372685185)</f>
        <v>44662.52373</v>
      </c>
      <c r="D4048" s="13">
        <f t="shared" si="1"/>
        <v>11</v>
      </c>
      <c r="E4048" s="13">
        <f t="shared" si="2"/>
        <v>12</v>
      </c>
    </row>
    <row r="4049">
      <c r="A4049" s="4" t="s">
        <v>4514</v>
      </c>
      <c r="B4049" s="4" t="s">
        <v>4515</v>
      </c>
      <c r="C4049" s="12">
        <f>IFERROR(__xludf.DUMMYFUNCTION("""COMPUTED_VALUE"""),44662.523518518516)</f>
        <v>44662.52352</v>
      </c>
      <c r="D4049" s="13">
        <f t="shared" si="1"/>
        <v>11</v>
      </c>
      <c r="E4049" s="13">
        <f t="shared" si="2"/>
        <v>12</v>
      </c>
    </row>
    <row r="4050">
      <c r="A4050" s="4" t="s">
        <v>4516</v>
      </c>
      <c r="B4050" s="4" t="s">
        <v>4406</v>
      </c>
      <c r="C4050" s="12">
        <f>IFERROR(__xludf.DUMMYFUNCTION("""COMPUTED_VALUE"""),44662.52347222222)</f>
        <v>44662.52347</v>
      </c>
      <c r="D4050" s="13">
        <f t="shared" si="1"/>
        <v>11</v>
      </c>
      <c r="E4050" s="13">
        <f t="shared" si="2"/>
        <v>12</v>
      </c>
    </row>
    <row r="4051">
      <c r="A4051" s="4" t="s">
        <v>4517</v>
      </c>
      <c r="B4051" s="4" t="s">
        <v>4271</v>
      </c>
      <c r="C4051" s="12">
        <f>IFERROR(__xludf.DUMMYFUNCTION("""COMPUTED_VALUE"""),44662.52334490741)</f>
        <v>44662.52334</v>
      </c>
      <c r="D4051" s="13">
        <f t="shared" si="1"/>
        <v>11</v>
      </c>
      <c r="E4051" s="13">
        <f t="shared" si="2"/>
        <v>12</v>
      </c>
    </row>
    <row r="4052">
      <c r="A4052" s="4" t="s">
        <v>4518</v>
      </c>
      <c r="B4052" s="16"/>
      <c r="C4052" s="12">
        <f>IFERROR(__xludf.DUMMYFUNCTION("""COMPUTED_VALUE"""),44662.52313657407)</f>
        <v>44662.52314</v>
      </c>
      <c r="D4052" s="13">
        <f t="shared" si="1"/>
        <v>11</v>
      </c>
      <c r="E4052" s="13">
        <f t="shared" si="2"/>
        <v>12</v>
      </c>
    </row>
    <row r="4053">
      <c r="A4053" s="4" t="s">
        <v>4519</v>
      </c>
      <c r="B4053" s="16"/>
      <c r="C4053" s="12">
        <f>IFERROR(__xludf.DUMMYFUNCTION("""COMPUTED_VALUE"""),44662.52309027778)</f>
        <v>44662.52309</v>
      </c>
      <c r="D4053" s="13">
        <f t="shared" si="1"/>
        <v>11</v>
      </c>
      <c r="E4053" s="13">
        <f t="shared" si="2"/>
        <v>12</v>
      </c>
    </row>
    <row r="4054">
      <c r="A4054" s="4" t="s">
        <v>4520</v>
      </c>
      <c r="B4054" s="16"/>
      <c r="C4054" s="12">
        <f>IFERROR(__xludf.DUMMYFUNCTION("""COMPUTED_VALUE"""),44662.52303240741)</f>
        <v>44662.52303</v>
      </c>
      <c r="D4054" s="13">
        <f t="shared" si="1"/>
        <v>11</v>
      </c>
      <c r="E4054" s="13">
        <f t="shared" si="2"/>
        <v>12</v>
      </c>
    </row>
    <row r="4055">
      <c r="A4055" s="4" t="s">
        <v>4521</v>
      </c>
      <c r="B4055" s="16"/>
      <c r="C4055" s="12">
        <f>IFERROR(__xludf.DUMMYFUNCTION("""COMPUTED_VALUE"""),44662.522835648146)</f>
        <v>44662.52284</v>
      </c>
      <c r="D4055" s="13">
        <f t="shared" si="1"/>
        <v>11</v>
      </c>
      <c r="E4055" s="13">
        <f t="shared" si="2"/>
        <v>12</v>
      </c>
    </row>
    <row r="4056">
      <c r="A4056" s="4" t="s">
        <v>4522</v>
      </c>
      <c r="B4056" s="4" t="s">
        <v>4523</v>
      </c>
      <c r="C4056" s="12">
        <f>IFERROR(__xludf.DUMMYFUNCTION("""COMPUTED_VALUE"""),44662.522418981476)</f>
        <v>44662.52242</v>
      </c>
      <c r="D4056" s="13">
        <f t="shared" si="1"/>
        <v>11</v>
      </c>
      <c r="E4056" s="13">
        <f t="shared" si="2"/>
        <v>12</v>
      </c>
    </row>
    <row r="4057">
      <c r="A4057" s="4" t="s">
        <v>4524</v>
      </c>
      <c r="B4057" s="4" t="s">
        <v>4523</v>
      </c>
      <c r="C4057" s="12">
        <f>IFERROR(__xludf.DUMMYFUNCTION("""COMPUTED_VALUE"""),44662.52239583333)</f>
        <v>44662.5224</v>
      </c>
      <c r="D4057" s="13">
        <f t="shared" si="1"/>
        <v>11</v>
      </c>
      <c r="E4057" s="13">
        <f t="shared" si="2"/>
        <v>12</v>
      </c>
    </row>
    <row r="4058">
      <c r="A4058" s="4" t="s">
        <v>4525</v>
      </c>
      <c r="B4058" s="4" t="s">
        <v>4229</v>
      </c>
      <c r="C4058" s="12">
        <f>IFERROR(__xludf.DUMMYFUNCTION("""COMPUTED_VALUE"""),44662.52236111111)</f>
        <v>44662.52236</v>
      </c>
      <c r="D4058" s="13">
        <f t="shared" si="1"/>
        <v>11</v>
      </c>
      <c r="E4058" s="13">
        <f t="shared" si="2"/>
        <v>12</v>
      </c>
    </row>
    <row r="4059">
      <c r="A4059" s="4" t="s">
        <v>4526</v>
      </c>
      <c r="B4059" s="4" t="s">
        <v>4523</v>
      </c>
      <c r="C4059" s="12">
        <f>IFERROR(__xludf.DUMMYFUNCTION("""COMPUTED_VALUE"""),44662.522326388884)</f>
        <v>44662.52233</v>
      </c>
      <c r="D4059" s="13">
        <f t="shared" si="1"/>
        <v>11</v>
      </c>
      <c r="E4059" s="13">
        <f t="shared" si="2"/>
        <v>12</v>
      </c>
    </row>
    <row r="4060">
      <c r="A4060" s="4" t="s">
        <v>4527</v>
      </c>
      <c r="B4060" s="16"/>
      <c r="C4060" s="12">
        <f>IFERROR(__xludf.DUMMYFUNCTION("""COMPUTED_VALUE"""),44662.522210648145)</f>
        <v>44662.52221</v>
      </c>
      <c r="D4060" s="13">
        <f t="shared" si="1"/>
        <v>11</v>
      </c>
      <c r="E4060" s="13">
        <f t="shared" si="2"/>
        <v>12</v>
      </c>
    </row>
    <row r="4061">
      <c r="A4061" s="4" t="s">
        <v>4528</v>
      </c>
      <c r="B4061" s="4" t="s">
        <v>143</v>
      </c>
      <c r="C4061" s="12">
        <f>IFERROR(__xludf.DUMMYFUNCTION("""COMPUTED_VALUE"""),44662.5221412037)</f>
        <v>44662.52214</v>
      </c>
      <c r="D4061" s="13">
        <f t="shared" si="1"/>
        <v>11</v>
      </c>
      <c r="E4061" s="13">
        <f t="shared" si="2"/>
        <v>12</v>
      </c>
    </row>
    <row r="4062">
      <c r="A4062" s="4" t="s">
        <v>4528</v>
      </c>
      <c r="B4062" s="4" t="s">
        <v>2194</v>
      </c>
      <c r="C4062" s="12">
        <f>IFERROR(__xludf.DUMMYFUNCTION("""COMPUTED_VALUE"""),44662.5221412037)</f>
        <v>44662.52214</v>
      </c>
      <c r="D4062" s="13">
        <f t="shared" si="1"/>
        <v>11</v>
      </c>
      <c r="E4062" s="13">
        <f t="shared" si="2"/>
        <v>12</v>
      </c>
    </row>
    <row r="4063">
      <c r="A4063" s="4" t="s">
        <v>4528</v>
      </c>
      <c r="B4063" s="4" t="s">
        <v>143</v>
      </c>
      <c r="C4063" s="12">
        <f>IFERROR(__xludf.DUMMYFUNCTION("""COMPUTED_VALUE"""),44662.5221412037)</f>
        <v>44662.52214</v>
      </c>
      <c r="D4063" s="13">
        <f t="shared" si="1"/>
        <v>11</v>
      </c>
      <c r="E4063" s="13">
        <f t="shared" si="2"/>
        <v>12</v>
      </c>
    </row>
    <row r="4064">
      <c r="A4064" s="4" t="s">
        <v>4529</v>
      </c>
      <c r="B4064" s="4" t="s">
        <v>143</v>
      </c>
      <c r="C4064" s="12">
        <f>IFERROR(__xludf.DUMMYFUNCTION("""COMPUTED_VALUE"""),44662.52212962963)</f>
        <v>44662.52213</v>
      </c>
      <c r="D4064" s="13">
        <f t="shared" si="1"/>
        <v>11</v>
      </c>
      <c r="E4064" s="13">
        <f t="shared" si="2"/>
        <v>12</v>
      </c>
    </row>
    <row r="4065">
      <c r="A4065" s="4" t="s">
        <v>4530</v>
      </c>
      <c r="B4065" s="4" t="s">
        <v>4229</v>
      </c>
      <c r="C4065" s="12">
        <f>IFERROR(__xludf.DUMMYFUNCTION("""COMPUTED_VALUE"""),44662.52211805555)</f>
        <v>44662.52212</v>
      </c>
      <c r="D4065" s="13">
        <f t="shared" si="1"/>
        <v>11</v>
      </c>
      <c r="E4065" s="13">
        <f t="shared" si="2"/>
        <v>12</v>
      </c>
    </row>
    <row r="4066">
      <c r="A4066" s="4" t="s">
        <v>4531</v>
      </c>
      <c r="B4066" s="4" t="s">
        <v>4229</v>
      </c>
      <c r="C4066" s="12">
        <f>IFERROR(__xludf.DUMMYFUNCTION("""COMPUTED_VALUE"""),44662.522106481476)</f>
        <v>44662.52211</v>
      </c>
      <c r="D4066" s="13">
        <f t="shared" si="1"/>
        <v>11</v>
      </c>
      <c r="E4066" s="13">
        <f t="shared" si="2"/>
        <v>12</v>
      </c>
    </row>
    <row r="4067">
      <c r="A4067" s="4" t="s">
        <v>4531</v>
      </c>
      <c r="B4067" s="4" t="s">
        <v>143</v>
      </c>
      <c r="C4067" s="12">
        <f>IFERROR(__xludf.DUMMYFUNCTION("""COMPUTED_VALUE"""),44662.522106481476)</f>
        <v>44662.52211</v>
      </c>
      <c r="D4067" s="13">
        <f t="shared" si="1"/>
        <v>11</v>
      </c>
      <c r="E4067" s="13">
        <f t="shared" si="2"/>
        <v>12</v>
      </c>
    </row>
    <row r="4068">
      <c r="A4068" s="4" t="s">
        <v>4531</v>
      </c>
      <c r="B4068" s="16"/>
      <c r="C4068" s="12">
        <f>IFERROR(__xludf.DUMMYFUNCTION("""COMPUTED_VALUE"""),44662.522106481476)</f>
        <v>44662.52211</v>
      </c>
      <c r="D4068" s="13">
        <f t="shared" si="1"/>
        <v>11</v>
      </c>
      <c r="E4068" s="13">
        <f t="shared" si="2"/>
        <v>12</v>
      </c>
    </row>
    <row r="4069">
      <c r="A4069" s="4" t="s">
        <v>4532</v>
      </c>
      <c r="B4069" s="4" t="s">
        <v>4229</v>
      </c>
      <c r="C4069" s="12">
        <f>IFERROR(__xludf.DUMMYFUNCTION("""COMPUTED_VALUE"""),44662.52208333333)</f>
        <v>44662.52208</v>
      </c>
      <c r="D4069" s="13">
        <f t="shared" si="1"/>
        <v>11</v>
      </c>
      <c r="E4069" s="13">
        <f t="shared" si="2"/>
        <v>12</v>
      </c>
    </row>
    <row r="4070">
      <c r="A4070" s="4" t="s">
        <v>4533</v>
      </c>
      <c r="B4070" s="4" t="s">
        <v>143</v>
      </c>
      <c r="C4070" s="12">
        <f>IFERROR(__xludf.DUMMYFUNCTION("""COMPUTED_VALUE"""),44662.52207175926)</f>
        <v>44662.52207</v>
      </c>
      <c r="D4070" s="13">
        <f t="shared" si="1"/>
        <v>11</v>
      </c>
      <c r="E4070" s="13">
        <f t="shared" si="2"/>
        <v>12</v>
      </c>
    </row>
    <row r="4071">
      <c r="A4071" s="4" t="s">
        <v>4533</v>
      </c>
      <c r="B4071" s="4" t="s">
        <v>143</v>
      </c>
      <c r="C4071" s="12">
        <f>IFERROR(__xludf.DUMMYFUNCTION("""COMPUTED_VALUE"""),44662.52207175926)</f>
        <v>44662.52207</v>
      </c>
      <c r="D4071" s="13">
        <f t="shared" si="1"/>
        <v>11</v>
      </c>
      <c r="E4071" s="13">
        <f t="shared" si="2"/>
        <v>12</v>
      </c>
    </row>
    <row r="4072">
      <c r="A4072" s="4" t="s">
        <v>4534</v>
      </c>
      <c r="B4072" s="4" t="s">
        <v>143</v>
      </c>
      <c r="C4072" s="12">
        <f>IFERROR(__xludf.DUMMYFUNCTION("""COMPUTED_VALUE"""),44662.52204861111)</f>
        <v>44662.52205</v>
      </c>
      <c r="D4072" s="13">
        <f t="shared" si="1"/>
        <v>11</v>
      </c>
      <c r="E4072" s="13">
        <f t="shared" si="2"/>
        <v>12</v>
      </c>
    </row>
    <row r="4073">
      <c r="A4073" s="4" t="s">
        <v>4535</v>
      </c>
      <c r="B4073" s="4" t="s">
        <v>4494</v>
      </c>
      <c r="C4073" s="12">
        <f>IFERROR(__xludf.DUMMYFUNCTION("""COMPUTED_VALUE"""),44662.52196759259)</f>
        <v>44662.52197</v>
      </c>
      <c r="D4073" s="13">
        <f t="shared" si="1"/>
        <v>11</v>
      </c>
      <c r="E4073" s="13">
        <f t="shared" si="2"/>
        <v>12</v>
      </c>
    </row>
    <row r="4074">
      <c r="A4074" s="4" t="s">
        <v>4536</v>
      </c>
      <c r="B4074" s="4" t="s">
        <v>2298</v>
      </c>
      <c r="C4074" s="12">
        <f>IFERROR(__xludf.DUMMYFUNCTION("""COMPUTED_VALUE"""),44662.521898148145)</f>
        <v>44662.5219</v>
      </c>
      <c r="D4074" s="13">
        <f t="shared" si="1"/>
        <v>11</v>
      </c>
      <c r="E4074" s="13">
        <f t="shared" si="2"/>
        <v>12</v>
      </c>
    </row>
    <row r="4075">
      <c r="A4075" s="4" t="s">
        <v>4537</v>
      </c>
      <c r="B4075" s="4" t="s">
        <v>4229</v>
      </c>
      <c r="C4075" s="12">
        <f>IFERROR(__xludf.DUMMYFUNCTION("""COMPUTED_VALUE"""),44662.52186342592)</f>
        <v>44662.52186</v>
      </c>
      <c r="D4075" s="13">
        <f t="shared" si="1"/>
        <v>11</v>
      </c>
      <c r="E4075" s="13">
        <f t="shared" si="2"/>
        <v>12</v>
      </c>
    </row>
    <row r="4076">
      <c r="A4076" s="4" t="s">
        <v>4538</v>
      </c>
      <c r="B4076" s="4" t="s">
        <v>2298</v>
      </c>
      <c r="C4076" s="12">
        <f>IFERROR(__xludf.DUMMYFUNCTION("""COMPUTED_VALUE"""),44662.521840277775)</f>
        <v>44662.52184</v>
      </c>
      <c r="D4076" s="13">
        <f t="shared" si="1"/>
        <v>11</v>
      </c>
      <c r="E4076" s="13">
        <f t="shared" si="2"/>
        <v>12</v>
      </c>
    </row>
    <row r="4077">
      <c r="A4077" s="4" t="s">
        <v>4539</v>
      </c>
      <c r="B4077" s="4" t="s">
        <v>2298</v>
      </c>
      <c r="C4077" s="12">
        <f>IFERROR(__xludf.DUMMYFUNCTION("""COMPUTED_VALUE"""),44662.52177083333)</f>
        <v>44662.52177</v>
      </c>
      <c r="D4077" s="13">
        <f t="shared" si="1"/>
        <v>11</v>
      </c>
      <c r="E4077" s="13">
        <f t="shared" si="2"/>
        <v>12</v>
      </c>
    </row>
    <row r="4078">
      <c r="A4078" s="4" t="s">
        <v>4540</v>
      </c>
      <c r="B4078" s="4" t="s">
        <v>2703</v>
      </c>
      <c r="C4078" s="12">
        <f>IFERROR(__xludf.DUMMYFUNCTION("""COMPUTED_VALUE"""),44662.52170138888)</f>
        <v>44662.5217</v>
      </c>
      <c r="D4078" s="13">
        <f t="shared" si="1"/>
        <v>11</v>
      </c>
      <c r="E4078" s="13">
        <f t="shared" si="2"/>
        <v>12</v>
      </c>
    </row>
    <row r="4079">
      <c r="A4079" s="4" t="s">
        <v>4541</v>
      </c>
      <c r="B4079" s="4" t="s">
        <v>4542</v>
      </c>
      <c r="C4079" s="12">
        <f>IFERROR(__xludf.DUMMYFUNCTION("""COMPUTED_VALUE"""),44662.52165509259)</f>
        <v>44662.52166</v>
      </c>
      <c r="D4079" s="13">
        <f t="shared" si="1"/>
        <v>11</v>
      </c>
      <c r="E4079" s="13">
        <f t="shared" si="2"/>
        <v>12</v>
      </c>
    </row>
    <row r="4080">
      <c r="A4080" s="4" t="s">
        <v>4543</v>
      </c>
      <c r="B4080" s="4" t="s">
        <v>4542</v>
      </c>
      <c r="C4080" s="12">
        <f>IFERROR(__xludf.DUMMYFUNCTION("""COMPUTED_VALUE"""),44662.52162037037)</f>
        <v>44662.52162</v>
      </c>
      <c r="D4080" s="13">
        <f t="shared" si="1"/>
        <v>11</v>
      </c>
      <c r="E4080" s="13">
        <f t="shared" si="2"/>
        <v>12</v>
      </c>
    </row>
    <row r="4081">
      <c r="A4081" s="4" t="s">
        <v>4544</v>
      </c>
      <c r="B4081" s="4" t="s">
        <v>4542</v>
      </c>
      <c r="C4081" s="12">
        <f>IFERROR(__xludf.DUMMYFUNCTION("""COMPUTED_VALUE"""),44662.521585648145)</f>
        <v>44662.52159</v>
      </c>
      <c r="D4081" s="13">
        <f t="shared" si="1"/>
        <v>11</v>
      </c>
      <c r="E4081" s="13">
        <f t="shared" si="2"/>
        <v>12</v>
      </c>
    </row>
    <row r="4082">
      <c r="A4082" s="4" t="s">
        <v>4545</v>
      </c>
      <c r="B4082" s="4" t="s">
        <v>4546</v>
      </c>
      <c r="C4082" s="12">
        <f>IFERROR(__xludf.DUMMYFUNCTION("""COMPUTED_VALUE"""),44662.521574074075)</f>
        <v>44662.52157</v>
      </c>
      <c r="D4082" s="13">
        <f t="shared" si="1"/>
        <v>11</v>
      </c>
      <c r="E4082" s="13">
        <f t="shared" si="2"/>
        <v>12</v>
      </c>
    </row>
    <row r="4083">
      <c r="A4083" s="4" t="s">
        <v>4547</v>
      </c>
      <c r="B4083" s="4" t="s">
        <v>4542</v>
      </c>
      <c r="C4083" s="12">
        <f>IFERROR(__xludf.DUMMYFUNCTION("""COMPUTED_VALUE"""),44662.52149305555)</f>
        <v>44662.52149</v>
      </c>
      <c r="D4083" s="13">
        <f t="shared" si="1"/>
        <v>11</v>
      </c>
      <c r="E4083" s="13">
        <f t="shared" si="2"/>
        <v>12</v>
      </c>
    </row>
    <row r="4084">
      <c r="A4084" s="4" t="s">
        <v>4548</v>
      </c>
      <c r="B4084" s="4" t="s">
        <v>2298</v>
      </c>
      <c r="C4084" s="12">
        <f>IFERROR(__xludf.DUMMYFUNCTION("""COMPUTED_VALUE"""),44662.52145833333)</f>
        <v>44662.52146</v>
      </c>
      <c r="D4084" s="13">
        <f t="shared" si="1"/>
        <v>11</v>
      </c>
      <c r="E4084" s="13">
        <f t="shared" si="2"/>
        <v>12</v>
      </c>
    </row>
    <row r="4085">
      <c r="A4085" s="4" t="s">
        <v>4549</v>
      </c>
      <c r="B4085" s="4" t="s">
        <v>4542</v>
      </c>
      <c r="C4085" s="12">
        <f>IFERROR(__xludf.DUMMYFUNCTION("""COMPUTED_VALUE"""),44662.52144675926)</f>
        <v>44662.52145</v>
      </c>
      <c r="D4085" s="13">
        <f t="shared" si="1"/>
        <v>11</v>
      </c>
      <c r="E4085" s="13">
        <f t="shared" si="2"/>
        <v>12</v>
      </c>
    </row>
    <row r="4086">
      <c r="A4086" s="4" t="s">
        <v>4550</v>
      </c>
      <c r="B4086" s="16"/>
      <c r="C4086" s="12">
        <f>IFERROR(__xludf.DUMMYFUNCTION("""COMPUTED_VALUE"""),44662.52140046296)</f>
        <v>44662.5214</v>
      </c>
      <c r="D4086" s="13">
        <f t="shared" si="1"/>
        <v>11</v>
      </c>
      <c r="E4086" s="13">
        <f t="shared" si="2"/>
        <v>12</v>
      </c>
    </row>
    <row r="4087">
      <c r="A4087" s="4" t="s">
        <v>4551</v>
      </c>
      <c r="B4087" s="4" t="s">
        <v>1759</v>
      </c>
      <c r="C4087" s="12">
        <f>IFERROR(__xludf.DUMMYFUNCTION("""COMPUTED_VALUE"""),44662.52135416667)</f>
        <v>44662.52135</v>
      </c>
      <c r="D4087" s="13">
        <f t="shared" si="1"/>
        <v>11</v>
      </c>
      <c r="E4087" s="13">
        <f t="shared" si="2"/>
        <v>12</v>
      </c>
    </row>
    <row r="4088">
      <c r="A4088" s="4" t="s">
        <v>4552</v>
      </c>
      <c r="B4088" s="4" t="s">
        <v>4553</v>
      </c>
      <c r="C4088" s="12">
        <f>IFERROR(__xludf.DUMMYFUNCTION("""COMPUTED_VALUE"""),44662.52133101851)</f>
        <v>44662.52133</v>
      </c>
      <c r="D4088" s="13">
        <f t="shared" si="1"/>
        <v>11</v>
      </c>
      <c r="E4088" s="13">
        <f t="shared" si="2"/>
        <v>12</v>
      </c>
    </row>
    <row r="4089">
      <c r="A4089" s="4" t="s">
        <v>4554</v>
      </c>
      <c r="B4089" s="4" t="s">
        <v>4555</v>
      </c>
      <c r="C4089" s="12">
        <f>IFERROR(__xludf.DUMMYFUNCTION("""COMPUTED_VALUE"""),44662.521319444444)</f>
        <v>44662.52132</v>
      </c>
      <c r="D4089" s="13">
        <f t="shared" si="1"/>
        <v>11</v>
      </c>
      <c r="E4089" s="13">
        <f t="shared" si="2"/>
        <v>12</v>
      </c>
    </row>
    <row r="4090">
      <c r="A4090" s="4" t="s">
        <v>4556</v>
      </c>
      <c r="B4090" s="4" t="s">
        <v>4553</v>
      </c>
      <c r="C4090" s="12">
        <f>IFERROR(__xludf.DUMMYFUNCTION("""COMPUTED_VALUE"""),44662.52130787037)</f>
        <v>44662.52131</v>
      </c>
      <c r="D4090" s="13">
        <f t="shared" si="1"/>
        <v>11</v>
      </c>
      <c r="E4090" s="13">
        <f t="shared" si="2"/>
        <v>12</v>
      </c>
    </row>
    <row r="4091">
      <c r="A4091" s="4" t="s">
        <v>4557</v>
      </c>
      <c r="B4091" s="4" t="s">
        <v>4553</v>
      </c>
      <c r="C4091" s="12">
        <f>IFERROR(__xludf.DUMMYFUNCTION("""COMPUTED_VALUE"""),44662.52128472222)</f>
        <v>44662.52128</v>
      </c>
      <c r="D4091" s="13">
        <f t="shared" si="1"/>
        <v>11</v>
      </c>
      <c r="E4091" s="13">
        <f t="shared" si="2"/>
        <v>12</v>
      </c>
    </row>
    <row r="4092">
      <c r="A4092" s="4" t="s">
        <v>4558</v>
      </c>
      <c r="B4092" s="4" t="s">
        <v>4546</v>
      </c>
      <c r="C4092" s="12">
        <f>IFERROR(__xludf.DUMMYFUNCTION("""COMPUTED_VALUE"""),44662.521273148144)</f>
        <v>44662.52127</v>
      </c>
      <c r="D4092" s="13">
        <f t="shared" si="1"/>
        <v>11</v>
      </c>
      <c r="E4092" s="13">
        <f t="shared" si="2"/>
        <v>12</v>
      </c>
    </row>
    <row r="4093">
      <c r="A4093" s="4" t="s">
        <v>4559</v>
      </c>
      <c r="B4093" s="4" t="s">
        <v>288</v>
      </c>
      <c r="C4093" s="12">
        <f>IFERROR(__xludf.DUMMYFUNCTION("""COMPUTED_VALUE"""),44662.521261574075)</f>
        <v>44662.52126</v>
      </c>
      <c r="D4093" s="13">
        <f t="shared" si="1"/>
        <v>11</v>
      </c>
      <c r="E4093" s="13">
        <f t="shared" si="2"/>
        <v>12</v>
      </c>
    </row>
    <row r="4094">
      <c r="A4094" s="4" t="s">
        <v>4560</v>
      </c>
      <c r="B4094" s="16"/>
      <c r="C4094" s="12">
        <f>IFERROR(__xludf.DUMMYFUNCTION("""COMPUTED_VALUE"""),44662.52123842592)</f>
        <v>44662.52124</v>
      </c>
      <c r="D4094" s="13">
        <f t="shared" si="1"/>
        <v>11</v>
      </c>
      <c r="E4094" s="13">
        <f t="shared" si="2"/>
        <v>12</v>
      </c>
    </row>
    <row r="4095">
      <c r="A4095" s="4" t="s">
        <v>4561</v>
      </c>
      <c r="B4095" s="16"/>
      <c r="C4095" s="12">
        <f>IFERROR(__xludf.DUMMYFUNCTION("""COMPUTED_VALUE"""),44662.52122685185)</f>
        <v>44662.52123</v>
      </c>
      <c r="D4095" s="13">
        <f t="shared" si="1"/>
        <v>11</v>
      </c>
      <c r="E4095" s="13">
        <f t="shared" si="2"/>
        <v>12</v>
      </c>
    </row>
    <row r="4096">
      <c r="A4096" s="4" t="s">
        <v>4561</v>
      </c>
      <c r="B4096" s="4" t="s">
        <v>2298</v>
      </c>
      <c r="C4096" s="12">
        <f>IFERROR(__xludf.DUMMYFUNCTION("""COMPUTED_VALUE"""),44662.52122685185)</f>
        <v>44662.52123</v>
      </c>
      <c r="D4096" s="13">
        <f t="shared" si="1"/>
        <v>11</v>
      </c>
      <c r="E4096" s="13">
        <f t="shared" si="2"/>
        <v>12</v>
      </c>
    </row>
    <row r="4097">
      <c r="A4097" s="4" t="s">
        <v>4562</v>
      </c>
      <c r="B4097" s="4" t="s">
        <v>1759</v>
      </c>
      <c r="C4097" s="12">
        <f>IFERROR(__xludf.DUMMYFUNCTION("""COMPUTED_VALUE"""),44662.5212037037)</f>
        <v>44662.5212</v>
      </c>
      <c r="D4097" s="13">
        <f t="shared" si="1"/>
        <v>11</v>
      </c>
      <c r="E4097" s="13">
        <f t="shared" si="2"/>
        <v>12</v>
      </c>
    </row>
    <row r="4098">
      <c r="A4098" s="4" t="s">
        <v>4563</v>
      </c>
      <c r="B4098" s="4" t="s">
        <v>1030</v>
      </c>
      <c r="C4098" s="12">
        <f>IFERROR(__xludf.DUMMYFUNCTION("""COMPUTED_VALUE"""),44662.521111111106)</f>
        <v>44662.52111</v>
      </c>
      <c r="D4098" s="13">
        <f t="shared" si="1"/>
        <v>11</v>
      </c>
      <c r="E4098" s="13">
        <f t="shared" si="2"/>
        <v>12</v>
      </c>
    </row>
    <row r="4099">
      <c r="A4099" s="4" t="s">
        <v>4564</v>
      </c>
      <c r="B4099" s="4" t="s">
        <v>4542</v>
      </c>
      <c r="C4099" s="12">
        <f>IFERROR(__xludf.DUMMYFUNCTION("""COMPUTED_VALUE"""),44662.521099537036)</f>
        <v>44662.5211</v>
      </c>
      <c r="D4099" s="13">
        <f t="shared" si="1"/>
        <v>11</v>
      </c>
      <c r="E4099" s="13">
        <f t="shared" si="2"/>
        <v>12</v>
      </c>
    </row>
    <row r="4100">
      <c r="A4100" s="4" t="s">
        <v>4565</v>
      </c>
      <c r="B4100" s="4" t="s">
        <v>1030</v>
      </c>
      <c r="C4100" s="12">
        <f>IFERROR(__xludf.DUMMYFUNCTION("""COMPUTED_VALUE"""),44662.52106481481)</f>
        <v>44662.52106</v>
      </c>
      <c r="D4100" s="13">
        <f t="shared" si="1"/>
        <v>11</v>
      </c>
      <c r="E4100" s="13">
        <f t="shared" si="2"/>
        <v>12</v>
      </c>
    </row>
    <row r="4101">
      <c r="A4101" s="4" t="s">
        <v>4566</v>
      </c>
      <c r="B4101" s="4" t="s">
        <v>1759</v>
      </c>
      <c r="C4101" s="12">
        <f>IFERROR(__xludf.DUMMYFUNCTION("""COMPUTED_VALUE"""),44662.52105324074)</f>
        <v>44662.52105</v>
      </c>
      <c r="D4101" s="13">
        <f t="shared" si="1"/>
        <v>11</v>
      </c>
      <c r="E4101" s="13">
        <f t="shared" si="2"/>
        <v>12</v>
      </c>
    </row>
    <row r="4102">
      <c r="A4102" s="4" t="s">
        <v>4566</v>
      </c>
      <c r="B4102" s="16"/>
      <c r="C4102" s="12">
        <f>IFERROR(__xludf.DUMMYFUNCTION("""COMPUTED_VALUE"""),44662.52105324074)</f>
        <v>44662.52105</v>
      </c>
      <c r="D4102" s="13">
        <f t="shared" si="1"/>
        <v>11</v>
      </c>
      <c r="E4102" s="13">
        <f t="shared" si="2"/>
        <v>12</v>
      </c>
    </row>
    <row r="4103">
      <c r="A4103" s="4" t="s">
        <v>4567</v>
      </c>
      <c r="B4103" s="16"/>
      <c r="C4103" s="12">
        <f>IFERROR(__xludf.DUMMYFUNCTION("""COMPUTED_VALUE"""),44662.52104166667)</f>
        <v>44662.52104</v>
      </c>
      <c r="D4103" s="13">
        <f t="shared" si="1"/>
        <v>11</v>
      </c>
      <c r="E4103" s="13">
        <f t="shared" si="2"/>
        <v>12</v>
      </c>
    </row>
    <row r="4104">
      <c r="A4104" s="4" t="s">
        <v>4568</v>
      </c>
      <c r="B4104" s="4" t="s">
        <v>1030</v>
      </c>
      <c r="C4104" s="12">
        <f>IFERROR(__xludf.DUMMYFUNCTION("""COMPUTED_VALUE"""),44662.52101851851)</f>
        <v>44662.52102</v>
      </c>
      <c r="D4104" s="13">
        <f t="shared" si="1"/>
        <v>11</v>
      </c>
      <c r="E4104" s="13">
        <f t="shared" si="2"/>
        <v>12</v>
      </c>
    </row>
    <row r="4105">
      <c r="A4105" s="4" t="s">
        <v>4568</v>
      </c>
      <c r="B4105" s="4" t="s">
        <v>4229</v>
      </c>
      <c r="C4105" s="12">
        <f>IFERROR(__xludf.DUMMYFUNCTION("""COMPUTED_VALUE"""),44662.52101851851)</f>
        <v>44662.52102</v>
      </c>
      <c r="D4105" s="13">
        <f t="shared" si="1"/>
        <v>11</v>
      </c>
      <c r="E4105" s="13">
        <f t="shared" si="2"/>
        <v>12</v>
      </c>
    </row>
    <row r="4106">
      <c r="A4106" s="4" t="s">
        <v>4569</v>
      </c>
      <c r="B4106" s="4" t="s">
        <v>1030</v>
      </c>
      <c r="C4106" s="12">
        <f>IFERROR(__xludf.DUMMYFUNCTION("""COMPUTED_VALUE"""),44662.521006944444)</f>
        <v>44662.52101</v>
      </c>
      <c r="D4106" s="13">
        <f t="shared" si="1"/>
        <v>11</v>
      </c>
      <c r="E4106" s="13">
        <f t="shared" si="2"/>
        <v>12</v>
      </c>
    </row>
    <row r="4107">
      <c r="A4107" s="4" t="s">
        <v>4570</v>
      </c>
      <c r="B4107" s="4" t="s">
        <v>1030</v>
      </c>
      <c r="C4107" s="12">
        <f>IFERROR(__xludf.DUMMYFUNCTION("""COMPUTED_VALUE"""),44662.52099537037)</f>
        <v>44662.521</v>
      </c>
      <c r="D4107" s="13">
        <f t="shared" si="1"/>
        <v>11</v>
      </c>
      <c r="E4107" s="13">
        <f t="shared" si="2"/>
        <v>12</v>
      </c>
    </row>
    <row r="4108">
      <c r="A4108" s="4" t="s">
        <v>4571</v>
      </c>
      <c r="B4108" s="4" t="s">
        <v>1030</v>
      </c>
      <c r="C4108" s="12">
        <f>IFERROR(__xludf.DUMMYFUNCTION("""COMPUTED_VALUE"""),44662.52098379629)</f>
        <v>44662.52098</v>
      </c>
      <c r="D4108" s="13">
        <f t="shared" si="1"/>
        <v>11</v>
      </c>
      <c r="E4108" s="13">
        <f t="shared" si="2"/>
        <v>12</v>
      </c>
    </row>
    <row r="4109">
      <c r="A4109" s="4" t="s">
        <v>4572</v>
      </c>
      <c r="B4109" s="4" t="s">
        <v>1030</v>
      </c>
      <c r="C4109" s="12">
        <f>IFERROR(__xludf.DUMMYFUNCTION("""COMPUTED_VALUE"""),44662.52097222222)</f>
        <v>44662.52097</v>
      </c>
      <c r="D4109" s="13">
        <f t="shared" si="1"/>
        <v>11</v>
      </c>
      <c r="E4109" s="13">
        <f t="shared" si="2"/>
        <v>12</v>
      </c>
    </row>
    <row r="4110">
      <c r="A4110" s="4" t="s">
        <v>4573</v>
      </c>
      <c r="B4110" s="4" t="s">
        <v>1030</v>
      </c>
      <c r="C4110" s="12">
        <f>IFERROR(__xludf.DUMMYFUNCTION("""COMPUTED_VALUE"""),44662.520960648144)</f>
        <v>44662.52096</v>
      </c>
      <c r="D4110" s="13">
        <f t="shared" si="1"/>
        <v>11</v>
      </c>
      <c r="E4110" s="13">
        <f t="shared" si="2"/>
        <v>12</v>
      </c>
    </row>
    <row r="4111">
      <c r="A4111" s="4" t="s">
        <v>4574</v>
      </c>
      <c r="B4111" s="4" t="s">
        <v>1030</v>
      </c>
      <c r="C4111" s="12">
        <f>IFERROR(__xludf.DUMMYFUNCTION("""COMPUTED_VALUE"""),44662.5209375)</f>
        <v>44662.52094</v>
      </c>
      <c r="D4111" s="13">
        <f t="shared" si="1"/>
        <v>11</v>
      </c>
      <c r="E4111" s="13">
        <f t="shared" si="2"/>
        <v>12</v>
      </c>
    </row>
    <row r="4112">
      <c r="A4112" s="4" t="s">
        <v>4575</v>
      </c>
      <c r="B4112" s="4" t="s">
        <v>1030</v>
      </c>
      <c r="C4112" s="12">
        <f>IFERROR(__xludf.DUMMYFUNCTION("""COMPUTED_VALUE"""),44662.52092592592)</f>
        <v>44662.52093</v>
      </c>
      <c r="D4112" s="13">
        <f t="shared" si="1"/>
        <v>11</v>
      </c>
      <c r="E4112" s="13">
        <f t="shared" si="2"/>
        <v>12</v>
      </c>
    </row>
    <row r="4113">
      <c r="A4113" s="4" t="s">
        <v>4576</v>
      </c>
      <c r="B4113" s="4" t="s">
        <v>1030</v>
      </c>
      <c r="C4113" s="12">
        <f>IFERROR(__xludf.DUMMYFUNCTION("""COMPUTED_VALUE"""),44662.52091435185)</f>
        <v>44662.52091</v>
      </c>
      <c r="D4113" s="13">
        <f t="shared" si="1"/>
        <v>11</v>
      </c>
      <c r="E4113" s="13">
        <f t="shared" si="2"/>
        <v>12</v>
      </c>
    </row>
    <row r="4114">
      <c r="A4114" s="4" t="s">
        <v>4577</v>
      </c>
      <c r="B4114" s="16"/>
      <c r="C4114" s="12">
        <f>IFERROR(__xludf.DUMMYFUNCTION("""COMPUTED_VALUE"""),44662.520902777775)</f>
        <v>44662.5209</v>
      </c>
      <c r="D4114" s="13">
        <f t="shared" si="1"/>
        <v>11</v>
      </c>
      <c r="E4114" s="13">
        <f t="shared" si="2"/>
        <v>12</v>
      </c>
    </row>
    <row r="4115">
      <c r="A4115" s="4" t="s">
        <v>4578</v>
      </c>
      <c r="B4115" s="16"/>
      <c r="C4115" s="12">
        <f>IFERROR(__xludf.DUMMYFUNCTION("""COMPUTED_VALUE"""),44662.5208912037)</f>
        <v>44662.52089</v>
      </c>
      <c r="D4115" s="13">
        <f t="shared" si="1"/>
        <v>11</v>
      </c>
      <c r="E4115" s="13">
        <f t="shared" si="2"/>
        <v>12</v>
      </c>
    </row>
    <row r="4116">
      <c r="A4116" s="4" t="s">
        <v>4579</v>
      </c>
      <c r="B4116" s="4" t="s">
        <v>1030</v>
      </c>
      <c r="C4116" s="12">
        <f>IFERROR(__xludf.DUMMYFUNCTION("""COMPUTED_VALUE"""),44662.52086805555)</f>
        <v>44662.52087</v>
      </c>
      <c r="D4116" s="13">
        <f t="shared" si="1"/>
        <v>11</v>
      </c>
      <c r="E4116" s="13">
        <f t="shared" si="2"/>
        <v>12</v>
      </c>
    </row>
    <row r="4117">
      <c r="A4117" s="4" t="s">
        <v>4580</v>
      </c>
      <c r="B4117" s="4" t="s">
        <v>1030</v>
      </c>
      <c r="C4117" s="12">
        <f>IFERROR(__xludf.DUMMYFUNCTION("""COMPUTED_VALUE"""),44662.52085648148)</f>
        <v>44662.52086</v>
      </c>
      <c r="D4117" s="13">
        <f t="shared" si="1"/>
        <v>11</v>
      </c>
      <c r="E4117" s="13">
        <f t="shared" si="2"/>
        <v>12</v>
      </c>
    </row>
    <row r="4118">
      <c r="A4118" s="4" t="s">
        <v>4580</v>
      </c>
      <c r="B4118" s="4" t="s">
        <v>4581</v>
      </c>
      <c r="C4118" s="12">
        <f>IFERROR(__xludf.DUMMYFUNCTION("""COMPUTED_VALUE"""),44662.52085648148)</f>
        <v>44662.52086</v>
      </c>
      <c r="D4118" s="13">
        <f t="shared" si="1"/>
        <v>11</v>
      </c>
      <c r="E4118" s="13">
        <f t="shared" si="2"/>
        <v>12</v>
      </c>
    </row>
    <row r="4119">
      <c r="A4119" s="4" t="s">
        <v>4582</v>
      </c>
      <c r="B4119" s="4" t="s">
        <v>1030</v>
      </c>
      <c r="C4119" s="12">
        <f>IFERROR(__xludf.DUMMYFUNCTION("""COMPUTED_VALUE"""),44662.52083333333)</f>
        <v>44662.52083</v>
      </c>
      <c r="D4119" s="13">
        <f t="shared" si="1"/>
        <v>11</v>
      </c>
      <c r="E4119" s="13">
        <f t="shared" si="2"/>
        <v>12</v>
      </c>
    </row>
    <row r="4120">
      <c r="A4120" s="4" t="s">
        <v>4583</v>
      </c>
      <c r="B4120" s="4" t="s">
        <v>1030</v>
      </c>
      <c r="C4120" s="12">
        <f>IFERROR(__xludf.DUMMYFUNCTION("""COMPUTED_VALUE"""),44662.52081018518)</f>
        <v>44662.52081</v>
      </c>
      <c r="D4120" s="13">
        <f t="shared" si="1"/>
        <v>11</v>
      </c>
      <c r="E4120" s="13">
        <f t="shared" si="2"/>
        <v>12</v>
      </c>
    </row>
    <row r="4121">
      <c r="A4121" s="4" t="s">
        <v>4584</v>
      </c>
      <c r="B4121" s="16"/>
      <c r="C4121" s="12">
        <f>IFERROR(__xludf.DUMMYFUNCTION("""COMPUTED_VALUE"""),44662.520798611105)</f>
        <v>44662.5208</v>
      </c>
      <c r="D4121" s="13">
        <f t="shared" si="1"/>
        <v>11</v>
      </c>
      <c r="E4121" s="13">
        <f t="shared" si="2"/>
        <v>12</v>
      </c>
    </row>
    <row r="4122">
      <c r="A4122" s="4" t="s">
        <v>4585</v>
      </c>
      <c r="B4122" s="4" t="s">
        <v>4581</v>
      </c>
      <c r="C4122" s="12">
        <f>IFERROR(__xludf.DUMMYFUNCTION("""COMPUTED_VALUE"""),44662.52076388889)</f>
        <v>44662.52076</v>
      </c>
      <c r="D4122" s="13">
        <f t="shared" si="1"/>
        <v>11</v>
      </c>
      <c r="E4122" s="13">
        <f t="shared" si="2"/>
        <v>12</v>
      </c>
    </row>
    <row r="4123">
      <c r="A4123" s="4" t="s">
        <v>4586</v>
      </c>
      <c r="B4123" s="16"/>
      <c r="C4123" s="12">
        <f>IFERROR(__xludf.DUMMYFUNCTION("""COMPUTED_VALUE"""),44662.52072916667)</f>
        <v>44662.52073</v>
      </c>
      <c r="D4123" s="13">
        <f t="shared" si="1"/>
        <v>11</v>
      </c>
      <c r="E4123" s="13">
        <f t="shared" si="2"/>
        <v>12</v>
      </c>
    </row>
    <row r="4124">
      <c r="A4124" s="4" t="s">
        <v>4587</v>
      </c>
      <c r="B4124" s="16"/>
      <c r="C4124" s="12">
        <f>IFERROR(__xludf.DUMMYFUNCTION("""COMPUTED_VALUE"""),44662.52069444444)</f>
        <v>44662.52069</v>
      </c>
      <c r="D4124" s="13">
        <f t="shared" si="1"/>
        <v>11</v>
      </c>
      <c r="E4124" s="13">
        <f t="shared" si="2"/>
        <v>12</v>
      </c>
    </row>
    <row r="4125">
      <c r="A4125" s="4" t="s">
        <v>4588</v>
      </c>
      <c r="B4125" s="16"/>
      <c r="C4125" s="12">
        <f>IFERROR(__xludf.DUMMYFUNCTION("""COMPUTED_VALUE"""),44662.52068287037)</f>
        <v>44662.52068</v>
      </c>
      <c r="D4125" s="13">
        <f t="shared" si="1"/>
        <v>11</v>
      </c>
      <c r="E4125" s="13">
        <f t="shared" si="2"/>
        <v>12</v>
      </c>
    </row>
    <row r="4126">
      <c r="A4126" s="4" t="s">
        <v>4589</v>
      </c>
      <c r="B4126" s="4" t="s">
        <v>4590</v>
      </c>
      <c r="C4126" s="12">
        <f>IFERROR(__xludf.DUMMYFUNCTION("""COMPUTED_VALUE"""),44662.52065972222)</f>
        <v>44662.52066</v>
      </c>
      <c r="D4126" s="13">
        <f t="shared" si="1"/>
        <v>11</v>
      </c>
      <c r="E4126" s="13">
        <f t="shared" si="2"/>
        <v>12</v>
      </c>
    </row>
    <row r="4127">
      <c r="A4127" s="4" t="s">
        <v>4591</v>
      </c>
      <c r="B4127" s="4" t="s">
        <v>1030</v>
      </c>
      <c r="C4127" s="12">
        <f>IFERROR(__xludf.DUMMYFUNCTION("""COMPUTED_VALUE"""),44662.520648148144)</f>
        <v>44662.52065</v>
      </c>
      <c r="D4127" s="13">
        <f t="shared" si="1"/>
        <v>11</v>
      </c>
      <c r="E4127" s="13">
        <f t="shared" si="2"/>
        <v>12</v>
      </c>
    </row>
    <row r="4128">
      <c r="A4128" s="4" t="s">
        <v>4591</v>
      </c>
      <c r="B4128" s="4" t="s">
        <v>3351</v>
      </c>
      <c r="C4128" s="12">
        <f>IFERROR(__xludf.DUMMYFUNCTION("""COMPUTED_VALUE"""),44662.520648148144)</f>
        <v>44662.52065</v>
      </c>
      <c r="D4128" s="13">
        <f t="shared" si="1"/>
        <v>11</v>
      </c>
      <c r="E4128" s="13">
        <f t="shared" si="2"/>
        <v>12</v>
      </c>
    </row>
    <row r="4129">
      <c r="A4129" s="4" t="s">
        <v>4592</v>
      </c>
      <c r="B4129" s="4" t="s">
        <v>288</v>
      </c>
      <c r="C4129" s="12">
        <f>IFERROR(__xludf.DUMMYFUNCTION("""COMPUTED_VALUE"""),44662.520636574074)</f>
        <v>44662.52064</v>
      </c>
      <c r="D4129" s="13">
        <f t="shared" si="1"/>
        <v>11</v>
      </c>
      <c r="E4129" s="13">
        <f t="shared" si="2"/>
        <v>12</v>
      </c>
    </row>
    <row r="4130">
      <c r="A4130" s="4" t="s">
        <v>4592</v>
      </c>
      <c r="B4130" s="4" t="s">
        <v>4542</v>
      </c>
      <c r="C4130" s="12">
        <f>IFERROR(__xludf.DUMMYFUNCTION("""COMPUTED_VALUE"""),44662.520636574074)</f>
        <v>44662.52064</v>
      </c>
      <c r="D4130" s="13">
        <f t="shared" si="1"/>
        <v>11</v>
      </c>
      <c r="E4130" s="13">
        <f t="shared" si="2"/>
        <v>12</v>
      </c>
    </row>
    <row r="4131">
      <c r="A4131" s="4" t="s">
        <v>4593</v>
      </c>
      <c r="B4131" s="4" t="s">
        <v>4155</v>
      </c>
      <c r="C4131" s="12">
        <f>IFERROR(__xludf.DUMMYFUNCTION("""COMPUTED_VALUE"""),44662.520625)</f>
        <v>44662.52063</v>
      </c>
      <c r="D4131" s="13">
        <f t="shared" si="1"/>
        <v>11</v>
      </c>
      <c r="E4131" s="13">
        <f t="shared" si="2"/>
        <v>12</v>
      </c>
    </row>
    <row r="4132">
      <c r="A4132" s="4" t="s">
        <v>4594</v>
      </c>
      <c r="B4132" s="4" t="s">
        <v>4595</v>
      </c>
      <c r="C4132" s="12">
        <f>IFERROR(__xludf.DUMMYFUNCTION("""COMPUTED_VALUE"""),44662.52061342592)</f>
        <v>44662.52061</v>
      </c>
      <c r="D4132" s="13">
        <f t="shared" si="1"/>
        <v>11</v>
      </c>
      <c r="E4132" s="13">
        <f t="shared" si="2"/>
        <v>12</v>
      </c>
    </row>
    <row r="4133">
      <c r="A4133" s="4" t="s">
        <v>4594</v>
      </c>
      <c r="B4133" s="16"/>
      <c r="C4133" s="12">
        <f>IFERROR(__xludf.DUMMYFUNCTION("""COMPUTED_VALUE"""),44662.52061342592)</f>
        <v>44662.52061</v>
      </c>
      <c r="D4133" s="13">
        <f t="shared" si="1"/>
        <v>11</v>
      </c>
      <c r="E4133" s="13">
        <f t="shared" si="2"/>
        <v>12</v>
      </c>
    </row>
    <row r="4134">
      <c r="A4134" s="4" t="s">
        <v>4596</v>
      </c>
      <c r="B4134" s="16"/>
      <c r="C4134" s="12">
        <f>IFERROR(__xludf.DUMMYFUNCTION("""COMPUTED_VALUE"""),44662.52060185185)</f>
        <v>44662.5206</v>
      </c>
      <c r="D4134" s="13">
        <f t="shared" si="1"/>
        <v>11</v>
      </c>
      <c r="E4134" s="13">
        <f t="shared" si="2"/>
        <v>12</v>
      </c>
    </row>
    <row r="4135">
      <c r="A4135" s="4" t="s">
        <v>4597</v>
      </c>
      <c r="B4135" s="4" t="s">
        <v>1759</v>
      </c>
      <c r="C4135" s="12">
        <f>IFERROR(__xludf.DUMMYFUNCTION("""COMPUTED_VALUE"""),44662.520590277774)</f>
        <v>44662.52059</v>
      </c>
      <c r="D4135" s="13">
        <f t="shared" si="1"/>
        <v>11</v>
      </c>
      <c r="E4135" s="13">
        <f t="shared" si="2"/>
        <v>12</v>
      </c>
    </row>
    <row r="4136">
      <c r="A4136" s="4" t="s">
        <v>4598</v>
      </c>
      <c r="B4136" s="4" t="s">
        <v>4091</v>
      </c>
      <c r="C4136" s="12">
        <f>IFERROR(__xludf.DUMMYFUNCTION("""COMPUTED_VALUE"""),44662.52055555555)</f>
        <v>44662.52056</v>
      </c>
      <c r="D4136" s="13">
        <f t="shared" si="1"/>
        <v>11</v>
      </c>
      <c r="E4136" s="13">
        <f t="shared" si="2"/>
        <v>12</v>
      </c>
    </row>
    <row r="4137">
      <c r="A4137" s="4" t="s">
        <v>4599</v>
      </c>
      <c r="B4137" s="4" t="s">
        <v>4581</v>
      </c>
      <c r="C4137" s="12">
        <f>IFERROR(__xludf.DUMMYFUNCTION("""COMPUTED_VALUE"""),44662.52054398148)</f>
        <v>44662.52054</v>
      </c>
      <c r="D4137" s="13">
        <f t="shared" si="1"/>
        <v>11</v>
      </c>
      <c r="E4137" s="13">
        <f t="shared" si="2"/>
        <v>12</v>
      </c>
    </row>
    <row r="4138">
      <c r="A4138" s="4" t="s">
        <v>4600</v>
      </c>
      <c r="B4138" s="4" t="s">
        <v>4581</v>
      </c>
      <c r="C4138" s="12">
        <f>IFERROR(__xludf.DUMMYFUNCTION("""COMPUTED_VALUE"""),44662.520486111105)</f>
        <v>44662.52049</v>
      </c>
      <c r="D4138" s="13">
        <f t="shared" si="1"/>
        <v>11</v>
      </c>
      <c r="E4138" s="13">
        <f t="shared" si="2"/>
        <v>12</v>
      </c>
    </row>
    <row r="4139">
      <c r="A4139" s="4" t="s">
        <v>4601</v>
      </c>
      <c r="B4139" s="4" t="s">
        <v>4581</v>
      </c>
      <c r="C4139" s="12">
        <f>IFERROR(__xludf.DUMMYFUNCTION("""COMPUTED_VALUE"""),44662.52046296296)</f>
        <v>44662.52046</v>
      </c>
      <c r="D4139" s="13">
        <f t="shared" si="1"/>
        <v>11</v>
      </c>
      <c r="E4139" s="13">
        <f t="shared" si="2"/>
        <v>12</v>
      </c>
    </row>
    <row r="4140">
      <c r="A4140" s="4" t="s">
        <v>4601</v>
      </c>
      <c r="B4140" s="16"/>
      <c r="C4140" s="12">
        <f>IFERROR(__xludf.DUMMYFUNCTION("""COMPUTED_VALUE"""),44662.52046296296)</f>
        <v>44662.52046</v>
      </c>
      <c r="D4140" s="13">
        <f t="shared" si="1"/>
        <v>11</v>
      </c>
      <c r="E4140" s="13">
        <f t="shared" si="2"/>
        <v>12</v>
      </c>
    </row>
    <row r="4141">
      <c r="A4141" s="4" t="s">
        <v>4601</v>
      </c>
      <c r="B4141" s="4" t="s">
        <v>4602</v>
      </c>
      <c r="C4141" s="12">
        <f>IFERROR(__xludf.DUMMYFUNCTION("""COMPUTED_VALUE"""),44662.52046296296)</f>
        <v>44662.52046</v>
      </c>
      <c r="D4141" s="13">
        <f t="shared" si="1"/>
        <v>11</v>
      </c>
      <c r="E4141" s="13">
        <f t="shared" si="2"/>
        <v>12</v>
      </c>
    </row>
    <row r="4142">
      <c r="A4142" s="4" t="s">
        <v>4603</v>
      </c>
      <c r="B4142" s="4" t="s">
        <v>4581</v>
      </c>
      <c r="C4142" s="12">
        <f>IFERROR(__xludf.DUMMYFUNCTION("""COMPUTED_VALUE"""),44662.520416666666)</f>
        <v>44662.52042</v>
      </c>
      <c r="D4142" s="13">
        <f t="shared" si="1"/>
        <v>11</v>
      </c>
      <c r="E4142" s="13">
        <f t="shared" si="2"/>
        <v>12</v>
      </c>
    </row>
    <row r="4143">
      <c r="A4143" s="4" t="s">
        <v>4603</v>
      </c>
      <c r="B4143" s="4" t="s">
        <v>4155</v>
      </c>
      <c r="C4143" s="12">
        <f>IFERROR(__xludf.DUMMYFUNCTION("""COMPUTED_VALUE"""),44662.520416666666)</f>
        <v>44662.52042</v>
      </c>
      <c r="D4143" s="13">
        <f t="shared" si="1"/>
        <v>11</v>
      </c>
      <c r="E4143" s="13">
        <f t="shared" si="2"/>
        <v>12</v>
      </c>
    </row>
    <row r="4144">
      <c r="A4144" s="4" t="s">
        <v>4604</v>
      </c>
      <c r="B4144" s="4" t="s">
        <v>4155</v>
      </c>
      <c r="C4144" s="12">
        <f>IFERROR(__xludf.DUMMYFUNCTION("""COMPUTED_VALUE"""),44662.52040509259)</f>
        <v>44662.52041</v>
      </c>
      <c r="D4144" s="13">
        <f t="shared" si="1"/>
        <v>11</v>
      </c>
      <c r="E4144" s="13">
        <f t="shared" si="2"/>
        <v>12</v>
      </c>
    </row>
    <row r="4145">
      <c r="A4145" s="4" t="s">
        <v>4605</v>
      </c>
      <c r="B4145" s="16"/>
      <c r="C4145" s="12">
        <f>IFERROR(__xludf.DUMMYFUNCTION("""COMPUTED_VALUE"""),44662.52039351851)</f>
        <v>44662.52039</v>
      </c>
      <c r="D4145" s="13">
        <f t="shared" si="1"/>
        <v>11</v>
      </c>
      <c r="E4145" s="13">
        <f t="shared" si="2"/>
        <v>12</v>
      </c>
    </row>
    <row r="4146">
      <c r="A4146" s="4" t="s">
        <v>4606</v>
      </c>
      <c r="B4146" s="4" t="s">
        <v>143</v>
      </c>
      <c r="C4146" s="12">
        <f>IFERROR(__xludf.DUMMYFUNCTION("""COMPUTED_VALUE"""),44662.5203587963)</f>
        <v>44662.52036</v>
      </c>
      <c r="D4146" s="13">
        <f t="shared" si="1"/>
        <v>11</v>
      </c>
      <c r="E4146" s="13">
        <f t="shared" si="2"/>
        <v>12</v>
      </c>
    </row>
    <row r="4147">
      <c r="A4147" s="4" t="s">
        <v>4606</v>
      </c>
      <c r="B4147" s="16"/>
      <c r="C4147" s="12">
        <f>IFERROR(__xludf.DUMMYFUNCTION("""COMPUTED_VALUE"""),44662.5203587963)</f>
        <v>44662.52036</v>
      </c>
      <c r="D4147" s="13">
        <f t="shared" si="1"/>
        <v>11</v>
      </c>
      <c r="E4147" s="13">
        <f t="shared" si="2"/>
        <v>12</v>
      </c>
    </row>
    <row r="4148">
      <c r="A4148" s="4" t="s">
        <v>4607</v>
      </c>
      <c r="B4148" s="16"/>
      <c r="C4148" s="12">
        <f>IFERROR(__xludf.DUMMYFUNCTION("""COMPUTED_VALUE"""),44662.52034722222)</f>
        <v>44662.52035</v>
      </c>
      <c r="D4148" s="13">
        <f t="shared" si="1"/>
        <v>11</v>
      </c>
      <c r="E4148" s="13">
        <f t="shared" si="2"/>
        <v>12</v>
      </c>
    </row>
    <row r="4149">
      <c r="A4149" s="4" t="s">
        <v>4608</v>
      </c>
      <c r="B4149" s="16"/>
      <c r="C4149" s="12">
        <f>IFERROR(__xludf.DUMMYFUNCTION("""COMPUTED_VALUE"""),44662.52025462963)</f>
        <v>44662.52025</v>
      </c>
      <c r="D4149" s="13">
        <f t="shared" si="1"/>
        <v>11</v>
      </c>
      <c r="E4149" s="13">
        <f t="shared" si="2"/>
        <v>12</v>
      </c>
    </row>
    <row r="4150">
      <c r="A4150" s="4" t="s">
        <v>4609</v>
      </c>
      <c r="B4150" s="16"/>
      <c r="C4150" s="12">
        <f>IFERROR(__xludf.DUMMYFUNCTION("""COMPUTED_VALUE"""),44662.52017361111)</f>
        <v>44662.52017</v>
      </c>
      <c r="D4150" s="13">
        <f t="shared" si="1"/>
        <v>11</v>
      </c>
      <c r="E4150" s="13">
        <f t="shared" si="2"/>
        <v>12</v>
      </c>
    </row>
    <row r="4151">
      <c r="A4151" s="4" t="s">
        <v>4609</v>
      </c>
      <c r="B4151" s="16"/>
      <c r="C4151" s="12">
        <f>IFERROR(__xludf.DUMMYFUNCTION("""COMPUTED_VALUE"""),44662.52017361111)</f>
        <v>44662.52017</v>
      </c>
      <c r="D4151" s="13">
        <f t="shared" si="1"/>
        <v>11</v>
      </c>
      <c r="E4151" s="13">
        <f t="shared" si="2"/>
        <v>12</v>
      </c>
    </row>
    <row r="4152">
      <c r="A4152" s="4" t="s">
        <v>4610</v>
      </c>
      <c r="B4152" s="4" t="s">
        <v>4406</v>
      </c>
      <c r="C4152" s="12">
        <f>IFERROR(__xludf.DUMMYFUNCTION("""COMPUTED_VALUE"""),44662.52012731481)</f>
        <v>44662.52013</v>
      </c>
      <c r="D4152" s="13">
        <f t="shared" si="1"/>
        <v>11</v>
      </c>
      <c r="E4152" s="13">
        <f t="shared" si="2"/>
        <v>12</v>
      </c>
    </row>
    <row r="4153">
      <c r="A4153" s="4" t="s">
        <v>4611</v>
      </c>
      <c r="B4153" s="4" t="s">
        <v>4523</v>
      </c>
      <c r="C4153" s="12">
        <f>IFERROR(__xludf.DUMMYFUNCTION("""COMPUTED_VALUE"""),44662.5200462963)</f>
        <v>44662.52005</v>
      </c>
      <c r="D4153" s="13">
        <f t="shared" si="1"/>
        <v>11</v>
      </c>
      <c r="E4153" s="13">
        <f t="shared" si="2"/>
        <v>12</v>
      </c>
    </row>
    <row r="4154">
      <c r="A4154" s="4" t="s">
        <v>4611</v>
      </c>
      <c r="B4154" s="4" t="s">
        <v>4523</v>
      </c>
      <c r="C4154" s="12">
        <f>IFERROR(__xludf.DUMMYFUNCTION("""COMPUTED_VALUE"""),44662.5200462963)</f>
        <v>44662.52005</v>
      </c>
      <c r="D4154" s="13">
        <f t="shared" si="1"/>
        <v>11</v>
      </c>
      <c r="E4154" s="13">
        <f t="shared" si="2"/>
        <v>12</v>
      </c>
    </row>
    <row r="4155">
      <c r="A4155" s="4" t="s">
        <v>4612</v>
      </c>
      <c r="B4155" s="4" t="s">
        <v>2441</v>
      </c>
      <c r="C4155" s="12">
        <f>IFERROR(__xludf.DUMMYFUNCTION("""COMPUTED_VALUE"""),44662.52)</f>
        <v>44662.52</v>
      </c>
      <c r="D4155" s="13">
        <f t="shared" si="1"/>
        <v>11</v>
      </c>
      <c r="E4155" s="13">
        <f t="shared" si="2"/>
        <v>12</v>
      </c>
    </row>
    <row r="4156">
      <c r="A4156" s="4" t="s">
        <v>4613</v>
      </c>
      <c r="B4156" s="4" t="s">
        <v>2441</v>
      </c>
      <c r="C4156" s="12">
        <f>IFERROR(__xludf.DUMMYFUNCTION("""COMPUTED_VALUE"""),44662.51997685185)</f>
        <v>44662.51998</v>
      </c>
      <c r="D4156" s="13">
        <f t="shared" si="1"/>
        <v>11</v>
      </c>
      <c r="E4156" s="13">
        <f t="shared" si="2"/>
        <v>12</v>
      </c>
    </row>
    <row r="4157">
      <c r="A4157" s="4" t="s">
        <v>4614</v>
      </c>
      <c r="B4157" s="4" t="s">
        <v>2441</v>
      </c>
      <c r="C4157" s="12">
        <f>IFERROR(__xludf.DUMMYFUNCTION("""COMPUTED_VALUE"""),44662.519953703704)</f>
        <v>44662.51995</v>
      </c>
      <c r="D4157" s="13">
        <f t="shared" si="1"/>
        <v>11</v>
      </c>
      <c r="E4157" s="13">
        <f t="shared" si="2"/>
        <v>12</v>
      </c>
    </row>
    <row r="4158">
      <c r="A4158" s="4" t="s">
        <v>4615</v>
      </c>
      <c r="B4158" s="4" t="s">
        <v>2441</v>
      </c>
      <c r="C4158" s="12">
        <f>IFERROR(__xludf.DUMMYFUNCTION("""COMPUTED_VALUE"""),44662.51993055555)</f>
        <v>44662.51993</v>
      </c>
      <c r="D4158" s="13">
        <f t="shared" si="1"/>
        <v>11</v>
      </c>
      <c r="E4158" s="13">
        <f t="shared" si="2"/>
        <v>12</v>
      </c>
    </row>
    <row r="4159">
      <c r="A4159" s="4" t="s">
        <v>4616</v>
      </c>
      <c r="B4159" s="4" t="s">
        <v>2441</v>
      </c>
      <c r="C4159" s="12">
        <f>IFERROR(__xludf.DUMMYFUNCTION("""COMPUTED_VALUE"""),44662.51991898148)</f>
        <v>44662.51992</v>
      </c>
      <c r="D4159" s="13">
        <f t="shared" si="1"/>
        <v>11</v>
      </c>
      <c r="E4159" s="13">
        <f t="shared" si="2"/>
        <v>12</v>
      </c>
    </row>
    <row r="4160">
      <c r="A4160" s="4" t="s">
        <v>4616</v>
      </c>
      <c r="B4160" s="4" t="s">
        <v>4617</v>
      </c>
      <c r="C4160" s="12">
        <f>IFERROR(__xludf.DUMMYFUNCTION("""COMPUTED_VALUE"""),44662.51991898148)</f>
        <v>44662.51992</v>
      </c>
      <c r="D4160" s="13">
        <f t="shared" si="1"/>
        <v>11</v>
      </c>
      <c r="E4160" s="13">
        <f t="shared" si="2"/>
        <v>12</v>
      </c>
    </row>
    <row r="4161">
      <c r="A4161" s="4" t="s">
        <v>4618</v>
      </c>
      <c r="B4161" s="4" t="s">
        <v>4553</v>
      </c>
      <c r="C4161" s="12">
        <f>IFERROR(__xludf.DUMMYFUNCTION("""COMPUTED_VALUE"""),44662.519907407404)</f>
        <v>44662.51991</v>
      </c>
      <c r="D4161" s="13">
        <f t="shared" si="1"/>
        <v>11</v>
      </c>
      <c r="E4161" s="13">
        <f t="shared" si="2"/>
        <v>12</v>
      </c>
    </row>
    <row r="4162">
      <c r="A4162" s="4" t="s">
        <v>4619</v>
      </c>
      <c r="B4162" s="4" t="s">
        <v>4523</v>
      </c>
      <c r="C4162" s="12">
        <f>IFERROR(__xludf.DUMMYFUNCTION("""COMPUTED_VALUE"""),44662.51989583333)</f>
        <v>44662.5199</v>
      </c>
      <c r="D4162" s="13">
        <f t="shared" si="1"/>
        <v>11</v>
      </c>
      <c r="E4162" s="13">
        <f t="shared" si="2"/>
        <v>12</v>
      </c>
    </row>
    <row r="4163">
      <c r="A4163" s="4" t="s">
        <v>4619</v>
      </c>
      <c r="B4163" s="4" t="s">
        <v>4523</v>
      </c>
      <c r="C4163" s="12">
        <f>IFERROR(__xludf.DUMMYFUNCTION("""COMPUTED_VALUE"""),44662.51989583333)</f>
        <v>44662.5199</v>
      </c>
      <c r="D4163" s="13">
        <f t="shared" si="1"/>
        <v>11</v>
      </c>
      <c r="E4163" s="13">
        <f t="shared" si="2"/>
        <v>12</v>
      </c>
    </row>
    <row r="4164">
      <c r="A4164" s="4" t="s">
        <v>4620</v>
      </c>
      <c r="B4164" s="16"/>
      <c r="C4164" s="12">
        <f>IFERROR(__xludf.DUMMYFUNCTION("""COMPUTED_VALUE"""),44662.51987268518)</f>
        <v>44662.51987</v>
      </c>
      <c r="D4164" s="13">
        <f t="shared" si="1"/>
        <v>11</v>
      </c>
      <c r="E4164" s="13">
        <f t="shared" si="2"/>
        <v>12</v>
      </c>
    </row>
    <row r="4165">
      <c r="A4165" s="4" t="s">
        <v>4621</v>
      </c>
      <c r="B4165" s="16"/>
      <c r="C4165" s="12">
        <f>IFERROR(__xludf.DUMMYFUNCTION("""COMPUTED_VALUE"""),44662.51986111111)</f>
        <v>44662.51986</v>
      </c>
      <c r="D4165" s="13">
        <f t="shared" si="1"/>
        <v>11</v>
      </c>
      <c r="E4165" s="13">
        <f t="shared" si="2"/>
        <v>12</v>
      </c>
    </row>
    <row r="4166">
      <c r="A4166" s="4" t="s">
        <v>4621</v>
      </c>
      <c r="B4166" s="16"/>
      <c r="C4166" s="12">
        <f>IFERROR(__xludf.DUMMYFUNCTION("""COMPUTED_VALUE"""),44662.51986111111)</f>
        <v>44662.51986</v>
      </c>
      <c r="D4166" s="13">
        <f t="shared" si="1"/>
        <v>11</v>
      </c>
      <c r="E4166" s="13">
        <f t="shared" si="2"/>
        <v>12</v>
      </c>
    </row>
    <row r="4167">
      <c r="A4167" s="4" t="s">
        <v>4622</v>
      </c>
      <c r="B4167" s="4" t="s">
        <v>2703</v>
      </c>
      <c r="C4167" s="12">
        <f>IFERROR(__xludf.DUMMYFUNCTION("""COMPUTED_VALUE"""),44662.51983796296)</f>
        <v>44662.51984</v>
      </c>
      <c r="D4167" s="13">
        <f t="shared" si="1"/>
        <v>11</v>
      </c>
      <c r="E4167" s="13">
        <f t="shared" si="2"/>
        <v>12</v>
      </c>
    </row>
    <row r="4168">
      <c r="A4168" s="4" t="s">
        <v>4623</v>
      </c>
      <c r="B4168" s="16"/>
      <c r="C4168" s="12">
        <f>IFERROR(__xludf.DUMMYFUNCTION("""COMPUTED_VALUE"""),44662.51982638889)</f>
        <v>44662.51983</v>
      </c>
      <c r="D4168" s="13">
        <f t="shared" si="1"/>
        <v>11</v>
      </c>
      <c r="E4168" s="13">
        <f t="shared" si="2"/>
        <v>12</v>
      </c>
    </row>
    <row r="4169">
      <c r="A4169" s="4" t="s">
        <v>4624</v>
      </c>
      <c r="B4169" s="4" t="s">
        <v>143</v>
      </c>
      <c r="C4169" s="12">
        <f>IFERROR(__xludf.DUMMYFUNCTION("""COMPUTED_VALUE"""),44662.51981481481)</f>
        <v>44662.51981</v>
      </c>
      <c r="D4169" s="13">
        <f t="shared" si="1"/>
        <v>11</v>
      </c>
      <c r="E4169" s="13">
        <f t="shared" si="2"/>
        <v>12</v>
      </c>
    </row>
    <row r="4170">
      <c r="A4170" s="4" t="s">
        <v>4625</v>
      </c>
      <c r="B4170" s="4" t="s">
        <v>143</v>
      </c>
      <c r="C4170" s="12">
        <f>IFERROR(__xludf.DUMMYFUNCTION("""COMPUTED_VALUE"""),44662.519791666666)</f>
        <v>44662.51979</v>
      </c>
      <c r="D4170" s="13">
        <f t="shared" si="1"/>
        <v>11</v>
      </c>
      <c r="E4170" s="13">
        <f t="shared" si="2"/>
        <v>12</v>
      </c>
    </row>
    <row r="4171">
      <c r="A4171" s="4" t="s">
        <v>4626</v>
      </c>
      <c r="B4171" s="4" t="s">
        <v>143</v>
      </c>
      <c r="C4171" s="12">
        <f>IFERROR(__xludf.DUMMYFUNCTION("""COMPUTED_VALUE"""),44662.51976851852)</f>
        <v>44662.51977</v>
      </c>
      <c r="D4171" s="13">
        <f t="shared" si="1"/>
        <v>11</v>
      </c>
      <c r="E4171" s="13">
        <f t="shared" si="2"/>
        <v>12</v>
      </c>
    </row>
    <row r="4172">
      <c r="A4172" s="4" t="s">
        <v>4627</v>
      </c>
      <c r="B4172" s="4" t="s">
        <v>143</v>
      </c>
      <c r="C4172" s="12">
        <f>IFERROR(__xludf.DUMMYFUNCTION("""COMPUTED_VALUE"""),44662.519745370366)</f>
        <v>44662.51975</v>
      </c>
      <c r="D4172" s="13">
        <f t="shared" si="1"/>
        <v>11</v>
      </c>
      <c r="E4172" s="13">
        <f t="shared" si="2"/>
        <v>12</v>
      </c>
    </row>
    <row r="4173">
      <c r="A4173" s="4" t="s">
        <v>4628</v>
      </c>
      <c r="B4173" s="4" t="s">
        <v>143</v>
      </c>
      <c r="C4173" s="12">
        <f>IFERROR(__xludf.DUMMYFUNCTION("""COMPUTED_VALUE"""),44662.519733796296)</f>
        <v>44662.51973</v>
      </c>
      <c r="D4173" s="13">
        <f t="shared" si="1"/>
        <v>11</v>
      </c>
      <c r="E4173" s="13">
        <f t="shared" si="2"/>
        <v>12</v>
      </c>
    </row>
    <row r="4174">
      <c r="A4174" s="4" t="s">
        <v>4628</v>
      </c>
      <c r="B4174" s="4" t="s">
        <v>4553</v>
      </c>
      <c r="C4174" s="12">
        <f>IFERROR(__xludf.DUMMYFUNCTION("""COMPUTED_VALUE"""),44662.519733796296)</f>
        <v>44662.51973</v>
      </c>
      <c r="D4174" s="13">
        <f t="shared" si="1"/>
        <v>11</v>
      </c>
      <c r="E4174" s="13">
        <f t="shared" si="2"/>
        <v>12</v>
      </c>
    </row>
    <row r="4175">
      <c r="A4175" s="4" t="s">
        <v>4629</v>
      </c>
      <c r="B4175" s="4" t="s">
        <v>4553</v>
      </c>
      <c r="C4175" s="12">
        <f>IFERROR(__xludf.DUMMYFUNCTION("""COMPUTED_VALUE"""),44662.51971064814)</f>
        <v>44662.51971</v>
      </c>
      <c r="D4175" s="13">
        <f t="shared" si="1"/>
        <v>11</v>
      </c>
      <c r="E4175" s="13">
        <f t="shared" si="2"/>
        <v>12</v>
      </c>
    </row>
    <row r="4176">
      <c r="A4176" s="4" t="s">
        <v>4629</v>
      </c>
      <c r="B4176" s="16"/>
      <c r="C4176" s="12">
        <f>IFERROR(__xludf.DUMMYFUNCTION("""COMPUTED_VALUE"""),44662.51971064814)</f>
        <v>44662.51971</v>
      </c>
      <c r="D4176" s="13">
        <f t="shared" si="1"/>
        <v>11</v>
      </c>
      <c r="E4176" s="13">
        <f t="shared" si="2"/>
        <v>12</v>
      </c>
    </row>
    <row r="4177">
      <c r="A4177" s="4" t="s">
        <v>4629</v>
      </c>
      <c r="B4177" s="16"/>
      <c r="C4177" s="12">
        <f>IFERROR(__xludf.DUMMYFUNCTION("""COMPUTED_VALUE"""),44662.51971064814)</f>
        <v>44662.51971</v>
      </c>
      <c r="D4177" s="13">
        <f t="shared" si="1"/>
        <v>11</v>
      </c>
      <c r="E4177" s="13">
        <f t="shared" si="2"/>
        <v>12</v>
      </c>
    </row>
    <row r="4178">
      <c r="A4178" s="4" t="s">
        <v>4630</v>
      </c>
      <c r="B4178" s="4" t="s">
        <v>4553</v>
      </c>
      <c r="C4178" s="12">
        <f>IFERROR(__xludf.DUMMYFUNCTION("""COMPUTED_VALUE"""),44662.51969907407)</f>
        <v>44662.5197</v>
      </c>
      <c r="D4178" s="13">
        <f t="shared" si="1"/>
        <v>11</v>
      </c>
      <c r="E4178" s="13">
        <f t="shared" si="2"/>
        <v>12</v>
      </c>
    </row>
    <row r="4179">
      <c r="A4179" s="4" t="s">
        <v>4631</v>
      </c>
      <c r="B4179" s="16"/>
      <c r="C4179" s="12">
        <f>IFERROR(__xludf.DUMMYFUNCTION("""COMPUTED_VALUE"""),44662.51967592593)</f>
        <v>44662.51968</v>
      </c>
      <c r="D4179" s="13">
        <f t="shared" si="1"/>
        <v>11</v>
      </c>
      <c r="E4179" s="13">
        <f t="shared" si="2"/>
        <v>12</v>
      </c>
    </row>
    <row r="4180">
      <c r="A4180" s="4" t="s">
        <v>4632</v>
      </c>
      <c r="B4180" s="4" t="s">
        <v>4553</v>
      </c>
      <c r="C4180" s="12">
        <f>IFERROR(__xludf.DUMMYFUNCTION("""COMPUTED_VALUE"""),44662.51966435185)</f>
        <v>44662.51966</v>
      </c>
      <c r="D4180" s="13">
        <f t="shared" si="1"/>
        <v>11</v>
      </c>
      <c r="E4180" s="13">
        <f t="shared" si="2"/>
        <v>12</v>
      </c>
    </row>
    <row r="4181">
      <c r="A4181" s="4" t="s">
        <v>4633</v>
      </c>
      <c r="B4181" s="4" t="s">
        <v>4553</v>
      </c>
      <c r="C4181" s="12">
        <f>IFERROR(__xludf.DUMMYFUNCTION("""COMPUTED_VALUE"""),44662.51965277777)</f>
        <v>44662.51965</v>
      </c>
      <c r="D4181" s="13">
        <f t="shared" si="1"/>
        <v>11</v>
      </c>
      <c r="E4181" s="13">
        <f t="shared" si="2"/>
        <v>12</v>
      </c>
    </row>
    <row r="4182">
      <c r="A4182" s="4" t="s">
        <v>4634</v>
      </c>
      <c r="B4182" s="4" t="s">
        <v>4553</v>
      </c>
      <c r="C4182" s="12">
        <f>IFERROR(__xludf.DUMMYFUNCTION("""COMPUTED_VALUE"""),44662.51962962963)</f>
        <v>44662.51963</v>
      </c>
      <c r="D4182" s="13">
        <f t="shared" si="1"/>
        <v>11</v>
      </c>
      <c r="E4182" s="13">
        <f t="shared" si="2"/>
        <v>12</v>
      </c>
    </row>
    <row r="4183">
      <c r="A4183" s="4" t="s">
        <v>4635</v>
      </c>
      <c r="B4183" s="16"/>
      <c r="C4183" s="12">
        <f>IFERROR(__xludf.DUMMYFUNCTION("""COMPUTED_VALUE"""),44662.51960648148)</f>
        <v>44662.51961</v>
      </c>
      <c r="D4183" s="13">
        <f t="shared" si="1"/>
        <v>11</v>
      </c>
      <c r="E4183" s="13">
        <f t="shared" si="2"/>
        <v>12</v>
      </c>
    </row>
    <row r="4184">
      <c r="A4184" s="4" t="s">
        <v>4636</v>
      </c>
      <c r="B4184" s="4" t="s">
        <v>4553</v>
      </c>
      <c r="C4184" s="12">
        <f>IFERROR(__xludf.DUMMYFUNCTION("""COMPUTED_VALUE"""),44662.519594907404)</f>
        <v>44662.51959</v>
      </c>
      <c r="D4184" s="13">
        <f t="shared" si="1"/>
        <v>11</v>
      </c>
      <c r="E4184" s="13">
        <f t="shared" si="2"/>
        <v>12</v>
      </c>
    </row>
    <row r="4185">
      <c r="A4185" s="4" t="s">
        <v>4637</v>
      </c>
      <c r="B4185" s="4" t="s">
        <v>4553</v>
      </c>
      <c r="C4185" s="12">
        <f>IFERROR(__xludf.DUMMYFUNCTION("""COMPUTED_VALUE"""),44662.519537037035)</f>
        <v>44662.51954</v>
      </c>
      <c r="D4185" s="13">
        <f t="shared" si="1"/>
        <v>11</v>
      </c>
      <c r="E4185" s="13">
        <f t="shared" si="2"/>
        <v>12</v>
      </c>
    </row>
    <row r="4186">
      <c r="A4186" s="4" t="s">
        <v>4638</v>
      </c>
      <c r="B4186" s="4" t="s">
        <v>3866</v>
      </c>
      <c r="C4186" s="12">
        <f>IFERROR(__xludf.DUMMYFUNCTION("""COMPUTED_VALUE"""),44662.51951388889)</f>
        <v>44662.51951</v>
      </c>
      <c r="D4186" s="13">
        <f t="shared" si="1"/>
        <v>11</v>
      </c>
      <c r="E4186" s="13">
        <f t="shared" si="2"/>
        <v>12</v>
      </c>
    </row>
    <row r="4187">
      <c r="A4187" s="4" t="s">
        <v>4639</v>
      </c>
      <c r="B4187" s="4" t="s">
        <v>4553</v>
      </c>
      <c r="C4187" s="12">
        <f>IFERROR(__xludf.DUMMYFUNCTION("""COMPUTED_VALUE"""),44662.519490740735)</f>
        <v>44662.51949</v>
      </c>
      <c r="D4187" s="13">
        <f t="shared" si="1"/>
        <v>11</v>
      </c>
      <c r="E4187" s="13">
        <f t="shared" si="2"/>
        <v>12</v>
      </c>
    </row>
    <row r="4188">
      <c r="A4188" s="4" t="s">
        <v>4640</v>
      </c>
      <c r="B4188" s="16"/>
      <c r="C4188" s="12">
        <f>IFERROR(__xludf.DUMMYFUNCTION("""COMPUTED_VALUE"""),44662.51946759259)</f>
        <v>44662.51947</v>
      </c>
      <c r="D4188" s="13">
        <f t="shared" si="1"/>
        <v>11</v>
      </c>
      <c r="E4188" s="13">
        <f t="shared" si="2"/>
        <v>12</v>
      </c>
    </row>
    <row r="4189">
      <c r="A4189" s="4" t="s">
        <v>4641</v>
      </c>
      <c r="B4189" s="16"/>
      <c r="C4189" s="12">
        <f>IFERROR(__xludf.DUMMYFUNCTION("""COMPUTED_VALUE"""),44662.51944444444)</f>
        <v>44662.51944</v>
      </c>
      <c r="D4189" s="13">
        <f t="shared" si="1"/>
        <v>11</v>
      </c>
      <c r="E4189" s="13">
        <f t="shared" si="2"/>
        <v>12</v>
      </c>
    </row>
    <row r="4190">
      <c r="A4190" s="4" t="s">
        <v>4642</v>
      </c>
      <c r="B4190" s="4" t="s">
        <v>4553</v>
      </c>
      <c r="C4190" s="12">
        <f>IFERROR(__xludf.DUMMYFUNCTION("""COMPUTED_VALUE"""),44662.519421296296)</f>
        <v>44662.51942</v>
      </c>
      <c r="D4190" s="13">
        <f t="shared" si="1"/>
        <v>11</v>
      </c>
      <c r="E4190" s="13">
        <f t="shared" si="2"/>
        <v>12</v>
      </c>
    </row>
    <row r="4191">
      <c r="A4191" s="4" t="s">
        <v>4643</v>
      </c>
      <c r="B4191" s="4" t="s">
        <v>829</v>
      </c>
      <c r="C4191" s="12">
        <f>IFERROR(__xludf.DUMMYFUNCTION("""COMPUTED_VALUE"""),44662.519374999996)</f>
        <v>44662.51938</v>
      </c>
      <c r="D4191" s="13">
        <f t="shared" si="1"/>
        <v>11</v>
      </c>
      <c r="E4191" s="13">
        <f t="shared" si="2"/>
        <v>12</v>
      </c>
    </row>
    <row r="4192">
      <c r="A4192" s="4" t="s">
        <v>4643</v>
      </c>
      <c r="B4192" s="16"/>
      <c r="C4192" s="12">
        <f>IFERROR(__xludf.DUMMYFUNCTION("""COMPUTED_VALUE"""),44662.519374999996)</f>
        <v>44662.51938</v>
      </c>
      <c r="D4192" s="13">
        <f t="shared" si="1"/>
        <v>11</v>
      </c>
      <c r="E4192" s="13">
        <f t="shared" si="2"/>
        <v>12</v>
      </c>
    </row>
    <row r="4193">
      <c r="A4193" s="4" t="s">
        <v>4644</v>
      </c>
      <c r="B4193" s="4" t="s">
        <v>829</v>
      </c>
      <c r="C4193" s="12">
        <f>IFERROR(__xludf.DUMMYFUNCTION("""COMPUTED_VALUE"""),44662.51936342593)</f>
        <v>44662.51936</v>
      </c>
      <c r="D4193" s="13">
        <f t="shared" si="1"/>
        <v>11</v>
      </c>
      <c r="E4193" s="13">
        <f t="shared" si="2"/>
        <v>12</v>
      </c>
    </row>
    <row r="4194">
      <c r="A4194" s="4" t="s">
        <v>4645</v>
      </c>
      <c r="B4194" s="16"/>
      <c r="C4194" s="12">
        <f>IFERROR(__xludf.DUMMYFUNCTION("""COMPUTED_VALUE"""),44662.51934027777)</f>
        <v>44662.51934</v>
      </c>
      <c r="D4194" s="13">
        <f t="shared" si="1"/>
        <v>11</v>
      </c>
      <c r="E4194" s="13">
        <f t="shared" si="2"/>
        <v>12</v>
      </c>
    </row>
    <row r="4195">
      <c r="A4195" s="4" t="s">
        <v>4646</v>
      </c>
      <c r="B4195" s="4" t="s">
        <v>1455</v>
      </c>
      <c r="C4195" s="12">
        <f>IFERROR(__xludf.DUMMYFUNCTION("""COMPUTED_VALUE"""),44662.51931712963)</f>
        <v>44662.51932</v>
      </c>
      <c r="D4195" s="13">
        <f t="shared" si="1"/>
        <v>11</v>
      </c>
      <c r="E4195" s="13">
        <f t="shared" si="2"/>
        <v>12</v>
      </c>
    </row>
    <row r="4196">
      <c r="A4196" s="4" t="s">
        <v>4647</v>
      </c>
      <c r="B4196" s="4" t="s">
        <v>1455</v>
      </c>
      <c r="C4196" s="12">
        <f>IFERROR(__xludf.DUMMYFUNCTION("""COMPUTED_VALUE"""),44662.51929398148)</f>
        <v>44662.51929</v>
      </c>
      <c r="D4196" s="13">
        <f t="shared" si="1"/>
        <v>11</v>
      </c>
      <c r="E4196" s="13">
        <f t="shared" si="2"/>
        <v>12</v>
      </c>
    </row>
    <row r="4197">
      <c r="A4197" s="4" t="s">
        <v>4648</v>
      </c>
      <c r="B4197" s="4" t="s">
        <v>1455</v>
      </c>
      <c r="C4197" s="12">
        <f>IFERROR(__xludf.DUMMYFUNCTION("""COMPUTED_VALUE"""),44662.51925925926)</f>
        <v>44662.51926</v>
      </c>
      <c r="D4197" s="13">
        <f t="shared" si="1"/>
        <v>11</v>
      </c>
      <c r="E4197" s="13">
        <f t="shared" si="2"/>
        <v>12</v>
      </c>
    </row>
    <row r="4198">
      <c r="A4198" s="4" t="s">
        <v>4649</v>
      </c>
      <c r="B4198" s="4" t="s">
        <v>1455</v>
      </c>
      <c r="C4198" s="12">
        <f>IFERROR(__xludf.DUMMYFUNCTION("""COMPUTED_VALUE"""),44662.519224537034)</f>
        <v>44662.51922</v>
      </c>
      <c r="D4198" s="13">
        <f t="shared" si="1"/>
        <v>11</v>
      </c>
      <c r="E4198" s="13">
        <f t="shared" si="2"/>
        <v>12</v>
      </c>
    </row>
    <row r="4199">
      <c r="A4199" s="4" t="s">
        <v>4650</v>
      </c>
      <c r="B4199" s="4" t="s">
        <v>829</v>
      </c>
      <c r="C4199" s="12">
        <f>IFERROR(__xludf.DUMMYFUNCTION("""COMPUTED_VALUE"""),44662.51921296296)</f>
        <v>44662.51921</v>
      </c>
      <c r="D4199" s="13">
        <f t="shared" si="1"/>
        <v>11</v>
      </c>
      <c r="E4199" s="13">
        <f t="shared" si="2"/>
        <v>12</v>
      </c>
    </row>
    <row r="4200">
      <c r="A4200" s="4" t="s">
        <v>4650</v>
      </c>
      <c r="B4200" s="4" t="s">
        <v>4651</v>
      </c>
      <c r="C4200" s="12">
        <f>IFERROR(__xludf.DUMMYFUNCTION("""COMPUTED_VALUE"""),44662.51921296296)</f>
        <v>44662.51921</v>
      </c>
      <c r="D4200" s="13">
        <f t="shared" si="1"/>
        <v>11</v>
      </c>
      <c r="E4200" s="13">
        <f t="shared" si="2"/>
        <v>12</v>
      </c>
    </row>
    <row r="4201">
      <c r="A4201" s="4" t="s">
        <v>4652</v>
      </c>
      <c r="B4201" s="4" t="s">
        <v>1455</v>
      </c>
      <c r="C4201" s="12">
        <f>IFERROR(__xludf.DUMMYFUNCTION("""COMPUTED_VALUE"""),44662.51918981481)</f>
        <v>44662.51919</v>
      </c>
      <c r="D4201" s="13">
        <f t="shared" si="1"/>
        <v>11</v>
      </c>
      <c r="E4201" s="13">
        <f t="shared" si="2"/>
        <v>12</v>
      </c>
    </row>
    <row r="4202">
      <c r="A4202" s="4" t="s">
        <v>4653</v>
      </c>
      <c r="B4202" s="4" t="s">
        <v>4654</v>
      </c>
      <c r="C4202" s="12">
        <f>IFERROR(__xludf.DUMMYFUNCTION("""COMPUTED_VALUE"""),44662.51917824074)</f>
        <v>44662.51918</v>
      </c>
      <c r="D4202" s="13">
        <f t="shared" si="1"/>
        <v>11</v>
      </c>
      <c r="E4202" s="13">
        <f t="shared" si="2"/>
        <v>12</v>
      </c>
    </row>
    <row r="4203">
      <c r="A4203" s="4" t="s">
        <v>4655</v>
      </c>
      <c r="B4203" s="4" t="s">
        <v>1455</v>
      </c>
      <c r="C4203" s="12">
        <f>IFERROR(__xludf.DUMMYFUNCTION("""COMPUTED_VALUE"""),44662.51915509259)</f>
        <v>44662.51916</v>
      </c>
      <c r="D4203" s="13">
        <f t="shared" si="1"/>
        <v>11</v>
      </c>
      <c r="E4203" s="13">
        <f t="shared" si="2"/>
        <v>12</v>
      </c>
    </row>
    <row r="4204">
      <c r="A4204" s="4" t="s">
        <v>4656</v>
      </c>
      <c r="B4204" s="4" t="s">
        <v>4654</v>
      </c>
      <c r="C4204" s="12">
        <f>IFERROR(__xludf.DUMMYFUNCTION("""COMPUTED_VALUE"""),44662.51909722222)</f>
        <v>44662.5191</v>
      </c>
      <c r="D4204" s="13">
        <f t="shared" si="1"/>
        <v>11</v>
      </c>
      <c r="E4204" s="13">
        <f t="shared" si="2"/>
        <v>12</v>
      </c>
    </row>
    <row r="4205">
      <c r="A4205" s="4" t="s">
        <v>4657</v>
      </c>
      <c r="B4205" s="4" t="s">
        <v>829</v>
      </c>
      <c r="C4205" s="12">
        <f>IFERROR(__xludf.DUMMYFUNCTION("""COMPUTED_VALUE"""),44662.51907407407)</f>
        <v>44662.51907</v>
      </c>
      <c r="D4205" s="13">
        <f t="shared" si="1"/>
        <v>11</v>
      </c>
      <c r="E4205" s="13">
        <f t="shared" si="2"/>
        <v>12</v>
      </c>
    </row>
    <row r="4206">
      <c r="A4206" s="4" t="s">
        <v>4658</v>
      </c>
      <c r="B4206" s="4" t="s">
        <v>829</v>
      </c>
      <c r="C4206" s="12">
        <f>IFERROR(__xludf.DUMMYFUNCTION("""COMPUTED_VALUE"""),44662.51905092593)</f>
        <v>44662.51905</v>
      </c>
      <c r="D4206" s="13">
        <f t="shared" si="1"/>
        <v>11</v>
      </c>
      <c r="E4206" s="13">
        <f t="shared" si="2"/>
        <v>12</v>
      </c>
    </row>
    <row r="4207">
      <c r="A4207" s="4" t="s">
        <v>4659</v>
      </c>
      <c r="B4207" s="4" t="s">
        <v>1455</v>
      </c>
      <c r="C4207" s="12">
        <f>IFERROR(__xludf.DUMMYFUNCTION("""COMPUTED_VALUE"""),44662.51902777777)</f>
        <v>44662.51903</v>
      </c>
      <c r="D4207" s="13">
        <f t="shared" si="1"/>
        <v>11</v>
      </c>
      <c r="E4207" s="13">
        <f t="shared" si="2"/>
        <v>12</v>
      </c>
    </row>
    <row r="4208">
      <c r="A4208" s="4" t="s">
        <v>4660</v>
      </c>
      <c r="B4208" s="16"/>
      <c r="C4208" s="12">
        <f>IFERROR(__xludf.DUMMYFUNCTION("""COMPUTED_VALUE"""),44662.51888888889)</f>
        <v>44662.51889</v>
      </c>
      <c r="D4208" s="13">
        <f t="shared" si="1"/>
        <v>11</v>
      </c>
      <c r="E4208" s="13">
        <f t="shared" si="2"/>
        <v>12</v>
      </c>
    </row>
    <row r="4209">
      <c r="A4209" s="4" t="s">
        <v>4661</v>
      </c>
      <c r="B4209" s="16"/>
      <c r="C4209" s="12">
        <f>IFERROR(__xludf.DUMMYFUNCTION("""COMPUTED_VALUE"""),44662.51883101852)</f>
        <v>44662.51883</v>
      </c>
      <c r="D4209" s="13">
        <f t="shared" si="1"/>
        <v>11</v>
      </c>
      <c r="E4209" s="13">
        <f t="shared" si="2"/>
        <v>12</v>
      </c>
    </row>
    <row r="4210">
      <c r="A4210" s="4" t="s">
        <v>4662</v>
      </c>
      <c r="B4210" s="4" t="s">
        <v>4654</v>
      </c>
      <c r="C4210" s="12">
        <f>IFERROR(__xludf.DUMMYFUNCTION("""COMPUTED_VALUE"""),44662.51876157407)</f>
        <v>44662.51876</v>
      </c>
      <c r="D4210" s="13">
        <f t="shared" si="1"/>
        <v>11</v>
      </c>
      <c r="E4210" s="13">
        <f t="shared" si="2"/>
        <v>12</v>
      </c>
    </row>
    <row r="4211">
      <c r="A4211" s="4" t="s">
        <v>4663</v>
      </c>
      <c r="B4211" s="4" t="s">
        <v>4664</v>
      </c>
      <c r="C4211" s="12">
        <f>IFERROR(__xludf.DUMMYFUNCTION("""COMPUTED_VALUE"""),44662.5186574074)</f>
        <v>44662.51866</v>
      </c>
      <c r="D4211" s="13">
        <f t="shared" si="1"/>
        <v>11</v>
      </c>
      <c r="E4211" s="13">
        <f t="shared" si="2"/>
        <v>12</v>
      </c>
    </row>
    <row r="4212">
      <c r="A4212" s="4" t="s">
        <v>4663</v>
      </c>
      <c r="B4212" s="4" t="s">
        <v>4664</v>
      </c>
      <c r="C4212" s="12">
        <f>IFERROR(__xludf.DUMMYFUNCTION("""COMPUTED_VALUE"""),44662.5186574074)</f>
        <v>44662.51866</v>
      </c>
      <c r="D4212" s="13">
        <f t="shared" si="1"/>
        <v>11</v>
      </c>
      <c r="E4212" s="13">
        <f t="shared" si="2"/>
        <v>12</v>
      </c>
    </row>
    <row r="4213">
      <c r="A4213" s="4" t="s">
        <v>4665</v>
      </c>
      <c r="B4213" s="16"/>
      <c r="C4213" s="12">
        <f>IFERROR(__xludf.DUMMYFUNCTION("""COMPUTED_VALUE"""),44662.51858796296)</f>
        <v>44662.51859</v>
      </c>
      <c r="D4213" s="13">
        <f t="shared" si="1"/>
        <v>11</v>
      </c>
      <c r="E4213" s="13">
        <f t="shared" si="2"/>
        <v>12</v>
      </c>
    </row>
    <row r="4214">
      <c r="A4214" s="4" t="s">
        <v>4666</v>
      </c>
      <c r="B4214" s="4" t="s">
        <v>4654</v>
      </c>
      <c r="C4214" s="12">
        <f>IFERROR(__xludf.DUMMYFUNCTION("""COMPUTED_VALUE"""),44662.518541666665)</f>
        <v>44662.51854</v>
      </c>
      <c r="D4214" s="13">
        <f t="shared" si="1"/>
        <v>11</v>
      </c>
      <c r="E4214" s="13">
        <f t="shared" si="2"/>
        <v>12</v>
      </c>
    </row>
    <row r="4215">
      <c r="A4215" s="4" t="s">
        <v>4667</v>
      </c>
      <c r="B4215" s="4" t="s">
        <v>4523</v>
      </c>
      <c r="C4215" s="12">
        <f>IFERROR(__xludf.DUMMYFUNCTION("""COMPUTED_VALUE"""),44662.518495370365)</f>
        <v>44662.5185</v>
      </c>
      <c r="D4215" s="13">
        <f t="shared" si="1"/>
        <v>11</v>
      </c>
      <c r="E4215" s="13">
        <f t="shared" si="2"/>
        <v>12</v>
      </c>
    </row>
    <row r="4216">
      <c r="A4216" s="4" t="s">
        <v>4667</v>
      </c>
      <c r="B4216" s="4" t="s">
        <v>4523</v>
      </c>
      <c r="C4216" s="12">
        <f>IFERROR(__xludf.DUMMYFUNCTION("""COMPUTED_VALUE"""),44662.518495370365)</f>
        <v>44662.5185</v>
      </c>
      <c r="D4216" s="13">
        <f t="shared" si="1"/>
        <v>11</v>
      </c>
      <c r="E4216" s="13">
        <f t="shared" si="2"/>
        <v>12</v>
      </c>
    </row>
    <row r="4217">
      <c r="A4217" s="4" t="s">
        <v>4668</v>
      </c>
      <c r="B4217" s="16"/>
      <c r="C4217" s="12">
        <f>IFERROR(__xludf.DUMMYFUNCTION("""COMPUTED_VALUE"""),44662.51833333333)</f>
        <v>44662.51833</v>
      </c>
      <c r="D4217" s="13">
        <f t="shared" si="1"/>
        <v>11</v>
      </c>
      <c r="E4217" s="13">
        <f t="shared" si="2"/>
        <v>12</v>
      </c>
    </row>
    <row r="4218">
      <c r="A4218" s="4" t="s">
        <v>4669</v>
      </c>
      <c r="B4218" s="4" t="s">
        <v>4670</v>
      </c>
      <c r="C4218" s="12">
        <f>IFERROR(__xludf.DUMMYFUNCTION("""COMPUTED_VALUE"""),44662.51826388889)</f>
        <v>44662.51826</v>
      </c>
      <c r="D4218" s="13">
        <f t="shared" si="1"/>
        <v>11</v>
      </c>
      <c r="E4218" s="13">
        <f t="shared" si="2"/>
        <v>12</v>
      </c>
    </row>
    <row r="4219">
      <c r="A4219" s="4" t="s">
        <v>4671</v>
      </c>
      <c r="B4219" s="4" t="s">
        <v>4672</v>
      </c>
      <c r="C4219" s="12">
        <f>IFERROR(__xludf.DUMMYFUNCTION("""COMPUTED_VALUE"""),44662.518171296295)</f>
        <v>44662.51817</v>
      </c>
      <c r="D4219" s="13">
        <f t="shared" si="1"/>
        <v>11</v>
      </c>
      <c r="E4219" s="13">
        <f t="shared" si="2"/>
        <v>12</v>
      </c>
    </row>
    <row r="4220">
      <c r="A4220" s="4" t="s">
        <v>4673</v>
      </c>
      <c r="B4220" s="4" t="s">
        <v>4670</v>
      </c>
      <c r="C4220" s="12">
        <f>IFERROR(__xludf.DUMMYFUNCTION("""COMPUTED_VALUE"""),44662.51815972222)</f>
        <v>44662.51816</v>
      </c>
      <c r="D4220" s="13">
        <f t="shared" si="1"/>
        <v>11</v>
      </c>
      <c r="E4220" s="13">
        <f t="shared" si="2"/>
        <v>12</v>
      </c>
    </row>
    <row r="4221">
      <c r="A4221" s="4" t="s">
        <v>4674</v>
      </c>
      <c r="B4221" s="4" t="s">
        <v>4670</v>
      </c>
      <c r="C4221" s="12">
        <f>IFERROR(__xludf.DUMMYFUNCTION("""COMPUTED_VALUE"""),44662.518124999995)</f>
        <v>44662.51813</v>
      </c>
      <c r="D4221" s="13">
        <f t="shared" si="1"/>
        <v>11</v>
      </c>
      <c r="E4221" s="13">
        <f t="shared" si="2"/>
        <v>12</v>
      </c>
    </row>
    <row r="4222">
      <c r="A4222" s="4" t="s">
        <v>4675</v>
      </c>
      <c r="B4222" s="4" t="s">
        <v>4670</v>
      </c>
      <c r="C4222" s="12">
        <f>IFERROR(__xludf.DUMMYFUNCTION("""COMPUTED_VALUE"""),44662.51809027777)</f>
        <v>44662.51809</v>
      </c>
      <c r="D4222" s="13">
        <f t="shared" si="1"/>
        <v>11</v>
      </c>
      <c r="E4222" s="13">
        <f t="shared" si="2"/>
        <v>12</v>
      </c>
    </row>
    <row r="4223">
      <c r="A4223" s="4" t="s">
        <v>4676</v>
      </c>
      <c r="B4223" s="4" t="s">
        <v>4670</v>
      </c>
      <c r="C4223" s="12">
        <f>IFERROR(__xludf.DUMMYFUNCTION("""COMPUTED_VALUE"""),44662.518067129626)</f>
        <v>44662.51807</v>
      </c>
      <c r="D4223" s="13">
        <f t="shared" si="1"/>
        <v>11</v>
      </c>
      <c r="E4223" s="13">
        <f t="shared" si="2"/>
        <v>12</v>
      </c>
    </row>
    <row r="4224">
      <c r="A4224" s="4" t="s">
        <v>4677</v>
      </c>
      <c r="B4224" s="4" t="s">
        <v>4670</v>
      </c>
      <c r="C4224" s="12">
        <f>IFERROR(__xludf.DUMMYFUNCTION("""COMPUTED_VALUE"""),44662.51804398148)</f>
        <v>44662.51804</v>
      </c>
      <c r="D4224" s="13">
        <f t="shared" si="1"/>
        <v>11</v>
      </c>
      <c r="E4224" s="13">
        <f t="shared" si="2"/>
        <v>12</v>
      </c>
    </row>
    <row r="4225">
      <c r="A4225" s="4" t="s">
        <v>4678</v>
      </c>
      <c r="B4225" s="4" t="s">
        <v>4670</v>
      </c>
      <c r="C4225" s="12">
        <f>IFERROR(__xludf.DUMMYFUNCTION("""COMPUTED_VALUE"""),44662.51799768518)</f>
        <v>44662.518</v>
      </c>
      <c r="D4225" s="13">
        <f t="shared" si="1"/>
        <v>11</v>
      </c>
      <c r="E4225" s="13">
        <f t="shared" si="2"/>
        <v>12</v>
      </c>
    </row>
    <row r="4226">
      <c r="A4226" s="4" t="s">
        <v>4679</v>
      </c>
      <c r="B4226" s="4" t="s">
        <v>4406</v>
      </c>
      <c r="C4226" s="12">
        <f>IFERROR(__xludf.DUMMYFUNCTION("""COMPUTED_VALUE"""),44662.51798611111)</f>
        <v>44662.51799</v>
      </c>
      <c r="D4226" s="13">
        <f t="shared" si="1"/>
        <v>11</v>
      </c>
      <c r="E4226" s="13">
        <f t="shared" si="2"/>
        <v>12</v>
      </c>
    </row>
    <row r="4227">
      <c r="A4227" s="4" t="s">
        <v>4680</v>
      </c>
      <c r="B4227" s="4" t="s">
        <v>4681</v>
      </c>
      <c r="C4227" s="12">
        <f>IFERROR(__xludf.DUMMYFUNCTION("""COMPUTED_VALUE"""),44662.51793981481)</f>
        <v>44662.51794</v>
      </c>
      <c r="D4227" s="13">
        <f t="shared" si="1"/>
        <v>11</v>
      </c>
      <c r="E4227" s="13">
        <f t="shared" si="2"/>
        <v>12</v>
      </c>
    </row>
    <row r="4228">
      <c r="A4228" s="4" t="s">
        <v>4682</v>
      </c>
      <c r="B4228" s="4" t="s">
        <v>4672</v>
      </c>
      <c r="C4228" s="12">
        <f>IFERROR(__xludf.DUMMYFUNCTION("""COMPUTED_VALUE"""),44662.51783564815)</f>
        <v>44662.51784</v>
      </c>
      <c r="D4228" s="13">
        <f t="shared" si="1"/>
        <v>11</v>
      </c>
      <c r="E4228" s="13">
        <f t="shared" si="2"/>
        <v>12</v>
      </c>
    </row>
    <row r="4229">
      <c r="A4229" s="4" t="s">
        <v>4683</v>
      </c>
      <c r="B4229" s="4" t="s">
        <v>4523</v>
      </c>
      <c r="C4229" s="12">
        <f>IFERROR(__xludf.DUMMYFUNCTION("""COMPUTED_VALUE"""),44662.51782407407)</f>
        <v>44662.51782</v>
      </c>
      <c r="D4229" s="13">
        <f t="shared" si="1"/>
        <v>11</v>
      </c>
      <c r="E4229" s="13">
        <f t="shared" si="2"/>
        <v>12</v>
      </c>
    </row>
    <row r="4230">
      <c r="A4230" s="4" t="s">
        <v>4683</v>
      </c>
      <c r="B4230" s="4" t="s">
        <v>4523</v>
      </c>
      <c r="C4230" s="12">
        <f>IFERROR(__xludf.DUMMYFUNCTION("""COMPUTED_VALUE"""),44662.51782407407)</f>
        <v>44662.51782</v>
      </c>
      <c r="D4230" s="13">
        <f t="shared" si="1"/>
        <v>11</v>
      </c>
      <c r="E4230" s="13">
        <f t="shared" si="2"/>
        <v>12</v>
      </c>
    </row>
    <row r="4231">
      <c r="A4231" s="4" t="s">
        <v>4684</v>
      </c>
      <c r="B4231" s="4" t="s">
        <v>4685</v>
      </c>
      <c r="C4231" s="12">
        <f>IFERROR(__xludf.DUMMYFUNCTION("""COMPUTED_VALUE"""),44662.5177199074)</f>
        <v>44662.51772</v>
      </c>
      <c r="D4231" s="13">
        <f t="shared" si="1"/>
        <v>11</v>
      </c>
      <c r="E4231" s="13">
        <f t="shared" si="2"/>
        <v>12</v>
      </c>
    </row>
    <row r="4232">
      <c r="A4232" s="4" t="s">
        <v>4686</v>
      </c>
      <c r="B4232" s="16"/>
      <c r="C4232" s="12">
        <f>IFERROR(__xludf.DUMMYFUNCTION("""COMPUTED_VALUE"""),44662.517696759256)</f>
        <v>44662.5177</v>
      </c>
      <c r="D4232" s="13">
        <f t="shared" si="1"/>
        <v>11</v>
      </c>
      <c r="E4232" s="13">
        <f t="shared" si="2"/>
        <v>12</v>
      </c>
    </row>
    <row r="4233">
      <c r="A4233" s="4" t="s">
        <v>4687</v>
      </c>
      <c r="B4233" s="16"/>
      <c r="C4233" s="12">
        <f>IFERROR(__xludf.DUMMYFUNCTION("""COMPUTED_VALUE"""),44662.51767361111)</f>
        <v>44662.51767</v>
      </c>
      <c r="D4233" s="13">
        <f t="shared" si="1"/>
        <v>11</v>
      </c>
      <c r="E4233" s="13">
        <f t="shared" si="2"/>
        <v>12</v>
      </c>
    </row>
    <row r="4234">
      <c r="A4234" s="4" t="s">
        <v>4688</v>
      </c>
      <c r="B4234" s="16"/>
      <c r="C4234" s="12">
        <f>IFERROR(__xludf.DUMMYFUNCTION("""COMPUTED_VALUE"""),44662.51761574074)</f>
        <v>44662.51762</v>
      </c>
      <c r="D4234" s="13">
        <f t="shared" si="1"/>
        <v>11</v>
      </c>
      <c r="E4234" s="13">
        <f t="shared" si="2"/>
        <v>12</v>
      </c>
    </row>
    <row r="4235">
      <c r="A4235" s="4" t="s">
        <v>4689</v>
      </c>
      <c r="B4235" s="16"/>
      <c r="C4235" s="12">
        <f>IFERROR(__xludf.DUMMYFUNCTION("""COMPUTED_VALUE"""),44662.51759259259)</f>
        <v>44662.51759</v>
      </c>
      <c r="D4235" s="13">
        <f t="shared" si="1"/>
        <v>11</v>
      </c>
      <c r="E4235" s="13">
        <f t="shared" si="2"/>
        <v>12</v>
      </c>
    </row>
    <row r="4236">
      <c r="A4236" s="4" t="s">
        <v>4690</v>
      </c>
      <c r="B4236" s="4" t="s">
        <v>143</v>
      </c>
      <c r="C4236" s="12">
        <f>IFERROR(__xludf.DUMMYFUNCTION("""COMPUTED_VALUE"""),44662.517372685186)</f>
        <v>44662.51737</v>
      </c>
      <c r="D4236" s="13">
        <f t="shared" si="1"/>
        <v>11</v>
      </c>
      <c r="E4236" s="13">
        <f t="shared" si="2"/>
        <v>12</v>
      </c>
    </row>
    <row r="4237">
      <c r="A4237" s="4" t="s">
        <v>4691</v>
      </c>
      <c r="B4237" s="16"/>
      <c r="C4237" s="12">
        <f>IFERROR(__xludf.DUMMYFUNCTION("""COMPUTED_VALUE"""),44662.51719907407)</f>
        <v>44662.5172</v>
      </c>
      <c r="D4237" s="13">
        <f t="shared" si="1"/>
        <v>11</v>
      </c>
      <c r="E4237" s="13">
        <f t="shared" si="2"/>
        <v>12</v>
      </c>
    </row>
    <row r="4238">
      <c r="A4238" s="4" t="s">
        <v>4692</v>
      </c>
      <c r="B4238" s="16"/>
      <c r="C4238" s="12">
        <f>IFERROR(__xludf.DUMMYFUNCTION("""COMPUTED_VALUE"""),44662.51695601852)</f>
        <v>44662.51696</v>
      </c>
      <c r="D4238" s="13">
        <f t="shared" si="1"/>
        <v>11</v>
      </c>
      <c r="E4238" s="13">
        <f t="shared" si="2"/>
        <v>12</v>
      </c>
    </row>
    <row r="4239">
      <c r="A4239" s="4" t="s">
        <v>4693</v>
      </c>
      <c r="B4239" s="4" t="s">
        <v>3678</v>
      </c>
      <c r="C4239" s="12">
        <f>IFERROR(__xludf.DUMMYFUNCTION("""COMPUTED_VALUE"""),44662.51690972222)</f>
        <v>44662.51691</v>
      </c>
      <c r="D4239" s="13">
        <f t="shared" si="1"/>
        <v>11</v>
      </c>
      <c r="E4239" s="13">
        <f t="shared" si="2"/>
        <v>12</v>
      </c>
    </row>
    <row r="4240">
      <c r="A4240" s="4" t="s">
        <v>4694</v>
      </c>
      <c r="B4240" s="16"/>
      <c r="C4240" s="12">
        <f>IFERROR(__xludf.DUMMYFUNCTION("""COMPUTED_VALUE"""),44662.51673611111)</f>
        <v>44662.51674</v>
      </c>
      <c r="D4240" s="13">
        <f t="shared" si="1"/>
        <v>11</v>
      </c>
      <c r="E4240" s="13">
        <f t="shared" si="2"/>
        <v>12</v>
      </c>
    </row>
    <row r="4241">
      <c r="A4241" s="4" t="s">
        <v>4695</v>
      </c>
      <c r="B4241" s="16"/>
      <c r="C4241" s="12">
        <f>IFERROR(__xludf.DUMMYFUNCTION("""COMPUTED_VALUE"""),44662.516701388886)</f>
        <v>44662.5167</v>
      </c>
      <c r="D4241" s="13">
        <f t="shared" si="1"/>
        <v>11</v>
      </c>
      <c r="E4241" s="13">
        <f t="shared" si="2"/>
        <v>12</v>
      </c>
    </row>
    <row r="4242">
      <c r="A4242" s="4" t="s">
        <v>4696</v>
      </c>
      <c r="B4242" s="16"/>
      <c r="C4242" s="12">
        <f>IFERROR(__xludf.DUMMYFUNCTION("""COMPUTED_VALUE"""),44662.51666666666)</f>
        <v>44662.51667</v>
      </c>
      <c r="D4242" s="13">
        <f t="shared" si="1"/>
        <v>11</v>
      </c>
      <c r="E4242" s="13">
        <f t="shared" si="2"/>
        <v>12</v>
      </c>
    </row>
    <row r="4243">
      <c r="A4243" s="4" t="s">
        <v>4697</v>
      </c>
      <c r="B4243" s="16"/>
      <c r="C4243" s="12">
        <f>IFERROR(__xludf.DUMMYFUNCTION("""COMPUTED_VALUE"""),44662.51664351852)</f>
        <v>44662.51664</v>
      </c>
      <c r="D4243" s="13">
        <f t="shared" si="1"/>
        <v>11</v>
      </c>
      <c r="E4243" s="13">
        <f t="shared" si="2"/>
        <v>12</v>
      </c>
    </row>
    <row r="4244">
      <c r="A4244" s="4" t="s">
        <v>4698</v>
      </c>
      <c r="B4244" s="16"/>
      <c r="C4244" s="12">
        <f>IFERROR(__xludf.DUMMYFUNCTION("""COMPUTED_VALUE"""),44662.51659722222)</f>
        <v>44662.5166</v>
      </c>
      <c r="D4244" s="13">
        <f t="shared" si="1"/>
        <v>11</v>
      </c>
      <c r="E4244" s="13">
        <f t="shared" si="2"/>
        <v>12</v>
      </c>
    </row>
    <row r="4245">
      <c r="A4245" s="4" t="s">
        <v>4699</v>
      </c>
      <c r="B4245" s="4" t="s">
        <v>1455</v>
      </c>
      <c r="C4245" s="12">
        <f>IFERROR(__xludf.DUMMYFUNCTION("""COMPUTED_VALUE"""),44662.51658564815)</f>
        <v>44662.51659</v>
      </c>
      <c r="D4245" s="13">
        <f t="shared" si="1"/>
        <v>11</v>
      </c>
      <c r="E4245" s="13">
        <f t="shared" si="2"/>
        <v>12</v>
      </c>
    </row>
    <row r="4246">
      <c r="A4246" s="4" t="s">
        <v>4700</v>
      </c>
      <c r="B4246" s="4" t="s">
        <v>143</v>
      </c>
      <c r="C4246" s="12">
        <f>IFERROR(__xludf.DUMMYFUNCTION("""COMPUTED_VALUE"""),44662.516550925924)</f>
        <v>44662.51655</v>
      </c>
      <c r="D4246" s="13">
        <f t="shared" si="1"/>
        <v>11</v>
      </c>
      <c r="E4246" s="13">
        <f t="shared" si="2"/>
        <v>12</v>
      </c>
    </row>
    <row r="4247">
      <c r="A4247" s="4" t="s">
        <v>4701</v>
      </c>
      <c r="B4247" s="16"/>
      <c r="C4247" s="12">
        <f>IFERROR(__xludf.DUMMYFUNCTION("""COMPUTED_VALUE"""),44662.51653935185)</f>
        <v>44662.51654</v>
      </c>
      <c r="D4247" s="13">
        <f t="shared" si="1"/>
        <v>11</v>
      </c>
      <c r="E4247" s="13">
        <f t="shared" si="2"/>
        <v>12</v>
      </c>
    </row>
    <row r="4248">
      <c r="A4248" s="4" t="s">
        <v>4702</v>
      </c>
      <c r="B4248" s="16"/>
      <c r="C4248" s="12">
        <f>IFERROR(__xludf.DUMMYFUNCTION("""COMPUTED_VALUE"""),44662.5165162037)</f>
        <v>44662.51652</v>
      </c>
      <c r="D4248" s="13">
        <f t="shared" si="1"/>
        <v>11</v>
      </c>
      <c r="E4248" s="13">
        <f t="shared" si="2"/>
        <v>12</v>
      </c>
    </row>
    <row r="4249">
      <c r="A4249" s="4" t="s">
        <v>4703</v>
      </c>
      <c r="B4249" s="16"/>
      <c r="C4249" s="12">
        <f>IFERROR(__xludf.DUMMYFUNCTION("""COMPUTED_VALUE"""),44662.51646990741)</f>
        <v>44662.51647</v>
      </c>
      <c r="D4249" s="13">
        <f t="shared" si="1"/>
        <v>11</v>
      </c>
      <c r="E4249" s="13">
        <f t="shared" si="2"/>
        <v>12</v>
      </c>
    </row>
    <row r="4250">
      <c r="A4250" s="4" t="s">
        <v>4704</v>
      </c>
      <c r="B4250" s="16"/>
      <c r="C4250" s="12">
        <f>IFERROR(__xludf.DUMMYFUNCTION("""COMPUTED_VALUE"""),44662.516435185185)</f>
        <v>44662.51644</v>
      </c>
      <c r="D4250" s="13">
        <f t="shared" si="1"/>
        <v>11</v>
      </c>
      <c r="E4250" s="13">
        <f t="shared" si="2"/>
        <v>12</v>
      </c>
    </row>
    <row r="4251">
      <c r="A4251" s="4" t="s">
        <v>4704</v>
      </c>
      <c r="B4251" s="4" t="s">
        <v>1195</v>
      </c>
      <c r="C4251" s="12">
        <f>IFERROR(__xludf.DUMMYFUNCTION("""COMPUTED_VALUE"""),44662.516435185185)</f>
        <v>44662.51644</v>
      </c>
      <c r="D4251" s="13">
        <f t="shared" si="1"/>
        <v>11</v>
      </c>
      <c r="E4251" s="13">
        <f t="shared" si="2"/>
        <v>12</v>
      </c>
    </row>
    <row r="4252">
      <c r="A4252" s="4" t="s">
        <v>4705</v>
      </c>
      <c r="B4252" s="16"/>
      <c r="C4252" s="12">
        <f>IFERROR(__xludf.DUMMYFUNCTION("""COMPUTED_VALUE"""),44662.51637731481)</f>
        <v>44662.51638</v>
      </c>
      <c r="D4252" s="13">
        <f t="shared" si="1"/>
        <v>11</v>
      </c>
      <c r="E4252" s="13">
        <f t="shared" si="2"/>
        <v>12</v>
      </c>
    </row>
    <row r="4253">
      <c r="A4253" s="4" t="s">
        <v>4706</v>
      </c>
      <c r="B4253" s="4" t="s">
        <v>143</v>
      </c>
      <c r="C4253" s="12">
        <f>IFERROR(__xludf.DUMMYFUNCTION("""COMPUTED_VALUE"""),44662.516331018516)</f>
        <v>44662.51633</v>
      </c>
      <c r="D4253" s="13">
        <f t="shared" si="1"/>
        <v>11</v>
      </c>
      <c r="E4253" s="13">
        <f t="shared" si="2"/>
        <v>12</v>
      </c>
    </row>
    <row r="4254">
      <c r="A4254" s="4" t="s">
        <v>4707</v>
      </c>
      <c r="B4254" s="16"/>
      <c r="C4254" s="12">
        <f>IFERROR(__xludf.DUMMYFUNCTION("""COMPUTED_VALUE"""),44662.51631944444)</f>
        <v>44662.51632</v>
      </c>
      <c r="D4254" s="13">
        <f t="shared" si="1"/>
        <v>11</v>
      </c>
      <c r="E4254" s="13">
        <f t="shared" si="2"/>
        <v>12</v>
      </c>
    </row>
    <row r="4255">
      <c r="A4255" s="4" t="s">
        <v>4708</v>
      </c>
      <c r="B4255" s="4" t="s">
        <v>143</v>
      </c>
      <c r="C4255" s="12">
        <f>IFERROR(__xludf.DUMMYFUNCTION("""COMPUTED_VALUE"""),44662.51630787037)</f>
        <v>44662.51631</v>
      </c>
      <c r="D4255" s="13">
        <f t="shared" si="1"/>
        <v>11</v>
      </c>
      <c r="E4255" s="13">
        <f t="shared" si="2"/>
        <v>12</v>
      </c>
    </row>
    <row r="4256">
      <c r="A4256" s="4" t="s">
        <v>4709</v>
      </c>
      <c r="B4256" s="16"/>
      <c r="C4256" s="12">
        <f>IFERROR(__xludf.DUMMYFUNCTION("""COMPUTED_VALUE"""),44662.51629629629)</f>
        <v>44662.5163</v>
      </c>
      <c r="D4256" s="13">
        <f t="shared" si="1"/>
        <v>11</v>
      </c>
      <c r="E4256" s="13">
        <f t="shared" si="2"/>
        <v>12</v>
      </c>
    </row>
    <row r="4257">
      <c r="A4257" s="4" t="s">
        <v>4710</v>
      </c>
      <c r="B4257" s="16"/>
      <c r="C4257" s="12">
        <f>IFERROR(__xludf.DUMMYFUNCTION("""COMPUTED_VALUE"""),44662.51628472222)</f>
        <v>44662.51628</v>
      </c>
      <c r="D4257" s="13">
        <f t="shared" si="1"/>
        <v>11</v>
      </c>
      <c r="E4257" s="13">
        <f t="shared" si="2"/>
        <v>12</v>
      </c>
    </row>
    <row r="4258">
      <c r="A4258" s="4" t="s">
        <v>4710</v>
      </c>
      <c r="B4258" s="4" t="s">
        <v>143</v>
      </c>
      <c r="C4258" s="12">
        <f>IFERROR(__xludf.DUMMYFUNCTION("""COMPUTED_VALUE"""),44662.51628472222)</f>
        <v>44662.51628</v>
      </c>
      <c r="D4258" s="13">
        <f t="shared" si="1"/>
        <v>11</v>
      </c>
      <c r="E4258" s="13">
        <f t="shared" si="2"/>
        <v>12</v>
      </c>
    </row>
    <row r="4259">
      <c r="A4259" s="4" t="s">
        <v>4711</v>
      </c>
      <c r="B4259" s="4" t="s">
        <v>143</v>
      </c>
      <c r="C4259" s="12">
        <f>IFERROR(__xludf.DUMMYFUNCTION("""COMPUTED_VALUE"""),44662.51626157407)</f>
        <v>44662.51626</v>
      </c>
      <c r="D4259" s="13">
        <f t="shared" si="1"/>
        <v>11</v>
      </c>
      <c r="E4259" s="13">
        <f t="shared" si="2"/>
        <v>12</v>
      </c>
    </row>
    <row r="4260">
      <c r="A4260" s="4" t="s">
        <v>4711</v>
      </c>
      <c r="B4260" s="16"/>
      <c r="C4260" s="12">
        <f>IFERROR(__xludf.DUMMYFUNCTION("""COMPUTED_VALUE"""),44662.51626157407)</f>
        <v>44662.51626</v>
      </c>
      <c r="D4260" s="13">
        <f t="shared" si="1"/>
        <v>11</v>
      </c>
      <c r="E4260" s="13">
        <f t="shared" si="2"/>
        <v>12</v>
      </c>
    </row>
    <row r="4261">
      <c r="A4261" s="4" t="s">
        <v>4712</v>
      </c>
      <c r="B4261" s="16"/>
      <c r="C4261" s="12">
        <f>IFERROR(__xludf.DUMMYFUNCTION("""COMPUTED_VALUE"""),44662.51625)</f>
        <v>44662.51625</v>
      </c>
      <c r="D4261" s="13">
        <f t="shared" si="1"/>
        <v>11</v>
      </c>
      <c r="E4261" s="13">
        <f t="shared" si="2"/>
        <v>12</v>
      </c>
    </row>
    <row r="4262">
      <c r="A4262" s="4" t="s">
        <v>4713</v>
      </c>
      <c r="B4262" s="16"/>
      <c r="C4262" s="12">
        <f>IFERROR(__xludf.DUMMYFUNCTION("""COMPUTED_VALUE"""),44662.516238425924)</f>
        <v>44662.51624</v>
      </c>
      <c r="D4262" s="13">
        <f t="shared" si="1"/>
        <v>11</v>
      </c>
      <c r="E4262" s="13">
        <f t="shared" si="2"/>
        <v>12</v>
      </c>
    </row>
    <row r="4263">
      <c r="A4263" s="4" t="s">
        <v>4713</v>
      </c>
      <c r="B4263" s="4" t="s">
        <v>143</v>
      </c>
      <c r="C4263" s="12">
        <f>IFERROR(__xludf.DUMMYFUNCTION("""COMPUTED_VALUE"""),44662.516238425924)</f>
        <v>44662.51624</v>
      </c>
      <c r="D4263" s="13">
        <f t="shared" si="1"/>
        <v>11</v>
      </c>
      <c r="E4263" s="13">
        <f t="shared" si="2"/>
        <v>12</v>
      </c>
    </row>
    <row r="4264">
      <c r="A4264" s="4" t="s">
        <v>4714</v>
      </c>
      <c r="B4264" s="16"/>
      <c r="C4264" s="12">
        <f>IFERROR(__xludf.DUMMYFUNCTION("""COMPUTED_VALUE"""),44662.51622685185)</f>
        <v>44662.51623</v>
      </c>
      <c r="D4264" s="13">
        <f t="shared" si="1"/>
        <v>11</v>
      </c>
      <c r="E4264" s="13">
        <f t="shared" si="2"/>
        <v>12</v>
      </c>
    </row>
    <row r="4265">
      <c r="A4265" s="4" t="s">
        <v>4714</v>
      </c>
      <c r="B4265" s="4" t="s">
        <v>143</v>
      </c>
      <c r="C4265" s="12">
        <f>IFERROR(__xludf.DUMMYFUNCTION("""COMPUTED_VALUE"""),44662.51622685185)</f>
        <v>44662.51623</v>
      </c>
      <c r="D4265" s="13">
        <f t="shared" si="1"/>
        <v>11</v>
      </c>
      <c r="E4265" s="13">
        <f t="shared" si="2"/>
        <v>12</v>
      </c>
    </row>
    <row r="4266">
      <c r="A4266" s="4" t="s">
        <v>4714</v>
      </c>
      <c r="B4266" s="4" t="s">
        <v>4715</v>
      </c>
      <c r="C4266" s="12">
        <f>IFERROR(__xludf.DUMMYFUNCTION("""COMPUTED_VALUE"""),44662.51622685185)</f>
        <v>44662.51623</v>
      </c>
      <c r="D4266" s="13">
        <f t="shared" si="1"/>
        <v>11</v>
      </c>
      <c r="E4266" s="13">
        <f t="shared" si="2"/>
        <v>12</v>
      </c>
    </row>
    <row r="4267">
      <c r="A4267" s="4" t="s">
        <v>4716</v>
      </c>
      <c r="B4267" s="16"/>
      <c r="C4267" s="12">
        <f>IFERROR(__xludf.DUMMYFUNCTION("""COMPUTED_VALUE"""),44662.51621527778)</f>
        <v>44662.51622</v>
      </c>
      <c r="D4267" s="13">
        <f t="shared" si="1"/>
        <v>11</v>
      </c>
      <c r="E4267" s="13">
        <f t="shared" si="2"/>
        <v>12</v>
      </c>
    </row>
    <row r="4268">
      <c r="A4268" s="4" t="s">
        <v>4716</v>
      </c>
      <c r="B4268" s="4" t="s">
        <v>143</v>
      </c>
      <c r="C4268" s="12">
        <f>IFERROR(__xludf.DUMMYFUNCTION("""COMPUTED_VALUE"""),44662.51621527778)</f>
        <v>44662.51622</v>
      </c>
      <c r="D4268" s="13">
        <f t="shared" si="1"/>
        <v>11</v>
      </c>
      <c r="E4268" s="13">
        <f t="shared" si="2"/>
        <v>12</v>
      </c>
    </row>
    <row r="4269">
      <c r="A4269" s="4" t="s">
        <v>4716</v>
      </c>
      <c r="B4269" s="4" t="s">
        <v>4155</v>
      </c>
      <c r="C4269" s="12">
        <f>IFERROR(__xludf.DUMMYFUNCTION("""COMPUTED_VALUE"""),44662.51621527778)</f>
        <v>44662.51622</v>
      </c>
      <c r="D4269" s="13">
        <f t="shared" si="1"/>
        <v>11</v>
      </c>
      <c r="E4269" s="13">
        <f t="shared" si="2"/>
        <v>12</v>
      </c>
    </row>
    <row r="4270">
      <c r="A4270" s="4" t="s">
        <v>4717</v>
      </c>
      <c r="B4270" s="4" t="s">
        <v>4155</v>
      </c>
      <c r="C4270" s="12">
        <f>IFERROR(__xludf.DUMMYFUNCTION("""COMPUTED_VALUE"""),44662.5162037037)</f>
        <v>44662.5162</v>
      </c>
      <c r="D4270" s="13">
        <f t="shared" si="1"/>
        <v>11</v>
      </c>
      <c r="E4270" s="13">
        <f t="shared" si="2"/>
        <v>12</v>
      </c>
    </row>
    <row r="4271">
      <c r="A4271" s="4" t="s">
        <v>4718</v>
      </c>
      <c r="B4271" s="4" t="s">
        <v>143</v>
      </c>
      <c r="C4271" s="12">
        <f>IFERROR(__xludf.DUMMYFUNCTION("""COMPUTED_VALUE"""),44662.516192129624)</f>
        <v>44662.51619</v>
      </c>
      <c r="D4271" s="13">
        <f t="shared" si="1"/>
        <v>11</v>
      </c>
      <c r="E4271" s="13">
        <f t="shared" si="2"/>
        <v>12</v>
      </c>
    </row>
    <row r="4272">
      <c r="A4272" s="4" t="s">
        <v>4719</v>
      </c>
      <c r="B4272" s="4" t="s">
        <v>143</v>
      </c>
      <c r="C4272" s="12">
        <f>IFERROR(__xludf.DUMMYFUNCTION("""COMPUTED_VALUE"""),44662.516180555554)</f>
        <v>44662.51618</v>
      </c>
      <c r="D4272" s="13">
        <f t="shared" si="1"/>
        <v>11</v>
      </c>
      <c r="E4272" s="13">
        <f t="shared" si="2"/>
        <v>12</v>
      </c>
    </row>
    <row r="4273">
      <c r="A4273" s="4" t="s">
        <v>4720</v>
      </c>
      <c r="B4273" s="4" t="s">
        <v>4155</v>
      </c>
      <c r="C4273" s="12">
        <f>IFERROR(__xludf.DUMMYFUNCTION("""COMPUTED_VALUE"""),44662.51616898148)</f>
        <v>44662.51617</v>
      </c>
      <c r="D4273" s="13">
        <f t="shared" si="1"/>
        <v>11</v>
      </c>
      <c r="E4273" s="13">
        <f t="shared" si="2"/>
        <v>12</v>
      </c>
    </row>
    <row r="4274">
      <c r="A4274" s="4" t="s">
        <v>4721</v>
      </c>
      <c r="B4274" s="4" t="s">
        <v>2441</v>
      </c>
      <c r="C4274" s="12">
        <f>IFERROR(__xludf.DUMMYFUNCTION("""COMPUTED_VALUE"""),44662.51615740741)</f>
        <v>44662.51616</v>
      </c>
      <c r="D4274" s="13">
        <f t="shared" si="1"/>
        <v>11</v>
      </c>
      <c r="E4274" s="13">
        <f t="shared" si="2"/>
        <v>12</v>
      </c>
    </row>
    <row r="4275">
      <c r="A4275" s="4" t="s">
        <v>4722</v>
      </c>
      <c r="B4275" s="4" t="s">
        <v>143</v>
      </c>
      <c r="C4275" s="12">
        <f>IFERROR(__xludf.DUMMYFUNCTION("""COMPUTED_VALUE"""),44662.51614583333)</f>
        <v>44662.51615</v>
      </c>
      <c r="D4275" s="13">
        <f t="shared" si="1"/>
        <v>11</v>
      </c>
      <c r="E4275" s="13">
        <f t="shared" si="2"/>
        <v>12</v>
      </c>
    </row>
    <row r="4276">
      <c r="A4276" s="4" t="s">
        <v>4723</v>
      </c>
      <c r="B4276" s="4" t="s">
        <v>143</v>
      </c>
      <c r="C4276" s="12">
        <f>IFERROR(__xludf.DUMMYFUNCTION("""COMPUTED_VALUE"""),44662.516122685185)</f>
        <v>44662.51612</v>
      </c>
      <c r="D4276" s="13">
        <f t="shared" si="1"/>
        <v>11</v>
      </c>
      <c r="E4276" s="13">
        <f t="shared" si="2"/>
        <v>12</v>
      </c>
    </row>
    <row r="4277">
      <c r="A4277" s="4" t="s">
        <v>4723</v>
      </c>
      <c r="B4277" s="4" t="s">
        <v>4724</v>
      </c>
      <c r="C4277" s="12">
        <f>IFERROR(__xludf.DUMMYFUNCTION("""COMPUTED_VALUE"""),44662.516122685185)</f>
        <v>44662.51612</v>
      </c>
      <c r="D4277" s="13">
        <f t="shared" si="1"/>
        <v>11</v>
      </c>
      <c r="E4277" s="13">
        <f t="shared" si="2"/>
        <v>12</v>
      </c>
    </row>
    <row r="4278">
      <c r="A4278" s="4" t="s">
        <v>4725</v>
      </c>
      <c r="B4278" s="4" t="s">
        <v>4726</v>
      </c>
      <c r="C4278" s="12">
        <f>IFERROR(__xludf.DUMMYFUNCTION("""COMPUTED_VALUE"""),44662.51605324074)</f>
        <v>44662.51605</v>
      </c>
      <c r="D4278" s="13">
        <f t="shared" si="1"/>
        <v>11</v>
      </c>
      <c r="E4278" s="13">
        <f t="shared" si="2"/>
        <v>12</v>
      </c>
    </row>
    <row r="4279">
      <c r="A4279" s="4" t="s">
        <v>4727</v>
      </c>
      <c r="B4279" s="16"/>
      <c r="C4279" s="12">
        <f>IFERROR(__xludf.DUMMYFUNCTION("""COMPUTED_VALUE"""),44662.51603009259)</f>
        <v>44662.51603</v>
      </c>
      <c r="D4279" s="13">
        <f t="shared" si="1"/>
        <v>11</v>
      </c>
      <c r="E4279" s="13">
        <f t="shared" si="2"/>
        <v>12</v>
      </c>
    </row>
    <row r="4280">
      <c r="A4280" s="4" t="s">
        <v>4728</v>
      </c>
      <c r="B4280" s="4" t="s">
        <v>1455</v>
      </c>
      <c r="C4280" s="12">
        <f>IFERROR(__xludf.DUMMYFUNCTION("""COMPUTED_VALUE"""),44662.516018518516)</f>
        <v>44662.51602</v>
      </c>
      <c r="D4280" s="13">
        <f t="shared" si="1"/>
        <v>11</v>
      </c>
      <c r="E4280" s="13">
        <f t="shared" si="2"/>
        <v>12</v>
      </c>
    </row>
    <row r="4281">
      <c r="A4281" s="4" t="s">
        <v>4729</v>
      </c>
      <c r="B4281" s="4" t="s">
        <v>1455</v>
      </c>
      <c r="C4281" s="12">
        <f>IFERROR(__xludf.DUMMYFUNCTION("""COMPUTED_VALUE"""),44662.51599537037)</f>
        <v>44662.516</v>
      </c>
      <c r="D4281" s="13">
        <f t="shared" si="1"/>
        <v>11</v>
      </c>
      <c r="E4281" s="13">
        <f t="shared" si="2"/>
        <v>12</v>
      </c>
    </row>
    <row r="4282">
      <c r="A4282" s="4" t="s">
        <v>4730</v>
      </c>
      <c r="B4282" s="4" t="s">
        <v>1195</v>
      </c>
      <c r="C4282" s="12">
        <f>IFERROR(__xludf.DUMMYFUNCTION("""COMPUTED_VALUE"""),44662.51592592592)</f>
        <v>44662.51593</v>
      </c>
      <c r="D4282" s="13">
        <f t="shared" si="1"/>
        <v>11</v>
      </c>
      <c r="E4282" s="13">
        <f t="shared" si="2"/>
        <v>12</v>
      </c>
    </row>
    <row r="4283">
      <c r="A4283" s="4" t="s">
        <v>4731</v>
      </c>
      <c r="B4283" s="4" t="s">
        <v>1195</v>
      </c>
      <c r="C4283" s="12">
        <f>IFERROR(__xludf.DUMMYFUNCTION("""COMPUTED_VALUE"""),44662.51590277778)</f>
        <v>44662.5159</v>
      </c>
      <c r="D4283" s="13">
        <f t="shared" si="1"/>
        <v>11</v>
      </c>
      <c r="E4283" s="13">
        <f t="shared" si="2"/>
        <v>12</v>
      </c>
    </row>
    <row r="4284">
      <c r="A4284" s="4" t="s">
        <v>4732</v>
      </c>
      <c r="B4284" s="16"/>
      <c r="C4284" s="12">
        <f>IFERROR(__xludf.DUMMYFUNCTION("""COMPUTED_VALUE"""),44662.5158912037)</f>
        <v>44662.51589</v>
      </c>
      <c r="D4284" s="13">
        <f t="shared" si="1"/>
        <v>11</v>
      </c>
      <c r="E4284" s="13">
        <f t="shared" si="2"/>
        <v>12</v>
      </c>
    </row>
    <row r="4285">
      <c r="A4285" s="4" t="s">
        <v>4733</v>
      </c>
      <c r="B4285" s="16"/>
      <c r="C4285" s="12">
        <f>IFERROR(__xludf.DUMMYFUNCTION("""COMPUTED_VALUE"""),44662.515868055554)</f>
        <v>44662.51587</v>
      </c>
      <c r="D4285" s="13">
        <f t="shared" si="1"/>
        <v>11</v>
      </c>
      <c r="E4285" s="13">
        <f t="shared" si="2"/>
        <v>12</v>
      </c>
    </row>
    <row r="4286">
      <c r="A4286" s="4" t="s">
        <v>4734</v>
      </c>
      <c r="B4286" s="16"/>
      <c r="C4286" s="12">
        <f>IFERROR(__xludf.DUMMYFUNCTION("""COMPUTED_VALUE"""),44662.51584490741)</f>
        <v>44662.51584</v>
      </c>
      <c r="D4286" s="13">
        <f t="shared" si="1"/>
        <v>11</v>
      </c>
      <c r="E4286" s="13">
        <f t="shared" si="2"/>
        <v>12</v>
      </c>
    </row>
    <row r="4287">
      <c r="A4287" s="4" t="s">
        <v>4735</v>
      </c>
      <c r="B4287" s="4" t="s">
        <v>143</v>
      </c>
      <c r="C4287" s="12">
        <f>IFERROR(__xludf.DUMMYFUNCTION("""COMPUTED_VALUE"""),44662.515821759254)</f>
        <v>44662.51582</v>
      </c>
      <c r="D4287" s="13">
        <f t="shared" si="1"/>
        <v>11</v>
      </c>
      <c r="E4287" s="13">
        <f t="shared" si="2"/>
        <v>12</v>
      </c>
    </row>
    <row r="4288">
      <c r="A4288" s="4" t="s">
        <v>4735</v>
      </c>
      <c r="B4288" s="4" t="s">
        <v>1195</v>
      </c>
      <c r="C4288" s="12">
        <f>IFERROR(__xludf.DUMMYFUNCTION("""COMPUTED_VALUE"""),44662.515821759254)</f>
        <v>44662.51582</v>
      </c>
      <c r="D4288" s="13">
        <f t="shared" si="1"/>
        <v>11</v>
      </c>
      <c r="E4288" s="13">
        <f t="shared" si="2"/>
        <v>12</v>
      </c>
    </row>
    <row r="4289">
      <c r="A4289" s="4" t="s">
        <v>4736</v>
      </c>
      <c r="B4289" s="16"/>
      <c r="C4289" s="12">
        <f>IFERROR(__xludf.DUMMYFUNCTION("""COMPUTED_VALUE"""),44662.515810185185)</f>
        <v>44662.51581</v>
      </c>
      <c r="D4289" s="13">
        <f t="shared" si="1"/>
        <v>11</v>
      </c>
      <c r="E4289" s="13">
        <f t="shared" si="2"/>
        <v>12</v>
      </c>
    </row>
    <row r="4290">
      <c r="A4290" s="4" t="s">
        <v>4736</v>
      </c>
      <c r="B4290" s="4" t="s">
        <v>143</v>
      </c>
      <c r="C4290" s="12">
        <f>IFERROR(__xludf.DUMMYFUNCTION("""COMPUTED_VALUE"""),44662.515810185185)</f>
        <v>44662.51581</v>
      </c>
      <c r="D4290" s="13">
        <f t="shared" si="1"/>
        <v>11</v>
      </c>
      <c r="E4290" s="13">
        <f t="shared" si="2"/>
        <v>12</v>
      </c>
    </row>
    <row r="4291">
      <c r="A4291" s="4" t="s">
        <v>4737</v>
      </c>
      <c r="B4291" s="16"/>
      <c r="C4291" s="12">
        <f>IFERROR(__xludf.DUMMYFUNCTION("""COMPUTED_VALUE"""),44662.51578703703)</f>
        <v>44662.51579</v>
      </c>
      <c r="D4291" s="13">
        <f t="shared" si="1"/>
        <v>11</v>
      </c>
      <c r="E4291" s="13">
        <f t="shared" si="2"/>
        <v>12</v>
      </c>
    </row>
    <row r="4292">
      <c r="A4292" s="4" t="s">
        <v>4737</v>
      </c>
      <c r="B4292" s="4" t="s">
        <v>143</v>
      </c>
      <c r="C4292" s="12">
        <f>IFERROR(__xludf.DUMMYFUNCTION("""COMPUTED_VALUE"""),44662.51578703703)</f>
        <v>44662.51579</v>
      </c>
      <c r="D4292" s="13">
        <f t="shared" si="1"/>
        <v>11</v>
      </c>
      <c r="E4292" s="13">
        <f t="shared" si="2"/>
        <v>12</v>
      </c>
    </row>
    <row r="4293">
      <c r="A4293" s="4" t="s">
        <v>4738</v>
      </c>
      <c r="B4293" s="4" t="s">
        <v>1195</v>
      </c>
      <c r="C4293" s="12">
        <f>IFERROR(__xludf.DUMMYFUNCTION("""COMPUTED_VALUE"""),44662.51577546296)</f>
        <v>44662.51578</v>
      </c>
      <c r="D4293" s="13">
        <f t="shared" si="1"/>
        <v>11</v>
      </c>
      <c r="E4293" s="13">
        <f t="shared" si="2"/>
        <v>12</v>
      </c>
    </row>
    <row r="4294">
      <c r="A4294" s="4" t="s">
        <v>4738</v>
      </c>
      <c r="B4294" s="4" t="s">
        <v>143</v>
      </c>
      <c r="C4294" s="12">
        <f>IFERROR(__xludf.DUMMYFUNCTION("""COMPUTED_VALUE"""),44662.51577546296)</f>
        <v>44662.51578</v>
      </c>
      <c r="D4294" s="13">
        <f t="shared" si="1"/>
        <v>11</v>
      </c>
      <c r="E4294" s="13">
        <f t="shared" si="2"/>
        <v>12</v>
      </c>
    </row>
    <row r="4295">
      <c r="A4295" s="4" t="s">
        <v>4739</v>
      </c>
      <c r="B4295" s="16"/>
      <c r="C4295" s="12">
        <f>IFERROR(__xludf.DUMMYFUNCTION("""COMPUTED_VALUE"""),44662.515763888885)</f>
        <v>44662.51576</v>
      </c>
      <c r="D4295" s="13">
        <f t="shared" si="1"/>
        <v>11</v>
      </c>
      <c r="E4295" s="13">
        <f t="shared" si="2"/>
        <v>12</v>
      </c>
    </row>
    <row r="4296">
      <c r="A4296" s="4" t="s">
        <v>4740</v>
      </c>
      <c r="B4296" s="4" t="s">
        <v>1195</v>
      </c>
      <c r="C4296" s="12">
        <f>IFERROR(__xludf.DUMMYFUNCTION("""COMPUTED_VALUE"""),44662.515752314815)</f>
        <v>44662.51575</v>
      </c>
      <c r="D4296" s="13">
        <f t="shared" si="1"/>
        <v>11</v>
      </c>
      <c r="E4296" s="13">
        <f t="shared" si="2"/>
        <v>12</v>
      </c>
    </row>
    <row r="4297">
      <c r="A4297" s="4" t="s">
        <v>4741</v>
      </c>
      <c r="B4297" s="4" t="s">
        <v>143</v>
      </c>
      <c r="C4297" s="12">
        <f>IFERROR(__xludf.DUMMYFUNCTION("""COMPUTED_VALUE"""),44662.51574074074)</f>
        <v>44662.51574</v>
      </c>
      <c r="D4297" s="13">
        <f t="shared" si="1"/>
        <v>11</v>
      </c>
      <c r="E4297" s="13">
        <f t="shared" si="2"/>
        <v>12</v>
      </c>
    </row>
    <row r="4298">
      <c r="A4298" s="4" t="s">
        <v>4741</v>
      </c>
      <c r="B4298" s="4" t="s">
        <v>4726</v>
      </c>
      <c r="C4298" s="12">
        <f>IFERROR(__xludf.DUMMYFUNCTION("""COMPUTED_VALUE"""),44662.51574074074)</f>
        <v>44662.51574</v>
      </c>
      <c r="D4298" s="13">
        <f t="shared" si="1"/>
        <v>11</v>
      </c>
      <c r="E4298" s="13">
        <f t="shared" si="2"/>
        <v>12</v>
      </c>
    </row>
    <row r="4299">
      <c r="A4299" s="4" t="s">
        <v>4742</v>
      </c>
      <c r="B4299" s="16"/>
      <c r="C4299" s="12">
        <f>IFERROR(__xludf.DUMMYFUNCTION("""COMPUTED_VALUE"""),44662.51572916666)</f>
        <v>44662.51573</v>
      </c>
      <c r="D4299" s="13">
        <f t="shared" si="1"/>
        <v>11</v>
      </c>
      <c r="E4299" s="13">
        <f t="shared" si="2"/>
        <v>12</v>
      </c>
    </row>
    <row r="4300">
      <c r="A4300" s="4" t="s">
        <v>4742</v>
      </c>
      <c r="B4300" s="16"/>
      <c r="C4300" s="12">
        <f>IFERROR(__xludf.DUMMYFUNCTION("""COMPUTED_VALUE"""),44662.51572916666)</f>
        <v>44662.51573</v>
      </c>
      <c r="D4300" s="13">
        <f t="shared" si="1"/>
        <v>11</v>
      </c>
      <c r="E4300" s="13">
        <f t="shared" si="2"/>
        <v>12</v>
      </c>
    </row>
    <row r="4301">
      <c r="A4301" s="4" t="s">
        <v>4743</v>
      </c>
      <c r="B4301" s="4" t="s">
        <v>143</v>
      </c>
      <c r="C4301" s="12">
        <f>IFERROR(__xludf.DUMMYFUNCTION("""COMPUTED_VALUE"""),44662.51571759259)</f>
        <v>44662.51572</v>
      </c>
      <c r="D4301" s="13">
        <f t="shared" si="1"/>
        <v>11</v>
      </c>
      <c r="E4301" s="13">
        <f t="shared" si="2"/>
        <v>12</v>
      </c>
    </row>
    <row r="4302">
      <c r="A4302" s="4" t="s">
        <v>4744</v>
      </c>
      <c r="B4302" s="4" t="s">
        <v>4745</v>
      </c>
      <c r="C4302" s="12">
        <f>IFERROR(__xludf.DUMMYFUNCTION("""COMPUTED_VALUE"""),44662.51567129629)</f>
        <v>44662.51567</v>
      </c>
      <c r="D4302" s="13">
        <f t="shared" si="1"/>
        <v>11</v>
      </c>
      <c r="E4302" s="13">
        <f t="shared" si="2"/>
        <v>12</v>
      </c>
    </row>
    <row r="4303">
      <c r="A4303" s="4" t="s">
        <v>4746</v>
      </c>
      <c r="B4303" s="4" t="s">
        <v>4155</v>
      </c>
      <c r="C4303" s="12">
        <f>IFERROR(__xludf.DUMMYFUNCTION("""COMPUTED_VALUE"""),44662.51559027778)</f>
        <v>44662.51559</v>
      </c>
      <c r="D4303" s="13">
        <f t="shared" si="1"/>
        <v>11</v>
      </c>
      <c r="E4303" s="13">
        <f t="shared" si="2"/>
        <v>12</v>
      </c>
    </row>
    <row r="4304">
      <c r="A4304" s="4" t="s">
        <v>4747</v>
      </c>
      <c r="B4304" s="4" t="s">
        <v>4748</v>
      </c>
      <c r="C4304" s="12">
        <f>IFERROR(__xludf.DUMMYFUNCTION("""COMPUTED_VALUE"""),44662.51547453704)</f>
        <v>44662.51547</v>
      </c>
      <c r="D4304" s="13">
        <f t="shared" si="1"/>
        <v>11</v>
      </c>
      <c r="E4304" s="13">
        <f t="shared" si="2"/>
        <v>12</v>
      </c>
    </row>
    <row r="4305">
      <c r="A4305" s="4" t="s">
        <v>4749</v>
      </c>
      <c r="B4305" s="16"/>
      <c r="C4305" s="12">
        <f>IFERROR(__xludf.DUMMYFUNCTION("""COMPUTED_VALUE"""),44662.51540509259)</f>
        <v>44662.51541</v>
      </c>
      <c r="D4305" s="13">
        <f t="shared" si="1"/>
        <v>11</v>
      </c>
      <c r="E4305" s="13">
        <f t="shared" si="2"/>
        <v>12</v>
      </c>
    </row>
    <row r="4306">
      <c r="A4306" s="4" t="s">
        <v>4750</v>
      </c>
      <c r="B4306" s="4" t="s">
        <v>4751</v>
      </c>
      <c r="C4306" s="12">
        <f>IFERROR(__xludf.DUMMYFUNCTION("""COMPUTED_VALUE"""),44662.51524305555)</f>
        <v>44662.51524</v>
      </c>
      <c r="D4306" s="13">
        <f t="shared" si="1"/>
        <v>11</v>
      </c>
      <c r="E4306" s="13">
        <f t="shared" si="2"/>
        <v>12</v>
      </c>
    </row>
    <row r="4307">
      <c r="A4307" s="4" t="s">
        <v>4752</v>
      </c>
      <c r="B4307" s="16"/>
      <c r="C4307" s="12">
        <f>IFERROR(__xludf.DUMMYFUNCTION("""COMPUTED_VALUE"""),44662.51523148148)</f>
        <v>44662.51523</v>
      </c>
      <c r="D4307" s="13">
        <f t="shared" si="1"/>
        <v>11</v>
      </c>
      <c r="E4307" s="13">
        <f t="shared" si="2"/>
        <v>12</v>
      </c>
    </row>
    <row r="4308">
      <c r="A4308" s="4" t="s">
        <v>4753</v>
      </c>
      <c r="B4308" s="4" t="s">
        <v>4754</v>
      </c>
      <c r="C4308" s="12">
        <f>IFERROR(__xludf.DUMMYFUNCTION("""COMPUTED_VALUE"""),44662.51521990741)</f>
        <v>44662.51522</v>
      </c>
      <c r="D4308" s="13">
        <f t="shared" si="1"/>
        <v>11</v>
      </c>
      <c r="E4308" s="13">
        <f t="shared" si="2"/>
        <v>12</v>
      </c>
    </row>
    <row r="4309">
      <c r="A4309" s="4" t="s">
        <v>4753</v>
      </c>
      <c r="B4309" s="4" t="s">
        <v>143</v>
      </c>
      <c r="C4309" s="12">
        <f>IFERROR(__xludf.DUMMYFUNCTION("""COMPUTED_VALUE"""),44662.51521990741)</f>
        <v>44662.51522</v>
      </c>
      <c r="D4309" s="13">
        <f t="shared" si="1"/>
        <v>11</v>
      </c>
      <c r="E4309" s="13">
        <f t="shared" si="2"/>
        <v>12</v>
      </c>
    </row>
    <row r="4310">
      <c r="A4310" s="4" t="s">
        <v>4755</v>
      </c>
      <c r="B4310" s="4" t="s">
        <v>143</v>
      </c>
      <c r="C4310" s="12">
        <f>IFERROR(__xludf.DUMMYFUNCTION("""COMPUTED_VALUE"""),44662.51520833333)</f>
        <v>44662.51521</v>
      </c>
      <c r="D4310" s="13">
        <f t="shared" si="1"/>
        <v>11</v>
      </c>
      <c r="E4310" s="13">
        <f t="shared" si="2"/>
        <v>12</v>
      </c>
    </row>
    <row r="4311">
      <c r="A4311" s="4" t="s">
        <v>4755</v>
      </c>
      <c r="B4311" s="4" t="s">
        <v>4751</v>
      </c>
      <c r="C4311" s="12">
        <f>IFERROR(__xludf.DUMMYFUNCTION("""COMPUTED_VALUE"""),44662.51520833333)</f>
        <v>44662.51521</v>
      </c>
      <c r="D4311" s="13">
        <f t="shared" si="1"/>
        <v>11</v>
      </c>
      <c r="E4311" s="13">
        <f t="shared" si="2"/>
        <v>12</v>
      </c>
    </row>
    <row r="4312">
      <c r="A4312" s="4" t="s">
        <v>4756</v>
      </c>
      <c r="B4312" s="16"/>
      <c r="C4312" s="12">
        <f>IFERROR(__xludf.DUMMYFUNCTION("""COMPUTED_VALUE"""),44662.515196759254)</f>
        <v>44662.5152</v>
      </c>
      <c r="D4312" s="13">
        <f t="shared" si="1"/>
        <v>11</v>
      </c>
      <c r="E4312" s="13">
        <f t="shared" si="2"/>
        <v>12</v>
      </c>
    </row>
    <row r="4313">
      <c r="A4313" s="4" t="s">
        <v>4757</v>
      </c>
      <c r="B4313" s="16"/>
      <c r="C4313" s="12">
        <f>IFERROR(__xludf.DUMMYFUNCTION("""COMPUTED_VALUE"""),44662.515185185184)</f>
        <v>44662.51519</v>
      </c>
      <c r="D4313" s="13">
        <f t="shared" si="1"/>
        <v>11</v>
      </c>
      <c r="E4313" s="13">
        <f t="shared" si="2"/>
        <v>12</v>
      </c>
    </row>
    <row r="4314">
      <c r="A4314" s="4" t="s">
        <v>4758</v>
      </c>
      <c r="B4314" s="4" t="s">
        <v>2441</v>
      </c>
      <c r="C4314" s="12">
        <f>IFERROR(__xludf.DUMMYFUNCTION("""COMPUTED_VALUE"""),44662.51517361111)</f>
        <v>44662.51517</v>
      </c>
      <c r="D4314" s="13">
        <f t="shared" si="1"/>
        <v>11</v>
      </c>
      <c r="E4314" s="13">
        <f t="shared" si="2"/>
        <v>12</v>
      </c>
    </row>
    <row r="4315">
      <c r="A4315" s="4" t="s">
        <v>4759</v>
      </c>
      <c r="B4315" s="16"/>
      <c r="C4315" s="12">
        <f>IFERROR(__xludf.DUMMYFUNCTION("""COMPUTED_VALUE"""),44662.51516203704)</f>
        <v>44662.51516</v>
      </c>
      <c r="D4315" s="13">
        <f t="shared" si="1"/>
        <v>11</v>
      </c>
      <c r="E4315" s="13">
        <f t="shared" si="2"/>
        <v>12</v>
      </c>
    </row>
    <row r="4316">
      <c r="A4316" s="4" t="s">
        <v>4759</v>
      </c>
      <c r="B4316" s="4" t="s">
        <v>829</v>
      </c>
      <c r="C4316" s="12">
        <f>IFERROR(__xludf.DUMMYFUNCTION("""COMPUTED_VALUE"""),44662.51516203704)</f>
        <v>44662.51516</v>
      </c>
      <c r="D4316" s="13">
        <f t="shared" si="1"/>
        <v>11</v>
      </c>
      <c r="E4316" s="13">
        <f t="shared" si="2"/>
        <v>12</v>
      </c>
    </row>
    <row r="4317">
      <c r="A4317" s="4" t="s">
        <v>4760</v>
      </c>
      <c r="B4317" s="4" t="s">
        <v>2441</v>
      </c>
      <c r="C4317" s="12">
        <f>IFERROR(__xludf.DUMMYFUNCTION("""COMPUTED_VALUE"""),44662.51515046296)</f>
        <v>44662.51515</v>
      </c>
      <c r="D4317" s="13">
        <f t="shared" si="1"/>
        <v>11</v>
      </c>
      <c r="E4317" s="13">
        <f t="shared" si="2"/>
        <v>12</v>
      </c>
    </row>
    <row r="4318">
      <c r="A4318" s="4" t="s">
        <v>4761</v>
      </c>
      <c r="B4318" s="16"/>
      <c r="C4318" s="12">
        <f>IFERROR(__xludf.DUMMYFUNCTION("""COMPUTED_VALUE"""),44662.515138888884)</f>
        <v>44662.51514</v>
      </c>
      <c r="D4318" s="13">
        <f t="shared" si="1"/>
        <v>11</v>
      </c>
      <c r="E4318" s="13">
        <f t="shared" si="2"/>
        <v>12</v>
      </c>
    </row>
    <row r="4319">
      <c r="A4319" s="4" t="s">
        <v>4762</v>
      </c>
      <c r="B4319" s="4" t="s">
        <v>2441</v>
      </c>
      <c r="C4319" s="12">
        <f>IFERROR(__xludf.DUMMYFUNCTION("""COMPUTED_VALUE"""),44662.51509259259)</f>
        <v>44662.51509</v>
      </c>
      <c r="D4319" s="13">
        <f t="shared" si="1"/>
        <v>11</v>
      </c>
      <c r="E4319" s="13">
        <f t="shared" si="2"/>
        <v>12</v>
      </c>
    </row>
    <row r="4320">
      <c r="A4320" s="4" t="s">
        <v>4763</v>
      </c>
      <c r="B4320" s="16"/>
      <c r="C4320" s="12">
        <f>IFERROR(__xludf.DUMMYFUNCTION("""COMPUTED_VALUE"""),44662.515069444446)</f>
        <v>44662.51507</v>
      </c>
      <c r="D4320" s="13">
        <f t="shared" si="1"/>
        <v>11</v>
      </c>
      <c r="E4320" s="13">
        <f t="shared" si="2"/>
        <v>12</v>
      </c>
    </row>
    <row r="4321">
      <c r="A4321" s="4" t="s">
        <v>4764</v>
      </c>
      <c r="B4321" s="4" t="s">
        <v>2021</v>
      </c>
      <c r="C4321" s="12">
        <f>IFERROR(__xludf.DUMMYFUNCTION("""COMPUTED_VALUE"""),44662.51503472222)</f>
        <v>44662.51503</v>
      </c>
      <c r="D4321" s="13">
        <f t="shared" si="1"/>
        <v>11</v>
      </c>
      <c r="E4321" s="13">
        <f t="shared" si="2"/>
        <v>12</v>
      </c>
    </row>
    <row r="4322">
      <c r="A4322" s="4" t="s">
        <v>4764</v>
      </c>
      <c r="B4322" s="16"/>
      <c r="C4322" s="12">
        <f>IFERROR(__xludf.DUMMYFUNCTION("""COMPUTED_VALUE"""),44662.51503472222)</f>
        <v>44662.51503</v>
      </c>
      <c r="D4322" s="13">
        <f t="shared" si="1"/>
        <v>11</v>
      </c>
      <c r="E4322" s="13">
        <f t="shared" si="2"/>
        <v>12</v>
      </c>
    </row>
    <row r="4323">
      <c r="A4323" s="4" t="s">
        <v>4765</v>
      </c>
      <c r="B4323" s="16"/>
      <c r="C4323" s="12">
        <f>IFERROR(__xludf.DUMMYFUNCTION("""COMPUTED_VALUE"""),44662.51501157407)</f>
        <v>44662.51501</v>
      </c>
      <c r="D4323" s="13">
        <f t="shared" si="1"/>
        <v>11</v>
      </c>
      <c r="E4323" s="13">
        <f t="shared" si="2"/>
        <v>12</v>
      </c>
    </row>
    <row r="4324">
      <c r="A4324" s="4" t="s">
        <v>4766</v>
      </c>
      <c r="B4324" s="4" t="s">
        <v>829</v>
      </c>
      <c r="C4324" s="12">
        <f>IFERROR(__xludf.DUMMYFUNCTION("""COMPUTED_VALUE"""),44662.514976851846)</f>
        <v>44662.51498</v>
      </c>
      <c r="D4324" s="13">
        <f t="shared" si="1"/>
        <v>11</v>
      </c>
      <c r="E4324" s="13">
        <f t="shared" si="2"/>
        <v>12</v>
      </c>
    </row>
    <row r="4325">
      <c r="A4325" s="4" t="s">
        <v>4767</v>
      </c>
      <c r="B4325" s="4" t="s">
        <v>829</v>
      </c>
      <c r="C4325" s="12">
        <f>IFERROR(__xludf.DUMMYFUNCTION("""COMPUTED_VALUE"""),44662.51491898148)</f>
        <v>44662.51492</v>
      </c>
      <c r="D4325" s="13">
        <f t="shared" si="1"/>
        <v>11</v>
      </c>
      <c r="E4325" s="13">
        <f t="shared" si="2"/>
        <v>12</v>
      </c>
    </row>
    <row r="4326">
      <c r="A4326" s="4" t="s">
        <v>4768</v>
      </c>
      <c r="B4326" s="4" t="s">
        <v>4769</v>
      </c>
      <c r="C4326" s="12">
        <f>IFERROR(__xludf.DUMMYFUNCTION("""COMPUTED_VALUE"""),44662.51488425925)</f>
        <v>44662.51488</v>
      </c>
      <c r="D4326" s="13">
        <f t="shared" si="1"/>
        <v>11</v>
      </c>
      <c r="E4326" s="13">
        <f t="shared" si="2"/>
        <v>12</v>
      </c>
    </row>
    <row r="4327">
      <c r="A4327" s="4" t="s">
        <v>4770</v>
      </c>
      <c r="B4327" s="4" t="s">
        <v>829</v>
      </c>
      <c r="C4327" s="12">
        <f>IFERROR(__xludf.DUMMYFUNCTION("""COMPUTED_VALUE"""),44662.51480324074)</f>
        <v>44662.5148</v>
      </c>
      <c r="D4327" s="13">
        <f t="shared" si="1"/>
        <v>11</v>
      </c>
      <c r="E4327" s="13">
        <f t="shared" si="2"/>
        <v>12</v>
      </c>
    </row>
    <row r="4328">
      <c r="A4328" s="4" t="s">
        <v>4770</v>
      </c>
      <c r="B4328" s="4" t="s">
        <v>4771</v>
      </c>
      <c r="C4328" s="12">
        <f>IFERROR(__xludf.DUMMYFUNCTION("""COMPUTED_VALUE"""),44662.51480324074)</f>
        <v>44662.5148</v>
      </c>
      <c r="D4328" s="13">
        <f t="shared" si="1"/>
        <v>11</v>
      </c>
      <c r="E4328" s="13">
        <f t="shared" si="2"/>
        <v>12</v>
      </c>
    </row>
    <row r="4329">
      <c r="A4329" s="4" t="s">
        <v>4772</v>
      </c>
      <c r="B4329" s="16"/>
      <c r="C4329" s="12">
        <f>IFERROR(__xludf.DUMMYFUNCTION("""COMPUTED_VALUE"""),44662.51479166666)</f>
        <v>44662.51479</v>
      </c>
      <c r="D4329" s="13">
        <f t="shared" si="1"/>
        <v>11</v>
      </c>
      <c r="E4329" s="13">
        <f t="shared" si="2"/>
        <v>12</v>
      </c>
    </row>
    <row r="4330">
      <c r="A4330" s="4" t="s">
        <v>4773</v>
      </c>
      <c r="B4330" s="4" t="s">
        <v>4774</v>
      </c>
      <c r="C4330" s="12">
        <f>IFERROR(__xludf.DUMMYFUNCTION("""COMPUTED_VALUE"""),44662.51473379629)</f>
        <v>44662.51473</v>
      </c>
      <c r="D4330" s="13">
        <f t="shared" si="1"/>
        <v>11</v>
      </c>
      <c r="E4330" s="13">
        <f t="shared" si="2"/>
        <v>12</v>
      </c>
    </row>
    <row r="4331">
      <c r="A4331" s="4" t="s">
        <v>4775</v>
      </c>
      <c r="B4331" s="16"/>
      <c r="C4331" s="12">
        <f>IFERROR(__xludf.DUMMYFUNCTION("""COMPUTED_VALUE"""),44662.514710648145)</f>
        <v>44662.51471</v>
      </c>
      <c r="D4331" s="13">
        <f t="shared" si="1"/>
        <v>11</v>
      </c>
      <c r="E4331" s="13">
        <f t="shared" si="2"/>
        <v>12</v>
      </c>
    </row>
    <row r="4332">
      <c r="A4332" s="4" t="s">
        <v>4776</v>
      </c>
      <c r="B4332" s="16"/>
      <c r="C4332" s="12">
        <f>IFERROR(__xludf.DUMMYFUNCTION("""COMPUTED_VALUE"""),44662.5146875)</f>
        <v>44662.51469</v>
      </c>
      <c r="D4332" s="13">
        <f t="shared" si="1"/>
        <v>11</v>
      </c>
      <c r="E4332" s="13">
        <f t="shared" si="2"/>
        <v>12</v>
      </c>
    </row>
    <row r="4333">
      <c r="A4333" s="4" t="s">
        <v>4776</v>
      </c>
      <c r="B4333" s="4" t="s">
        <v>143</v>
      </c>
      <c r="C4333" s="12">
        <f>IFERROR(__xludf.DUMMYFUNCTION("""COMPUTED_VALUE"""),44662.5146875)</f>
        <v>44662.51469</v>
      </c>
      <c r="D4333" s="13">
        <f t="shared" si="1"/>
        <v>11</v>
      </c>
      <c r="E4333" s="13">
        <f t="shared" si="2"/>
        <v>12</v>
      </c>
    </row>
    <row r="4334">
      <c r="A4334" s="4" t="s">
        <v>4777</v>
      </c>
      <c r="B4334" s="4" t="s">
        <v>829</v>
      </c>
      <c r="C4334" s="12">
        <f>IFERROR(__xludf.DUMMYFUNCTION("""COMPUTED_VALUE"""),44662.51467592592)</f>
        <v>44662.51468</v>
      </c>
      <c r="D4334" s="13">
        <f t="shared" si="1"/>
        <v>11</v>
      </c>
      <c r="E4334" s="13">
        <f t="shared" si="2"/>
        <v>12</v>
      </c>
    </row>
    <row r="4335">
      <c r="A4335" s="4" t="s">
        <v>4778</v>
      </c>
      <c r="B4335" s="4" t="s">
        <v>143</v>
      </c>
      <c r="C4335" s="12">
        <f>IFERROR(__xludf.DUMMYFUNCTION("""COMPUTED_VALUE"""),44662.51466435185)</f>
        <v>44662.51466</v>
      </c>
      <c r="D4335" s="13">
        <f t="shared" si="1"/>
        <v>11</v>
      </c>
      <c r="E4335" s="13">
        <f t="shared" si="2"/>
        <v>12</v>
      </c>
    </row>
    <row r="4336">
      <c r="A4336" s="4" t="s">
        <v>4778</v>
      </c>
      <c r="B4336" s="4" t="s">
        <v>4155</v>
      </c>
      <c r="C4336" s="12">
        <f>IFERROR(__xludf.DUMMYFUNCTION("""COMPUTED_VALUE"""),44662.51466435185)</f>
        <v>44662.51466</v>
      </c>
      <c r="D4336" s="13">
        <f t="shared" si="1"/>
        <v>11</v>
      </c>
      <c r="E4336" s="13">
        <f t="shared" si="2"/>
        <v>12</v>
      </c>
    </row>
    <row r="4337">
      <c r="A4337" s="4" t="s">
        <v>4779</v>
      </c>
      <c r="B4337" s="4" t="s">
        <v>4155</v>
      </c>
      <c r="C4337" s="12">
        <f>IFERROR(__xludf.DUMMYFUNCTION("""COMPUTED_VALUE"""),44662.5146412037)</f>
        <v>44662.51464</v>
      </c>
      <c r="D4337" s="13">
        <f t="shared" si="1"/>
        <v>11</v>
      </c>
      <c r="E4337" s="13">
        <f t="shared" si="2"/>
        <v>12</v>
      </c>
    </row>
    <row r="4338">
      <c r="A4338" s="4" t="s">
        <v>4780</v>
      </c>
      <c r="B4338" s="4" t="s">
        <v>143</v>
      </c>
      <c r="C4338" s="12">
        <f>IFERROR(__xludf.DUMMYFUNCTION("""COMPUTED_VALUE"""),44662.51461805555)</f>
        <v>44662.51462</v>
      </c>
      <c r="D4338" s="13">
        <f t="shared" si="1"/>
        <v>11</v>
      </c>
      <c r="E4338" s="13">
        <f t="shared" si="2"/>
        <v>12</v>
      </c>
    </row>
    <row r="4339">
      <c r="A4339" s="4" t="s">
        <v>4781</v>
      </c>
      <c r="B4339" s="4" t="s">
        <v>143</v>
      </c>
      <c r="C4339" s="12">
        <f>IFERROR(__xludf.DUMMYFUNCTION("""COMPUTED_VALUE"""),44662.51459490741)</f>
        <v>44662.51459</v>
      </c>
      <c r="D4339" s="13">
        <f t="shared" si="1"/>
        <v>11</v>
      </c>
      <c r="E4339" s="13">
        <f t="shared" si="2"/>
        <v>12</v>
      </c>
    </row>
    <row r="4340">
      <c r="A4340" s="4" t="s">
        <v>4782</v>
      </c>
      <c r="B4340" s="16"/>
      <c r="C4340" s="12">
        <f>IFERROR(__xludf.DUMMYFUNCTION("""COMPUTED_VALUE"""),44662.51457175926)</f>
        <v>44662.51457</v>
      </c>
      <c r="D4340" s="13">
        <f t="shared" si="1"/>
        <v>11</v>
      </c>
      <c r="E4340" s="13">
        <f t="shared" si="2"/>
        <v>12</v>
      </c>
    </row>
    <row r="4341">
      <c r="A4341" s="4" t="s">
        <v>4783</v>
      </c>
      <c r="B4341" s="16"/>
      <c r="C4341" s="12">
        <f>IFERROR(__xludf.DUMMYFUNCTION("""COMPUTED_VALUE"""),44662.514560185184)</f>
        <v>44662.51456</v>
      </c>
      <c r="D4341" s="13">
        <f t="shared" si="1"/>
        <v>11</v>
      </c>
      <c r="E4341" s="13">
        <f t="shared" si="2"/>
        <v>12</v>
      </c>
    </row>
    <row r="4342">
      <c r="A4342" s="4" t="s">
        <v>4784</v>
      </c>
      <c r="B4342" s="4" t="s">
        <v>4774</v>
      </c>
      <c r="C4342" s="12">
        <f>IFERROR(__xludf.DUMMYFUNCTION("""COMPUTED_VALUE"""),44662.51452546296)</f>
        <v>44662.51453</v>
      </c>
      <c r="D4342" s="13">
        <f t="shared" si="1"/>
        <v>11</v>
      </c>
      <c r="E4342" s="13">
        <f t="shared" si="2"/>
        <v>12</v>
      </c>
    </row>
    <row r="4343">
      <c r="A4343" s="4" t="s">
        <v>4785</v>
      </c>
      <c r="B4343" s="16"/>
      <c r="C4343" s="12">
        <f>IFERROR(__xludf.DUMMYFUNCTION("""COMPUTED_VALUE"""),44662.514513888884)</f>
        <v>44662.51451</v>
      </c>
      <c r="D4343" s="13">
        <f t="shared" si="1"/>
        <v>11</v>
      </c>
      <c r="E4343" s="13">
        <f t="shared" si="2"/>
        <v>12</v>
      </c>
    </row>
    <row r="4344">
      <c r="A4344" s="4" t="s">
        <v>4786</v>
      </c>
      <c r="B4344" s="16"/>
      <c r="C4344" s="12">
        <f>IFERROR(__xludf.DUMMYFUNCTION("""COMPUTED_VALUE"""),44662.514502314814)</f>
        <v>44662.5145</v>
      </c>
      <c r="D4344" s="13">
        <f t="shared" si="1"/>
        <v>11</v>
      </c>
      <c r="E4344" s="13">
        <f t="shared" si="2"/>
        <v>12</v>
      </c>
    </row>
    <row r="4345">
      <c r="A4345" s="4" t="s">
        <v>4787</v>
      </c>
      <c r="B4345" s="4" t="s">
        <v>143</v>
      </c>
      <c r="C4345" s="12">
        <f>IFERROR(__xludf.DUMMYFUNCTION("""COMPUTED_VALUE"""),44662.51449074074)</f>
        <v>44662.51449</v>
      </c>
      <c r="D4345" s="13">
        <f t="shared" si="1"/>
        <v>11</v>
      </c>
      <c r="E4345" s="13">
        <f t="shared" si="2"/>
        <v>12</v>
      </c>
    </row>
    <row r="4346">
      <c r="A4346" s="4" t="s">
        <v>4788</v>
      </c>
      <c r="B4346" s="16"/>
      <c r="C4346" s="12">
        <f>IFERROR(__xludf.DUMMYFUNCTION("""COMPUTED_VALUE"""),44662.51446759259)</f>
        <v>44662.51447</v>
      </c>
      <c r="D4346" s="13">
        <f t="shared" si="1"/>
        <v>11</v>
      </c>
      <c r="E4346" s="13">
        <f t="shared" si="2"/>
        <v>12</v>
      </c>
    </row>
    <row r="4347">
      <c r="A4347" s="4" t="s">
        <v>4789</v>
      </c>
      <c r="B4347" s="4" t="s">
        <v>1195</v>
      </c>
      <c r="C4347" s="12">
        <f>IFERROR(__xludf.DUMMYFUNCTION("""COMPUTED_VALUE"""),44662.51442129629)</f>
        <v>44662.51442</v>
      </c>
      <c r="D4347" s="13">
        <f t="shared" si="1"/>
        <v>11</v>
      </c>
      <c r="E4347" s="13">
        <f t="shared" si="2"/>
        <v>12</v>
      </c>
    </row>
    <row r="4348">
      <c r="A4348" s="4" t="s">
        <v>4790</v>
      </c>
      <c r="B4348" s="16"/>
      <c r="C4348" s="12">
        <f>IFERROR(__xludf.DUMMYFUNCTION("""COMPUTED_VALUE"""),44662.51440972222)</f>
        <v>44662.51441</v>
      </c>
      <c r="D4348" s="13">
        <f t="shared" si="1"/>
        <v>11</v>
      </c>
      <c r="E4348" s="13">
        <f t="shared" si="2"/>
        <v>12</v>
      </c>
    </row>
    <row r="4349">
      <c r="A4349" s="4" t="s">
        <v>4790</v>
      </c>
      <c r="B4349" s="16"/>
      <c r="C4349" s="12">
        <f>IFERROR(__xludf.DUMMYFUNCTION("""COMPUTED_VALUE"""),44662.51440972222)</f>
        <v>44662.51441</v>
      </c>
      <c r="D4349" s="13">
        <f t="shared" si="1"/>
        <v>11</v>
      </c>
      <c r="E4349" s="13">
        <f t="shared" si="2"/>
        <v>12</v>
      </c>
    </row>
    <row r="4350">
      <c r="A4350" s="4" t="s">
        <v>4791</v>
      </c>
      <c r="B4350" s="4" t="s">
        <v>1195</v>
      </c>
      <c r="C4350" s="12">
        <f>IFERROR(__xludf.DUMMYFUNCTION("""COMPUTED_VALUE"""),44662.51438657407)</f>
        <v>44662.51439</v>
      </c>
      <c r="D4350" s="13">
        <f t="shared" si="1"/>
        <v>11</v>
      </c>
      <c r="E4350" s="13">
        <f t="shared" si="2"/>
        <v>12</v>
      </c>
    </row>
    <row r="4351">
      <c r="A4351" s="4" t="s">
        <v>4792</v>
      </c>
      <c r="B4351" s="16"/>
      <c r="C4351" s="12">
        <f>IFERROR(__xludf.DUMMYFUNCTION("""COMPUTED_VALUE"""),44662.51436342592)</f>
        <v>44662.51436</v>
      </c>
      <c r="D4351" s="13">
        <f t="shared" si="1"/>
        <v>11</v>
      </c>
      <c r="E4351" s="13">
        <f t="shared" si="2"/>
        <v>12</v>
      </c>
    </row>
    <row r="4352">
      <c r="A4352" s="4" t="s">
        <v>4793</v>
      </c>
      <c r="B4352" s="16"/>
      <c r="C4352" s="12">
        <f>IFERROR(__xludf.DUMMYFUNCTION("""COMPUTED_VALUE"""),44662.514340277776)</f>
        <v>44662.51434</v>
      </c>
      <c r="D4352" s="13">
        <f t="shared" si="1"/>
        <v>11</v>
      </c>
      <c r="E4352" s="13">
        <f t="shared" si="2"/>
        <v>12</v>
      </c>
    </row>
    <row r="4353">
      <c r="A4353" s="4" t="s">
        <v>4794</v>
      </c>
      <c r="B4353" s="4" t="s">
        <v>4754</v>
      </c>
      <c r="C4353" s="12">
        <f>IFERROR(__xludf.DUMMYFUNCTION("""COMPUTED_VALUE"""),44662.5143287037)</f>
        <v>44662.51433</v>
      </c>
      <c r="D4353" s="13">
        <f t="shared" si="1"/>
        <v>11</v>
      </c>
      <c r="E4353" s="13">
        <f t="shared" si="2"/>
        <v>12</v>
      </c>
    </row>
    <row r="4354">
      <c r="A4354" s="4" t="s">
        <v>4794</v>
      </c>
      <c r="B4354" s="4" t="s">
        <v>1195</v>
      </c>
      <c r="C4354" s="12">
        <f>IFERROR(__xludf.DUMMYFUNCTION("""COMPUTED_VALUE"""),44662.5143287037)</f>
        <v>44662.51433</v>
      </c>
      <c r="D4354" s="13">
        <f t="shared" si="1"/>
        <v>11</v>
      </c>
      <c r="E4354" s="13">
        <f t="shared" si="2"/>
        <v>12</v>
      </c>
    </row>
    <row r="4355">
      <c r="A4355" s="4" t="s">
        <v>4795</v>
      </c>
      <c r="B4355" s="16"/>
      <c r="C4355" s="12">
        <f>IFERROR(__xludf.DUMMYFUNCTION("""COMPUTED_VALUE"""),44662.51431712963)</f>
        <v>44662.51432</v>
      </c>
      <c r="D4355" s="13">
        <f t="shared" si="1"/>
        <v>11</v>
      </c>
      <c r="E4355" s="13">
        <f t="shared" si="2"/>
        <v>12</v>
      </c>
    </row>
    <row r="4356">
      <c r="A4356" s="4" t="s">
        <v>4796</v>
      </c>
      <c r="B4356" s="16"/>
      <c r="C4356" s="12">
        <f>IFERROR(__xludf.DUMMYFUNCTION("""COMPUTED_VALUE"""),44662.51430555555)</f>
        <v>44662.51431</v>
      </c>
      <c r="D4356" s="13">
        <f t="shared" si="1"/>
        <v>11</v>
      </c>
      <c r="E4356" s="13">
        <f t="shared" si="2"/>
        <v>12</v>
      </c>
    </row>
    <row r="4357">
      <c r="A4357" s="4" t="s">
        <v>4797</v>
      </c>
      <c r="B4357" s="4" t="s">
        <v>4754</v>
      </c>
      <c r="C4357" s="12">
        <f>IFERROR(__xludf.DUMMYFUNCTION("""COMPUTED_VALUE"""),44662.514293981476)</f>
        <v>44662.51429</v>
      </c>
      <c r="D4357" s="13">
        <f t="shared" si="1"/>
        <v>11</v>
      </c>
      <c r="E4357" s="13">
        <f t="shared" si="2"/>
        <v>12</v>
      </c>
    </row>
    <row r="4358">
      <c r="A4358" s="4" t="s">
        <v>4798</v>
      </c>
      <c r="B4358" s="4" t="s">
        <v>1195</v>
      </c>
      <c r="C4358" s="12">
        <f>IFERROR(__xludf.DUMMYFUNCTION("""COMPUTED_VALUE"""),44662.51428240741)</f>
        <v>44662.51428</v>
      </c>
      <c r="D4358" s="13">
        <f t="shared" si="1"/>
        <v>11</v>
      </c>
      <c r="E4358" s="13">
        <f t="shared" si="2"/>
        <v>12</v>
      </c>
    </row>
    <row r="4359">
      <c r="A4359" s="4" t="s">
        <v>4799</v>
      </c>
      <c r="B4359" s="4" t="s">
        <v>4754</v>
      </c>
      <c r="C4359" s="12">
        <f>IFERROR(__xludf.DUMMYFUNCTION("""COMPUTED_VALUE"""),44662.51427083333)</f>
        <v>44662.51427</v>
      </c>
      <c r="D4359" s="13">
        <f t="shared" si="1"/>
        <v>11</v>
      </c>
      <c r="E4359" s="13">
        <f t="shared" si="2"/>
        <v>12</v>
      </c>
    </row>
    <row r="4360">
      <c r="A4360" s="4" t="s">
        <v>4799</v>
      </c>
      <c r="B4360" s="4" t="s">
        <v>4800</v>
      </c>
      <c r="C4360" s="12">
        <f>IFERROR(__xludf.DUMMYFUNCTION("""COMPUTED_VALUE"""),44662.51427083333)</f>
        <v>44662.51427</v>
      </c>
      <c r="D4360" s="13">
        <f t="shared" si="1"/>
        <v>11</v>
      </c>
      <c r="E4360" s="13">
        <f t="shared" si="2"/>
        <v>12</v>
      </c>
    </row>
    <row r="4361">
      <c r="A4361" s="4" t="s">
        <v>4799</v>
      </c>
      <c r="B4361" s="4" t="s">
        <v>4801</v>
      </c>
      <c r="C4361" s="12">
        <f>IFERROR(__xludf.DUMMYFUNCTION("""COMPUTED_VALUE"""),44662.51427083333)</f>
        <v>44662.51427</v>
      </c>
      <c r="D4361" s="13">
        <f t="shared" si="1"/>
        <v>11</v>
      </c>
      <c r="E4361" s="13">
        <f t="shared" si="2"/>
        <v>12</v>
      </c>
    </row>
    <row r="4362">
      <c r="A4362" s="4" t="s">
        <v>4802</v>
      </c>
      <c r="B4362" s="4" t="s">
        <v>1195</v>
      </c>
      <c r="C4362" s="12">
        <f>IFERROR(__xludf.DUMMYFUNCTION("""COMPUTED_VALUE"""),44662.51425925926)</f>
        <v>44662.51426</v>
      </c>
      <c r="D4362" s="13">
        <f t="shared" si="1"/>
        <v>11</v>
      </c>
      <c r="E4362" s="13">
        <f t="shared" si="2"/>
        <v>12</v>
      </c>
    </row>
    <row r="4363">
      <c r="A4363" s="4" t="s">
        <v>4803</v>
      </c>
      <c r="B4363" s="4" t="s">
        <v>4754</v>
      </c>
      <c r="C4363" s="12">
        <f>IFERROR(__xludf.DUMMYFUNCTION("""COMPUTED_VALUE"""),44662.51424768518)</f>
        <v>44662.51425</v>
      </c>
      <c r="D4363" s="13">
        <f t="shared" si="1"/>
        <v>11</v>
      </c>
      <c r="E4363" s="13">
        <f t="shared" si="2"/>
        <v>12</v>
      </c>
    </row>
    <row r="4364">
      <c r="A4364" s="4" t="s">
        <v>4804</v>
      </c>
      <c r="B4364" s="4" t="s">
        <v>1195</v>
      </c>
      <c r="C4364" s="12">
        <f>IFERROR(__xludf.DUMMYFUNCTION("""COMPUTED_VALUE"""),44662.51423611111)</f>
        <v>44662.51424</v>
      </c>
      <c r="D4364" s="13">
        <f t="shared" si="1"/>
        <v>11</v>
      </c>
      <c r="E4364" s="13">
        <f t="shared" si="2"/>
        <v>12</v>
      </c>
    </row>
    <row r="4365">
      <c r="A4365" s="4" t="s">
        <v>4805</v>
      </c>
      <c r="B4365" s="16"/>
      <c r="C4365" s="12">
        <f>IFERROR(__xludf.DUMMYFUNCTION("""COMPUTED_VALUE"""),44662.51422453704)</f>
        <v>44662.51422</v>
      </c>
      <c r="D4365" s="13">
        <f t="shared" si="1"/>
        <v>11</v>
      </c>
      <c r="E4365" s="13">
        <f t="shared" si="2"/>
        <v>12</v>
      </c>
    </row>
    <row r="4366">
      <c r="A4366" s="4" t="s">
        <v>4805</v>
      </c>
      <c r="B4366" s="4" t="s">
        <v>4754</v>
      </c>
      <c r="C4366" s="12">
        <f>IFERROR(__xludf.DUMMYFUNCTION("""COMPUTED_VALUE"""),44662.51422453704)</f>
        <v>44662.51422</v>
      </c>
      <c r="D4366" s="13">
        <f t="shared" si="1"/>
        <v>11</v>
      </c>
      <c r="E4366" s="13">
        <f t="shared" si="2"/>
        <v>12</v>
      </c>
    </row>
    <row r="4367">
      <c r="A4367" s="4" t="s">
        <v>4806</v>
      </c>
      <c r="B4367" s="16"/>
      <c r="C4367" s="12">
        <f>IFERROR(__xludf.DUMMYFUNCTION("""COMPUTED_VALUE"""),44662.51420138888)</f>
        <v>44662.5142</v>
      </c>
      <c r="D4367" s="13">
        <f t="shared" si="1"/>
        <v>11</v>
      </c>
      <c r="E4367" s="13">
        <f t="shared" si="2"/>
        <v>12</v>
      </c>
    </row>
    <row r="4368">
      <c r="A4368" s="4" t="s">
        <v>4806</v>
      </c>
      <c r="B4368" s="4" t="s">
        <v>4807</v>
      </c>
      <c r="C4368" s="12">
        <f>IFERROR(__xludf.DUMMYFUNCTION("""COMPUTED_VALUE"""),44662.51420138888)</f>
        <v>44662.5142</v>
      </c>
      <c r="D4368" s="13">
        <f t="shared" si="1"/>
        <v>11</v>
      </c>
      <c r="E4368" s="13">
        <f t="shared" si="2"/>
        <v>12</v>
      </c>
    </row>
    <row r="4369">
      <c r="A4369" s="4" t="s">
        <v>4808</v>
      </c>
      <c r="B4369" s="4" t="s">
        <v>4800</v>
      </c>
      <c r="C4369" s="12">
        <f>IFERROR(__xludf.DUMMYFUNCTION("""COMPUTED_VALUE"""),44662.51417824074)</f>
        <v>44662.51418</v>
      </c>
      <c r="D4369" s="13">
        <f t="shared" si="1"/>
        <v>11</v>
      </c>
      <c r="E4369" s="13">
        <f t="shared" si="2"/>
        <v>12</v>
      </c>
    </row>
    <row r="4370">
      <c r="A4370" s="4" t="s">
        <v>4809</v>
      </c>
      <c r="B4370" s="16"/>
      <c r="C4370" s="12">
        <f>IFERROR(__xludf.DUMMYFUNCTION("""COMPUTED_VALUE"""),44662.514143518514)</f>
        <v>44662.51414</v>
      </c>
      <c r="D4370" s="13">
        <f t="shared" si="1"/>
        <v>11</v>
      </c>
      <c r="E4370" s="13">
        <f t="shared" si="2"/>
        <v>12</v>
      </c>
    </row>
    <row r="4371">
      <c r="A4371" s="4" t="s">
        <v>4810</v>
      </c>
      <c r="B4371" s="16"/>
      <c r="C4371" s="12">
        <f>IFERROR(__xludf.DUMMYFUNCTION("""COMPUTED_VALUE"""),44662.514131944445)</f>
        <v>44662.51413</v>
      </c>
      <c r="D4371" s="13">
        <f t="shared" si="1"/>
        <v>11</v>
      </c>
      <c r="E4371" s="13">
        <f t="shared" si="2"/>
        <v>12</v>
      </c>
    </row>
    <row r="4372">
      <c r="A4372" s="4" t="s">
        <v>4811</v>
      </c>
      <c r="B4372" s="16"/>
      <c r="C4372" s="12">
        <f>IFERROR(__xludf.DUMMYFUNCTION("""COMPUTED_VALUE"""),44662.51410879629)</f>
        <v>44662.51411</v>
      </c>
      <c r="D4372" s="13">
        <f t="shared" si="1"/>
        <v>11</v>
      </c>
      <c r="E4372" s="13">
        <f t="shared" si="2"/>
        <v>12</v>
      </c>
    </row>
    <row r="4373">
      <c r="A4373" s="4" t="s">
        <v>4812</v>
      </c>
      <c r="B4373" s="16"/>
      <c r="C4373" s="12">
        <f>IFERROR(__xludf.DUMMYFUNCTION("""COMPUTED_VALUE"""),44662.51409722222)</f>
        <v>44662.5141</v>
      </c>
      <c r="D4373" s="13">
        <f t="shared" si="1"/>
        <v>11</v>
      </c>
      <c r="E4373" s="13">
        <f t="shared" si="2"/>
        <v>12</v>
      </c>
    </row>
    <row r="4374">
      <c r="A4374" s="4" t="s">
        <v>4813</v>
      </c>
      <c r="B4374" s="4" t="s">
        <v>4754</v>
      </c>
      <c r="C4374" s="12">
        <f>IFERROR(__xludf.DUMMYFUNCTION("""COMPUTED_VALUE"""),44662.514085648145)</f>
        <v>44662.51409</v>
      </c>
      <c r="D4374" s="13">
        <f t="shared" si="1"/>
        <v>11</v>
      </c>
      <c r="E4374" s="13">
        <f t="shared" si="2"/>
        <v>12</v>
      </c>
    </row>
    <row r="4375">
      <c r="A4375" s="4" t="s">
        <v>4814</v>
      </c>
      <c r="B4375" s="16"/>
      <c r="C4375" s="12">
        <f>IFERROR(__xludf.DUMMYFUNCTION("""COMPUTED_VALUE"""),44662.5140625)</f>
        <v>44662.51406</v>
      </c>
      <c r="D4375" s="13">
        <f t="shared" si="1"/>
        <v>11</v>
      </c>
      <c r="E4375" s="13">
        <f t="shared" si="2"/>
        <v>12</v>
      </c>
    </row>
    <row r="4376">
      <c r="A4376" s="4" t="s">
        <v>4814</v>
      </c>
      <c r="B4376" s="4" t="s">
        <v>4754</v>
      </c>
      <c r="C4376" s="12">
        <f>IFERROR(__xludf.DUMMYFUNCTION("""COMPUTED_VALUE"""),44662.5140625)</f>
        <v>44662.51406</v>
      </c>
      <c r="D4376" s="13">
        <f t="shared" si="1"/>
        <v>11</v>
      </c>
      <c r="E4376" s="13">
        <f t="shared" si="2"/>
        <v>12</v>
      </c>
    </row>
    <row r="4377">
      <c r="A4377" s="4" t="s">
        <v>4815</v>
      </c>
      <c r="B4377" s="4" t="s">
        <v>4774</v>
      </c>
      <c r="C4377" s="12">
        <f>IFERROR(__xludf.DUMMYFUNCTION("""COMPUTED_VALUE"""),44662.51405092592)</f>
        <v>44662.51405</v>
      </c>
      <c r="D4377" s="13">
        <f t="shared" si="1"/>
        <v>11</v>
      </c>
      <c r="E4377" s="13">
        <f t="shared" si="2"/>
        <v>12</v>
      </c>
    </row>
    <row r="4378">
      <c r="A4378" s="4" t="s">
        <v>4816</v>
      </c>
      <c r="B4378" s="16"/>
      <c r="C4378" s="12">
        <f>IFERROR(__xludf.DUMMYFUNCTION("""COMPUTED_VALUE"""),44662.51403935185)</f>
        <v>44662.51404</v>
      </c>
      <c r="D4378" s="13">
        <f t="shared" si="1"/>
        <v>11</v>
      </c>
      <c r="E4378" s="13">
        <f t="shared" si="2"/>
        <v>12</v>
      </c>
    </row>
    <row r="4379">
      <c r="A4379" s="4" t="s">
        <v>4817</v>
      </c>
      <c r="B4379" s="16"/>
      <c r="C4379" s="12">
        <f>IFERROR(__xludf.DUMMYFUNCTION("""COMPUTED_VALUE"""),44662.5140162037)</f>
        <v>44662.51402</v>
      </c>
      <c r="D4379" s="13">
        <f t="shared" si="1"/>
        <v>11</v>
      </c>
      <c r="E4379" s="13">
        <f t="shared" si="2"/>
        <v>12</v>
      </c>
    </row>
    <row r="4380">
      <c r="A4380" s="4" t="s">
        <v>4818</v>
      </c>
      <c r="B4380" s="4" t="s">
        <v>4380</v>
      </c>
      <c r="C4380" s="12">
        <f>IFERROR(__xludf.DUMMYFUNCTION("""COMPUTED_VALUE"""),44662.513969907406)</f>
        <v>44662.51397</v>
      </c>
      <c r="D4380" s="13">
        <f t="shared" si="1"/>
        <v>11</v>
      </c>
      <c r="E4380" s="13">
        <f t="shared" si="2"/>
        <v>12</v>
      </c>
    </row>
    <row r="4381">
      <c r="A4381" s="4" t="s">
        <v>4819</v>
      </c>
      <c r="B4381" s="4" t="s">
        <v>4820</v>
      </c>
      <c r="C4381" s="12">
        <f>IFERROR(__xludf.DUMMYFUNCTION("""COMPUTED_VALUE"""),44662.51395833333)</f>
        <v>44662.51396</v>
      </c>
      <c r="D4381" s="13">
        <f t="shared" si="1"/>
        <v>11</v>
      </c>
      <c r="E4381" s="13">
        <f t="shared" si="2"/>
        <v>12</v>
      </c>
    </row>
    <row r="4382">
      <c r="A4382" s="4" t="s">
        <v>4819</v>
      </c>
      <c r="B4382" s="4" t="s">
        <v>3678</v>
      </c>
      <c r="C4382" s="12">
        <f>IFERROR(__xludf.DUMMYFUNCTION("""COMPUTED_VALUE"""),44662.51395833333)</f>
        <v>44662.51396</v>
      </c>
      <c r="D4382" s="13">
        <f t="shared" si="1"/>
        <v>11</v>
      </c>
      <c r="E4382" s="13">
        <f t="shared" si="2"/>
        <v>12</v>
      </c>
    </row>
    <row r="4383">
      <c r="A4383" s="4" t="s">
        <v>4819</v>
      </c>
      <c r="B4383" s="4" t="s">
        <v>3678</v>
      </c>
      <c r="C4383" s="12">
        <f>IFERROR(__xludf.DUMMYFUNCTION("""COMPUTED_VALUE"""),44662.51395833333)</f>
        <v>44662.51396</v>
      </c>
      <c r="D4383" s="13">
        <f t="shared" si="1"/>
        <v>11</v>
      </c>
      <c r="E4383" s="13">
        <f t="shared" si="2"/>
        <v>12</v>
      </c>
    </row>
    <row r="4384">
      <c r="A4384" s="4" t="s">
        <v>4821</v>
      </c>
      <c r="B4384" s="4" t="s">
        <v>3678</v>
      </c>
      <c r="C4384" s="12">
        <f>IFERROR(__xludf.DUMMYFUNCTION("""COMPUTED_VALUE"""),44662.51394675926)</f>
        <v>44662.51395</v>
      </c>
      <c r="D4384" s="13">
        <f t="shared" si="1"/>
        <v>11</v>
      </c>
      <c r="E4384" s="13">
        <f t="shared" si="2"/>
        <v>12</v>
      </c>
    </row>
    <row r="4385">
      <c r="A4385" s="4" t="s">
        <v>4822</v>
      </c>
      <c r="B4385" s="4" t="s">
        <v>3678</v>
      </c>
      <c r="C4385" s="12">
        <f>IFERROR(__xludf.DUMMYFUNCTION("""COMPUTED_VALUE"""),44662.51393518518)</f>
        <v>44662.51394</v>
      </c>
      <c r="D4385" s="13">
        <f t="shared" si="1"/>
        <v>11</v>
      </c>
      <c r="E4385" s="13">
        <f t="shared" si="2"/>
        <v>12</v>
      </c>
    </row>
    <row r="4386">
      <c r="A4386" s="4" t="s">
        <v>4823</v>
      </c>
      <c r="B4386" s="16"/>
      <c r="C4386" s="12">
        <f>IFERROR(__xludf.DUMMYFUNCTION("""COMPUTED_VALUE"""),44662.513923611106)</f>
        <v>44662.51392</v>
      </c>
      <c r="D4386" s="13">
        <f t="shared" si="1"/>
        <v>11</v>
      </c>
      <c r="E4386" s="13">
        <f t="shared" si="2"/>
        <v>12</v>
      </c>
    </row>
    <row r="4387">
      <c r="A4387" s="4" t="s">
        <v>4823</v>
      </c>
      <c r="B4387" s="4" t="s">
        <v>3678</v>
      </c>
      <c r="C4387" s="12">
        <f>IFERROR(__xludf.DUMMYFUNCTION("""COMPUTED_VALUE"""),44662.513923611106)</f>
        <v>44662.51392</v>
      </c>
      <c r="D4387" s="13">
        <f t="shared" si="1"/>
        <v>11</v>
      </c>
      <c r="E4387" s="13">
        <f t="shared" si="2"/>
        <v>12</v>
      </c>
    </row>
    <row r="4388">
      <c r="A4388" s="4" t="s">
        <v>4824</v>
      </c>
      <c r="B4388" s="4" t="s">
        <v>3678</v>
      </c>
      <c r="C4388" s="12">
        <f>IFERROR(__xludf.DUMMYFUNCTION("""COMPUTED_VALUE"""),44662.51391203704)</f>
        <v>44662.51391</v>
      </c>
      <c r="D4388" s="13">
        <f t="shared" si="1"/>
        <v>11</v>
      </c>
      <c r="E4388" s="13">
        <f t="shared" si="2"/>
        <v>12</v>
      </c>
    </row>
    <row r="4389">
      <c r="A4389" s="4" t="s">
        <v>4825</v>
      </c>
      <c r="B4389" s="4" t="s">
        <v>4826</v>
      </c>
      <c r="C4389" s="12">
        <f>IFERROR(__xludf.DUMMYFUNCTION("""COMPUTED_VALUE"""),44662.51390046296)</f>
        <v>44662.5139</v>
      </c>
      <c r="D4389" s="13">
        <f t="shared" si="1"/>
        <v>11</v>
      </c>
      <c r="E4389" s="13">
        <f t="shared" si="2"/>
        <v>12</v>
      </c>
    </row>
    <row r="4390">
      <c r="A4390" s="4" t="s">
        <v>4825</v>
      </c>
      <c r="B4390" s="4" t="s">
        <v>3678</v>
      </c>
      <c r="C4390" s="12">
        <f>IFERROR(__xludf.DUMMYFUNCTION("""COMPUTED_VALUE"""),44662.51390046296)</f>
        <v>44662.5139</v>
      </c>
      <c r="D4390" s="13">
        <f t="shared" si="1"/>
        <v>11</v>
      </c>
      <c r="E4390" s="13">
        <f t="shared" si="2"/>
        <v>12</v>
      </c>
    </row>
    <row r="4391">
      <c r="A4391" s="4" t="s">
        <v>4825</v>
      </c>
      <c r="B4391" s="4" t="s">
        <v>3678</v>
      </c>
      <c r="C4391" s="12">
        <f>IFERROR(__xludf.DUMMYFUNCTION("""COMPUTED_VALUE"""),44662.51390046296)</f>
        <v>44662.5139</v>
      </c>
      <c r="D4391" s="13">
        <f t="shared" si="1"/>
        <v>11</v>
      </c>
      <c r="E4391" s="13">
        <f t="shared" si="2"/>
        <v>12</v>
      </c>
    </row>
    <row r="4392">
      <c r="A4392" s="4" t="s">
        <v>4825</v>
      </c>
      <c r="B4392" s="4" t="s">
        <v>4820</v>
      </c>
      <c r="C4392" s="12">
        <f>IFERROR(__xludf.DUMMYFUNCTION("""COMPUTED_VALUE"""),44662.51390046296)</f>
        <v>44662.5139</v>
      </c>
      <c r="D4392" s="13">
        <f t="shared" si="1"/>
        <v>11</v>
      </c>
      <c r="E4392" s="13">
        <f t="shared" si="2"/>
        <v>12</v>
      </c>
    </row>
    <row r="4393">
      <c r="A4393" s="4" t="s">
        <v>4827</v>
      </c>
      <c r="B4393" s="4" t="s">
        <v>3678</v>
      </c>
      <c r="C4393" s="12">
        <f>IFERROR(__xludf.DUMMYFUNCTION("""COMPUTED_VALUE"""),44662.51388888888)</f>
        <v>44662.51389</v>
      </c>
      <c r="D4393" s="13">
        <f t="shared" si="1"/>
        <v>11</v>
      </c>
      <c r="E4393" s="13">
        <f t="shared" si="2"/>
        <v>12</v>
      </c>
    </row>
    <row r="4394">
      <c r="A4394" s="4" t="s">
        <v>4827</v>
      </c>
      <c r="B4394" s="4" t="s">
        <v>2194</v>
      </c>
      <c r="C4394" s="12">
        <f>IFERROR(__xludf.DUMMYFUNCTION("""COMPUTED_VALUE"""),44662.51388888888)</f>
        <v>44662.51389</v>
      </c>
      <c r="D4394" s="13">
        <f t="shared" si="1"/>
        <v>11</v>
      </c>
      <c r="E4394" s="13">
        <f t="shared" si="2"/>
        <v>12</v>
      </c>
    </row>
    <row r="4395">
      <c r="A4395" s="4" t="s">
        <v>4828</v>
      </c>
      <c r="B4395" s="4" t="s">
        <v>4826</v>
      </c>
      <c r="C4395" s="12">
        <f>IFERROR(__xludf.DUMMYFUNCTION("""COMPUTED_VALUE"""),44662.513877314814)</f>
        <v>44662.51388</v>
      </c>
      <c r="D4395" s="13">
        <f t="shared" si="1"/>
        <v>11</v>
      </c>
      <c r="E4395" s="13">
        <f t="shared" si="2"/>
        <v>12</v>
      </c>
    </row>
    <row r="4396">
      <c r="A4396" s="4" t="s">
        <v>4828</v>
      </c>
      <c r="B4396" s="4" t="s">
        <v>3678</v>
      </c>
      <c r="C4396" s="12">
        <f>IFERROR(__xludf.DUMMYFUNCTION("""COMPUTED_VALUE"""),44662.513877314814)</f>
        <v>44662.51388</v>
      </c>
      <c r="D4396" s="13">
        <f t="shared" si="1"/>
        <v>11</v>
      </c>
      <c r="E4396" s="13">
        <f t="shared" si="2"/>
        <v>12</v>
      </c>
    </row>
    <row r="4397">
      <c r="A4397" s="4" t="s">
        <v>4829</v>
      </c>
      <c r="B4397" s="4" t="s">
        <v>3678</v>
      </c>
      <c r="C4397" s="12">
        <f>IFERROR(__xludf.DUMMYFUNCTION("""COMPUTED_VALUE"""),44662.51386574074)</f>
        <v>44662.51387</v>
      </c>
      <c r="D4397" s="13">
        <f t="shared" si="1"/>
        <v>11</v>
      </c>
      <c r="E4397" s="13">
        <f t="shared" si="2"/>
        <v>12</v>
      </c>
    </row>
    <row r="4398">
      <c r="A4398" s="4" t="s">
        <v>4830</v>
      </c>
      <c r="B4398" s="16"/>
      <c r="C4398" s="12">
        <f>IFERROR(__xludf.DUMMYFUNCTION("""COMPUTED_VALUE"""),44662.51385416667)</f>
        <v>44662.51385</v>
      </c>
      <c r="D4398" s="13">
        <f t="shared" si="1"/>
        <v>11</v>
      </c>
      <c r="E4398" s="13">
        <f t="shared" si="2"/>
        <v>12</v>
      </c>
    </row>
    <row r="4399">
      <c r="A4399" s="4" t="s">
        <v>4830</v>
      </c>
      <c r="B4399" s="4" t="s">
        <v>3678</v>
      </c>
      <c r="C4399" s="12">
        <f>IFERROR(__xludf.DUMMYFUNCTION("""COMPUTED_VALUE"""),44662.51385416667)</f>
        <v>44662.51385</v>
      </c>
      <c r="D4399" s="13">
        <f t="shared" si="1"/>
        <v>11</v>
      </c>
      <c r="E4399" s="13">
        <f t="shared" si="2"/>
        <v>12</v>
      </c>
    </row>
    <row r="4400">
      <c r="A4400" s="4" t="s">
        <v>4831</v>
      </c>
      <c r="B4400" s="16"/>
      <c r="C4400" s="12">
        <f>IFERROR(__xludf.DUMMYFUNCTION("""COMPUTED_VALUE"""),44662.51384259259)</f>
        <v>44662.51384</v>
      </c>
      <c r="D4400" s="13">
        <f t="shared" si="1"/>
        <v>11</v>
      </c>
      <c r="E4400" s="13">
        <f t="shared" si="2"/>
        <v>12</v>
      </c>
    </row>
    <row r="4401">
      <c r="A4401" s="4" t="s">
        <v>4831</v>
      </c>
      <c r="B4401" s="4" t="s">
        <v>3678</v>
      </c>
      <c r="C4401" s="12">
        <f>IFERROR(__xludf.DUMMYFUNCTION("""COMPUTED_VALUE"""),44662.51384259259)</f>
        <v>44662.51384</v>
      </c>
      <c r="D4401" s="13">
        <f t="shared" si="1"/>
        <v>11</v>
      </c>
      <c r="E4401" s="13">
        <f t="shared" si="2"/>
        <v>12</v>
      </c>
    </row>
    <row r="4402">
      <c r="A4402" s="4" t="s">
        <v>4831</v>
      </c>
      <c r="B4402" s="4" t="s">
        <v>3678</v>
      </c>
      <c r="C4402" s="12">
        <f>IFERROR(__xludf.DUMMYFUNCTION("""COMPUTED_VALUE"""),44662.51384259259)</f>
        <v>44662.51384</v>
      </c>
      <c r="D4402" s="13">
        <f t="shared" si="1"/>
        <v>11</v>
      </c>
      <c r="E4402" s="13">
        <f t="shared" si="2"/>
        <v>12</v>
      </c>
    </row>
    <row r="4403">
      <c r="A4403" s="4" t="s">
        <v>4831</v>
      </c>
      <c r="B4403" s="16"/>
      <c r="C4403" s="12">
        <f>IFERROR(__xludf.DUMMYFUNCTION("""COMPUTED_VALUE"""),44662.51384259259)</f>
        <v>44662.51384</v>
      </c>
      <c r="D4403" s="13">
        <f t="shared" si="1"/>
        <v>11</v>
      </c>
      <c r="E4403" s="13">
        <f t="shared" si="2"/>
        <v>12</v>
      </c>
    </row>
    <row r="4404">
      <c r="A4404" s="4" t="s">
        <v>4832</v>
      </c>
      <c r="B4404" s="4" t="s">
        <v>3678</v>
      </c>
      <c r="C4404" s="12">
        <f>IFERROR(__xludf.DUMMYFUNCTION("""COMPUTED_VALUE"""),44662.513831018514)</f>
        <v>44662.51383</v>
      </c>
      <c r="D4404" s="13">
        <f t="shared" si="1"/>
        <v>11</v>
      </c>
      <c r="E4404" s="13">
        <f t="shared" si="2"/>
        <v>12</v>
      </c>
    </row>
    <row r="4405">
      <c r="A4405" s="4" t="s">
        <v>4833</v>
      </c>
      <c r="B4405" s="16"/>
      <c r="C4405" s="12">
        <f>IFERROR(__xludf.DUMMYFUNCTION("""COMPUTED_VALUE"""),44662.513819444444)</f>
        <v>44662.51382</v>
      </c>
      <c r="D4405" s="13">
        <f t="shared" si="1"/>
        <v>11</v>
      </c>
      <c r="E4405" s="13">
        <f t="shared" si="2"/>
        <v>12</v>
      </c>
    </row>
    <row r="4406">
      <c r="A4406" s="4" t="s">
        <v>4833</v>
      </c>
      <c r="B4406" s="4" t="s">
        <v>3678</v>
      </c>
      <c r="C4406" s="12">
        <f>IFERROR(__xludf.DUMMYFUNCTION("""COMPUTED_VALUE"""),44662.513819444444)</f>
        <v>44662.51382</v>
      </c>
      <c r="D4406" s="13">
        <f t="shared" si="1"/>
        <v>11</v>
      </c>
      <c r="E4406" s="13">
        <f t="shared" si="2"/>
        <v>12</v>
      </c>
    </row>
    <row r="4407">
      <c r="A4407" s="4" t="s">
        <v>4833</v>
      </c>
      <c r="B4407" s="4" t="s">
        <v>4751</v>
      </c>
      <c r="C4407" s="12">
        <f>IFERROR(__xludf.DUMMYFUNCTION("""COMPUTED_VALUE"""),44662.513819444444)</f>
        <v>44662.51382</v>
      </c>
      <c r="D4407" s="13">
        <f t="shared" si="1"/>
        <v>11</v>
      </c>
      <c r="E4407" s="13">
        <f t="shared" si="2"/>
        <v>12</v>
      </c>
    </row>
    <row r="4408">
      <c r="A4408" s="4" t="s">
        <v>4834</v>
      </c>
      <c r="B4408" s="16"/>
      <c r="C4408" s="12">
        <f>IFERROR(__xludf.DUMMYFUNCTION("""COMPUTED_VALUE"""),44662.51380787037)</f>
        <v>44662.51381</v>
      </c>
      <c r="D4408" s="13">
        <f t="shared" si="1"/>
        <v>11</v>
      </c>
      <c r="E4408" s="13">
        <f t="shared" si="2"/>
        <v>12</v>
      </c>
    </row>
    <row r="4409">
      <c r="A4409" s="4" t="s">
        <v>4834</v>
      </c>
      <c r="B4409" s="4" t="s">
        <v>3678</v>
      </c>
      <c r="C4409" s="12">
        <f>IFERROR(__xludf.DUMMYFUNCTION("""COMPUTED_VALUE"""),44662.51380787037)</f>
        <v>44662.51381</v>
      </c>
      <c r="D4409" s="13">
        <f t="shared" si="1"/>
        <v>11</v>
      </c>
      <c r="E4409" s="13">
        <f t="shared" si="2"/>
        <v>12</v>
      </c>
    </row>
    <row r="4410">
      <c r="A4410" s="4" t="s">
        <v>4835</v>
      </c>
      <c r="B4410" s="4" t="s">
        <v>3678</v>
      </c>
      <c r="C4410" s="12">
        <f>IFERROR(__xludf.DUMMYFUNCTION("""COMPUTED_VALUE"""),44662.51379629629)</f>
        <v>44662.5138</v>
      </c>
      <c r="D4410" s="13">
        <f t="shared" si="1"/>
        <v>11</v>
      </c>
      <c r="E4410" s="13">
        <f t="shared" si="2"/>
        <v>12</v>
      </c>
    </row>
    <row r="4411">
      <c r="A4411" s="4" t="s">
        <v>4835</v>
      </c>
      <c r="B4411" s="4" t="s">
        <v>3678</v>
      </c>
      <c r="C4411" s="12">
        <f>IFERROR(__xludf.DUMMYFUNCTION("""COMPUTED_VALUE"""),44662.51379629629)</f>
        <v>44662.5138</v>
      </c>
      <c r="D4411" s="13">
        <f t="shared" si="1"/>
        <v>11</v>
      </c>
      <c r="E4411" s="13">
        <f t="shared" si="2"/>
        <v>12</v>
      </c>
    </row>
    <row r="4412">
      <c r="A4412" s="4" t="s">
        <v>4836</v>
      </c>
      <c r="B4412" s="4" t="s">
        <v>3678</v>
      </c>
      <c r="C4412" s="12">
        <f>IFERROR(__xludf.DUMMYFUNCTION("""COMPUTED_VALUE"""),44662.51378472222)</f>
        <v>44662.51378</v>
      </c>
      <c r="D4412" s="13">
        <f t="shared" si="1"/>
        <v>11</v>
      </c>
      <c r="E4412" s="13">
        <f t="shared" si="2"/>
        <v>12</v>
      </c>
    </row>
    <row r="4413">
      <c r="A4413" s="4" t="s">
        <v>4837</v>
      </c>
      <c r="B4413" s="4" t="s">
        <v>3678</v>
      </c>
      <c r="C4413" s="12">
        <f>IFERROR(__xludf.DUMMYFUNCTION("""COMPUTED_VALUE"""),44662.513773148145)</f>
        <v>44662.51377</v>
      </c>
      <c r="D4413" s="13">
        <f t="shared" si="1"/>
        <v>11</v>
      </c>
      <c r="E4413" s="13">
        <f t="shared" si="2"/>
        <v>12</v>
      </c>
    </row>
    <row r="4414">
      <c r="A4414" s="4" t="s">
        <v>4837</v>
      </c>
      <c r="B4414" s="16"/>
      <c r="C4414" s="12">
        <f>IFERROR(__xludf.DUMMYFUNCTION("""COMPUTED_VALUE"""),44662.513773148145)</f>
        <v>44662.51377</v>
      </c>
      <c r="D4414" s="13">
        <f t="shared" si="1"/>
        <v>11</v>
      </c>
      <c r="E4414" s="13">
        <f t="shared" si="2"/>
        <v>12</v>
      </c>
    </row>
    <row r="4415">
      <c r="A4415" s="4" t="s">
        <v>4838</v>
      </c>
      <c r="B4415" s="4" t="s">
        <v>3678</v>
      </c>
      <c r="C4415" s="12">
        <f>IFERROR(__xludf.DUMMYFUNCTION("""COMPUTED_VALUE"""),44662.513761574075)</f>
        <v>44662.51376</v>
      </c>
      <c r="D4415" s="13">
        <f t="shared" si="1"/>
        <v>11</v>
      </c>
      <c r="E4415" s="13">
        <f t="shared" si="2"/>
        <v>12</v>
      </c>
    </row>
    <row r="4416">
      <c r="A4416" s="4" t="s">
        <v>4839</v>
      </c>
      <c r="B4416" s="16"/>
      <c r="C4416" s="12">
        <f>IFERROR(__xludf.DUMMYFUNCTION("""COMPUTED_VALUE"""),44662.51375)</f>
        <v>44662.51375</v>
      </c>
      <c r="D4416" s="13">
        <f t="shared" si="1"/>
        <v>11</v>
      </c>
      <c r="E4416" s="13">
        <f t="shared" si="2"/>
        <v>12</v>
      </c>
    </row>
    <row r="4417">
      <c r="A4417" s="4" t="s">
        <v>4839</v>
      </c>
      <c r="B4417" s="4" t="s">
        <v>3678</v>
      </c>
      <c r="C4417" s="12">
        <f>IFERROR(__xludf.DUMMYFUNCTION("""COMPUTED_VALUE"""),44662.51375)</f>
        <v>44662.51375</v>
      </c>
      <c r="D4417" s="13">
        <f t="shared" si="1"/>
        <v>11</v>
      </c>
      <c r="E4417" s="13">
        <f t="shared" si="2"/>
        <v>12</v>
      </c>
    </row>
    <row r="4418">
      <c r="A4418" s="4" t="s">
        <v>4839</v>
      </c>
      <c r="B4418" s="4" t="s">
        <v>3678</v>
      </c>
      <c r="C4418" s="12">
        <f>IFERROR(__xludf.DUMMYFUNCTION("""COMPUTED_VALUE"""),44662.51375)</f>
        <v>44662.51375</v>
      </c>
      <c r="D4418" s="13">
        <f t="shared" si="1"/>
        <v>11</v>
      </c>
      <c r="E4418" s="13">
        <f t="shared" si="2"/>
        <v>12</v>
      </c>
    </row>
    <row r="4419">
      <c r="A4419" s="4" t="s">
        <v>4840</v>
      </c>
      <c r="B4419" s="4" t="s">
        <v>3678</v>
      </c>
      <c r="C4419" s="12">
        <f>IFERROR(__xludf.DUMMYFUNCTION("""COMPUTED_VALUE"""),44662.51373842592)</f>
        <v>44662.51374</v>
      </c>
      <c r="D4419" s="13">
        <f t="shared" si="1"/>
        <v>11</v>
      </c>
      <c r="E4419" s="13">
        <f t="shared" si="2"/>
        <v>12</v>
      </c>
    </row>
    <row r="4420">
      <c r="A4420" s="4" t="s">
        <v>4841</v>
      </c>
      <c r="B4420" s="4" t="s">
        <v>3678</v>
      </c>
      <c r="C4420" s="12">
        <f>IFERROR(__xludf.DUMMYFUNCTION("""COMPUTED_VALUE"""),44662.51372685185)</f>
        <v>44662.51373</v>
      </c>
      <c r="D4420" s="13">
        <f t="shared" si="1"/>
        <v>11</v>
      </c>
      <c r="E4420" s="13">
        <f t="shared" si="2"/>
        <v>12</v>
      </c>
    </row>
    <row r="4421">
      <c r="A4421" s="4" t="s">
        <v>4842</v>
      </c>
      <c r="B4421" s="4" t="s">
        <v>3678</v>
      </c>
      <c r="C4421" s="12">
        <f>IFERROR(__xludf.DUMMYFUNCTION("""COMPUTED_VALUE"""),44662.513715277775)</f>
        <v>44662.51372</v>
      </c>
      <c r="D4421" s="13">
        <f t="shared" si="1"/>
        <v>11</v>
      </c>
      <c r="E4421" s="13">
        <f t="shared" si="2"/>
        <v>12</v>
      </c>
    </row>
    <row r="4422">
      <c r="A4422" s="4" t="s">
        <v>4843</v>
      </c>
      <c r="B4422" s="4" t="s">
        <v>3678</v>
      </c>
      <c r="C4422" s="12">
        <f>IFERROR(__xludf.DUMMYFUNCTION("""COMPUTED_VALUE"""),44662.5137037037)</f>
        <v>44662.5137</v>
      </c>
      <c r="D4422" s="13">
        <f t="shared" si="1"/>
        <v>11</v>
      </c>
      <c r="E4422" s="13">
        <f t="shared" si="2"/>
        <v>12</v>
      </c>
    </row>
    <row r="4423">
      <c r="A4423" s="4" t="s">
        <v>4843</v>
      </c>
      <c r="B4423" s="4" t="s">
        <v>3678</v>
      </c>
      <c r="C4423" s="12">
        <f>IFERROR(__xludf.DUMMYFUNCTION("""COMPUTED_VALUE"""),44662.5137037037)</f>
        <v>44662.5137</v>
      </c>
      <c r="D4423" s="13">
        <f t="shared" si="1"/>
        <v>11</v>
      </c>
      <c r="E4423" s="13">
        <f t="shared" si="2"/>
        <v>12</v>
      </c>
    </row>
    <row r="4424">
      <c r="A4424" s="4" t="s">
        <v>4843</v>
      </c>
      <c r="B4424" s="16"/>
      <c r="C4424" s="12">
        <f>IFERROR(__xludf.DUMMYFUNCTION("""COMPUTED_VALUE"""),44662.5137037037)</f>
        <v>44662.5137</v>
      </c>
      <c r="D4424" s="13">
        <f t="shared" si="1"/>
        <v>11</v>
      </c>
      <c r="E4424" s="13">
        <f t="shared" si="2"/>
        <v>12</v>
      </c>
    </row>
    <row r="4425">
      <c r="A4425" s="4" t="s">
        <v>4844</v>
      </c>
      <c r="B4425" s="4" t="s">
        <v>3678</v>
      </c>
      <c r="C4425" s="12">
        <f>IFERROR(__xludf.DUMMYFUNCTION("""COMPUTED_VALUE"""),44662.51369212963)</f>
        <v>44662.51369</v>
      </c>
      <c r="D4425" s="13">
        <f t="shared" si="1"/>
        <v>11</v>
      </c>
      <c r="E4425" s="13">
        <f t="shared" si="2"/>
        <v>12</v>
      </c>
    </row>
    <row r="4426">
      <c r="A4426" s="4" t="s">
        <v>4844</v>
      </c>
      <c r="B4426" s="4" t="s">
        <v>4751</v>
      </c>
      <c r="C4426" s="12">
        <f>IFERROR(__xludf.DUMMYFUNCTION("""COMPUTED_VALUE"""),44662.51369212963)</f>
        <v>44662.51369</v>
      </c>
      <c r="D4426" s="13">
        <f t="shared" si="1"/>
        <v>11</v>
      </c>
      <c r="E4426" s="13">
        <f t="shared" si="2"/>
        <v>12</v>
      </c>
    </row>
    <row r="4427">
      <c r="A4427" s="4" t="s">
        <v>4844</v>
      </c>
      <c r="B4427" s="16"/>
      <c r="C4427" s="12">
        <f>IFERROR(__xludf.DUMMYFUNCTION("""COMPUTED_VALUE"""),44662.51369212963)</f>
        <v>44662.51369</v>
      </c>
      <c r="D4427" s="13">
        <f t="shared" si="1"/>
        <v>11</v>
      </c>
      <c r="E4427" s="13">
        <f t="shared" si="2"/>
        <v>12</v>
      </c>
    </row>
    <row r="4428">
      <c r="A4428" s="4" t="s">
        <v>4844</v>
      </c>
      <c r="B4428" s="16"/>
      <c r="C4428" s="12">
        <f>IFERROR(__xludf.DUMMYFUNCTION("""COMPUTED_VALUE"""),44662.51369212963)</f>
        <v>44662.51369</v>
      </c>
      <c r="D4428" s="13">
        <f t="shared" si="1"/>
        <v>11</v>
      </c>
      <c r="E4428" s="13">
        <f t="shared" si="2"/>
        <v>12</v>
      </c>
    </row>
    <row r="4429">
      <c r="A4429" s="4" t="s">
        <v>4845</v>
      </c>
      <c r="B4429" s="4" t="s">
        <v>3678</v>
      </c>
      <c r="C4429" s="12">
        <f>IFERROR(__xludf.DUMMYFUNCTION("""COMPUTED_VALUE"""),44662.51368055555)</f>
        <v>44662.51368</v>
      </c>
      <c r="D4429" s="13">
        <f t="shared" si="1"/>
        <v>11</v>
      </c>
      <c r="E4429" s="13">
        <f t="shared" si="2"/>
        <v>12</v>
      </c>
    </row>
    <row r="4430">
      <c r="A4430" s="4" t="s">
        <v>4846</v>
      </c>
      <c r="B4430" s="4" t="s">
        <v>3678</v>
      </c>
      <c r="C4430" s="12">
        <f>IFERROR(__xludf.DUMMYFUNCTION("""COMPUTED_VALUE"""),44662.51366898148)</f>
        <v>44662.51367</v>
      </c>
      <c r="D4430" s="13">
        <f t="shared" si="1"/>
        <v>11</v>
      </c>
      <c r="E4430" s="13">
        <f t="shared" si="2"/>
        <v>12</v>
      </c>
    </row>
    <row r="4431">
      <c r="A4431" s="4" t="s">
        <v>4846</v>
      </c>
      <c r="B4431" s="16"/>
      <c r="C4431" s="12">
        <f>IFERROR(__xludf.DUMMYFUNCTION("""COMPUTED_VALUE"""),44662.51366898148)</f>
        <v>44662.51367</v>
      </c>
      <c r="D4431" s="13">
        <f t="shared" si="1"/>
        <v>11</v>
      </c>
      <c r="E4431" s="13">
        <f t="shared" si="2"/>
        <v>12</v>
      </c>
    </row>
    <row r="4432">
      <c r="A4432" s="4" t="s">
        <v>4847</v>
      </c>
      <c r="B4432" s="4" t="s">
        <v>3678</v>
      </c>
      <c r="C4432" s="12">
        <f>IFERROR(__xludf.DUMMYFUNCTION("""COMPUTED_VALUE"""),44662.513657407406)</f>
        <v>44662.51366</v>
      </c>
      <c r="D4432" s="13">
        <f t="shared" si="1"/>
        <v>11</v>
      </c>
      <c r="E4432" s="13">
        <f t="shared" si="2"/>
        <v>12</v>
      </c>
    </row>
    <row r="4433">
      <c r="A4433" s="4" t="s">
        <v>4847</v>
      </c>
      <c r="B4433" s="4" t="s">
        <v>3678</v>
      </c>
      <c r="C4433" s="12">
        <f>IFERROR(__xludf.DUMMYFUNCTION("""COMPUTED_VALUE"""),44662.513657407406)</f>
        <v>44662.51366</v>
      </c>
      <c r="D4433" s="13">
        <f t="shared" si="1"/>
        <v>11</v>
      </c>
      <c r="E4433" s="13">
        <f t="shared" si="2"/>
        <v>12</v>
      </c>
    </row>
    <row r="4434">
      <c r="A4434" s="4" t="s">
        <v>4848</v>
      </c>
      <c r="B4434" s="4" t="s">
        <v>3678</v>
      </c>
      <c r="C4434" s="12">
        <f>IFERROR(__xludf.DUMMYFUNCTION("""COMPUTED_VALUE"""),44662.51364583333)</f>
        <v>44662.51365</v>
      </c>
      <c r="D4434" s="13">
        <f t="shared" si="1"/>
        <v>11</v>
      </c>
      <c r="E4434" s="13">
        <f t="shared" si="2"/>
        <v>12</v>
      </c>
    </row>
    <row r="4435">
      <c r="A4435" s="4" t="s">
        <v>4848</v>
      </c>
      <c r="B4435" s="16"/>
      <c r="C4435" s="12">
        <f>IFERROR(__xludf.DUMMYFUNCTION("""COMPUTED_VALUE"""),44662.51364583333)</f>
        <v>44662.51365</v>
      </c>
      <c r="D4435" s="13">
        <f t="shared" si="1"/>
        <v>11</v>
      </c>
      <c r="E4435" s="13">
        <f t="shared" si="2"/>
        <v>12</v>
      </c>
    </row>
    <row r="4436">
      <c r="A4436" s="4" t="s">
        <v>4849</v>
      </c>
      <c r="B4436" s="4" t="s">
        <v>3678</v>
      </c>
      <c r="C4436" s="12">
        <f>IFERROR(__xludf.DUMMYFUNCTION("""COMPUTED_VALUE"""),44662.51363425926)</f>
        <v>44662.51363</v>
      </c>
      <c r="D4436" s="13">
        <f t="shared" si="1"/>
        <v>11</v>
      </c>
      <c r="E4436" s="13">
        <f t="shared" si="2"/>
        <v>12</v>
      </c>
    </row>
    <row r="4437">
      <c r="A4437" s="4" t="s">
        <v>4850</v>
      </c>
      <c r="B4437" s="4" t="s">
        <v>3678</v>
      </c>
      <c r="C4437" s="12">
        <f>IFERROR(__xludf.DUMMYFUNCTION("""COMPUTED_VALUE"""),44662.51362268518)</f>
        <v>44662.51362</v>
      </c>
      <c r="D4437" s="13">
        <f t="shared" si="1"/>
        <v>11</v>
      </c>
      <c r="E4437" s="13">
        <f t="shared" si="2"/>
        <v>12</v>
      </c>
    </row>
    <row r="4438">
      <c r="A4438" s="4" t="s">
        <v>4851</v>
      </c>
      <c r="B4438" s="4" t="s">
        <v>3678</v>
      </c>
      <c r="C4438" s="12">
        <f>IFERROR(__xludf.DUMMYFUNCTION("""COMPUTED_VALUE"""),44662.513611111106)</f>
        <v>44662.51361</v>
      </c>
      <c r="D4438" s="13">
        <f t="shared" si="1"/>
        <v>11</v>
      </c>
      <c r="E4438" s="13">
        <f t="shared" si="2"/>
        <v>12</v>
      </c>
    </row>
    <row r="4439">
      <c r="A4439" s="4" t="s">
        <v>4851</v>
      </c>
      <c r="B4439" s="4" t="s">
        <v>3678</v>
      </c>
      <c r="C4439" s="12">
        <f>IFERROR(__xludf.DUMMYFUNCTION("""COMPUTED_VALUE"""),44662.513611111106)</f>
        <v>44662.51361</v>
      </c>
      <c r="D4439" s="13">
        <f t="shared" si="1"/>
        <v>11</v>
      </c>
      <c r="E4439" s="13">
        <f t="shared" si="2"/>
        <v>12</v>
      </c>
    </row>
    <row r="4440">
      <c r="A4440" s="4" t="s">
        <v>4852</v>
      </c>
      <c r="B4440" s="4" t="s">
        <v>3678</v>
      </c>
      <c r="C4440" s="12">
        <f>IFERROR(__xludf.DUMMYFUNCTION("""COMPUTED_VALUE"""),44662.51359953704)</f>
        <v>44662.5136</v>
      </c>
      <c r="D4440" s="13">
        <f t="shared" si="1"/>
        <v>11</v>
      </c>
      <c r="E4440" s="13">
        <f t="shared" si="2"/>
        <v>12</v>
      </c>
    </row>
    <row r="4441">
      <c r="A4441" s="4" t="s">
        <v>4853</v>
      </c>
      <c r="B4441" s="16"/>
      <c r="C4441" s="12">
        <f>IFERROR(__xludf.DUMMYFUNCTION("""COMPUTED_VALUE"""),44662.51357638888)</f>
        <v>44662.51358</v>
      </c>
      <c r="D4441" s="13">
        <f t="shared" si="1"/>
        <v>11</v>
      </c>
      <c r="E4441" s="13">
        <f t="shared" si="2"/>
        <v>12</v>
      </c>
    </row>
    <row r="4442">
      <c r="A4442" s="4" t="s">
        <v>4854</v>
      </c>
      <c r="B4442" s="16"/>
      <c r="C4442" s="12">
        <f>IFERROR(__xludf.DUMMYFUNCTION("""COMPUTED_VALUE"""),44662.51351851851)</f>
        <v>44662.51352</v>
      </c>
      <c r="D4442" s="13">
        <f t="shared" si="1"/>
        <v>11</v>
      </c>
      <c r="E4442" s="13">
        <f t="shared" si="2"/>
        <v>12</v>
      </c>
    </row>
    <row r="4443">
      <c r="A4443" s="4" t="s">
        <v>4855</v>
      </c>
      <c r="B4443" s="4" t="s">
        <v>4751</v>
      </c>
      <c r="C4443" s="12">
        <f>IFERROR(__xludf.DUMMYFUNCTION("""COMPUTED_VALUE"""),44662.513506944444)</f>
        <v>44662.51351</v>
      </c>
      <c r="D4443" s="13">
        <f t="shared" si="1"/>
        <v>11</v>
      </c>
      <c r="E4443" s="13">
        <f t="shared" si="2"/>
        <v>12</v>
      </c>
    </row>
    <row r="4444">
      <c r="A4444" s="4" t="s">
        <v>4856</v>
      </c>
      <c r="B4444" s="16"/>
      <c r="C4444" s="12">
        <f>IFERROR(__xludf.DUMMYFUNCTION("""COMPUTED_VALUE"""),44662.51349537037)</f>
        <v>44662.5135</v>
      </c>
      <c r="D4444" s="13">
        <f t="shared" si="1"/>
        <v>11</v>
      </c>
      <c r="E4444" s="13">
        <f t="shared" si="2"/>
        <v>12</v>
      </c>
    </row>
    <row r="4445">
      <c r="A4445" s="4" t="s">
        <v>4857</v>
      </c>
      <c r="B4445" s="16"/>
      <c r="C4445" s="12">
        <f>IFERROR(__xludf.DUMMYFUNCTION("""COMPUTED_VALUE"""),44662.51347222222)</f>
        <v>44662.51347</v>
      </c>
      <c r="D4445" s="13">
        <f t="shared" si="1"/>
        <v>11</v>
      </c>
      <c r="E4445" s="13">
        <f t="shared" si="2"/>
        <v>12</v>
      </c>
    </row>
    <row r="4446">
      <c r="A4446" s="4" t="s">
        <v>4858</v>
      </c>
      <c r="B4446" s="4" t="s">
        <v>4602</v>
      </c>
      <c r="C4446" s="12">
        <f>IFERROR(__xludf.DUMMYFUNCTION("""COMPUTED_VALUE"""),44662.513460648144)</f>
        <v>44662.51346</v>
      </c>
      <c r="D4446" s="13">
        <f t="shared" si="1"/>
        <v>11</v>
      </c>
      <c r="E4446" s="13">
        <f t="shared" si="2"/>
        <v>12</v>
      </c>
    </row>
    <row r="4447">
      <c r="A4447" s="4" t="s">
        <v>4858</v>
      </c>
      <c r="B4447" s="16"/>
      <c r="C4447" s="12">
        <f>IFERROR(__xludf.DUMMYFUNCTION("""COMPUTED_VALUE"""),44662.513460648144)</f>
        <v>44662.51346</v>
      </c>
      <c r="D4447" s="13">
        <f t="shared" si="1"/>
        <v>11</v>
      </c>
      <c r="E4447" s="13">
        <f t="shared" si="2"/>
        <v>12</v>
      </c>
    </row>
    <row r="4448">
      <c r="A4448" s="4" t="s">
        <v>4859</v>
      </c>
      <c r="B4448" s="16"/>
      <c r="C4448" s="12">
        <f>IFERROR(__xludf.DUMMYFUNCTION("""COMPUTED_VALUE"""),44662.513449074075)</f>
        <v>44662.51345</v>
      </c>
      <c r="D4448" s="13">
        <f t="shared" si="1"/>
        <v>11</v>
      </c>
      <c r="E4448" s="13">
        <f t="shared" si="2"/>
        <v>12</v>
      </c>
    </row>
    <row r="4449">
      <c r="A4449" s="4" t="s">
        <v>4860</v>
      </c>
      <c r="B4449" s="16"/>
      <c r="C4449" s="12">
        <f>IFERROR(__xludf.DUMMYFUNCTION("""COMPUTED_VALUE"""),44662.51342592592)</f>
        <v>44662.51343</v>
      </c>
      <c r="D4449" s="13">
        <f t="shared" si="1"/>
        <v>11</v>
      </c>
      <c r="E4449" s="13">
        <f t="shared" si="2"/>
        <v>12</v>
      </c>
    </row>
    <row r="4450">
      <c r="A4450" s="4" t="s">
        <v>4861</v>
      </c>
      <c r="B4450" s="16"/>
      <c r="C4450" s="12">
        <f>IFERROR(__xludf.DUMMYFUNCTION("""COMPUTED_VALUE"""),44662.513402777775)</f>
        <v>44662.5134</v>
      </c>
      <c r="D4450" s="13">
        <f t="shared" si="1"/>
        <v>11</v>
      </c>
      <c r="E4450" s="13">
        <f t="shared" si="2"/>
        <v>12</v>
      </c>
    </row>
    <row r="4451">
      <c r="A4451" s="4" t="s">
        <v>4862</v>
      </c>
      <c r="B4451" s="4" t="s">
        <v>4751</v>
      </c>
      <c r="C4451" s="12">
        <f>IFERROR(__xludf.DUMMYFUNCTION("""COMPUTED_VALUE"""),44662.5133912037)</f>
        <v>44662.51339</v>
      </c>
      <c r="D4451" s="13">
        <f t="shared" si="1"/>
        <v>11</v>
      </c>
      <c r="E4451" s="13">
        <f t="shared" si="2"/>
        <v>12</v>
      </c>
    </row>
    <row r="4452">
      <c r="A4452" s="4" t="s">
        <v>4863</v>
      </c>
      <c r="B4452" s="4" t="s">
        <v>3678</v>
      </c>
      <c r="C4452" s="12">
        <f>IFERROR(__xludf.DUMMYFUNCTION("""COMPUTED_VALUE"""),44662.51336805555)</f>
        <v>44662.51337</v>
      </c>
      <c r="D4452" s="13">
        <f t="shared" si="1"/>
        <v>11</v>
      </c>
      <c r="E4452" s="13">
        <f t="shared" si="2"/>
        <v>12</v>
      </c>
    </row>
    <row r="4453">
      <c r="A4453" s="4" t="s">
        <v>4863</v>
      </c>
      <c r="B4453" s="4" t="s">
        <v>4864</v>
      </c>
      <c r="C4453" s="12">
        <f>IFERROR(__xludf.DUMMYFUNCTION("""COMPUTED_VALUE"""),44662.51336805555)</f>
        <v>44662.51337</v>
      </c>
      <c r="D4453" s="13">
        <f t="shared" si="1"/>
        <v>11</v>
      </c>
      <c r="E4453" s="13">
        <f t="shared" si="2"/>
        <v>12</v>
      </c>
    </row>
    <row r="4454">
      <c r="A4454" s="4" t="s">
        <v>4863</v>
      </c>
      <c r="B4454" s="4" t="s">
        <v>4590</v>
      </c>
      <c r="C4454" s="12">
        <f>IFERROR(__xludf.DUMMYFUNCTION("""COMPUTED_VALUE"""),44662.51336805555)</f>
        <v>44662.51337</v>
      </c>
      <c r="D4454" s="13">
        <f t="shared" si="1"/>
        <v>11</v>
      </c>
      <c r="E4454" s="13">
        <f t="shared" si="2"/>
        <v>12</v>
      </c>
    </row>
    <row r="4455">
      <c r="A4455" s="4" t="s">
        <v>4865</v>
      </c>
      <c r="B4455" s="4" t="s">
        <v>4751</v>
      </c>
      <c r="C4455" s="12">
        <f>IFERROR(__xludf.DUMMYFUNCTION("""COMPUTED_VALUE"""),44662.51335648148)</f>
        <v>44662.51336</v>
      </c>
      <c r="D4455" s="13">
        <f t="shared" si="1"/>
        <v>11</v>
      </c>
      <c r="E4455" s="13">
        <f t="shared" si="2"/>
        <v>12</v>
      </c>
    </row>
    <row r="4456">
      <c r="A4456" s="4" t="s">
        <v>4866</v>
      </c>
      <c r="B4456" s="4" t="s">
        <v>3678</v>
      </c>
      <c r="C4456" s="12">
        <f>IFERROR(__xludf.DUMMYFUNCTION("""COMPUTED_VALUE"""),44662.513344907406)</f>
        <v>44662.51334</v>
      </c>
      <c r="D4456" s="13">
        <f t="shared" si="1"/>
        <v>11</v>
      </c>
      <c r="E4456" s="13">
        <f t="shared" si="2"/>
        <v>12</v>
      </c>
    </row>
    <row r="4457">
      <c r="A4457" s="4" t="s">
        <v>4867</v>
      </c>
      <c r="B4457" s="4" t="s">
        <v>3678</v>
      </c>
      <c r="C4457" s="12">
        <f>IFERROR(__xludf.DUMMYFUNCTION("""COMPUTED_VALUE"""),44662.51333333333)</f>
        <v>44662.51333</v>
      </c>
      <c r="D4457" s="13">
        <f t="shared" si="1"/>
        <v>11</v>
      </c>
      <c r="E4457" s="13">
        <f t="shared" si="2"/>
        <v>12</v>
      </c>
    </row>
    <row r="4458">
      <c r="A4458" s="4" t="s">
        <v>4868</v>
      </c>
      <c r="B4458" s="4" t="s">
        <v>3678</v>
      </c>
      <c r="C4458" s="12">
        <f>IFERROR(__xludf.DUMMYFUNCTION("""COMPUTED_VALUE"""),44662.51332175926)</f>
        <v>44662.51332</v>
      </c>
      <c r="D4458" s="13">
        <f t="shared" si="1"/>
        <v>11</v>
      </c>
      <c r="E4458" s="13">
        <f t="shared" si="2"/>
        <v>12</v>
      </c>
    </row>
    <row r="4459">
      <c r="A4459" s="4" t="s">
        <v>4869</v>
      </c>
      <c r="B4459" s="4" t="s">
        <v>3678</v>
      </c>
      <c r="C4459" s="12">
        <f>IFERROR(__xludf.DUMMYFUNCTION("""COMPUTED_VALUE"""),44662.51331018518)</f>
        <v>44662.51331</v>
      </c>
      <c r="D4459" s="13">
        <f t="shared" si="1"/>
        <v>11</v>
      </c>
      <c r="E4459" s="13">
        <f t="shared" si="2"/>
        <v>12</v>
      </c>
    </row>
    <row r="4460">
      <c r="A4460" s="4" t="s">
        <v>4870</v>
      </c>
      <c r="B4460" s="4" t="s">
        <v>3678</v>
      </c>
      <c r="C4460" s="12">
        <f>IFERROR(__xludf.DUMMYFUNCTION("""COMPUTED_VALUE"""),44662.513298611106)</f>
        <v>44662.5133</v>
      </c>
      <c r="D4460" s="13">
        <f t="shared" si="1"/>
        <v>11</v>
      </c>
      <c r="E4460" s="13">
        <f t="shared" si="2"/>
        <v>12</v>
      </c>
    </row>
    <row r="4461">
      <c r="A4461" s="4" t="s">
        <v>4870</v>
      </c>
      <c r="B4461" s="4" t="s">
        <v>4871</v>
      </c>
      <c r="C4461" s="12">
        <f>IFERROR(__xludf.DUMMYFUNCTION("""COMPUTED_VALUE"""),44662.513298611106)</f>
        <v>44662.5133</v>
      </c>
      <c r="D4461" s="13">
        <f t="shared" si="1"/>
        <v>11</v>
      </c>
      <c r="E4461" s="13">
        <f t="shared" si="2"/>
        <v>12</v>
      </c>
    </row>
    <row r="4462">
      <c r="A4462" s="4" t="s">
        <v>4872</v>
      </c>
      <c r="B4462" s="4" t="s">
        <v>1455</v>
      </c>
      <c r="C4462" s="12">
        <f>IFERROR(__xludf.DUMMYFUNCTION("""COMPUTED_VALUE"""),44662.51327546296)</f>
        <v>44662.51328</v>
      </c>
      <c r="D4462" s="13">
        <f t="shared" si="1"/>
        <v>11</v>
      </c>
      <c r="E4462" s="13">
        <f t="shared" si="2"/>
        <v>12</v>
      </c>
    </row>
    <row r="4463">
      <c r="A4463" s="4" t="s">
        <v>4873</v>
      </c>
      <c r="B4463" s="4" t="s">
        <v>4754</v>
      </c>
      <c r="C4463" s="12">
        <f>IFERROR(__xludf.DUMMYFUNCTION("""COMPUTED_VALUE"""),44662.51326388889)</f>
        <v>44662.51326</v>
      </c>
      <c r="D4463" s="13">
        <f t="shared" si="1"/>
        <v>11</v>
      </c>
      <c r="E4463" s="13">
        <f t="shared" si="2"/>
        <v>12</v>
      </c>
    </row>
    <row r="4464">
      <c r="A4464" s="4" t="s">
        <v>4874</v>
      </c>
      <c r="B4464" s="4" t="s">
        <v>1455</v>
      </c>
      <c r="C4464" s="12">
        <f>IFERROR(__xludf.DUMMYFUNCTION("""COMPUTED_VALUE"""),44662.51325231481)</f>
        <v>44662.51325</v>
      </c>
      <c r="D4464" s="13">
        <f t="shared" si="1"/>
        <v>11</v>
      </c>
      <c r="E4464" s="13">
        <f t="shared" si="2"/>
        <v>12</v>
      </c>
    </row>
    <row r="4465">
      <c r="A4465" s="4" t="s">
        <v>4874</v>
      </c>
      <c r="B4465" s="16"/>
      <c r="C4465" s="12">
        <f>IFERROR(__xludf.DUMMYFUNCTION("""COMPUTED_VALUE"""),44662.51325231481)</f>
        <v>44662.51325</v>
      </c>
      <c r="D4465" s="13">
        <f t="shared" si="1"/>
        <v>11</v>
      </c>
      <c r="E4465" s="13">
        <f t="shared" si="2"/>
        <v>12</v>
      </c>
    </row>
    <row r="4466">
      <c r="A4466" s="4" t="s">
        <v>4875</v>
      </c>
      <c r="B4466" s="4" t="s">
        <v>3678</v>
      </c>
      <c r="C4466" s="12">
        <f>IFERROR(__xludf.DUMMYFUNCTION("""COMPUTED_VALUE"""),44662.51324074074)</f>
        <v>44662.51324</v>
      </c>
      <c r="D4466" s="13">
        <f t="shared" si="1"/>
        <v>11</v>
      </c>
      <c r="E4466" s="13">
        <f t="shared" si="2"/>
        <v>12</v>
      </c>
    </row>
    <row r="4467">
      <c r="A4467" s="4" t="s">
        <v>4875</v>
      </c>
      <c r="B4467" s="4" t="s">
        <v>4876</v>
      </c>
      <c r="C4467" s="12">
        <f>IFERROR(__xludf.DUMMYFUNCTION("""COMPUTED_VALUE"""),44662.51324074074)</f>
        <v>44662.51324</v>
      </c>
      <c r="D4467" s="13">
        <f t="shared" si="1"/>
        <v>11</v>
      </c>
      <c r="E4467" s="13">
        <f t="shared" si="2"/>
        <v>12</v>
      </c>
    </row>
    <row r="4468">
      <c r="A4468" s="4" t="s">
        <v>4877</v>
      </c>
      <c r="B4468" s="4" t="s">
        <v>3678</v>
      </c>
      <c r="C4468" s="12">
        <f>IFERROR(__xludf.DUMMYFUNCTION("""COMPUTED_VALUE"""),44662.51322916667)</f>
        <v>44662.51323</v>
      </c>
      <c r="D4468" s="13">
        <f t="shared" si="1"/>
        <v>11</v>
      </c>
      <c r="E4468" s="13">
        <f t="shared" si="2"/>
        <v>12</v>
      </c>
    </row>
    <row r="4469">
      <c r="A4469" s="4" t="s">
        <v>4878</v>
      </c>
      <c r="B4469" s="16"/>
      <c r="C4469" s="12">
        <f>IFERROR(__xludf.DUMMYFUNCTION("""COMPUTED_VALUE"""),44662.51321759259)</f>
        <v>44662.51322</v>
      </c>
      <c r="D4469" s="13">
        <f t="shared" si="1"/>
        <v>11</v>
      </c>
      <c r="E4469" s="13">
        <f t="shared" si="2"/>
        <v>12</v>
      </c>
    </row>
    <row r="4470">
      <c r="A4470" s="4" t="s">
        <v>4878</v>
      </c>
      <c r="B4470" s="4" t="s">
        <v>3678</v>
      </c>
      <c r="C4470" s="12">
        <f>IFERROR(__xludf.DUMMYFUNCTION("""COMPUTED_VALUE"""),44662.51321759259)</f>
        <v>44662.51322</v>
      </c>
      <c r="D4470" s="13">
        <f t="shared" si="1"/>
        <v>11</v>
      </c>
      <c r="E4470" s="13">
        <f t="shared" si="2"/>
        <v>12</v>
      </c>
    </row>
    <row r="4471">
      <c r="A4471" s="4" t="s">
        <v>4879</v>
      </c>
      <c r="B4471" s="16"/>
      <c r="C4471" s="12">
        <f>IFERROR(__xludf.DUMMYFUNCTION("""COMPUTED_VALUE"""),44662.51320601851)</f>
        <v>44662.51321</v>
      </c>
      <c r="D4471" s="13">
        <f t="shared" si="1"/>
        <v>11</v>
      </c>
      <c r="E4471" s="13">
        <f t="shared" si="2"/>
        <v>12</v>
      </c>
    </row>
    <row r="4472">
      <c r="A4472" s="4" t="s">
        <v>4880</v>
      </c>
      <c r="B4472" s="4" t="s">
        <v>4871</v>
      </c>
      <c r="C4472" s="12">
        <f>IFERROR(__xludf.DUMMYFUNCTION("""COMPUTED_VALUE"""),44662.51318287037)</f>
        <v>44662.51318</v>
      </c>
      <c r="D4472" s="13">
        <f t="shared" si="1"/>
        <v>11</v>
      </c>
      <c r="E4472" s="13">
        <f t="shared" si="2"/>
        <v>12</v>
      </c>
    </row>
    <row r="4473">
      <c r="A4473" s="4" t="s">
        <v>4881</v>
      </c>
      <c r="B4473" s="4" t="s">
        <v>4232</v>
      </c>
      <c r="C4473" s="12">
        <f>IFERROR(__xludf.DUMMYFUNCTION("""COMPUTED_VALUE"""),44662.51315972222)</f>
        <v>44662.51316</v>
      </c>
      <c r="D4473" s="13">
        <f t="shared" si="1"/>
        <v>11</v>
      </c>
      <c r="E4473" s="13">
        <f t="shared" si="2"/>
        <v>12</v>
      </c>
    </row>
    <row r="4474">
      <c r="A4474" s="4" t="s">
        <v>4882</v>
      </c>
      <c r="B4474" s="16"/>
      <c r="C4474" s="12">
        <f>IFERROR(__xludf.DUMMYFUNCTION("""COMPUTED_VALUE"""),44662.513125)</f>
        <v>44662.51313</v>
      </c>
      <c r="D4474" s="13">
        <f t="shared" si="1"/>
        <v>11</v>
      </c>
      <c r="E4474" s="13">
        <f t="shared" si="2"/>
        <v>12</v>
      </c>
    </row>
    <row r="4475">
      <c r="A4475" s="4" t="s">
        <v>4882</v>
      </c>
      <c r="B4475" s="4" t="s">
        <v>4232</v>
      </c>
      <c r="C4475" s="12">
        <f>IFERROR(__xludf.DUMMYFUNCTION("""COMPUTED_VALUE"""),44662.513125)</f>
        <v>44662.51313</v>
      </c>
      <c r="D4475" s="13">
        <f t="shared" si="1"/>
        <v>11</v>
      </c>
      <c r="E4475" s="13">
        <f t="shared" si="2"/>
        <v>12</v>
      </c>
    </row>
    <row r="4476">
      <c r="A4476" s="4" t="s">
        <v>4883</v>
      </c>
      <c r="B4476" s="4" t="s">
        <v>4871</v>
      </c>
      <c r="C4476" s="12">
        <f>IFERROR(__xludf.DUMMYFUNCTION("""COMPUTED_VALUE"""),44662.51311342592)</f>
        <v>44662.51311</v>
      </c>
      <c r="D4476" s="13">
        <f t="shared" si="1"/>
        <v>11</v>
      </c>
      <c r="E4476" s="13">
        <f t="shared" si="2"/>
        <v>12</v>
      </c>
    </row>
    <row r="4477">
      <c r="A4477" s="4" t="s">
        <v>4884</v>
      </c>
      <c r="B4477" s="4" t="s">
        <v>1455</v>
      </c>
      <c r="C4477" s="12">
        <f>IFERROR(__xludf.DUMMYFUNCTION("""COMPUTED_VALUE"""),44662.51310185185)</f>
        <v>44662.5131</v>
      </c>
      <c r="D4477" s="13">
        <f t="shared" si="1"/>
        <v>11</v>
      </c>
      <c r="E4477" s="13">
        <f t="shared" si="2"/>
        <v>12</v>
      </c>
    </row>
    <row r="4478">
      <c r="A4478" s="4" t="s">
        <v>4884</v>
      </c>
      <c r="B4478" s="16"/>
      <c r="C4478" s="12">
        <f>IFERROR(__xludf.DUMMYFUNCTION("""COMPUTED_VALUE"""),44662.51310185185)</f>
        <v>44662.5131</v>
      </c>
      <c r="D4478" s="13">
        <f t="shared" si="1"/>
        <v>11</v>
      </c>
      <c r="E4478" s="13">
        <f t="shared" si="2"/>
        <v>12</v>
      </c>
    </row>
    <row r="4479">
      <c r="A4479" s="4" t="s">
        <v>4885</v>
      </c>
      <c r="B4479" s="16"/>
      <c r="C4479" s="12">
        <f>IFERROR(__xludf.DUMMYFUNCTION("""COMPUTED_VALUE"""),44662.513090277775)</f>
        <v>44662.51309</v>
      </c>
      <c r="D4479" s="13">
        <f t="shared" si="1"/>
        <v>11</v>
      </c>
      <c r="E4479" s="13">
        <f t="shared" si="2"/>
        <v>12</v>
      </c>
    </row>
    <row r="4480">
      <c r="A4480" s="4" t="s">
        <v>4885</v>
      </c>
      <c r="B4480" s="4" t="s">
        <v>4232</v>
      </c>
      <c r="C4480" s="12">
        <f>IFERROR(__xludf.DUMMYFUNCTION("""COMPUTED_VALUE"""),44662.513090277775)</f>
        <v>44662.51309</v>
      </c>
      <c r="D4480" s="13">
        <f t="shared" si="1"/>
        <v>11</v>
      </c>
      <c r="E4480" s="13">
        <f t="shared" si="2"/>
        <v>12</v>
      </c>
    </row>
    <row r="4481">
      <c r="A4481" s="4" t="s">
        <v>4886</v>
      </c>
      <c r="B4481" s="16"/>
      <c r="C4481" s="12">
        <f>IFERROR(__xludf.DUMMYFUNCTION("""COMPUTED_VALUE"""),44662.51306712963)</f>
        <v>44662.51307</v>
      </c>
      <c r="D4481" s="13">
        <f t="shared" si="1"/>
        <v>11</v>
      </c>
      <c r="E4481" s="13">
        <f t="shared" si="2"/>
        <v>12</v>
      </c>
    </row>
    <row r="4482">
      <c r="A4482" s="4" t="s">
        <v>4886</v>
      </c>
      <c r="B4482" s="4" t="s">
        <v>3678</v>
      </c>
      <c r="C4482" s="12">
        <f>IFERROR(__xludf.DUMMYFUNCTION("""COMPUTED_VALUE"""),44662.51306712963)</f>
        <v>44662.51307</v>
      </c>
      <c r="D4482" s="13">
        <f t="shared" si="1"/>
        <v>11</v>
      </c>
      <c r="E4482" s="13">
        <f t="shared" si="2"/>
        <v>12</v>
      </c>
    </row>
    <row r="4483">
      <c r="A4483" s="4" t="s">
        <v>4886</v>
      </c>
      <c r="B4483" s="4" t="s">
        <v>4887</v>
      </c>
      <c r="C4483" s="12">
        <f>IFERROR(__xludf.DUMMYFUNCTION("""COMPUTED_VALUE"""),44662.51306712963)</f>
        <v>44662.51307</v>
      </c>
      <c r="D4483" s="13">
        <f t="shared" si="1"/>
        <v>11</v>
      </c>
      <c r="E4483" s="13">
        <f t="shared" si="2"/>
        <v>12</v>
      </c>
    </row>
    <row r="4484">
      <c r="A4484" s="4" t="s">
        <v>4888</v>
      </c>
      <c r="B4484" s="4" t="s">
        <v>3678</v>
      </c>
      <c r="C4484" s="12">
        <f>IFERROR(__xludf.DUMMYFUNCTION("""COMPUTED_VALUE"""),44662.51304398148)</f>
        <v>44662.51304</v>
      </c>
      <c r="D4484" s="13">
        <f t="shared" si="1"/>
        <v>11</v>
      </c>
      <c r="E4484" s="13">
        <f t="shared" si="2"/>
        <v>12</v>
      </c>
    </row>
    <row r="4485">
      <c r="A4485" s="4" t="s">
        <v>4888</v>
      </c>
      <c r="B4485" s="4" t="s">
        <v>4232</v>
      </c>
      <c r="C4485" s="12">
        <f>IFERROR(__xludf.DUMMYFUNCTION("""COMPUTED_VALUE"""),44662.51304398148)</f>
        <v>44662.51304</v>
      </c>
      <c r="D4485" s="13">
        <f t="shared" si="1"/>
        <v>11</v>
      </c>
      <c r="E4485" s="13">
        <f t="shared" si="2"/>
        <v>12</v>
      </c>
    </row>
    <row r="4486">
      <c r="A4486" s="4" t="s">
        <v>4889</v>
      </c>
      <c r="B4486" s="4" t="s">
        <v>3678</v>
      </c>
      <c r="C4486" s="12">
        <f>IFERROR(__xludf.DUMMYFUNCTION("""COMPUTED_VALUE"""),44662.513032407405)</f>
        <v>44662.51303</v>
      </c>
      <c r="D4486" s="13">
        <f t="shared" si="1"/>
        <v>11</v>
      </c>
      <c r="E4486" s="13">
        <f t="shared" si="2"/>
        <v>12</v>
      </c>
    </row>
    <row r="4487">
      <c r="A4487" s="4" t="s">
        <v>4890</v>
      </c>
      <c r="B4487" s="4" t="s">
        <v>3678</v>
      </c>
      <c r="C4487" s="12">
        <f>IFERROR(__xludf.DUMMYFUNCTION("""COMPUTED_VALUE"""),44662.51302083333)</f>
        <v>44662.51302</v>
      </c>
      <c r="D4487" s="13">
        <f t="shared" si="1"/>
        <v>11</v>
      </c>
      <c r="E4487" s="13">
        <f t="shared" si="2"/>
        <v>12</v>
      </c>
    </row>
    <row r="4488">
      <c r="A4488" s="4" t="s">
        <v>4891</v>
      </c>
      <c r="B4488" s="4" t="s">
        <v>3678</v>
      </c>
      <c r="C4488" s="12">
        <f>IFERROR(__xludf.DUMMYFUNCTION("""COMPUTED_VALUE"""),44662.51300925926)</f>
        <v>44662.51301</v>
      </c>
      <c r="D4488" s="13">
        <f t="shared" si="1"/>
        <v>11</v>
      </c>
      <c r="E4488" s="13">
        <f t="shared" si="2"/>
        <v>12</v>
      </c>
    </row>
    <row r="4489">
      <c r="A4489" s="4" t="s">
        <v>4892</v>
      </c>
      <c r="B4489" s="16"/>
      <c r="C4489" s="12">
        <f>IFERROR(__xludf.DUMMYFUNCTION("""COMPUTED_VALUE"""),44662.51299768518)</f>
        <v>44662.513</v>
      </c>
      <c r="D4489" s="13">
        <f t="shared" si="1"/>
        <v>11</v>
      </c>
      <c r="E4489" s="13">
        <f t="shared" si="2"/>
        <v>12</v>
      </c>
    </row>
    <row r="4490">
      <c r="A4490" s="4" t="s">
        <v>4893</v>
      </c>
      <c r="B4490" s="4" t="s">
        <v>3678</v>
      </c>
      <c r="C4490" s="12">
        <f>IFERROR(__xludf.DUMMYFUNCTION("""COMPUTED_VALUE"""),44662.512986111105)</f>
        <v>44662.51299</v>
      </c>
      <c r="D4490" s="13">
        <f t="shared" si="1"/>
        <v>11</v>
      </c>
      <c r="E4490" s="13">
        <f t="shared" si="2"/>
        <v>12</v>
      </c>
    </row>
    <row r="4491">
      <c r="A4491" s="4" t="s">
        <v>4894</v>
      </c>
      <c r="B4491" s="4" t="s">
        <v>3678</v>
      </c>
      <c r="C4491" s="12">
        <f>IFERROR(__xludf.DUMMYFUNCTION("""COMPUTED_VALUE"""),44662.512974537036)</f>
        <v>44662.51297</v>
      </c>
      <c r="D4491" s="13">
        <f t="shared" si="1"/>
        <v>11</v>
      </c>
      <c r="E4491" s="13">
        <f t="shared" si="2"/>
        <v>12</v>
      </c>
    </row>
    <row r="4492">
      <c r="A4492" s="4" t="s">
        <v>4895</v>
      </c>
      <c r="B4492" s="4" t="s">
        <v>3678</v>
      </c>
      <c r="C4492" s="12">
        <f>IFERROR(__xludf.DUMMYFUNCTION("""COMPUTED_VALUE"""),44662.51296296296)</f>
        <v>44662.51296</v>
      </c>
      <c r="D4492" s="13">
        <f t="shared" si="1"/>
        <v>11</v>
      </c>
      <c r="E4492" s="13">
        <f t="shared" si="2"/>
        <v>12</v>
      </c>
    </row>
    <row r="4493">
      <c r="A4493" s="4" t="s">
        <v>4895</v>
      </c>
      <c r="B4493" s="4" t="s">
        <v>4232</v>
      </c>
      <c r="C4493" s="12">
        <f>IFERROR(__xludf.DUMMYFUNCTION("""COMPUTED_VALUE"""),44662.51296296296)</f>
        <v>44662.51296</v>
      </c>
      <c r="D4493" s="13">
        <f t="shared" si="1"/>
        <v>11</v>
      </c>
      <c r="E4493" s="13">
        <f t="shared" si="2"/>
        <v>12</v>
      </c>
    </row>
    <row r="4494">
      <c r="A4494" s="4" t="s">
        <v>4896</v>
      </c>
      <c r="B4494" s="4" t="s">
        <v>3678</v>
      </c>
      <c r="C4494" s="12">
        <f>IFERROR(__xludf.DUMMYFUNCTION("""COMPUTED_VALUE"""),44662.51293981481)</f>
        <v>44662.51294</v>
      </c>
      <c r="D4494" s="13">
        <f t="shared" si="1"/>
        <v>11</v>
      </c>
      <c r="E4494" s="13">
        <f t="shared" si="2"/>
        <v>12</v>
      </c>
    </row>
    <row r="4495">
      <c r="A4495" s="4" t="s">
        <v>4897</v>
      </c>
      <c r="B4495" s="4" t="s">
        <v>4751</v>
      </c>
      <c r="C4495" s="12">
        <f>IFERROR(__xludf.DUMMYFUNCTION("""COMPUTED_VALUE"""),44662.512928240736)</f>
        <v>44662.51293</v>
      </c>
      <c r="D4495" s="13">
        <f t="shared" si="1"/>
        <v>11</v>
      </c>
      <c r="E4495" s="13">
        <f t="shared" si="2"/>
        <v>12</v>
      </c>
    </row>
    <row r="4496">
      <c r="A4496" s="4" t="s">
        <v>4898</v>
      </c>
      <c r="B4496" s="16"/>
      <c r="C4496" s="12">
        <f>IFERROR(__xludf.DUMMYFUNCTION("""COMPUTED_VALUE"""),44662.51288194444)</f>
        <v>44662.51288</v>
      </c>
      <c r="D4496" s="13">
        <f t="shared" si="1"/>
        <v>11</v>
      </c>
      <c r="E4496" s="13">
        <f t="shared" si="2"/>
        <v>12</v>
      </c>
    </row>
    <row r="4497">
      <c r="A4497" s="4" t="s">
        <v>4898</v>
      </c>
      <c r="B4497" s="4" t="s">
        <v>4751</v>
      </c>
      <c r="C4497" s="12">
        <f>IFERROR(__xludf.DUMMYFUNCTION("""COMPUTED_VALUE"""),44662.51288194444)</f>
        <v>44662.51288</v>
      </c>
      <c r="D4497" s="13">
        <f t="shared" si="1"/>
        <v>11</v>
      </c>
      <c r="E4497" s="13">
        <f t="shared" si="2"/>
        <v>12</v>
      </c>
    </row>
    <row r="4498">
      <c r="A4498" s="4" t="s">
        <v>4899</v>
      </c>
      <c r="B4498" s="4" t="s">
        <v>1455</v>
      </c>
      <c r="C4498" s="12">
        <f>IFERROR(__xludf.DUMMYFUNCTION("""COMPUTED_VALUE"""),44662.5128587963)</f>
        <v>44662.51286</v>
      </c>
      <c r="D4498" s="13">
        <f t="shared" si="1"/>
        <v>11</v>
      </c>
      <c r="E4498" s="13">
        <f t="shared" si="2"/>
        <v>12</v>
      </c>
    </row>
    <row r="4499">
      <c r="A4499" s="4" t="s">
        <v>4899</v>
      </c>
      <c r="B4499" s="16"/>
      <c r="C4499" s="12">
        <f>IFERROR(__xludf.DUMMYFUNCTION("""COMPUTED_VALUE"""),44662.5128587963)</f>
        <v>44662.51286</v>
      </c>
      <c r="D4499" s="13">
        <f t="shared" si="1"/>
        <v>11</v>
      </c>
      <c r="E4499" s="13">
        <f t="shared" si="2"/>
        <v>12</v>
      </c>
    </row>
    <row r="4500">
      <c r="A4500" s="4" t="s">
        <v>4900</v>
      </c>
      <c r="B4500" s="4" t="s">
        <v>4232</v>
      </c>
      <c r="C4500" s="12">
        <f>IFERROR(__xludf.DUMMYFUNCTION("""COMPUTED_VALUE"""),44662.5128125)</f>
        <v>44662.51281</v>
      </c>
      <c r="D4500" s="13">
        <f t="shared" si="1"/>
        <v>11</v>
      </c>
      <c r="E4500" s="13">
        <f t="shared" si="2"/>
        <v>12</v>
      </c>
    </row>
    <row r="4501">
      <c r="A4501" s="4" t="s">
        <v>4901</v>
      </c>
      <c r="B4501" s="4" t="s">
        <v>1455</v>
      </c>
      <c r="C4501" s="12">
        <f>IFERROR(__xludf.DUMMYFUNCTION("""COMPUTED_VALUE"""),44662.512766203705)</f>
        <v>44662.51277</v>
      </c>
      <c r="D4501" s="13">
        <f t="shared" si="1"/>
        <v>11</v>
      </c>
      <c r="E4501" s="13">
        <f t="shared" si="2"/>
        <v>12</v>
      </c>
    </row>
    <row r="4502">
      <c r="A4502" s="4" t="s">
        <v>4902</v>
      </c>
      <c r="B4502" s="16"/>
      <c r="C4502" s="12">
        <f>IFERROR(__xludf.DUMMYFUNCTION("""COMPUTED_VALUE"""),44662.51275462963)</f>
        <v>44662.51275</v>
      </c>
      <c r="D4502" s="13">
        <f t="shared" si="1"/>
        <v>11</v>
      </c>
      <c r="E4502" s="13">
        <f t="shared" si="2"/>
        <v>12</v>
      </c>
    </row>
    <row r="4503">
      <c r="A4503" s="4" t="s">
        <v>4903</v>
      </c>
      <c r="B4503" s="4" t="s">
        <v>4232</v>
      </c>
      <c r="C4503" s="12">
        <f>IFERROR(__xludf.DUMMYFUNCTION("""COMPUTED_VALUE"""),44662.51273148148)</f>
        <v>44662.51273</v>
      </c>
      <c r="D4503" s="13">
        <f t="shared" si="1"/>
        <v>11</v>
      </c>
      <c r="E4503" s="13">
        <f t="shared" si="2"/>
        <v>12</v>
      </c>
    </row>
    <row r="4504">
      <c r="A4504" s="4" t="s">
        <v>4904</v>
      </c>
      <c r="B4504" s="4" t="s">
        <v>4905</v>
      </c>
      <c r="C4504" s="12">
        <f>IFERROR(__xludf.DUMMYFUNCTION("""COMPUTED_VALUE"""),44662.51270833333)</f>
        <v>44662.51271</v>
      </c>
      <c r="D4504" s="13">
        <f t="shared" si="1"/>
        <v>11</v>
      </c>
      <c r="E4504" s="13">
        <f t="shared" si="2"/>
        <v>12</v>
      </c>
    </row>
    <row r="4505">
      <c r="A4505" s="4" t="s">
        <v>4906</v>
      </c>
      <c r="B4505" s="16"/>
      <c r="C4505" s="12">
        <f>IFERROR(__xludf.DUMMYFUNCTION("""COMPUTED_VALUE"""),44662.512604166666)</f>
        <v>44662.5126</v>
      </c>
      <c r="D4505" s="13">
        <f t="shared" si="1"/>
        <v>11</v>
      </c>
      <c r="E4505" s="13">
        <f t="shared" si="2"/>
        <v>12</v>
      </c>
    </row>
    <row r="4506">
      <c r="A4506" s="4" t="s">
        <v>4907</v>
      </c>
      <c r="B4506" s="16"/>
      <c r="C4506" s="12">
        <f>IFERROR(__xludf.DUMMYFUNCTION("""COMPUTED_VALUE"""),44662.51258101851)</f>
        <v>44662.51258</v>
      </c>
      <c r="D4506" s="13">
        <f t="shared" si="1"/>
        <v>11</v>
      </c>
      <c r="E4506" s="13">
        <f t="shared" si="2"/>
        <v>12</v>
      </c>
    </row>
    <row r="4507">
      <c r="A4507" s="4" t="s">
        <v>4908</v>
      </c>
      <c r="B4507" s="16"/>
      <c r="C4507" s="12">
        <f>IFERROR(__xludf.DUMMYFUNCTION("""COMPUTED_VALUE"""),44662.51256944444)</f>
        <v>44662.51257</v>
      </c>
      <c r="D4507" s="13">
        <f t="shared" si="1"/>
        <v>11</v>
      </c>
      <c r="E4507" s="13">
        <f t="shared" si="2"/>
        <v>12</v>
      </c>
    </row>
    <row r="4508">
      <c r="A4508" s="4" t="s">
        <v>4909</v>
      </c>
      <c r="B4508" s="16"/>
      <c r="C4508" s="12">
        <f>IFERROR(__xludf.DUMMYFUNCTION("""COMPUTED_VALUE"""),44662.5125462963)</f>
        <v>44662.51255</v>
      </c>
      <c r="D4508" s="13">
        <f t="shared" si="1"/>
        <v>11</v>
      </c>
      <c r="E4508" s="13">
        <f t="shared" si="2"/>
        <v>12</v>
      </c>
    </row>
    <row r="4509">
      <c r="A4509" s="4" t="s">
        <v>4910</v>
      </c>
      <c r="B4509" s="4" t="s">
        <v>3678</v>
      </c>
      <c r="C4509" s="12">
        <f>IFERROR(__xludf.DUMMYFUNCTION("""COMPUTED_VALUE"""),44662.51253472222)</f>
        <v>44662.51253</v>
      </c>
      <c r="D4509" s="13">
        <f t="shared" si="1"/>
        <v>11</v>
      </c>
      <c r="E4509" s="13">
        <f t="shared" si="2"/>
        <v>12</v>
      </c>
    </row>
    <row r="4510">
      <c r="A4510" s="4" t="s">
        <v>4911</v>
      </c>
      <c r="B4510" s="4" t="s">
        <v>3678</v>
      </c>
      <c r="C4510" s="12">
        <f>IFERROR(__xludf.DUMMYFUNCTION("""COMPUTED_VALUE"""),44662.51252314814)</f>
        <v>44662.51252</v>
      </c>
      <c r="D4510" s="13">
        <f t="shared" si="1"/>
        <v>11</v>
      </c>
      <c r="E4510" s="13">
        <f t="shared" si="2"/>
        <v>12</v>
      </c>
    </row>
    <row r="4511">
      <c r="A4511" s="4" t="s">
        <v>4911</v>
      </c>
      <c r="B4511" s="16"/>
      <c r="C4511" s="12">
        <f>IFERROR(__xludf.DUMMYFUNCTION("""COMPUTED_VALUE"""),44662.51252314814)</f>
        <v>44662.51252</v>
      </c>
      <c r="D4511" s="13">
        <f t="shared" si="1"/>
        <v>11</v>
      </c>
      <c r="E4511" s="13">
        <f t="shared" si="2"/>
        <v>12</v>
      </c>
    </row>
    <row r="4512">
      <c r="A4512" s="4" t="s">
        <v>4911</v>
      </c>
      <c r="B4512" s="4" t="s">
        <v>4912</v>
      </c>
      <c r="C4512" s="12">
        <f>IFERROR(__xludf.DUMMYFUNCTION("""COMPUTED_VALUE"""),44662.51252314814)</f>
        <v>44662.51252</v>
      </c>
      <c r="D4512" s="13">
        <f t="shared" si="1"/>
        <v>11</v>
      </c>
      <c r="E4512" s="13">
        <f t="shared" si="2"/>
        <v>12</v>
      </c>
    </row>
    <row r="4513">
      <c r="A4513" s="4" t="s">
        <v>4913</v>
      </c>
      <c r="B4513" s="4" t="s">
        <v>3678</v>
      </c>
      <c r="C4513" s="12">
        <f>IFERROR(__xludf.DUMMYFUNCTION("""COMPUTED_VALUE"""),44662.5125)</f>
        <v>44662.5125</v>
      </c>
      <c r="D4513" s="13">
        <f t="shared" si="1"/>
        <v>11</v>
      </c>
      <c r="E4513" s="13">
        <f t="shared" si="2"/>
        <v>12</v>
      </c>
    </row>
    <row r="4514">
      <c r="A4514" s="4" t="s">
        <v>4914</v>
      </c>
      <c r="B4514" s="4" t="s">
        <v>3678</v>
      </c>
      <c r="C4514" s="12">
        <f>IFERROR(__xludf.DUMMYFUNCTION("""COMPUTED_VALUE"""),44662.51247685185)</f>
        <v>44662.51248</v>
      </c>
      <c r="D4514" s="13">
        <f t="shared" si="1"/>
        <v>11</v>
      </c>
      <c r="E4514" s="13">
        <f t="shared" si="2"/>
        <v>12</v>
      </c>
    </row>
    <row r="4515">
      <c r="A4515" s="4" t="s">
        <v>4915</v>
      </c>
      <c r="B4515" s="4" t="s">
        <v>4912</v>
      </c>
      <c r="C4515" s="12">
        <f>IFERROR(__xludf.DUMMYFUNCTION("""COMPUTED_VALUE"""),44662.512465277774)</f>
        <v>44662.51247</v>
      </c>
      <c r="D4515" s="13">
        <f t="shared" si="1"/>
        <v>11</v>
      </c>
      <c r="E4515" s="13">
        <f t="shared" si="2"/>
        <v>12</v>
      </c>
    </row>
    <row r="4516">
      <c r="A4516" s="4" t="s">
        <v>4916</v>
      </c>
      <c r="B4516" s="4" t="s">
        <v>3678</v>
      </c>
      <c r="C4516" s="12">
        <f>IFERROR(__xludf.DUMMYFUNCTION("""COMPUTED_VALUE"""),44662.51243055555)</f>
        <v>44662.51243</v>
      </c>
      <c r="D4516" s="13">
        <f t="shared" si="1"/>
        <v>11</v>
      </c>
      <c r="E4516" s="13">
        <f t="shared" si="2"/>
        <v>12</v>
      </c>
    </row>
    <row r="4517">
      <c r="A4517" s="4" t="s">
        <v>4917</v>
      </c>
      <c r="B4517" s="16"/>
      <c r="C4517" s="12">
        <f>IFERROR(__xludf.DUMMYFUNCTION("""COMPUTED_VALUE"""),44662.512407407405)</f>
        <v>44662.51241</v>
      </c>
      <c r="D4517" s="13">
        <f t="shared" si="1"/>
        <v>11</v>
      </c>
      <c r="E4517" s="13">
        <f t="shared" si="2"/>
        <v>12</v>
      </c>
    </row>
    <row r="4518">
      <c r="A4518" s="4" t="s">
        <v>4918</v>
      </c>
      <c r="B4518" s="4" t="s">
        <v>1455</v>
      </c>
      <c r="C4518" s="12">
        <f>IFERROR(__xludf.DUMMYFUNCTION("""COMPUTED_VALUE"""),44662.51239583333)</f>
        <v>44662.5124</v>
      </c>
      <c r="D4518" s="13">
        <f t="shared" si="1"/>
        <v>11</v>
      </c>
      <c r="E4518" s="13">
        <f t="shared" si="2"/>
        <v>12</v>
      </c>
    </row>
    <row r="4519">
      <c r="A4519" s="4" t="s">
        <v>4918</v>
      </c>
      <c r="B4519" s="16"/>
      <c r="C4519" s="12">
        <f>IFERROR(__xludf.DUMMYFUNCTION("""COMPUTED_VALUE"""),44662.51239583333)</f>
        <v>44662.5124</v>
      </c>
      <c r="D4519" s="13">
        <f t="shared" si="1"/>
        <v>11</v>
      </c>
      <c r="E4519" s="13">
        <f t="shared" si="2"/>
        <v>12</v>
      </c>
    </row>
    <row r="4520">
      <c r="A4520" s="4" t="s">
        <v>4919</v>
      </c>
      <c r="B4520" s="4" t="s">
        <v>4912</v>
      </c>
      <c r="C4520" s="12">
        <f>IFERROR(__xludf.DUMMYFUNCTION("""COMPUTED_VALUE"""),44662.51237268518)</f>
        <v>44662.51237</v>
      </c>
      <c r="D4520" s="13">
        <f t="shared" si="1"/>
        <v>11</v>
      </c>
      <c r="E4520" s="13">
        <f t="shared" si="2"/>
        <v>12</v>
      </c>
    </row>
    <row r="4521">
      <c r="A4521" s="4" t="s">
        <v>4920</v>
      </c>
      <c r="B4521" s="16"/>
      <c r="C4521" s="12">
        <f>IFERROR(__xludf.DUMMYFUNCTION("""COMPUTED_VALUE"""),44662.51236111111)</f>
        <v>44662.51236</v>
      </c>
      <c r="D4521" s="13">
        <f t="shared" si="1"/>
        <v>11</v>
      </c>
      <c r="E4521" s="13">
        <f t="shared" si="2"/>
        <v>12</v>
      </c>
    </row>
    <row r="4522">
      <c r="A4522" s="4" t="s">
        <v>4921</v>
      </c>
      <c r="B4522" s="4" t="s">
        <v>4113</v>
      </c>
      <c r="C4522" s="12">
        <f>IFERROR(__xludf.DUMMYFUNCTION("""COMPUTED_VALUE"""),44662.51233796296)</f>
        <v>44662.51234</v>
      </c>
      <c r="D4522" s="13">
        <f t="shared" si="1"/>
        <v>11</v>
      </c>
      <c r="E4522" s="13">
        <f t="shared" si="2"/>
        <v>12</v>
      </c>
    </row>
    <row r="4523">
      <c r="A4523" s="4" t="s">
        <v>4922</v>
      </c>
      <c r="B4523" s="16"/>
      <c r="C4523" s="12">
        <f>IFERROR(__xludf.DUMMYFUNCTION("""COMPUTED_VALUE"""),44662.51231481481)</f>
        <v>44662.51231</v>
      </c>
      <c r="D4523" s="13">
        <f t="shared" si="1"/>
        <v>11</v>
      </c>
      <c r="E4523" s="13">
        <f t="shared" si="2"/>
        <v>12</v>
      </c>
    </row>
    <row r="4524">
      <c r="A4524" s="4" t="s">
        <v>4923</v>
      </c>
      <c r="B4524" s="16"/>
      <c r="C4524" s="12">
        <f>IFERROR(__xludf.DUMMYFUNCTION("""COMPUTED_VALUE"""),44662.51228009259)</f>
        <v>44662.51228</v>
      </c>
      <c r="D4524" s="13">
        <f t="shared" si="1"/>
        <v>11</v>
      </c>
      <c r="E4524" s="13">
        <f t="shared" si="2"/>
        <v>12</v>
      </c>
    </row>
    <row r="4525">
      <c r="A4525" s="4" t="s">
        <v>4924</v>
      </c>
      <c r="B4525" s="16"/>
      <c r="C4525" s="12">
        <f>IFERROR(__xludf.DUMMYFUNCTION("""COMPUTED_VALUE"""),44662.51226851852)</f>
        <v>44662.51227</v>
      </c>
      <c r="D4525" s="13">
        <f t="shared" si="1"/>
        <v>11</v>
      </c>
      <c r="E4525" s="13">
        <f t="shared" si="2"/>
        <v>12</v>
      </c>
    </row>
    <row r="4526">
      <c r="A4526" s="4" t="s">
        <v>4924</v>
      </c>
      <c r="B4526" s="4" t="s">
        <v>4113</v>
      </c>
      <c r="C4526" s="12">
        <f>IFERROR(__xludf.DUMMYFUNCTION("""COMPUTED_VALUE"""),44662.51226851852)</f>
        <v>44662.51227</v>
      </c>
      <c r="D4526" s="13">
        <f t="shared" si="1"/>
        <v>11</v>
      </c>
      <c r="E4526" s="13">
        <f t="shared" si="2"/>
        <v>12</v>
      </c>
    </row>
    <row r="4527">
      <c r="A4527" s="4" t="s">
        <v>4925</v>
      </c>
      <c r="B4527" s="4" t="s">
        <v>1455</v>
      </c>
      <c r="C4527" s="12">
        <f>IFERROR(__xludf.DUMMYFUNCTION("""COMPUTED_VALUE"""),44662.51225694444)</f>
        <v>44662.51226</v>
      </c>
      <c r="D4527" s="13">
        <f t="shared" si="1"/>
        <v>11</v>
      </c>
      <c r="E4527" s="13">
        <f t="shared" si="2"/>
        <v>12</v>
      </c>
    </row>
    <row r="4528">
      <c r="A4528" s="4" t="s">
        <v>4926</v>
      </c>
      <c r="B4528" s="16"/>
      <c r="C4528" s="12">
        <f>IFERROR(__xludf.DUMMYFUNCTION("""COMPUTED_VALUE"""),44662.51221064814)</f>
        <v>44662.51221</v>
      </c>
      <c r="D4528" s="13">
        <f t="shared" si="1"/>
        <v>11</v>
      </c>
      <c r="E4528" s="13">
        <f t="shared" si="2"/>
        <v>12</v>
      </c>
    </row>
    <row r="4529">
      <c r="A4529" s="4" t="s">
        <v>4927</v>
      </c>
      <c r="B4529" s="16"/>
      <c r="C4529" s="12">
        <f>IFERROR(__xludf.DUMMYFUNCTION("""COMPUTED_VALUE"""),44662.51217592592)</f>
        <v>44662.51218</v>
      </c>
      <c r="D4529" s="13">
        <f t="shared" si="1"/>
        <v>11</v>
      </c>
      <c r="E4529" s="13">
        <f t="shared" si="2"/>
        <v>12</v>
      </c>
    </row>
    <row r="4530">
      <c r="A4530" s="4" t="s">
        <v>4928</v>
      </c>
      <c r="B4530" s="16"/>
      <c r="C4530" s="12">
        <f>IFERROR(__xludf.DUMMYFUNCTION("""COMPUTED_VALUE"""),44662.51216435185)</f>
        <v>44662.51216</v>
      </c>
      <c r="D4530" s="13">
        <f t="shared" si="1"/>
        <v>11</v>
      </c>
      <c r="E4530" s="13">
        <f t="shared" si="2"/>
        <v>12</v>
      </c>
    </row>
    <row r="4531">
      <c r="A4531" s="4" t="s">
        <v>4929</v>
      </c>
      <c r="B4531" s="16"/>
      <c r="C4531" s="12">
        <f>IFERROR(__xludf.DUMMYFUNCTION("""COMPUTED_VALUE"""),44662.51211805555)</f>
        <v>44662.51212</v>
      </c>
      <c r="D4531" s="13">
        <f t="shared" si="1"/>
        <v>11</v>
      </c>
      <c r="E4531" s="13">
        <f t="shared" si="2"/>
        <v>12</v>
      </c>
    </row>
    <row r="4532">
      <c r="A4532" s="4" t="s">
        <v>4930</v>
      </c>
      <c r="B4532" s="4" t="s">
        <v>4602</v>
      </c>
      <c r="C4532" s="12">
        <f>IFERROR(__xludf.DUMMYFUNCTION("""COMPUTED_VALUE"""),44662.51210648148)</f>
        <v>44662.51211</v>
      </c>
      <c r="D4532" s="13">
        <f t="shared" si="1"/>
        <v>11</v>
      </c>
      <c r="E4532" s="13">
        <f t="shared" si="2"/>
        <v>12</v>
      </c>
    </row>
    <row r="4533">
      <c r="A4533" s="4" t="s">
        <v>4931</v>
      </c>
      <c r="B4533" s="16"/>
      <c r="C4533" s="12">
        <f>IFERROR(__xludf.DUMMYFUNCTION("""COMPUTED_VALUE"""),44662.51208333333)</f>
        <v>44662.51208</v>
      </c>
      <c r="D4533" s="13">
        <f t="shared" si="1"/>
        <v>11</v>
      </c>
      <c r="E4533" s="13">
        <f t="shared" si="2"/>
        <v>12</v>
      </c>
    </row>
    <row r="4534">
      <c r="A4534" s="4" t="s">
        <v>4932</v>
      </c>
      <c r="B4534" s="4" t="s">
        <v>1455</v>
      </c>
      <c r="C4534" s="12">
        <f>IFERROR(__xludf.DUMMYFUNCTION("""COMPUTED_VALUE"""),44662.51206018518)</f>
        <v>44662.51206</v>
      </c>
      <c r="D4534" s="13">
        <f t="shared" si="1"/>
        <v>11</v>
      </c>
      <c r="E4534" s="13">
        <f t="shared" si="2"/>
        <v>12</v>
      </c>
    </row>
    <row r="4535">
      <c r="A4535" s="4" t="s">
        <v>4932</v>
      </c>
      <c r="B4535" s="16"/>
      <c r="C4535" s="12">
        <f>IFERROR(__xludf.DUMMYFUNCTION("""COMPUTED_VALUE"""),44662.51206018518)</f>
        <v>44662.51206</v>
      </c>
      <c r="D4535" s="13">
        <f t="shared" si="1"/>
        <v>11</v>
      </c>
      <c r="E4535" s="13">
        <f t="shared" si="2"/>
        <v>12</v>
      </c>
    </row>
    <row r="4536">
      <c r="A4536" s="4" t="s">
        <v>4933</v>
      </c>
      <c r="B4536" s="16"/>
      <c r="C4536" s="12">
        <f>IFERROR(__xludf.DUMMYFUNCTION("""COMPUTED_VALUE"""),44662.512037037035)</f>
        <v>44662.51204</v>
      </c>
      <c r="D4536" s="13">
        <f t="shared" si="1"/>
        <v>11</v>
      </c>
      <c r="E4536" s="13">
        <f t="shared" si="2"/>
        <v>12</v>
      </c>
    </row>
    <row r="4537">
      <c r="A4537" s="4" t="s">
        <v>4934</v>
      </c>
      <c r="B4537" s="16"/>
      <c r="C4537" s="12">
        <f>IFERROR(__xludf.DUMMYFUNCTION("""COMPUTED_VALUE"""),44662.51202546296)</f>
        <v>44662.51203</v>
      </c>
      <c r="D4537" s="13">
        <f t="shared" si="1"/>
        <v>11</v>
      </c>
      <c r="E4537" s="13">
        <f t="shared" si="2"/>
        <v>12</v>
      </c>
    </row>
    <row r="4538">
      <c r="A4538" s="4" t="s">
        <v>4935</v>
      </c>
      <c r="B4538" s="4" t="s">
        <v>4602</v>
      </c>
      <c r="C4538" s="12">
        <f>IFERROR(__xludf.DUMMYFUNCTION("""COMPUTED_VALUE"""),44662.51201388889)</f>
        <v>44662.51201</v>
      </c>
      <c r="D4538" s="13">
        <f t="shared" si="1"/>
        <v>11</v>
      </c>
      <c r="E4538" s="13">
        <f t="shared" si="2"/>
        <v>12</v>
      </c>
    </row>
    <row r="4539">
      <c r="A4539" s="4" t="s">
        <v>4936</v>
      </c>
      <c r="B4539" s="4" t="s">
        <v>4937</v>
      </c>
      <c r="C4539" s="12">
        <f>IFERROR(__xludf.DUMMYFUNCTION("""COMPUTED_VALUE"""),44662.511979166666)</f>
        <v>44662.51198</v>
      </c>
      <c r="D4539" s="13">
        <f t="shared" si="1"/>
        <v>11</v>
      </c>
      <c r="E4539" s="13">
        <f t="shared" si="2"/>
        <v>12</v>
      </c>
    </row>
    <row r="4540">
      <c r="A4540" s="4" t="s">
        <v>4938</v>
      </c>
      <c r="B4540" s="4" t="s">
        <v>4939</v>
      </c>
      <c r="C4540" s="12">
        <f>IFERROR(__xludf.DUMMYFUNCTION("""COMPUTED_VALUE"""),44662.511932870366)</f>
        <v>44662.51193</v>
      </c>
      <c r="D4540" s="13">
        <f t="shared" si="1"/>
        <v>11</v>
      </c>
      <c r="E4540" s="13">
        <f t="shared" si="2"/>
        <v>12</v>
      </c>
    </row>
    <row r="4541">
      <c r="A4541" s="4" t="s">
        <v>4940</v>
      </c>
      <c r="B4541" s="4" t="s">
        <v>4602</v>
      </c>
      <c r="C4541" s="12">
        <f>IFERROR(__xludf.DUMMYFUNCTION("""COMPUTED_VALUE"""),44662.51190972222)</f>
        <v>44662.51191</v>
      </c>
      <c r="D4541" s="13">
        <f t="shared" si="1"/>
        <v>11</v>
      </c>
      <c r="E4541" s="13">
        <f t="shared" si="2"/>
        <v>12</v>
      </c>
    </row>
    <row r="4542">
      <c r="A4542" s="4" t="s">
        <v>4940</v>
      </c>
      <c r="B4542" s="16"/>
      <c r="C4542" s="12">
        <f>IFERROR(__xludf.DUMMYFUNCTION("""COMPUTED_VALUE"""),44662.51190972222)</f>
        <v>44662.51191</v>
      </c>
      <c r="D4542" s="13">
        <f t="shared" si="1"/>
        <v>11</v>
      </c>
      <c r="E4542" s="13">
        <f t="shared" si="2"/>
        <v>12</v>
      </c>
    </row>
    <row r="4543">
      <c r="A4543" s="4" t="s">
        <v>4941</v>
      </c>
      <c r="B4543" s="4" t="s">
        <v>4939</v>
      </c>
      <c r="C4543" s="12">
        <f>IFERROR(__xludf.DUMMYFUNCTION("""COMPUTED_VALUE"""),44662.51186342593)</f>
        <v>44662.51186</v>
      </c>
      <c r="D4543" s="13">
        <f t="shared" si="1"/>
        <v>11</v>
      </c>
      <c r="E4543" s="13">
        <f t="shared" si="2"/>
        <v>12</v>
      </c>
    </row>
    <row r="4544">
      <c r="A4544" s="4" t="s">
        <v>4942</v>
      </c>
      <c r="B4544" s="4" t="s">
        <v>4939</v>
      </c>
      <c r="C4544" s="12">
        <f>IFERROR(__xludf.DUMMYFUNCTION("""COMPUTED_VALUE"""),44662.51184027777)</f>
        <v>44662.51184</v>
      </c>
      <c r="D4544" s="13">
        <f t="shared" si="1"/>
        <v>11</v>
      </c>
      <c r="E4544" s="13">
        <f t="shared" si="2"/>
        <v>12</v>
      </c>
    </row>
    <row r="4545">
      <c r="A4545" s="4" t="s">
        <v>4943</v>
      </c>
      <c r="B4545" s="16"/>
      <c r="C4545" s="12">
        <f>IFERROR(__xludf.DUMMYFUNCTION("""COMPUTED_VALUE"""),44662.51180555555)</f>
        <v>44662.51181</v>
      </c>
      <c r="D4545" s="13">
        <f t="shared" si="1"/>
        <v>11</v>
      </c>
      <c r="E4545" s="13">
        <f t="shared" si="2"/>
        <v>12</v>
      </c>
    </row>
    <row r="4546">
      <c r="A4546" s="4" t="s">
        <v>4944</v>
      </c>
      <c r="B4546" s="4" t="s">
        <v>4602</v>
      </c>
      <c r="C4546" s="12">
        <f>IFERROR(__xludf.DUMMYFUNCTION("""COMPUTED_VALUE"""),44662.51179398148)</f>
        <v>44662.51179</v>
      </c>
      <c r="D4546" s="13">
        <f t="shared" si="1"/>
        <v>11</v>
      </c>
      <c r="E4546" s="13">
        <f t="shared" si="2"/>
        <v>12</v>
      </c>
    </row>
    <row r="4547">
      <c r="A4547" s="4" t="s">
        <v>4945</v>
      </c>
      <c r="B4547" s="16"/>
      <c r="C4547" s="12">
        <f>IFERROR(__xludf.DUMMYFUNCTION("""COMPUTED_VALUE"""),44662.511782407404)</f>
        <v>44662.51178</v>
      </c>
      <c r="D4547" s="13">
        <f t="shared" si="1"/>
        <v>11</v>
      </c>
      <c r="E4547" s="13">
        <f t="shared" si="2"/>
        <v>12</v>
      </c>
    </row>
    <row r="4548">
      <c r="A4548" s="4" t="s">
        <v>4946</v>
      </c>
      <c r="B4548" s="16"/>
      <c r="C4548" s="12">
        <f>IFERROR(__xludf.DUMMYFUNCTION("""COMPUTED_VALUE"""),44662.51175925926)</f>
        <v>44662.51176</v>
      </c>
      <c r="D4548" s="13">
        <f t="shared" si="1"/>
        <v>11</v>
      </c>
      <c r="E4548" s="13">
        <f t="shared" si="2"/>
        <v>12</v>
      </c>
    </row>
    <row r="4549">
      <c r="A4549" s="4" t="s">
        <v>4947</v>
      </c>
      <c r="B4549" s="16"/>
      <c r="C4549" s="12">
        <f>IFERROR(__xludf.DUMMYFUNCTION("""COMPUTED_VALUE"""),44662.51173611111)</f>
        <v>44662.51174</v>
      </c>
      <c r="D4549" s="13">
        <f t="shared" si="1"/>
        <v>11</v>
      </c>
      <c r="E4549" s="13">
        <f t="shared" si="2"/>
        <v>12</v>
      </c>
    </row>
    <row r="4550">
      <c r="A4550" s="4" t="s">
        <v>4948</v>
      </c>
      <c r="B4550" s="4" t="s">
        <v>4949</v>
      </c>
      <c r="C4550" s="12">
        <f>IFERROR(__xludf.DUMMYFUNCTION("""COMPUTED_VALUE"""),44662.51171296296)</f>
        <v>44662.51171</v>
      </c>
      <c r="D4550" s="13">
        <f t="shared" si="1"/>
        <v>11</v>
      </c>
      <c r="E4550" s="13">
        <f t="shared" si="2"/>
        <v>12</v>
      </c>
    </row>
    <row r="4551">
      <c r="A4551" s="4" t="s">
        <v>4950</v>
      </c>
      <c r="B4551" s="4" t="s">
        <v>4949</v>
      </c>
      <c r="C4551" s="12">
        <f>IFERROR(__xludf.DUMMYFUNCTION("""COMPUTED_VALUE"""),44662.511666666665)</f>
        <v>44662.51167</v>
      </c>
      <c r="D4551" s="13">
        <f t="shared" si="1"/>
        <v>11</v>
      </c>
      <c r="E4551" s="13">
        <f t="shared" si="2"/>
        <v>12</v>
      </c>
    </row>
    <row r="4552">
      <c r="A4552" s="4" t="s">
        <v>4951</v>
      </c>
      <c r="B4552" s="4" t="s">
        <v>1195</v>
      </c>
      <c r="C4552" s="12">
        <f>IFERROR(__xludf.DUMMYFUNCTION("""COMPUTED_VALUE"""),44662.51165509259)</f>
        <v>44662.51166</v>
      </c>
      <c r="D4552" s="13">
        <f t="shared" si="1"/>
        <v>11</v>
      </c>
      <c r="E4552" s="13">
        <f t="shared" si="2"/>
        <v>12</v>
      </c>
    </row>
    <row r="4553">
      <c r="A4553" s="4" t="s">
        <v>4952</v>
      </c>
      <c r="B4553" s="16"/>
      <c r="C4553" s="12">
        <f>IFERROR(__xludf.DUMMYFUNCTION("""COMPUTED_VALUE"""),44662.511620370366)</f>
        <v>44662.51162</v>
      </c>
      <c r="D4553" s="13">
        <f t="shared" si="1"/>
        <v>11</v>
      </c>
      <c r="E4553" s="13">
        <f t="shared" si="2"/>
        <v>12</v>
      </c>
    </row>
    <row r="4554">
      <c r="A4554" s="4" t="s">
        <v>4953</v>
      </c>
      <c r="B4554" s="16"/>
      <c r="C4554" s="12">
        <f>IFERROR(__xludf.DUMMYFUNCTION("""COMPUTED_VALUE"""),44662.51159722222)</f>
        <v>44662.5116</v>
      </c>
      <c r="D4554" s="13">
        <f t="shared" si="1"/>
        <v>11</v>
      </c>
      <c r="E4554" s="13">
        <f t="shared" si="2"/>
        <v>12</v>
      </c>
    </row>
    <row r="4555">
      <c r="A4555" s="4" t="s">
        <v>4954</v>
      </c>
      <c r="B4555" s="4" t="s">
        <v>1195</v>
      </c>
      <c r="C4555" s="12">
        <f>IFERROR(__xludf.DUMMYFUNCTION("""COMPUTED_VALUE"""),44662.51157407407)</f>
        <v>44662.51157</v>
      </c>
      <c r="D4555" s="13">
        <f t="shared" si="1"/>
        <v>11</v>
      </c>
      <c r="E4555" s="13">
        <f t="shared" si="2"/>
        <v>12</v>
      </c>
    </row>
    <row r="4556">
      <c r="A4556" s="4" t="s">
        <v>4955</v>
      </c>
      <c r="B4556" s="16"/>
      <c r="C4556" s="12">
        <f>IFERROR(__xludf.DUMMYFUNCTION("""COMPUTED_VALUE"""),44662.511562499996)</f>
        <v>44662.51156</v>
      </c>
      <c r="D4556" s="13">
        <f t="shared" si="1"/>
        <v>11</v>
      </c>
      <c r="E4556" s="13">
        <f t="shared" si="2"/>
        <v>12</v>
      </c>
    </row>
    <row r="4557">
      <c r="A4557" s="4" t="s">
        <v>4956</v>
      </c>
      <c r="B4557" s="4" t="s">
        <v>4826</v>
      </c>
      <c r="C4557" s="12">
        <f>IFERROR(__xludf.DUMMYFUNCTION("""COMPUTED_VALUE"""),44662.51152777777)</f>
        <v>44662.51153</v>
      </c>
      <c r="D4557" s="13">
        <f t="shared" si="1"/>
        <v>11</v>
      </c>
      <c r="E4557" s="13">
        <f t="shared" si="2"/>
        <v>12</v>
      </c>
    </row>
    <row r="4558">
      <c r="A4558" s="4" t="s">
        <v>4957</v>
      </c>
      <c r="B4558" s="4" t="s">
        <v>1195</v>
      </c>
      <c r="C4558" s="12">
        <f>IFERROR(__xludf.DUMMYFUNCTION("""COMPUTED_VALUE"""),44662.51149305555)</f>
        <v>44662.51149</v>
      </c>
      <c r="D4558" s="13">
        <f t="shared" si="1"/>
        <v>11</v>
      </c>
      <c r="E4558" s="13">
        <f t="shared" si="2"/>
        <v>12</v>
      </c>
    </row>
    <row r="4559">
      <c r="A4559" s="4" t="s">
        <v>4958</v>
      </c>
      <c r="B4559" s="16"/>
      <c r="C4559" s="12">
        <f>IFERROR(__xludf.DUMMYFUNCTION("""COMPUTED_VALUE"""),44662.51142361111)</f>
        <v>44662.51142</v>
      </c>
      <c r="D4559" s="13">
        <f t="shared" si="1"/>
        <v>11</v>
      </c>
      <c r="E4559" s="13">
        <f t="shared" si="2"/>
        <v>12</v>
      </c>
    </row>
    <row r="4560">
      <c r="A4560" s="4" t="s">
        <v>4958</v>
      </c>
      <c r="B4560" s="16"/>
      <c r="C4560" s="12">
        <f>IFERROR(__xludf.DUMMYFUNCTION("""COMPUTED_VALUE"""),44662.51142361111)</f>
        <v>44662.51142</v>
      </c>
      <c r="D4560" s="13">
        <f t="shared" si="1"/>
        <v>11</v>
      </c>
      <c r="E4560" s="13">
        <f t="shared" si="2"/>
        <v>12</v>
      </c>
    </row>
    <row r="4561">
      <c r="A4561" s="4" t="s">
        <v>4959</v>
      </c>
      <c r="B4561" s="4" t="s">
        <v>4949</v>
      </c>
      <c r="C4561" s="12">
        <f>IFERROR(__xludf.DUMMYFUNCTION("""COMPUTED_VALUE"""),44662.51140046296)</f>
        <v>44662.5114</v>
      </c>
      <c r="D4561" s="13">
        <f t="shared" si="1"/>
        <v>11</v>
      </c>
      <c r="E4561" s="13">
        <f t="shared" si="2"/>
        <v>12</v>
      </c>
    </row>
    <row r="4562">
      <c r="A4562" s="4" t="s">
        <v>4960</v>
      </c>
      <c r="B4562" s="4" t="s">
        <v>4961</v>
      </c>
      <c r="C4562" s="12">
        <f>IFERROR(__xludf.DUMMYFUNCTION("""COMPUTED_VALUE"""),44662.51138888889)</f>
        <v>44662.51139</v>
      </c>
      <c r="D4562" s="13">
        <f t="shared" si="1"/>
        <v>11</v>
      </c>
      <c r="E4562" s="13">
        <f t="shared" si="2"/>
        <v>12</v>
      </c>
    </row>
    <row r="4563">
      <c r="A4563" s="4" t="s">
        <v>4962</v>
      </c>
      <c r="B4563" s="16"/>
      <c r="C4563" s="12">
        <f>IFERROR(__xludf.DUMMYFUNCTION("""COMPUTED_VALUE"""),44662.51131944444)</f>
        <v>44662.51132</v>
      </c>
      <c r="D4563" s="13">
        <f t="shared" si="1"/>
        <v>11</v>
      </c>
      <c r="E4563" s="13">
        <f t="shared" si="2"/>
        <v>12</v>
      </c>
    </row>
    <row r="4564">
      <c r="A4564" s="4" t="s">
        <v>4963</v>
      </c>
      <c r="B4564" s="16"/>
      <c r="C4564" s="12">
        <f>IFERROR(__xludf.DUMMYFUNCTION("""COMPUTED_VALUE"""),44662.511307870365)</f>
        <v>44662.51131</v>
      </c>
      <c r="D4564" s="13">
        <f t="shared" si="1"/>
        <v>11</v>
      </c>
      <c r="E4564" s="13">
        <f t="shared" si="2"/>
        <v>12</v>
      </c>
    </row>
    <row r="4565">
      <c r="A4565" s="4" t="s">
        <v>4964</v>
      </c>
      <c r="B4565" s="16"/>
      <c r="C4565" s="12">
        <f>IFERROR(__xludf.DUMMYFUNCTION("""COMPUTED_VALUE"""),44662.51126157407)</f>
        <v>44662.51126</v>
      </c>
      <c r="D4565" s="13">
        <f t="shared" si="1"/>
        <v>11</v>
      </c>
      <c r="E4565" s="13">
        <f t="shared" si="2"/>
        <v>12</v>
      </c>
    </row>
    <row r="4566">
      <c r="A4566" s="4" t="s">
        <v>4965</v>
      </c>
      <c r="B4566" s="4" t="s">
        <v>1455</v>
      </c>
      <c r="C4566" s="12">
        <f>IFERROR(__xludf.DUMMYFUNCTION("""COMPUTED_VALUE"""),44662.51123842593)</f>
        <v>44662.51124</v>
      </c>
      <c r="D4566" s="13">
        <f t="shared" si="1"/>
        <v>11</v>
      </c>
      <c r="E4566" s="13">
        <f t="shared" si="2"/>
        <v>12</v>
      </c>
    </row>
    <row r="4567">
      <c r="A4567" s="4" t="s">
        <v>4965</v>
      </c>
      <c r="B4567" s="4" t="s">
        <v>4966</v>
      </c>
      <c r="C4567" s="12">
        <f>IFERROR(__xludf.DUMMYFUNCTION("""COMPUTED_VALUE"""),44662.51123842593)</f>
        <v>44662.51124</v>
      </c>
      <c r="D4567" s="13">
        <f t="shared" si="1"/>
        <v>11</v>
      </c>
      <c r="E4567" s="13">
        <f t="shared" si="2"/>
        <v>12</v>
      </c>
    </row>
    <row r="4568">
      <c r="A4568" s="4" t="s">
        <v>4967</v>
      </c>
      <c r="B4568" s="4" t="s">
        <v>1455</v>
      </c>
      <c r="C4568" s="12">
        <f>IFERROR(__xludf.DUMMYFUNCTION("""COMPUTED_VALUE"""),44662.5112037037)</f>
        <v>44662.5112</v>
      </c>
      <c r="D4568" s="13">
        <f t="shared" si="1"/>
        <v>11</v>
      </c>
      <c r="E4568" s="13">
        <f t="shared" si="2"/>
        <v>12</v>
      </c>
    </row>
    <row r="4569">
      <c r="A4569" s="4" t="s">
        <v>4968</v>
      </c>
      <c r="B4569" s="16"/>
      <c r="C4569" s="12">
        <f>IFERROR(__xludf.DUMMYFUNCTION("""COMPUTED_VALUE"""),44662.51119212963)</f>
        <v>44662.51119</v>
      </c>
      <c r="D4569" s="13">
        <f t="shared" si="1"/>
        <v>11</v>
      </c>
      <c r="E4569" s="13">
        <f t="shared" si="2"/>
        <v>12</v>
      </c>
    </row>
    <row r="4570">
      <c r="A4570" s="4" t="s">
        <v>4969</v>
      </c>
      <c r="B4570" s="16"/>
      <c r="C4570" s="12">
        <f>IFERROR(__xludf.DUMMYFUNCTION("""COMPUTED_VALUE"""),44662.51118055555)</f>
        <v>44662.51118</v>
      </c>
      <c r="D4570" s="13">
        <f t="shared" si="1"/>
        <v>11</v>
      </c>
      <c r="E4570" s="13">
        <f t="shared" si="2"/>
        <v>12</v>
      </c>
    </row>
    <row r="4571">
      <c r="A4571" s="4" t="s">
        <v>4970</v>
      </c>
      <c r="B4571" s="4" t="s">
        <v>1455</v>
      </c>
      <c r="C4571" s="12">
        <f>IFERROR(__xludf.DUMMYFUNCTION("""COMPUTED_VALUE"""),44662.5111574074)</f>
        <v>44662.51116</v>
      </c>
      <c r="D4571" s="13">
        <f t="shared" si="1"/>
        <v>11</v>
      </c>
      <c r="E4571" s="13">
        <f t="shared" si="2"/>
        <v>12</v>
      </c>
    </row>
    <row r="4572">
      <c r="A4572" s="4" t="s">
        <v>4971</v>
      </c>
      <c r="B4572" s="4" t="s">
        <v>1195</v>
      </c>
      <c r="C4572" s="12">
        <f>IFERROR(__xludf.DUMMYFUNCTION("""COMPUTED_VALUE"""),44662.511145833334)</f>
        <v>44662.51115</v>
      </c>
      <c r="D4572" s="13">
        <f t="shared" si="1"/>
        <v>11</v>
      </c>
      <c r="E4572" s="13">
        <f t="shared" si="2"/>
        <v>12</v>
      </c>
    </row>
    <row r="4573">
      <c r="A4573" s="4" t="s">
        <v>4972</v>
      </c>
      <c r="B4573" s="4" t="s">
        <v>1195</v>
      </c>
      <c r="C4573" s="12">
        <f>IFERROR(__xludf.DUMMYFUNCTION("""COMPUTED_VALUE"""),44662.51112268518)</f>
        <v>44662.51112</v>
      </c>
      <c r="D4573" s="13">
        <f t="shared" si="1"/>
        <v>11</v>
      </c>
      <c r="E4573" s="13">
        <f t="shared" si="2"/>
        <v>12</v>
      </c>
    </row>
    <row r="4574">
      <c r="A4574" s="4" t="s">
        <v>4973</v>
      </c>
      <c r="B4574" s="4" t="s">
        <v>1455</v>
      </c>
      <c r="C4574" s="12">
        <f>IFERROR(__xludf.DUMMYFUNCTION("""COMPUTED_VALUE"""),44662.511099537034)</f>
        <v>44662.5111</v>
      </c>
      <c r="D4574" s="13">
        <f t="shared" si="1"/>
        <v>11</v>
      </c>
      <c r="E4574" s="13">
        <f t="shared" si="2"/>
        <v>12</v>
      </c>
    </row>
    <row r="4575">
      <c r="A4575" s="4" t="s">
        <v>4974</v>
      </c>
      <c r="B4575" s="16"/>
      <c r="C4575" s="12">
        <f>IFERROR(__xludf.DUMMYFUNCTION("""COMPUTED_VALUE"""),44662.51107638889)</f>
        <v>44662.51108</v>
      </c>
      <c r="D4575" s="13">
        <f t="shared" si="1"/>
        <v>11</v>
      </c>
      <c r="E4575" s="13">
        <f t="shared" si="2"/>
        <v>12</v>
      </c>
    </row>
    <row r="4576">
      <c r="A4576" s="4" t="s">
        <v>4975</v>
      </c>
      <c r="B4576" s="4" t="s">
        <v>1195</v>
      </c>
      <c r="C4576" s="12">
        <f>IFERROR(__xludf.DUMMYFUNCTION("""COMPUTED_VALUE"""),44662.51105324074)</f>
        <v>44662.51105</v>
      </c>
      <c r="D4576" s="13">
        <f t="shared" si="1"/>
        <v>11</v>
      </c>
      <c r="E4576" s="13">
        <f t="shared" si="2"/>
        <v>12</v>
      </c>
    </row>
    <row r="4577">
      <c r="A4577" s="4" t="s">
        <v>4975</v>
      </c>
      <c r="B4577" s="4" t="s">
        <v>4939</v>
      </c>
      <c r="C4577" s="12">
        <f>IFERROR(__xludf.DUMMYFUNCTION("""COMPUTED_VALUE"""),44662.51105324074)</f>
        <v>44662.51105</v>
      </c>
      <c r="D4577" s="13">
        <f t="shared" si="1"/>
        <v>11</v>
      </c>
      <c r="E4577" s="13">
        <f t="shared" si="2"/>
        <v>12</v>
      </c>
    </row>
    <row r="4578">
      <c r="A4578" s="4" t="s">
        <v>4976</v>
      </c>
      <c r="B4578" s="4" t="s">
        <v>4977</v>
      </c>
      <c r="C4578" s="12">
        <f>IFERROR(__xludf.DUMMYFUNCTION("""COMPUTED_VALUE"""),44662.51079861111)</f>
        <v>44662.5108</v>
      </c>
      <c r="D4578" s="13">
        <f t="shared" si="1"/>
        <v>11</v>
      </c>
      <c r="E4578" s="13">
        <f t="shared" si="2"/>
        <v>12</v>
      </c>
    </row>
    <row r="4579">
      <c r="A4579" s="4" t="s">
        <v>4976</v>
      </c>
      <c r="B4579" s="4" t="s">
        <v>1086</v>
      </c>
      <c r="C4579" s="12">
        <f>IFERROR(__xludf.DUMMYFUNCTION("""COMPUTED_VALUE"""),44662.51079861111)</f>
        <v>44662.5108</v>
      </c>
      <c r="D4579" s="13">
        <f t="shared" si="1"/>
        <v>11</v>
      </c>
      <c r="E4579" s="13">
        <f t="shared" si="2"/>
        <v>12</v>
      </c>
    </row>
    <row r="4580">
      <c r="A4580" s="4" t="s">
        <v>4978</v>
      </c>
      <c r="B4580" s="4" t="s">
        <v>1086</v>
      </c>
      <c r="C4580" s="12">
        <f>IFERROR(__xludf.DUMMYFUNCTION("""COMPUTED_VALUE"""),44662.51063657407)</f>
        <v>44662.51064</v>
      </c>
      <c r="D4580" s="13">
        <f t="shared" si="1"/>
        <v>11</v>
      </c>
      <c r="E4580" s="13">
        <f t="shared" si="2"/>
        <v>12</v>
      </c>
    </row>
    <row r="4581">
      <c r="A4581" s="4" t="s">
        <v>4979</v>
      </c>
      <c r="B4581" s="4" t="s">
        <v>1086</v>
      </c>
      <c r="C4581" s="12">
        <f>IFERROR(__xludf.DUMMYFUNCTION("""COMPUTED_VALUE"""),44662.510613425926)</f>
        <v>44662.51061</v>
      </c>
      <c r="D4581" s="13">
        <f t="shared" si="1"/>
        <v>11</v>
      </c>
      <c r="E4581" s="13">
        <f t="shared" si="2"/>
        <v>12</v>
      </c>
    </row>
    <row r="4582">
      <c r="A4582" s="4" t="s">
        <v>4980</v>
      </c>
      <c r="B4582" s="4" t="s">
        <v>1086</v>
      </c>
      <c r="C4582" s="12">
        <f>IFERROR(__xludf.DUMMYFUNCTION("""COMPUTED_VALUE"""),44662.51060185185)</f>
        <v>44662.5106</v>
      </c>
      <c r="D4582" s="13">
        <f t="shared" si="1"/>
        <v>11</v>
      </c>
      <c r="E4582" s="13">
        <f t="shared" si="2"/>
        <v>12</v>
      </c>
    </row>
    <row r="4583">
      <c r="A4583" s="4" t="s">
        <v>4981</v>
      </c>
      <c r="B4583" s="4" t="s">
        <v>1086</v>
      </c>
      <c r="C4583" s="12">
        <f>IFERROR(__xludf.DUMMYFUNCTION("""COMPUTED_VALUE"""),44662.51059027777)</f>
        <v>44662.51059</v>
      </c>
      <c r="D4583" s="13">
        <f t="shared" si="1"/>
        <v>11</v>
      </c>
      <c r="E4583" s="13">
        <f t="shared" si="2"/>
        <v>12</v>
      </c>
    </row>
    <row r="4584">
      <c r="A4584" s="4" t="s">
        <v>4982</v>
      </c>
      <c r="B4584" s="16"/>
      <c r="C4584" s="12">
        <f>IFERROR(__xludf.DUMMYFUNCTION("""COMPUTED_VALUE"""),44662.5105787037)</f>
        <v>44662.51058</v>
      </c>
      <c r="D4584" s="13">
        <f t="shared" si="1"/>
        <v>11</v>
      </c>
      <c r="E4584" s="13">
        <f t="shared" si="2"/>
        <v>12</v>
      </c>
    </row>
    <row r="4585">
      <c r="A4585" s="4" t="s">
        <v>4982</v>
      </c>
      <c r="B4585" s="16"/>
      <c r="C4585" s="12">
        <f>IFERROR(__xludf.DUMMYFUNCTION("""COMPUTED_VALUE"""),44662.5105787037)</f>
        <v>44662.51058</v>
      </c>
      <c r="D4585" s="13">
        <f t="shared" si="1"/>
        <v>11</v>
      </c>
      <c r="E4585" s="13">
        <f t="shared" si="2"/>
        <v>12</v>
      </c>
    </row>
    <row r="4586">
      <c r="A4586" s="4" t="s">
        <v>4983</v>
      </c>
      <c r="B4586" s="4" t="s">
        <v>1086</v>
      </c>
      <c r="C4586" s="12">
        <f>IFERROR(__xludf.DUMMYFUNCTION("""COMPUTED_VALUE"""),44662.510567129626)</f>
        <v>44662.51057</v>
      </c>
      <c r="D4586" s="13">
        <f t="shared" si="1"/>
        <v>11</v>
      </c>
      <c r="E4586" s="13">
        <f t="shared" si="2"/>
        <v>12</v>
      </c>
    </row>
    <row r="4587">
      <c r="A4587" s="4" t="s">
        <v>4984</v>
      </c>
      <c r="B4587" s="4" t="s">
        <v>1086</v>
      </c>
      <c r="C4587" s="12">
        <f>IFERROR(__xludf.DUMMYFUNCTION("""COMPUTED_VALUE"""),44662.51054398148)</f>
        <v>44662.51054</v>
      </c>
      <c r="D4587" s="13">
        <f t="shared" si="1"/>
        <v>11</v>
      </c>
      <c r="E4587" s="13">
        <f t="shared" si="2"/>
        <v>12</v>
      </c>
    </row>
    <row r="4588">
      <c r="A4588" s="4" t="s">
        <v>4985</v>
      </c>
      <c r="B4588" s="4" t="s">
        <v>1086</v>
      </c>
      <c r="C4588" s="12">
        <f>IFERROR(__xludf.DUMMYFUNCTION("""COMPUTED_VALUE"""),44662.51050925926)</f>
        <v>44662.51051</v>
      </c>
      <c r="D4588" s="13">
        <f t="shared" si="1"/>
        <v>11</v>
      </c>
      <c r="E4588" s="13">
        <f t="shared" si="2"/>
        <v>12</v>
      </c>
    </row>
    <row r="4589">
      <c r="A4589" s="4" t="s">
        <v>4986</v>
      </c>
      <c r="B4589" s="16"/>
      <c r="C4589" s="12">
        <f>IFERROR(__xludf.DUMMYFUNCTION("""COMPUTED_VALUE"""),44662.51042824074)</f>
        <v>44662.51043</v>
      </c>
      <c r="D4589" s="13">
        <f t="shared" si="1"/>
        <v>11</v>
      </c>
      <c r="E4589" s="13">
        <f t="shared" si="2"/>
        <v>12</v>
      </c>
    </row>
    <row r="4590">
      <c r="A4590" s="4" t="s">
        <v>4987</v>
      </c>
      <c r="B4590" s="16"/>
      <c r="C4590" s="12">
        <f>IFERROR(__xludf.DUMMYFUNCTION("""COMPUTED_VALUE"""),44662.510416666664)</f>
        <v>44662.51042</v>
      </c>
      <c r="D4590" s="13">
        <f t="shared" si="1"/>
        <v>11</v>
      </c>
      <c r="E4590" s="13">
        <f t="shared" si="2"/>
        <v>12</v>
      </c>
    </row>
    <row r="4591">
      <c r="A4591" s="4" t="s">
        <v>4988</v>
      </c>
      <c r="B4591" s="4" t="s">
        <v>4091</v>
      </c>
      <c r="C4591" s="12">
        <f>IFERROR(__xludf.DUMMYFUNCTION("""COMPUTED_VALUE"""),44662.51039351852)</f>
        <v>44662.51039</v>
      </c>
      <c r="D4591" s="13">
        <f t="shared" si="1"/>
        <v>11</v>
      </c>
      <c r="E4591" s="13">
        <f t="shared" si="2"/>
        <v>12</v>
      </c>
    </row>
    <row r="4592">
      <c r="A4592" s="4" t="s">
        <v>4988</v>
      </c>
      <c r="B4592" s="4" t="s">
        <v>1086</v>
      </c>
      <c r="C4592" s="12">
        <f>IFERROR(__xludf.DUMMYFUNCTION("""COMPUTED_VALUE"""),44662.51039351852)</f>
        <v>44662.51039</v>
      </c>
      <c r="D4592" s="13">
        <f t="shared" si="1"/>
        <v>11</v>
      </c>
      <c r="E4592" s="13">
        <f t="shared" si="2"/>
        <v>12</v>
      </c>
    </row>
    <row r="4593">
      <c r="A4593" s="4" t="s">
        <v>4989</v>
      </c>
      <c r="B4593" s="16"/>
      <c r="C4593" s="12">
        <f>IFERROR(__xludf.DUMMYFUNCTION("""COMPUTED_VALUE"""),44662.5102662037)</f>
        <v>44662.51027</v>
      </c>
      <c r="D4593" s="13">
        <f t="shared" si="1"/>
        <v>11</v>
      </c>
      <c r="E4593" s="13">
        <f t="shared" si="2"/>
        <v>12</v>
      </c>
    </row>
    <row r="4594">
      <c r="A4594" s="4" t="s">
        <v>4990</v>
      </c>
      <c r="B4594" s="4" t="s">
        <v>264</v>
      </c>
      <c r="C4594" s="12">
        <f>IFERROR(__xludf.DUMMYFUNCTION("""COMPUTED_VALUE"""),44662.51009259259)</f>
        <v>44662.51009</v>
      </c>
      <c r="D4594" s="13">
        <f t="shared" si="1"/>
        <v>11</v>
      </c>
      <c r="E4594" s="13">
        <f t="shared" si="2"/>
        <v>12</v>
      </c>
    </row>
    <row r="4595">
      <c r="A4595" s="4" t="s">
        <v>4991</v>
      </c>
      <c r="B4595" s="16"/>
      <c r="C4595" s="12">
        <f>IFERROR(__xludf.DUMMYFUNCTION("""COMPUTED_VALUE"""),44662.50954861111)</f>
        <v>44662.50955</v>
      </c>
      <c r="D4595" s="13">
        <f t="shared" si="1"/>
        <v>11</v>
      </c>
      <c r="E4595" s="13">
        <f t="shared" si="2"/>
        <v>12</v>
      </c>
    </row>
    <row r="4596">
      <c r="A4596" s="4" t="s">
        <v>4992</v>
      </c>
      <c r="B4596" s="16"/>
      <c r="C4596" s="12">
        <f>IFERROR(__xludf.DUMMYFUNCTION("""COMPUTED_VALUE"""),44662.50952546296)</f>
        <v>44662.50953</v>
      </c>
      <c r="D4596" s="13">
        <f t="shared" si="1"/>
        <v>11</v>
      </c>
      <c r="E4596" s="13">
        <f t="shared" si="2"/>
        <v>12</v>
      </c>
    </row>
    <row r="4597">
      <c r="A4597" s="4" t="s">
        <v>4993</v>
      </c>
      <c r="B4597" s="16"/>
      <c r="C4597" s="12">
        <f>IFERROR(__xludf.DUMMYFUNCTION("""COMPUTED_VALUE"""),44662.50945601852)</f>
        <v>44662.50946</v>
      </c>
      <c r="D4597" s="13">
        <f t="shared" si="1"/>
        <v>11</v>
      </c>
      <c r="E4597" s="13">
        <f t="shared" si="2"/>
        <v>12</v>
      </c>
    </row>
    <row r="4598">
      <c r="A4598" s="4" t="s">
        <v>4994</v>
      </c>
      <c r="B4598" s="16"/>
      <c r="C4598" s="12">
        <f>IFERROR(__xludf.DUMMYFUNCTION("""COMPUTED_VALUE"""),44662.509363425925)</f>
        <v>44662.50936</v>
      </c>
      <c r="D4598" s="13">
        <f t="shared" si="1"/>
        <v>11</v>
      </c>
      <c r="E4598" s="13">
        <f t="shared" si="2"/>
        <v>12</v>
      </c>
    </row>
    <row r="4599">
      <c r="A4599" s="4" t="s">
        <v>4995</v>
      </c>
      <c r="B4599" s="16"/>
      <c r="C4599" s="12">
        <f>IFERROR(__xludf.DUMMYFUNCTION("""COMPUTED_VALUE"""),44662.50934027778)</f>
        <v>44662.50934</v>
      </c>
      <c r="D4599" s="13">
        <f t="shared" si="1"/>
        <v>11</v>
      </c>
      <c r="E4599" s="13">
        <f t="shared" si="2"/>
        <v>12</v>
      </c>
    </row>
    <row r="4600">
      <c r="A4600" s="4" t="s">
        <v>4996</v>
      </c>
      <c r="B4600" s="16"/>
      <c r="C4600" s="12">
        <f>IFERROR(__xludf.DUMMYFUNCTION("""COMPUTED_VALUE"""),44662.50929398148)</f>
        <v>44662.50929</v>
      </c>
      <c r="D4600" s="13">
        <f t="shared" si="1"/>
        <v>11</v>
      </c>
      <c r="E4600" s="13">
        <f t="shared" si="2"/>
        <v>12</v>
      </c>
    </row>
    <row r="4601">
      <c r="A4601" s="4" t="s">
        <v>4997</v>
      </c>
      <c r="B4601" s="16"/>
      <c r="C4601" s="12">
        <f>IFERROR(__xludf.DUMMYFUNCTION("""COMPUTED_VALUE"""),44662.50923611111)</f>
        <v>44662.50924</v>
      </c>
      <c r="D4601" s="13">
        <f t="shared" si="1"/>
        <v>11</v>
      </c>
      <c r="E4601" s="13">
        <f t="shared" si="2"/>
        <v>12</v>
      </c>
    </row>
    <row r="4602">
      <c r="A4602" s="4" t="s">
        <v>4998</v>
      </c>
      <c r="B4602" s="4" t="s">
        <v>4091</v>
      </c>
      <c r="C4602" s="12">
        <f>IFERROR(__xludf.DUMMYFUNCTION("""COMPUTED_VALUE"""),44662.50918981481)</f>
        <v>44662.50919</v>
      </c>
      <c r="D4602" s="13">
        <f t="shared" si="1"/>
        <v>11</v>
      </c>
      <c r="E4602" s="13">
        <f t="shared" si="2"/>
        <v>12</v>
      </c>
    </row>
    <row r="4603">
      <c r="A4603" s="4" t="s">
        <v>4999</v>
      </c>
      <c r="B4603" s="16"/>
      <c r="C4603" s="12">
        <f>IFERROR(__xludf.DUMMYFUNCTION("""COMPUTED_VALUE"""),44662.5090625)</f>
        <v>44662.50906</v>
      </c>
      <c r="D4603" s="13">
        <f t="shared" si="1"/>
        <v>11</v>
      </c>
      <c r="E4603" s="13">
        <f t="shared" si="2"/>
        <v>12</v>
      </c>
    </row>
    <row r="4604">
      <c r="A4604" s="4" t="s">
        <v>5000</v>
      </c>
      <c r="B4604" s="16"/>
      <c r="C4604" s="12">
        <f>IFERROR(__xludf.DUMMYFUNCTION("""COMPUTED_VALUE"""),44662.508993055555)</f>
        <v>44662.50899</v>
      </c>
      <c r="D4604" s="13">
        <f t="shared" si="1"/>
        <v>11</v>
      </c>
      <c r="E4604" s="13">
        <f t="shared" si="2"/>
        <v>12</v>
      </c>
    </row>
    <row r="4605">
      <c r="A4605" s="4" t="s">
        <v>5001</v>
      </c>
      <c r="B4605" s="4" t="s">
        <v>5002</v>
      </c>
      <c r="C4605" s="12">
        <f>IFERROR(__xludf.DUMMYFUNCTION("""COMPUTED_VALUE"""),44662.50895833333)</f>
        <v>44662.50896</v>
      </c>
      <c r="D4605" s="13">
        <f t="shared" si="1"/>
        <v>11</v>
      </c>
      <c r="E4605" s="13">
        <f t="shared" si="2"/>
        <v>12</v>
      </c>
    </row>
    <row r="4606">
      <c r="A4606" s="4" t="s">
        <v>5003</v>
      </c>
      <c r="B4606" s="16"/>
      <c r="C4606" s="12">
        <f>IFERROR(__xludf.DUMMYFUNCTION("""COMPUTED_VALUE"""),44662.50887731481)</f>
        <v>44662.50888</v>
      </c>
      <c r="D4606" s="13">
        <f t="shared" si="1"/>
        <v>11</v>
      </c>
      <c r="E4606" s="13">
        <f t="shared" si="2"/>
        <v>12</v>
      </c>
    </row>
    <row r="4607">
      <c r="A4607" s="4" t="s">
        <v>5004</v>
      </c>
      <c r="B4607" s="16"/>
      <c r="C4607" s="12">
        <f>IFERROR(__xludf.DUMMYFUNCTION("""COMPUTED_VALUE"""),44662.50841435185)</f>
        <v>44662.50841</v>
      </c>
      <c r="D4607" s="13">
        <f t="shared" si="1"/>
        <v>11</v>
      </c>
      <c r="E4607" s="13">
        <f t="shared" si="2"/>
        <v>12</v>
      </c>
    </row>
    <row r="4608">
      <c r="A4608" s="4" t="s">
        <v>5005</v>
      </c>
      <c r="B4608" s="16"/>
      <c r="C4608" s="12">
        <f>IFERROR(__xludf.DUMMYFUNCTION("""COMPUTED_VALUE"""),44662.50828703703)</f>
        <v>44662.50829</v>
      </c>
      <c r="D4608" s="13">
        <f t="shared" si="1"/>
        <v>11</v>
      </c>
      <c r="E4608" s="13">
        <f t="shared" si="2"/>
        <v>12</v>
      </c>
    </row>
    <row r="4609">
      <c r="A4609" s="4" t="s">
        <v>5006</v>
      </c>
      <c r="B4609" s="16"/>
      <c r="C4609" s="12">
        <f>IFERROR(__xludf.DUMMYFUNCTION("""COMPUTED_VALUE"""),44662.50810185185)</f>
        <v>44662.5081</v>
      </c>
      <c r="D4609" s="13">
        <f t="shared" si="1"/>
        <v>11</v>
      </c>
      <c r="E4609" s="13">
        <f t="shared" si="2"/>
        <v>12</v>
      </c>
    </row>
    <row r="4610">
      <c r="A4610" s="4" t="s">
        <v>5007</v>
      </c>
      <c r="B4610" s="4" t="s">
        <v>5008</v>
      </c>
      <c r="C4610" s="12">
        <f>IFERROR(__xludf.DUMMYFUNCTION("""COMPUTED_VALUE"""),44662.507997685185)</f>
        <v>44662.508</v>
      </c>
      <c r="D4610" s="13">
        <f t="shared" si="1"/>
        <v>11</v>
      </c>
      <c r="E4610" s="13">
        <f t="shared" si="2"/>
        <v>12</v>
      </c>
    </row>
    <row r="4611">
      <c r="A4611" s="4" t="s">
        <v>5009</v>
      </c>
      <c r="B4611" s="4" t="s">
        <v>5008</v>
      </c>
      <c r="C4611" s="12">
        <f>IFERROR(__xludf.DUMMYFUNCTION("""COMPUTED_VALUE"""),44662.50785879629)</f>
        <v>44662.50786</v>
      </c>
      <c r="D4611" s="13">
        <f t="shared" si="1"/>
        <v>11</v>
      </c>
      <c r="E4611" s="13">
        <f t="shared" si="2"/>
        <v>12</v>
      </c>
    </row>
    <row r="4612">
      <c r="A4612" s="4" t="s">
        <v>5010</v>
      </c>
      <c r="B4612" s="16"/>
      <c r="C4612" s="12">
        <f>IFERROR(__xludf.DUMMYFUNCTION("""COMPUTED_VALUE"""),44662.50765046296)</f>
        <v>44662.50765</v>
      </c>
      <c r="D4612" s="13">
        <f t="shared" si="1"/>
        <v>11</v>
      </c>
      <c r="E4612" s="13">
        <f t="shared" si="2"/>
        <v>12</v>
      </c>
    </row>
    <row r="4613">
      <c r="A4613" s="4" t="s">
        <v>5011</v>
      </c>
      <c r="B4613" s="4" t="s">
        <v>5012</v>
      </c>
      <c r="C4613" s="12">
        <f>IFERROR(__xludf.DUMMYFUNCTION("""COMPUTED_VALUE"""),44662.50760416666)</f>
        <v>44662.5076</v>
      </c>
      <c r="D4613" s="13">
        <f t="shared" si="1"/>
        <v>11</v>
      </c>
      <c r="E4613" s="13">
        <f t="shared" si="2"/>
        <v>12</v>
      </c>
    </row>
    <row r="4614">
      <c r="A4614" s="4" t="s">
        <v>5013</v>
      </c>
      <c r="B4614" s="4" t="s">
        <v>5012</v>
      </c>
      <c r="C4614" s="12">
        <f>IFERROR(__xludf.DUMMYFUNCTION("""COMPUTED_VALUE"""),44662.507581018515)</f>
        <v>44662.50758</v>
      </c>
      <c r="D4614" s="13">
        <f t="shared" si="1"/>
        <v>11</v>
      </c>
      <c r="E4614" s="13">
        <f t="shared" si="2"/>
        <v>12</v>
      </c>
    </row>
    <row r="4615">
      <c r="A4615" s="4" t="s">
        <v>5014</v>
      </c>
      <c r="B4615" s="4" t="s">
        <v>5012</v>
      </c>
      <c r="C4615" s="12">
        <f>IFERROR(__xludf.DUMMYFUNCTION("""COMPUTED_VALUE"""),44662.50755787037)</f>
        <v>44662.50756</v>
      </c>
      <c r="D4615" s="13">
        <f t="shared" si="1"/>
        <v>11</v>
      </c>
      <c r="E4615" s="13">
        <f t="shared" si="2"/>
        <v>12</v>
      </c>
    </row>
    <row r="4616">
      <c r="A4616" s="4" t="s">
        <v>5015</v>
      </c>
      <c r="B4616" s="16"/>
      <c r="C4616" s="12">
        <f>IFERROR(__xludf.DUMMYFUNCTION("""COMPUTED_VALUE"""),44662.50748842592)</f>
        <v>44662.50749</v>
      </c>
      <c r="D4616" s="13">
        <f t="shared" si="1"/>
        <v>11</v>
      </c>
      <c r="E4616" s="13">
        <f t="shared" si="2"/>
        <v>12</v>
      </c>
    </row>
    <row r="4617">
      <c r="A4617" s="4" t="s">
        <v>5016</v>
      </c>
      <c r="B4617" s="4" t="s">
        <v>5017</v>
      </c>
      <c r="C4617" s="12">
        <f>IFERROR(__xludf.DUMMYFUNCTION("""COMPUTED_VALUE"""),44662.50719907407)</f>
        <v>44662.5072</v>
      </c>
      <c r="D4617" s="13">
        <f t="shared" si="1"/>
        <v>11</v>
      </c>
      <c r="E4617" s="13">
        <f t="shared" si="2"/>
        <v>12</v>
      </c>
    </row>
    <row r="4618">
      <c r="A4618" s="4" t="s">
        <v>5018</v>
      </c>
      <c r="B4618" s="4" t="s">
        <v>5017</v>
      </c>
      <c r="C4618" s="12">
        <f>IFERROR(__xludf.DUMMYFUNCTION("""COMPUTED_VALUE"""),44662.50712962963)</f>
        <v>44662.50713</v>
      </c>
      <c r="D4618" s="13">
        <f t="shared" si="1"/>
        <v>11</v>
      </c>
      <c r="E4618" s="13">
        <f t="shared" si="2"/>
        <v>12</v>
      </c>
    </row>
    <row r="4619">
      <c r="A4619" s="4" t="s">
        <v>5019</v>
      </c>
      <c r="B4619" s="4" t="s">
        <v>5017</v>
      </c>
      <c r="C4619" s="12">
        <f>IFERROR(__xludf.DUMMYFUNCTION("""COMPUTED_VALUE"""),44662.50710648148)</f>
        <v>44662.50711</v>
      </c>
      <c r="D4619" s="13">
        <f t="shared" si="1"/>
        <v>11</v>
      </c>
      <c r="E4619" s="13">
        <f t="shared" si="2"/>
        <v>12</v>
      </c>
    </row>
    <row r="4620">
      <c r="A4620" s="4" t="s">
        <v>5020</v>
      </c>
      <c r="B4620" s="16"/>
      <c r="C4620" s="12">
        <f>IFERROR(__xludf.DUMMYFUNCTION("""COMPUTED_VALUE"""),44662.50704861111)</f>
        <v>44662.50705</v>
      </c>
      <c r="D4620" s="13">
        <f t="shared" si="1"/>
        <v>11</v>
      </c>
      <c r="E4620" s="13">
        <f t="shared" si="2"/>
        <v>12</v>
      </c>
    </row>
    <row r="4621">
      <c r="A4621" s="4" t="s">
        <v>5021</v>
      </c>
      <c r="B4621" s="16"/>
      <c r="C4621" s="12">
        <f>IFERROR(__xludf.DUMMYFUNCTION("""COMPUTED_VALUE"""),44662.50699074074)</f>
        <v>44662.50699</v>
      </c>
      <c r="D4621" s="13">
        <f t="shared" si="1"/>
        <v>11</v>
      </c>
      <c r="E4621" s="13">
        <f t="shared" si="2"/>
        <v>12</v>
      </c>
    </row>
    <row r="4622">
      <c r="A4622" s="4" t="s">
        <v>5022</v>
      </c>
      <c r="B4622" s="4" t="s">
        <v>5017</v>
      </c>
      <c r="C4622" s="12">
        <f>IFERROR(__xludf.DUMMYFUNCTION("""COMPUTED_VALUE"""),44662.50685185185)</f>
        <v>44662.50685</v>
      </c>
      <c r="D4622" s="13">
        <f t="shared" si="1"/>
        <v>11</v>
      </c>
      <c r="E4622" s="13">
        <f t="shared" si="2"/>
        <v>12</v>
      </c>
    </row>
    <row r="4623">
      <c r="A4623" s="4" t="s">
        <v>5023</v>
      </c>
      <c r="B4623" s="16"/>
      <c r="C4623" s="12">
        <f>IFERROR(__xludf.DUMMYFUNCTION("""COMPUTED_VALUE"""),44662.50677083333)</f>
        <v>44662.50677</v>
      </c>
      <c r="D4623" s="13">
        <f t="shared" si="1"/>
        <v>11</v>
      </c>
      <c r="E4623" s="13">
        <f t="shared" si="2"/>
        <v>12</v>
      </c>
    </row>
    <row r="4624">
      <c r="A4624" s="4" t="s">
        <v>5024</v>
      </c>
      <c r="B4624" s="4" t="s">
        <v>2490</v>
      </c>
      <c r="C4624" s="12">
        <f>IFERROR(__xludf.DUMMYFUNCTION("""COMPUTED_VALUE"""),44662.50673611111)</f>
        <v>44662.50674</v>
      </c>
      <c r="D4624" s="13">
        <f t="shared" si="1"/>
        <v>11</v>
      </c>
      <c r="E4624" s="13">
        <f t="shared" si="2"/>
        <v>12</v>
      </c>
    </row>
    <row r="4625">
      <c r="A4625" s="4" t="s">
        <v>5025</v>
      </c>
      <c r="B4625" s="16"/>
      <c r="C4625" s="12">
        <f>IFERROR(__xludf.DUMMYFUNCTION("""COMPUTED_VALUE"""),44662.50666666666)</f>
        <v>44662.50667</v>
      </c>
      <c r="D4625" s="13">
        <f t="shared" si="1"/>
        <v>11</v>
      </c>
      <c r="E4625" s="13">
        <f t="shared" si="2"/>
        <v>12</v>
      </c>
    </row>
    <row r="4626">
      <c r="A4626" s="4" t="s">
        <v>5026</v>
      </c>
      <c r="B4626" s="16"/>
      <c r="C4626" s="12">
        <f>IFERROR(__xludf.DUMMYFUNCTION("""COMPUTED_VALUE"""),44662.50660879629)</f>
        <v>44662.50661</v>
      </c>
      <c r="D4626" s="13">
        <f t="shared" si="1"/>
        <v>11</v>
      </c>
      <c r="E4626" s="13">
        <f t="shared" si="2"/>
        <v>12</v>
      </c>
    </row>
    <row r="4627">
      <c r="A4627" s="4" t="s">
        <v>5027</v>
      </c>
      <c r="B4627" s="16"/>
      <c r="C4627" s="12">
        <f>IFERROR(__xludf.DUMMYFUNCTION("""COMPUTED_VALUE"""),44662.50655092592)</f>
        <v>44662.50655</v>
      </c>
      <c r="D4627" s="13">
        <f t="shared" si="1"/>
        <v>11</v>
      </c>
      <c r="E4627" s="13">
        <f t="shared" si="2"/>
        <v>12</v>
      </c>
    </row>
    <row r="4628">
      <c r="A4628" s="4" t="s">
        <v>5028</v>
      </c>
      <c r="B4628" s="4" t="s">
        <v>1235</v>
      </c>
      <c r="C4628" s="12">
        <f>IFERROR(__xludf.DUMMYFUNCTION("""COMPUTED_VALUE"""),44662.5065162037)</f>
        <v>44662.50652</v>
      </c>
      <c r="D4628" s="13">
        <f t="shared" si="1"/>
        <v>11</v>
      </c>
      <c r="E4628" s="13">
        <f t="shared" si="2"/>
        <v>12</v>
      </c>
    </row>
    <row r="4629">
      <c r="A4629" s="4" t="s">
        <v>5029</v>
      </c>
      <c r="B4629" s="16"/>
      <c r="C4629" s="12">
        <f>IFERROR(__xludf.DUMMYFUNCTION("""COMPUTED_VALUE"""),44662.50645833333)</f>
        <v>44662.50646</v>
      </c>
      <c r="D4629" s="13">
        <f t="shared" si="1"/>
        <v>11</v>
      </c>
      <c r="E4629" s="13">
        <f t="shared" si="2"/>
        <v>12</v>
      </c>
    </row>
    <row r="4630">
      <c r="A4630" s="4" t="s">
        <v>5030</v>
      </c>
      <c r="B4630" s="16"/>
      <c r="C4630" s="12">
        <f>IFERROR(__xludf.DUMMYFUNCTION("""COMPUTED_VALUE"""),44662.50634259259)</f>
        <v>44662.50634</v>
      </c>
      <c r="D4630" s="13">
        <f t="shared" si="1"/>
        <v>11</v>
      </c>
      <c r="E4630" s="13">
        <f t="shared" si="2"/>
        <v>12</v>
      </c>
    </row>
    <row r="4631">
      <c r="A4631" s="4" t="s">
        <v>5031</v>
      </c>
      <c r="B4631" s="16"/>
      <c r="C4631" s="12">
        <f>IFERROR(__xludf.DUMMYFUNCTION("""COMPUTED_VALUE"""),44662.506319444445)</f>
        <v>44662.50632</v>
      </c>
      <c r="D4631" s="13">
        <f t="shared" si="1"/>
        <v>11</v>
      </c>
      <c r="E4631" s="13">
        <f t="shared" si="2"/>
        <v>12</v>
      </c>
    </row>
    <row r="4632">
      <c r="A4632" s="4" t="s">
        <v>5032</v>
      </c>
      <c r="B4632" s="16"/>
      <c r="C4632" s="12">
        <f>IFERROR(__xludf.DUMMYFUNCTION("""COMPUTED_VALUE"""),44662.506215277775)</f>
        <v>44662.50622</v>
      </c>
      <c r="D4632" s="13">
        <f t="shared" si="1"/>
        <v>11</v>
      </c>
      <c r="E4632" s="13">
        <f t="shared" si="2"/>
        <v>12</v>
      </c>
    </row>
    <row r="4633">
      <c r="A4633" s="4" t="s">
        <v>5033</v>
      </c>
      <c r="B4633" s="16"/>
      <c r="C4633" s="12">
        <f>IFERROR(__xludf.DUMMYFUNCTION("""COMPUTED_VALUE"""),44662.506157407406)</f>
        <v>44662.50616</v>
      </c>
      <c r="D4633" s="13">
        <f t="shared" si="1"/>
        <v>11</v>
      </c>
      <c r="E4633" s="13">
        <f t="shared" si="2"/>
        <v>12</v>
      </c>
    </row>
    <row r="4634">
      <c r="A4634" s="4" t="s">
        <v>5034</v>
      </c>
      <c r="B4634" s="4" t="s">
        <v>5035</v>
      </c>
      <c r="C4634" s="12">
        <f>IFERROR(__xludf.DUMMYFUNCTION("""COMPUTED_VALUE"""),44662.50585648148)</f>
        <v>44662.50586</v>
      </c>
      <c r="D4634" s="13">
        <f t="shared" si="1"/>
        <v>11</v>
      </c>
      <c r="E4634" s="13">
        <f t="shared" si="2"/>
        <v>12</v>
      </c>
    </row>
    <row r="4635">
      <c r="A4635" s="4" t="s">
        <v>5036</v>
      </c>
      <c r="B4635" s="4" t="s">
        <v>5037</v>
      </c>
      <c r="C4635" s="12">
        <f>IFERROR(__xludf.DUMMYFUNCTION("""COMPUTED_VALUE"""),44662.50552083333)</f>
        <v>44662.50552</v>
      </c>
      <c r="D4635" s="13">
        <f t="shared" si="1"/>
        <v>11</v>
      </c>
      <c r="E4635" s="13">
        <f t="shared" si="2"/>
        <v>12</v>
      </c>
    </row>
    <row r="4636">
      <c r="A4636" s="4" t="s">
        <v>5038</v>
      </c>
      <c r="B4636" s="4" t="s">
        <v>5037</v>
      </c>
      <c r="C4636" s="12">
        <f>IFERROR(__xludf.DUMMYFUNCTION("""COMPUTED_VALUE"""),44662.50541666667)</f>
        <v>44662.50542</v>
      </c>
      <c r="D4636" s="13">
        <f t="shared" si="1"/>
        <v>11</v>
      </c>
      <c r="E4636" s="13">
        <f t="shared" si="2"/>
        <v>12</v>
      </c>
    </row>
    <row r="4637">
      <c r="A4637" s="4" t="s">
        <v>5039</v>
      </c>
      <c r="B4637" s="4" t="s">
        <v>5037</v>
      </c>
      <c r="C4637" s="12">
        <f>IFERROR(__xludf.DUMMYFUNCTION("""COMPUTED_VALUE"""),44662.505381944444)</f>
        <v>44662.50538</v>
      </c>
      <c r="D4637" s="13">
        <f t="shared" si="1"/>
        <v>11</v>
      </c>
      <c r="E4637" s="13">
        <f t="shared" si="2"/>
        <v>12</v>
      </c>
    </row>
    <row r="4638">
      <c r="A4638" s="4" t="s">
        <v>5040</v>
      </c>
      <c r="B4638" s="4" t="s">
        <v>5037</v>
      </c>
      <c r="C4638" s="12">
        <f>IFERROR(__xludf.DUMMYFUNCTION("""COMPUTED_VALUE"""),44662.50537037037)</f>
        <v>44662.50537</v>
      </c>
      <c r="D4638" s="13">
        <f t="shared" si="1"/>
        <v>11</v>
      </c>
      <c r="E4638" s="13">
        <f t="shared" si="2"/>
        <v>12</v>
      </c>
    </row>
    <row r="4639">
      <c r="A4639" s="4" t="s">
        <v>5041</v>
      </c>
      <c r="B4639" s="4" t="s">
        <v>5037</v>
      </c>
      <c r="C4639" s="12">
        <f>IFERROR(__xludf.DUMMYFUNCTION("""COMPUTED_VALUE"""),44662.5052662037)</f>
        <v>44662.50527</v>
      </c>
      <c r="D4639" s="13">
        <f t="shared" si="1"/>
        <v>11</v>
      </c>
      <c r="E4639" s="13">
        <f t="shared" si="2"/>
        <v>12</v>
      </c>
    </row>
    <row r="4640">
      <c r="A4640" s="4" t="s">
        <v>5042</v>
      </c>
      <c r="B4640" s="4" t="s">
        <v>5043</v>
      </c>
      <c r="C4640" s="12">
        <f>IFERROR(__xludf.DUMMYFUNCTION("""COMPUTED_VALUE"""),44662.50282407407)</f>
        <v>44662.50282</v>
      </c>
      <c r="D4640" s="13">
        <f t="shared" si="1"/>
        <v>11</v>
      </c>
      <c r="E4640" s="13">
        <f t="shared" si="2"/>
        <v>12</v>
      </c>
    </row>
    <row r="4641">
      <c r="A4641" s="4" t="s">
        <v>5044</v>
      </c>
      <c r="B4641" s="4" t="s">
        <v>5043</v>
      </c>
      <c r="C4641" s="12">
        <f>IFERROR(__xludf.DUMMYFUNCTION("""COMPUTED_VALUE"""),44662.50261574074)</f>
        <v>44662.50262</v>
      </c>
      <c r="D4641" s="13">
        <f t="shared" si="1"/>
        <v>11</v>
      </c>
      <c r="E4641" s="13">
        <f t="shared" si="2"/>
        <v>12</v>
      </c>
    </row>
    <row r="4642">
      <c r="A4642" s="4" t="s">
        <v>5045</v>
      </c>
      <c r="B4642" s="4" t="s">
        <v>5046</v>
      </c>
      <c r="C4642" s="12">
        <f>IFERROR(__xludf.DUMMYFUNCTION("""COMPUTED_VALUE"""),44662.50179398148)</f>
        <v>44662.50179</v>
      </c>
      <c r="D4642" s="13">
        <f t="shared" si="1"/>
        <v>11</v>
      </c>
      <c r="E4642" s="13">
        <f t="shared" si="2"/>
        <v>12</v>
      </c>
    </row>
    <row r="4643">
      <c r="A4643" s="4" t="s">
        <v>5047</v>
      </c>
      <c r="B4643" s="4" t="s">
        <v>5048</v>
      </c>
      <c r="C4643" s="12">
        <f>IFERROR(__xludf.DUMMYFUNCTION("""COMPUTED_VALUE"""),44662.49965277778)</f>
        <v>44662.49965</v>
      </c>
      <c r="D4643" s="13">
        <f t="shared" si="1"/>
        <v>11</v>
      </c>
      <c r="E4643" s="13">
        <f t="shared" si="2"/>
        <v>11</v>
      </c>
    </row>
    <row r="4644">
      <c r="A4644" s="4" t="s">
        <v>5049</v>
      </c>
      <c r="B4644" s="4" t="s">
        <v>5050</v>
      </c>
      <c r="C4644" s="12">
        <f>IFERROR(__xludf.DUMMYFUNCTION("""COMPUTED_VALUE"""),44662.49910879629)</f>
        <v>44662.49911</v>
      </c>
      <c r="D4644" s="13">
        <f t="shared" si="1"/>
        <v>11</v>
      </c>
      <c r="E4644" s="13">
        <f t="shared" si="2"/>
        <v>11</v>
      </c>
    </row>
    <row r="4645">
      <c r="A4645" s="4" t="s">
        <v>5051</v>
      </c>
      <c r="B4645" s="16"/>
      <c r="C4645" s="12">
        <f>IFERROR(__xludf.DUMMYFUNCTION("""COMPUTED_VALUE"""),44662.498715277776)</f>
        <v>44662.49872</v>
      </c>
      <c r="D4645" s="13">
        <f t="shared" si="1"/>
        <v>11</v>
      </c>
      <c r="E4645" s="13">
        <f t="shared" si="2"/>
        <v>11</v>
      </c>
    </row>
    <row r="4646">
      <c r="A4646" s="4" t="s">
        <v>5052</v>
      </c>
      <c r="B4646" s="16"/>
      <c r="C4646" s="12">
        <f>IFERROR(__xludf.DUMMYFUNCTION("""COMPUTED_VALUE"""),44662.49854166667)</f>
        <v>44662.49854</v>
      </c>
      <c r="D4646" s="13">
        <f t="shared" si="1"/>
        <v>11</v>
      </c>
      <c r="E4646" s="13">
        <f t="shared" si="2"/>
        <v>11</v>
      </c>
    </row>
    <row r="4647">
      <c r="A4647" s="4" t="s">
        <v>5053</v>
      </c>
      <c r="B4647" s="16"/>
      <c r="C4647" s="12">
        <f>IFERROR(__xludf.DUMMYFUNCTION("""COMPUTED_VALUE"""),44662.49848379629)</f>
        <v>44662.49848</v>
      </c>
      <c r="D4647" s="13">
        <f t="shared" si="1"/>
        <v>11</v>
      </c>
      <c r="E4647" s="13">
        <f t="shared" si="2"/>
        <v>11</v>
      </c>
    </row>
    <row r="4648">
      <c r="A4648" s="4" t="s">
        <v>5054</v>
      </c>
      <c r="B4648" s="4" t="s">
        <v>5055</v>
      </c>
      <c r="C4648" s="12">
        <f>IFERROR(__xludf.DUMMYFUNCTION("""COMPUTED_VALUE"""),44662.49832175926)</f>
        <v>44662.49832</v>
      </c>
      <c r="D4648" s="13">
        <f t="shared" si="1"/>
        <v>11</v>
      </c>
      <c r="E4648" s="13">
        <f t="shared" si="2"/>
        <v>11</v>
      </c>
    </row>
    <row r="4649">
      <c r="A4649" s="4" t="s">
        <v>5056</v>
      </c>
      <c r="B4649" s="4" t="s">
        <v>5057</v>
      </c>
      <c r="C4649" s="12">
        <f>IFERROR(__xludf.DUMMYFUNCTION("""COMPUTED_VALUE"""),44662.49828703704)</f>
        <v>44662.49829</v>
      </c>
      <c r="D4649" s="13">
        <f t="shared" si="1"/>
        <v>11</v>
      </c>
      <c r="E4649" s="13">
        <f t="shared" si="2"/>
        <v>11</v>
      </c>
    </row>
    <row r="4650">
      <c r="A4650" s="4" t="s">
        <v>5058</v>
      </c>
      <c r="B4650" s="4" t="s">
        <v>5057</v>
      </c>
      <c r="C4650" s="12">
        <f>IFERROR(__xludf.DUMMYFUNCTION("""COMPUTED_VALUE"""),44662.49822916667)</f>
        <v>44662.49823</v>
      </c>
      <c r="D4650" s="13">
        <f t="shared" si="1"/>
        <v>11</v>
      </c>
      <c r="E4650" s="13">
        <f t="shared" si="2"/>
        <v>11</v>
      </c>
    </row>
    <row r="4651">
      <c r="A4651" s="4" t="s">
        <v>5059</v>
      </c>
      <c r="B4651" s="4" t="s">
        <v>5060</v>
      </c>
      <c r="C4651" s="12">
        <f>IFERROR(__xludf.DUMMYFUNCTION("""COMPUTED_VALUE"""),44662.49805555555)</f>
        <v>44662.49806</v>
      </c>
      <c r="D4651" s="13">
        <f t="shared" si="1"/>
        <v>11</v>
      </c>
      <c r="E4651" s="13">
        <f t="shared" si="2"/>
        <v>11</v>
      </c>
    </row>
    <row r="4652">
      <c r="A4652" s="4" t="s">
        <v>5061</v>
      </c>
      <c r="B4652" s="4" t="s">
        <v>5060</v>
      </c>
      <c r="C4652" s="12">
        <f>IFERROR(__xludf.DUMMYFUNCTION("""COMPUTED_VALUE"""),44662.498032407406)</f>
        <v>44662.49803</v>
      </c>
      <c r="D4652" s="13">
        <f t="shared" si="1"/>
        <v>11</v>
      </c>
      <c r="E4652" s="13">
        <f t="shared" si="2"/>
        <v>11</v>
      </c>
    </row>
    <row r="4653">
      <c r="A4653" s="4" t="s">
        <v>5062</v>
      </c>
      <c r="B4653" s="4" t="s">
        <v>5063</v>
      </c>
      <c r="C4653" s="12">
        <f>IFERROR(__xludf.DUMMYFUNCTION("""COMPUTED_VALUE"""),44662.4978125)</f>
        <v>44662.49781</v>
      </c>
      <c r="D4653" s="13">
        <f t="shared" si="1"/>
        <v>11</v>
      </c>
      <c r="E4653" s="13">
        <f t="shared" si="2"/>
        <v>11</v>
      </c>
    </row>
    <row r="4654">
      <c r="A4654" s="4" t="s">
        <v>5064</v>
      </c>
      <c r="B4654" s="4" t="s">
        <v>5060</v>
      </c>
      <c r="C4654" s="12">
        <f>IFERROR(__xludf.DUMMYFUNCTION("""COMPUTED_VALUE"""),44662.49774305555)</f>
        <v>44662.49774</v>
      </c>
      <c r="D4654" s="13">
        <f t="shared" si="1"/>
        <v>11</v>
      </c>
      <c r="E4654" s="13">
        <f t="shared" si="2"/>
        <v>11</v>
      </c>
    </row>
    <row r="4655">
      <c r="A4655" s="4" t="s">
        <v>5065</v>
      </c>
      <c r="B4655" s="4" t="s">
        <v>5066</v>
      </c>
      <c r="C4655" s="12">
        <f>IFERROR(__xludf.DUMMYFUNCTION("""COMPUTED_VALUE"""),44662.49773148148)</f>
        <v>44662.49773</v>
      </c>
      <c r="D4655" s="13">
        <f t="shared" si="1"/>
        <v>11</v>
      </c>
      <c r="E4655" s="13">
        <f t="shared" si="2"/>
        <v>11</v>
      </c>
    </row>
    <row r="4656">
      <c r="A4656" s="4" t="s">
        <v>5067</v>
      </c>
      <c r="B4656" s="4" t="s">
        <v>5068</v>
      </c>
      <c r="C4656" s="12">
        <f>IFERROR(__xludf.DUMMYFUNCTION("""COMPUTED_VALUE"""),44662.497199074074)</f>
        <v>44662.4972</v>
      </c>
      <c r="D4656" s="13">
        <f t="shared" si="1"/>
        <v>11</v>
      </c>
      <c r="E4656" s="13">
        <f t="shared" si="2"/>
        <v>11</v>
      </c>
    </row>
    <row r="4657">
      <c r="A4657" s="4" t="s">
        <v>5069</v>
      </c>
      <c r="B4657" s="16"/>
      <c r="C4657" s="12">
        <f>IFERROR(__xludf.DUMMYFUNCTION("""COMPUTED_VALUE"""),44662.49711805555)</f>
        <v>44662.49712</v>
      </c>
      <c r="D4657" s="13">
        <f t="shared" si="1"/>
        <v>11</v>
      </c>
      <c r="E4657" s="13">
        <f t="shared" si="2"/>
        <v>11</v>
      </c>
    </row>
    <row r="4658">
      <c r="A4658" s="4" t="s">
        <v>5070</v>
      </c>
      <c r="B4658" s="16"/>
      <c r="C4658" s="12">
        <f>IFERROR(__xludf.DUMMYFUNCTION("""COMPUTED_VALUE"""),44662.49706018518)</f>
        <v>44662.49706</v>
      </c>
      <c r="D4658" s="13">
        <f t="shared" si="1"/>
        <v>11</v>
      </c>
      <c r="E4658" s="13">
        <f t="shared" si="2"/>
        <v>11</v>
      </c>
    </row>
    <row r="4659">
      <c r="A4659" s="4" t="s">
        <v>5071</v>
      </c>
      <c r="B4659" s="4" t="s">
        <v>5072</v>
      </c>
      <c r="C4659" s="12">
        <f>IFERROR(__xludf.DUMMYFUNCTION("""COMPUTED_VALUE"""),44662.49701388889)</f>
        <v>44662.49701</v>
      </c>
      <c r="D4659" s="13">
        <f t="shared" si="1"/>
        <v>11</v>
      </c>
      <c r="E4659" s="13">
        <f t="shared" si="2"/>
        <v>11</v>
      </c>
    </row>
    <row r="4660">
      <c r="A4660" s="4" t="s">
        <v>5073</v>
      </c>
      <c r="B4660" s="4" t="s">
        <v>5074</v>
      </c>
      <c r="C4660" s="12">
        <f>IFERROR(__xludf.DUMMYFUNCTION("""COMPUTED_VALUE"""),44662.494629629626)</f>
        <v>44662.49463</v>
      </c>
      <c r="D4660" s="13">
        <f t="shared" si="1"/>
        <v>11</v>
      </c>
      <c r="E4660" s="13">
        <f t="shared" si="2"/>
        <v>11</v>
      </c>
    </row>
    <row r="4661">
      <c r="A4661" s="4" t="s">
        <v>5075</v>
      </c>
      <c r="B4661" s="4" t="s">
        <v>5076</v>
      </c>
      <c r="C4661" s="12">
        <f>IFERROR(__xludf.DUMMYFUNCTION("""COMPUTED_VALUE"""),44662.49052083333)</f>
        <v>44662.49052</v>
      </c>
      <c r="D4661" s="13">
        <f t="shared" si="1"/>
        <v>11</v>
      </c>
      <c r="E4661" s="13">
        <f t="shared" si="2"/>
        <v>11</v>
      </c>
    </row>
    <row r="4662">
      <c r="A4662" s="4" t="s">
        <v>5077</v>
      </c>
      <c r="B4662" s="4" t="s">
        <v>5078</v>
      </c>
      <c r="C4662" s="12">
        <f>IFERROR(__xludf.DUMMYFUNCTION("""COMPUTED_VALUE"""),44662.49045138888)</f>
        <v>44662.49045</v>
      </c>
      <c r="D4662" s="13">
        <f t="shared" si="1"/>
        <v>11</v>
      </c>
      <c r="E4662" s="13">
        <f t="shared" si="2"/>
        <v>11</v>
      </c>
    </row>
    <row r="4663">
      <c r="A4663" s="4" t="s">
        <v>5079</v>
      </c>
      <c r="B4663" s="4" t="s">
        <v>5080</v>
      </c>
      <c r="C4663" s="12">
        <f>IFERROR(__xludf.DUMMYFUNCTION("""COMPUTED_VALUE"""),44662.48991898148)</f>
        <v>44662.48992</v>
      </c>
      <c r="D4663" s="13">
        <f t="shared" si="1"/>
        <v>11</v>
      </c>
      <c r="E4663" s="13">
        <f t="shared" si="2"/>
        <v>11</v>
      </c>
    </row>
    <row r="4664">
      <c r="A4664" s="4" t="s">
        <v>5081</v>
      </c>
      <c r="B4664" s="4" t="s">
        <v>264</v>
      </c>
      <c r="C4664" s="12">
        <f>IFERROR(__xludf.DUMMYFUNCTION("""COMPUTED_VALUE"""),44662.489861111106)</f>
        <v>44662.48986</v>
      </c>
      <c r="D4664" s="13">
        <f t="shared" si="1"/>
        <v>11</v>
      </c>
      <c r="E4664" s="13">
        <f t="shared" si="2"/>
        <v>11</v>
      </c>
    </row>
    <row r="4665">
      <c r="A4665" s="4" t="s">
        <v>5082</v>
      </c>
      <c r="B4665" s="4" t="s">
        <v>5076</v>
      </c>
      <c r="C4665" s="12">
        <f>IFERROR(__xludf.DUMMYFUNCTION("""COMPUTED_VALUE"""),44662.489594907405)</f>
        <v>44662.48959</v>
      </c>
      <c r="D4665" s="13">
        <f t="shared" si="1"/>
        <v>11</v>
      </c>
      <c r="E4665" s="13">
        <f t="shared" si="2"/>
        <v>11</v>
      </c>
    </row>
    <row r="4666">
      <c r="A4666" s="4" t="s">
        <v>5083</v>
      </c>
      <c r="B4666" s="4" t="s">
        <v>5084</v>
      </c>
      <c r="C4666" s="12">
        <f>IFERROR(__xludf.DUMMYFUNCTION("""COMPUTED_VALUE"""),44662.48951388889)</f>
        <v>44662.48951</v>
      </c>
      <c r="D4666" s="13">
        <f t="shared" si="1"/>
        <v>11</v>
      </c>
      <c r="E4666" s="13">
        <f t="shared" si="2"/>
        <v>11</v>
      </c>
    </row>
    <row r="4667">
      <c r="A4667" s="4" t="s">
        <v>5085</v>
      </c>
      <c r="B4667" s="4" t="s">
        <v>5084</v>
      </c>
      <c r="C4667" s="12">
        <f>IFERROR(__xludf.DUMMYFUNCTION("""COMPUTED_VALUE"""),44662.48947916667)</f>
        <v>44662.48948</v>
      </c>
      <c r="D4667" s="13">
        <f t="shared" si="1"/>
        <v>11</v>
      </c>
      <c r="E4667" s="13">
        <f t="shared" si="2"/>
        <v>11</v>
      </c>
    </row>
    <row r="4668">
      <c r="A4668" s="4" t="s">
        <v>5086</v>
      </c>
      <c r="B4668" s="16"/>
      <c r="C4668" s="12">
        <f>IFERROR(__xludf.DUMMYFUNCTION("""COMPUTED_VALUE"""),44662.48893518518)</f>
        <v>44662.48894</v>
      </c>
      <c r="D4668" s="13">
        <f t="shared" si="1"/>
        <v>11</v>
      </c>
      <c r="E4668" s="13">
        <f t="shared" si="2"/>
        <v>11</v>
      </c>
    </row>
    <row r="4669">
      <c r="A4669" s="4" t="s">
        <v>5087</v>
      </c>
      <c r="B4669" s="16"/>
      <c r="C4669" s="12">
        <f>IFERROR(__xludf.DUMMYFUNCTION("""COMPUTED_VALUE"""),44662.488912037035)</f>
        <v>44662.48891</v>
      </c>
      <c r="D4669" s="13">
        <f t="shared" si="1"/>
        <v>11</v>
      </c>
      <c r="E4669" s="13">
        <f t="shared" si="2"/>
        <v>11</v>
      </c>
    </row>
    <row r="4670">
      <c r="A4670" s="4" t="s">
        <v>5088</v>
      </c>
      <c r="B4670" s="16"/>
      <c r="C4670" s="12">
        <f>IFERROR(__xludf.DUMMYFUNCTION("""COMPUTED_VALUE"""),44662.48888888889)</f>
        <v>44662.48889</v>
      </c>
      <c r="D4670" s="13">
        <f t="shared" si="1"/>
        <v>11</v>
      </c>
      <c r="E4670" s="13">
        <f t="shared" si="2"/>
        <v>11</v>
      </c>
    </row>
    <row r="4671">
      <c r="A4671" s="4" t="s">
        <v>5089</v>
      </c>
      <c r="B4671" s="16"/>
      <c r="C4671" s="12">
        <f>IFERROR(__xludf.DUMMYFUNCTION("""COMPUTED_VALUE"""),44662.48881944444)</f>
        <v>44662.48882</v>
      </c>
      <c r="D4671" s="13">
        <f t="shared" si="1"/>
        <v>11</v>
      </c>
      <c r="E4671" s="13">
        <f t="shared" si="2"/>
        <v>11</v>
      </c>
    </row>
    <row r="4672">
      <c r="A4672" s="4" t="s">
        <v>5090</v>
      </c>
      <c r="B4672" s="4" t="s">
        <v>5076</v>
      </c>
      <c r="C4672" s="12">
        <f>IFERROR(__xludf.DUMMYFUNCTION("""COMPUTED_VALUE"""),44662.4887962963)</f>
        <v>44662.4888</v>
      </c>
      <c r="D4672" s="13">
        <f t="shared" si="1"/>
        <v>11</v>
      </c>
      <c r="E4672" s="13">
        <f t="shared" si="2"/>
        <v>11</v>
      </c>
    </row>
    <row r="4673">
      <c r="A4673" s="4" t="s">
        <v>5091</v>
      </c>
      <c r="B4673" s="4" t="s">
        <v>5076</v>
      </c>
      <c r="C4673" s="12">
        <f>IFERROR(__xludf.DUMMYFUNCTION("""COMPUTED_VALUE"""),44662.48864583333)</f>
        <v>44662.48865</v>
      </c>
      <c r="D4673" s="13">
        <f t="shared" si="1"/>
        <v>11</v>
      </c>
      <c r="E4673" s="13">
        <f t="shared" si="2"/>
        <v>11</v>
      </c>
    </row>
    <row r="4674">
      <c r="A4674" s="4" t="s">
        <v>5092</v>
      </c>
      <c r="B4674" s="4" t="s">
        <v>5093</v>
      </c>
      <c r="C4674" s="12">
        <f>IFERROR(__xludf.DUMMYFUNCTION("""COMPUTED_VALUE"""),44662.48851851852)</f>
        <v>44662.48852</v>
      </c>
      <c r="D4674" s="13">
        <f t="shared" si="1"/>
        <v>11</v>
      </c>
      <c r="E4674" s="13">
        <f t="shared" si="2"/>
        <v>11</v>
      </c>
    </row>
    <row r="4675">
      <c r="A4675" s="4" t="s">
        <v>5094</v>
      </c>
      <c r="B4675" s="16"/>
      <c r="C4675" s="12">
        <f>IFERROR(__xludf.DUMMYFUNCTION("""COMPUTED_VALUE"""),44662.487488425926)</f>
        <v>44662.48749</v>
      </c>
      <c r="D4675" s="13">
        <f t="shared" si="1"/>
        <v>11</v>
      </c>
      <c r="E4675" s="13">
        <f t="shared" si="2"/>
        <v>11</v>
      </c>
    </row>
    <row r="4676">
      <c r="A4676" s="4" t="s">
        <v>5095</v>
      </c>
      <c r="B4676" s="4" t="s">
        <v>5096</v>
      </c>
      <c r="C4676" s="12">
        <f>IFERROR(__xludf.DUMMYFUNCTION("""COMPUTED_VALUE"""),44662.48296296296)</f>
        <v>44662.48296</v>
      </c>
      <c r="D4676" s="13">
        <f t="shared" si="1"/>
        <v>11</v>
      </c>
      <c r="E4676" s="13">
        <f t="shared" si="2"/>
        <v>11</v>
      </c>
    </row>
    <row r="4677">
      <c r="A4677" s="4" t="s">
        <v>5097</v>
      </c>
      <c r="B4677" s="16"/>
      <c r="C4677" s="12">
        <f>IFERROR(__xludf.DUMMYFUNCTION("""COMPUTED_VALUE"""),44662.480740740735)</f>
        <v>44662.48074</v>
      </c>
      <c r="D4677" s="13">
        <f t="shared" si="1"/>
        <v>11</v>
      </c>
      <c r="E4677" s="13">
        <f t="shared" si="2"/>
        <v>11</v>
      </c>
    </row>
    <row r="4678">
      <c r="A4678" s="4" t="s">
        <v>5098</v>
      </c>
      <c r="B4678" s="4" t="s">
        <v>5099</v>
      </c>
      <c r="C4678" s="12">
        <f>IFERROR(__xludf.DUMMYFUNCTION("""COMPUTED_VALUE"""),44662.47731481481)</f>
        <v>44662.47731</v>
      </c>
      <c r="D4678" s="13">
        <f t="shared" si="1"/>
        <v>11</v>
      </c>
      <c r="E4678" s="13">
        <f t="shared" si="2"/>
        <v>11</v>
      </c>
    </row>
    <row r="4679">
      <c r="A4679" s="4" t="s">
        <v>5100</v>
      </c>
      <c r="B4679" s="16"/>
      <c r="C4679" s="12">
        <f>IFERROR(__xludf.DUMMYFUNCTION("""COMPUTED_VALUE"""),44662.47692129629)</f>
        <v>44662.47692</v>
      </c>
      <c r="D4679" s="13">
        <f t="shared" si="1"/>
        <v>11</v>
      </c>
      <c r="E4679" s="13">
        <f t="shared" si="2"/>
        <v>11</v>
      </c>
    </row>
    <row r="4680">
      <c r="A4680" s="4" t="s">
        <v>5101</v>
      </c>
      <c r="B4680" s="4" t="s">
        <v>5102</v>
      </c>
      <c r="C4680" s="12">
        <f>IFERROR(__xludf.DUMMYFUNCTION("""COMPUTED_VALUE"""),44662.47553240741)</f>
        <v>44662.47553</v>
      </c>
      <c r="D4680" s="13">
        <f t="shared" si="1"/>
        <v>11</v>
      </c>
      <c r="E4680" s="13">
        <f t="shared" si="2"/>
        <v>11</v>
      </c>
    </row>
    <row r="4681">
      <c r="A4681" s="4" t="s">
        <v>5103</v>
      </c>
      <c r="B4681" s="4" t="s">
        <v>5104</v>
      </c>
      <c r="C4681" s="12">
        <f>IFERROR(__xludf.DUMMYFUNCTION("""COMPUTED_VALUE"""),44662.475497685184)</f>
        <v>44662.4755</v>
      </c>
      <c r="D4681" s="13">
        <f t="shared" si="1"/>
        <v>11</v>
      </c>
      <c r="E4681" s="13">
        <f t="shared" si="2"/>
        <v>11</v>
      </c>
    </row>
    <row r="4682">
      <c r="A4682" s="4" t="s">
        <v>5105</v>
      </c>
      <c r="B4682" s="16"/>
      <c r="C4682" s="12">
        <f>IFERROR(__xludf.DUMMYFUNCTION("""COMPUTED_VALUE"""),44662.47456018518)</f>
        <v>44662.47456</v>
      </c>
      <c r="D4682" s="13">
        <f t="shared" si="1"/>
        <v>11</v>
      </c>
      <c r="E4682" s="13">
        <f t="shared" si="2"/>
        <v>11</v>
      </c>
    </row>
    <row r="4683">
      <c r="A4683" s="4" t="s">
        <v>5106</v>
      </c>
      <c r="B4683" s="4" t="s">
        <v>5107</v>
      </c>
      <c r="C4683" s="12">
        <f>IFERROR(__xludf.DUMMYFUNCTION("""COMPUTED_VALUE"""),44662.47332175926)</f>
        <v>44662.47332</v>
      </c>
      <c r="D4683" s="13">
        <f t="shared" si="1"/>
        <v>11</v>
      </c>
      <c r="E4683" s="13">
        <f t="shared" si="2"/>
        <v>11</v>
      </c>
    </row>
    <row r="4684">
      <c r="A4684" s="4" t="s">
        <v>5108</v>
      </c>
      <c r="B4684" s="16"/>
      <c r="C4684" s="12">
        <f>IFERROR(__xludf.DUMMYFUNCTION("""COMPUTED_VALUE"""),44662.47207175926)</f>
        <v>44662.47207</v>
      </c>
      <c r="D4684" s="13">
        <f t="shared" si="1"/>
        <v>11</v>
      </c>
      <c r="E4684" s="13">
        <f t="shared" si="2"/>
        <v>11</v>
      </c>
    </row>
    <row r="4685">
      <c r="A4685" s="4" t="s">
        <v>5109</v>
      </c>
      <c r="B4685" s="16"/>
      <c r="C4685" s="12">
        <f>IFERROR(__xludf.DUMMYFUNCTION("""COMPUTED_VALUE"""),44662.47196759259)</f>
        <v>44662.47197</v>
      </c>
      <c r="D4685" s="13">
        <f t="shared" si="1"/>
        <v>11</v>
      </c>
      <c r="E4685" s="13">
        <f t="shared" si="2"/>
        <v>11</v>
      </c>
    </row>
    <row r="4686">
      <c r="A4686" s="4" t="s">
        <v>5110</v>
      </c>
      <c r="B4686" s="16"/>
      <c r="C4686" s="12">
        <f>IFERROR(__xludf.DUMMYFUNCTION("""COMPUTED_VALUE"""),44662.471724537034)</f>
        <v>44662.47172</v>
      </c>
      <c r="D4686" s="13">
        <f t="shared" si="1"/>
        <v>11</v>
      </c>
      <c r="E4686" s="13">
        <f t="shared" si="2"/>
        <v>11</v>
      </c>
    </row>
    <row r="4687">
      <c r="A4687" s="4" t="s">
        <v>5111</v>
      </c>
      <c r="B4687" s="4" t="s">
        <v>5112</v>
      </c>
      <c r="C4687" s="12">
        <f>IFERROR(__xludf.DUMMYFUNCTION("""COMPUTED_VALUE"""),44662.47136574074)</f>
        <v>44662.47137</v>
      </c>
      <c r="D4687" s="13">
        <f t="shared" si="1"/>
        <v>11</v>
      </c>
      <c r="E4687" s="13">
        <f t="shared" si="2"/>
        <v>11</v>
      </c>
    </row>
    <row r="4688">
      <c r="A4688" s="4" t="s">
        <v>5113</v>
      </c>
      <c r="B4688" s="4" t="s">
        <v>5114</v>
      </c>
      <c r="C4688" s="12">
        <f>IFERROR(__xludf.DUMMYFUNCTION("""COMPUTED_VALUE"""),44662.47106481481)</f>
        <v>44662.47106</v>
      </c>
      <c r="D4688" s="13">
        <f t="shared" si="1"/>
        <v>11</v>
      </c>
      <c r="E4688" s="13">
        <f t="shared" si="2"/>
        <v>11</v>
      </c>
    </row>
    <row r="4689">
      <c r="A4689" s="4" t="s">
        <v>5115</v>
      </c>
      <c r="B4689" s="16"/>
      <c r="C4689" s="12">
        <f>IFERROR(__xludf.DUMMYFUNCTION("""COMPUTED_VALUE"""),44662.47099537037)</f>
        <v>44662.471</v>
      </c>
      <c r="D4689" s="13">
        <f t="shared" si="1"/>
        <v>11</v>
      </c>
      <c r="E4689" s="13">
        <f t="shared" si="2"/>
        <v>11</v>
      </c>
    </row>
    <row r="4690">
      <c r="A4690" s="4" t="s">
        <v>5116</v>
      </c>
      <c r="B4690" s="4" t="s">
        <v>5117</v>
      </c>
      <c r="C4690" s="12">
        <f>IFERROR(__xludf.DUMMYFUNCTION("""COMPUTED_VALUE"""),44662.470937499995)</f>
        <v>44662.47094</v>
      </c>
      <c r="D4690" s="13">
        <f t="shared" si="1"/>
        <v>11</v>
      </c>
      <c r="E4690" s="13">
        <f t="shared" si="2"/>
        <v>11</v>
      </c>
    </row>
    <row r="4691">
      <c r="A4691" s="4" t="s">
        <v>5118</v>
      </c>
      <c r="B4691" s="16"/>
      <c r="C4691" s="12">
        <f>IFERROR(__xludf.DUMMYFUNCTION("""COMPUTED_VALUE"""),44662.46969907407)</f>
        <v>44662.4697</v>
      </c>
      <c r="D4691" s="13">
        <f t="shared" si="1"/>
        <v>11</v>
      </c>
      <c r="E4691" s="13">
        <f t="shared" si="2"/>
        <v>11</v>
      </c>
    </row>
    <row r="4692">
      <c r="A4692" s="4" t="s">
        <v>5119</v>
      </c>
      <c r="B4692" s="4" t="s">
        <v>5120</v>
      </c>
      <c r="C4692" s="12">
        <f>IFERROR(__xludf.DUMMYFUNCTION("""COMPUTED_VALUE"""),44662.469629629624)</f>
        <v>44662.46963</v>
      </c>
      <c r="D4692" s="13">
        <f t="shared" si="1"/>
        <v>11</v>
      </c>
      <c r="E4692" s="13">
        <f t="shared" si="2"/>
        <v>11</v>
      </c>
    </row>
    <row r="4693">
      <c r="A4693" s="4" t="s">
        <v>5121</v>
      </c>
      <c r="B4693" s="16"/>
      <c r="C4693" s="12">
        <f>IFERROR(__xludf.DUMMYFUNCTION("""COMPUTED_VALUE"""),44662.469618055555)</f>
        <v>44662.46962</v>
      </c>
      <c r="D4693" s="13">
        <f t="shared" si="1"/>
        <v>11</v>
      </c>
      <c r="E4693" s="13">
        <f t="shared" si="2"/>
        <v>11</v>
      </c>
    </row>
    <row r="4694">
      <c r="A4694" s="4" t="s">
        <v>5122</v>
      </c>
      <c r="B4694" s="16"/>
      <c r="C4694" s="12">
        <f>IFERROR(__xludf.DUMMYFUNCTION("""COMPUTED_VALUE"""),44662.46916666666)</f>
        <v>44662.46917</v>
      </c>
      <c r="D4694" s="13">
        <f t="shared" si="1"/>
        <v>11</v>
      </c>
      <c r="E4694" s="13">
        <f t="shared" si="2"/>
        <v>11</v>
      </c>
    </row>
    <row r="4695">
      <c r="A4695" s="4" t="s">
        <v>5123</v>
      </c>
      <c r="B4695" s="16"/>
      <c r="C4695" s="12">
        <f>IFERROR(__xludf.DUMMYFUNCTION("""COMPUTED_VALUE"""),44662.46898148148)</f>
        <v>44662.46898</v>
      </c>
      <c r="D4695" s="13">
        <f t="shared" si="1"/>
        <v>11</v>
      </c>
      <c r="E4695" s="13">
        <f t="shared" si="2"/>
        <v>11</v>
      </c>
    </row>
    <row r="4696">
      <c r="A4696" s="4" t="s">
        <v>5124</v>
      </c>
      <c r="B4696" s="16"/>
      <c r="C4696" s="12">
        <f>IFERROR(__xludf.DUMMYFUNCTION("""COMPUTED_VALUE"""),44662.46873842592)</f>
        <v>44662.46874</v>
      </c>
      <c r="D4696" s="13">
        <f t="shared" si="1"/>
        <v>11</v>
      </c>
      <c r="E4696" s="13">
        <f t="shared" si="2"/>
        <v>11</v>
      </c>
    </row>
    <row r="4697">
      <c r="A4697" s="4" t="s">
        <v>5125</v>
      </c>
      <c r="B4697" s="16"/>
      <c r="C4697" s="12">
        <f>IFERROR(__xludf.DUMMYFUNCTION("""COMPUTED_VALUE"""),44662.46871527778)</f>
        <v>44662.46872</v>
      </c>
      <c r="D4697" s="13">
        <f t="shared" si="1"/>
        <v>11</v>
      </c>
      <c r="E4697" s="13">
        <f t="shared" si="2"/>
        <v>11</v>
      </c>
    </row>
    <row r="4698">
      <c r="A4698" s="4" t="s">
        <v>5126</v>
      </c>
      <c r="B4698" s="4" t="s">
        <v>330</v>
      </c>
      <c r="C4698" s="12">
        <f>IFERROR(__xludf.DUMMYFUNCTION("""COMPUTED_VALUE"""),44662.468680555554)</f>
        <v>44662.46868</v>
      </c>
      <c r="D4698" s="13">
        <f t="shared" si="1"/>
        <v>11</v>
      </c>
      <c r="E4698" s="13">
        <f t="shared" si="2"/>
        <v>11</v>
      </c>
    </row>
    <row r="4699">
      <c r="A4699" s="4" t="s">
        <v>5127</v>
      </c>
      <c r="B4699" s="16"/>
      <c r="C4699" s="12">
        <f>IFERROR(__xludf.DUMMYFUNCTION("""COMPUTED_VALUE"""),44662.468564814815)</f>
        <v>44662.46856</v>
      </c>
      <c r="D4699" s="13">
        <f t="shared" si="1"/>
        <v>11</v>
      </c>
      <c r="E4699" s="13">
        <f t="shared" si="2"/>
        <v>11</v>
      </c>
    </row>
    <row r="4700">
      <c r="A4700" s="4" t="s">
        <v>5128</v>
      </c>
      <c r="B4700" s="4" t="s">
        <v>3719</v>
      </c>
      <c r="C4700" s="12">
        <f>IFERROR(__xludf.DUMMYFUNCTION("""COMPUTED_VALUE"""),44662.467638888884)</f>
        <v>44662.46764</v>
      </c>
      <c r="D4700" s="13">
        <f t="shared" si="1"/>
        <v>11</v>
      </c>
      <c r="E4700" s="13">
        <f t="shared" si="2"/>
        <v>11</v>
      </c>
    </row>
    <row r="4701">
      <c r="A4701" s="4" t="s">
        <v>5129</v>
      </c>
      <c r="B4701" s="16"/>
      <c r="C4701" s="12">
        <f>IFERROR(__xludf.DUMMYFUNCTION("""COMPUTED_VALUE"""),44662.467569444445)</f>
        <v>44662.46757</v>
      </c>
      <c r="D4701" s="13">
        <f t="shared" si="1"/>
        <v>11</v>
      </c>
      <c r="E4701" s="13">
        <f t="shared" si="2"/>
        <v>11</v>
      </c>
    </row>
    <row r="4702">
      <c r="A4702" s="4" t="s">
        <v>5130</v>
      </c>
      <c r="B4702" s="4" t="s">
        <v>3719</v>
      </c>
      <c r="C4702" s="12">
        <f>IFERROR(__xludf.DUMMYFUNCTION("""COMPUTED_VALUE"""),44662.46747685185)</f>
        <v>44662.46748</v>
      </c>
      <c r="D4702" s="13">
        <f t="shared" si="1"/>
        <v>11</v>
      </c>
      <c r="E4702" s="13">
        <f t="shared" si="2"/>
        <v>11</v>
      </c>
    </row>
    <row r="4703">
      <c r="A4703" s="4" t="s">
        <v>5131</v>
      </c>
      <c r="B4703" s="4" t="s">
        <v>2021</v>
      </c>
      <c r="C4703" s="12">
        <f>IFERROR(__xludf.DUMMYFUNCTION("""COMPUTED_VALUE"""),44662.46643518518)</f>
        <v>44662.46644</v>
      </c>
      <c r="D4703" s="13">
        <f t="shared" si="1"/>
        <v>11</v>
      </c>
      <c r="E4703" s="13">
        <f t="shared" si="2"/>
        <v>11</v>
      </c>
    </row>
    <row r="4704">
      <c r="A4704" s="4" t="s">
        <v>5132</v>
      </c>
      <c r="B4704" s="4" t="s">
        <v>5120</v>
      </c>
      <c r="C4704" s="12">
        <f>IFERROR(__xludf.DUMMYFUNCTION("""COMPUTED_VALUE"""),44662.46633101851)</f>
        <v>44662.46633</v>
      </c>
      <c r="D4704" s="13">
        <f t="shared" si="1"/>
        <v>11</v>
      </c>
      <c r="E4704" s="13">
        <f t="shared" si="2"/>
        <v>11</v>
      </c>
    </row>
    <row r="4705">
      <c r="A4705" s="4" t="s">
        <v>5133</v>
      </c>
      <c r="B4705" s="4" t="s">
        <v>5120</v>
      </c>
      <c r="C4705" s="12">
        <f>IFERROR(__xludf.DUMMYFUNCTION("""COMPUTED_VALUE"""),44662.46630787037)</f>
        <v>44662.46631</v>
      </c>
      <c r="D4705" s="13">
        <f t="shared" si="1"/>
        <v>11</v>
      </c>
      <c r="E4705" s="13">
        <f t="shared" si="2"/>
        <v>11</v>
      </c>
    </row>
    <row r="4706">
      <c r="A4706" s="4" t="s">
        <v>5134</v>
      </c>
      <c r="B4706" s="4" t="s">
        <v>5120</v>
      </c>
      <c r="C4706" s="12">
        <f>IFERROR(__xludf.DUMMYFUNCTION("""COMPUTED_VALUE"""),44662.46628472222)</f>
        <v>44662.46628</v>
      </c>
      <c r="D4706" s="13">
        <f t="shared" si="1"/>
        <v>11</v>
      </c>
      <c r="E4706" s="13">
        <f t="shared" si="2"/>
        <v>11</v>
      </c>
    </row>
    <row r="4707">
      <c r="A4707" s="4" t="s">
        <v>5135</v>
      </c>
      <c r="B4707" s="16"/>
      <c r="C4707" s="12">
        <f>IFERROR(__xludf.DUMMYFUNCTION("""COMPUTED_VALUE"""),44662.466261574074)</f>
        <v>44662.46626</v>
      </c>
      <c r="D4707" s="13">
        <f t="shared" si="1"/>
        <v>11</v>
      </c>
      <c r="E4707" s="13">
        <f t="shared" si="2"/>
        <v>11</v>
      </c>
    </row>
    <row r="4708">
      <c r="A4708" s="4" t="s">
        <v>5136</v>
      </c>
      <c r="B4708" s="16"/>
      <c r="C4708" s="12">
        <f>IFERROR(__xludf.DUMMYFUNCTION("""COMPUTED_VALUE"""),44662.46625)</f>
        <v>44662.46625</v>
      </c>
      <c r="D4708" s="13">
        <f t="shared" si="1"/>
        <v>11</v>
      </c>
      <c r="E4708" s="13">
        <f t="shared" si="2"/>
        <v>11</v>
      </c>
    </row>
    <row r="4709">
      <c r="A4709" s="4" t="s">
        <v>5137</v>
      </c>
      <c r="B4709" s="4" t="s">
        <v>5120</v>
      </c>
      <c r="C4709" s="12">
        <f>IFERROR(__xludf.DUMMYFUNCTION("""COMPUTED_VALUE"""),44662.46622685185)</f>
        <v>44662.46623</v>
      </c>
      <c r="D4709" s="13">
        <f t="shared" si="1"/>
        <v>11</v>
      </c>
      <c r="E4709" s="13">
        <f t="shared" si="2"/>
        <v>11</v>
      </c>
    </row>
    <row r="4710">
      <c r="A4710" s="4" t="s">
        <v>5138</v>
      </c>
      <c r="B4710" s="4" t="s">
        <v>5120</v>
      </c>
      <c r="C4710" s="12">
        <f>IFERROR(__xludf.DUMMYFUNCTION("""COMPUTED_VALUE"""),44662.46614583333)</f>
        <v>44662.46615</v>
      </c>
      <c r="D4710" s="13">
        <f t="shared" si="1"/>
        <v>11</v>
      </c>
      <c r="E4710" s="13">
        <f t="shared" si="2"/>
        <v>11</v>
      </c>
    </row>
    <row r="4711">
      <c r="A4711" s="4" t="s">
        <v>5139</v>
      </c>
      <c r="B4711" s="4" t="s">
        <v>5120</v>
      </c>
      <c r="C4711" s="12">
        <f>IFERROR(__xludf.DUMMYFUNCTION("""COMPUTED_VALUE"""),44662.466111111105)</f>
        <v>44662.46611</v>
      </c>
      <c r="D4711" s="13">
        <f t="shared" si="1"/>
        <v>11</v>
      </c>
      <c r="E4711" s="13">
        <f t="shared" si="2"/>
        <v>11</v>
      </c>
    </row>
    <row r="4712">
      <c r="A4712" s="4" t="s">
        <v>5140</v>
      </c>
      <c r="B4712" s="4" t="s">
        <v>5141</v>
      </c>
      <c r="C4712" s="12">
        <f>IFERROR(__xludf.DUMMYFUNCTION("""COMPUTED_VALUE"""),44662.465162037035)</f>
        <v>44662.46516</v>
      </c>
      <c r="D4712" s="13">
        <f t="shared" si="1"/>
        <v>11</v>
      </c>
      <c r="E4712" s="13">
        <f t="shared" si="2"/>
        <v>11</v>
      </c>
    </row>
    <row r="4713">
      <c r="A4713" s="4" t="s">
        <v>5142</v>
      </c>
      <c r="B4713" s="16"/>
      <c r="C4713" s="12">
        <f>IFERROR(__xludf.DUMMYFUNCTION("""COMPUTED_VALUE"""),44662.46501157407)</f>
        <v>44662.46501</v>
      </c>
      <c r="D4713" s="13">
        <f t="shared" si="1"/>
        <v>11</v>
      </c>
      <c r="E4713" s="13">
        <f t="shared" si="2"/>
        <v>11</v>
      </c>
    </row>
    <row r="4714">
      <c r="A4714" s="4" t="s">
        <v>5143</v>
      </c>
      <c r="B4714" s="4" t="s">
        <v>2021</v>
      </c>
      <c r="C4714" s="12">
        <f>IFERROR(__xludf.DUMMYFUNCTION("""COMPUTED_VALUE"""),44662.46341435185)</f>
        <v>44662.46341</v>
      </c>
      <c r="D4714" s="13">
        <f t="shared" si="1"/>
        <v>11</v>
      </c>
      <c r="E4714" s="13">
        <f t="shared" si="2"/>
        <v>11</v>
      </c>
    </row>
    <row r="4715">
      <c r="A4715" s="4" t="s">
        <v>5144</v>
      </c>
      <c r="B4715" s="4" t="s">
        <v>2021</v>
      </c>
      <c r="C4715" s="12">
        <f>IFERROR(__xludf.DUMMYFUNCTION("""COMPUTED_VALUE"""),44662.462858796294)</f>
        <v>44662.46286</v>
      </c>
      <c r="D4715" s="13">
        <f t="shared" si="1"/>
        <v>11</v>
      </c>
      <c r="E4715" s="13">
        <f t="shared" si="2"/>
        <v>11</v>
      </c>
    </row>
    <row r="4716">
      <c r="A4716" s="4" t="s">
        <v>5145</v>
      </c>
      <c r="B4716" s="4" t="s">
        <v>2021</v>
      </c>
      <c r="C4716" s="12">
        <f>IFERROR(__xludf.DUMMYFUNCTION("""COMPUTED_VALUE"""),44662.46283564815)</f>
        <v>44662.46284</v>
      </c>
      <c r="D4716" s="13">
        <f t="shared" si="1"/>
        <v>11</v>
      </c>
      <c r="E4716" s="13">
        <f t="shared" si="2"/>
        <v>11</v>
      </c>
    </row>
    <row r="4717">
      <c r="A4717" s="4" t="s">
        <v>5146</v>
      </c>
      <c r="B4717" s="4" t="s">
        <v>2021</v>
      </c>
      <c r="C4717" s="12">
        <f>IFERROR(__xludf.DUMMYFUNCTION("""COMPUTED_VALUE"""),44662.46282407407)</f>
        <v>44662.46282</v>
      </c>
      <c r="D4717" s="13">
        <f t="shared" si="1"/>
        <v>11</v>
      </c>
      <c r="E4717" s="13">
        <f t="shared" si="2"/>
        <v>11</v>
      </c>
    </row>
    <row r="4718">
      <c r="A4718" s="4" t="s">
        <v>5147</v>
      </c>
      <c r="B4718" s="4" t="s">
        <v>2021</v>
      </c>
      <c r="C4718" s="12">
        <f>IFERROR(__xludf.DUMMYFUNCTION("""COMPUTED_VALUE"""),44662.462800925925)</f>
        <v>44662.4628</v>
      </c>
      <c r="D4718" s="13">
        <f t="shared" si="1"/>
        <v>11</v>
      </c>
      <c r="E4718" s="13">
        <f t="shared" si="2"/>
        <v>11</v>
      </c>
    </row>
    <row r="4719">
      <c r="A4719" s="4" t="s">
        <v>5148</v>
      </c>
      <c r="B4719" s="4" t="s">
        <v>2021</v>
      </c>
      <c r="C4719" s="12">
        <f>IFERROR(__xludf.DUMMYFUNCTION("""COMPUTED_VALUE"""),44662.46277777778)</f>
        <v>44662.46278</v>
      </c>
      <c r="D4719" s="13">
        <f t="shared" si="1"/>
        <v>11</v>
      </c>
      <c r="E4719" s="13">
        <f t="shared" si="2"/>
        <v>11</v>
      </c>
    </row>
    <row r="4720">
      <c r="A4720" s="4" t="s">
        <v>5149</v>
      </c>
      <c r="B4720" s="16"/>
      <c r="C4720" s="12">
        <f>IFERROR(__xludf.DUMMYFUNCTION("""COMPUTED_VALUE"""),44662.4627662037)</f>
        <v>44662.46277</v>
      </c>
      <c r="D4720" s="13">
        <f t="shared" si="1"/>
        <v>11</v>
      </c>
      <c r="E4720" s="13">
        <f t="shared" si="2"/>
        <v>11</v>
      </c>
    </row>
    <row r="4721">
      <c r="A4721" s="4" t="s">
        <v>5150</v>
      </c>
      <c r="B4721" s="4" t="s">
        <v>2021</v>
      </c>
      <c r="C4721" s="12">
        <f>IFERROR(__xludf.DUMMYFUNCTION("""COMPUTED_VALUE"""),44662.46273148148)</f>
        <v>44662.46273</v>
      </c>
      <c r="D4721" s="13">
        <f t="shared" si="1"/>
        <v>11</v>
      </c>
      <c r="E4721" s="13">
        <f t="shared" si="2"/>
        <v>11</v>
      </c>
    </row>
    <row r="4722">
      <c r="A4722" s="4" t="s">
        <v>5151</v>
      </c>
      <c r="B4722" s="16"/>
      <c r="C4722" s="12">
        <f>IFERROR(__xludf.DUMMYFUNCTION("""COMPUTED_VALUE"""),44662.46266203703)</f>
        <v>44662.46266</v>
      </c>
      <c r="D4722" s="13">
        <f t="shared" si="1"/>
        <v>11</v>
      </c>
      <c r="E4722" s="13">
        <f t="shared" si="2"/>
        <v>11</v>
      </c>
    </row>
    <row r="4723">
      <c r="A4723" s="4" t="s">
        <v>5152</v>
      </c>
      <c r="B4723" s="4" t="s">
        <v>5153</v>
      </c>
      <c r="C4723" s="12">
        <f>IFERROR(__xludf.DUMMYFUNCTION("""COMPUTED_VALUE"""),44662.461747685185)</f>
        <v>44662.46175</v>
      </c>
      <c r="D4723" s="13">
        <f t="shared" si="1"/>
        <v>11</v>
      </c>
      <c r="E4723" s="13">
        <f t="shared" si="2"/>
        <v>11</v>
      </c>
    </row>
    <row r="4724">
      <c r="A4724" s="4" t="s">
        <v>5154</v>
      </c>
      <c r="B4724" s="4" t="s">
        <v>5155</v>
      </c>
      <c r="C4724" s="12">
        <f>IFERROR(__xludf.DUMMYFUNCTION("""COMPUTED_VALUE"""),44662.461435185185)</f>
        <v>44662.46144</v>
      </c>
      <c r="D4724" s="13">
        <f t="shared" si="1"/>
        <v>11</v>
      </c>
      <c r="E4724" s="13">
        <f t="shared" si="2"/>
        <v>11</v>
      </c>
    </row>
    <row r="4725">
      <c r="A4725" s="4" t="s">
        <v>5156</v>
      </c>
      <c r="B4725" s="16"/>
      <c r="C4725" s="12">
        <f>IFERROR(__xludf.DUMMYFUNCTION("""COMPUTED_VALUE"""),44662.46061342592)</f>
        <v>44662.46061</v>
      </c>
      <c r="D4725" s="13">
        <f t="shared" si="1"/>
        <v>11</v>
      </c>
      <c r="E4725" s="13">
        <f t="shared" si="2"/>
        <v>11</v>
      </c>
    </row>
    <row r="4726">
      <c r="A4726" s="4" t="s">
        <v>5157</v>
      </c>
      <c r="B4726" s="4" t="s">
        <v>5158</v>
      </c>
      <c r="C4726" s="12">
        <f>IFERROR(__xludf.DUMMYFUNCTION("""COMPUTED_VALUE"""),44662.46015046296)</f>
        <v>44662.46015</v>
      </c>
      <c r="D4726" s="13">
        <f t="shared" si="1"/>
        <v>11</v>
      </c>
      <c r="E4726" s="13">
        <f t="shared" si="2"/>
        <v>11</v>
      </c>
    </row>
    <row r="4727">
      <c r="A4727" s="4" t="s">
        <v>5159</v>
      </c>
      <c r="B4727" s="16"/>
      <c r="C4727" s="12">
        <f>IFERROR(__xludf.DUMMYFUNCTION("""COMPUTED_VALUE"""),44662.45864583333)</f>
        <v>44662.45865</v>
      </c>
      <c r="D4727" s="13">
        <f t="shared" si="1"/>
        <v>11</v>
      </c>
      <c r="E4727" s="13">
        <f t="shared" si="2"/>
        <v>11</v>
      </c>
    </row>
    <row r="4728">
      <c r="A4728" s="4" t="s">
        <v>5160</v>
      </c>
      <c r="B4728" s="16"/>
      <c r="C4728" s="12">
        <f>IFERROR(__xludf.DUMMYFUNCTION("""COMPUTED_VALUE"""),44662.458240740736)</f>
        <v>44662.45824</v>
      </c>
      <c r="D4728" s="13">
        <f t="shared" si="1"/>
        <v>11</v>
      </c>
      <c r="E4728" s="13">
        <f t="shared" si="2"/>
        <v>10</v>
      </c>
    </row>
    <row r="4729">
      <c r="A4729" s="4" t="s">
        <v>5161</v>
      </c>
      <c r="B4729" s="16"/>
      <c r="C4729" s="12">
        <f>IFERROR(__xludf.DUMMYFUNCTION("""COMPUTED_VALUE"""),44662.45804398148)</f>
        <v>44662.45804</v>
      </c>
      <c r="D4729" s="13">
        <f t="shared" si="1"/>
        <v>11</v>
      </c>
      <c r="E4729" s="13">
        <f t="shared" si="2"/>
        <v>10</v>
      </c>
    </row>
    <row r="4730">
      <c r="A4730" s="4" t="s">
        <v>5162</v>
      </c>
      <c r="B4730" s="4" t="s">
        <v>5163</v>
      </c>
      <c r="C4730" s="12">
        <f>IFERROR(__xludf.DUMMYFUNCTION("""COMPUTED_VALUE"""),44662.45752314814)</f>
        <v>44662.45752</v>
      </c>
      <c r="D4730" s="13">
        <f t="shared" si="1"/>
        <v>11</v>
      </c>
      <c r="E4730" s="13">
        <f t="shared" si="2"/>
        <v>10</v>
      </c>
    </row>
    <row r="4731">
      <c r="A4731" s="4" t="s">
        <v>5164</v>
      </c>
      <c r="B4731" s="4" t="s">
        <v>5060</v>
      </c>
      <c r="C4731" s="12">
        <f>IFERROR(__xludf.DUMMYFUNCTION("""COMPUTED_VALUE"""),44662.45701388889)</f>
        <v>44662.45701</v>
      </c>
      <c r="D4731" s="13">
        <f t="shared" si="1"/>
        <v>11</v>
      </c>
      <c r="E4731" s="13">
        <f t="shared" si="2"/>
        <v>10</v>
      </c>
    </row>
    <row r="4732">
      <c r="A4732" s="4" t="s">
        <v>5165</v>
      </c>
      <c r="B4732" s="16"/>
      <c r="C4732" s="12">
        <f>IFERROR(__xludf.DUMMYFUNCTION("""COMPUTED_VALUE"""),44662.456296296295)</f>
        <v>44662.4563</v>
      </c>
      <c r="D4732" s="13">
        <f t="shared" si="1"/>
        <v>11</v>
      </c>
      <c r="E4732" s="13">
        <f t="shared" si="2"/>
        <v>10</v>
      </c>
    </row>
    <row r="4733">
      <c r="A4733" s="4" t="s">
        <v>5166</v>
      </c>
      <c r="B4733" s="16"/>
      <c r="C4733" s="12">
        <f>IFERROR(__xludf.DUMMYFUNCTION("""COMPUTED_VALUE"""),44662.45408564815)</f>
        <v>44662.45409</v>
      </c>
      <c r="D4733" s="13">
        <f t="shared" si="1"/>
        <v>11</v>
      </c>
      <c r="E4733" s="13">
        <f t="shared" si="2"/>
        <v>10</v>
      </c>
    </row>
    <row r="4734">
      <c r="A4734" s="4" t="s">
        <v>5167</v>
      </c>
      <c r="B4734" s="16"/>
      <c r="C4734" s="12">
        <f>IFERROR(__xludf.DUMMYFUNCTION("""COMPUTED_VALUE"""),44662.454050925924)</f>
        <v>44662.45405</v>
      </c>
      <c r="D4734" s="13">
        <f t="shared" si="1"/>
        <v>11</v>
      </c>
      <c r="E4734" s="13">
        <f t="shared" si="2"/>
        <v>10</v>
      </c>
    </row>
    <row r="4735">
      <c r="A4735" s="4" t="s">
        <v>5168</v>
      </c>
      <c r="B4735" s="4" t="s">
        <v>5060</v>
      </c>
      <c r="C4735" s="12">
        <f>IFERROR(__xludf.DUMMYFUNCTION("""COMPUTED_VALUE"""),44662.45398148148)</f>
        <v>44662.45398</v>
      </c>
      <c r="D4735" s="13">
        <f t="shared" si="1"/>
        <v>11</v>
      </c>
      <c r="E4735" s="13">
        <f t="shared" si="2"/>
        <v>10</v>
      </c>
    </row>
    <row r="4736">
      <c r="A4736" s="4" t="s">
        <v>5169</v>
      </c>
      <c r="B4736" s="4" t="s">
        <v>5060</v>
      </c>
      <c r="C4736" s="12">
        <f>IFERROR(__xludf.DUMMYFUNCTION("""COMPUTED_VALUE"""),44662.45354166666)</f>
        <v>44662.45354</v>
      </c>
      <c r="D4736" s="13">
        <f t="shared" si="1"/>
        <v>11</v>
      </c>
      <c r="E4736" s="13">
        <f t="shared" si="2"/>
        <v>10</v>
      </c>
    </row>
    <row r="4737">
      <c r="A4737" s="4" t="s">
        <v>5170</v>
      </c>
      <c r="B4737" s="4" t="s">
        <v>5060</v>
      </c>
      <c r="C4737" s="12">
        <f>IFERROR(__xludf.DUMMYFUNCTION("""COMPUTED_VALUE"""),44662.45348379629)</f>
        <v>44662.45348</v>
      </c>
      <c r="D4737" s="13">
        <f t="shared" si="1"/>
        <v>11</v>
      </c>
      <c r="E4737" s="13">
        <f t="shared" si="2"/>
        <v>10</v>
      </c>
    </row>
    <row r="4738">
      <c r="A4738" s="4" t="s">
        <v>5171</v>
      </c>
      <c r="B4738" s="4" t="s">
        <v>5060</v>
      </c>
      <c r="C4738" s="12">
        <f>IFERROR(__xludf.DUMMYFUNCTION("""COMPUTED_VALUE"""),44662.45341435185)</f>
        <v>44662.45341</v>
      </c>
      <c r="D4738" s="13">
        <f t="shared" si="1"/>
        <v>11</v>
      </c>
      <c r="E4738" s="13">
        <f t="shared" si="2"/>
        <v>10</v>
      </c>
    </row>
    <row r="4739">
      <c r="A4739" s="4" t="s">
        <v>5172</v>
      </c>
      <c r="B4739" s="4" t="s">
        <v>5060</v>
      </c>
      <c r="C4739" s="12">
        <f>IFERROR(__xludf.DUMMYFUNCTION("""COMPUTED_VALUE"""),44662.45322916666)</f>
        <v>44662.45323</v>
      </c>
      <c r="D4739" s="13">
        <f t="shared" si="1"/>
        <v>11</v>
      </c>
      <c r="E4739" s="13">
        <f t="shared" si="2"/>
        <v>10</v>
      </c>
    </row>
    <row r="4740">
      <c r="A4740" s="4" t="s">
        <v>5173</v>
      </c>
      <c r="B4740" s="16"/>
      <c r="C4740" s="12">
        <f>IFERROR(__xludf.DUMMYFUNCTION("""COMPUTED_VALUE"""),44662.4503587963)</f>
        <v>44662.45036</v>
      </c>
      <c r="D4740" s="13">
        <f t="shared" si="1"/>
        <v>11</v>
      </c>
      <c r="E4740" s="13">
        <f t="shared" si="2"/>
        <v>10</v>
      </c>
    </row>
    <row r="4741">
      <c r="A4741" s="4" t="s">
        <v>5174</v>
      </c>
      <c r="B4741" s="16"/>
      <c r="C4741" s="12">
        <f>IFERROR(__xludf.DUMMYFUNCTION("""COMPUTED_VALUE"""),44662.44363425926)</f>
        <v>44662.44363</v>
      </c>
      <c r="D4741" s="13">
        <f t="shared" si="1"/>
        <v>11</v>
      </c>
      <c r="E4741" s="13">
        <f t="shared" si="2"/>
        <v>10</v>
      </c>
    </row>
    <row r="4742">
      <c r="A4742" s="4" t="s">
        <v>5175</v>
      </c>
      <c r="B4742" s="4" t="s">
        <v>5176</v>
      </c>
      <c r="C4742" s="12">
        <f>IFERROR(__xludf.DUMMYFUNCTION("""COMPUTED_VALUE"""),44662.44265046296)</f>
        <v>44662.44265</v>
      </c>
      <c r="D4742" s="13">
        <f t="shared" si="1"/>
        <v>11</v>
      </c>
      <c r="E4742" s="13">
        <f t="shared" si="2"/>
        <v>10</v>
      </c>
    </row>
    <row r="4743">
      <c r="A4743" s="4" t="s">
        <v>5177</v>
      </c>
      <c r="B4743" s="16"/>
      <c r="C4743" s="12">
        <f>IFERROR(__xludf.DUMMYFUNCTION("""COMPUTED_VALUE"""),44662.44173611111)</f>
        <v>44662.44174</v>
      </c>
      <c r="D4743" s="13">
        <f t="shared" si="1"/>
        <v>11</v>
      </c>
      <c r="E4743" s="13">
        <f t="shared" si="2"/>
        <v>10</v>
      </c>
    </row>
    <row r="4744">
      <c r="A4744" s="4" t="s">
        <v>5178</v>
      </c>
      <c r="B4744" s="16"/>
      <c r="C4744" s="12">
        <f>IFERROR(__xludf.DUMMYFUNCTION("""COMPUTED_VALUE"""),44662.441099537034)</f>
        <v>44662.4411</v>
      </c>
      <c r="D4744" s="13">
        <f t="shared" si="1"/>
        <v>11</v>
      </c>
      <c r="E4744" s="13">
        <f t="shared" si="2"/>
        <v>10</v>
      </c>
    </row>
    <row r="4745">
      <c r="A4745" s="4" t="s">
        <v>5179</v>
      </c>
      <c r="B4745" s="4" t="s">
        <v>5180</v>
      </c>
      <c r="C4745" s="12">
        <f>IFERROR(__xludf.DUMMYFUNCTION("""COMPUTED_VALUE"""),44662.44092592593)</f>
        <v>44662.44093</v>
      </c>
      <c r="D4745" s="13">
        <f t="shared" si="1"/>
        <v>11</v>
      </c>
      <c r="E4745" s="13">
        <f t="shared" si="2"/>
        <v>10</v>
      </c>
    </row>
    <row r="4746">
      <c r="A4746" s="4" t="s">
        <v>5181</v>
      </c>
      <c r="B4746" s="16"/>
      <c r="C4746" s="12">
        <f>IFERROR(__xludf.DUMMYFUNCTION("""COMPUTED_VALUE"""),44662.44033564815)</f>
        <v>44662.44034</v>
      </c>
      <c r="D4746" s="13">
        <f t="shared" si="1"/>
        <v>11</v>
      </c>
      <c r="E4746" s="13">
        <f t="shared" si="2"/>
        <v>10</v>
      </c>
    </row>
    <row r="4747">
      <c r="A4747" s="4" t="s">
        <v>5182</v>
      </c>
      <c r="B4747" s="4" t="s">
        <v>5183</v>
      </c>
      <c r="C4747" s="12">
        <f>IFERROR(__xludf.DUMMYFUNCTION("""COMPUTED_VALUE"""),44662.439999999995)</f>
        <v>44662.44</v>
      </c>
      <c r="D4747" s="13">
        <f t="shared" si="1"/>
        <v>11</v>
      </c>
      <c r="E4747" s="13">
        <f t="shared" si="2"/>
        <v>10</v>
      </c>
    </row>
    <row r="4748">
      <c r="A4748" s="4" t="s">
        <v>5184</v>
      </c>
      <c r="B4748" s="4" t="s">
        <v>5185</v>
      </c>
      <c r="C4748" s="12">
        <f>IFERROR(__xludf.DUMMYFUNCTION("""COMPUTED_VALUE"""),44662.43898148148)</f>
        <v>44662.43898</v>
      </c>
      <c r="D4748" s="13">
        <f t="shared" si="1"/>
        <v>11</v>
      </c>
      <c r="E4748" s="13">
        <f t="shared" si="2"/>
        <v>10</v>
      </c>
    </row>
    <row r="4749">
      <c r="A4749" s="4" t="s">
        <v>5186</v>
      </c>
      <c r="B4749" s="4" t="s">
        <v>5185</v>
      </c>
      <c r="C4749" s="12">
        <f>IFERROR(__xludf.DUMMYFUNCTION("""COMPUTED_VALUE"""),44662.43880787037)</f>
        <v>44662.43881</v>
      </c>
      <c r="D4749" s="13">
        <f t="shared" si="1"/>
        <v>11</v>
      </c>
      <c r="E4749" s="13">
        <f t="shared" si="2"/>
        <v>10</v>
      </c>
    </row>
    <row r="4750">
      <c r="A4750" s="4" t="s">
        <v>5187</v>
      </c>
      <c r="B4750" s="16"/>
      <c r="C4750" s="12">
        <f>IFERROR(__xludf.DUMMYFUNCTION("""COMPUTED_VALUE"""),44662.43481481481)</f>
        <v>44662.43481</v>
      </c>
      <c r="D4750" s="13">
        <f t="shared" si="1"/>
        <v>11</v>
      </c>
      <c r="E4750" s="13">
        <f t="shared" si="2"/>
        <v>10</v>
      </c>
    </row>
    <row r="4751">
      <c r="A4751" s="4" t="s">
        <v>5188</v>
      </c>
      <c r="B4751" s="4" t="s">
        <v>5189</v>
      </c>
      <c r="C4751" s="12">
        <f>IFERROR(__xludf.DUMMYFUNCTION("""COMPUTED_VALUE"""),44662.43479166667)</f>
        <v>44662.43479</v>
      </c>
      <c r="D4751" s="13">
        <f t="shared" si="1"/>
        <v>11</v>
      </c>
      <c r="E4751" s="13">
        <f t="shared" si="2"/>
        <v>10</v>
      </c>
    </row>
    <row r="4752">
      <c r="A4752" s="4" t="s">
        <v>5190</v>
      </c>
      <c r="B4752" s="16"/>
      <c r="C4752" s="12">
        <f>IFERROR(__xludf.DUMMYFUNCTION("""COMPUTED_VALUE"""),44662.434641203705)</f>
        <v>44662.43464</v>
      </c>
      <c r="D4752" s="13">
        <f t="shared" si="1"/>
        <v>11</v>
      </c>
      <c r="E4752" s="13">
        <f t="shared" si="2"/>
        <v>10</v>
      </c>
    </row>
    <row r="4753">
      <c r="A4753" s="4" t="s">
        <v>5191</v>
      </c>
      <c r="B4753" s="16"/>
      <c r="C4753" s="12">
        <f>IFERROR(__xludf.DUMMYFUNCTION("""COMPUTED_VALUE"""),44662.434166666666)</f>
        <v>44662.43417</v>
      </c>
      <c r="D4753" s="13">
        <f t="shared" si="1"/>
        <v>11</v>
      </c>
      <c r="E4753" s="13">
        <f t="shared" si="2"/>
        <v>10</v>
      </c>
    </row>
    <row r="4754">
      <c r="A4754" s="4" t="s">
        <v>5192</v>
      </c>
      <c r="B4754" s="4" t="s">
        <v>5193</v>
      </c>
      <c r="C4754" s="12">
        <f>IFERROR(__xludf.DUMMYFUNCTION("""COMPUTED_VALUE"""),44662.43398148148)</f>
        <v>44662.43398</v>
      </c>
      <c r="D4754" s="13">
        <f t="shared" si="1"/>
        <v>11</v>
      </c>
      <c r="E4754" s="13">
        <f t="shared" si="2"/>
        <v>10</v>
      </c>
    </row>
    <row r="4755">
      <c r="A4755" s="4" t="s">
        <v>5194</v>
      </c>
      <c r="B4755" s="16"/>
      <c r="C4755" s="12">
        <f>IFERROR(__xludf.DUMMYFUNCTION("""COMPUTED_VALUE"""),44662.433171296296)</f>
        <v>44662.43317</v>
      </c>
      <c r="D4755" s="13">
        <f t="shared" si="1"/>
        <v>11</v>
      </c>
      <c r="E4755" s="13">
        <f t="shared" si="2"/>
        <v>10</v>
      </c>
    </row>
    <row r="4756">
      <c r="A4756" s="4" t="s">
        <v>5195</v>
      </c>
      <c r="B4756" s="4" t="s">
        <v>5196</v>
      </c>
      <c r="C4756" s="12">
        <f>IFERROR(__xludf.DUMMYFUNCTION("""COMPUTED_VALUE"""),44662.431446759256)</f>
        <v>44662.43145</v>
      </c>
      <c r="D4756" s="13">
        <f t="shared" si="1"/>
        <v>11</v>
      </c>
      <c r="E4756" s="13">
        <f t="shared" si="2"/>
        <v>10</v>
      </c>
    </row>
    <row r="4757">
      <c r="A4757" s="4" t="s">
        <v>5197</v>
      </c>
      <c r="B4757" s="4" t="s">
        <v>5198</v>
      </c>
      <c r="C4757" s="12">
        <f>IFERROR(__xludf.DUMMYFUNCTION("""COMPUTED_VALUE"""),44662.43114583333)</f>
        <v>44662.43115</v>
      </c>
      <c r="D4757" s="13">
        <f t="shared" si="1"/>
        <v>11</v>
      </c>
      <c r="E4757" s="13">
        <f t="shared" si="2"/>
        <v>10</v>
      </c>
    </row>
    <row r="4758">
      <c r="A4758" s="4" t="s">
        <v>5199</v>
      </c>
      <c r="B4758" s="4" t="s">
        <v>5200</v>
      </c>
      <c r="C4758" s="12">
        <f>IFERROR(__xludf.DUMMYFUNCTION("""COMPUTED_VALUE"""),44662.43097222222)</f>
        <v>44662.43097</v>
      </c>
      <c r="D4758" s="13">
        <f t="shared" si="1"/>
        <v>11</v>
      </c>
      <c r="E4758" s="13">
        <f t="shared" si="2"/>
        <v>10</v>
      </c>
    </row>
    <row r="4759">
      <c r="A4759" s="4" t="s">
        <v>5201</v>
      </c>
      <c r="B4759" s="16"/>
      <c r="C4759" s="12">
        <f>IFERROR(__xludf.DUMMYFUNCTION("""COMPUTED_VALUE"""),44662.43096064815)</f>
        <v>44662.43096</v>
      </c>
      <c r="D4759" s="13">
        <f t="shared" si="1"/>
        <v>11</v>
      </c>
      <c r="E4759" s="13">
        <f t="shared" si="2"/>
        <v>10</v>
      </c>
    </row>
    <row r="4760">
      <c r="A4760" s="4" t="s">
        <v>5202</v>
      </c>
      <c r="B4760" s="4" t="s">
        <v>5203</v>
      </c>
      <c r="C4760" s="12">
        <f>IFERROR(__xludf.DUMMYFUNCTION("""COMPUTED_VALUE"""),44662.43011574074)</f>
        <v>44662.43012</v>
      </c>
      <c r="D4760" s="13">
        <f t="shared" si="1"/>
        <v>11</v>
      </c>
      <c r="E4760" s="13">
        <f t="shared" si="2"/>
        <v>10</v>
      </c>
    </row>
    <row r="4761">
      <c r="A4761" s="4" t="s">
        <v>5204</v>
      </c>
      <c r="B4761" s="4" t="s">
        <v>5203</v>
      </c>
      <c r="C4761" s="12">
        <f>IFERROR(__xludf.DUMMYFUNCTION("""COMPUTED_VALUE"""),44662.43006944444)</f>
        <v>44662.43007</v>
      </c>
      <c r="D4761" s="13">
        <f t="shared" si="1"/>
        <v>11</v>
      </c>
      <c r="E4761" s="13">
        <f t="shared" si="2"/>
        <v>10</v>
      </c>
    </row>
    <row r="4762">
      <c r="A4762" s="4" t="s">
        <v>5205</v>
      </c>
      <c r="B4762" s="16"/>
      <c r="C4762" s="12">
        <f>IFERROR(__xludf.DUMMYFUNCTION("""COMPUTED_VALUE"""),44662.43004629629)</f>
        <v>44662.43005</v>
      </c>
      <c r="D4762" s="13">
        <f t="shared" si="1"/>
        <v>11</v>
      </c>
      <c r="E4762" s="13">
        <f t="shared" si="2"/>
        <v>10</v>
      </c>
    </row>
    <row r="4763">
      <c r="A4763" s="4" t="s">
        <v>5206</v>
      </c>
      <c r="B4763" s="16"/>
      <c r="C4763" s="12">
        <f>IFERROR(__xludf.DUMMYFUNCTION("""COMPUTED_VALUE"""),44662.429942129624)</f>
        <v>44662.42994</v>
      </c>
      <c r="D4763" s="13">
        <f t="shared" si="1"/>
        <v>11</v>
      </c>
      <c r="E4763" s="13">
        <f t="shared" si="2"/>
        <v>10</v>
      </c>
    </row>
    <row r="4764">
      <c r="A4764" s="4" t="s">
        <v>5207</v>
      </c>
      <c r="B4764" s="4" t="s">
        <v>5208</v>
      </c>
      <c r="C4764" s="12">
        <f>IFERROR(__xludf.DUMMYFUNCTION("""COMPUTED_VALUE"""),44662.42884259259)</f>
        <v>44662.42884</v>
      </c>
      <c r="D4764" s="13">
        <f t="shared" si="1"/>
        <v>11</v>
      </c>
      <c r="E4764" s="13">
        <f t="shared" si="2"/>
        <v>10</v>
      </c>
    </row>
    <row r="4765">
      <c r="A4765" s="4" t="s">
        <v>5209</v>
      </c>
      <c r="B4765" s="16"/>
      <c r="C4765" s="12">
        <f>IFERROR(__xludf.DUMMYFUNCTION("""COMPUTED_VALUE"""),44662.428194444445)</f>
        <v>44662.42819</v>
      </c>
      <c r="D4765" s="13">
        <f t="shared" si="1"/>
        <v>11</v>
      </c>
      <c r="E4765" s="13">
        <f t="shared" si="2"/>
        <v>10</v>
      </c>
    </row>
    <row r="4766">
      <c r="A4766" s="4" t="s">
        <v>5210</v>
      </c>
      <c r="B4766" s="16"/>
      <c r="C4766" s="12">
        <f>IFERROR(__xludf.DUMMYFUNCTION("""COMPUTED_VALUE"""),44662.428148148145)</f>
        <v>44662.42815</v>
      </c>
      <c r="D4766" s="13">
        <f t="shared" si="1"/>
        <v>11</v>
      </c>
      <c r="E4766" s="13">
        <f t="shared" si="2"/>
        <v>10</v>
      </c>
    </row>
    <row r="4767">
      <c r="A4767" s="4" t="s">
        <v>5211</v>
      </c>
      <c r="B4767" s="16"/>
      <c r="C4767" s="12">
        <f>IFERROR(__xludf.DUMMYFUNCTION("""COMPUTED_VALUE"""),44662.42802083333)</f>
        <v>44662.42802</v>
      </c>
      <c r="D4767" s="13">
        <f t="shared" si="1"/>
        <v>11</v>
      </c>
      <c r="E4767" s="13">
        <f t="shared" si="2"/>
        <v>10</v>
      </c>
    </row>
    <row r="4768">
      <c r="A4768" s="4" t="s">
        <v>5212</v>
      </c>
      <c r="B4768" s="16"/>
      <c r="C4768" s="12">
        <f>IFERROR(__xludf.DUMMYFUNCTION("""COMPUTED_VALUE"""),44662.427094907405)</f>
        <v>44662.42709</v>
      </c>
      <c r="D4768" s="13">
        <f t="shared" si="1"/>
        <v>11</v>
      </c>
      <c r="E4768" s="13">
        <f t="shared" si="2"/>
        <v>10</v>
      </c>
    </row>
    <row r="4769">
      <c r="A4769" s="4" t="s">
        <v>5213</v>
      </c>
      <c r="B4769" s="4" t="s">
        <v>5214</v>
      </c>
      <c r="C4769" s="12">
        <f>IFERROR(__xludf.DUMMYFUNCTION("""COMPUTED_VALUE"""),44662.426099537035)</f>
        <v>44662.4261</v>
      </c>
      <c r="D4769" s="13">
        <f t="shared" si="1"/>
        <v>11</v>
      </c>
      <c r="E4769" s="13">
        <f t="shared" si="2"/>
        <v>10</v>
      </c>
    </row>
    <row r="4770">
      <c r="A4770" s="4" t="s">
        <v>5215</v>
      </c>
      <c r="B4770" s="16"/>
      <c r="C4770" s="12">
        <f>IFERROR(__xludf.DUMMYFUNCTION("""COMPUTED_VALUE"""),44662.42555555555)</f>
        <v>44662.42556</v>
      </c>
      <c r="D4770" s="13">
        <f t="shared" si="1"/>
        <v>11</v>
      </c>
      <c r="E4770" s="13">
        <f t="shared" si="2"/>
        <v>10</v>
      </c>
    </row>
    <row r="4771">
      <c r="A4771" s="4" t="s">
        <v>5216</v>
      </c>
      <c r="B4771" s="16"/>
      <c r="C4771" s="12">
        <f>IFERROR(__xludf.DUMMYFUNCTION("""COMPUTED_VALUE"""),44662.425520833334)</f>
        <v>44662.42552</v>
      </c>
      <c r="D4771" s="13">
        <f t="shared" si="1"/>
        <v>11</v>
      </c>
      <c r="E4771" s="13">
        <f t="shared" si="2"/>
        <v>10</v>
      </c>
    </row>
    <row r="4772">
      <c r="A4772" s="4" t="s">
        <v>5217</v>
      </c>
      <c r="B4772" s="16"/>
      <c r="C4772" s="12">
        <f>IFERROR(__xludf.DUMMYFUNCTION("""COMPUTED_VALUE"""),44662.42386574074)</f>
        <v>44662.42387</v>
      </c>
      <c r="D4772" s="13">
        <f t="shared" si="1"/>
        <v>11</v>
      </c>
      <c r="E4772" s="13">
        <f t="shared" si="2"/>
        <v>10</v>
      </c>
    </row>
    <row r="4773">
      <c r="A4773" s="4" t="s">
        <v>5218</v>
      </c>
      <c r="B4773" s="16"/>
      <c r="C4773" s="12">
        <f>IFERROR(__xludf.DUMMYFUNCTION("""COMPUTED_VALUE"""),44662.4230324074)</f>
        <v>44662.42303</v>
      </c>
      <c r="D4773" s="13">
        <f t="shared" si="1"/>
        <v>11</v>
      </c>
      <c r="E4773" s="13">
        <f t="shared" si="2"/>
        <v>10</v>
      </c>
    </row>
    <row r="4774">
      <c r="A4774" s="4" t="s">
        <v>5219</v>
      </c>
      <c r="B4774" s="4" t="s">
        <v>5220</v>
      </c>
      <c r="C4774" s="12">
        <f>IFERROR(__xludf.DUMMYFUNCTION("""COMPUTED_VALUE"""),44662.42199074074)</f>
        <v>44662.42199</v>
      </c>
      <c r="D4774" s="13">
        <f t="shared" si="1"/>
        <v>11</v>
      </c>
      <c r="E4774" s="13">
        <f t="shared" si="2"/>
        <v>10</v>
      </c>
    </row>
    <row r="4775">
      <c r="A4775" s="4" t="s">
        <v>5221</v>
      </c>
      <c r="B4775" s="4" t="s">
        <v>5222</v>
      </c>
      <c r="C4775" s="12">
        <f>IFERROR(__xludf.DUMMYFUNCTION("""COMPUTED_VALUE"""),44662.42128472222)</f>
        <v>44662.42128</v>
      </c>
      <c r="D4775" s="13">
        <f t="shared" si="1"/>
        <v>11</v>
      </c>
      <c r="E4775" s="13">
        <f t="shared" si="2"/>
        <v>10</v>
      </c>
    </row>
    <row r="4776">
      <c r="A4776" s="4" t="s">
        <v>5223</v>
      </c>
      <c r="B4776" s="4" t="s">
        <v>5222</v>
      </c>
      <c r="C4776" s="12">
        <f>IFERROR(__xludf.DUMMYFUNCTION("""COMPUTED_VALUE"""),44662.42113425925)</f>
        <v>44662.42113</v>
      </c>
      <c r="D4776" s="13">
        <f t="shared" si="1"/>
        <v>11</v>
      </c>
      <c r="E4776" s="13">
        <f t="shared" si="2"/>
        <v>10</v>
      </c>
    </row>
    <row r="4777">
      <c r="A4777" s="4" t="s">
        <v>5224</v>
      </c>
      <c r="B4777" s="16"/>
      <c r="C4777" s="12">
        <f>IFERROR(__xludf.DUMMYFUNCTION("""COMPUTED_VALUE"""),44662.42087962963)</f>
        <v>44662.42088</v>
      </c>
      <c r="D4777" s="13">
        <f t="shared" si="1"/>
        <v>11</v>
      </c>
      <c r="E4777" s="13">
        <f t="shared" si="2"/>
        <v>10</v>
      </c>
    </row>
    <row r="4778">
      <c r="A4778" s="4" t="s">
        <v>5225</v>
      </c>
      <c r="B4778" s="16"/>
      <c r="C4778" s="12">
        <f>IFERROR(__xludf.DUMMYFUNCTION("""COMPUTED_VALUE"""),44662.420810185184)</f>
        <v>44662.42081</v>
      </c>
      <c r="D4778" s="13">
        <f t="shared" si="1"/>
        <v>11</v>
      </c>
      <c r="E4778" s="13">
        <f t="shared" si="2"/>
        <v>10</v>
      </c>
    </row>
    <row r="4779">
      <c r="A4779" s="4" t="s">
        <v>5226</v>
      </c>
      <c r="B4779" s="4" t="s">
        <v>5220</v>
      </c>
      <c r="C4779" s="12">
        <f>IFERROR(__xludf.DUMMYFUNCTION("""COMPUTED_VALUE"""),44662.42060185185)</f>
        <v>44662.4206</v>
      </c>
      <c r="D4779" s="13">
        <f t="shared" si="1"/>
        <v>11</v>
      </c>
      <c r="E4779" s="13">
        <f t="shared" si="2"/>
        <v>10</v>
      </c>
    </row>
    <row r="4780">
      <c r="A4780" s="4" t="s">
        <v>5227</v>
      </c>
      <c r="B4780" s="4" t="s">
        <v>5228</v>
      </c>
      <c r="C4780" s="12">
        <f>IFERROR(__xludf.DUMMYFUNCTION("""COMPUTED_VALUE"""),44662.41979166667)</f>
        <v>44662.41979</v>
      </c>
      <c r="D4780" s="13">
        <f t="shared" si="1"/>
        <v>11</v>
      </c>
      <c r="E4780" s="13">
        <f t="shared" si="2"/>
        <v>10</v>
      </c>
    </row>
    <row r="4781">
      <c r="A4781" s="4" t="s">
        <v>5229</v>
      </c>
      <c r="B4781" s="16"/>
      <c r="C4781" s="12">
        <f>IFERROR(__xludf.DUMMYFUNCTION("""COMPUTED_VALUE"""),44662.41958333333)</f>
        <v>44662.41958</v>
      </c>
      <c r="D4781" s="13">
        <f t="shared" si="1"/>
        <v>11</v>
      </c>
      <c r="E4781" s="13">
        <f t="shared" si="2"/>
        <v>10</v>
      </c>
    </row>
    <row r="4782">
      <c r="A4782" s="4" t="s">
        <v>5230</v>
      </c>
      <c r="B4782" s="16"/>
      <c r="C4782" s="12">
        <f>IFERROR(__xludf.DUMMYFUNCTION("""COMPUTED_VALUE"""),44662.41894675926)</f>
        <v>44662.41895</v>
      </c>
      <c r="D4782" s="13">
        <f t="shared" si="1"/>
        <v>11</v>
      </c>
      <c r="E4782" s="13">
        <f t="shared" si="2"/>
        <v>10</v>
      </c>
    </row>
    <row r="4783">
      <c r="A4783" s="4" t="s">
        <v>5231</v>
      </c>
      <c r="B4783" s="16"/>
      <c r="C4783" s="12">
        <f>IFERROR(__xludf.DUMMYFUNCTION("""COMPUTED_VALUE"""),44662.417766203704)</f>
        <v>44662.41777</v>
      </c>
      <c r="D4783" s="13">
        <f t="shared" si="1"/>
        <v>11</v>
      </c>
      <c r="E4783" s="13">
        <f t="shared" si="2"/>
        <v>10</v>
      </c>
    </row>
    <row r="4784">
      <c r="A4784" s="4" t="s">
        <v>5232</v>
      </c>
      <c r="B4784" s="16"/>
      <c r="C4784" s="12">
        <f>IFERROR(__xludf.DUMMYFUNCTION("""COMPUTED_VALUE"""),44662.417395833334)</f>
        <v>44662.4174</v>
      </c>
      <c r="D4784" s="13">
        <f t="shared" si="1"/>
        <v>11</v>
      </c>
      <c r="E4784" s="13">
        <f t="shared" si="2"/>
        <v>10</v>
      </c>
    </row>
    <row r="4785">
      <c r="A4785" s="4" t="s">
        <v>5233</v>
      </c>
      <c r="B4785" s="4" t="s">
        <v>5234</v>
      </c>
      <c r="C4785" s="12">
        <f>IFERROR(__xludf.DUMMYFUNCTION("""COMPUTED_VALUE"""),44662.416620370364)</f>
        <v>44662.41662</v>
      </c>
      <c r="D4785" s="13">
        <f t="shared" si="1"/>
        <v>11</v>
      </c>
      <c r="E4785" s="13">
        <f t="shared" si="2"/>
        <v>9</v>
      </c>
    </row>
    <row r="4786">
      <c r="A4786" s="4" t="s">
        <v>5235</v>
      </c>
      <c r="B4786" s="16"/>
      <c r="C4786" s="12">
        <f>IFERROR(__xludf.DUMMYFUNCTION("""COMPUTED_VALUE"""),44662.415196759255)</f>
        <v>44662.4152</v>
      </c>
      <c r="D4786" s="13">
        <f t="shared" si="1"/>
        <v>11</v>
      </c>
      <c r="E4786" s="13">
        <f t="shared" si="2"/>
        <v>9</v>
      </c>
    </row>
    <row r="4787">
      <c r="A4787" s="4" t="s">
        <v>5236</v>
      </c>
      <c r="B4787" s="16"/>
      <c r="C4787" s="12">
        <f>IFERROR(__xludf.DUMMYFUNCTION("""COMPUTED_VALUE"""),44662.414826388886)</f>
        <v>44662.41483</v>
      </c>
      <c r="D4787" s="13">
        <f t="shared" si="1"/>
        <v>11</v>
      </c>
      <c r="E4787" s="13">
        <f t="shared" si="2"/>
        <v>9</v>
      </c>
    </row>
    <row r="4788">
      <c r="A4788" s="4" t="s">
        <v>5237</v>
      </c>
      <c r="B4788" s="16"/>
      <c r="C4788" s="12">
        <f>IFERROR(__xludf.DUMMYFUNCTION("""COMPUTED_VALUE"""),44662.41398148148)</f>
        <v>44662.41398</v>
      </c>
      <c r="D4788" s="13">
        <f t="shared" si="1"/>
        <v>11</v>
      </c>
      <c r="E4788" s="13">
        <f t="shared" si="2"/>
        <v>9</v>
      </c>
    </row>
    <row r="4789">
      <c r="A4789" s="4" t="s">
        <v>5238</v>
      </c>
      <c r="B4789" s="4" t="s">
        <v>5239</v>
      </c>
      <c r="C4789" s="12">
        <f>IFERROR(__xludf.DUMMYFUNCTION("""COMPUTED_VALUE"""),44662.41395833333)</f>
        <v>44662.41396</v>
      </c>
      <c r="D4789" s="13">
        <f t="shared" si="1"/>
        <v>11</v>
      </c>
      <c r="E4789" s="13">
        <f t="shared" si="2"/>
        <v>9</v>
      </c>
    </row>
    <row r="4790">
      <c r="A4790" s="4" t="s">
        <v>5240</v>
      </c>
      <c r="B4790" s="16"/>
      <c r="C4790" s="12">
        <f>IFERROR(__xludf.DUMMYFUNCTION("""COMPUTED_VALUE"""),44662.413460648146)</f>
        <v>44662.41346</v>
      </c>
      <c r="D4790" s="13">
        <f t="shared" si="1"/>
        <v>11</v>
      </c>
      <c r="E4790" s="13">
        <f t="shared" si="2"/>
        <v>9</v>
      </c>
    </row>
    <row r="4791">
      <c r="A4791" s="4" t="s">
        <v>5241</v>
      </c>
      <c r="B4791" s="16"/>
      <c r="C4791" s="12">
        <f>IFERROR(__xludf.DUMMYFUNCTION("""COMPUTED_VALUE"""),44662.413310185184)</f>
        <v>44662.41331</v>
      </c>
      <c r="D4791" s="13">
        <f t="shared" si="1"/>
        <v>11</v>
      </c>
      <c r="E4791" s="13">
        <f t="shared" si="2"/>
        <v>9</v>
      </c>
    </row>
    <row r="4792">
      <c r="A4792" s="4" t="s">
        <v>5242</v>
      </c>
      <c r="B4792" s="16"/>
      <c r="C4792" s="12">
        <f>IFERROR(__xludf.DUMMYFUNCTION("""COMPUTED_VALUE"""),44662.41328703704)</f>
        <v>44662.41329</v>
      </c>
      <c r="D4792" s="13">
        <f t="shared" si="1"/>
        <v>11</v>
      </c>
      <c r="E4792" s="13">
        <f t="shared" si="2"/>
        <v>9</v>
      </c>
    </row>
    <row r="4793">
      <c r="A4793" s="4" t="s">
        <v>5243</v>
      </c>
      <c r="B4793" s="16"/>
      <c r="C4793" s="12">
        <f>IFERROR(__xludf.DUMMYFUNCTION("""COMPUTED_VALUE"""),44662.41311342592)</f>
        <v>44662.41311</v>
      </c>
      <c r="D4793" s="13">
        <f t="shared" si="1"/>
        <v>11</v>
      </c>
      <c r="E4793" s="13">
        <f t="shared" si="2"/>
        <v>9</v>
      </c>
    </row>
    <row r="4794">
      <c r="A4794" s="4" t="s">
        <v>5244</v>
      </c>
      <c r="B4794" s="4" t="s">
        <v>5245</v>
      </c>
      <c r="C4794" s="12">
        <f>IFERROR(__xludf.DUMMYFUNCTION("""COMPUTED_VALUE"""),44662.413043981476)</f>
        <v>44662.41304</v>
      </c>
      <c r="D4794" s="13">
        <f t="shared" si="1"/>
        <v>11</v>
      </c>
      <c r="E4794" s="13">
        <f t="shared" si="2"/>
        <v>9</v>
      </c>
    </row>
    <row r="4795">
      <c r="A4795" s="4" t="s">
        <v>5246</v>
      </c>
      <c r="B4795" s="16"/>
      <c r="C4795" s="12">
        <f>IFERROR(__xludf.DUMMYFUNCTION("""COMPUTED_VALUE"""),44662.41233796296)</f>
        <v>44662.41234</v>
      </c>
      <c r="D4795" s="13">
        <f t="shared" si="1"/>
        <v>11</v>
      </c>
      <c r="E4795" s="13">
        <f t="shared" si="2"/>
        <v>9</v>
      </c>
    </row>
    <row r="4796">
      <c r="A4796" s="4" t="s">
        <v>5246</v>
      </c>
      <c r="B4796" s="4" t="s">
        <v>5247</v>
      </c>
      <c r="C4796" s="12">
        <f>IFERROR(__xludf.DUMMYFUNCTION("""COMPUTED_VALUE"""),44662.41233796296)</f>
        <v>44662.41234</v>
      </c>
      <c r="D4796" s="13">
        <f t="shared" si="1"/>
        <v>11</v>
      </c>
      <c r="E4796" s="13">
        <f t="shared" si="2"/>
        <v>9</v>
      </c>
    </row>
    <row r="4797">
      <c r="A4797" s="4" t="s">
        <v>5248</v>
      </c>
      <c r="B4797" s="16"/>
      <c r="C4797" s="12">
        <f>IFERROR(__xludf.DUMMYFUNCTION("""COMPUTED_VALUE"""),44662.41230324074)</f>
        <v>44662.4123</v>
      </c>
      <c r="D4797" s="13">
        <f t="shared" si="1"/>
        <v>11</v>
      </c>
      <c r="E4797" s="13">
        <f t="shared" si="2"/>
        <v>9</v>
      </c>
    </row>
    <row r="4798">
      <c r="A4798" s="4" t="s">
        <v>5249</v>
      </c>
      <c r="B4798" s="4" t="s">
        <v>5250</v>
      </c>
      <c r="C4798" s="12">
        <f>IFERROR(__xludf.DUMMYFUNCTION("""COMPUTED_VALUE"""),44662.412268518514)</f>
        <v>44662.41227</v>
      </c>
      <c r="D4798" s="13">
        <f t="shared" si="1"/>
        <v>11</v>
      </c>
      <c r="E4798" s="13">
        <f t="shared" si="2"/>
        <v>9</v>
      </c>
    </row>
    <row r="4799">
      <c r="A4799" s="4" t="s">
        <v>5251</v>
      </c>
      <c r="B4799" s="4" t="s">
        <v>5234</v>
      </c>
      <c r="C4799" s="12">
        <f>IFERROR(__xludf.DUMMYFUNCTION("""COMPUTED_VALUE"""),44662.41223379629)</f>
        <v>44662.41223</v>
      </c>
      <c r="D4799" s="13">
        <f t="shared" si="1"/>
        <v>11</v>
      </c>
      <c r="E4799" s="13">
        <f t="shared" si="2"/>
        <v>9</v>
      </c>
    </row>
    <row r="4800">
      <c r="A4800" s="4" t="s">
        <v>5252</v>
      </c>
      <c r="B4800" s="4" t="s">
        <v>5234</v>
      </c>
      <c r="C4800" s="12">
        <f>IFERROR(__xludf.DUMMYFUNCTION("""COMPUTED_VALUE"""),44662.412210648145)</f>
        <v>44662.41221</v>
      </c>
      <c r="D4800" s="13">
        <f t="shared" si="1"/>
        <v>11</v>
      </c>
      <c r="E4800" s="13">
        <f t="shared" si="2"/>
        <v>9</v>
      </c>
    </row>
    <row r="4801">
      <c r="A4801" s="4" t="s">
        <v>5253</v>
      </c>
      <c r="B4801" s="4" t="s">
        <v>5247</v>
      </c>
      <c r="C4801" s="12">
        <f>IFERROR(__xludf.DUMMYFUNCTION("""COMPUTED_VALUE"""),44662.4121875)</f>
        <v>44662.41219</v>
      </c>
      <c r="D4801" s="13">
        <f t="shared" si="1"/>
        <v>11</v>
      </c>
      <c r="E4801" s="13">
        <f t="shared" si="2"/>
        <v>9</v>
      </c>
    </row>
    <row r="4802">
      <c r="A4802" s="4" t="s">
        <v>5254</v>
      </c>
      <c r="B4802" s="4" t="s">
        <v>5234</v>
      </c>
      <c r="C4802" s="12">
        <f>IFERROR(__xludf.DUMMYFUNCTION("""COMPUTED_VALUE"""),44662.41216435185)</f>
        <v>44662.41216</v>
      </c>
      <c r="D4802" s="13">
        <f t="shared" si="1"/>
        <v>11</v>
      </c>
      <c r="E4802" s="13">
        <f t="shared" si="2"/>
        <v>9</v>
      </c>
    </row>
    <row r="4803">
      <c r="A4803" s="4" t="s">
        <v>5255</v>
      </c>
      <c r="B4803" s="4" t="s">
        <v>5234</v>
      </c>
      <c r="C4803" s="12">
        <f>IFERROR(__xludf.DUMMYFUNCTION("""COMPUTED_VALUE"""),44662.4121412037)</f>
        <v>44662.41214</v>
      </c>
      <c r="D4803" s="13">
        <f t="shared" si="1"/>
        <v>11</v>
      </c>
      <c r="E4803" s="13">
        <f t="shared" si="2"/>
        <v>9</v>
      </c>
    </row>
    <row r="4804">
      <c r="A4804" s="4" t="s">
        <v>5256</v>
      </c>
      <c r="B4804" s="4" t="s">
        <v>5257</v>
      </c>
      <c r="C4804" s="12">
        <f>IFERROR(__xludf.DUMMYFUNCTION("""COMPUTED_VALUE"""),44662.41180555555)</f>
        <v>44662.41181</v>
      </c>
      <c r="D4804" s="13">
        <f t="shared" si="1"/>
        <v>11</v>
      </c>
      <c r="E4804" s="13">
        <f t="shared" si="2"/>
        <v>9</v>
      </c>
    </row>
    <row r="4805">
      <c r="A4805" s="4" t="s">
        <v>5258</v>
      </c>
      <c r="B4805" s="4" t="s">
        <v>5259</v>
      </c>
      <c r="C4805" s="12">
        <f>IFERROR(__xludf.DUMMYFUNCTION("""COMPUTED_VALUE"""),44662.4109837963)</f>
        <v>44662.41098</v>
      </c>
      <c r="D4805" s="13">
        <f t="shared" si="1"/>
        <v>11</v>
      </c>
      <c r="E4805" s="13">
        <f t="shared" si="2"/>
        <v>9</v>
      </c>
    </row>
    <row r="4806">
      <c r="A4806" s="4" t="s">
        <v>5260</v>
      </c>
      <c r="B4806" s="16"/>
      <c r="C4806" s="12">
        <f>IFERROR(__xludf.DUMMYFUNCTION("""COMPUTED_VALUE"""),44662.41075231481)</f>
        <v>44662.41075</v>
      </c>
      <c r="D4806" s="13">
        <f t="shared" si="1"/>
        <v>11</v>
      </c>
      <c r="E4806" s="13">
        <f t="shared" si="2"/>
        <v>9</v>
      </c>
    </row>
    <row r="4807">
      <c r="A4807" s="4" t="s">
        <v>5261</v>
      </c>
      <c r="B4807" s="16"/>
      <c r="C4807" s="12">
        <f>IFERROR(__xludf.DUMMYFUNCTION("""COMPUTED_VALUE"""),44662.409537037034)</f>
        <v>44662.40954</v>
      </c>
      <c r="D4807" s="13">
        <f t="shared" si="1"/>
        <v>11</v>
      </c>
      <c r="E4807" s="13">
        <f t="shared" si="2"/>
        <v>9</v>
      </c>
    </row>
    <row r="4808">
      <c r="A4808" s="4" t="s">
        <v>5262</v>
      </c>
      <c r="B4808" s="4" t="s">
        <v>5263</v>
      </c>
      <c r="C4808" s="12">
        <f>IFERROR(__xludf.DUMMYFUNCTION("""COMPUTED_VALUE"""),44662.40946759259)</f>
        <v>44662.40947</v>
      </c>
      <c r="D4808" s="13">
        <f t="shared" si="1"/>
        <v>11</v>
      </c>
      <c r="E4808" s="13">
        <f t="shared" si="2"/>
        <v>9</v>
      </c>
    </row>
    <row r="4809">
      <c r="A4809" s="4" t="s">
        <v>5264</v>
      </c>
      <c r="B4809" s="4" t="s">
        <v>5263</v>
      </c>
      <c r="C4809" s="12">
        <f>IFERROR(__xludf.DUMMYFUNCTION("""COMPUTED_VALUE"""),44662.40944444444)</f>
        <v>44662.40944</v>
      </c>
      <c r="D4809" s="13">
        <f t="shared" si="1"/>
        <v>11</v>
      </c>
      <c r="E4809" s="13">
        <f t="shared" si="2"/>
        <v>9</v>
      </c>
    </row>
    <row r="4810">
      <c r="A4810" s="4" t="s">
        <v>5265</v>
      </c>
      <c r="B4810" s="4" t="s">
        <v>5263</v>
      </c>
      <c r="C4810" s="12">
        <f>IFERROR(__xludf.DUMMYFUNCTION("""COMPUTED_VALUE"""),44662.409062499995)</f>
        <v>44662.40906</v>
      </c>
      <c r="D4810" s="13">
        <f t="shared" si="1"/>
        <v>11</v>
      </c>
      <c r="E4810" s="13">
        <f t="shared" si="2"/>
        <v>9</v>
      </c>
    </row>
    <row r="4811">
      <c r="A4811" s="4" t="s">
        <v>5266</v>
      </c>
      <c r="B4811" s="4" t="s">
        <v>5263</v>
      </c>
      <c r="C4811" s="12">
        <f>IFERROR(__xludf.DUMMYFUNCTION("""COMPUTED_VALUE"""),44662.4090162037)</f>
        <v>44662.40902</v>
      </c>
      <c r="D4811" s="13">
        <f t="shared" si="1"/>
        <v>11</v>
      </c>
      <c r="E4811" s="13">
        <f t="shared" si="2"/>
        <v>9</v>
      </c>
    </row>
    <row r="4812">
      <c r="A4812" s="4" t="s">
        <v>5267</v>
      </c>
      <c r="B4812" s="4" t="s">
        <v>5263</v>
      </c>
      <c r="C4812" s="12">
        <f>IFERROR(__xludf.DUMMYFUNCTION("""COMPUTED_VALUE"""),44662.40899305556)</f>
        <v>44662.40899</v>
      </c>
      <c r="D4812" s="13">
        <f t="shared" si="1"/>
        <v>11</v>
      </c>
      <c r="E4812" s="13">
        <f t="shared" si="2"/>
        <v>9</v>
      </c>
    </row>
    <row r="4813">
      <c r="A4813" s="4" t="s">
        <v>5268</v>
      </c>
      <c r="B4813" s="4" t="s">
        <v>5263</v>
      </c>
      <c r="C4813" s="12">
        <f>IFERROR(__xludf.DUMMYFUNCTION("""COMPUTED_VALUE"""),44662.4089699074)</f>
        <v>44662.40897</v>
      </c>
      <c r="D4813" s="13">
        <f t="shared" si="1"/>
        <v>11</v>
      </c>
      <c r="E4813" s="13">
        <f t="shared" si="2"/>
        <v>9</v>
      </c>
    </row>
    <row r="4814">
      <c r="A4814" s="4" t="s">
        <v>5269</v>
      </c>
      <c r="B4814" s="4" t="s">
        <v>5263</v>
      </c>
      <c r="C4814" s="12">
        <f>IFERROR(__xludf.DUMMYFUNCTION("""COMPUTED_VALUE"""),44662.40895833333)</f>
        <v>44662.40896</v>
      </c>
      <c r="D4814" s="13">
        <f t="shared" si="1"/>
        <v>11</v>
      </c>
      <c r="E4814" s="13">
        <f t="shared" si="2"/>
        <v>9</v>
      </c>
    </row>
    <row r="4815">
      <c r="A4815" s="4" t="s">
        <v>5270</v>
      </c>
      <c r="B4815" s="4" t="s">
        <v>5263</v>
      </c>
      <c r="C4815" s="12">
        <f>IFERROR(__xludf.DUMMYFUNCTION("""COMPUTED_VALUE"""),44662.40894675926)</f>
        <v>44662.40895</v>
      </c>
      <c r="D4815" s="13">
        <f t="shared" si="1"/>
        <v>11</v>
      </c>
      <c r="E4815" s="13">
        <f t="shared" si="2"/>
        <v>9</v>
      </c>
    </row>
    <row r="4816">
      <c r="A4816" s="4" t="s">
        <v>5271</v>
      </c>
      <c r="B4816" s="4" t="s">
        <v>5263</v>
      </c>
      <c r="C4816" s="12">
        <f>IFERROR(__xludf.DUMMYFUNCTION("""COMPUTED_VALUE"""),44662.40892361111)</f>
        <v>44662.40892</v>
      </c>
      <c r="D4816" s="13">
        <f t="shared" si="1"/>
        <v>11</v>
      </c>
      <c r="E4816" s="13">
        <f t="shared" si="2"/>
        <v>9</v>
      </c>
    </row>
    <row r="4817">
      <c r="A4817" s="4" t="s">
        <v>5272</v>
      </c>
      <c r="B4817" s="4" t="s">
        <v>5263</v>
      </c>
      <c r="C4817" s="12">
        <f>IFERROR(__xludf.DUMMYFUNCTION("""COMPUTED_VALUE"""),44662.40891203703)</f>
        <v>44662.40891</v>
      </c>
      <c r="D4817" s="13">
        <f t="shared" si="1"/>
        <v>11</v>
      </c>
      <c r="E4817" s="13">
        <f t="shared" si="2"/>
        <v>9</v>
      </c>
    </row>
    <row r="4818">
      <c r="A4818" s="4" t="s">
        <v>5273</v>
      </c>
      <c r="B4818" s="4" t="s">
        <v>5263</v>
      </c>
      <c r="C4818" s="12">
        <f>IFERROR(__xludf.DUMMYFUNCTION("""COMPUTED_VALUE"""),44662.408900462964)</f>
        <v>44662.4089</v>
      </c>
      <c r="D4818" s="13">
        <f t="shared" si="1"/>
        <v>11</v>
      </c>
      <c r="E4818" s="13">
        <f t="shared" si="2"/>
        <v>9</v>
      </c>
    </row>
    <row r="4819">
      <c r="A4819" s="4" t="s">
        <v>5274</v>
      </c>
      <c r="B4819" s="4" t="s">
        <v>5263</v>
      </c>
      <c r="C4819" s="12">
        <f>IFERROR(__xludf.DUMMYFUNCTION("""COMPUTED_VALUE"""),44662.40887731481)</f>
        <v>44662.40888</v>
      </c>
      <c r="D4819" s="13">
        <f t="shared" si="1"/>
        <v>11</v>
      </c>
      <c r="E4819" s="13">
        <f t="shared" si="2"/>
        <v>9</v>
      </c>
    </row>
    <row r="4820">
      <c r="A4820" s="4" t="s">
        <v>5275</v>
      </c>
      <c r="B4820" s="4" t="s">
        <v>5263</v>
      </c>
      <c r="C4820" s="12">
        <f>IFERROR(__xludf.DUMMYFUNCTION("""COMPUTED_VALUE"""),44662.40886574074)</f>
        <v>44662.40887</v>
      </c>
      <c r="D4820" s="13">
        <f t="shared" si="1"/>
        <v>11</v>
      </c>
      <c r="E4820" s="13">
        <f t="shared" si="2"/>
        <v>9</v>
      </c>
    </row>
    <row r="4821">
      <c r="A4821" s="4" t="s">
        <v>5276</v>
      </c>
      <c r="B4821" s="4" t="s">
        <v>5263</v>
      </c>
      <c r="C4821" s="12">
        <f>IFERROR(__xludf.DUMMYFUNCTION("""COMPUTED_VALUE"""),44662.40884259259)</f>
        <v>44662.40884</v>
      </c>
      <c r="D4821" s="13">
        <f t="shared" si="1"/>
        <v>11</v>
      </c>
      <c r="E4821" s="13">
        <f t="shared" si="2"/>
        <v>9</v>
      </c>
    </row>
    <row r="4822">
      <c r="A4822" s="4" t="s">
        <v>5277</v>
      </c>
      <c r="B4822" s="4" t="s">
        <v>5278</v>
      </c>
      <c r="C4822" s="12">
        <f>IFERROR(__xludf.DUMMYFUNCTION("""COMPUTED_VALUE"""),44662.40883101852)</f>
        <v>44662.40883</v>
      </c>
      <c r="D4822" s="13">
        <f t="shared" si="1"/>
        <v>11</v>
      </c>
      <c r="E4822" s="13">
        <f t="shared" si="2"/>
        <v>9</v>
      </c>
    </row>
    <row r="4823">
      <c r="A4823" s="4" t="s">
        <v>5279</v>
      </c>
      <c r="B4823" s="4" t="s">
        <v>5263</v>
      </c>
      <c r="C4823" s="12">
        <f>IFERROR(__xludf.DUMMYFUNCTION("""COMPUTED_VALUE"""),44662.40881944444)</f>
        <v>44662.40882</v>
      </c>
      <c r="D4823" s="13">
        <f t="shared" si="1"/>
        <v>11</v>
      </c>
      <c r="E4823" s="13">
        <f t="shared" si="2"/>
        <v>9</v>
      </c>
    </row>
    <row r="4824">
      <c r="A4824" s="4" t="s">
        <v>5279</v>
      </c>
      <c r="B4824" s="4" t="s">
        <v>5278</v>
      </c>
      <c r="C4824" s="12">
        <f>IFERROR(__xludf.DUMMYFUNCTION("""COMPUTED_VALUE"""),44662.40881944444)</f>
        <v>44662.40882</v>
      </c>
      <c r="D4824" s="13">
        <f t="shared" si="1"/>
        <v>11</v>
      </c>
      <c r="E4824" s="13">
        <f t="shared" si="2"/>
        <v>9</v>
      </c>
    </row>
    <row r="4825">
      <c r="A4825" s="4" t="s">
        <v>5280</v>
      </c>
      <c r="B4825" s="4" t="s">
        <v>5278</v>
      </c>
      <c r="C4825" s="12">
        <f>IFERROR(__xludf.DUMMYFUNCTION("""COMPUTED_VALUE"""),44662.408807870364)</f>
        <v>44662.40881</v>
      </c>
      <c r="D4825" s="13">
        <f t="shared" si="1"/>
        <v>11</v>
      </c>
      <c r="E4825" s="13">
        <f t="shared" si="2"/>
        <v>9</v>
      </c>
    </row>
    <row r="4826">
      <c r="A4826" s="4" t="s">
        <v>5280</v>
      </c>
      <c r="B4826" s="4" t="s">
        <v>5263</v>
      </c>
      <c r="C4826" s="12">
        <f>IFERROR(__xludf.DUMMYFUNCTION("""COMPUTED_VALUE"""),44662.408807870364)</f>
        <v>44662.40881</v>
      </c>
      <c r="D4826" s="13">
        <f t="shared" si="1"/>
        <v>11</v>
      </c>
      <c r="E4826" s="13">
        <f t="shared" si="2"/>
        <v>9</v>
      </c>
    </row>
    <row r="4827">
      <c r="A4827" s="4" t="s">
        <v>5281</v>
      </c>
      <c r="B4827" s="4" t="s">
        <v>5278</v>
      </c>
      <c r="C4827" s="12">
        <f>IFERROR(__xludf.DUMMYFUNCTION("""COMPUTED_VALUE"""),44662.40878472222)</f>
        <v>44662.40878</v>
      </c>
      <c r="D4827" s="13">
        <f t="shared" si="1"/>
        <v>11</v>
      </c>
      <c r="E4827" s="13">
        <f t="shared" si="2"/>
        <v>9</v>
      </c>
    </row>
    <row r="4828">
      <c r="A4828" s="4" t="s">
        <v>5281</v>
      </c>
      <c r="B4828" s="4" t="s">
        <v>5263</v>
      </c>
      <c r="C4828" s="12">
        <f>IFERROR(__xludf.DUMMYFUNCTION("""COMPUTED_VALUE"""),44662.40878472222)</f>
        <v>44662.40878</v>
      </c>
      <c r="D4828" s="13">
        <f t="shared" si="1"/>
        <v>11</v>
      </c>
      <c r="E4828" s="13">
        <f t="shared" si="2"/>
        <v>9</v>
      </c>
    </row>
    <row r="4829">
      <c r="A4829" s="4" t="s">
        <v>5282</v>
      </c>
      <c r="B4829" s="4" t="s">
        <v>5278</v>
      </c>
      <c r="C4829" s="12">
        <f>IFERROR(__xludf.DUMMYFUNCTION("""COMPUTED_VALUE"""),44662.40877314815)</f>
        <v>44662.40877</v>
      </c>
      <c r="D4829" s="13">
        <f t="shared" si="1"/>
        <v>11</v>
      </c>
      <c r="E4829" s="13">
        <f t="shared" si="2"/>
        <v>9</v>
      </c>
    </row>
    <row r="4830">
      <c r="A4830" s="4" t="s">
        <v>5282</v>
      </c>
      <c r="B4830" s="4" t="s">
        <v>5263</v>
      </c>
      <c r="C4830" s="12">
        <f>IFERROR(__xludf.DUMMYFUNCTION("""COMPUTED_VALUE"""),44662.40877314815)</f>
        <v>44662.40877</v>
      </c>
      <c r="D4830" s="13">
        <f t="shared" si="1"/>
        <v>11</v>
      </c>
      <c r="E4830" s="13">
        <f t="shared" si="2"/>
        <v>9</v>
      </c>
    </row>
    <row r="4831">
      <c r="A4831" s="4" t="s">
        <v>5283</v>
      </c>
      <c r="B4831" s="4" t="s">
        <v>5278</v>
      </c>
      <c r="C4831" s="12">
        <f>IFERROR(__xludf.DUMMYFUNCTION("""COMPUTED_VALUE"""),44662.40876157407)</f>
        <v>44662.40876</v>
      </c>
      <c r="D4831" s="13">
        <f t="shared" si="1"/>
        <v>11</v>
      </c>
      <c r="E4831" s="13">
        <f t="shared" si="2"/>
        <v>9</v>
      </c>
    </row>
    <row r="4832">
      <c r="A4832" s="4" t="s">
        <v>5284</v>
      </c>
      <c r="B4832" s="4" t="s">
        <v>5263</v>
      </c>
      <c r="C4832" s="12">
        <f>IFERROR(__xludf.DUMMYFUNCTION("""COMPUTED_VALUE"""),44662.408749999995)</f>
        <v>44662.40875</v>
      </c>
      <c r="D4832" s="13">
        <f t="shared" si="1"/>
        <v>11</v>
      </c>
      <c r="E4832" s="13">
        <f t="shared" si="2"/>
        <v>9</v>
      </c>
    </row>
    <row r="4833">
      <c r="A4833" s="4" t="s">
        <v>5285</v>
      </c>
      <c r="B4833" s="4" t="s">
        <v>5278</v>
      </c>
      <c r="C4833" s="12">
        <f>IFERROR(__xludf.DUMMYFUNCTION("""COMPUTED_VALUE"""),44662.408738425926)</f>
        <v>44662.40874</v>
      </c>
      <c r="D4833" s="13">
        <f t="shared" si="1"/>
        <v>11</v>
      </c>
      <c r="E4833" s="13">
        <f t="shared" si="2"/>
        <v>9</v>
      </c>
    </row>
    <row r="4834">
      <c r="A4834" s="4" t="s">
        <v>5285</v>
      </c>
      <c r="B4834" s="4" t="s">
        <v>5263</v>
      </c>
      <c r="C4834" s="12">
        <f>IFERROR(__xludf.DUMMYFUNCTION("""COMPUTED_VALUE"""),44662.408738425926)</f>
        <v>44662.40874</v>
      </c>
      <c r="D4834" s="13">
        <f t="shared" si="1"/>
        <v>11</v>
      </c>
      <c r="E4834" s="13">
        <f t="shared" si="2"/>
        <v>9</v>
      </c>
    </row>
    <row r="4835">
      <c r="A4835" s="4" t="s">
        <v>5286</v>
      </c>
      <c r="B4835" s="4" t="s">
        <v>5278</v>
      </c>
      <c r="C4835" s="12">
        <f>IFERROR(__xludf.DUMMYFUNCTION("""COMPUTED_VALUE"""),44662.40871527777)</f>
        <v>44662.40872</v>
      </c>
      <c r="D4835" s="13">
        <f t="shared" si="1"/>
        <v>11</v>
      </c>
      <c r="E4835" s="13">
        <f t="shared" si="2"/>
        <v>9</v>
      </c>
    </row>
    <row r="4836">
      <c r="A4836" s="4" t="s">
        <v>5287</v>
      </c>
      <c r="B4836" s="4" t="s">
        <v>5263</v>
      </c>
      <c r="C4836" s="12">
        <f>IFERROR(__xludf.DUMMYFUNCTION("""COMPUTED_VALUE"""),44662.408680555556)</f>
        <v>44662.40868</v>
      </c>
      <c r="D4836" s="13">
        <f t="shared" si="1"/>
        <v>11</v>
      </c>
      <c r="E4836" s="13">
        <f t="shared" si="2"/>
        <v>9</v>
      </c>
    </row>
    <row r="4837">
      <c r="A4837" s="4" t="s">
        <v>5288</v>
      </c>
      <c r="B4837" s="4" t="s">
        <v>5278</v>
      </c>
      <c r="C4837" s="12">
        <f>IFERROR(__xludf.DUMMYFUNCTION("""COMPUTED_VALUE"""),44662.40859953703)</f>
        <v>44662.4086</v>
      </c>
      <c r="D4837" s="13">
        <f t="shared" si="1"/>
        <v>11</v>
      </c>
      <c r="E4837" s="13">
        <f t="shared" si="2"/>
        <v>9</v>
      </c>
    </row>
    <row r="4838">
      <c r="A4838" s="4" t="s">
        <v>5289</v>
      </c>
      <c r="B4838" s="4" t="s">
        <v>5263</v>
      </c>
      <c r="C4838" s="12">
        <f>IFERROR(__xludf.DUMMYFUNCTION("""COMPUTED_VALUE"""),44662.40829861111)</f>
        <v>44662.4083</v>
      </c>
      <c r="D4838" s="13">
        <f t="shared" si="1"/>
        <v>11</v>
      </c>
      <c r="E4838" s="13">
        <f t="shared" si="2"/>
        <v>9</v>
      </c>
    </row>
    <row r="4839">
      <c r="A4839" s="4" t="s">
        <v>5290</v>
      </c>
      <c r="B4839" s="16"/>
      <c r="C4839" s="12">
        <f>IFERROR(__xludf.DUMMYFUNCTION("""COMPUTED_VALUE"""),44662.40814814815)</f>
        <v>44662.40815</v>
      </c>
      <c r="D4839" s="13">
        <f t="shared" si="1"/>
        <v>11</v>
      </c>
      <c r="E4839" s="13">
        <f t="shared" si="2"/>
        <v>9</v>
      </c>
    </row>
    <row r="4840">
      <c r="A4840" s="4" t="s">
        <v>5291</v>
      </c>
      <c r="B4840" s="4" t="s">
        <v>5292</v>
      </c>
      <c r="C4840" s="12">
        <f>IFERROR(__xludf.DUMMYFUNCTION("""COMPUTED_VALUE"""),44662.406122685185)</f>
        <v>44662.40612</v>
      </c>
      <c r="D4840" s="13">
        <f t="shared" si="1"/>
        <v>11</v>
      </c>
      <c r="E4840" s="13">
        <f t="shared" si="2"/>
        <v>9</v>
      </c>
    </row>
    <row r="4841">
      <c r="A4841" s="4" t="s">
        <v>5293</v>
      </c>
      <c r="B4841" s="4" t="s">
        <v>5292</v>
      </c>
      <c r="C4841" s="12">
        <f>IFERROR(__xludf.DUMMYFUNCTION("""COMPUTED_VALUE"""),44662.40584490741)</f>
        <v>44662.40584</v>
      </c>
      <c r="D4841" s="13">
        <f t="shared" si="1"/>
        <v>11</v>
      </c>
      <c r="E4841" s="13">
        <f t="shared" si="2"/>
        <v>9</v>
      </c>
    </row>
    <row r="4842">
      <c r="A4842" s="4" t="s">
        <v>5294</v>
      </c>
      <c r="B4842" s="16"/>
      <c r="C4842" s="12">
        <f>IFERROR(__xludf.DUMMYFUNCTION("""COMPUTED_VALUE"""),44662.40568287037)</f>
        <v>44662.40568</v>
      </c>
      <c r="D4842" s="13">
        <f t="shared" si="1"/>
        <v>11</v>
      </c>
      <c r="E4842" s="13">
        <f t="shared" si="2"/>
        <v>9</v>
      </c>
    </row>
    <row r="4843">
      <c r="A4843" s="4" t="s">
        <v>5295</v>
      </c>
      <c r="B4843" s="4" t="s">
        <v>5292</v>
      </c>
      <c r="C4843" s="12">
        <f>IFERROR(__xludf.DUMMYFUNCTION("""COMPUTED_VALUE"""),44662.40555555555)</f>
        <v>44662.40556</v>
      </c>
      <c r="D4843" s="13">
        <f t="shared" si="1"/>
        <v>11</v>
      </c>
      <c r="E4843" s="13">
        <f t="shared" si="2"/>
        <v>9</v>
      </c>
    </row>
    <row r="4844">
      <c r="A4844" s="4" t="s">
        <v>5296</v>
      </c>
      <c r="B4844" s="4" t="s">
        <v>5292</v>
      </c>
      <c r="C4844" s="12">
        <f>IFERROR(__xludf.DUMMYFUNCTION("""COMPUTED_VALUE"""),44662.404710648145)</f>
        <v>44662.40471</v>
      </c>
      <c r="D4844" s="13">
        <f t="shared" si="1"/>
        <v>11</v>
      </c>
      <c r="E4844" s="13">
        <f t="shared" si="2"/>
        <v>9</v>
      </c>
    </row>
    <row r="4845">
      <c r="A4845" s="4" t="s">
        <v>5297</v>
      </c>
      <c r="B4845" s="16"/>
      <c r="C4845" s="12">
        <f>IFERROR(__xludf.DUMMYFUNCTION("""COMPUTED_VALUE"""),44662.4040625)</f>
        <v>44662.40406</v>
      </c>
      <c r="D4845" s="13">
        <f t="shared" si="1"/>
        <v>11</v>
      </c>
      <c r="E4845" s="13">
        <f t="shared" si="2"/>
        <v>9</v>
      </c>
    </row>
    <row r="4846">
      <c r="A4846" s="4" t="s">
        <v>5298</v>
      </c>
      <c r="B4846" s="4" t="s">
        <v>5299</v>
      </c>
      <c r="C4846" s="12">
        <f>IFERROR(__xludf.DUMMYFUNCTION("""COMPUTED_VALUE"""),44662.40270833333)</f>
        <v>44662.40271</v>
      </c>
      <c r="D4846" s="13">
        <f t="shared" si="1"/>
        <v>11</v>
      </c>
      <c r="E4846" s="13">
        <f t="shared" si="2"/>
        <v>9</v>
      </c>
    </row>
    <row r="4847">
      <c r="A4847" s="4" t="s">
        <v>5300</v>
      </c>
      <c r="B4847" s="16"/>
      <c r="C4847" s="12">
        <f>IFERROR(__xludf.DUMMYFUNCTION("""COMPUTED_VALUE"""),44662.40268518518)</f>
        <v>44662.40269</v>
      </c>
      <c r="D4847" s="13">
        <f t="shared" si="1"/>
        <v>11</v>
      </c>
      <c r="E4847" s="13">
        <f t="shared" si="2"/>
        <v>9</v>
      </c>
    </row>
    <row r="4848">
      <c r="A4848" s="4" t="s">
        <v>5301</v>
      </c>
      <c r="B4848" s="4" t="s">
        <v>5299</v>
      </c>
      <c r="C4848" s="12">
        <f>IFERROR(__xludf.DUMMYFUNCTION("""COMPUTED_VALUE"""),44662.40256944444)</f>
        <v>44662.40257</v>
      </c>
      <c r="D4848" s="13">
        <f t="shared" si="1"/>
        <v>11</v>
      </c>
      <c r="E4848" s="13">
        <f t="shared" si="2"/>
        <v>9</v>
      </c>
    </row>
    <row r="4849">
      <c r="A4849" s="4" t="s">
        <v>5302</v>
      </c>
      <c r="B4849" s="4" t="s">
        <v>5299</v>
      </c>
      <c r="C4849" s="12">
        <f>IFERROR(__xludf.DUMMYFUNCTION("""COMPUTED_VALUE"""),44662.40253472222)</f>
        <v>44662.40253</v>
      </c>
      <c r="D4849" s="13">
        <f t="shared" si="1"/>
        <v>11</v>
      </c>
      <c r="E4849" s="13">
        <f t="shared" si="2"/>
        <v>9</v>
      </c>
    </row>
    <row r="4850">
      <c r="A4850" s="4" t="s">
        <v>5303</v>
      </c>
      <c r="B4850" s="4" t="s">
        <v>5299</v>
      </c>
      <c r="C4850" s="12">
        <f>IFERROR(__xludf.DUMMYFUNCTION("""COMPUTED_VALUE"""),44662.40202546296)</f>
        <v>44662.40203</v>
      </c>
      <c r="D4850" s="13">
        <f t="shared" si="1"/>
        <v>11</v>
      </c>
      <c r="E4850" s="13">
        <f t="shared" si="2"/>
        <v>9</v>
      </c>
    </row>
    <row r="4851">
      <c r="A4851" s="4" t="s">
        <v>5304</v>
      </c>
      <c r="B4851" s="4" t="s">
        <v>5299</v>
      </c>
      <c r="C4851" s="12">
        <f>IFERROR(__xludf.DUMMYFUNCTION("""COMPUTED_VALUE"""),44662.401874999996)</f>
        <v>44662.40188</v>
      </c>
      <c r="D4851" s="13">
        <f t="shared" si="1"/>
        <v>11</v>
      </c>
      <c r="E4851" s="13">
        <f t="shared" si="2"/>
        <v>9</v>
      </c>
    </row>
    <row r="4852">
      <c r="A4852" s="4" t="s">
        <v>5305</v>
      </c>
      <c r="B4852" s="4" t="s">
        <v>5299</v>
      </c>
      <c r="C4852" s="12">
        <f>IFERROR(__xludf.DUMMYFUNCTION("""COMPUTED_VALUE"""),44662.40184027777)</f>
        <v>44662.40184</v>
      </c>
      <c r="D4852" s="13">
        <f t="shared" si="1"/>
        <v>11</v>
      </c>
      <c r="E4852" s="13">
        <f t="shared" si="2"/>
        <v>9</v>
      </c>
    </row>
    <row r="4853">
      <c r="A4853" s="4" t="s">
        <v>5306</v>
      </c>
      <c r="B4853" s="4" t="s">
        <v>5307</v>
      </c>
      <c r="C4853" s="12">
        <f>IFERROR(__xludf.DUMMYFUNCTION("""COMPUTED_VALUE"""),44662.401770833334)</f>
        <v>44662.40177</v>
      </c>
      <c r="D4853" s="13">
        <f t="shared" si="1"/>
        <v>11</v>
      </c>
      <c r="E4853" s="13">
        <f t="shared" si="2"/>
        <v>9</v>
      </c>
    </row>
    <row r="4854">
      <c r="A4854" s="4" t="s">
        <v>5308</v>
      </c>
      <c r="B4854" s="16"/>
      <c r="C4854" s="12">
        <f>IFERROR(__xludf.DUMMYFUNCTION("""COMPUTED_VALUE"""),44662.401620370365)</f>
        <v>44662.40162</v>
      </c>
      <c r="D4854" s="13">
        <f t="shared" si="1"/>
        <v>11</v>
      </c>
      <c r="E4854" s="13">
        <f t="shared" si="2"/>
        <v>9</v>
      </c>
    </row>
    <row r="4855">
      <c r="A4855" s="4" t="s">
        <v>5309</v>
      </c>
      <c r="B4855" s="4" t="s">
        <v>5299</v>
      </c>
      <c r="C4855" s="12">
        <f>IFERROR(__xludf.DUMMYFUNCTION("""COMPUTED_VALUE"""),44662.40148148148)</f>
        <v>44662.40148</v>
      </c>
      <c r="D4855" s="13">
        <f t="shared" si="1"/>
        <v>11</v>
      </c>
      <c r="E4855" s="13">
        <f t="shared" si="2"/>
        <v>9</v>
      </c>
    </row>
    <row r="4856">
      <c r="A4856" s="4" t="s">
        <v>5310</v>
      </c>
      <c r="B4856" s="4" t="s">
        <v>5299</v>
      </c>
      <c r="C4856" s="12">
        <f>IFERROR(__xludf.DUMMYFUNCTION("""COMPUTED_VALUE"""),44662.401458333334)</f>
        <v>44662.40146</v>
      </c>
      <c r="D4856" s="13">
        <f t="shared" si="1"/>
        <v>11</v>
      </c>
      <c r="E4856" s="13">
        <f t="shared" si="2"/>
        <v>9</v>
      </c>
    </row>
    <row r="4857">
      <c r="A4857" s="4" t="s">
        <v>5311</v>
      </c>
      <c r="B4857" s="4" t="s">
        <v>5299</v>
      </c>
      <c r="C4857" s="12">
        <f>IFERROR(__xludf.DUMMYFUNCTION("""COMPUTED_VALUE"""),44662.40142361111)</f>
        <v>44662.40142</v>
      </c>
      <c r="D4857" s="13">
        <f t="shared" si="1"/>
        <v>11</v>
      </c>
      <c r="E4857" s="13">
        <f t="shared" si="2"/>
        <v>9</v>
      </c>
    </row>
    <row r="4858">
      <c r="A4858" s="4" t="s">
        <v>5312</v>
      </c>
      <c r="B4858" s="4" t="s">
        <v>5299</v>
      </c>
      <c r="C4858" s="12">
        <f>IFERROR(__xludf.DUMMYFUNCTION("""COMPUTED_VALUE"""),44662.40137731481)</f>
        <v>44662.40138</v>
      </c>
      <c r="D4858" s="13">
        <f t="shared" si="1"/>
        <v>11</v>
      </c>
      <c r="E4858" s="13">
        <f t="shared" si="2"/>
        <v>9</v>
      </c>
    </row>
    <row r="4859">
      <c r="A4859" s="4" t="s">
        <v>5313</v>
      </c>
      <c r="B4859" s="4" t="s">
        <v>5299</v>
      </c>
      <c r="C4859" s="12">
        <f>IFERROR(__xludf.DUMMYFUNCTION("""COMPUTED_VALUE"""),44662.40128472222)</f>
        <v>44662.40128</v>
      </c>
      <c r="D4859" s="13">
        <f t="shared" si="1"/>
        <v>11</v>
      </c>
      <c r="E4859" s="13">
        <f t="shared" si="2"/>
        <v>9</v>
      </c>
    </row>
    <row r="4860">
      <c r="A4860" s="4" t="s">
        <v>5314</v>
      </c>
      <c r="B4860" s="16"/>
      <c r="C4860" s="12">
        <f>IFERROR(__xludf.DUMMYFUNCTION("""COMPUTED_VALUE"""),44662.40083333333)</f>
        <v>44662.40083</v>
      </c>
      <c r="D4860" s="13">
        <f t="shared" si="1"/>
        <v>11</v>
      </c>
      <c r="E4860" s="13">
        <f t="shared" si="2"/>
        <v>9</v>
      </c>
    </row>
    <row r="4861">
      <c r="A4861" s="4" t="s">
        <v>5315</v>
      </c>
      <c r="B4861" s="4" t="s">
        <v>5307</v>
      </c>
      <c r="C4861" s="12">
        <f>IFERROR(__xludf.DUMMYFUNCTION("""COMPUTED_VALUE"""),44662.400555555556)</f>
        <v>44662.40056</v>
      </c>
      <c r="D4861" s="13">
        <f t="shared" si="1"/>
        <v>11</v>
      </c>
      <c r="E4861" s="13">
        <f t="shared" si="2"/>
        <v>9</v>
      </c>
    </row>
    <row r="4862">
      <c r="A4862" s="4" t="s">
        <v>5316</v>
      </c>
      <c r="B4862" s="4" t="s">
        <v>5307</v>
      </c>
      <c r="C4862" s="12">
        <f>IFERROR(__xludf.DUMMYFUNCTION("""COMPUTED_VALUE"""),44662.40049768518)</f>
        <v>44662.4005</v>
      </c>
      <c r="D4862" s="13">
        <f t="shared" si="1"/>
        <v>11</v>
      </c>
      <c r="E4862" s="13">
        <f t="shared" si="2"/>
        <v>9</v>
      </c>
    </row>
    <row r="4863">
      <c r="A4863" s="4" t="s">
        <v>5317</v>
      </c>
      <c r="B4863" s="4" t="s">
        <v>5307</v>
      </c>
      <c r="C4863" s="12">
        <f>IFERROR(__xludf.DUMMYFUNCTION("""COMPUTED_VALUE"""),44662.40020833333)</f>
        <v>44662.40021</v>
      </c>
      <c r="D4863" s="13">
        <f t="shared" si="1"/>
        <v>11</v>
      </c>
      <c r="E4863" s="13">
        <f t="shared" si="2"/>
        <v>9</v>
      </c>
    </row>
    <row r="4864">
      <c r="A4864" s="4" t="s">
        <v>5318</v>
      </c>
      <c r="B4864" s="4" t="s">
        <v>5307</v>
      </c>
      <c r="C4864" s="12">
        <f>IFERROR(__xludf.DUMMYFUNCTION("""COMPUTED_VALUE"""),44662.39975694444)</f>
        <v>44662.39976</v>
      </c>
      <c r="D4864" s="13">
        <f t="shared" si="1"/>
        <v>11</v>
      </c>
      <c r="E4864" s="13">
        <f t="shared" si="2"/>
        <v>9</v>
      </c>
    </row>
    <row r="4865">
      <c r="A4865" s="4" t="s">
        <v>5319</v>
      </c>
      <c r="B4865" s="4" t="s">
        <v>5307</v>
      </c>
      <c r="C4865" s="12">
        <f>IFERROR(__xludf.DUMMYFUNCTION("""COMPUTED_VALUE"""),44662.3996875)</f>
        <v>44662.39969</v>
      </c>
      <c r="D4865" s="13">
        <f t="shared" si="1"/>
        <v>11</v>
      </c>
      <c r="E4865" s="13">
        <f t="shared" si="2"/>
        <v>9</v>
      </c>
    </row>
    <row r="4866">
      <c r="A4866" s="4" t="s">
        <v>5320</v>
      </c>
      <c r="B4866" s="4" t="s">
        <v>5307</v>
      </c>
      <c r="C4866" s="12">
        <f>IFERROR(__xludf.DUMMYFUNCTION("""COMPUTED_VALUE"""),44662.399618055555)</f>
        <v>44662.39962</v>
      </c>
      <c r="D4866" s="13">
        <f t="shared" si="1"/>
        <v>11</v>
      </c>
      <c r="E4866" s="13">
        <f t="shared" si="2"/>
        <v>9</v>
      </c>
    </row>
    <row r="4867">
      <c r="A4867" s="4" t="s">
        <v>5321</v>
      </c>
      <c r="B4867" s="4" t="s">
        <v>5307</v>
      </c>
      <c r="C4867" s="12">
        <f>IFERROR(__xludf.DUMMYFUNCTION("""COMPUTED_VALUE"""),44662.399513888886)</f>
        <v>44662.39951</v>
      </c>
      <c r="D4867" s="13">
        <f t="shared" si="1"/>
        <v>11</v>
      </c>
      <c r="E4867" s="13">
        <f t="shared" si="2"/>
        <v>9</v>
      </c>
    </row>
    <row r="4868">
      <c r="A4868" s="4" t="s">
        <v>5322</v>
      </c>
      <c r="B4868" s="16"/>
      <c r="C4868" s="12">
        <f>IFERROR(__xludf.DUMMYFUNCTION("""COMPUTED_VALUE"""),44662.39619212963)</f>
        <v>44662.39619</v>
      </c>
      <c r="D4868" s="13">
        <f t="shared" si="1"/>
        <v>11</v>
      </c>
      <c r="E4868" s="13">
        <f t="shared" si="2"/>
        <v>9</v>
      </c>
    </row>
    <row r="4869">
      <c r="A4869" s="4" t="s">
        <v>5323</v>
      </c>
      <c r="B4869" s="16"/>
      <c r="C4869" s="12">
        <f>IFERROR(__xludf.DUMMYFUNCTION("""COMPUTED_VALUE"""),44662.39601851851)</f>
        <v>44662.39602</v>
      </c>
      <c r="D4869" s="13">
        <f t="shared" si="1"/>
        <v>11</v>
      </c>
      <c r="E4869" s="13">
        <f t="shared" si="2"/>
        <v>9</v>
      </c>
    </row>
    <row r="4870">
      <c r="A4870" s="4" t="s">
        <v>5324</v>
      </c>
      <c r="B4870" s="4" t="s">
        <v>5325</v>
      </c>
      <c r="C4870" s="12">
        <f>IFERROR(__xludf.DUMMYFUNCTION("""COMPUTED_VALUE"""),44662.39554398148)</f>
        <v>44662.39554</v>
      </c>
      <c r="D4870" s="13">
        <f t="shared" si="1"/>
        <v>11</v>
      </c>
      <c r="E4870" s="13">
        <f t="shared" si="2"/>
        <v>9</v>
      </c>
    </row>
    <row r="4871">
      <c r="A4871" s="4" t="s">
        <v>5326</v>
      </c>
      <c r="B4871" s="16"/>
      <c r="C4871" s="12">
        <f>IFERROR(__xludf.DUMMYFUNCTION("""COMPUTED_VALUE"""),44662.3953125)</f>
        <v>44662.39531</v>
      </c>
      <c r="D4871" s="13">
        <f t="shared" si="1"/>
        <v>11</v>
      </c>
      <c r="E4871" s="13">
        <f t="shared" si="2"/>
        <v>9</v>
      </c>
    </row>
    <row r="4872">
      <c r="A4872" s="4" t="s">
        <v>5327</v>
      </c>
      <c r="B4872" s="16"/>
      <c r="C4872" s="12">
        <f>IFERROR(__xludf.DUMMYFUNCTION("""COMPUTED_VALUE"""),44662.39508101852)</f>
        <v>44662.39508</v>
      </c>
      <c r="D4872" s="13">
        <f t="shared" si="1"/>
        <v>11</v>
      </c>
      <c r="E4872" s="13">
        <f t="shared" si="2"/>
        <v>9</v>
      </c>
    </row>
    <row r="4873">
      <c r="A4873" s="4" t="s">
        <v>5328</v>
      </c>
      <c r="B4873" s="4" t="s">
        <v>5329</v>
      </c>
      <c r="C4873" s="12">
        <f>IFERROR(__xludf.DUMMYFUNCTION("""COMPUTED_VALUE"""),44662.39368055555)</f>
        <v>44662.39368</v>
      </c>
      <c r="D4873" s="13">
        <f t="shared" si="1"/>
        <v>11</v>
      </c>
      <c r="E4873" s="13">
        <f t="shared" si="2"/>
        <v>9</v>
      </c>
    </row>
    <row r="4874">
      <c r="A4874" s="4" t="s">
        <v>5330</v>
      </c>
      <c r="B4874" s="16"/>
      <c r="C4874" s="12">
        <f>IFERROR(__xludf.DUMMYFUNCTION("""COMPUTED_VALUE"""),44662.39313657407)</f>
        <v>44662.39314</v>
      </c>
      <c r="D4874" s="13">
        <f t="shared" si="1"/>
        <v>11</v>
      </c>
      <c r="E4874" s="13">
        <f t="shared" si="2"/>
        <v>9</v>
      </c>
    </row>
    <row r="4875">
      <c r="A4875" s="4" t="s">
        <v>5331</v>
      </c>
      <c r="B4875" s="16"/>
      <c r="C4875" s="12">
        <f>IFERROR(__xludf.DUMMYFUNCTION("""COMPUTED_VALUE"""),44662.393113425926)</f>
        <v>44662.39311</v>
      </c>
      <c r="D4875" s="13">
        <f t="shared" si="1"/>
        <v>11</v>
      </c>
      <c r="E4875" s="13">
        <f t="shared" si="2"/>
        <v>9</v>
      </c>
    </row>
    <row r="4876">
      <c r="A4876" s="4" t="s">
        <v>5332</v>
      </c>
      <c r="B4876" s="16"/>
      <c r="C4876" s="12">
        <f>IFERROR(__xludf.DUMMYFUNCTION("""COMPUTED_VALUE"""),44662.393055555556)</f>
        <v>44662.39306</v>
      </c>
      <c r="D4876" s="13">
        <f t="shared" si="1"/>
        <v>11</v>
      </c>
      <c r="E4876" s="13">
        <f t="shared" si="2"/>
        <v>9</v>
      </c>
    </row>
    <row r="4877">
      <c r="A4877" s="4" t="s">
        <v>5333</v>
      </c>
      <c r="B4877" s="16"/>
      <c r="C4877" s="12">
        <f>IFERROR(__xludf.DUMMYFUNCTION("""COMPUTED_VALUE"""),44662.392858796295)</f>
        <v>44662.39286</v>
      </c>
      <c r="D4877" s="13">
        <f t="shared" si="1"/>
        <v>11</v>
      </c>
      <c r="E4877" s="13">
        <f t="shared" si="2"/>
        <v>9</v>
      </c>
    </row>
    <row r="4878">
      <c r="A4878" s="4" t="s">
        <v>5334</v>
      </c>
      <c r="B4878" s="4" t="s">
        <v>5329</v>
      </c>
      <c r="C4878" s="12">
        <f>IFERROR(__xludf.DUMMYFUNCTION("""COMPUTED_VALUE"""),44662.39225694444)</f>
        <v>44662.39226</v>
      </c>
      <c r="D4878" s="13">
        <f t="shared" si="1"/>
        <v>11</v>
      </c>
      <c r="E4878" s="13">
        <f t="shared" si="2"/>
        <v>9</v>
      </c>
    </row>
    <row r="4879">
      <c r="A4879" s="4" t="s">
        <v>5335</v>
      </c>
      <c r="B4879" s="16"/>
      <c r="C4879" s="12">
        <f>IFERROR(__xludf.DUMMYFUNCTION("""COMPUTED_VALUE"""),44662.392233796294)</f>
        <v>44662.39223</v>
      </c>
      <c r="D4879" s="13">
        <f t="shared" si="1"/>
        <v>11</v>
      </c>
      <c r="E4879" s="13">
        <f t="shared" si="2"/>
        <v>9</v>
      </c>
    </row>
    <row r="4880">
      <c r="A4880" s="4" t="s">
        <v>5336</v>
      </c>
      <c r="B4880" s="4" t="s">
        <v>5329</v>
      </c>
      <c r="C4880" s="12">
        <f>IFERROR(__xludf.DUMMYFUNCTION("""COMPUTED_VALUE"""),44662.392013888886)</f>
        <v>44662.39201</v>
      </c>
      <c r="D4880" s="13">
        <f t="shared" si="1"/>
        <v>11</v>
      </c>
      <c r="E4880" s="13">
        <f t="shared" si="2"/>
        <v>9</v>
      </c>
    </row>
    <row r="4881">
      <c r="A4881" s="4" t="s">
        <v>5337</v>
      </c>
      <c r="B4881" s="4" t="s">
        <v>5329</v>
      </c>
      <c r="C4881" s="12">
        <f>IFERROR(__xludf.DUMMYFUNCTION("""COMPUTED_VALUE"""),44662.39193287037)</f>
        <v>44662.39193</v>
      </c>
      <c r="D4881" s="13">
        <f t="shared" si="1"/>
        <v>11</v>
      </c>
      <c r="E4881" s="13">
        <f t="shared" si="2"/>
        <v>9</v>
      </c>
    </row>
    <row r="4882">
      <c r="A4882" s="4" t="s">
        <v>5338</v>
      </c>
      <c r="B4882" s="4" t="s">
        <v>5329</v>
      </c>
      <c r="C4882" s="12">
        <f>IFERROR(__xludf.DUMMYFUNCTION("""COMPUTED_VALUE"""),44662.38899305555)</f>
        <v>44662.38899</v>
      </c>
      <c r="D4882" s="13">
        <f t="shared" si="1"/>
        <v>11</v>
      </c>
      <c r="E4882" s="13">
        <f t="shared" si="2"/>
        <v>9</v>
      </c>
    </row>
    <row r="4883">
      <c r="A4883" s="4" t="s">
        <v>5339</v>
      </c>
      <c r="B4883" s="4" t="s">
        <v>5329</v>
      </c>
      <c r="C4883" s="12">
        <f>IFERROR(__xludf.DUMMYFUNCTION("""COMPUTED_VALUE"""),44662.38894675926)</f>
        <v>44662.38895</v>
      </c>
      <c r="D4883" s="13">
        <f t="shared" si="1"/>
        <v>11</v>
      </c>
      <c r="E4883" s="13">
        <f t="shared" si="2"/>
        <v>9</v>
      </c>
    </row>
    <row r="4884">
      <c r="A4884" s="4" t="s">
        <v>5340</v>
      </c>
      <c r="B4884" s="4" t="s">
        <v>5329</v>
      </c>
      <c r="C4884" s="12">
        <f>IFERROR(__xludf.DUMMYFUNCTION("""COMPUTED_VALUE"""),44662.388877314814)</f>
        <v>44662.38888</v>
      </c>
      <c r="D4884" s="13">
        <f t="shared" si="1"/>
        <v>11</v>
      </c>
      <c r="E4884" s="13">
        <f t="shared" si="2"/>
        <v>9</v>
      </c>
    </row>
    <row r="4885">
      <c r="A4885" s="4" t="s">
        <v>5341</v>
      </c>
      <c r="B4885" s="4" t="s">
        <v>5329</v>
      </c>
      <c r="C4885" s="12">
        <f>IFERROR(__xludf.DUMMYFUNCTION("""COMPUTED_VALUE"""),44662.38837962963)</f>
        <v>44662.38838</v>
      </c>
      <c r="D4885" s="13">
        <f t="shared" si="1"/>
        <v>11</v>
      </c>
      <c r="E4885" s="13">
        <f t="shared" si="2"/>
        <v>9</v>
      </c>
    </row>
    <row r="4886">
      <c r="A4886" s="4" t="s">
        <v>5342</v>
      </c>
      <c r="B4886" s="4" t="s">
        <v>5343</v>
      </c>
      <c r="C4886" s="12">
        <f>IFERROR(__xludf.DUMMYFUNCTION("""COMPUTED_VALUE"""),44662.386307870365)</f>
        <v>44662.38631</v>
      </c>
      <c r="D4886" s="13">
        <f t="shared" si="1"/>
        <v>11</v>
      </c>
      <c r="E4886" s="13">
        <f t="shared" si="2"/>
        <v>9</v>
      </c>
    </row>
    <row r="4887">
      <c r="A4887" s="4" t="s">
        <v>5344</v>
      </c>
      <c r="B4887" s="16"/>
      <c r="C4887" s="12">
        <f>IFERROR(__xludf.DUMMYFUNCTION("""COMPUTED_VALUE"""),44662.3861574074)</f>
        <v>44662.38616</v>
      </c>
      <c r="D4887" s="13">
        <f t="shared" si="1"/>
        <v>11</v>
      </c>
      <c r="E4887" s="13">
        <f t="shared" si="2"/>
        <v>9</v>
      </c>
    </row>
    <row r="4888">
      <c r="A4888" s="4" t="s">
        <v>5345</v>
      </c>
      <c r="B4888" s="16"/>
      <c r="C4888" s="12">
        <f>IFERROR(__xludf.DUMMYFUNCTION("""COMPUTED_VALUE"""),44662.386145833334)</f>
        <v>44662.38615</v>
      </c>
      <c r="D4888" s="13">
        <f t="shared" si="1"/>
        <v>11</v>
      </c>
      <c r="E4888" s="13">
        <f t="shared" si="2"/>
        <v>9</v>
      </c>
    </row>
    <row r="4889">
      <c r="A4889" s="4" t="s">
        <v>5346</v>
      </c>
      <c r="B4889" s="4" t="s">
        <v>5343</v>
      </c>
      <c r="C4889" s="12">
        <f>IFERROR(__xludf.DUMMYFUNCTION("""COMPUTED_VALUE"""),44662.38611111111)</f>
        <v>44662.38611</v>
      </c>
      <c r="D4889" s="13">
        <f t="shared" si="1"/>
        <v>11</v>
      </c>
      <c r="E4889" s="13">
        <f t="shared" si="2"/>
        <v>9</v>
      </c>
    </row>
    <row r="4890">
      <c r="A4890" s="4" t="s">
        <v>5347</v>
      </c>
      <c r="B4890" s="4" t="s">
        <v>5343</v>
      </c>
      <c r="C4890" s="12">
        <f>IFERROR(__xludf.DUMMYFUNCTION("""COMPUTED_VALUE"""),44662.38608796296)</f>
        <v>44662.38609</v>
      </c>
      <c r="D4890" s="13">
        <f t="shared" si="1"/>
        <v>11</v>
      </c>
      <c r="E4890" s="13">
        <f t="shared" si="2"/>
        <v>9</v>
      </c>
    </row>
    <row r="4891">
      <c r="A4891" s="4" t="s">
        <v>5348</v>
      </c>
      <c r="B4891" s="16"/>
      <c r="C4891" s="12">
        <f>IFERROR(__xludf.DUMMYFUNCTION("""COMPUTED_VALUE"""),44662.38594907407)</f>
        <v>44662.38595</v>
      </c>
      <c r="D4891" s="13">
        <f t="shared" si="1"/>
        <v>11</v>
      </c>
      <c r="E4891" s="13">
        <f t="shared" si="2"/>
        <v>9</v>
      </c>
    </row>
    <row r="4892">
      <c r="A4892" s="4" t="s">
        <v>5349</v>
      </c>
      <c r="B4892" s="4" t="s">
        <v>5350</v>
      </c>
      <c r="C4892" s="12">
        <f>IFERROR(__xludf.DUMMYFUNCTION("""COMPUTED_VALUE"""),44662.38540509259)</f>
        <v>44662.38541</v>
      </c>
      <c r="D4892" s="13">
        <f t="shared" si="1"/>
        <v>11</v>
      </c>
      <c r="E4892" s="13">
        <f t="shared" si="2"/>
        <v>9</v>
      </c>
    </row>
    <row r="4893">
      <c r="A4893" s="4" t="s">
        <v>5351</v>
      </c>
      <c r="B4893" s="4" t="s">
        <v>5350</v>
      </c>
      <c r="C4893" s="12">
        <f>IFERROR(__xludf.DUMMYFUNCTION("""COMPUTED_VALUE"""),44662.38292824074)</f>
        <v>44662.38293</v>
      </c>
      <c r="D4893" s="13">
        <f t="shared" si="1"/>
        <v>11</v>
      </c>
      <c r="E4893" s="13">
        <f t="shared" si="2"/>
        <v>9</v>
      </c>
    </row>
    <row r="4894">
      <c r="A4894" s="4" t="s">
        <v>5352</v>
      </c>
      <c r="B4894" s="4" t="s">
        <v>5350</v>
      </c>
      <c r="C4894" s="12">
        <f>IFERROR(__xludf.DUMMYFUNCTION("""COMPUTED_VALUE"""),44662.38290509259)</f>
        <v>44662.38291</v>
      </c>
      <c r="D4894" s="13">
        <f t="shared" si="1"/>
        <v>11</v>
      </c>
      <c r="E4894" s="13">
        <f t="shared" si="2"/>
        <v>9</v>
      </c>
    </row>
    <row r="4895">
      <c r="A4895" s="4" t="s">
        <v>5353</v>
      </c>
      <c r="B4895" s="4" t="s">
        <v>5354</v>
      </c>
      <c r="C4895" s="12">
        <f>IFERROR(__xludf.DUMMYFUNCTION("""COMPUTED_VALUE"""),44662.381793981476)</f>
        <v>44662.38179</v>
      </c>
      <c r="D4895" s="13">
        <f t="shared" si="1"/>
        <v>11</v>
      </c>
      <c r="E4895" s="13">
        <f t="shared" si="2"/>
        <v>9</v>
      </c>
    </row>
    <row r="4896">
      <c r="A4896" s="4" t="s">
        <v>5355</v>
      </c>
      <c r="B4896" s="4" t="s">
        <v>5356</v>
      </c>
      <c r="C4896" s="12">
        <f>IFERROR(__xludf.DUMMYFUNCTION("""COMPUTED_VALUE"""),44662.381006944444)</f>
        <v>44662.38101</v>
      </c>
      <c r="D4896" s="13">
        <f t="shared" si="1"/>
        <v>11</v>
      </c>
      <c r="E4896" s="13">
        <f t="shared" si="2"/>
        <v>9</v>
      </c>
    </row>
    <row r="4897">
      <c r="A4897" s="4" t="s">
        <v>5357</v>
      </c>
      <c r="B4897" s="4" t="s">
        <v>5358</v>
      </c>
      <c r="C4897" s="12">
        <f>IFERROR(__xludf.DUMMYFUNCTION("""COMPUTED_VALUE"""),44662.38082175926)</f>
        <v>44662.38082</v>
      </c>
      <c r="D4897" s="13">
        <f t="shared" si="1"/>
        <v>11</v>
      </c>
      <c r="E4897" s="13">
        <f t="shared" si="2"/>
        <v>9</v>
      </c>
    </row>
    <row r="4898">
      <c r="A4898" s="4" t="s">
        <v>5359</v>
      </c>
      <c r="B4898" s="16"/>
      <c r="C4898" s="12">
        <f>IFERROR(__xludf.DUMMYFUNCTION("""COMPUTED_VALUE"""),44662.380219907405)</f>
        <v>44662.38022</v>
      </c>
      <c r="D4898" s="13">
        <f t="shared" si="1"/>
        <v>11</v>
      </c>
      <c r="E4898" s="13">
        <f t="shared" si="2"/>
        <v>9</v>
      </c>
    </row>
    <row r="4899">
      <c r="A4899" s="4" t="s">
        <v>5360</v>
      </c>
      <c r="B4899" s="16"/>
      <c r="C4899" s="12">
        <f>IFERROR(__xludf.DUMMYFUNCTION("""COMPUTED_VALUE"""),44662.38015046296)</f>
        <v>44662.38015</v>
      </c>
      <c r="D4899" s="13">
        <f t="shared" si="1"/>
        <v>11</v>
      </c>
      <c r="E4899" s="13">
        <f t="shared" si="2"/>
        <v>9</v>
      </c>
    </row>
    <row r="4900">
      <c r="A4900" s="4" t="s">
        <v>5361</v>
      </c>
      <c r="B4900" s="16"/>
      <c r="C4900" s="12">
        <f>IFERROR(__xludf.DUMMYFUNCTION("""COMPUTED_VALUE"""),44662.38012731481)</f>
        <v>44662.38013</v>
      </c>
      <c r="D4900" s="13">
        <f t="shared" si="1"/>
        <v>11</v>
      </c>
      <c r="E4900" s="13">
        <f t="shared" si="2"/>
        <v>9</v>
      </c>
    </row>
    <row r="4901">
      <c r="A4901" s="4" t="s">
        <v>5362</v>
      </c>
      <c r="B4901" s="16"/>
      <c r="C4901" s="12">
        <f>IFERROR(__xludf.DUMMYFUNCTION("""COMPUTED_VALUE"""),44662.380115740736)</f>
        <v>44662.38012</v>
      </c>
      <c r="D4901" s="13">
        <f t="shared" si="1"/>
        <v>11</v>
      </c>
      <c r="E4901" s="13">
        <f t="shared" si="2"/>
        <v>9</v>
      </c>
    </row>
    <row r="4902">
      <c r="A4902" s="4" t="s">
        <v>5363</v>
      </c>
      <c r="B4902" s="4" t="s">
        <v>5343</v>
      </c>
      <c r="C4902" s="12">
        <f>IFERROR(__xludf.DUMMYFUNCTION("""COMPUTED_VALUE"""),44662.38010416667)</f>
        <v>44662.3801</v>
      </c>
      <c r="D4902" s="13">
        <f t="shared" si="1"/>
        <v>11</v>
      </c>
      <c r="E4902" s="13">
        <f t="shared" si="2"/>
        <v>9</v>
      </c>
    </row>
    <row r="4903">
      <c r="A4903" s="4" t="s">
        <v>5364</v>
      </c>
      <c r="B4903" s="4" t="s">
        <v>5343</v>
      </c>
      <c r="C4903" s="12">
        <f>IFERROR(__xludf.DUMMYFUNCTION("""COMPUTED_VALUE"""),44662.38)</f>
        <v>44662.38</v>
      </c>
      <c r="D4903" s="13">
        <f t="shared" si="1"/>
        <v>11</v>
      </c>
      <c r="E4903" s="13">
        <f t="shared" si="2"/>
        <v>9</v>
      </c>
    </row>
    <row r="4904">
      <c r="A4904" s="4" t="s">
        <v>5365</v>
      </c>
      <c r="B4904" s="16"/>
      <c r="C4904" s="12">
        <f>IFERROR(__xludf.DUMMYFUNCTION("""COMPUTED_VALUE"""),44662.379907407405)</f>
        <v>44662.37991</v>
      </c>
      <c r="D4904" s="13">
        <f t="shared" si="1"/>
        <v>11</v>
      </c>
      <c r="E4904" s="13">
        <f t="shared" si="2"/>
        <v>9</v>
      </c>
    </row>
    <row r="4905">
      <c r="A4905" s="4" t="s">
        <v>5366</v>
      </c>
      <c r="B4905" s="16"/>
      <c r="C4905" s="12">
        <f>IFERROR(__xludf.DUMMYFUNCTION("""COMPUTED_VALUE"""),44662.37920138889)</f>
        <v>44662.3792</v>
      </c>
      <c r="D4905" s="13">
        <f t="shared" si="1"/>
        <v>11</v>
      </c>
      <c r="E4905" s="13">
        <f t="shared" si="2"/>
        <v>9</v>
      </c>
    </row>
    <row r="4906">
      <c r="A4906" s="4" t="s">
        <v>5367</v>
      </c>
      <c r="B4906" s="16"/>
      <c r="C4906" s="12">
        <f>IFERROR(__xludf.DUMMYFUNCTION("""COMPUTED_VALUE"""),44662.37752314815)</f>
        <v>44662.37752</v>
      </c>
      <c r="D4906" s="13">
        <f t="shared" si="1"/>
        <v>11</v>
      </c>
      <c r="E4906" s="13">
        <f t="shared" si="2"/>
        <v>9</v>
      </c>
    </row>
    <row r="4907">
      <c r="A4907" s="4" t="s">
        <v>5368</v>
      </c>
      <c r="B4907" s="4" t="s">
        <v>5369</v>
      </c>
      <c r="C4907" s="12">
        <f>IFERROR(__xludf.DUMMYFUNCTION("""COMPUTED_VALUE"""),44662.377488425926)</f>
        <v>44662.37749</v>
      </c>
      <c r="D4907" s="13">
        <f t="shared" si="1"/>
        <v>11</v>
      </c>
      <c r="E4907" s="13">
        <f t="shared" si="2"/>
        <v>9</v>
      </c>
    </row>
    <row r="4908">
      <c r="A4908" s="4" t="s">
        <v>5370</v>
      </c>
      <c r="B4908" s="4" t="s">
        <v>738</v>
      </c>
      <c r="C4908" s="12">
        <f>IFERROR(__xludf.DUMMYFUNCTION("""COMPUTED_VALUE"""),44662.37721064815)</f>
        <v>44662.37721</v>
      </c>
      <c r="D4908" s="13">
        <f t="shared" si="1"/>
        <v>11</v>
      </c>
      <c r="E4908" s="13">
        <f t="shared" si="2"/>
        <v>9</v>
      </c>
    </row>
    <row r="4909">
      <c r="A4909" s="4" t="s">
        <v>5371</v>
      </c>
      <c r="B4909" s="4" t="s">
        <v>738</v>
      </c>
      <c r="C4909" s="12">
        <f>IFERROR(__xludf.DUMMYFUNCTION("""COMPUTED_VALUE"""),44662.37715277778)</f>
        <v>44662.37715</v>
      </c>
      <c r="D4909" s="13">
        <f t="shared" si="1"/>
        <v>11</v>
      </c>
      <c r="E4909" s="13">
        <f t="shared" si="2"/>
        <v>9</v>
      </c>
    </row>
    <row r="4910">
      <c r="A4910" s="4" t="s">
        <v>5372</v>
      </c>
      <c r="B4910" s="4" t="s">
        <v>738</v>
      </c>
      <c r="C4910" s="12">
        <f>IFERROR(__xludf.DUMMYFUNCTION("""COMPUTED_VALUE"""),44662.377129629625)</f>
        <v>44662.37713</v>
      </c>
      <c r="D4910" s="13">
        <f t="shared" si="1"/>
        <v>11</v>
      </c>
      <c r="E4910" s="13">
        <f t="shared" si="2"/>
        <v>9</v>
      </c>
    </row>
    <row r="4911">
      <c r="A4911" s="4" t="s">
        <v>5373</v>
      </c>
      <c r="B4911" s="4" t="s">
        <v>738</v>
      </c>
      <c r="C4911" s="12">
        <f>IFERROR(__xludf.DUMMYFUNCTION("""COMPUTED_VALUE"""),44662.37710648148)</f>
        <v>44662.37711</v>
      </c>
      <c r="D4911" s="13">
        <f t="shared" si="1"/>
        <v>11</v>
      </c>
      <c r="E4911" s="13">
        <f t="shared" si="2"/>
        <v>9</v>
      </c>
    </row>
    <row r="4912">
      <c r="A4912" s="4" t="s">
        <v>5374</v>
      </c>
      <c r="B4912" s="4" t="s">
        <v>738</v>
      </c>
      <c r="C4912" s="12">
        <f>IFERROR(__xludf.DUMMYFUNCTION("""COMPUTED_VALUE"""),44662.37704861111)</f>
        <v>44662.37705</v>
      </c>
      <c r="D4912" s="13">
        <f t="shared" si="1"/>
        <v>11</v>
      </c>
      <c r="E4912" s="13">
        <f t="shared" si="2"/>
        <v>9</v>
      </c>
    </row>
    <row r="4913">
      <c r="A4913" s="4" t="s">
        <v>5375</v>
      </c>
      <c r="B4913" s="16"/>
      <c r="C4913" s="12">
        <f>IFERROR(__xludf.DUMMYFUNCTION("""COMPUTED_VALUE"""),44662.37677083333)</f>
        <v>44662.37677</v>
      </c>
      <c r="D4913" s="13">
        <f t="shared" si="1"/>
        <v>11</v>
      </c>
      <c r="E4913" s="13">
        <f t="shared" si="2"/>
        <v>9</v>
      </c>
    </row>
    <row r="4914">
      <c r="A4914" s="4" t="s">
        <v>5376</v>
      </c>
      <c r="B4914" s="16"/>
      <c r="C4914" s="12">
        <f>IFERROR(__xludf.DUMMYFUNCTION("""COMPUTED_VALUE"""),44662.376759259256)</f>
        <v>44662.37676</v>
      </c>
      <c r="D4914" s="13">
        <f t="shared" si="1"/>
        <v>11</v>
      </c>
      <c r="E4914" s="13">
        <f t="shared" si="2"/>
        <v>9</v>
      </c>
    </row>
    <row r="4915">
      <c r="A4915" s="4" t="s">
        <v>5377</v>
      </c>
      <c r="B4915" s="4" t="s">
        <v>288</v>
      </c>
      <c r="C4915" s="12">
        <f>IFERROR(__xludf.DUMMYFUNCTION("""COMPUTED_VALUE"""),44662.37668981481)</f>
        <v>44662.37669</v>
      </c>
      <c r="D4915" s="13">
        <f t="shared" si="1"/>
        <v>11</v>
      </c>
      <c r="E4915" s="13">
        <f t="shared" si="2"/>
        <v>9</v>
      </c>
    </row>
    <row r="4916">
      <c r="A4916" s="4" t="s">
        <v>5378</v>
      </c>
      <c r="B4916" s="4" t="s">
        <v>288</v>
      </c>
      <c r="C4916" s="12">
        <f>IFERROR(__xludf.DUMMYFUNCTION("""COMPUTED_VALUE"""),44662.37666666666)</f>
        <v>44662.37667</v>
      </c>
      <c r="D4916" s="13">
        <f t="shared" si="1"/>
        <v>11</v>
      </c>
      <c r="E4916" s="13">
        <f t="shared" si="2"/>
        <v>9</v>
      </c>
    </row>
    <row r="4917">
      <c r="A4917" s="4" t="s">
        <v>5379</v>
      </c>
      <c r="B4917" s="4" t="s">
        <v>5380</v>
      </c>
      <c r="C4917" s="12">
        <f>IFERROR(__xludf.DUMMYFUNCTION("""COMPUTED_VALUE"""),44662.37662037037)</f>
        <v>44662.37662</v>
      </c>
      <c r="D4917" s="13">
        <f t="shared" si="1"/>
        <v>11</v>
      </c>
      <c r="E4917" s="13">
        <f t="shared" si="2"/>
        <v>9</v>
      </c>
    </row>
    <row r="4918">
      <c r="A4918" s="4" t="s">
        <v>5381</v>
      </c>
      <c r="B4918" s="4" t="s">
        <v>5380</v>
      </c>
      <c r="C4918" s="12">
        <f>IFERROR(__xludf.DUMMYFUNCTION("""COMPUTED_VALUE"""),44662.37635416666)</f>
        <v>44662.37635</v>
      </c>
      <c r="D4918" s="13">
        <f t="shared" si="1"/>
        <v>11</v>
      </c>
      <c r="E4918" s="13">
        <f t="shared" si="2"/>
        <v>9</v>
      </c>
    </row>
    <row r="4919">
      <c r="A4919" s="4" t="s">
        <v>5382</v>
      </c>
      <c r="B4919" s="16"/>
      <c r="C4919" s="12">
        <f>IFERROR(__xludf.DUMMYFUNCTION("""COMPUTED_VALUE"""),44662.375509259255)</f>
        <v>44662.37551</v>
      </c>
      <c r="D4919" s="13">
        <f t="shared" si="1"/>
        <v>11</v>
      </c>
      <c r="E4919" s="13">
        <f t="shared" si="2"/>
        <v>9</v>
      </c>
    </row>
    <row r="4920">
      <c r="A4920" s="4" t="s">
        <v>5383</v>
      </c>
      <c r="B4920" s="16"/>
      <c r="C4920" s="12">
        <f>IFERROR(__xludf.DUMMYFUNCTION("""COMPUTED_VALUE"""),44662.374189814815)</f>
        <v>44662.37419</v>
      </c>
      <c r="D4920" s="13">
        <f t="shared" si="1"/>
        <v>11</v>
      </c>
      <c r="E4920" s="13">
        <f t="shared" si="2"/>
        <v>8</v>
      </c>
    </row>
    <row r="4921">
      <c r="A4921" s="4" t="s">
        <v>5384</v>
      </c>
      <c r="B4921" s="16"/>
      <c r="C4921" s="12">
        <f>IFERROR(__xludf.DUMMYFUNCTION("""COMPUTED_VALUE"""),44662.37400462963)</f>
        <v>44662.374</v>
      </c>
      <c r="D4921" s="13">
        <f t="shared" si="1"/>
        <v>11</v>
      </c>
      <c r="E4921" s="13">
        <f t="shared" si="2"/>
        <v>8</v>
      </c>
    </row>
    <row r="4922">
      <c r="A4922" s="4" t="s">
        <v>5385</v>
      </c>
      <c r="B4922" s="16"/>
      <c r="C4922" s="12">
        <f>IFERROR(__xludf.DUMMYFUNCTION("""COMPUTED_VALUE"""),44662.37327546296)</f>
        <v>44662.37328</v>
      </c>
      <c r="D4922" s="13">
        <f t="shared" si="1"/>
        <v>11</v>
      </c>
      <c r="E4922" s="13">
        <f t="shared" si="2"/>
        <v>8</v>
      </c>
    </row>
    <row r="4923">
      <c r="A4923" s="4" t="s">
        <v>5386</v>
      </c>
      <c r="B4923" s="16"/>
      <c r="C4923" s="12">
        <f>IFERROR(__xludf.DUMMYFUNCTION("""COMPUTED_VALUE"""),44662.373194444444)</f>
        <v>44662.37319</v>
      </c>
      <c r="D4923" s="13">
        <f t="shared" si="1"/>
        <v>11</v>
      </c>
      <c r="E4923" s="13">
        <f t="shared" si="2"/>
        <v>8</v>
      </c>
    </row>
    <row r="4924">
      <c r="A4924" s="4" t="s">
        <v>5387</v>
      </c>
      <c r="B4924" s="16"/>
      <c r="C4924" s="12">
        <f>IFERROR(__xludf.DUMMYFUNCTION("""COMPUTED_VALUE"""),44662.37318287037)</f>
        <v>44662.37318</v>
      </c>
      <c r="D4924" s="13">
        <f t="shared" si="1"/>
        <v>11</v>
      </c>
      <c r="E4924" s="13">
        <f t="shared" si="2"/>
        <v>8</v>
      </c>
    </row>
    <row r="4925">
      <c r="A4925" s="4" t="s">
        <v>5388</v>
      </c>
      <c r="B4925" s="4" t="s">
        <v>5198</v>
      </c>
      <c r="C4925" s="12">
        <f>IFERROR(__xludf.DUMMYFUNCTION("""COMPUTED_VALUE"""),44662.37315972222)</f>
        <v>44662.37316</v>
      </c>
      <c r="D4925" s="13">
        <f t="shared" si="1"/>
        <v>11</v>
      </c>
      <c r="E4925" s="13">
        <f t="shared" si="2"/>
        <v>8</v>
      </c>
    </row>
    <row r="4926">
      <c r="A4926" s="4" t="s">
        <v>5389</v>
      </c>
      <c r="B4926" s="4" t="s">
        <v>5198</v>
      </c>
      <c r="C4926" s="12">
        <f>IFERROR(__xludf.DUMMYFUNCTION("""COMPUTED_VALUE"""),44662.3730787037)</f>
        <v>44662.37308</v>
      </c>
      <c r="D4926" s="13">
        <f t="shared" si="1"/>
        <v>11</v>
      </c>
      <c r="E4926" s="13">
        <f t="shared" si="2"/>
        <v>8</v>
      </c>
    </row>
    <row r="4927">
      <c r="A4927" s="4" t="s">
        <v>5390</v>
      </c>
      <c r="B4927" s="4" t="s">
        <v>5391</v>
      </c>
      <c r="C4927" s="12">
        <f>IFERROR(__xludf.DUMMYFUNCTION("""COMPUTED_VALUE"""),44662.37060185185)</f>
        <v>44662.3706</v>
      </c>
      <c r="D4927" s="13">
        <f t="shared" si="1"/>
        <v>11</v>
      </c>
      <c r="E4927" s="13">
        <f t="shared" si="2"/>
        <v>8</v>
      </c>
    </row>
    <row r="4928">
      <c r="A4928" s="4" t="s">
        <v>5392</v>
      </c>
      <c r="B4928" s="16"/>
      <c r="C4928" s="12">
        <f>IFERROR(__xludf.DUMMYFUNCTION("""COMPUTED_VALUE"""),44662.3705787037)</f>
        <v>44662.37058</v>
      </c>
      <c r="D4928" s="13">
        <f t="shared" si="1"/>
        <v>11</v>
      </c>
      <c r="E4928" s="13">
        <f t="shared" si="2"/>
        <v>8</v>
      </c>
    </row>
    <row r="4929">
      <c r="A4929" s="4" t="s">
        <v>5393</v>
      </c>
      <c r="B4929" s="16"/>
      <c r="C4929" s="12">
        <f>IFERROR(__xludf.DUMMYFUNCTION("""COMPUTED_VALUE"""),44662.369942129626)</f>
        <v>44662.36994</v>
      </c>
      <c r="D4929" s="13">
        <f t="shared" si="1"/>
        <v>11</v>
      </c>
      <c r="E4929" s="13">
        <f t="shared" si="2"/>
        <v>8</v>
      </c>
    </row>
    <row r="4930">
      <c r="A4930" s="4" t="s">
        <v>5394</v>
      </c>
      <c r="B4930" s="16"/>
      <c r="C4930" s="12">
        <f>IFERROR(__xludf.DUMMYFUNCTION("""COMPUTED_VALUE"""),44662.36991898148)</f>
        <v>44662.36992</v>
      </c>
      <c r="D4930" s="13">
        <f t="shared" si="1"/>
        <v>11</v>
      </c>
      <c r="E4930" s="13">
        <f t="shared" si="2"/>
        <v>8</v>
      </c>
    </row>
    <row r="4931">
      <c r="A4931" s="4" t="s">
        <v>5395</v>
      </c>
      <c r="B4931" s="16"/>
      <c r="C4931" s="12">
        <f>IFERROR(__xludf.DUMMYFUNCTION("""COMPUTED_VALUE"""),44662.36989583333)</f>
        <v>44662.3699</v>
      </c>
      <c r="D4931" s="13">
        <f t="shared" si="1"/>
        <v>11</v>
      </c>
      <c r="E4931" s="13">
        <f t="shared" si="2"/>
        <v>8</v>
      </c>
    </row>
    <row r="4932">
      <c r="A4932" s="4" t="s">
        <v>5396</v>
      </c>
      <c r="B4932" s="16"/>
      <c r="C4932" s="12">
        <f>IFERROR(__xludf.DUMMYFUNCTION("""COMPUTED_VALUE"""),44662.36987268518)</f>
        <v>44662.36987</v>
      </c>
      <c r="D4932" s="13">
        <f t="shared" si="1"/>
        <v>11</v>
      </c>
      <c r="E4932" s="13">
        <f t="shared" si="2"/>
        <v>8</v>
      </c>
    </row>
    <row r="4933">
      <c r="A4933" s="4" t="s">
        <v>5397</v>
      </c>
      <c r="B4933" s="16"/>
      <c r="C4933" s="12">
        <f>IFERROR(__xludf.DUMMYFUNCTION("""COMPUTED_VALUE"""),44662.36965277777)</f>
        <v>44662.36965</v>
      </c>
      <c r="D4933" s="13">
        <f t="shared" si="1"/>
        <v>11</v>
      </c>
      <c r="E4933" s="13">
        <f t="shared" si="2"/>
        <v>8</v>
      </c>
    </row>
    <row r="4934">
      <c r="A4934" s="4" t="s">
        <v>5398</v>
      </c>
      <c r="B4934" s="16"/>
      <c r="C4934" s="12">
        <f>IFERROR(__xludf.DUMMYFUNCTION("""COMPUTED_VALUE"""),44662.369629629626)</f>
        <v>44662.36963</v>
      </c>
      <c r="D4934" s="13">
        <f t="shared" si="1"/>
        <v>11</v>
      </c>
      <c r="E4934" s="13">
        <f t="shared" si="2"/>
        <v>8</v>
      </c>
    </row>
    <row r="4935">
      <c r="A4935" s="4" t="s">
        <v>5399</v>
      </c>
      <c r="B4935" s="16"/>
      <c r="C4935" s="12">
        <f>IFERROR(__xludf.DUMMYFUNCTION("""COMPUTED_VALUE"""),44662.36907407407)</f>
        <v>44662.36907</v>
      </c>
      <c r="D4935" s="13">
        <f t="shared" si="1"/>
        <v>11</v>
      </c>
      <c r="E4935" s="13">
        <f t="shared" si="2"/>
        <v>8</v>
      </c>
    </row>
    <row r="4936">
      <c r="A4936" s="4" t="s">
        <v>5400</v>
      </c>
      <c r="B4936" s="16"/>
      <c r="C4936" s="12">
        <f>IFERROR(__xludf.DUMMYFUNCTION("""COMPUTED_VALUE"""),44662.369050925925)</f>
        <v>44662.36905</v>
      </c>
      <c r="D4936" s="13">
        <f t="shared" si="1"/>
        <v>11</v>
      </c>
      <c r="E4936" s="13">
        <f t="shared" si="2"/>
        <v>8</v>
      </c>
    </row>
    <row r="4937">
      <c r="A4937" s="4" t="s">
        <v>5401</v>
      </c>
      <c r="B4937" s="4" t="s">
        <v>5391</v>
      </c>
      <c r="C4937" s="12">
        <f>IFERROR(__xludf.DUMMYFUNCTION("""COMPUTED_VALUE"""),44662.368946759256)</f>
        <v>44662.36895</v>
      </c>
      <c r="D4937" s="13">
        <f t="shared" si="1"/>
        <v>11</v>
      </c>
      <c r="E4937" s="13">
        <f t="shared" si="2"/>
        <v>8</v>
      </c>
    </row>
    <row r="4938">
      <c r="A4938" s="4" t="s">
        <v>5402</v>
      </c>
      <c r="B4938" s="16"/>
      <c r="C4938" s="12">
        <f>IFERROR(__xludf.DUMMYFUNCTION("""COMPUTED_VALUE"""),44662.36892361111)</f>
        <v>44662.36892</v>
      </c>
      <c r="D4938" s="13">
        <f t="shared" si="1"/>
        <v>11</v>
      </c>
      <c r="E4938" s="13">
        <f t="shared" si="2"/>
        <v>8</v>
      </c>
    </row>
    <row r="4939">
      <c r="A4939" s="4" t="s">
        <v>5403</v>
      </c>
      <c r="B4939" s="16"/>
      <c r="C4939" s="12">
        <f>IFERROR(__xludf.DUMMYFUNCTION("""COMPUTED_VALUE"""),44662.36828703703)</f>
        <v>44662.36829</v>
      </c>
      <c r="D4939" s="13">
        <f t="shared" si="1"/>
        <v>11</v>
      </c>
      <c r="E4939" s="13">
        <f t="shared" si="2"/>
        <v>8</v>
      </c>
    </row>
    <row r="4940">
      <c r="A4940" s="4" t="s">
        <v>5404</v>
      </c>
      <c r="B4940" s="4" t="s">
        <v>5391</v>
      </c>
      <c r="C4940" s="12">
        <f>IFERROR(__xludf.DUMMYFUNCTION("""COMPUTED_VALUE"""),44662.368125)</f>
        <v>44662.36813</v>
      </c>
      <c r="D4940" s="13">
        <f t="shared" si="1"/>
        <v>11</v>
      </c>
      <c r="E4940" s="13">
        <f t="shared" si="2"/>
        <v>8</v>
      </c>
    </row>
    <row r="4941">
      <c r="A4941" s="4" t="s">
        <v>5405</v>
      </c>
      <c r="B4941" s="4" t="s">
        <v>5406</v>
      </c>
      <c r="C4941" s="12">
        <f>IFERROR(__xludf.DUMMYFUNCTION("""COMPUTED_VALUE"""),44662.36717592592)</f>
        <v>44662.36718</v>
      </c>
      <c r="D4941" s="13">
        <f t="shared" si="1"/>
        <v>11</v>
      </c>
      <c r="E4941" s="13">
        <f t="shared" si="2"/>
        <v>8</v>
      </c>
    </row>
    <row r="4942">
      <c r="A4942" s="4" t="s">
        <v>5407</v>
      </c>
      <c r="B4942" s="16"/>
      <c r="C4942" s="12">
        <f>IFERROR(__xludf.DUMMYFUNCTION("""COMPUTED_VALUE"""),44662.36681712963)</f>
        <v>44662.36682</v>
      </c>
      <c r="D4942" s="13">
        <f t="shared" si="1"/>
        <v>11</v>
      </c>
      <c r="E4942" s="13">
        <f t="shared" si="2"/>
        <v>8</v>
      </c>
    </row>
    <row r="4943">
      <c r="A4943" s="4" t="s">
        <v>5408</v>
      </c>
      <c r="B4943" s="4" t="s">
        <v>5409</v>
      </c>
      <c r="C4943" s="12">
        <f>IFERROR(__xludf.DUMMYFUNCTION("""COMPUTED_VALUE"""),44662.35548611111)</f>
        <v>44662.35549</v>
      </c>
      <c r="D4943" s="13">
        <f t="shared" si="1"/>
        <v>11</v>
      </c>
      <c r="E4943" s="13">
        <f t="shared" si="2"/>
        <v>8</v>
      </c>
    </row>
    <row r="4944">
      <c r="A4944" s="4" t="s">
        <v>5410</v>
      </c>
      <c r="B4944" s="4" t="s">
        <v>5409</v>
      </c>
      <c r="C4944" s="12">
        <f>IFERROR(__xludf.DUMMYFUNCTION("""COMPUTED_VALUE"""),44662.35530092593)</f>
        <v>44662.3553</v>
      </c>
      <c r="D4944" s="13">
        <f t="shared" si="1"/>
        <v>11</v>
      </c>
      <c r="E4944" s="13">
        <f t="shared" si="2"/>
        <v>8</v>
      </c>
    </row>
    <row r="4945">
      <c r="A4945" s="4" t="s">
        <v>5411</v>
      </c>
      <c r="B4945" s="4" t="s">
        <v>5412</v>
      </c>
      <c r="C4945" s="12">
        <f>IFERROR(__xludf.DUMMYFUNCTION("""COMPUTED_VALUE"""),44662.350960648146)</f>
        <v>44662.35096</v>
      </c>
      <c r="D4945" s="13">
        <f t="shared" si="1"/>
        <v>11</v>
      </c>
      <c r="E4945" s="13">
        <f t="shared" si="2"/>
        <v>8</v>
      </c>
    </row>
    <row r="4946">
      <c r="A4946" s="4" t="s">
        <v>5413</v>
      </c>
      <c r="B4946" s="4" t="s">
        <v>5412</v>
      </c>
      <c r="C4946" s="12">
        <f>IFERROR(__xludf.DUMMYFUNCTION("""COMPUTED_VALUE"""),44662.35052083333)</f>
        <v>44662.35052</v>
      </c>
      <c r="D4946" s="13">
        <f t="shared" si="1"/>
        <v>11</v>
      </c>
      <c r="E4946" s="13">
        <f t="shared" si="2"/>
        <v>8</v>
      </c>
    </row>
    <row r="4947">
      <c r="A4947" s="4" t="s">
        <v>5414</v>
      </c>
      <c r="B4947" s="4" t="s">
        <v>5412</v>
      </c>
      <c r="C4947" s="12">
        <f>IFERROR(__xludf.DUMMYFUNCTION("""COMPUTED_VALUE"""),44662.35011574074)</f>
        <v>44662.35012</v>
      </c>
      <c r="D4947" s="13">
        <f t="shared" si="1"/>
        <v>11</v>
      </c>
      <c r="E4947" s="13">
        <f t="shared" si="2"/>
        <v>8</v>
      </c>
    </row>
    <row r="4948">
      <c r="A4948" s="4" t="s">
        <v>5415</v>
      </c>
      <c r="B4948" s="4" t="s">
        <v>5412</v>
      </c>
      <c r="C4948" s="12">
        <f>IFERROR(__xludf.DUMMYFUNCTION("""COMPUTED_VALUE"""),44662.349756944444)</f>
        <v>44662.34976</v>
      </c>
      <c r="D4948" s="13">
        <f t="shared" si="1"/>
        <v>11</v>
      </c>
      <c r="E4948" s="13">
        <f t="shared" si="2"/>
        <v>8</v>
      </c>
    </row>
    <row r="4949">
      <c r="A4949" s="4" t="s">
        <v>5416</v>
      </c>
      <c r="B4949" s="16"/>
      <c r="C4949" s="12">
        <f>IFERROR(__xludf.DUMMYFUNCTION("""COMPUTED_VALUE"""),44662.34633101852)</f>
        <v>44662.34633</v>
      </c>
      <c r="D4949" s="13">
        <f t="shared" si="1"/>
        <v>11</v>
      </c>
      <c r="E4949" s="13">
        <f t="shared" si="2"/>
        <v>8</v>
      </c>
    </row>
    <row r="4950">
      <c r="A4950" s="4" t="s">
        <v>5417</v>
      </c>
      <c r="B4950" s="4" t="s">
        <v>5418</v>
      </c>
      <c r="C4950" s="12">
        <f>IFERROR(__xludf.DUMMYFUNCTION("""COMPUTED_VALUE"""),44662.34627314815)</f>
        <v>44662.34627</v>
      </c>
      <c r="D4950" s="13">
        <f t="shared" si="1"/>
        <v>11</v>
      </c>
      <c r="E4950" s="13">
        <f t="shared" si="2"/>
        <v>8</v>
      </c>
    </row>
    <row r="4951">
      <c r="A4951" s="4" t="s">
        <v>5419</v>
      </c>
      <c r="B4951" s="16"/>
      <c r="C4951" s="12">
        <f>IFERROR(__xludf.DUMMYFUNCTION("""COMPUTED_VALUE"""),44662.34402777778)</f>
        <v>44662.34403</v>
      </c>
      <c r="D4951" s="13">
        <f t="shared" si="1"/>
        <v>11</v>
      </c>
      <c r="E4951" s="13">
        <f t="shared" si="2"/>
        <v>8</v>
      </c>
    </row>
    <row r="4952">
      <c r="A4952" s="4" t="s">
        <v>5420</v>
      </c>
      <c r="B4952" s="16"/>
      <c r="C4952" s="12">
        <f>IFERROR(__xludf.DUMMYFUNCTION("""COMPUTED_VALUE"""),44662.344004629624)</f>
        <v>44662.344</v>
      </c>
      <c r="D4952" s="13">
        <f t="shared" si="1"/>
        <v>11</v>
      </c>
      <c r="E4952" s="13">
        <f t="shared" si="2"/>
        <v>8</v>
      </c>
    </row>
    <row r="4953">
      <c r="A4953" s="4" t="s">
        <v>5421</v>
      </c>
      <c r="B4953" s="16"/>
      <c r="C4953" s="12">
        <f>IFERROR(__xludf.DUMMYFUNCTION("""COMPUTED_VALUE"""),44662.343888888885)</f>
        <v>44662.34389</v>
      </c>
      <c r="D4953" s="13">
        <f t="shared" si="1"/>
        <v>11</v>
      </c>
      <c r="E4953" s="13">
        <f t="shared" si="2"/>
        <v>8</v>
      </c>
    </row>
    <row r="4954">
      <c r="A4954" s="4" t="s">
        <v>5422</v>
      </c>
      <c r="B4954" s="4" t="s">
        <v>5423</v>
      </c>
      <c r="C4954" s="12">
        <f>IFERROR(__xludf.DUMMYFUNCTION("""COMPUTED_VALUE"""),44662.34385416666)</f>
        <v>44662.34385</v>
      </c>
      <c r="D4954" s="13">
        <f t="shared" si="1"/>
        <v>11</v>
      </c>
      <c r="E4954" s="13">
        <f t="shared" si="2"/>
        <v>8</v>
      </c>
    </row>
    <row r="4955">
      <c r="A4955" s="4" t="s">
        <v>5424</v>
      </c>
      <c r="B4955" s="16"/>
      <c r="C4955" s="12">
        <f>IFERROR(__xludf.DUMMYFUNCTION("""COMPUTED_VALUE"""),44662.343831018516)</f>
        <v>44662.34383</v>
      </c>
      <c r="D4955" s="13">
        <f t="shared" si="1"/>
        <v>11</v>
      </c>
      <c r="E4955" s="13">
        <f t="shared" si="2"/>
        <v>8</v>
      </c>
    </row>
    <row r="4956">
      <c r="A4956" s="4" t="s">
        <v>5425</v>
      </c>
      <c r="B4956" s="16"/>
      <c r="C4956" s="12">
        <f>IFERROR(__xludf.DUMMYFUNCTION("""COMPUTED_VALUE"""),44662.343773148146)</f>
        <v>44662.34377</v>
      </c>
      <c r="D4956" s="13">
        <f t="shared" si="1"/>
        <v>11</v>
      </c>
      <c r="E4956" s="13">
        <f t="shared" si="2"/>
        <v>8</v>
      </c>
    </row>
    <row r="4957">
      <c r="A4957" s="4" t="s">
        <v>5426</v>
      </c>
      <c r="B4957" s="16"/>
      <c r="C4957" s="12">
        <f>IFERROR(__xludf.DUMMYFUNCTION("""COMPUTED_VALUE"""),44662.343564814815)</f>
        <v>44662.34356</v>
      </c>
      <c r="D4957" s="13">
        <f t="shared" si="1"/>
        <v>11</v>
      </c>
      <c r="E4957" s="13">
        <f t="shared" si="2"/>
        <v>8</v>
      </c>
    </row>
    <row r="4958">
      <c r="A4958" s="4" t="s">
        <v>5427</v>
      </c>
      <c r="B4958" s="4" t="s">
        <v>5428</v>
      </c>
      <c r="C4958" s="12">
        <f>IFERROR(__xludf.DUMMYFUNCTION("""COMPUTED_VALUE"""),44662.3433912037)</f>
        <v>44662.34339</v>
      </c>
      <c r="D4958" s="13">
        <f t="shared" si="1"/>
        <v>11</v>
      </c>
      <c r="E4958" s="13">
        <f t="shared" si="2"/>
        <v>8</v>
      </c>
    </row>
    <row r="4959">
      <c r="A4959" s="4" t="s">
        <v>5429</v>
      </c>
      <c r="B4959" s="16"/>
      <c r="C4959" s="12">
        <f>IFERROR(__xludf.DUMMYFUNCTION("""COMPUTED_VALUE"""),44662.3425)</f>
        <v>44662.3425</v>
      </c>
      <c r="D4959" s="13">
        <f t="shared" si="1"/>
        <v>11</v>
      </c>
      <c r="E4959" s="13">
        <f t="shared" si="2"/>
        <v>8</v>
      </c>
    </row>
    <row r="4960">
      <c r="A4960" s="4" t="s">
        <v>5430</v>
      </c>
      <c r="B4960" s="4" t="s">
        <v>5431</v>
      </c>
      <c r="C4960" s="12">
        <f>IFERROR(__xludf.DUMMYFUNCTION("""COMPUTED_VALUE"""),44662.34247685185)</f>
        <v>44662.34248</v>
      </c>
      <c r="D4960" s="13">
        <f t="shared" si="1"/>
        <v>11</v>
      </c>
      <c r="E4960" s="13">
        <f t="shared" si="2"/>
        <v>8</v>
      </c>
    </row>
    <row r="4961">
      <c r="A4961" s="4" t="s">
        <v>5432</v>
      </c>
      <c r="B4961" s="16"/>
      <c r="C4961" s="12">
        <f>IFERROR(__xludf.DUMMYFUNCTION("""COMPUTED_VALUE"""),44662.3424537037)</f>
        <v>44662.34245</v>
      </c>
      <c r="D4961" s="13">
        <f t="shared" si="1"/>
        <v>11</v>
      </c>
      <c r="E4961" s="13">
        <f t="shared" si="2"/>
        <v>8</v>
      </c>
    </row>
    <row r="4962">
      <c r="A4962" s="4" t="s">
        <v>5433</v>
      </c>
      <c r="B4962" s="16"/>
      <c r="C4962" s="12">
        <f>IFERROR(__xludf.DUMMYFUNCTION("""COMPUTED_VALUE"""),44662.34223379629)</f>
        <v>44662.34223</v>
      </c>
      <c r="D4962" s="13">
        <f t="shared" si="1"/>
        <v>11</v>
      </c>
      <c r="E4962" s="13">
        <f t="shared" si="2"/>
        <v>8</v>
      </c>
    </row>
    <row r="4963">
      <c r="A4963" s="4" t="s">
        <v>5434</v>
      </c>
      <c r="B4963" s="16"/>
      <c r="C4963" s="12">
        <f>IFERROR(__xludf.DUMMYFUNCTION("""COMPUTED_VALUE"""),44662.34217592592)</f>
        <v>44662.34218</v>
      </c>
      <c r="D4963" s="13">
        <f t="shared" si="1"/>
        <v>11</v>
      </c>
      <c r="E4963" s="13">
        <f t="shared" si="2"/>
        <v>8</v>
      </c>
    </row>
    <row r="4964">
      <c r="A4964" s="4" t="s">
        <v>5435</v>
      </c>
      <c r="B4964" s="16"/>
      <c r="C4964" s="12">
        <f>IFERROR(__xludf.DUMMYFUNCTION("""COMPUTED_VALUE"""),44662.342048611106)</f>
        <v>44662.34205</v>
      </c>
      <c r="D4964" s="13">
        <f t="shared" si="1"/>
        <v>11</v>
      </c>
      <c r="E4964" s="13">
        <f t="shared" si="2"/>
        <v>8</v>
      </c>
    </row>
    <row r="4965">
      <c r="A4965" s="4" t="s">
        <v>5436</v>
      </c>
      <c r="B4965" s="16"/>
      <c r="C4965" s="12">
        <f>IFERROR(__xludf.DUMMYFUNCTION("""COMPUTED_VALUE"""),44662.34133101851)</f>
        <v>44662.34133</v>
      </c>
      <c r="D4965" s="13">
        <f t="shared" si="1"/>
        <v>11</v>
      </c>
      <c r="E4965" s="13">
        <f t="shared" si="2"/>
        <v>8</v>
      </c>
    </row>
    <row r="4966">
      <c r="A4966" s="4" t="s">
        <v>5437</v>
      </c>
      <c r="B4966" s="4" t="s">
        <v>5438</v>
      </c>
      <c r="C4966" s="12">
        <f>IFERROR(__xludf.DUMMYFUNCTION("""COMPUTED_VALUE"""),44662.34112268518)</f>
        <v>44662.34112</v>
      </c>
      <c r="D4966" s="13">
        <f t="shared" si="1"/>
        <v>11</v>
      </c>
      <c r="E4966" s="13">
        <f t="shared" si="2"/>
        <v>8</v>
      </c>
    </row>
    <row r="4967">
      <c r="A4967" s="4" t="s">
        <v>5439</v>
      </c>
      <c r="B4967" s="16"/>
      <c r="C4967" s="12">
        <f>IFERROR(__xludf.DUMMYFUNCTION("""COMPUTED_VALUE"""),44662.34061342592)</f>
        <v>44662.34061</v>
      </c>
      <c r="D4967" s="13">
        <f t="shared" si="1"/>
        <v>11</v>
      </c>
      <c r="E4967" s="13">
        <f t="shared" si="2"/>
        <v>8</v>
      </c>
    </row>
    <row r="4968">
      <c r="A4968" s="4" t="s">
        <v>5440</v>
      </c>
      <c r="B4968" s="16"/>
      <c r="C4968" s="12">
        <f>IFERROR(__xludf.DUMMYFUNCTION("""COMPUTED_VALUE"""),44662.340590277774)</f>
        <v>44662.34059</v>
      </c>
      <c r="D4968" s="13">
        <f t="shared" si="1"/>
        <v>11</v>
      </c>
      <c r="E4968" s="13">
        <f t="shared" si="2"/>
        <v>8</v>
      </c>
    </row>
    <row r="4969">
      <c r="A4969" s="4" t="s">
        <v>5441</v>
      </c>
      <c r="B4969" s="16"/>
      <c r="C4969" s="12">
        <f>IFERROR(__xludf.DUMMYFUNCTION("""COMPUTED_VALUE"""),44662.340532407405)</f>
        <v>44662.34053</v>
      </c>
      <c r="D4969" s="13">
        <f t="shared" si="1"/>
        <v>11</v>
      </c>
      <c r="E4969" s="13">
        <f t="shared" si="2"/>
        <v>8</v>
      </c>
    </row>
    <row r="4970">
      <c r="A4970" s="4" t="s">
        <v>5442</v>
      </c>
      <c r="B4970" s="4" t="s">
        <v>5443</v>
      </c>
      <c r="C4970" s="12">
        <f>IFERROR(__xludf.DUMMYFUNCTION("""COMPUTED_VALUE"""),44662.34045138889)</f>
        <v>44662.34045</v>
      </c>
      <c r="D4970" s="13">
        <f t="shared" si="1"/>
        <v>11</v>
      </c>
      <c r="E4970" s="13">
        <f t="shared" si="2"/>
        <v>8</v>
      </c>
    </row>
    <row r="4971">
      <c r="A4971" s="4" t="s">
        <v>5444</v>
      </c>
      <c r="B4971" s="4" t="s">
        <v>5445</v>
      </c>
      <c r="C4971" s="12">
        <f>IFERROR(__xludf.DUMMYFUNCTION("""COMPUTED_VALUE"""),44662.34040509259)</f>
        <v>44662.34041</v>
      </c>
      <c r="D4971" s="13">
        <f t="shared" si="1"/>
        <v>11</v>
      </c>
      <c r="E4971" s="13">
        <f t="shared" si="2"/>
        <v>8</v>
      </c>
    </row>
    <row r="4972">
      <c r="A4972" s="4" t="s">
        <v>5446</v>
      </c>
      <c r="B4972" s="16"/>
      <c r="C4972" s="12">
        <f>IFERROR(__xludf.DUMMYFUNCTION("""COMPUTED_VALUE"""),44662.34034722222)</f>
        <v>44662.34035</v>
      </c>
      <c r="D4972" s="13">
        <f t="shared" si="1"/>
        <v>11</v>
      </c>
      <c r="E4972" s="13">
        <f t="shared" si="2"/>
        <v>8</v>
      </c>
    </row>
    <row r="4973">
      <c r="A4973" s="4" t="s">
        <v>5447</v>
      </c>
      <c r="B4973" s="4" t="s">
        <v>5428</v>
      </c>
      <c r="C4973" s="12">
        <f>IFERROR(__xludf.DUMMYFUNCTION("""COMPUTED_VALUE"""),44662.32848379629)</f>
        <v>44662.32848</v>
      </c>
      <c r="D4973" s="13">
        <f t="shared" si="1"/>
        <v>11</v>
      </c>
      <c r="E4973" s="13">
        <f t="shared" si="2"/>
        <v>7</v>
      </c>
    </row>
    <row r="4974">
      <c r="A4974" s="4" t="s">
        <v>5448</v>
      </c>
      <c r="B4974" s="16"/>
      <c r="C4974" s="12">
        <f>IFERROR(__xludf.DUMMYFUNCTION("""COMPUTED_VALUE"""),44662.32846064815)</f>
        <v>44662.32846</v>
      </c>
      <c r="D4974" s="13">
        <f t="shared" si="1"/>
        <v>11</v>
      </c>
      <c r="E4974" s="13">
        <f t="shared" si="2"/>
        <v>7</v>
      </c>
    </row>
    <row r="4975">
      <c r="A4975" s="4" t="s">
        <v>5449</v>
      </c>
      <c r="B4975" s="16"/>
      <c r="C4975" s="12">
        <f>IFERROR(__xludf.DUMMYFUNCTION("""COMPUTED_VALUE"""),44662.3284375)</f>
        <v>44662.32844</v>
      </c>
      <c r="D4975" s="13">
        <f t="shared" si="1"/>
        <v>11</v>
      </c>
      <c r="E4975" s="13">
        <f t="shared" si="2"/>
        <v>7</v>
      </c>
    </row>
    <row r="4976">
      <c r="A4976" s="4" t="s">
        <v>5450</v>
      </c>
      <c r="B4976" s="16"/>
      <c r="C4976" s="12">
        <f>IFERROR(__xludf.DUMMYFUNCTION("""COMPUTED_VALUE"""),44662.32835648148)</f>
        <v>44662.32836</v>
      </c>
      <c r="D4976" s="13">
        <f t="shared" si="1"/>
        <v>11</v>
      </c>
      <c r="E4976" s="13">
        <f t="shared" si="2"/>
        <v>7</v>
      </c>
    </row>
    <row r="4977">
      <c r="A4977" s="4" t="s">
        <v>5451</v>
      </c>
      <c r="B4977" s="16"/>
      <c r="C4977" s="12">
        <f>IFERROR(__xludf.DUMMYFUNCTION("""COMPUTED_VALUE"""),44662.32696759259)</f>
        <v>44662.32697</v>
      </c>
      <c r="D4977" s="13">
        <f t="shared" si="1"/>
        <v>11</v>
      </c>
      <c r="E4977" s="13">
        <f t="shared" si="2"/>
        <v>7</v>
      </c>
    </row>
    <row r="4978">
      <c r="A4978" s="4" t="s">
        <v>5452</v>
      </c>
      <c r="B4978" s="4" t="s">
        <v>5453</v>
      </c>
      <c r="C4978" s="12">
        <f>IFERROR(__xludf.DUMMYFUNCTION("""COMPUTED_VALUE"""),44662.32638888888)</f>
        <v>44662.32639</v>
      </c>
      <c r="D4978" s="13">
        <f t="shared" si="1"/>
        <v>11</v>
      </c>
      <c r="E4978" s="13">
        <f t="shared" si="2"/>
        <v>7</v>
      </c>
    </row>
    <row r="4979">
      <c r="A4979" s="4" t="s">
        <v>5454</v>
      </c>
      <c r="B4979" s="4" t="s">
        <v>5455</v>
      </c>
      <c r="C4979" s="12">
        <f>IFERROR(__xludf.DUMMYFUNCTION("""COMPUTED_VALUE"""),44662.3253125)</f>
        <v>44662.32531</v>
      </c>
      <c r="D4979" s="13">
        <f t="shared" si="1"/>
        <v>11</v>
      </c>
      <c r="E4979" s="13">
        <f t="shared" si="2"/>
        <v>7</v>
      </c>
    </row>
    <row r="4980">
      <c r="A4980" s="4" t="s">
        <v>5456</v>
      </c>
      <c r="B4980" s="16"/>
      <c r="C4980" s="12">
        <f>IFERROR(__xludf.DUMMYFUNCTION("""COMPUTED_VALUE"""),44662.32415509259)</f>
        <v>44662.32416</v>
      </c>
      <c r="D4980" s="13">
        <f t="shared" si="1"/>
        <v>11</v>
      </c>
      <c r="E4980" s="13">
        <f t="shared" si="2"/>
        <v>7</v>
      </c>
    </row>
    <row r="4981">
      <c r="A4981" s="4" t="s">
        <v>5457</v>
      </c>
      <c r="B4981" s="16"/>
      <c r="C4981" s="12">
        <f>IFERROR(__xludf.DUMMYFUNCTION("""COMPUTED_VALUE"""),44662.32046296296)</f>
        <v>44662.32046</v>
      </c>
      <c r="D4981" s="13">
        <f t="shared" si="1"/>
        <v>11</v>
      </c>
      <c r="E4981" s="13">
        <f t="shared" si="2"/>
        <v>7</v>
      </c>
    </row>
    <row r="4982">
      <c r="A4982" s="4" t="s">
        <v>5458</v>
      </c>
      <c r="B4982" s="16"/>
      <c r="C4982" s="12">
        <f>IFERROR(__xludf.DUMMYFUNCTION("""COMPUTED_VALUE"""),44662.31822916667)</f>
        <v>44662.31823</v>
      </c>
      <c r="D4982" s="13">
        <f t="shared" si="1"/>
        <v>11</v>
      </c>
      <c r="E4982" s="13">
        <f t="shared" si="2"/>
        <v>7</v>
      </c>
    </row>
    <row r="4983">
      <c r="A4983" s="4" t="s">
        <v>5459</v>
      </c>
      <c r="B4983" s="16"/>
      <c r="C4983" s="12">
        <f>IFERROR(__xludf.DUMMYFUNCTION("""COMPUTED_VALUE"""),44662.318090277775)</f>
        <v>44662.31809</v>
      </c>
      <c r="D4983" s="13">
        <f t="shared" si="1"/>
        <v>11</v>
      </c>
      <c r="E4983" s="13">
        <f t="shared" si="2"/>
        <v>7</v>
      </c>
    </row>
    <row r="4984">
      <c r="A4984" s="4" t="s">
        <v>5460</v>
      </c>
      <c r="B4984" s="16"/>
      <c r="C4984" s="12">
        <f>IFERROR(__xludf.DUMMYFUNCTION("""COMPUTED_VALUE"""),44662.31717592592)</f>
        <v>44662.31718</v>
      </c>
      <c r="D4984" s="13">
        <f t="shared" si="1"/>
        <v>11</v>
      </c>
      <c r="E4984" s="13">
        <f t="shared" si="2"/>
        <v>7</v>
      </c>
    </row>
    <row r="4985">
      <c r="A4985" s="4" t="s">
        <v>5461</v>
      </c>
      <c r="B4985" s="16"/>
      <c r="C4985" s="12">
        <f>IFERROR(__xludf.DUMMYFUNCTION("""COMPUTED_VALUE"""),44662.31711805555)</f>
        <v>44662.31712</v>
      </c>
      <c r="D4985" s="13">
        <f t="shared" si="1"/>
        <v>11</v>
      </c>
      <c r="E4985" s="13">
        <f t="shared" si="2"/>
        <v>7</v>
      </c>
    </row>
    <row r="4986">
      <c r="A4986" s="4" t="s">
        <v>5462</v>
      </c>
      <c r="B4986" s="16"/>
      <c r="C4986" s="12">
        <f>IFERROR(__xludf.DUMMYFUNCTION("""COMPUTED_VALUE"""),44662.31707175926)</f>
        <v>44662.31707</v>
      </c>
      <c r="D4986" s="13">
        <f t="shared" si="1"/>
        <v>11</v>
      </c>
      <c r="E4986" s="13">
        <f t="shared" si="2"/>
        <v>7</v>
      </c>
    </row>
    <row r="4987">
      <c r="A4987" s="4" t="s">
        <v>5463</v>
      </c>
      <c r="B4987" s="16"/>
      <c r="C4987" s="12">
        <f>IFERROR(__xludf.DUMMYFUNCTION("""COMPUTED_VALUE"""),44662.30734953703)</f>
        <v>44662.30735</v>
      </c>
      <c r="D4987" s="13">
        <f t="shared" si="1"/>
        <v>11</v>
      </c>
      <c r="E4987" s="13">
        <f t="shared" si="2"/>
        <v>7</v>
      </c>
    </row>
    <row r="4988">
      <c r="A4988" s="4" t="s">
        <v>5464</v>
      </c>
      <c r="B4988" s="16"/>
      <c r="C4988" s="12">
        <f>IFERROR(__xludf.DUMMYFUNCTION("""COMPUTED_VALUE"""),44662.30608796296)</f>
        <v>44662.30609</v>
      </c>
      <c r="D4988" s="13">
        <f t="shared" si="1"/>
        <v>11</v>
      </c>
      <c r="E4988" s="13">
        <f t="shared" si="2"/>
        <v>7</v>
      </c>
    </row>
    <row r="4989">
      <c r="A4989" s="4" t="s">
        <v>5465</v>
      </c>
      <c r="B4989" s="16"/>
      <c r="C4989" s="12">
        <f>IFERROR(__xludf.DUMMYFUNCTION("""COMPUTED_VALUE"""),44662.28613425926)</f>
        <v>44662.28613</v>
      </c>
      <c r="D4989" s="13">
        <f t="shared" si="1"/>
        <v>11</v>
      </c>
      <c r="E4989" s="13">
        <f t="shared" si="2"/>
        <v>6</v>
      </c>
    </row>
    <row r="4990">
      <c r="A4990" s="4" t="s">
        <v>5466</v>
      </c>
      <c r="B4990" s="16"/>
      <c r="C4990" s="12">
        <f>IFERROR(__xludf.DUMMYFUNCTION("""COMPUTED_VALUE"""),44662.28548611111)</f>
        <v>44662.28549</v>
      </c>
      <c r="D4990" s="13">
        <f t="shared" si="1"/>
        <v>11</v>
      </c>
      <c r="E4990" s="13">
        <f t="shared" si="2"/>
        <v>6</v>
      </c>
    </row>
    <row r="4991">
      <c r="A4991" s="4" t="s">
        <v>5467</v>
      </c>
      <c r="B4991" s="16"/>
      <c r="C4991" s="12">
        <f>IFERROR(__xludf.DUMMYFUNCTION("""COMPUTED_VALUE"""),44662.280439814815)</f>
        <v>44662.28044</v>
      </c>
      <c r="D4991" s="13">
        <f t="shared" si="1"/>
        <v>11</v>
      </c>
      <c r="E4991" s="13">
        <f t="shared" si="2"/>
        <v>6</v>
      </c>
    </row>
    <row r="4992">
      <c r="A4992" s="4" t="s">
        <v>5468</v>
      </c>
      <c r="B4992" s="16"/>
      <c r="C4992" s="12">
        <f>IFERROR(__xludf.DUMMYFUNCTION("""COMPUTED_VALUE"""),44662.28035879629)</f>
        <v>44662.28036</v>
      </c>
      <c r="D4992" s="13">
        <f t="shared" si="1"/>
        <v>11</v>
      </c>
      <c r="E4992" s="13">
        <f t="shared" si="2"/>
        <v>6</v>
      </c>
    </row>
    <row r="4993">
      <c r="A4993" s="4" t="s">
        <v>5469</v>
      </c>
      <c r="B4993" s="4" t="s">
        <v>5470</v>
      </c>
      <c r="C4993" s="12">
        <f>IFERROR(__xludf.DUMMYFUNCTION("""COMPUTED_VALUE"""),44662.27898148148)</f>
        <v>44662.27898</v>
      </c>
      <c r="D4993" s="13">
        <f t="shared" si="1"/>
        <v>11</v>
      </c>
      <c r="E4993" s="13">
        <f t="shared" si="2"/>
        <v>6</v>
      </c>
    </row>
    <row r="4994">
      <c r="A4994" s="4" t="s">
        <v>5471</v>
      </c>
      <c r="B4994" s="16"/>
      <c r="C4994" s="12">
        <f>IFERROR(__xludf.DUMMYFUNCTION("""COMPUTED_VALUE"""),44662.27885416667)</f>
        <v>44662.27885</v>
      </c>
      <c r="D4994" s="13">
        <f t="shared" si="1"/>
        <v>11</v>
      </c>
      <c r="E4994" s="13">
        <f t="shared" si="2"/>
        <v>6</v>
      </c>
    </row>
    <row r="4995">
      <c r="A4995" s="4" t="s">
        <v>5472</v>
      </c>
      <c r="B4995" s="16"/>
      <c r="C4995" s="12">
        <f>IFERROR(__xludf.DUMMYFUNCTION("""COMPUTED_VALUE"""),44662.277974537035)</f>
        <v>44662.27797</v>
      </c>
      <c r="D4995" s="13">
        <f t="shared" si="1"/>
        <v>11</v>
      </c>
      <c r="E4995" s="13">
        <f t="shared" si="2"/>
        <v>6</v>
      </c>
    </row>
    <row r="4996">
      <c r="A4996" s="4" t="s">
        <v>5473</v>
      </c>
      <c r="B4996" s="4" t="s">
        <v>5470</v>
      </c>
      <c r="C4996" s="12">
        <f>IFERROR(__xludf.DUMMYFUNCTION("""COMPUTED_VALUE"""),44662.27774305555)</f>
        <v>44662.27774</v>
      </c>
      <c r="D4996" s="13">
        <f t="shared" si="1"/>
        <v>11</v>
      </c>
      <c r="E4996" s="13">
        <f t="shared" si="2"/>
        <v>6</v>
      </c>
    </row>
    <row r="4997">
      <c r="A4997" s="4" t="s">
        <v>5474</v>
      </c>
      <c r="B4997" s="16"/>
      <c r="C4997" s="12">
        <f>IFERROR(__xludf.DUMMYFUNCTION("""COMPUTED_VALUE"""),44662.263449074075)</f>
        <v>44662.26345</v>
      </c>
      <c r="D4997" s="13">
        <f t="shared" si="1"/>
        <v>11</v>
      </c>
      <c r="E4997" s="13">
        <f t="shared" si="2"/>
        <v>6</v>
      </c>
    </row>
    <row r="4998">
      <c r="A4998" s="4" t="s">
        <v>5475</v>
      </c>
      <c r="B4998" s="16"/>
      <c r="C4998" s="12">
        <f>IFERROR(__xludf.DUMMYFUNCTION("""COMPUTED_VALUE"""),44662.26342592592)</f>
        <v>44662.26343</v>
      </c>
      <c r="D4998" s="13">
        <f t="shared" si="1"/>
        <v>11</v>
      </c>
      <c r="E4998" s="13">
        <f t="shared" si="2"/>
        <v>6</v>
      </c>
    </row>
    <row r="4999">
      <c r="A4999" s="4" t="s">
        <v>5476</v>
      </c>
      <c r="B4999" s="16"/>
      <c r="C4999" s="12">
        <f>IFERROR(__xludf.DUMMYFUNCTION("""COMPUTED_VALUE"""),44662.26332175926)</f>
        <v>44662.26332</v>
      </c>
      <c r="D4999" s="13">
        <f t="shared" si="1"/>
        <v>11</v>
      </c>
      <c r="E4999" s="13">
        <f t="shared" si="2"/>
        <v>6</v>
      </c>
    </row>
    <row r="5000">
      <c r="A5000" s="4" t="s">
        <v>5477</v>
      </c>
      <c r="B5000" s="16"/>
      <c r="C5000" s="12">
        <f>IFERROR(__xludf.DUMMYFUNCTION("""COMPUTED_VALUE"""),44662.26238425926)</f>
        <v>44662.26238</v>
      </c>
      <c r="D5000" s="13">
        <f t="shared" si="1"/>
        <v>11</v>
      </c>
      <c r="E5000" s="13">
        <f t="shared" si="2"/>
        <v>6</v>
      </c>
    </row>
    <row r="5001">
      <c r="A5001" s="4" t="s">
        <v>5478</v>
      </c>
      <c r="B5001" s="4" t="s">
        <v>5479</v>
      </c>
      <c r="C5001" s="12">
        <f>IFERROR(__xludf.DUMMYFUNCTION("""COMPUTED_VALUE"""),44662.256875)</f>
        <v>44662.25688</v>
      </c>
      <c r="D5001" s="13">
        <f t="shared" si="1"/>
        <v>11</v>
      </c>
      <c r="E5001" s="13">
        <f t="shared" si="2"/>
        <v>6</v>
      </c>
    </row>
    <row r="5002">
      <c r="A5002" s="4" t="s">
        <v>5480</v>
      </c>
      <c r="B5002" s="4" t="s">
        <v>5479</v>
      </c>
      <c r="C5002" s="12">
        <f>IFERROR(__xludf.DUMMYFUNCTION("""COMPUTED_VALUE"""),44662.25685185185)</f>
        <v>44662.25685</v>
      </c>
      <c r="D5002" s="13">
        <f t="shared" si="1"/>
        <v>11</v>
      </c>
      <c r="E5002" s="13">
        <f t="shared" si="2"/>
        <v>6</v>
      </c>
    </row>
    <row r="5003">
      <c r="A5003" s="4" t="s">
        <v>5481</v>
      </c>
      <c r="B5003" s="4" t="s">
        <v>5479</v>
      </c>
      <c r="C5003" s="12">
        <f>IFERROR(__xludf.DUMMYFUNCTION("""COMPUTED_VALUE"""),44662.25680555555)</f>
        <v>44662.25681</v>
      </c>
      <c r="D5003" s="13">
        <f t="shared" si="1"/>
        <v>11</v>
      </c>
      <c r="E5003" s="13">
        <f t="shared" si="2"/>
        <v>6</v>
      </c>
    </row>
    <row r="5004">
      <c r="A5004" s="4" t="s">
        <v>5482</v>
      </c>
      <c r="B5004" s="4" t="s">
        <v>5479</v>
      </c>
      <c r="C5004" s="12">
        <f>IFERROR(__xludf.DUMMYFUNCTION("""COMPUTED_VALUE"""),44662.256643518514)</f>
        <v>44662.25664</v>
      </c>
      <c r="D5004" s="13">
        <f t="shared" si="1"/>
        <v>11</v>
      </c>
      <c r="E5004" s="13">
        <f t="shared" si="2"/>
        <v>6</v>
      </c>
    </row>
    <row r="5005">
      <c r="A5005" s="4" t="s">
        <v>5483</v>
      </c>
      <c r="B5005" s="16"/>
      <c r="C5005" s="12">
        <f>IFERROR(__xludf.DUMMYFUNCTION("""COMPUTED_VALUE"""),44662.25351851852)</f>
        <v>44662.25352</v>
      </c>
      <c r="D5005" s="13">
        <f t="shared" si="1"/>
        <v>11</v>
      </c>
      <c r="E5005" s="13">
        <f t="shared" si="2"/>
        <v>6</v>
      </c>
    </row>
    <row r="5006">
      <c r="A5006" s="4" t="s">
        <v>5484</v>
      </c>
      <c r="B5006" s="16"/>
      <c r="C5006" s="12">
        <f>IFERROR(__xludf.DUMMYFUNCTION("""COMPUTED_VALUE"""),44662.2524537037)</f>
        <v>44662.25245</v>
      </c>
      <c r="D5006" s="13">
        <f t="shared" si="1"/>
        <v>11</v>
      </c>
      <c r="E5006" s="13">
        <f t="shared" si="2"/>
        <v>6</v>
      </c>
    </row>
    <row r="5007">
      <c r="A5007" s="4" t="s">
        <v>5485</v>
      </c>
      <c r="B5007" s="16"/>
      <c r="C5007" s="12">
        <f>IFERROR(__xludf.DUMMYFUNCTION("""COMPUTED_VALUE"""),44662.25145833333)</f>
        <v>44662.25146</v>
      </c>
      <c r="D5007" s="13">
        <f t="shared" si="1"/>
        <v>11</v>
      </c>
      <c r="E5007" s="13">
        <f t="shared" si="2"/>
        <v>6</v>
      </c>
    </row>
    <row r="5008">
      <c r="A5008" s="4" t="s">
        <v>5486</v>
      </c>
      <c r="B5008" s="4" t="s">
        <v>5487</v>
      </c>
      <c r="C5008" s="12">
        <f>IFERROR(__xludf.DUMMYFUNCTION("""COMPUTED_VALUE"""),44662.251435185186)</f>
        <v>44662.25144</v>
      </c>
      <c r="D5008" s="13">
        <f t="shared" si="1"/>
        <v>11</v>
      </c>
      <c r="E5008" s="13">
        <f t="shared" si="2"/>
        <v>6</v>
      </c>
    </row>
    <row r="5009">
      <c r="A5009" s="4" t="s">
        <v>5488</v>
      </c>
      <c r="B5009" s="16"/>
      <c r="C5009" s="12">
        <f>IFERROR(__xludf.DUMMYFUNCTION("""COMPUTED_VALUE"""),44662.25140046296)</f>
        <v>44662.2514</v>
      </c>
      <c r="D5009" s="13">
        <f t="shared" si="1"/>
        <v>11</v>
      </c>
      <c r="E5009" s="13">
        <f t="shared" si="2"/>
        <v>6</v>
      </c>
    </row>
    <row r="5010">
      <c r="A5010" s="4" t="s">
        <v>5489</v>
      </c>
      <c r="B5010" s="16"/>
      <c r="C5010" s="12">
        <f>IFERROR(__xludf.DUMMYFUNCTION("""COMPUTED_VALUE"""),44662.24905092592)</f>
        <v>44662.24905</v>
      </c>
      <c r="D5010" s="13">
        <f t="shared" si="1"/>
        <v>11</v>
      </c>
      <c r="E5010" s="13">
        <f t="shared" si="2"/>
        <v>5</v>
      </c>
    </row>
    <row r="5011">
      <c r="A5011" s="4" t="s">
        <v>5490</v>
      </c>
      <c r="B5011" s="16"/>
      <c r="C5011" s="12">
        <f>IFERROR(__xludf.DUMMYFUNCTION("""COMPUTED_VALUE"""),44662.24590277777)</f>
        <v>44662.2459</v>
      </c>
      <c r="D5011" s="13">
        <f t="shared" si="1"/>
        <v>11</v>
      </c>
      <c r="E5011" s="13">
        <f t="shared" si="2"/>
        <v>5</v>
      </c>
    </row>
    <row r="5012">
      <c r="A5012" s="4" t="s">
        <v>5491</v>
      </c>
      <c r="B5012" s="16"/>
      <c r="C5012" s="12">
        <f>IFERROR(__xludf.DUMMYFUNCTION("""COMPUTED_VALUE"""),44662.23890046296)</f>
        <v>44662.2389</v>
      </c>
      <c r="D5012" s="13">
        <f t="shared" si="1"/>
        <v>11</v>
      </c>
      <c r="E5012" s="13">
        <f t="shared" si="2"/>
        <v>5</v>
      </c>
    </row>
    <row r="5013">
      <c r="A5013" s="4" t="s">
        <v>5492</v>
      </c>
      <c r="B5013" s="4" t="s">
        <v>5035</v>
      </c>
      <c r="C5013" s="12">
        <f>IFERROR(__xludf.DUMMYFUNCTION("""COMPUTED_VALUE"""),44662.23887731481)</f>
        <v>44662.23888</v>
      </c>
      <c r="D5013" s="13">
        <f t="shared" si="1"/>
        <v>11</v>
      </c>
      <c r="E5013" s="13">
        <f t="shared" si="2"/>
        <v>5</v>
      </c>
    </row>
    <row r="5014">
      <c r="A5014" s="4" t="s">
        <v>5493</v>
      </c>
      <c r="B5014" s="16"/>
      <c r="C5014" s="12">
        <f>IFERROR(__xludf.DUMMYFUNCTION("""COMPUTED_VALUE"""),44662.237858796296)</f>
        <v>44662.23786</v>
      </c>
      <c r="D5014" s="13">
        <f t="shared" si="1"/>
        <v>11</v>
      </c>
      <c r="E5014" s="13">
        <f t="shared" si="2"/>
        <v>5</v>
      </c>
    </row>
    <row r="5015">
      <c r="A5015" s="4" t="s">
        <v>5494</v>
      </c>
      <c r="B5015" s="16"/>
      <c r="C5015" s="12">
        <f>IFERROR(__xludf.DUMMYFUNCTION("""COMPUTED_VALUE"""),44662.23780092593)</f>
        <v>44662.2378</v>
      </c>
      <c r="D5015" s="13">
        <f t="shared" si="1"/>
        <v>11</v>
      </c>
      <c r="E5015" s="13">
        <f t="shared" si="2"/>
        <v>5</v>
      </c>
    </row>
    <row r="5016">
      <c r="A5016" s="4" t="s">
        <v>5495</v>
      </c>
      <c r="B5016" s="16"/>
      <c r="C5016" s="12">
        <f>IFERROR(__xludf.DUMMYFUNCTION("""COMPUTED_VALUE"""),44662.23756944444)</f>
        <v>44662.23757</v>
      </c>
      <c r="D5016" s="13">
        <f t="shared" si="1"/>
        <v>11</v>
      </c>
      <c r="E5016" s="13">
        <f t="shared" si="2"/>
        <v>5</v>
      </c>
    </row>
    <row r="5017">
      <c r="A5017" s="4" t="s">
        <v>5496</v>
      </c>
      <c r="B5017" s="16"/>
      <c r="C5017" s="12">
        <f>IFERROR(__xludf.DUMMYFUNCTION("""COMPUTED_VALUE"""),44662.23512731481)</f>
        <v>44662.23513</v>
      </c>
      <c r="D5017" s="13">
        <f t="shared" si="1"/>
        <v>11</v>
      </c>
      <c r="E5017" s="13">
        <f t="shared" si="2"/>
        <v>5</v>
      </c>
    </row>
    <row r="5018">
      <c r="A5018" s="4" t="s">
        <v>5497</v>
      </c>
      <c r="B5018" s="16"/>
      <c r="C5018" s="12">
        <f>IFERROR(__xludf.DUMMYFUNCTION("""COMPUTED_VALUE"""),44662.2062037037)</f>
        <v>44662.2062</v>
      </c>
      <c r="D5018" s="13">
        <f t="shared" si="1"/>
        <v>11</v>
      </c>
      <c r="E5018" s="13">
        <f t="shared" si="2"/>
        <v>4</v>
      </c>
    </row>
    <row r="5019">
      <c r="A5019" s="4" t="s">
        <v>5498</v>
      </c>
      <c r="B5019" s="16"/>
      <c r="C5019" s="12">
        <f>IFERROR(__xludf.DUMMYFUNCTION("""COMPUTED_VALUE"""),44662.20618055555)</f>
        <v>44662.20618</v>
      </c>
      <c r="D5019" s="13">
        <f t="shared" si="1"/>
        <v>11</v>
      </c>
      <c r="E5019" s="13">
        <f t="shared" si="2"/>
        <v>4</v>
      </c>
    </row>
    <row r="5020">
      <c r="A5020" s="4" t="s">
        <v>5499</v>
      </c>
      <c r="B5020" s="4" t="s">
        <v>5500</v>
      </c>
      <c r="C5020" s="12">
        <f>IFERROR(__xludf.DUMMYFUNCTION("""COMPUTED_VALUE"""),44662.20570601852)</f>
        <v>44662.20571</v>
      </c>
      <c r="D5020" s="13">
        <f t="shared" si="1"/>
        <v>11</v>
      </c>
      <c r="E5020" s="13">
        <f t="shared" si="2"/>
        <v>4</v>
      </c>
    </row>
    <row r="5021">
      <c r="A5021" s="4" t="s">
        <v>5501</v>
      </c>
      <c r="B5021" s="16"/>
      <c r="C5021" s="12">
        <f>IFERROR(__xludf.DUMMYFUNCTION("""COMPUTED_VALUE"""),44662.20565972222)</f>
        <v>44662.20566</v>
      </c>
      <c r="D5021" s="13">
        <f t="shared" si="1"/>
        <v>11</v>
      </c>
      <c r="E5021" s="13">
        <f t="shared" si="2"/>
        <v>4</v>
      </c>
    </row>
    <row r="5022">
      <c r="A5022" s="4" t="s">
        <v>5502</v>
      </c>
      <c r="B5022" s="16"/>
      <c r="C5022" s="12">
        <f>IFERROR(__xludf.DUMMYFUNCTION("""COMPUTED_VALUE"""),44662.205567129626)</f>
        <v>44662.20557</v>
      </c>
      <c r="D5022" s="13">
        <f t="shared" si="1"/>
        <v>11</v>
      </c>
      <c r="E5022" s="13">
        <f t="shared" si="2"/>
        <v>4</v>
      </c>
    </row>
    <row r="5023">
      <c r="A5023" s="4" t="s">
        <v>5503</v>
      </c>
      <c r="B5023" s="16"/>
      <c r="C5023" s="12">
        <f>IFERROR(__xludf.DUMMYFUNCTION("""COMPUTED_VALUE"""),44662.2052662037)</f>
        <v>44662.20527</v>
      </c>
      <c r="D5023" s="13">
        <f t="shared" si="1"/>
        <v>11</v>
      </c>
      <c r="E5023" s="13">
        <f t="shared" si="2"/>
        <v>4</v>
      </c>
    </row>
    <row r="5024">
      <c r="A5024" s="4" t="s">
        <v>5504</v>
      </c>
      <c r="B5024" s="4" t="s">
        <v>5500</v>
      </c>
      <c r="C5024" s="12">
        <f>IFERROR(__xludf.DUMMYFUNCTION("""COMPUTED_VALUE"""),44662.20491898148)</f>
        <v>44662.20492</v>
      </c>
      <c r="D5024" s="13">
        <f t="shared" si="1"/>
        <v>11</v>
      </c>
      <c r="E5024" s="13">
        <f t="shared" si="2"/>
        <v>4</v>
      </c>
    </row>
    <row r="5025">
      <c r="A5025" s="4" t="s">
        <v>5505</v>
      </c>
      <c r="B5025" s="16"/>
      <c r="C5025" s="12">
        <f>IFERROR(__xludf.DUMMYFUNCTION("""COMPUTED_VALUE"""),44662.20472222222)</f>
        <v>44662.20472</v>
      </c>
      <c r="D5025" s="13">
        <f t="shared" si="1"/>
        <v>11</v>
      </c>
      <c r="E5025" s="13">
        <f t="shared" si="2"/>
        <v>4</v>
      </c>
    </row>
    <row r="5026">
      <c r="A5026" s="4" t="s">
        <v>5506</v>
      </c>
      <c r="B5026" s="16"/>
      <c r="C5026" s="12">
        <f>IFERROR(__xludf.DUMMYFUNCTION("""COMPUTED_VALUE"""),44662.204675925925)</f>
        <v>44662.20468</v>
      </c>
      <c r="D5026" s="13">
        <f t="shared" si="1"/>
        <v>11</v>
      </c>
      <c r="E5026" s="13">
        <f t="shared" si="2"/>
        <v>4</v>
      </c>
    </row>
    <row r="5027">
      <c r="A5027" s="4" t="s">
        <v>5507</v>
      </c>
      <c r="B5027" s="16"/>
      <c r="C5027" s="12">
        <f>IFERROR(__xludf.DUMMYFUNCTION("""COMPUTED_VALUE"""),44662.204305555555)</f>
        <v>44662.20431</v>
      </c>
      <c r="D5027" s="13">
        <f t="shared" si="1"/>
        <v>11</v>
      </c>
      <c r="E5027" s="13">
        <f t="shared" si="2"/>
        <v>4</v>
      </c>
    </row>
    <row r="5028">
      <c r="A5028" s="4" t="s">
        <v>5508</v>
      </c>
      <c r="B5028" s="16"/>
      <c r="C5028" s="12">
        <f>IFERROR(__xludf.DUMMYFUNCTION("""COMPUTED_VALUE"""),44662.20412037037)</f>
        <v>44662.20412</v>
      </c>
      <c r="D5028" s="13">
        <f t="shared" si="1"/>
        <v>11</v>
      </c>
      <c r="E5028" s="13">
        <f t="shared" si="2"/>
        <v>4</v>
      </c>
    </row>
    <row r="5029">
      <c r="A5029" s="4" t="s">
        <v>5509</v>
      </c>
      <c r="B5029" s="16"/>
      <c r="C5029" s="12">
        <f>IFERROR(__xludf.DUMMYFUNCTION("""COMPUTED_VALUE"""),44662.1958912037)</f>
        <v>44662.19589</v>
      </c>
      <c r="D5029" s="13">
        <f t="shared" si="1"/>
        <v>11</v>
      </c>
      <c r="E5029" s="13">
        <f t="shared" si="2"/>
        <v>4</v>
      </c>
    </row>
    <row r="5030">
      <c r="A5030" s="4" t="s">
        <v>5510</v>
      </c>
      <c r="B5030" s="16"/>
      <c r="C5030" s="12">
        <f>IFERROR(__xludf.DUMMYFUNCTION("""COMPUTED_VALUE"""),44662.19585648148)</f>
        <v>44662.19586</v>
      </c>
      <c r="D5030" s="13">
        <f t="shared" si="1"/>
        <v>11</v>
      </c>
      <c r="E5030" s="13">
        <f t="shared" si="2"/>
        <v>4</v>
      </c>
    </row>
    <row r="5031">
      <c r="A5031" s="4" t="s">
        <v>5511</v>
      </c>
      <c r="B5031" s="16"/>
      <c r="C5031" s="12">
        <f>IFERROR(__xludf.DUMMYFUNCTION("""COMPUTED_VALUE"""),44662.119062499994)</f>
        <v>44662.11906</v>
      </c>
      <c r="D5031" s="13">
        <f t="shared" si="1"/>
        <v>11</v>
      </c>
      <c r="E5031" s="13">
        <f t="shared" si="2"/>
        <v>2</v>
      </c>
    </row>
    <row r="5032">
      <c r="A5032" s="4" t="s">
        <v>5512</v>
      </c>
      <c r="B5032" s="4" t="s">
        <v>5513</v>
      </c>
      <c r="C5032" s="12">
        <f>IFERROR(__xludf.DUMMYFUNCTION("""COMPUTED_VALUE"""),44662.09987268518)</f>
        <v>44662.09987</v>
      </c>
      <c r="D5032" s="13">
        <f t="shared" si="1"/>
        <v>11</v>
      </c>
      <c r="E5032" s="13">
        <f t="shared" si="2"/>
        <v>2</v>
      </c>
    </row>
    <row r="5033">
      <c r="A5033" s="4" t="s">
        <v>5514</v>
      </c>
      <c r="B5033" s="16"/>
      <c r="C5033" s="12">
        <f>IFERROR(__xludf.DUMMYFUNCTION("""COMPUTED_VALUE"""),44662.060011574074)</f>
        <v>44662.06001</v>
      </c>
      <c r="D5033" s="13">
        <f t="shared" si="1"/>
        <v>11</v>
      </c>
      <c r="E5033" s="13">
        <f t="shared" si="2"/>
        <v>1</v>
      </c>
    </row>
    <row r="5034">
      <c r="A5034" s="4" t="s">
        <v>5515</v>
      </c>
      <c r="B5034" s="4" t="s">
        <v>5516</v>
      </c>
      <c r="C5034" s="12">
        <f>IFERROR(__xludf.DUMMYFUNCTION("""COMPUTED_VALUE"""),44662.03969907407)</f>
        <v>44662.0397</v>
      </c>
      <c r="D5034" s="13">
        <f t="shared" si="1"/>
        <v>11</v>
      </c>
      <c r="E5034" s="13">
        <f t="shared" si="2"/>
        <v>0</v>
      </c>
    </row>
    <row r="5035">
      <c r="A5035" s="4" t="s">
        <v>5517</v>
      </c>
      <c r="B5035" s="4" t="s">
        <v>5518</v>
      </c>
      <c r="C5035" s="12">
        <f>IFERROR(__xludf.DUMMYFUNCTION("""COMPUTED_VALUE"""),44662.03160879629)</f>
        <v>44662.03161</v>
      </c>
      <c r="D5035" s="13">
        <f t="shared" si="1"/>
        <v>11</v>
      </c>
      <c r="E5035" s="13">
        <f t="shared" si="2"/>
        <v>0</v>
      </c>
    </row>
    <row r="5036">
      <c r="A5036" s="4" t="s">
        <v>5519</v>
      </c>
      <c r="B5036" s="16"/>
      <c r="C5036" s="12">
        <f>IFERROR(__xludf.DUMMYFUNCTION("""COMPUTED_VALUE"""),44662.03128472222)</f>
        <v>44662.03128</v>
      </c>
      <c r="D5036" s="13">
        <f t="shared" si="1"/>
        <v>11</v>
      </c>
      <c r="E5036" s="13">
        <f t="shared" si="2"/>
        <v>0</v>
      </c>
    </row>
    <row r="5037">
      <c r="A5037" s="4" t="s">
        <v>5520</v>
      </c>
      <c r="B5037" s="4" t="s">
        <v>5518</v>
      </c>
      <c r="C5037" s="12">
        <f>IFERROR(__xludf.DUMMYFUNCTION("""COMPUTED_VALUE"""),44662.030081018514)</f>
        <v>44662.03008</v>
      </c>
      <c r="D5037" s="13">
        <f t="shared" si="1"/>
        <v>11</v>
      </c>
      <c r="E5037" s="13">
        <f t="shared" si="2"/>
        <v>0</v>
      </c>
    </row>
    <row r="5038">
      <c r="A5038" s="4" t="s">
        <v>5521</v>
      </c>
      <c r="B5038" s="16"/>
      <c r="C5038" s="12">
        <f>IFERROR(__xludf.DUMMYFUNCTION("""COMPUTED_VALUE"""),44662.03)</f>
        <v>44662.03</v>
      </c>
      <c r="D5038" s="13">
        <f t="shared" si="1"/>
        <v>11</v>
      </c>
      <c r="E5038" s="13">
        <f t="shared" si="2"/>
        <v>0</v>
      </c>
    </row>
    <row r="5039">
      <c r="A5039" s="4" t="s">
        <v>5522</v>
      </c>
      <c r="B5039" s="4" t="s">
        <v>1235</v>
      </c>
      <c r="C5039" s="12">
        <f>IFERROR(__xludf.DUMMYFUNCTION("""COMPUTED_VALUE"""),44662.01569444444)</f>
        <v>44662.01569</v>
      </c>
      <c r="D5039" s="13">
        <f t="shared" si="1"/>
        <v>11</v>
      </c>
      <c r="E5039" s="13">
        <f t="shared" si="2"/>
        <v>0</v>
      </c>
    </row>
    <row r="5040">
      <c r="A5040" s="4" t="s">
        <v>5523</v>
      </c>
      <c r="B5040" s="4" t="s">
        <v>1235</v>
      </c>
      <c r="C5040" s="12">
        <f>IFERROR(__xludf.DUMMYFUNCTION("""COMPUTED_VALUE"""),44662.01565972222)</f>
        <v>44662.01566</v>
      </c>
      <c r="D5040" s="13">
        <f t="shared" si="1"/>
        <v>11</v>
      </c>
      <c r="E5040" s="13">
        <f t="shared" si="2"/>
        <v>0</v>
      </c>
    </row>
    <row r="5041">
      <c r="A5041" s="4" t="s">
        <v>5524</v>
      </c>
      <c r="B5041" s="4" t="s">
        <v>1235</v>
      </c>
      <c r="C5041" s="12">
        <f>IFERROR(__xludf.DUMMYFUNCTION("""COMPUTED_VALUE"""),44662.01563657407)</f>
        <v>44662.01564</v>
      </c>
      <c r="D5041" s="13">
        <f t="shared" si="1"/>
        <v>11</v>
      </c>
      <c r="E5041" s="13">
        <f t="shared" si="2"/>
        <v>0</v>
      </c>
    </row>
    <row r="5042">
      <c r="A5042" s="4" t="s">
        <v>5525</v>
      </c>
      <c r="B5042" s="4" t="s">
        <v>5428</v>
      </c>
      <c r="C5042" s="12">
        <f>IFERROR(__xludf.DUMMYFUNCTION("""COMPUTED_VALUE"""),44661.99476851852)</f>
        <v>44661.99477</v>
      </c>
      <c r="D5042" s="13">
        <f t="shared" si="1"/>
        <v>10</v>
      </c>
      <c r="E5042" s="13">
        <f t="shared" si="2"/>
        <v>23</v>
      </c>
    </row>
    <row r="5043">
      <c r="A5043" s="4" t="s">
        <v>5526</v>
      </c>
      <c r="B5043" s="4" t="s">
        <v>5527</v>
      </c>
      <c r="C5043" s="12">
        <f>IFERROR(__xludf.DUMMYFUNCTION("""COMPUTED_VALUE"""),44661.9946412037)</f>
        <v>44661.99464</v>
      </c>
      <c r="D5043" s="13">
        <f t="shared" si="1"/>
        <v>10</v>
      </c>
      <c r="E5043" s="13">
        <f t="shared" si="2"/>
        <v>23</v>
      </c>
    </row>
    <row r="5044">
      <c r="A5044" s="4" t="s">
        <v>5528</v>
      </c>
      <c r="B5044" s="16"/>
      <c r="C5044" s="12">
        <f>IFERROR(__xludf.DUMMYFUNCTION("""COMPUTED_VALUE"""),44661.992002314815)</f>
        <v>44661.992</v>
      </c>
      <c r="D5044" s="13">
        <f t="shared" si="1"/>
        <v>10</v>
      </c>
      <c r="E5044" s="13">
        <f t="shared" si="2"/>
        <v>23</v>
      </c>
    </row>
    <row r="5045">
      <c r="A5045" s="4" t="s">
        <v>5529</v>
      </c>
      <c r="B5045" s="4" t="s">
        <v>5530</v>
      </c>
      <c r="C5045" s="12">
        <f>IFERROR(__xludf.DUMMYFUNCTION("""COMPUTED_VALUE"""),44661.98925925926)</f>
        <v>44661.98926</v>
      </c>
      <c r="D5045" s="13">
        <f t="shared" si="1"/>
        <v>10</v>
      </c>
      <c r="E5045" s="13">
        <f t="shared" si="2"/>
        <v>23</v>
      </c>
    </row>
    <row r="5046">
      <c r="A5046" s="4" t="s">
        <v>5531</v>
      </c>
      <c r="B5046" s="4" t="s">
        <v>5532</v>
      </c>
      <c r="C5046" s="12">
        <f>IFERROR(__xludf.DUMMYFUNCTION("""COMPUTED_VALUE"""),44661.985810185186)</f>
        <v>44661.98581</v>
      </c>
      <c r="D5046" s="13">
        <f t="shared" si="1"/>
        <v>10</v>
      </c>
      <c r="E5046" s="13">
        <f t="shared" si="2"/>
        <v>23</v>
      </c>
    </row>
    <row r="5047">
      <c r="A5047" s="4" t="s">
        <v>5533</v>
      </c>
      <c r="B5047" s="4" t="s">
        <v>5527</v>
      </c>
      <c r="C5047" s="12">
        <f>IFERROR(__xludf.DUMMYFUNCTION("""COMPUTED_VALUE"""),44661.98422453704)</f>
        <v>44661.98422</v>
      </c>
      <c r="D5047" s="13">
        <f t="shared" si="1"/>
        <v>10</v>
      </c>
      <c r="E5047" s="13">
        <f t="shared" si="2"/>
        <v>23</v>
      </c>
    </row>
    <row r="5048">
      <c r="A5048" s="4" t="s">
        <v>5534</v>
      </c>
      <c r="B5048" s="4" t="s">
        <v>5527</v>
      </c>
      <c r="C5048" s="12">
        <f>IFERROR(__xludf.DUMMYFUNCTION("""COMPUTED_VALUE"""),44661.984189814815)</f>
        <v>44661.98419</v>
      </c>
      <c r="D5048" s="13">
        <f t="shared" si="1"/>
        <v>10</v>
      </c>
      <c r="E5048" s="13">
        <f t="shared" si="2"/>
        <v>23</v>
      </c>
    </row>
    <row r="5049">
      <c r="A5049" s="4" t="s">
        <v>5535</v>
      </c>
      <c r="B5049" s="4" t="s">
        <v>5527</v>
      </c>
      <c r="C5049" s="12">
        <f>IFERROR(__xludf.DUMMYFUNCTION("""COMPUTED_VALUE"""),44661.98416666666)</f>
        <v>44661.98417</v>
      </c>
      <c r="D5049" s="13">
        <f t="shared" si="1"/>
        <v>10</v>
      </c>
      <c r="E5049" s="13">
        <f t="shared" si="2"/>
        <v>23</v>
      </c>
    </row>
    <row r="5050">
      <c r="A5050" s="4" t="s">
        <v>5536</v>
      </c>
      <c r="B5050" s="4" t="s">
        <v>5527</v>
      </c>
      <c r="C5050" s="12">
        <f>IFERROR(__xludf.DUMMYFUNCTION("""COMPUTED_VALUE"""),44661.984143518515)</f>
        <v>44661.98414</v>
      </c>
      <c r="D5050" s="13">
        <f t="shared" si="1"/>
        <v>10</v>
      </c>
      <c r="E5050" s="13">
        <f t="shared" si="2"/>
        <v>23</v>
      </c>
    </row>
    <row r="5051">
      <c r="A5051" s="4" t="s">
        <v>5537</v>
      </c>
      <c r="B5051" s="4" t="s">
        <v>5527</v>
      </c>
      <c r="C5051" s="12">
        <f>IFERROR(__xludf.DUMMYFUNCTION("""COMPUTED_VALUE"""),44661.98407407407)</f>
        <v>44661.98407</v>
      </c>
      <c r="D5051" s="13">
        <f t="shared" si="1"/>
        <v>10</v>
      </c>
      <c r="E5051" s="13">
        <f t="shared" si="2"/>
        <v>23</v>
      </c>
    </row>
    <row r="5052">
      <c r="A5052" s="4" t="s">
        <v>5538</v>
      </c>
      <c r="B5052" s="4" t="s">
        <v>5527</v>
      </c>
      <c r="C5052" s="12">
        <f>IFERROR(__xludf.DUMMYFUNCTION("""COMPUTED_VALUE"""),44661.984039351846)</f>
        <v>44661.98404</v>
      </c>
      <c r="D5052" s="13">
        <f t="shared" si="1"/>
        <v>10</v>
      </c>
      <c r="E5052" s="13">
        <f t="shared" si="2"/>
        <v>23</v>
      </c>
    </row>
    <row r="5053">
      <c r="A5053" s="4" t="s">
        <v>5539</v>
      </c>
      <c r="B5053" s="4" t="s">
        <v>5527</v>
      </c>
      <c r="C5053" s="12">
        <f>IFERROR(__xludf.DUMMYFUNCTION("""COMPUTED_VALUE"""),44661.98395833333)</f>
        <v>44661.98396</v>
      </c>
      <c r="D5053" s="13">
        <f t="shared" si="1"/>
        <v>10</v>
      </c>
      <c r="E5053" s="13">
        <f t="shared" si="2"/>
        <v>23</v>
      </c>
    </row>
    <row r="5054">
      <c r="A5054" s="4" t="s">
        <v>5540</v>
      </c>
      <c r="B5054" s="4" t="s">
        <v>5527</v>
      </c>
      <c r="C5054" s="12">
        <f>IFERROR(__xludf.DUMMYFUNCTION("""COMPUTED_VALUE"""),44661.98390046296)</f>
        <v>44661.9839</v>
      </c>
      <c r="D5054" s="13">
        <f t="shared" si="1"/>
        <v>10</v>
      </c>
      <c r="E5054" s="13">
        <f t="shared" si="2"/>
        <v>23</v>
      </c>
    </row>
    <row r="5055">
      <c r="A5055" s="4" t="s">
        <v>5541</v>
      </c>
      <c r="B5055" s="16"/>
      <c r="C5055" s="12">
        <f>IFERROR(__xludf.DUMMYFUNCTION("""COMPUTED_VALUE"""),44661.98168981481)</f>
        <v>44661.98169</v>
      </c>
      <c r="D5055" s="13">
        <f t="shared" si="1"/>
        <v>10</v>
      </c>
      <c r="E5055" s="13">
        <f t="shared" si="2"/>
        <v>23</v>
      </c>
    </row>
    <row r="5056">
      <c r="A5056" s="4" t="s">
        <v>5542</v>
      </c>
      <c r="B5056" s="16"/>
      <c r="C5056" s="12">
        <f>IFERROR(__xludf.DUMMYFUNCTION("""COMPUTED_VALUE"""),44661.98150462963)</f>
        <v>44661.9815</v>
      </c>
      <c r="D5056" s="13">
        <f t="shared" si="1"/>
        <v>10</v>
      </c>
      <c r="E5056" s="13">
        <f t="shared" si="2"/>
        <v>23</v>
      </c>
    </row>
    <row r="5057">
      <c r="A5057" s="4" t="s">
        <v>5543</v>
      </c>
      <c r="B5057" s="16"/>
      <c r="C5057" s="12">
        <f>IFERROR(__xludf.DUMMYFUNCTION("""COMPUTED_VALUE"""),44661.97704861111)</f>
        <v>44661.97705</v>
      </c>
      <c r="D5057" s="13">
        <f t="shared" si="1"/>
        <v>10</v>
      </c>
      <c r="E5057" s="13">
        <f t="shared" si="2"/>
        <v>23</v>
      </c>
    </row>
    <row r="5058">
      <c r="A5058" s="4" t="s">
        <v>5544</v>
      </c>
      <c r="B5058" s="16"/>
      <c r="C5058" s="12">
        <f>IFERROR(__xludf.DUMMYFUNCTION("""COMPUTED_VALUE"""),44661.97646990741)</f>
        <v>44661.97647</v>
      </c>
      <c r="D5058" s="13">
        <f t="shared" si="1"/>
        <v>10</v>
      </c>
      <c r="E5058" s="13">
        <f t="shared" si="2"/>
        <v>23</v>
      </c>
    </row>
    <row r="5059">
      <c r="A5059" s="4" t="s">
        <v>5545</v>
      </c>
      <c r="B5059" s="4" t="s">
        <v>5072</v>
      </c>
      <c r="C5059" s="12">
        <f>IFERROR(__xludf.DUMMYFUNCTION("""COMPUTED_VALUE"""),44661.976446759254)</f>
        <v>44661.97645</v>
      </c>
      <c r="D5059" s="13">
        <f t="shared" si="1"/>
        <v>10</v>
      </c>
      <c r="E5059" s="13">
        <f t="shared" si="2"/>
        <v>23</v>
      </c>
    </row>
    <row r="5060">
      <c r="A5060" s="4" t="s">
        <v>5546</v>
      </c>
      <c r="B5060" s="4" t="s">
        <v>5072</v>
      </c>
      <c r="C5060" s="12">
        <f>IFERROR(__xludf.DUMMYFUNCTION("""COMPUTED_VALUE"""),44661.97640046296)</f>
        <v>44661.9764</v>
      </c>
      <c r="D5060" s="13">
        <f t="shared" si="1"/>
        <v>10</v>
      </c>
      <c r="E5060" s="13">
        <f t="shared" si="2"/>
        <v>23</v>
      </c>
    </row>
    <row r="5061">
      <c r="A5061" s="4" t="s">
        <v>5547</v>
      </c>
      <c r="B5061" s="16"/>
      <c r="C5061" s="12">
        <f>IFERROR(__xludf.DUMMYFUNCTION("""COMPUTED_VALUE"""),44661.976377314815)</f>
        <v>44661.97638</v>
      </c>
      <c r="D5061" s="13">
        <f t="shared" si="1"/>
        <v>10</v>
      </c>
      <c r="E5061" s="13">
        <f t="shared" si="2"/>
        <v>23</v>
      </c>
    </row>
    <row r="5062">
      <c r="A5062" s="4" t="s">
        <v>5548</v>
      </c>
      <c r="B5062" s="16"/>
      <c r="C5062" s="12">
        <f>IFERROR(__xludf.DUMMYFUNCTION("""COMPUTED_VALUE"""),44661.97520833333)</f>
        <v>44661.97521</v>
      </c>
      <c r="D5062" s="13">
        <f t="shared" si="1"/>
        <v>10</v>
      </c>
      <c r="E5062" s="13">
        <f t="shared" si="2"/>
        <v>23</v>
      </c>
    </row>
    <row r="5063">
      <c r="A5063" s="4" t="s">
        <v>5549</v>
      </c>
      <c r="B5063" s="16"/>
      <c r="C5063" s="12">
        <f>IFERROR(__xludf.DUMMYFUNCTION("""COMPUTED_VALUE"""),44661.97518518518)</f>
        <v>44661.97519</v>
      </c>
      <c r="D5063" s="13">
        <f t="shared" si="1"/>
        <v>10</v>
      </c>
      <c r="E5063" s="13">
        <f t="shared" si="2"/>
        <v>23</v>
      </c>
    </row>
    <row r="5064">
      <c r="A5064" s="4" t="s">
        <v>5550</v>
      </c>
      <c r="B5064" s="16"/>
      <c r="C5064" s="12">
        <f>IFERROR(__xludf.DUMMYFUNCTION("""COMPUTED_VALUE"""),44661.963912037034)</f>
        <v>44661.96391</v>
      </c>
      <c r="D5064" s="13">
        <f t="shared" si="1"/>
        <v>10</v>
      </c>
      <c r="E5064" s="13">
        <f t="shared" si="2"/>
        <v>23</v>
      </c>
    </row>
    <row r="5065">
      <c r="A5065" s="4" t="s">
        <v>5551</v>
      </c>
      <c r="B5065" s="4" t="s">
        <v>5552</v>
      </c>
      <c r="C5065" s="12">
        <f>IFERROR(__xludf.DUMMYFUNCTION("""COMPUTED_VALUE"""),44661.963807870365)</f>
        <v>44661.96381</v>
      </c>
      <c r="D5065" s="13">
        <f t="shared" si="1"/>
        <v>10</v>
      </c>
      <c r="E5065" s="13">
        <f t="shared" si="2"/>
        <v>23</v>
      </c>
    </row>
    <row r="5066">
      <c r="A5066" s="4" t="s">
        <v>5553</v>
      </c>
      <c r="B5066" s="4" t="s">
        <v>5554</v>
      </c>
      <c r="C5066" s="12">
        <f>IFERROR(__xludf.DUMMYFUNCTION("""COMPUTED_VALUE"""),44661.95273148148)</f>
        <v>44661.95273</v>
      </c>
      <c r="D5066" s="13">
        <f t="shared" si="1"/>
        <v>10</v>
      </c>
      <c r="E5066" s="13">
        <f t="shared" si="2"/>
        <v>22</v>
      </c>
    </row>
    <row r="5067">
      <c r="A5067" s="4" t="s">
        <v>5555</v>
      </c>
      <c r="B5067" s="16"/>
      <c r="C5067" s="12">
        <f>IFERROR(__xludf.DUMMYFUNCTION("""COMPUTED_VALUE"""),44661.949479166666)</f>
        <v>44661.94948</v>
      </c>
      <c r="D5067" s="13">
        <f t="shared" si="1"/>
        <v>10</v>
      </c>
      <c r="E5067" s="13">
        <f t="shared" si="2"/>
        <v>22</v>
      </c>
    </row>
    <row r="5068">
      <c r="A5068" s="4" t="s">
        <v>5556</v>
      </c>
      <c r="B5068" s="4" t="s">
        <v>5557</v>
      </c>
      <c r="C5068" s="12">
        <f>IFERROR(__xludf.DUMMYFUNCTION("""COMPUTED_VALUE"""),44661.949120370366)</f>
        <v>44661.94912</v>
      </c>
      <c r="D5068" s="13">
        <f t="shared" si="1"/>
        <v>10</v>
      </c>
      <c r="E5068" s="13">
        <f t="shared" si="2"/>
        <v>22</v>
      </c>
    </row>
    <row r="5069">
      <c r="A5069" s="4" t="s">
        <v>5558</v>
      </c>
      <c r="B5069" s="4" t="s">
        <v>5559</v>
      </c>
      <c r="C5069" s="12">
        <f>IFERROR(__xludf.DUMMYFUNCTION("""COMPUTED_VALUE"""),44661.94832175926)</f>
        <v>44661.94832</v>
      </c>
      <c r="D5069" s="13">
        <f t="shared" si="1"/>
        <v>10</v>
      </c>
      <c r="E5069" s="13">
        <f t="shared" si="2"/>
        <v>22</v>
      </c>
    </row>
    <row r="5070">
      <c r="A5070" s="4" t="s">
        <v>5560</v>
      </c>
      <c r="B5070" s="16"/>
      <c r="C5070" s="12">
        <f>IFERROR(__xludf.DUMMYFUNCTION("""COMPUTED_VALUE"""),44661.94628472222)</f>
        <v>44661.94628</v>
      </c>
      <c r="D5070" s="13">
        <f t="shared" si="1"/>
        <v>10</v>
      </c>
      <c r="E5070" s="13">
        <f t="shared" si="2"/>
        <v>22</v>
      </c>
    </row>
    <row r="5071">
      <c r="A5071" s="4" t="s">
        <v>5561</v>
      </c>
      <c r="B5071" s="4" t="s">
        <v>5562</v>
      </c>
      <c r="C5071" s="12">
        <f>IFERROR(__xludf.DUMMYFUNCTION("""COMPUTED_VALUE"""),44661.93871527778)</f>
        <v>44661.93872</v>
      </c>
      <c r="D5071" s="13">
        <f t="shared" si="1"/>
        <v>10</v>
      </c>
      <c r="E5071" s="13">
        <f t="shared" si="2"/>
        <v>22</v>
      </c>
    </row>
    <row r="5072">
      <c r="A5072" s="4" t="s">
        <v>5563</v>
      </c>
      <c r="B5072" s="16"/>
      <c r="C5072" s="12">
        <f>IFERROR(__xludf.DUMMYFUNCTION("""COMPUTED_VALUE"""),44661.9341087963)</f>
        <v>44661.93411</v>
      </c>
      <c r="D5072" s="13">
        <f t="shared" si="1"/>
        <v>10</v>
      </c>
      <c r="E5072" s="13">
        <f t="shared" si="2"/>
        <v>22</v>
      </c>
    </row>
    <row r="5073">
      <c r="A5073" s="4" t="s">
        <v>5564</v>
      </c>
      <c r="B5073" s="4" t="s">
        <v>5565</v>
      </c>
      <c r="C5073" s="12">
        <f>IFERROR(__xludf.DUMMYFUNCTION("""COMPUTED_VALUE"""),44661.92900462963)</f>
        <v>44661.929</v>
      </c>
      <c r="D5073" s="13">
        <f t="shared" si="1"/>
        <v>10</v>
      </c>
      <c r="E5073" s="13">
        <f t="shared" si="2"/>
        <v>22</v>
      </c>
    </row>
    <row r="5074">
      <c r="A5074" s="4" t="s">
        <v>5566</v>
      </c>
      <c r="B5074" s="4" t="s">
        <v>5567</v>
      </c>
      <c r="C5074" s="12">
        <f>IFERROR(__xludf.DUMMYFUNCTION("""COMPUTED_VALUE"""),44661.92762731481)</f>
        <v>44661.92763</v>
      </c>
      <c r="D5074" s="13">
        <f t="shared" si="1"/>
        <v>10</v>
      </c>
      <c r="E5074" s="13">
        <f t="shared" si="2"/>
        <v>22</v>
      </c>
    </row>
    <row r="5075">
      <c r="A5075" s="4" t="s">
        <v>5568</v>
      </c>
      <c r="B5075" s="4" t="s">
        <v>5569</v>
      </c>
      <c r="C5075" s="12">
        <f>IFERROR(__xludf.DUMMYFUNCTION("""COMPUTED_VALUE"""),44661.92067129629)</f>
        <v>44661.92067</v>
      </c>
      <c r="D5075" s="13">
        <f t="shared" si="1"/>
        <v>10</v>
      </c>
      <c r="E5075" s="13">
        <f t="shared" si="2"/>
        <v>22</v>
      </c>
    </row>
    <row r="5076">
      <c r="A5076" s="4" t="s">
        <v>5570</v>
      </c>
      <c r="B5076" s="4" t="s">
        <v>5571</v>
      </c>
      <c r="C5076" s="12">
        <f>IFERROR(__xludf.DUMMYFUNCTION("""COMPUTED_VALUE"""),44661.91978009259)</f>
        <v>44661.91978</v>
      </c>
      <c r="D5076" s="13">
        <f t="shared" si="1"/>
        <v>10</v>
      </c>
      <c r="E5076" s="13">
        <f t="shared" si="2"/>
        <v>22</v>
      </c>
    </row>
    <row r="5077">
      <c r="A5077" s="4" t="s">
        <v>5572</v>
      </c>
      <c r="B5077" s="16"/>
      <c r="C5077" s="12">
        <f>IFERROR(__xludf.DUMMYFUNCTION("""COMPUTED_VALUE"""),44661.91945601851)</f>
        <v>44661.91946</v>
      </c>
      <c r="D5077" s="13">
        <f t="shared" si="1"/>
        <v>10</v>
      </c>
      <c r="E5077" s="13">
        <f t="shared" si="2"/>
        <v>22</v>
      </c>
    </row>
    <row r="5078">
      <c r="A5078" s="4" t="s">
        <v>5573</v>
      </c>
      <c r="B5078" s="16"/>
      <c r="C5078" s="12">
        <f>IFERROR(__xludf.DUMMYFUNCTION("""COMPUTED_VALUE"""),44661.91642361111)</f>
        <v>44661.91642</v>
      </c>
      <c r="D5078" s="13">
        <f t="shared" si="1"/>
        <v>10</v>
      </c>
      <c r="E5078" s="13">
        <f t="shared" si="2"/>
        <v>21</v>
      </c>
    </row>
    <row r="5079">
      <c r="A5079" s="4" t="s">
        <v>5574</v>
      </c>
      <c r="B5079" s="4" t="s">
        <v>5575</v>
      </c>
      <c r="C5079" s="12">
        <f>IFERROR(__xludf.DUMMYFUNCTION("""COMPUTED_VALUE"""),44661.91614583333)</f>
        <v>44661.91615</v>
      </c>
      <c r="D5079" s="13">
        <f t="shared" si="1"/>
        <v>10</v>
      </c>
      <c r="E5079" s="13">
        <f t="shared" si="2"/>
        <v>21</v>
      </c>
    </row>
    <row r="5080">
      <c r="A5080" s="4" t="s">
        <v>5576</v>
      </c>
      <c r="B5080" s="16"/>
      <c r="C5080" s="12">
        <f>IFERROR(__xludf.DUMMYFUNCTION("""COMPUTED_VALUE"""),44661.91311342592)</f>
        <v>44661.91311</v>
      </c>
      <c r="D5080" s="13">
        <f t="shared" si="1"/>
        <v>10</v>
      </c>
      <c r="E5080" s="13">
        <f t="shared" si="2"/>
        <v>21</v>
      </c>
    </row>
    <row r="5081">
      <c r="A5081" s="4" t="s">
        <v>5577</v>
      </c>
      <c r="B5081" s="16"/>
      <c r="C5081" s="12">
        <f>IFERROR(__xludf.DUMMYFUNCTION("""COMPUTED_VALUE"""),44661.91162037037)</f>
        <v>44661.91162</v>
      </c>
      <c r="D5081" s="13">
        <f t="shared" si="1"/>
        <v>10</v>
      </c>
      <c r="E5081" s="13">
        <f t="shared" si="2"/>
        <v>21</v>
      </c>
    </row>
    <row r="5082">
      <c r="A5082" s="4" t="s">
        <v>5578</v>
      </c>
      <c r="B5082" s="4" t="s">
        <v>5579</v>
      </c>
      <c r="C5082" s="12">
        <f>IFERROR(__xludf.DUMMYFUNCTION("""COMPUTED_VALUE"""),44661.911585648144)</f>
        <v>44661.91159</v>
      </c>
      <c r="D5082" s="13">
        <f t="shared" si="1"/>
        <v>10</v>
      </c>
      <c r="E5082" s="13">
        <f t="shared" si="2"/>
        <v>21</v>
      </c>
    </row>
    <row r="5083">
      <c r="A5083" s="4" t="s">
        <v>5580</v>
      </c>
      <c r="B5083" s="4" t="s">
        <v>5581</v>
      </c>
      <c r="C5083" s="12">
        <f>IFERROR(__xludf.DUMMYFUNCTION("""COMPUTED_VALUE"""),44661.909004629626)</f>
        <v>44661.909</v>
      </c>
      <c r="D5083" s="13">
        <f t="shared" si="1"/>
        <v>10</v>
      </c>
      <c r="E5083" s="13">
        <f t="shared" si="2"/>
        <v>21</v>
      </c>
    </row>
    <row r="5084">
      <c r="A5084" s="4" t="s">
        <v>5582</v>
      </c>
      <c r="B5084" s="16"/>
      <c r="C5084" s="12">
        <f>IFERROR(__xludf.DUMMYFUNCTION("""COMPUTED_VALUE"""),44661.90385416667)</f>
        <v>44661.90385</v>
      </c>
      <c r="D5084" s="13">
        <f t="shared" si="1"/>
        <v>10</v>
      </c>
      <c r="E5084" s="13">
        <f t="shared" si="2"/>
        <v>21</v>
      </c>
    </row>
    <row r="5085">
      <c r="A5085" s="4" t="s">
        <v>5583</v>
      </c>
      <c r="B5085" s="16"/>
      <c r="C5085" s="12">
        <f>IFERROR(__xludf.DUMMYFUNCTION("""COMPUTED_VALUE"""),44661.90383101851)</f>
        <v>44661.90383</v>
      </c>
      <c r="D5085" s="13">
        <f t="shared" si="1"/>
        <v>10</v>
      </c>
      <c r="E5085" s="13">
        <f t="shared" si="2"/>
        <v>21</v>
      </c>
    </row>
    <row r="5086">
      <c r="A5086" s="4" t="s">
        <v>5584</v>
      </c>
      <c r="B5086" s="4" t="s">
        <v>5585</v>
      </c>
      <c r="C5086" s="12">
        <f>IFERROR(__xludf.DUMMYFUNCTION("""COMPUTED_VALUE"""),44661.90005787037)</f>
        <v>44661.90006</v>
      </c>
      <c r="D5086" s="13">
        <f t="shared" si="1"/>
        <v>10</v>
      </c>
      <c r="E5086" s="13">
        <f t="shared" si="2"/>
        <v>21</v>
      </c>
    </row>
    <row r="5087">
      <c r="A5087" s="4" t="s">
        <v>5586</v>
      </c>
      <c r="B5087" s="4" t="s">
        <v>5587</v>
      </c>
      <c r="C5087" s="12">
        <f>IFERROR(__xludf.DUMMYFUNCTION("""COMPUTED_VALUE"""),44661.898101851846)</f>
        <v>44661.8981</v>
      </c>
      <c r="D5087" s="13">
        <f t="shared" si="1"/>
        <v>10</v>
      </c>
      <c r="E5087" s="13">
        <f t="shared" si="2"/>
        <v>21</v>
      </c>
    </row>
    <row r="5088">
      <c r="A5088" s="4" t="s">
        <v>5588</v>
      </c>
      <c r="B5088" s="16"/>
      <c r="C5088" s="12">
        <f>IFERROR(__xludf.DUMMYFUNCTION("""COMPUTED_VALUE"""),44661.89719907407)</f>
        <v>44661.8972</v>
      </c>
      <c r="D5088" s="13">
        <f t="shared" si="1"/>
        <v>10</v>
      </c>
      <c r="E5088" s="13">
        <f t="shared" si="2"/>
        <v>21</v>
      </c>
    </row>
    <row r="5089">
      <c r="A5089" s="4" t="s">
        <v>5589</v>
      </c>
      <c r="B5089" s="16"/>
      <c r="C5089" s="12">
        <f>IFERROR(__xludf.DUMMYFUNCTION("""COMPUTED_VALUE"""),44661.89640046296)</f>
        <v>44661.8964</v>
      </c>
      <c r="D5089" s="13">
        <f t="shared" si="1"/>
        <v>10</v>
      </c>
      <c r="E5089" s="13">
        <f t="shared" si="2"/>
        <v>21</v>
      </c>
    </row>
    <row r="5090">
      <c r="A5090" s="4" t="s">
        <v>5590</v>
      </c>
      <c r="B5090" s="16"/>
      <c r="C5090" s="12">
        <f>IFERROR(__xludf.DUMMYFUNCTION("""COMPUTED_VALUE"""),44661.89637731481)</f>
        <v>44661.89638</v>
      </c>
      <c r="D5090" s="13">
        <f t="shared" si="1"/>
        <v>10</v>
      </c>
      <c r="E5090" s="13">
        <f t="shared" si="2"/>
        <v>21</v>
      </c>
    </row>
    <row r="5091">
      <c r="A5091" s="4" t="s">
        <v>5591</v>
      </c>
      <c r="B5091" s="16"/>
      <c r="C5091" s="12">
        <f>IFERROR(__xludf.DUMMYFUNCTION("""COMPUTED_VALUE"""),44661.896319444444)</f>
        <v>44661.89632</v>
      </c>
      <c r="D5091" s="13">
        <f t="shared" si="1"/>
        <v>10</v>
      </c>
      <c r="E5091" s="13">
        <f t="shared" si="2"/>
        <v>21</v>
      </c>
    </row>
    <row r="5092">
      <c r="A5092" s="4" t="s">
        <v>5592</v>
      </c>
      <c r="B5092" s="4" t="s">
        <v>5593</v>
      </c>
      <c r="C5092" s="12">
        <f>IFERROR(__xludf.DUMMYFUNCTION("""COMPUTED_VALUE"""),44661.89629629629)</f>
        <v>44661.8963</v>
      </c>
      <c r="D5092" s="13">
        <f t="shared" si="1"/>
        <v>10</v>
      </c>
      <c r="E5092" s="13">
        <f t="shared" si="2"/>
        <v>21</v>
      </c>
    </row>
    <row r="5093">
      <c r="A5093" s="4" t="s">
        <v>5594</v>
      </c>
      <c r="B5093" s="16"/>
      <c r="C5093" s="12">
        <f>IFERROR(__xludf.DUMMYFUNCTION("""COMPUTED_VALUE"""),44661.8962037037)</f>
        <v>44661.8962</v>
      </c>
      <c r="D5093" s="13">
        <f t="shared" si="1"/>
        <v>10</v>
      </c>
      <c r="E5093" s="13">
        <f t="shared" si="2"/>
        <v>21</v>
      </c>
    </row>
    <row r="5094">
      <c r="A5094" s="4" t="s">
        <v>5595</v>
      </c>
      <c r="B5094" s="16"/>
      <c r="C5094" s="12">
        <f>IFERROR(__xludf.DUMMYFUNCTION("""COMPUTED_VALUE"""),44661.89506944444)</f>
        <v>44661.89507</v>
      </c>
      <c r="D5094" s="13">
        <f t="shared" si="1"/>
        <v>10</v>
      </c>
      <c r="E5094" s="13">
        <f t="shared" si="2"/>
        <v>21</v>
      </c>
    </row>
    <row r="5095">
      <c r="A5095" s="4" t="s">
        <v>5596</v>
      </c>
      <c r="B5095" s="4" t="s">
        <v>5597</v>
      </c>
      <c r="C5095" s="12">
        <f>IFERROR(__xludf.DUMMYFUNCTION("""COMPUTED_VALUE"""),44661.89481481481)</f>
        <v>44661.89481</v>
      </c>
      <c r="D5095" s="13">
        <f t="shared" si="1"/>
        <v>10</v>
      </c>
      <c r="E5095" s="13">
        <f t="shared" si="2"/>
        <v>21</v>
      </c>
    </row>
    <row r="5096">
      <c r="A5096" s="4" t="s">
        <v>5598</v>
      </c>
      <c r="B5096" s="16"/>
      <c r="C5096" s="12">
        <f>IFERROR(__xludf.DUMMYFUNCTION("""COMPUTED_VALUE"""),44661.89221064815)</f>
        <v>44661.89221</v>
      </c>
      <c r="D5096" s="13">
        <f t="shared" si="1"/>
        <v>10</v>
      </c>
      <c r="E5096" s="13">
        <f t="shared" si="2"/>
        <v>21</v>
      </c>
    </row>
    <row r="5097">
      <c r="A5097" s="4" t="s">
        <v>5599</v>
      </c>
      <c r="B5097" s="4" t="s">
        <v>5600</v>
      </c>
      <c r="C5097" s="12">
        <f>IFERROR(__xludf.DUMMYFUNCTION("""COMPUTED_VALUE"""),44661.892118055555)</f>
        <v>44661.89212</v>
      </c>
      <c r="D5097" s="13">
        <f t="shared" si="1"/>
        <v>10</v>
      </c>
      <c r="E5097" s="13">
        <f t="shared" si="2"/>
        <v>21</v>
      </c>
    </row>
    <row r="5098">
      <c r="A5098" s="4" t="s">
        <v>5601</v>
      </c>
      <c r="B5098" s="4" t="s">
        <v>5602</v>
      </c>
      <c r="C5098" s="12">
        <f>IFERROR(__xludf.DUMMYFUNCTION("""COMPUTED_VALUE"""),44661.890393518515)</f>
        <v>44661.89039</v>
      </c>
      <c r="D5098" s="13">
        <f t="shared" si="1"/>
        <v>10</v>
      </c>
      <c r="E5098" s="13">
        <f t="shared" si="2"/>
        <v>21</v>
      </c>
    </row>
    <row r="5099">
      <c r="A5099" s="4" t="s">
        <v>5603</v>
      </c>
      <c r="B5099" s="4" t="s">
        <v>5604</v>
      </c>
      <c r="C5099" s="12">
        <f>IFERROR(__xludf.DUMMYFUNCTION("""COMPUTED_VALUE"""),44661.89032407407)</f>
        <v>44661.89032</v>
      </c>
      <c r="D5099" s="13">
        <f t="shared" si="1"/>
        <v>10</v>
      </c>
      <c r="E5099" s="13">
        <f t="shared" si="2"/>
        <v>21</v>
      </c>
    </row>
    <row r="5100">
      <c r="A5100" s="4" t="s">
        <v>5605</v>
      </c>
      <c r="B5100" s="16"/>
      <c r="C5100" s="12">
        <f>IFERROR(__xludf.DUMMYFUNCTION("""COMPUTED_VALUE"""),44661.88953703704)</f>
        <v>44661.88954</v>
      </c>
      <c r="D5100" s="13">
        <f t="shared" si="1"/>
        <v>10</v>
      </c>
      <c r="E5100" s="13">
        <f t="shared" si="2"/>
        <v>21</v>
      </c>
    </row>
    <row r="5101">
      <c r="A5101" s="4" t="s">
        <v>5606</v>
      </c>
      <c r="B5101" s="16"/>
      <c r="C5101" s="12">
        <f>IFERROR(__xludf.DUMMYFUNCTION("""COMPUTED_VALUE"""),44661.88931712963)</f>
        <v>44661.88932</v>
      </c>
      <c r="D5101" s="13">
        <f t="shared" si="1"/>
        <v>10</v>
      </c>
      <c r="E5101" s="13">
        <f t="shared" si="2"/>
        <v>21</v>
      </c>
    </row>
    <row r="5102">
      <c r="A5102" s="4" t="s">
        <v>5607</v>
      </c>
      <c r="B5102" s="4" t="s">
        <v>5602</v>
      </c>
      <c r="C5102" s="12">
        <f>IFERROR(__xludf.DUMMYFUNCTION("""COMPUTED_VALUE"""),44661.88891203704)</f>
        <v>44661.88891</v>
      </c>
      <c r="D5102" s="13">
        <f t="shared" si="1"/>
        <v>10</v>
      </c>
      <c r="E5102" s="13">
        <f t="shared" si="2"/>
        <v>21</v>
      </c>
    </row>
    <row r="5103">
      <c r="A5103" s="4" t="s">
        <v>5608</v>
      </c>
      <c r="B5103" s="4" t="s">
        <v>5609</v>
      </c>
      <c r="C5103" s="12">
        <f>IFERROR(__xludf.DUMMYFUNCTION("""COMPUTED_VALUE"""),44661.88489583333)</f>
        <v>44661.8849</v>
      </c>
      <c r="D5103" s="13">
        <f t="shared" si="1"/>
        <v>10</v>
      </c>
      <c r="E5103" s="13">
        <f t="shared" si="2"/>
        <v>21</v>
      </c>
    </row>
    <row r="5104">
      <c r="A5104" s="4" t="s">
        <v>5610</v>
      </c>
      <c r="B5104" s="16"/>
      <c r="C5104" s="12">
        <f>IFERROR(__xludf.DUMMYFUNCTION("""COMPUTED_VALUE"""),44661.882476851846)</f>
        <v>44661.88248</v>
      </c>
      <c r="D5104" s="13">
        <f t="shared" si="1"/>
        <v>10</v>
      </c>
      <c r="E5104" s="13">
        <f t="shared" si="2"/>
        <v>21</v>
      </c>
    </row>
    <row r="5105">
      <c r="A5105" s="4" t="s">
        <v>5611</v>
      </c>
      <c r="B5105" s="16"/>
      <c r="C5105" s="12">
        <f>IFERROR(__xludf.DUMMYFUNCTION("""COMPUTED_VALUE"""),44661.88145833333)</f>
        <v>44661.88146</v>
      </c>
      <c r="D5105" s="13">
        <f t="shared" si="1"/>
        <v>10</v>
      </c>
      <c r="E5105" s="13">
        <f t="shared" si="2"/>
        <v>21</v>
      </c>
    </row>
    <row r="5106">
      <c r="A5106" s="4" t="s">
        <v>5612</v>
      </c>
      <c r="B5106" s="4" t="s">
        <v>5575</v>
      </c>
      <c r="C5106" s="12">
        <f>IFERROR(__xludf.DUMMYFUNCTION("""COMPUTED_VALUE"""),44661.87579861111)</f>
        <v>44661.8758</v>
      </c>
      <c r="D5106" s="13">
        <f t="shared" si="1"/>
        <v>10</v>
      </c>
      <c r="E5106" s="13">
        <f t="shared" si="2"/>
        <v>21</v>
      </c>
    </row>
    <row r="5107">
      <c r="A5107" s="4" t="s">
        <v>5613</v>
      </c>
      <c r="B5107" s="4" t="s">
        <v>5575</v>
      </c>
      <c r="C5107" s="12">
        <f>IFERROR(__xludf.DUMMYFUNCTION("""COMPUTED_VALUE"""),44661.87575231481)</f>
        <v>44661.87575</v>
      </c>
      <c r="D5107" s="13">
        <f t="shared" si="1"/>
        <v>10</v>
      </c>
      <c r="E5107" s="13">
        <f t="shared" si="2"/>
        <v>21</v>
      </c>
    </row>
    <row r="5108">
      <c r="A5108" s="4" t="s">
        <v>5614</v>
      </c>
      <c r="B5108" s="4" t="s">
        <v>5575</v>
      </c>
      <c r="C5108" s="12">
        <f>IFERROR(__xludf.DUMMYFUNCTION("""COMPUTED_VALUE"""),44661.87574074074)</f>
        <v>44661.87574</v>
      </c>
      <c r="D5108" s="13">
        <f t="shared" si="1"/>
        <v>10</v>
      </c>
      <c r="E5108" s="13">
        <f t="shared" si="2"/>
        <v>21</v>
      </c>
    </row>
    <row r="5109">
      <c r="A5109" s="4" t="s">
        <v>5615</v>
      </c>
      <c r="B5109" s="16"/>
      <c r="C5109" s="12">
        <f>IFERROR(__xludf.DUMMYFUNCTION("""COMPUTED_VALUE"""),44661.87571759259)</f>
        <v>44661.87572</v>
      </c>
      <c r="D5109" s="13">
        <f t="shared" si="1"/>
        <v>10</v>
      </c>
      <c r="E5109" s="13">
        <f t="shared" si="2"/>
        <v>21</v>
      </c>
    </row>
    <row r="5110">
      <c r="A5110" s="4" t="s">
        <v>5616</v>
      </c>
      <c r="B5110" s="16"/>
      <c r="C5110" s="12">
        <f>IFERROR(__xludf.DUMMYFUNCTION("""COMPUTED_VALUE"""),44661.875706018516)</f>
        <v>44661.87571</v>
      </c>
      <c r="D5110" s="13">
        <f t="shared" si="1"/>
        <v>10</v>
      </c>
      <c r="E5110" s="13">
        <f t="shared" si="2"/>
        <v>21</v>
      </c>
    </row>
    <row r="5111">
      <c r="A5111" s="4" t="s">
        <v>5617</v>
      </c>
      <c r="B5111" s="16"/>
      <c r="C5111" s="12">
        <f>IFERROR(__xludf.DUMMYFUNCTION("""COMPUTED_VALUE"""),44661.87569444444)</f>
        <v>44661.87569</v>
      </c>
      <c r="D5111" s="13">
        <f t="shared" si="1"/>
        <v>10</v>
      </c>
      <c r="E5111" s="13">
        <f t="shared" si="2"/>
        <v>21</v>
      </c>
    </row>
    <row r="5112">
      <c r="A5112" s="4" t="s">
        <v>5618</v>
      </c>
      <c r="B5112" s="16"/>
      <c r="C5112" s="12">
        <f>IFERROR(__xludf.DUMMYFUNCTION("""COMPUTED_VALUE"""),44661.87567129629)</f>
        <v>44661.87567</v>
      </c>
      <c r="D5112" s="13">
        <f t="shared" si="1"/>
        <v>10</v>
      </c>
      <c r="E5112" s="13">
        <f t="shared" si="2"/>
        <v>21</v>
      </c>
    </row>
    <row r="5113">
      <c r="A5113" s="4" t="s">
        <v>5619</v>
      </c>
      <c r="B5113" s="4" t="s">
        <v>5575</v>
      </c>
      <c r="C5113" s="12">
        <f>IFERROR(__xludf.DUMMYFUNCTION("""COMPUTED_VALUE"""),44661.87564814815)</f>
        <v>44661.87565</v>
      </c>
      <c r="D5113" s="13">
        <f t="shared" si="1"/>
        <v>10</v>
      </c>
      <c r="E5113" s="13">
        <f t="shared" si="2"/>
        <v>21</v>
      </c>
    </row>
    <row r="5114">
      <c r="A5114" s="4" t="s">
        <v>5620</v>
      </c>
      <c r="B5114" s="4" t="s">
        <v>5575</v>
      </c>
      <c r="C5114" s="12">
        <f>IFERROR(__xludf.DUMMYFUNCTION("""COMPUTED_VALUE"""),44661.875613425924)</f>
        <v>44661.87561</v>
      </c>
      <c r="D5114" s="13">
        <f t="shared" si="1"/>
        <v>10</v>
      </c>
      <c r="E5114" s="13">
        <f t="shared" si="2"/>
        <v>21</v>
      </c>
    </row>
    <row r="5115">
      <c r="A5115" s="4" t="s">
        <v>5621</v>
      </c>
      <c r="B5115" s="16"/>
      <c r="C5115" s="12">
        <f>IFERROR(__xludf.DUMMYFUNCTION("""COMPUTED_VALUE"""),44661.87515046296)</f>
        <v>44661.87515</v>
      </c>
      <c r="D5115" s="13">
        <f t="shared" si="1"/>
        <v>10</v>
      </c>
      <c r="E5115" s="13">
        <f t="shared" si="2"/>
        <v>21</v>
      </c>
    </row>
    <row r="5116">
      <c r="A5116" s="4" t="s">
        <v>5622</v>
      </c>
      <c r="B5116" s="16"/>
      <c r="C5116" s="12">
        <f>IFERROR(__xludf.DUMMYFUNCTION("""COMPUTED_VALUE"""),44661.875127314815)</f>
        <v>44661.87513</v>
      </c>
      <c r="D5116" s="13">
        <f t="shared" si="1"/>
        <v>10</v>
      </c>
      <c r="E5116" s="13">
        <f t="shared" si="2"/>
        <v>21</v>
      </c>
    </row>
    <row r="5117">
      <c r="A5117" s="4" t="s">
        <v>5623</v>
      </c>
      <c r="B5117" s="4" t="s">
        <v>5624</v>
      </c>
      <c r="C5117" s="12">
        <f>IFERROR(__xludf.DUMMYFUNCTION("""COMPUTED_VALUE"""),44661.87503472222)</f>
        <v>44661.87503</v>
      </c>
      <c r="D5117" s="13">
        <f t="shared" si="1"/>
        <v>10</v>
      </c>
      <c r="E5117" s="13">
        <f t="shared" si="2"/>
        <v>21</v>
      </c>
    </row>
    <row r="5118">
      <c r="A5118" s="4" t="s">
        <v>5625</v>
      </c>
      <c r="B5118" s="16"/>
      <c r="C5118" s="12">
        <f>IFERROR(__xludf.DUMMYFUNCTION("""COMPUTED_VALUE"""),44661.87472222222)</f>
        <v>44661.87472</v>
      </c>
      <c r="D5118" s="13">
        <f t="shared" si="1"/>
        <v>10</v>
      </c>
      <c r="E5118" s="13">
        <f t="shared" si="2"/>
        <v>20</v>
      </c>
    </row>
    <row r="5119">
      <c r="A5119" s="4" t="s">
        <v>5626</v>
      </c>
      <c r="B5119" s="4" t="s">
        <v>5627</v>
      </c>
      <c r="C5119" s="12">
        <f>IFERROR(__xludf.DUMMYFUNCTION("""COMPUTED_VALUE"""),44661.87194444444)</f>
        <v>44661.87194</v>
      </c>
      <c r="D5119" s="13">
        <f t="shared" si="1"/>
        <v>10</v>
      </c>
      <c r="E5119" s="13">
        <f t="shared" si="2"/>
        <v>20</v>
      </c>
    </row>
    <row r="5120">
      <c r="A5120" s="4" t="s">
        <v>5628</v>
      </c>
      <c r="B5120" s="16"/>
      <c r="C5120" s="12">
        <f>IFERROR(__xludf.DUMMYFUNCTION("""COMPUTED_VALUE"""),44661.87159722222)</f>
        <v>44661.8716</v>
      </c>
      <c r="D5120" s="13">
        <f t="shared" si="1"/>
        <v>10</v>
      </c>
      <c r="E5120" s="13">
        <f t="shared" si="2"/>
        <v>20</v>
      </c>
    </row>
    <row r="5121">
      <c r="A5121" s="4" t="s">
        <v>5629</v>
      </c>
      <c r="B5121" s="16"/>
      <c r="C5121" s="12">
        <f>IFERROR(__xludf.DUMMYFUNCTION("""COMPUTED_VALUE"""),44661.8715625)</f>
        <v>44661.87156</v>
      </c>
      <c r="D5121" s="13">
        <f t="shared" si="1"/>
        <v>10</v>
      </c>
      <c r="E5121" s="13">
        <f t="shared" si="2"/>
        <v>20</v>
      </c>
    </row>
    <row r="5122">
      <c r="A5122" s="4" t="s">
        <v>5630</v>
      </c>
      <c r="B5122" s="16"/>
      <c r="C5122" s="12">
        <f>IFERROR(__xludf.DUMMYFUNCTION("""COMPUTED_VALUE"""),44661.87050925926)</f>
        <v>44661.87051</v>
      </c>
      <c r="D5122" s="13">
        <f t="shared" si="1"/>
        <v>10</v>
      </c>
      <c r="E5122" s="13">
        <f t="shared" si="2"/>
        <v>20</v>
      </c>
    </row>
    <row r="5123">
      <c r="A5123" s="4" t="s">
        <v>5631</v>
      </c>
      <c r="B5123" s="4" t="s">
        <v>5632</v>
      </c>
      <c r="C5123" s="12">
        <f>IFERROR(__xludf.DUMMYFUNCTION("""COMPUTED_VALUE"""),44661.86692129629)</f>
        <v>44661.86692</v>
      </c>
      <c r="D5123" s="13">
        <f t="shared" si="1"/>
        <v>10</v>
      </c>
      <c r="E5123" s="13">
        <f t="shared" si="2"/>
        <v>20</v>
      </c>
    </row>
    <row r="5124">
      <c r="A5124" s="4" t="s">
        <v>5633</v>
      </c>
      <c r="B5124" s="4" t="s">
        <v>5634</v>
      </c>
      <c r="C5124" s="12">
        <f>IFERROR(__xludf.DUMMYFUNCTION("""COMPUTED_VALUE"""),44661.864490740736)</f>
        <v>44661.86449</v>
      </c>
      <c r="D5124" s="13">
        <f t="shared" si="1"/>
        <v>10</v>
      </c>
      <c r="E5124" s="13">
        <f t="shared" si="2"/>
        <v>20</v>
      </c>
    </row>
    <row r="5125">
      <c r="A5125" s="4" t="s">
        <v>5635</v>
      </c>
      <c r="B5125" s="4" t="s">
        <v>5634</v>
      </c>
      <c r="C5125" s="12">
        <f>IFERROR(__xludf.DUMMYFUNCTION("""COMPUTED_VALUE"""),44661.8641087963)</f>
        <v>44661.86411</v>
      </c>
      <c r="D5125" s="13">
        <f t="shared" si="1"/>
        <v>10</v>
      </c>
      <c r="E5125" s="13">
        <f t="shared" si="2"/>
        <v>20</v>
      </c>
    </row>
    <row r="5126">
      <c r="A5126" s="4" t="s">
        <v>5636</v>
      </c>
      <c r="B5126" s="16"/>
      <c r="C5126" s="12">
        <f>IFERROR(__xludf.DUMMYFUNCTION("""COMPUTED_VALUE"""),44661.86361111111)</f>
        <v>44661.86361</v>
      </c>
      <c r="D5126" s="13">
        <f t="shared" si="1"/>
        <v>10</v>
      </c>
      <c r="E5126" s="13">
        <f t="shared" si="2"/>
        <v>20</v>
      </c>
    </row>
    <row r="5127">
      <c r="A5127" s="4" t="s">
        <v>5637</v>
      </c>
      <c r="B5127" s="4" t="s">
        <v>5638</v>
      </c>
      <c r="C5127" s="12">
        <f>IFERROR(__xludf.DUMMYFUNCTION("""COMPUTED_VALUE"""),44661.8634375)</f>
        <v>44661.86344</v>
      </c>
      <c r="D5127" s="13">
        <f t="shared" si="1"/>
        <v>10</v>
      </c>
      <c r="E5127" s="13">
        <f t="shared" si="2"/>
        <v>20</v>
      </c>
    </row>
    <row r="5128">
      <c r="A5128" s="4" t="s">
        <v>5639</v>
      </c>
      <c r="B5128" s="16"/>
      <c r="C5128" s="12">
        <f>IFERROR(__xludf.DUMMYFUNCTION("""COMPUTED_VALUE"""),44661.86337962963)</f>
        <v>44661.86338</v>
      </c>
      <c r="D5128" s="13">
        <f t="shared" si="1"/>
        <v>10</v>
      </c>
      <c r="E5128" s="13">
        <f t="shared" si="2"/>
        <v>20</v>
      </c>
    </row>
    <row r="5129">
      <c r="A5129" s="4" t="s">
        <v>5640</v>
      </c>
      <c r="B5129" s="16"/>
      <c r="C5129" s="12">
        <f>IFERROR(__xludf.DUMMYFUNCTION("""COMPUTED_VALUE"""),44661.863344907404)</f>
        <v>44661.86334</v>
      </c>
      <c r="D5129" s="13">
        <f t="shared" si="1"/>
        <v>10</v>
      </c>
      <c r="E5129" s="13">
        <f t="shared" si="2"/>
        <v>20</v>
      </c>
    </row>
    <row r="5130">
      <c r="A5130" s="4" t="s">
        <v>5641</v>
      </c>
      <c r="B5130" s="4" t="s">
        <v>5642</v>
      </c>
      <c r="C5130" s="12">
        <f>IFERROR(__xludf.DUMMYFUNCTION("""COMPUTED_VALUE"""),44661.86320601852)</f>
        <v>44661.86321</v>
      </c>
      <c r="D5130" s="13">
        <f t="shared" si="1"/>
        <v>10</v>
      </c>
      <c r="E5130" s="13">
        <f t="shared" si="2"/>
        <v>20</v>
      </c>
    </row>
    <row r="5131">
      <c r="A5131" s="4" t="s">
        <v>5643</v>
      </c>
      <c r="B5131" s="4" t="s">
        <v>5644</v>
      </c>
      <c r="C5131" s="12">
        <f>IFERROR(__xludf.DUMMYFUNCTION("""COMPUTED_VALUE"""),44661.862187499995)</f>
        <v>44661.86219</v>
      </c>
      <c r="D5131" s="13">
        <f t="shared" si="1"/>
        <v>10</v>
      </c>
      <c r="E5131" s="13">
        <f t="shared" si="2"/>
        <v>20</v>
      </c>
    </row>
    <row r="5132">
      <c r="A5132" s="4" t="s">
        <v>5645</v>
      </c>
      <c r="B5132" s="4" t="s">
        <v>5646</v>
      </c>
      <c r="C5132" s="12">
        <f>IFERROR(__xludf.DUMMYFUNCTION("""COMPUTED_VALUE"""),44661.85413194444)</f>
        <v>44661.85413</v>
      </c>
      <c r="D5132" s="13">
        <f t="shared" si="1"/>
        <v>10</v>
      </c>
      <c r="E5132" s="13">
        <f t="shared" si="2"/>
        <v>20</v>
      </c>
    </row>
    <row r="5133">
      <c r="A5133" s="4" t="s">
        <v>5647</v>
      </c>
      <c r="B5133" s="4" t="s">
        <v>5648</v>
      </c>
      <c r="C5133" s="12">
        <f>IFERROR(__xludf.DUMMYFUNCTION("""COMPUTED_VALUE"""),44661.84942129629)</f>
        <v>44661.84942</v>
      </c>
      <c r="D5133" s="13">
        <f t="shared" si="1"/>
        <v>10</v>
      </c>
      <c r="E5133" s="13">
        <f t="shared" si="2"/>
        <v>20</v>
      </c>
    </row>
    <row r="5134">
      <c r="A5134" s="4" t="s">
        <v>5649</v>
      </c>
      <c r="B5134" s="16"/>
      <c r="C5134" s="12">
        <f>IFERROR(__xludf.DUMMYFUNCTION("""COMPUTED_VALUE"""),44661.84916666667)</f>
        <v>44661.84917</v>
      </c>
      <c r="D5134" s="13">
        <f t="shared" si="1"/>
        <v>10</v>
      </c>
      <c r="E5134" s="13">
        <f t="shared" si="2"/>
        <v>20</v>
      </c>
    </row>
    <row r="5135">
      <c r="A5135" s="4" t="s">
        <v>5650</v>
      </c>
      <c r="B5135" s="16"/>
      <c r="C5135" s="12">
        <f>IFERROR(__xludf.DUMMYFUNCTION("""COMPUTED_VALUE"""),44661.84738425926)</f>
        <v>44661.84738</v>
      </c>
      <c r="D5135" s="13">
        <f t="shared" si="1"/>
        <v>10</v>
      </c>
      <c r="E5135" s="13">
        <f t="shared" si="2"/>
        <v>20</v>
      </c>
    </row>
    <row r="5136">
      <c r="A5136" s="4" t="s">
        <v>5651</v>
      </c>
      <c r="B5136" s="16"/>
      <c r="C5136" s="12">
        <f>IFERROR(__xludf.DUMMYFUNCTION("""COMPUTED_VALUE"""),44661.84644675926)</f>
        <v>44661.84645</v>
      </c>
      <c r="D5136" s="13">
        <f t="shared" si="1"/>
        <v>10</v>
      </c>
      <c r="E5136" s="13">
        <f t="shared" si="2"/>
        <v>20</v>
      </c>
    </row>
    <row r="5137">
      <c r="A5137" s="4" t="s">
        <v>5652</v>
      </c>
      <c r="B5137" s="4" t="s">
        <v>5575</v>
      </c>
      <c r="C5137" s="12">
        <f>IFERROR(__xludf.DUMMYFUNCTION("""COMPUTED_VALUE"""),44661.846238425926)</f>
        <v>44661.84624</v>
      </c>
      <c r="D5137" s="13">
        <f t="shared" si="1"/>
        <v>10</v>
      </c>
      <c r="E5137" s="13">
        <f t="shared" si="2"/>
        <v>20</v>
      </c>
    </row>
    <row r="5138">
      <c r="A5138" s="4" t="s">
        <v>5653</v>
      </c>
      <c r="B5138" s="16"/>
      <c r="C5138" s="12">
        <f>IFERROR(__xludf.DUMMYFUNCTION("""COMPUTED_VALUE"""),44661.84296296296)</f>
        <v>44661.84296</v>
      </c>
      <c r="D5138" s="13">
        <f t="shared" si="1"/>
        <v>10</v>
      </c>
      <c r="E5138" s="13">
        <f t="shared" si="2"/>
        <v>20</v>
      </c>
    </row>
    <row r="5139">
      <c r="A5139" s="4" t="s">
        <v>5654</v>
      </c>
      <c r="B5139" s="4" t="s">
        <v>5655</v>
      </c>
      <c r="C5139" s="12">
        <f>IFERROR(__xludf.DUMMYFUNCTION("""COMPUTED_VALUE"""),44661.842106481476)</f>
        <v>44661.84211</v>
      </c>
      <c r="D5139" s="13">
        <f t="shared" si="1"/>
        <v>10</v>
      </c>
      <c r="E5139" s="13">
        <f t="shared" si="2"/>
        <v>20</v>
      </c>
    </row>
    <row r="5140">
      <c r="A5140" s="4" t="s">
        <v>5656</v>
      </c>
      <c r="B5140" s="16"/>
      <c r="C5140" s="12">
        <f>IFERROR(__xludf.DUMMYFUNCTION("""COMPUTED_VALUE"""),44661.840104166666)</f>
        <v>44661.8401</v>
      </c>
      <c r="D5140" s="13">
        <f t="shared" si="1"/>
        <v>10</v>
      </c>
      <c r="E5140" s="13">
        <f t="shared" si="2"/>
        <v>20</v>
      </c>
    </row>
    <row r="5141">
      <c r="A5141" s="4" t="s">
        <v>5657</v>
      </c>
      <c r="B5141" s="4" t="s">
        <v>5658</v>
      </c>
      <c r="C5141" s="12">
        <f>IFERROR(__xludf.DUMMYFUNCTION("""COMPUTED_VALUE"""),44661.84008101852)</f>
        <v>44661.84008</v>
      </c>
      <c r="D5141" s="13">
        <f t="shared" si="1"/>
        <v>10</v>
      </c>
      <c r="E5141" s="13">
        <f t="shared" si="2"/>
        <v>20</v>
      </c>
    </row>
    <row r="5142">
      <c r="A5142" s="4" t="s">
        <v>5659</v>
      </c>
      <c r="B5142" s="16"/>
      <c r="C5142" s="12">
        <f>IFERROR(__xludf.DUMMYFUNCTION("""COMPUTED_VALUE"""),44661.83998842593)</f>
        <v>44661.83999</v>
      </c>
      <c r="D5142" s="13">
        <f t="shared" si="1"/>
        <v>10</v>
      </c>
      <c r="E5142" s="13">
        <f t="shared" si="2"/>
        <v>20</v>
      </c>
    </row>
    <row r="5143">
      <c r="A5143" s="4" t="s">
        <v>5660</v>
      </c>
      <c r="B5143" s="16"/>
      <c r="C5143" s="12">
        <f>IFERROR(__xludf.DUMMYFUNCTION("""COMPUTED_VALUE"""),44661.83935185185)</f>
        <v>44661.83935</v>
      </c>
      <c r="D5143" s="13">
        <f t="shared" si="1"/>
        <v>10</v>
      </c>
      <c r="E5143" s="13">
        <f t="shared" si="2"/>
        <v>20</v>
      </c>
    </row>
    <row r="5144">
      <c r="A5144" s="4" t="s">
        <v>5661</v>
      </c>
      <c r="B5144" s="16"/>
      <c r="C5144" s="12">
        <f>IFERROR(__xludf.DUMMYFUNCTION("""COMPUTED_VALUE"""),44661.83930555555)</f>
        <v>44661.83931</v>
      </c>
      <c r="D5144" s="13">
        <f t="shared" si="1"/>
        <v>10</v>
      </c>
      <c r="E5144" s="13">
        <f t="shared" si="2"/>
        <v>20</v>
      </c>
    </row>
    <row r="5145">
      <c r="A5145" s="4" t="s">
        <v>5662</v>
      </c>
      <c r="B5145" s="16"/>
      <c r="C5145" s="12">
        <f>IFERROR(__xludf.DUMMYFUNCTION("""COMPUTED_VALUE"""),44661.83917824074)</f>
        <v>44661.83918</v>
      </c>
      <c r="D5145" s="13">
        <f t="shared" si="1"/>
        <v>10</v>
      </c>
      <c r="E5145" s="13">
        <f t="shared" si="2"/>
        <v>20</v>
      </c>
    </row>
    <row r="5146">
      <c r="A5146" s="4" t="s">
        <v>5663</v>
      </c>
      <c r="B5146" s="16"/>
      <c r="C5146" s="12">
        <f>IFERROR(__xludf.DUMMYFUNCTION("""COMPUTED_VALUE"""),44661.839062499996)</f>
        <v>44661.83906</v>
      </c>
      <c r="D5146" s="13">
        <f t="shared" si="1"/>
        <v>10</v>
      </c>
      <c r="E5146" s="13">
        <f t="shared" si="2"/>
        <v>20</v>
      </c>
    </row>
    <row r="5147">
      <c r="A5147" s="4" t="s">
        <v>5664</v>
      </c>
      <c r="B5147" s="16"/>
      <c r="C5147" s="12">
        <f>IFERROR(__xludf.DUMMYFUNCTION("""COMPUTED_VALUE"""),44661.8383449074)</f>
        <v>44661.83834</v>
      </c>
      <c r="D5147" s="13">
        <f t="shared" si="1"/>
        <v>10</v>
      </c>
      <c r="E5147" s="13">
        <f t="shared" si="2"/>
        <v>20</v>
      </c>
    </row>
    <row r="5148">
      <c r="A5148" s="4" t="s">
        <v>5665</v>
      </c>
      <c r="B5148" s="16"/>
      <c r="C5148" s="12">
        <f>IFERROR(__xludf.DUMMYFUNCTION("""COMPUTED_VALUE"""),44661.83672453703)</f>
        <v>44661.83672</v>
      </c>
      <c r="D5148" s="13">
        <f t="shared" si="1"/>
        <v>10</v>
      </c>
      <c r="E5148" s="13">
        <f t="shared" si="2"/>
        <v>20</v>
      </c>
    </row>
    <row r="5149">
      <c r="A5149" s="4" t="s">
        <v>5666</v>
      </c>
      <c r="B5149" s="4" t="s">
        <v>5667</v>
      </c>
      <c r="C5149" s="12">
        <f>IFERROR(__xludf.DUMMYFUNCTION("""COMPUTED_VALUE"""),44661.83662037037)</f>
        <v>44661.83662</v>
      </c>
      <c r="D5149" s="13">
        <f t="shared" si="1"/>
        <v>10</v>
      </c>
      <c r="E5149" s="13">
        <f t="shared" si="2"/>
        <v>20</v>
      </c>
    </row>
    <row r="5150">
      <c r="A5150" s="4" t="s">
        <v>5668</v>
      </c>
      <c r="B5150" s="4" t="s">
        <v>5669</v>
      </c>
      <c r="C5150" s="12">
        <f>IFERROR(__xludf.DUMMYFUNCTION("""COMPUTED_VALUE"""),44661.83587962963)</f>
        <v>44661.83588</v>
      </c>
      <c r="D5150" s="13">
        <f t="shared" si="1"/>
        <v>10</v>
      </c>
      <c r="E5150" s="13">
        <f t="shared" si="2"/>
        <v>20</v>
      </c>
    </row>
    <row r="5151">
      <c r="A5151" s="4" t="s">
        <v>5670</v>
      </c>
      <c r="B5151" s="4" t="s">
        <v>5239</v>
      </c>
      <c r="C5151" s="12">
        <f>IFERROR(__xludf.DUMMYFUNCTION("""COMPUTED_VALUE"""),44661.832407407404)</f>
        <v>44661.83241</v>
      </c>
      <c r="D5151" s="13">
        <f t="shared" si="1"/>
        <v>10</v>
      </c>
      <c r="E5151" s="13">
        <f t="shared" si="2"/>
        <v>19</v>
      </c>
    </row>
    <row r="5152">
      <c r="A5152" s="4" t="s">
        <v>5671</v>
      </c>
      <c r="B5152" s="4" t="s">
        <v>5239</v>
      </c>
      <c r="C5152" s="12">
        <f>IFERROR(__xludf.DUMMYFUNCTION("""COMPUTED_VALUE"""),44661.83238425926)</f>
        <v>44661.83238</v>
      </c>
      <c r="D5152" s="13">
        <f t="shared" si="1"/>
        <v>10</v>
      </c>
      <c r="E5152" s="13">
        <f t="shared" si="2"/>
        <v>19</v>
      </c>
    </row>
    <row r="5153">
      <c r="A5153" s="4" t="s">
        <v>5672</v>
      </c>
      <c r="B5153" s="16"/>
      <c r="C5153" s="12">
        <f>IFERROR(__xludf.DUMMYFUNCTION("""COMPUTED_VALUE"""),44661.83212962963)</f>
        <v>44661.83213</v>
      </c>
      <c r="D5153" s="13">
        <f t="shared" si="1"/>
        <v>10</v>
      </c>
      <c r="E5153" s="13">
        <f t="shared" si="2"/>
        <v>19</v>
      </c>
    </row>
    <row r="5154">
      <c r="A5154" s="4" t="s">
        <v>5673</v>
      </c>
      <c r="B5154" s="4" t="s">
        <v>5674</v>
      </c>
      <c r="C5154" s="12">
        <f>IFERROR(__xludf.DUMMYFUNCTION("""COMPUTED_VALUE"""),44661.83165509259)</f>
        <v>44661.83166</v>
      </c>
      <c r="D5154" s="13">
        <f t="shared" si="1"/>
        <v>10</v>
      </c>
      <c r="E5154" s="13">
        <f t="shared" si="2"/>
        <v>19</v>
      </c>
    </row>
    <row r="5155">
      <c r="A5155" s="4" t="s">
        <v>5675</v>
      </c>
      <c r="B5155" s="4" t="s">
        <v>5674</v>
      </c>
      <c r="C5155" s="12">
        <f>IFERROR(__xludf.DUMMYFUNCTION("""COMPUTED_VALUE"""),44661.83113425926)</f>
        <v>44661.83113</v>
      </c>
      <c r="D5155" s="13">
        <f t="shared" si="1"/>
        <v>10</v>
      </c>
      <c r="E5155" s="13">
        <f t="shared" si="2"/>
        <v>19</v>
      </c>
    </row>
    <row r="5156">
      <c r="A5156" s="4" t="s">
        <v>5676</v>
      </c>
      <c r="B5156" s="16"/>
      <c r="C5156" s="12">
        <f>IFERROR(__xludf.DUMMYFUNCTION("""COMPUTED_VALUE"""),44661.83101851852)</f>
        <v>44661.83102</v>
      </c>
      <c r="D5156" s="13">
        <f t="shared" si="1"/>
        <v>10</v>
      </c>
      <c r="E5156" s="13">
        <f t="shared" si="2"/>
        <v>19</v>
      </c>
    </row>
    <row r="5157">
      <c r="A5157" s="4" t="s">
        <v>5677</v>
      </c>
      <c r="B5157" s="4" t="s">
        <v>5674</v>
      </c>
      <c r="C5157" s="12">
        <f>IFERROR(__xludf.DUMMYFUNCTION("""COMPUTED_VALUE"""),44661.830983796295)</f>
        <v>44661.83098</v>
      </c>
      <c r="D5157" s="13">
        <f t="shared" si="1"/>
        <v>10</v>
      </c>
      <c r="E5157" s="13">
        <f t="shared" si="2"/>
        <v>19</v>
      </c>
    </row>
    <row r="5158">
      <c r="A5158" s="4" t="s">
        <v>5678</v>
      </c>
      <c r="B5158" s="16"/>
      <c r="C5158" s="12">
        <f>IFERROR(__xludf.DUMMYFUNCTION("""COMPUTED_VALUE"""),44661.83086805556)</f>
        <v>44661.83087</v>
      </c>
      <c r="D5158" s="13">
        <f t="shared" si="1"/>
        <v>10</v>
      </c>
      <c r="E5158" s="13">
        <f t="shared" si="2"/>
        <v>19</v>
      </c>
    </row>
    <row r="5159">
      <c r="A5159" s="4" t="s">
        <v>5679</v>
      </c>
      <c r="B5159" s="4" t="s">
        <v>5680</v>
      </c>
      <c r="C5159" s="12">
        <f>IFERROR(__xludf.DUMMYFUNCTION("""COMPUTED_VALUE"""),44661.82881944444)</f>
        <v>44661.82882</v>
      </c>
      <c r="D5159" s="13">
        <f t="shared" si="1"/>
        <v>10</v>
      </c>
      <c r="E5159" s="13">
        <f t="shared" si="2"/>
        <v>19</v>
      </c>
    </row>
    <row r="5160">
      <c r="A5160" s="4" t="s">
        <v>5681</v>
      </c>
      <c r="B5160" s="4" t="s">
        <v>5680</v>
      </c>
      <c r="C5160" s="12">
        <f>IFERROR(__xludf.DUMMYFUNCTION("""COMPUTED_VALUE"""),44661.82876157407)</f>
        <v>44661.82876</v>
      </c>
      <c r="D5160" s="13">
        <f t="shared" si="1"/>
        <v>10</v>
      </c>
      <c r="E5160" s="13">
        <f t="shared" si="2"/>
        <v>19</v>
      </c>
    </row>
    <row r="5161">
      <c r="A5161" s="4" t="s">
        <v>5682</v>
      </c>
      <c r="B5161" s="16"/>
      <c r="C5161" s="12">
        <f>IFERROR(__xludf.DUMMYFUNCTION("""COMPUTED_VALUE"""),44661.82855324074)</f>
        <v>44661.82855</v>
      </c>
      <c r="D5161" s="13">
        <f t="shared" si="1"/>
        <v>10</v>
      </c>
      <c r="E5161" s="13">
        <f t="shared" si="2"/>
        <v>19</v>
      </c>
    </row>
    <row r="5162">
      <c r="A5162" s="4" t="s">
        <v>5683</v>
      </c>
      <c r="B5162" s="16"/>
      <c r="C5162" s="12">
        <f>IFERROR(__xludf.DUMMYFUNCTION("""COMPUTED_VALUE"""),44661.82846064815)</f>
        <v>44661.82846</v>
      </c>
      <c r="D5162" s="13">
        <f t="shared" si="1"/>
        <v>10</v>
      </c>
      <c r="E5162" s="13">
        <f t="shared" si="2"/>
        <v>19</v>
      </c>
    </row>
    <row r="5163">
      <c r="A5163" s="4" t="s">
        <v>5684</v>
      </c>
      <c r="B5163" s="16"/>
      <c r="C5163" s="12">
        <f>IFERROR(__xludf.DUMMYFUNCTION("""COMPUTED_VALUE"""),44661.828321759254)</f>
        <v>44661.82832</v>
      </c>
      <c r="D5163" s="13">
        <f t="shared" si="1"/>
        <v>10</v>
      </c>
      <c r="E5163" s="13">
        <f t="shared" si="2"/>
        <v>19</v>
      </c>
    </row>
    <row r="5164">
      <c r="A5164" s="4" t="s">
        <v>5685</v>
      </c>
      <c r="B5164" s="4" t="s">
        <v>5686</v>
      </c>
      <c r="C5164" s="12">
        <f>IFERROR(__xludf.DUMMYFUNCTION("""COMPUTED_VALUE"""),44661.828252314815)</f>
        <v>44661.82825</v>
      </c>
      <c r="D5164" s="13">
        <f t="shared" si="1"/>
        <v>10</v>
      </c>
      <c r="E5164" s="13">
        <f t="shared" si="2"/>
        <v>19</v>
      </c>
    </row>
    <row r="5165">
      <c r="A5165" s="4" t="s">
        <v>5687</v>
      </c>
      <c r="B5165" s="4" t="s">
        <v>5680</v>
      </c>
      <c r="C5165" s="12">
        <f>IFERROR(__xludf.DUMMYFUNCTION("""COMPUTED_VALUE"""),44661.828206018516)</f>
        <v>44661.82821</v>
      </c>
      <c r="D5165" s="13">
        <f t="shared" si="1"/>
        <v>10</v>
      </c>
      <c r="E5165" s="13">
        <f t="shared" si="2"/>
        <v>19</v>
      </c>
    </row>
    <row r="5166">
      <c r="A5166" s="4" t="s">
        <v>5688</v>
      </c>
      <c r="B5166" s="4" t="s">
        <v>5680</v>
      </c>
      <c r="C5166" s="12">
        <f>IFERROR(__xludf.DUMMYFUNCTION("""COMPUTED_VALUE"""),44661.82815972222)</f>
        <v>44661.82816</v>
      </c>
      <c r="D5166" s="13">
        <f t="shared" si="1"/>
        <v>10</v>
      </c>
      <c r="E5166" s="13">
        <f t="shared" si="2"/>
        <v>19</v>
      </c>
    </row>
    <row r="5167">
      <c r="A5167" s="4" t="s">
        <v>5689</v>
      </c>
      <c r="B5167" s="4" t="s">
        <v>5690</v>
      </c>
      <c r="C5167" s="12">
        <f>IFERROR(__xludf.DUMMYFUNCTION("""COMPUTED_VALUE"""),44661.82810185185)</f>
        <v>44661.8281</v>
      </c>
      <c r="D5167" s="13">
        <f t="shared" si="1"/>
        <v>10</v>
      </c>
      <c r="E5167" s="13">
        <f t="shared" si="2"/>
        <v>19</v>
      </c>
    </row>
    <row r="5168">
      <c r="A5168" s="4" t="s">
        <v>5691</v>
      </c>
      <c r="B5168" s="4" t="s">
        <v>5680</v>
      </c>
      <c r="C5168" s="12">
        <f>IFERROR(__xludf.DUMMYFUNCTION("""COMPUTED_VALUE"""),44661.828055555554)</f>
        <v>44661.82806</v>
      </c>
      <c r="D5168" s="13">
        <f t="shared" si="1"/>
        <v>10</v>
      </c>
      <c r="E5168" s="13">
        <f t="shared" si="2"/>
        <v>19</v>
      </c>
    </row>
    <row r="5169">
      <c r="A5169" s="4" t="s">
        <v>5692</v>
      </c>
      <c r="B5169" s="4" t="s">
        <v>5680</v>
      </c>
      <c r="C5169" s="12">
        <f>IFERROR(__xludf.DUMMYFUNCTION("""COMPUTED_VALUE"""),44661.82791666666)</f>
        <v>44661.82792</v>
      </c>
      <c r="D5169" s="13">
        <f t="shared" si="1"/>
        <v>10</v>
      </c>
      <c r="E5169" s="13">
        <f t="shared" si="2"/>
        <v>19</v>
      </c>
    </row>
    <row r="5170">
      <c r="A5170" s="4" t="s">
        <v>5693</v>
      </c>
      <c r="B5170" s="4" t="s">
        <v>5680</v>
      </c>
      <c r="C5170" s="12">
        <f>IFERROR(__xludf.DUMMYFUNCTION("""COMPUTED_VALUE"""),44661.82784722222)</f>
        <v>44661.82785</v>
      </c>
      <c r="D5170" s="13">
        <f t="shared" si="1"/>
        <v>10</v>
      </c>
      <c r="E5170" s="13">
        <f t="shared" si="2"/>
        <v>19</v>
      </c>
    </row>
    <row r="5171">
      <c r="A5171" s="4" t="s">
        <v>5694</v>
      </c>
      <c r="B5171" s="16"/>
      <c r="C5171" s="12">
        <f>IFERROR(__xludf.DUMMYFUNCTION("""COMPUTED_VALUE"""),44661.8277662037)</f>
        <v>44661.82777</v>
      </c>
      <c r="D5171" s="13">
        <f t="shared" si="1"/>
        <v>10</v>
      </c>
      <c r="E5171" s="13">
        <f t="shared" si="2"/>
        <v>19</v>
      </c>
    </row>
    <row r="5172">
      <c r="A5172" s="4" t="s">
        <v>5695</v>
      </c>
      <c r="B5172" s="4" t="s">
        <v>5696</v>
      </c>
      <c r="C5172" s="12">
        <f>IFERROR(__xludf.DUMMYFUNCTION("""COMPUTED_VALUE"""),44661.827685185184)</f>
        <v>44661.82769</v>
      </c>
      <c r="D5172" s="13">
        <f t="shared" si="1"/>
        <v>10</v>
      </c>
      <c r="E5172" s="13">
        <f t="shared" si="2"/>
        <v>19</v>
      </c>
    </row>
    <row r="5173">
      <c r="A5173" s="4" t="s">
        <v>5697</v>
      </c>
      <c r="B5173" s="4" t="s">
        <v>5680</v>
      </c>
      <c r="C5173" s="12">
        <f>IFERROR(__xludf.DUMMYFUNCTION("""COMPUTED_VALUE"""),44661.827638888884)</f>
        <v>44661.82764</v>
      </c>
      <c r="D5173" s="13">
        <f t="shared" si="1"/>
        <v>10</v>
      </c>
      <c r="E5173" s="13">
        <f t="shared" si="2"/>
        <v>19</v>
      </c>
    </row>
    <row r="5174">
      <c r="A5174" s="4" t="s">
        <v>5698</v>
      </c>
      <c r="B5174" s="4" t="s">
        <v>5680</v>
      </c>
      <c r="C5174" s="12">
        <f>IFERROR(__xludf.DUMMYFUNCTION("""COMPUTED_VALUE"""),44661.827581018515)</f>
        <v>44661.82758</v>
      </c>
      <c r="D5174" s="13">
        <f t="shared" si="1"/>
        <v>10</v>
      </c>
      <c r="E5174" s="13">
        <f t="shared" si="2"/>
        <v>19</v>
      </c>
    </row>
    <row r="5175">
      <c r="A5175" s="4" t="s">
        <v>5699</v>
      </c>
      <c r="B5175" s="4" t="s">
        <v>5072</v>
      </c>
      <c r="C5175" s="12">
        <f>IFERROR(__xludf.DUMMYFUNCTION("""COMPUTED_VALUE"""),44661.827210648145)</f>
        <v>44661.82721</v>
      </c>
      <c r="D5175" s="13">
        <f t="shared" si="1"/>
        <v>10</v>
      </c>
      <c r="E5175" s="13">
        <f t="shared" si="2"/>
        <v>19</v>
      </c>
    </row>
    <row r="5176">
      <c r="A5176" s="4" t="s">
        <v>5700</v>
      </c>
      <c r="B5176" s="16"/>
      <c r="C5176" s="12">
        <f>IFERROR(__xludf.DUMMYFUNCTION("""COMPUTED_VALUE"""),44661.827152777776)</f>
        <v>44661.82715</v>
      </c>
      <c r="D5176" s="13">
        <f t="shared" si="1"/>
        <v>10</v>
      </c>
      <c r="E5176" s="13">
        <f t="shared" si="2"/>
        <v>19</v>
      </c>
    </row>
    <row r="5177">
      <c r="A5177" s="4" t="s">
        <v>5701</v>
      </c>
      <c r="B5177" s="16"/>
      <c r="C5177" s="12">
        <f>IFERROR(__xludf.DUMMYFUNCTION("""COMPUTED_VALUE"""),44661.827106481476)</f>
        <v>44661.82711</v>
      </c>
      <c r="D5177" s="13">
        <f t="shared" si="1"/>
        <v>10</v>
      </c>
      <c r="E5177" s="13">
        <f t="shared" si="2"/>
        <v>19</v>
      </c>
    </row>
    <row r="5178">
      <c r="A5178" s="4" t="s">
        <v>5702</v>
      </c>
      <c r="B5178" s="16"/>
      <c r="C5178" s="12">
        <f>IFERROR(__xludf.DUMMYFUNCTION("""COMPUTED_VALUE"""),44661.827060185184)</f>
        <v>44661.82706</v>
      </c>
      <c r="D5178" s="13">
        <f t="shared" si="1"/>
        <v>10</v>
      </c>
      <c r="E5178" s="13">
        <f t="shared" si="2"/>
        <v>19</v>
      </c>
    </row>
    <row r="5179">
      <c r="A5179" s="4" t="s">
        <v>5703</v>
      </c>
      <c r="B5179" s="16"/>
      <c r="C5179" s="12">
        <f>IFERROR(__xludf.DUMMYFUNCTION("""COMPUTED_VALUE"""),44661.82702546296)</f>
        <v>44661.82703</v>
      </c>
      <c r="D5179" s="13">
        <f t="shared" si="1"/>
        <v>10</v>
      </c>
      <c r="E5179" s="13">
        <f t="shared" si="2"/>
        <v>19</v>
      </c>
    </row>
    <row r="5180">
      <c r="A5180" s="4" t="s">
        <v>5704</v>
      </c>
      <c r="B5180" s="4" t="s">
        <v>5072</v>
      </c>
      <c r="C5180" s="12">
        <f>IFERROR(__xludf.DUMMYFUNCTION("""COMPUTED_VALUE"""),44661.827002314814)</f>
        <v>44661.827</v>
      </c>
      <c r="D5180" s="13">
        <f t="shared" si="1"/>
        <v>10</v>
      </c>
      <c r="E5180" s="13">
        <f t="shared" si="2"/>
        <v>19</v>
      </c>
    </row>
    <row r="5181">
      <c r="A5181" s="4" t="s">
        <v>5705</v>
      </c>
      <c r="B5181" s="16"/>
      <c r="C5181" s="12">
        <f>IFERROR(__xludf.DUMMYFUNCTION("""COMPUTED_VALUE"""),44661.82677083333)</f>
        <v>44661.82677</v>
      </c>
      <c r="D5181" s="13">
        <f t="shared" si="1"/>
        <v>10</v>
      </c>
      <c r="E5181" s="13">
        <f t="shared" si="2"/>
        <v>19</v>
      </c>
    </row>
    <row r="5182">
      <c r="A5182" s="4" t="s">
        <v>5706</v>
      </c>
      <c r="B5182" s="4" t="s">
        <v>5072</v>
      </c>
      <c r="C5182" s="12">
        <f>IFERROR(__xludf.DUMMYFUNCTION("""COMPUTED_VALUE"""),44661.82446759259)</f>
        <v>44661.82447</v>
      </c>
      <c r="D5182" s="13">
        <f t="shared" si="1"/>
        <v>10</v>
      </c>
      <c r="E5182" s="13">
        <f t="shared" si="2"/>
        <v>19</v>
      </c>
    </row>
    <row r="5183">
      <c r="A5183" s="4" t="s">
        <v>5707</v>
      </c>
      <c r="B5183" s="16"/>
      <c r="C5183" s="12">
        <f>IFERROR(__xludf.DUMMYFUNCTION("""COMPUTED_VALUE"""),44661.82435185185)</f>
        <v>44661.82435</v>
      </c>
      <c r="D5183" s="13">
        <f t="shared" si="1"/>
        <v>10</v>
      </c>
      <c r="E5183" s="13">
        <f t="shared" si="2"/>
        <v>19</v>
      </c>
    </row>
    <row r="5184">
      <c r="A5184" s="4" t="s">
        <v>5708</v>
      </c>
      <c r="B5184" s="4" t="s">
        <v>3370</v>
      </c>
      <c r="C5184" s="12">
        <f>IFERROR(__xludf.DUMMYFUNCTION("""COMPUTED_VALUE"""),44661.82400462963)</f>
        <v>44661.824</v>
      </c>
      <c r="D5184" s="13">
        <f t="shared" si="1"/>
        <v>10</v>
      </c>
      <c r="E5184" s="13">
        <f t="shared" si="2"/>
        <v>19</v>
      </c>
    </row>
    <row r="5185">
      <c r="A5185" s="4" t="s">
        <v>5709</v>
      </c>
      <c r="B5185" s="4" t="s">
        <v>5072</v>
      </c>
      <c r="C5185" s="12">
        <f>IFERROR(__xludf.DUMMYFUNCTION("""COMPUTED_VALUE"""),44661.82398148148)</f>
        <v>44661.82398</v>
      </c>
      <c r="D5185" s="13">
        <f t="shared" si="1"/>
        <v>10</v>
      </c>
      <c r="E5185" s="13">
        <f t="shared" si="2"/>
        <v>19</v>
      </c>
    </row>
    <row r="5186">
      <c r="A5186" s="4" t="s">
        <v>5710</v>
      </c>
      <c r="B5186" s="4" t="s">
        <v>5711</v>
      </c>
      <c r="C5186" s="12">
        <f>IFERROR(__xludf.DUMMYFUNCTION("""COMPUTED_VALUE"""),44661.823958333334)</f>
        <v>44661.82396</v>
      </c>
      <c r="D5186" s="13">
        <f t="shared" si="1"/>
        <v>10</v>
      </c>
      <c r="E5186" s="13">
        <f t="shared" si="2"/>
        <v>19</v>
      </c>
    </row>
    <row r="5187">
      <c r="A5187" s="4" t="s">
        <v>5712</v>
      </c>
      <c r="B5187" s="4" t="s">
        <v>5072</v>
      </c>
      <c r="C5187" s="12">
        <f>IFERROR(__xludf.DUMMYFUNCTION("""COMPUTED_VALUE"""),44661.82394675926)</f>
        <v>44661.82395</v>
      </c>
      <c r="D5187" s="13">
        <f t="shared" si="1"/>
        <v>10</v>
      </c>
      <c r="E5187" s="13">
        <f t="shared" si="2"/>
        <v>19</v>
      </c>
    </row>
    <row r="5188">
      <c r="A5188" s="4" t="s">
        <v>5713</v>
      </c>
      <c r="B5188" s="4" t="s">
        <v>5711</v>
      </c>
      <c r="C5188" s="12">
        <f>IFERROR(__xludf.DUMMYFUNCTION("""COMPUTED_VALUE"""),44661.82393518518)</f>
        <v>44661.82394</v>
      </c>
      <c r="D5188" s="13">
        <f t="shared" si="1"/>
        <v>10</v>
      </c>
      <c r="E5188" s="13">
        <f t="shared" si="2"/>
        <v>19</v>
      </c>
    </row>
    <row r="5189">
      <c r="A5189" s="4" t="s">
        <v>5714</v>
      </c>
      <c r="B5189" s="4" t="s">
        <v>5072</v>
      </c>
      <c r="C5189" s="12">
        <f>IFERROR(__xludf.DUMMYFUNCTION("""COMPUTED_VALUE"""),44661.82392361111)</f>
        <v>44661.82392</v>
      </c>
      <c r="D5189" s="13">
        <f t="shared" si="1"/>
        <v>10</v>
      </c>
      <c r="E5189" s="13">
        <f t="shared" si="2"/>
        <v>19</v>
      </c>
    </row>
    <row r="5190">
      <c r="A5190" s="4" t="s">
        <v>5715</v>
      </c>
      <c r="B5190" s="16"/>
      <c r="C5190" s="12">
        <f>IFERROR(__xludf.DUMMYFUNCTION("""COMPUTED_VALUE"""),44661.82390046296)</f>
        <v>44661.8239</v>
      </c>
      <c r="D5190" s="13">
        <f t="shared" si="1"/>
        <v>10</v>
      </c>
      <c r="E5190" s="13">
        <f t="shared" si="2"/>
        <v>19</v>
      </c>
    </row>
    <row r="5191">
      <c r="A5191" s="4" t="s">
        <v>5716</v>
      </c>
      <c r="B5191" s="4" t="s">
        <v>5711</v>
      </c>
      <c r="C5191" s="12">
        <f>IFERROR(__xludf.DUMMYFUNCTION("""COMPUTED_VALUE"""),44661.82388888889)</f>
        <v>44661.82389</v>
      </c>
      <c r="D5191" s="13">
        <f t="shared" si="1"/>
        <v>10</v>
      </c>
      <c r="E5191" s="13">
        <f t="shared" si="2"/>
        <v>19</v>
      </c>
    </row>
    <row r="5192">
      <c r="A5192" s="4" t="s">
        <v>5717</v>
      </c>
      <c r="B5192" s="16"/>
      <c r="C5192" s="12">
        <f>IFERROR(__xludf.DUMMYFUNCTION("""COMPUTED_VALUE"""),44661.82387731481)</f>
        <v>44661.82388</v>
      </c>
      <c r="D5192" s="13">
        <f t="shared" si="1"/>
        <v>10</v>
      </c>
      <c r="E5192" s="13">
        <f t="shared" si="2"/>
        <v>19</v>
      </c>
    </row>
    <row r="5193">
      <c r="A5193" s="4" t="s">
        <v>5718</v>
      </c>
      <c r="B5193" s="4" t="s">
        <v>5711</v>
      </c>
      <c r="C5193" s="12">
        <f>IFERROR(__xludf.DUMMYFUNCTION("""COMPUTED_VALUE"""),44661.82386574074)</f>
        <v>44661.82387</v>
      </c>
      <c r="D5193" s="13">
        <f t="shared" si="1"/>
        <v>10</v>
      </c>
      <c r="E5193" s="13">
        <f t="shared" si="2"/>
        <v>19</v>
      </c>
    </row>
    <row r="5194">
      <c r="A5194" s="4" t="s">
        <v>5719</v>
      </c>
      <c r="B5194" s="4" t="s">
        <v>5072</v>
      </c>
      <c r="C5194" s="12">
        <f>IFERROR(__xludf.DUMMYFUNCTION("""COMPUTED_VALUE"""),44661.823854166665)</f>
        <v>44661.82385</v>
      </c>
      <c r="D5194" s="13">
        <f t="shared" si="1"/>
        <v>10</v>
      </c>
      <c r="E5194" s="13">
        <f t="shared" si="2"/>
        <v>19</v>
      </c>
    </row>
    <row r="5195">
      <c r="A5195" s="4" t="s">
        <v>5720</v>
      </c>
      <c r="B5195" s="4" t="s">
        <v>5711</v>
      </c>
      <c r="C5195" s="12">
        <f>IFERROR(__xludf.DUMMYFUNCTION("""COMPUTED_VALUE"""),44661.82381944444)</f>
        <v>44661.82382</v>
      </c>
      <c r="D5195" s="13">
        <f t="shared" si="1"/>
        <v>10</v>
      </c>
      <c r="E5195" s="13">
        <f t="shared" si="2"/>
        <v>19</v>
      </c>
    </row>
    <row r="5196">
      <c r="A5196" s="4" t="s">
        <v>5721</v>
      </c>
      <c r="B5196" s="16"/>
      <c r="C5196" s="12">
        <f>IFERROR(__xludf.DUMMYFUNCTION("""COMPUTED_VALUE"""),44661.823807870365)</f>
        <v>44661.82381</v>
      </c>
      <c r="D5196" s="13">
        <f t="shared" si="1"/>
        <v>10</v>
      </c>
      <c r="E5196" s="13">
        <f t="shared" si="2"/>
        <v>19</v>
      </c>
    </row>
    <row r="5197">
      <c r="A5197" s="4" t="s">
        <v>5722</v>
      </c>
      <c r="B5197" s="4" t="s">
        <v>5711</v>
      </c>
      <c r="C5197" s="12">
        <f>IFERROR(__xludf.DUMMYFUNCTION("""COMPUTED_VALUE"""),44661.82378472222)</f>
        <v>44661.82378</v>
      </c>
      <c r="D5197" s="13">
        <f t="shared" si="1"/>
        <v>10</v>
      </c>
      <c r="E5197" s="13">
        <f t="shared" si="2"/>
        <v>19</v>
      </c>
    </row>
    <row r="5198">
      <c r="A5198" s="4" t="s">
        <v>5723</v>
      </c>
      <c r="B5198" s="4" t="s">
        <v>5072</v>
      </c>
      <c r="C5198" s="12">
        <f>IFERROR(__xludf.DUMMYFUNCTION("""COMPUTED_VALUE"""),44661.82377314814)</f>
        <v>44661.82377</v>
      </c>
      <c r="D5198" s="13">
        <f t="shared" si="1"/>
        <v>10</v>
      </c>
      <c r="E5198" s="13">
        <f t="shared" si="2"/>
        <v>19</v>
      </c>
    </row>
    <row r="5199">
      <c r="A5199" s="4" t="s">
        <v>5723</v>
      </c>
      <c r="B5199" s="4" t="s">
        <v>5711</v>
      </c>
      <c r="C5199" s="12">
        <f>IFERROR(__xludf.DUMMYFUNCTION("""COMPUTED_VALUE"""),44661.82377314814)</f>
        <v>44661.82377</v>
      </c>
      <c r="D5199" s="13">
        <f t="shared" si="1"/>
        <v>10</v>
      </c>
      <c r="E5199" s="13">
        <f t="shared" si="2"/>
        <v>19</v>
      </c>
    </row>
    <row r="5200">
      <c r="A5200" s="4" t="s">
        <v>5724</v>
      </c>
      <c r="B5200" s="4" t="s">
        <v>5711</v>
      </c>
      <c r="C5200" s="12">
        <f>IFERROR(__xludf.DUMMYFUNCTION("""COMPUTED_VALUE"""),44661.823749999996)</f>
        <v>44661.82375</v>
      </c>
      <c r="D5200" s="13">
        <f t="shared" si="1"/>
        <v>10</v>
      </c>
      <c r="E5200" s="13">
        <f t="shared" si="2"/>
        <v>19</v>
      </c>
    </row>
    <row r="5201">
      <c r="A5201" s="4" t="s">
        <v>5725</v>
      </c>
      <c r="B5201" s="16"/>
      <c r="C5201" s="12">
        <f>IFERROR(__xludf.DUMMYFUNCTION("""COMPUTED_VALUE"""),44661.82372685185)</f>
        <v>44661.82373</v>
      </c>
      <c r="D5201" s="13">
        <f t="shared" si="1"/>
        <v>10</v>
      </c>
      <c r="E5201" s="13">
        <f t="shared" si="2"/>
        <v>19</v>
      </c>
    </row>
    <row r="5202">
      <c r="A5202" s="4" t="s">
        <v>5726</v>
      </c>
      <c r="B5202" s="4" t="s">
        <v>5711</v>
      </c>
      <c r="C5202" s="12">
        <f>IFERROR(__xludf.DUMMYFUNCTION("""COMPUTED_VALUE"""),44661.82371527777)</f>
        <v>44661.82372</v>
      </c>
      <c r="D5202" s="13">
        <f t="shared" si="1"/>
        <v>10</v>
      </c>
      <c r="E5202" s="13">
        <f t="shared" si="2"/>
        <v>19</v>
      </c>
    </row>
    <row r="5203">
      <c r="A5203" s="4" t="s">
        <v>5727</v>
      </c>
      <c r="B5203" s="4" t="s">
        <v>5711</v>
      </c>
      <c r="C5203" s="12">
        <f>IFERROR(__xludf.DUMMYFUNCTION("""COMPUTED_VALUE"""),44661.82369212963)</f>
        <v>44661.82369</v>
      </c>
      <c r="D5203" s="13">
        <f t="shared" si="1"/>
        <v>10</v>
      </c>
      <c r="E5203" s="13">
        <f t="shared" si="2"/>
        <v>19</v>
      </c>
    </row>
    <row r="5204">
      <c r="A5204" s="4" t="s">
        <v>5728</v>
      </c>
      <c r="B5204" s="16"/>
      <c r="C5204" s="12">
        <f>IFERROR(__xludf.DUMMYFUNCTION("""COMPUTED_VALUE"""),44661.8236574074)</f>
        <v>44661.82366</v>
      </c>
      <c r="D5204" s="13">
        <f t="shared" si="1"/>
        <v>10</v>
      </c>
      <c r="E5204" s="13">
        <f t="shared" si="2"/>
        <v>19</v>
      </c>
    </row>
    <row r="5205">
      <c r="A5205" s="4" t="s">
        <v>5729</v>
      </c>
      <c r="B5205" s="16"/>
      <c r="C5205" s="12">
        <f>IFERROR(__xludf.DUMMYFUNCTION("""COMPUTED_VALUE"""),44661.82361111111)</f>
        <v>44661.82361</v>
      </c>
      <c r="D5205" s="13">
        <f t="shared" si="1"/>
        <v>10</v>
      </c>
      <c r="E5205" s="13">
        <f t="shared" si="2"/>
        <v>19</v>
      </c>
    </row>
    <row r="5206">
      <c r="A5206" s="4" t="s">
        <v>5730</v>
      </c>
      <c r="B5206" s="16"/>
      <c r="C5206" s="12">
        <f>IFERROR(__xludf.DUMMYFUNCTION("""COMPUTED_VALUE"""),44661.82358796296)</f>
        <v>44661.82359</v>
      </c>
      <c r="D5206" s="13">
        <f t="shared" si="1"/>
        <v>10</v>
      </c>
      <c r="E5206" s="13">
        <f t="shared" si="2"/>
        <v>19</v>
      </c>
    </row>
    <row r="5207">
      <c r="A5207" s="4" t="s">
        <v>5731</v>
      </c>
      <c r="B5207" s="4" t="s">
        <v>5711</v>
      </c>
      <c r="C5207" s="12">
        <f>IFERROR(__xludf.DUMMYFUNCTION("""COMPUTED_VALUE"""),44661.82356481481)</f>
        <v>44661.82356</v>
      </c>
      <c r="D5207" s="13">
        <f t="shared" si="1"/>
        <v>10</v>
      </c>
      <c r="E5207" s="13">
        <f t="shared" si="2"/>
        <v>19</v>
      </c>
    </row>
    <row r="5208">
      <c r="A5208" s="4" t="s">
        <v>5732</v>
      </c>
      <c r="B5208" s="16"/>
      <c r="C5208" s="12">
        <f>IFERROR(__xludf.DUMMYFUNCTION("""COMPUTED_VALUE"""),44661.823541666665)</f>
        <v>44661.82354</v>
      </c>
      <c r="D5208" s="13">
        <f t="shared" si="1"/>
        <v>10</v>
      </c>
      <c r="E5208" s="13">
        <f t="shared" si="2"/>
        <v>19</v>
      </c>
    </row>
    <row r="5209">
      <c r="A5209" s="4" t="s">
        <v>5733</v>
      </c>
      <c r="B5209" s="16"/>
      <c r="C5209" s="12">
        <f>IFERROR(__xludf.DUMMYFUNCTION("""COMPUTED_VALUE"""),44661.823483796295)</f>
        <v>44661.82348</v>
      </c>
      <c r="D5209" s="13">
        <f t="shared" si="1"/>
        <v>10</v>
      </c>
      <c r="E5209" s="13">
        <f t="shared" si="2"/>
        <v>19</v>
      </c>
    </row>
    <row r="5210">
      <c r="A5210" s="4" t="s">
        <v>5733</v>
      </c>
      <c r="B5210" s="4" t="s">
        <v>5711</v>
      </c>
      <c r="C5210" s="12">
        <f>IFERROR(__xludf.DUMMYFUNCTION("""COMPUTED_VALUE"""),44661.823483796295)</f>
        <v>44661.82348</v>
      </c>
      <c r="D5210" s="13">
        <f t="shared" si="1"/>
        <v>10</v>
      </c>
      <c r="E5210" s="13">
        <f t="shared" si="2"/>
        <v>19</v>
      </c>
    </row>
    <row r="5211">
      <c r="A5211" s="4" t="s">
        <v>5734</v>
      </c>
      <c r="B5211" s="16"/>
      <c r="C5211" s="12">
        <f>IFERROR(__xludf.DUMMYFUNCTION("""COMPUTED_VALUE"""),44661.82344907407)</f>
        <v>44661.82345</v>
      </c>
      <c r="D5211" s="13">
        <f t="shared" si="1"/>
        <v>10</v>
      </c>
      <c r="E5211" s="13">
        <f t="shared" si="2"/>
        <v>19</v>
      </c>
    </row>
    <row r="5212">
      <c r="A5212" s="4" t="s">
        <v>5735</v>
      </c>
      <c r="B5212" s="16"/>
      <c r="C5212" s="12">
        <f>IFERROR(__xludf.DUMMYFUNCTION("""COMPUTED_VALUE"""),44661.823425925926)</f>
        <v>44661.82343</v>
      </c>
      <c r="D5212" s="13">
        <f t="shared" si="1"/>
        <v>10</v>
      </c>
      <c r="E5212" s="13">
        <f t="shared" si="2"/>
        <v>19</v>
      </c>
    </row>
    <row r="5213">
      <c r="A5213" s="4" t="s">
        <v>5736</v>
      </c>
      <c r="B5213" s="4" t="s">
        <v>5737</v>
      </c>
      <c r="C5213" s="12">
        <f>IFERROR(__xludf.DUMMYFUNCTION("""COMPUTED_VALUE"""),44661.82266203703)</f>
        <v>44661.82266</v>
      </c>
      <c r="D5213" s="13">
        <f t="shared" si="1"/>
        <v>10</v>
      </c>
      <c r="E5213" s="13">
        <f t="shared" si="2"/>
        <v>19</v>
      </c>
    </row>
    <row r="5214">
      <c r="A5214" s="4" t="s">
        <v>5738</v>
      </c>
      <c r="B5214" s="4" t="s">
        <v>5711</v>
      </c>
      <c r="C5214" s="12">
        <f>IFERROR(__xludf.DUMMYFUNCTION("""COMPUTED_VALUE"""),44661.82224537037)</f>
        <v>44661.82225</v>
      </c>
      <c r="D5214" s="13">
        <f t="shared" si="1"/>
        <v>10</v>
      </c>
      <c r="E5214" s="13">
        <f t="shared" si="2"/>
        <v>19</v>
      </c>
    </row>
    <row r="5215">
      <c r="A5215" s="4" t="s">
        <v>5739</v>
      </c>
      <c r="B5215" s="4" t="s">
        <v>5711</v>
      </c>
      <c r="C5215" s="12">
        <f>IFERROR(__xludf.DUMMYFUNCTION("""COMPUTED_VALUE"""),44661.82222222222)</f>
        <v>44661.82222</v>
      </c>
      <c r="D5215" s="13">
        <f t="shared" si="1"/>
        <v>10</v>
      </c>
      <c r="E5215" s="13">
        <f t="shared" si="2"/>
        <v>19</v>
      </c>
    </row>
    <row r="5216">
      <c r="A5216" s="4" t="s">
        <v>5740</v>
      </c>
      <c r="B5216" s="16"/>
      <c r="C5216" s="12">
        <f>IFERROR(__xludf.DUMMYFUNCTION("""COMPUTED_VALUE"""),44661.82219907407)</f>
        <v>44661.8222</v>
      </c>
      <c r="D5216" s="13">
        <f t="shared" si="1"/>
        <v>10</v>
      </c>
      <c r="E5216" s="13">
        <f t="shared" si="2"/>
        <v>19</v>
      </c>
    </row>
    <row r="5217">
      <c r="A5217" s="4" t="s">
        <v>5741</v>
      </c>
      <c r="B5217" s="4" t="s">
        <v>5711</v>
      </c>
      <c r="C5217" s="12">
        <f>IFERROR(__xludf.DUMMYFUNCTION("""COMPUTED_VALUE"""),44661.822175925925)</f>
        <v>44661.82218</v>
      </c>
      <c r="D5217" s="13">
        <f t="shared" si="1"/>
        <v>10</v>
      </c>
      <c r="E5217" s="13">
        <f t="shared" si="2"/>
        <v>19</v>
      </c>
    </row>
    <row r="5218">
      <c r="A5218" s="4" t="s">
        <v>5742</v>
      </c>
      <c r="B5218" s="16"/>
      <c r="C5218" s="12">
        <f>IFERROR(__xludf.DUMMYFUNCTION("""COMPUTED_VALUE"""),44661.82202546296)</f>
        <v>44661.82203</v>
      </c>
      <c r="D5218" s="13">
        <f t="shared" si="1"/>
        <v>10</v>
      </c>
      <c r="E5218" s="13">
        <f t="shared" si="2"/>
        <v>19</v>
      </c>
    </row>
    <row r="5219">
      <c r="A5219" s="4" t="s">
        <v>5743</v>
      </c>
      <c r="B5219" s="4" t="s">
        <v>5669</v>
      </c>
      <c r="C5219" s="12">
        <f>IFERROR(__xludf.DUMMYFUNCTION("""COMPUTED_VALUE"""),44661.82194444444)</f>
        <v>44661.82194</v>
      </c>
      <c r="D5219" s="13">
        <f t="shared" si="1"/>
        <v>10</v>
      </c>
      <c r="E5219" s="13">
        <f t="shared" si="2"/>
        <v>19</v>
      </c>
    </row>
    <row r="5220">
      <c r="A5220" s="4" t="s">
        <v>5744</v>
      </c>
      <c r="B5220" s="4" t="s">
        <v>5669</v>
      </c>
      <c r="C5220" s="12">
        <f>IFERROR(__xludf.DUMMYFUNCTION("""COMPUTED_VALUE"""),44661.821921296294)</f>
        <v>44661.82192</v>
      </c>
      <c r="D5220" s="13">
        <f t="shared" si="1"/>
        <v>10</v>
      </c>
      <c r="E5220" s="13">
        <f t="shared" si="2"/>
        <v>19</v>
      </c>
    </row>
    <row r="5221">
      <c r="A5221" s="4" t="s">
        <v>5745</v>
      </c>
      <c r="B5221" s="4" t="s">
        <v>5669</v>
      </c>
      <c r="C5221" s="12">
        <f>IFERROR(__xludf.DUMMYFUNCTION("""COMPUTED_VALUE"""),44661.82189814815)</f>
        <v>44661.8219</v>
      </c>
      <c r="D5221" s="13">
        <f t="shared" si="1"/>
        <v>10</v>
      </c>
      <c r="E5221" s="13">
        <f t="shared" si="2"/>
        <v>19</v>
      </c>
    </row>
    <row r="5222">
      <c r="A5222" s="4" t="s">
        <v>5746</v>
      </c>
      <c r="B5222" s="4" t="s">
        <v>5669</v>
      </c>
      <c r="C5222" s="12">
        <f>IFERROR(__xludf.DUMMYFUNCTION("""COMPUTED_VALUE"""),44661.82185185185)</f>
        <v>44661.82185</v>
      </c>
      <c r="D5222" s="13">
        <f t="shared" si="1"/>
        <v>10</v>
      </c>
      <c r="E5222" s="13">
        <f t="shared" si="2"/>
        <v>19</v>
      </c>
    </row>
    <row r="5223">
      <c r="A5223" s="4" t="s">
        <v>5747</v>
      </c>
      <c r="B5223" s="4" t="s">
        <v>5669</v>
      </c>
      <c r="C5223" s="12">
        <f>IFERROR(__xludf.DUMMYFUNCTION("""COMPUTED_VALUE"""),44661.8218287037)</f>
        <v>44661.82183</v>
      </c>
      <c r="D5223" s="13">
        <f t="shared" si="1"/>
        <v>10</v>
      </c>
      <c r="E5223" s="13">
        <f t="shared" si="2"/>
        <v>19</v>
      </c>
    </row>
    <row r="5224">
      <c r="A5224" s="4" t="s">
        <v>5748</v>
      </c>
      <c r="B5224" s="4" t="s">
        <v>5669</v>
      </c>
      <c r="C5224" s="12">
        <f>IFERROR(__xludf.DUMMYFUNCTION("""COMPUTED_VALUE"""),44661.821608796294)</f>
        <v>44661.82161</v>
      </c>
      <c r="D5224" s="13">
        <f t="shared" si="1"/>
        <v>10</v>
      </c>
      <c r="E5224" s="13">
        <f t="shared" si="2"/>
        <v>19</v>
      </c>
    </row>
    <row r="5225">
      <c r="A5225" s="4" t="s">
        <v>5749</v>
      </c>
      <c r="B5225" s="4" t="s">
        <v>5750</v>
      </c>
      <c r="C5225" s="12">
        <f>IFERROR(__xludf.DUMMYFUNCTION("""COMPUTED_VALUE"""),44661.82158564815)</f>
        <v>44661.82159</v>
      </c>
      <c r="D5225" s="13">
        <f t="shared" si="1"/>
        <v>10</v>
      </c>
      <c r="E5225" s="13">
        <f t="shared" si="2"/>
        <v>19</v>
      </c>
    </row>
    <row r="5226">
      <c r="A5226" s="4" t="s">
        <v>5751</v>
      </c>
      <c r="B5226" s="4" t="s">
        <v>5750</v>
      </c>
      <c r="C5226" s="12">
        <f>IFERROR(__xludf.DUMMYFUNCTION("""COMPUTED_VALUE"""),44661.821550925924)</f>
        <v>44661.82155</v>
      </c>
      <c r="D5226" s="13">
        <f t="shared" si="1"/>
        <v>10</v>
      </c>
      <c r="E5226" s="13">
        <f t="shared" si="2"/>
        <v>19</v>
      </c>
    </row>
    <row r="5227">
      <c r="A5227" s="4" t="s">
        <v>5752</v>
      </c>
      <c r="B5227" s="4" t="s">
        <v>5750</v>
      </c>
      <c r="C5227" s="12">
        <f>IFERROR(__xludf.DUMMYFUNCTION("""COMPUTED_VALUE"""),44661.82145833333)</f>
        <v>44661.82146</v>
      </c>
      <c r="D5227" s="13">
        <f t="shared" si="1"/>
        <v>10</v>
      </c>
      <c r="E5227" s="13">
        <f t="shared" si="2"/>
        <v>19</v>
      </c>
    </row>
    <row r="5228">
      <c r="A5228" s="4" t="s">
        <v>5753</v>
      </c>
      <c r="B5228" s="4" t="s">
        <v>5669</v>
      </c>
      <c r="C5228" s="12">
        <f>IFERROR(__xludf.DUMMYFUNCTION("""COMPUTED_VALUE"""),44661.82129629629)</f>
        <v>44661.8213</v>
      </c>
      <c r="D5228" s="13">
        <f t="shared" si="1"/>
        <v>10</v>
      </c>
      <c r="E5228" s="13">
        <f t="shared" si="2"/>
        <v>19</v>
      </c>
    </row>
    <row r="5229">
      <c r="A5229" s="4" t="s">
        <v>5754</v>
      </c>
      <c r="B5229" s="16"/>
      <c r="C5229" s="12">
        <f>IFERROR(__xludf.DUMMYFUNCTION("""COMPUTED_VALUE"""),44661.818460648145)</f>
        <v>44661.81846</v>
      </c>
      <c r="D5229" s="13">
        <f t="shared" si="1"/>
        <v>10</v>
      </c>
      <c r="E5229" s="13">
        <f t="shared" si="2"/>
        <v>19</v>
      </c>
    </row>
    <row r="5230">
      <c r="A5230" s="4" t="s">
        <v>5755</v>
      </c>
      <c r="B5230" s="4" t="s">
        <v>5756</v>
      </c>
      <c r="C5230" s="12">
        <f>IFERROR(__xludf.DUMMYFUNCTION("""COMPUTED_VALUE"""),44661.81769675926)</f>
        <v>44661.8177</v>
      </c>
      <c r="D5230" s="13">
        <f t="shared" si="1"/>
        <v>10</v>
      </c>
      <c r="E5230" s="13">
        <f t="shared" si="2"/>
        <v>19</v>
      </c>
    </row>
    <row r="5231">
      <c r="A5231" s="4" t="s">
        <v>5757</v>
      </c>
      <c r="B5231" s="16"/>
      <c r="C5231" s="12">
        <f>IFERROR(__xludf.DUMMYFUNCTION("""COMPUTED_VALUE"""),44661.81690972222)</f>
        <v>44661.81691</v>
      </c>
      <c r="D5231" s="13">
        <f t="shared" si="1"/>
        <v>10</v>
      </c>
      <c r="E5231" s="13">
        <f t="shared" si="2"/>
        <v>19</v>
      </c>
    </row>
    <row r="5232">
      <c r="A5232" s="4" t="s">
        <v>5758</v>
      </c>
      <c r="B5232" s="4" t="s">
        <v>5756</v>
      </c>
      <c r="C5232" s="12">
        <f>IFERROR(__xludf.DUMMYFUNCTION("""COMPUTED_VALUE"""),44661.816875)</f>
        <v>44661.81688</v>
      </c>
      <c r="D5232" s="13">
        <f t="shared" si="1"/>
        <v>10</v>
      </c>
      <c r="E5232" s="13">
        <f t="shared" si="2"/>
        <v>19</v>
      </c>
    </row>
    <row r="5233">
      <c r="A5233" s="4" t="s">
        <v>5759</v>
      </c>
      <c r="B5233" s="4" t="s">
        <v>5760</v>
      </c>
      <c r="C5233" s="12">
        <f>IFERROR(__xludf.DUMMYFUNCTION("""COMPUTED_VALUE"""),44661.81554398148)</f>
        <v>44661.81554</v>
      </c>
      <c r="D5233" s="13">
        <f t="shared" si="1"/>
        <v>10</v>
      </c>
      <c r="E5233" s="13">
        <f t="shared" si="2"/>
        <v>19</v>
      </c>
    </row>
    <row r="5234">
      <c r="A5234" s="4" t="s">
        <v>5761</v>
      </c>
      <c r="B5234" s="16"/>
      <c r="C5234" s="12">
        <f>IFERROR(__xludf.DUMMYFUNCTION("""COMPUTED_VALUE"""),44661.81451388889)</f>
        <v>44661.81451</v>
      </c>
      <c r="D5234" s="13">
        <f t="shared" si="1"/>
        <v>10</v>
      </c>
      <c r="E5234" s="13">
        <f t="shared" si="2"/>
        <v>19</v>
      </c>
    </row>
    <row r="5235">
      <c r="A5235" s="4" t="s">
        <v>5761</v>
      </c>
      <c r="B5235" s="16"/>
      <c r="C5235" s="12">
        <f>IFERROR(__xludf.DUMMYFUNCTION("""COMPUTED_VALUE"""),44661.81451388889)</f>
        <v>44661.81451</v>
      </c>
      <c r="D5235" s="13">
        <f t="shared" si="1"/>
        <v>10</v>
      </c>
      <c r="E5235" s="13">
        <f t="shared" si="2"/>
        <v>19</v>
      </c>
    </row>
    <row r="5236">
      <c r="A5236" s="4" t="s">
        <v>5762</v>
      </c>
      <c r="B5236" s="16"/>
      <c r="C5236" s="12">
        <f>IFERROR(__xludf.DUMMYFUNCTION("""COMPUTED_VALUE"""),44661.81444444444)</f>
        <v>44661.81444</v>
      </c>
      <c r="D5236" s="13">
        <f t="shared" si="1"/>
        <v>10</v>
      </c>
      <c r="E5236" s="13">
        <f t="shared" si="2"/>
        <v>19</v>
      </c>
    </row>
    <row r="5237">
      <c r="A5237" s="4" t="s">
        <v>5763</v>
      </c>
      <c r="B5237" s="16"/>
      <c r="C5237" s="12">
        <f>IFERROR(__xludf.DUMMYFUNCTION("""COMPUTED_VALUE"""),44661.81420138889)</f>
        <v>44661.8142</v>
      </c>
      <c r="D5237" s="13">
        <f t="shared" si="1"/>
        <v>10</v>
      </c>
      <c r="E5237" s="13">
        <f t="shared" si="2"/>
        <v>19</v>
      </c>
    </row>
    <row r="5238">
      <c r="A5238" s="4" t="s">
        <v>5764</v>
      </c>
      <c r="B5238" s="4" t="s">
        <v>5567</v>
      </c>
      <c r="C5238" s="12">
        <f>IFERROR(__xludf.DUMMYFUNCTION("""COMPUTED_VALUE"""),44661.81414351852)</f>
        <v>44661.81414</v>
      </c>
      <c r="D5238" s="13">
        <f t="shared" si="1"/>
        <v>10</v>
      </c>
      <c r="E5238" s="13">
        <f t="shared" si="2"/>
        <v>19</v>
      </c>
    </row>
    <row r="5239">
      <c r="A5239" s="4" t="s">
        <v>5765</v>
      </c>
      <c r="B5239" s="16"/>
      <c r="C5239" s="12">
        <f>IFERROR(__xludf.DUMMYFUNCTION("""COMPUTED_VALUE"""),44661.81364583333)</f>
        <v>44661.81365</v>
      </c>
      <c r="D5239" s="13">
        <f t="shared" si="1"/>
        <v>10</v>
      </c>
      <c r="E5239" s="13">
        <f t="shared" si="2"/>
        <v>19</v>
      </c>
    </row>
    <row r="5240">
      <c r="A5240" s="4" t="s">
        <v>5766</v>
      </c>
      <c r="B5240" s="16"/>
      <c r="C5240" s="12">
        <f>IFERROR(__xludf.DUMMYFUNCTION("""COMPUTED_VALUE"""),44661.81354166666)</f>
        <v>44661.81354</v>
      </c>
      <c r="D5240" s="13">
        <f t="shared" si="1"/>
        <v>10</v>
      </c>
      <c r="E5240" s="13">
        <f t="shared" si="2"/>
        <v>19</v>
      </c>
    </row>
    <row r="5241">
      <c r="A5241" s="4" t="s">
        <v>5767</v>
      </c>
      <c r="B5241" s="16"/>
      <c r="C5241" s="12">
        <f>IFERROR(__xludf.DUMMYFUNCTION("""COMPUTED_VALUE"""),44661.81344907407)</f>
        <v>44661.81345</v>
      </c>
      <c r="D5241" s="13">
        <f t="shared" si="1"/>
        <v>10</v>
      </c>
      <c r="E5241" s="13">
        <f t="shared" si="2"/>
        <v>19</v>
      </c>
    </row>
    <row r="5242">
      <c r="A5242" s="4" t="s">
        <v>5768</v>
      </c>
      <c r="B5242" s="16"/>
      <c r="C5242" s="12">
        <f>IFERROR(__xludf.DUMMYFUNCTION("""COMPUTED_VALUE"""),44661.813425925924)</f>
        <v>44661.81343</v>
      </c>
      <c r="D5242" s="13">
        <f t="shared" si="1"/>
        <v>10</v>
      </c>
      <c r="E5242" s="13">
        <f t="shared" si="2"/>
        <v>19</v>
      </c>
    </row>
    <row r="5243">
      <c r="A5243" s="4" t="s">
        <v>5769</v>
      </c>
      <c r="B5243" s="16"/>
      <c r="C5243" s="12">
        <f>IFERROR(__xludf.DUMMYFUNCTION("""COMPUTED_VALUE"""),44661.81313657407)</f>
        <v>44661.81314</v>
      </c>
      <c r="D5243" s="13">
        <f t="shared" si="1"/>
        <v>10</v>
      </c>
      <c r="E5243" s="13">
        <f t="shared" si="2"/>
        <v>19</v>
      </c>
    </row>
    <row r="5244">
      <c r="A5244" s="4" t="s">
        <v>5770</v>
      </c>
      <c r="B5244" s="16"/>
      <c r="C5244" s="12">
        <f>IFERROR(__xludf.DUMMYFUNCTION("""COMPUTED_VALUE"""),44661.81212962963)</f>
        <v>44661.81213</v>
      </c>
      <c r="D5244" s="13">
        <f t="shared" si="1"/>
        <v>10</v>
      </c>
      <c r="E5244" s="13">
        <f t="shared" si="2"/>
        <v>19</v>
      </c>
    </row>
    <row r="5245">
      <c r="A5245" s="4" t="s">
        <v>5771</v>
      </c>
      <c r="B5245" s="16"/>
      <c r="C5245" s="12">
        <f>IFERROR(__xludf.DUMMYFUNCTION("""COMPUTED_VALUE"""),44661.81177083333)</f>
        <v>44661.81177</v>
      </c>
      <c r="D5245" s="13">
        <f t="shared" si="1"/>
        <v>10</v>
      </c>
      <c r="E5245" s="13">
        <f t="shared" si="2"/>
        <v>19</v>
      </c>
    </row>
    <row r="5246">
      <c r="A5246" s="4" t="s">
        <v>5772</v>
      </c>
      <c r="B5246" s="16"/>
      <c r="C5246" s="12">
        <f>IFERROR(__xludf.DUMMYFUNCTION("""COMPUTED_VALUE"""),44661.81155092592)</f>
        <v>44661.81155</v>
      </c>
      <c r="D5246" s="13">
        <f t="shared" si="1"/>
        <v>10</v>
      </c>
      <c r="E5246" s="13">
        <f t="shared" si="2"/>
        <v>19</v>
      </c>
    </row>
    <row r="5247">
      <c r="A5247" s="4" t="s">
        <v>5773</v>
      </c>
      <c r="B5247" s="4" t="s">
        <v>5774</v>
      </c>
      <c r="C5247" s="12">
        <f>IFERROR(__xludf.DUMMYFUNCTION("""COMPUTED_VALUE"""),44661.81108796296)</f>
        <v>44661.81109</v>
      </c>
      <c r="D5247" s="13">
        <f t="shared" si="1"/>
        <v>10</v>
      </c>
      <c r="E5247" s="13">
        <f t="shared" si="2"/>
        <v>19</v>
      </c>
    </row>
    <row r="5248">
      <c r="A5248" s="4" t="s">
        <v>5775</v>
      </c>
      <c r="B5248" s="16"/>
      <c r="C5248" s="12">
        <f>IFERROR(__xludf.DUMMYFUNCTION("""COMPUTED_VALUE"""),44661.81103009259)</f>
        <v>44661.81103</v>
      </c>
      <c r="D5248" s="13">
        <f t="shared" si="1"/>
        <v>10</v>
      </c>
      <c r="E5248" s="13">
        <f t="shared" si="2"/>
        <v>19</v>
      </c>
    </row>
    <row r="5249">
      <c r="A5249" s="4" t="s">
        <v>5776</v>
      </c>
      <c r="B5249" s="16"/>
      <c r="C5249" s="12">
        <f>IFERROR(__xludf.DUMMYFUNCTION("""COMPUTED_VALUE"""),44661.81099537037)</f>
        <v>44661.811</v>
      </c>
      <c r="D5249" s="13">
        <f t="shared" si="1"/>
        <v>10</v>
      </c>
      <c r="E5249" s="13">
        <f t="shared" si="2"/>
        <v>19</v>
      </c>
    </row>
    <row r="5250">
      <c r="A5250" s="4" t="s">
        <v>5777</v>
      </c>
      <c r="B5250" s="16"/>
      <c r="C5250" s="12">
        <f>IFERROR(__xludf.DUMMYFUNCTION("""COMPUTED_VALUE"""),44661.81098379629)</f>
        <v>44661.81098</v>
      </c>
      <c r="D5250" s="13">
        <f t="shared" si="1"/>
        <v>10</v>
      </c>
      <c r="E5250" s="13">
        <f t="shared" si="2"/>
        <v>19</v>
      </c>
    </row>
    <row r="5251">
      <c r="A5251" s="4" t="s">
        <v>5778</v>
      </c>
      <c r="B5251" s="16"/>
      <c r="C5251" s="12">
        <f>IFERROR(__xludf.DUMMYFUNCTION("""COMPUTED_VALUE"""),44661.81097222222)</f>
        <v>44661.81097</v>
      </c>
      <c r="D5251" s="13">
        <f t="shared" si="1"/>
        <v>10</v>
      </c>
      <c r="E5251" s="13">
        <f t="shared" si="2"/>
        <v>19</v>
      </c>
    </row>
    <row r="5252">
      <c r="A5252" s="4" t="s">
        <v>5779</v>
      </c>
      <c r="B5252" s="16"/>
      <c r="C5252" s="12">
        <f>IFERROR(__xludf.DUMMYFUNCTION("""COMPUTED_VALUE"""),44661.810960648145)</f>
        <v>44661.81096</v>
      </c>
      <c r="D5252" s="13">
        <f t="shared" si="1"/>
        <v>10</v>
      </c>
      <c r="E5252" s="13">
        <f t="shared" si="2"/>
        <v>19</v>
      </c>
    </row>
    <row r="5253">
      <c r="A5253" s="4" t="s">
        <v>5780</v>
      </c>
      <c r="B5253" s="16"/>
      <c r="C5253" s="12">
        <f>IFERROR(__xludf.DUMMYFUNCTION("""COMPUTED_VALUE"""),44661.81094907407)</f>
        <v>44661.81095</v>
      </c>
      <c r="D5253" s="13">
        <f t="shared" si="1"/>
        <v>10</v>
      </c>
      <c r="E5253" s="13">
        <f t="shared" si="2"/>
        <v>19</v>
      </c>
    </row>
    <row r="5254">
      <c r="A5254" s="4" t="s">
        <v>5781</v>
      </c>
      <c r="B5254" s="4" t="s">
        <v>5575</v>
      </c>
      <c r="C5254" s="12">
        <f>IFERROR(__xludf.DUMMYFUNCTION("""COMPUTED_VALUE"""),44661.8109375)</f>
        <v>44661.81094</v>
      </c>
      <c r="D5254" s="13">
        <f t="shared" si="1"/>
        <v>10</v>
      </c>
      <c r="E5254" s="13">
        <f t="shared" si="2"/>
        <v>19</v>
      </c>
    </row>
    <row r="5255">
      <c r="A5255" s="4" t="s">
        <v>5782</v>
      </c>
      <c r="B5255" s="16"/>
      <c r="C5255" s="12">
        <f>IFERROR(__xludf.DUMMYFUNCTION("""COMPUTED_VALUE"""),44661.81092592592)</f>
        <v>44661.81093</v>
      </c>
      <c r="D5255" s="13">
        <f t="shared" si="1"/>
        <v>10</v>
      </c>
      <c r="E5255" s="13">
        <f t="shared" si="2"/>
        <v>19</v>
      </c>
    </row>
    <row r="5256">
      <c r="A5256" s="4" t="s">
        <v>5783</v>
      </c>
      <c r="B5256" s="16"/>
      <c r="C5256" s="12">
        <f>IFERROR(__xludf.DUMMYFUNCTION("""COMPUTED_VALUE"""),44661.810902777775)</f>
        <v>44661.8109</v>
      </c>
      <c r="D5256" s="13">
        <f t="shared" si="1"/>
        <v>10</v>
      </c>
      <c r="E5256" s="13">
        <f t="shared" si="2"/>
        <v>19</v>
      </c>
    </row>
    <row r="5257">
      <c r="A5257" s="4" t="s">
        <v>5784</v>
      </c>
      <c r="B5257" s="16"/>
      <c r="C5257" s="12">
        <f>IFERROR(__xludf.DUMMYFUNCTION("""COMPUTED_VALUE"""),44661.8108912037)</f>
        <v>44661.81089</v>
      </c>
      <c r="D5257" s="13">
        <f t="shared" si="1"/>
        <v>10</v>
      </c>
      <c r="E5257" s="13">
        <f t="shared" si="2"/>
        <v>19</v>
      </c>
    </row>
    <row r="5258">
      <c r="A5258" s="4" t="s">
        <v>5785</v>
      </c>
      <c r="B5258" s="16"/>
      <c r="C5258" s="12">
        <f>IFERROR(__xludf.DUMMYFUNCTION("""COMPUTED_VALUE"""),44661.81086805555)</f>
        <v>44661.81087</v>
      </c>
      <c r="D5258" s="13">
        <f t="shared" si="1"/>
        <v>10</v>
      </c>
      <c r="E5258" s="13">
        <f t="shared" si="2"/>
        <v>19</v>
      </c>
    </row>
    <row r="5259">
      <c r="A5259" s="4" t="s">
        <v>5786</v>
      </c>
      <c r="B5259" s="16"/>
      <c r="C5259" s="12">
        <f>IFERROR(__xludf.DUMMYFUNCTION("""COMPUTED_VALUE"""),44661.810844907406)</f>
        <v>44661.81084</v>
      </c>
      <c r="D5259" s="13">
        <f t="shared" si="1"/>
        <v>10</v>
      </c>
      <c r="E5259" s="13">
        <f t="shared" si="2"/>
        <v>19</v>
      </c>
    </row>
    <row r="5260">
      <c r="A5260" s="4" t="s">
        <v>5787</v>
      </c>
      <c r="B5260" s="4" t="s">
        <v>5575</v>
      </c>
      <c r="C5260" s="12">
        <f>IFERROR(__xludf.DUMMYFUNCTION("""COMPUTED_VALUE"""),44661.81083333333)</f>
        <v>44661.81083</v>
      </c>
      <c r="D5260" s="13">
        <f t="shared" si="1"/>
        <v>10</v>
      </c>
      <c r="E5260" s="13">
        <f t="shared" si="2"/>
        <v>19</v>
      </c>
    </row>
    <row r="5261">
      <c r="A5261" s="4" t="s">
        <v>5788</v>
      </c>
      <c r="B5261" s="16"/>
      <c r="C5261" s="12">
        <f>IFERROR(__xludf.DUMMYFUNCTION("""COMPUTED_VALUE"""),44661.81081018518)</f>
        <v>44661.81081</v>
      </c>
      <c r="D5261" s="13">
        <f t="shared" si="1"/>
        <v>10</v>
      </c>
      <c r="E5261" s="13">
        <f t="shared" si="2"/>
        <v>19</v>
      </c>
    </row>
    <row r="5262">
      <c r="A5262" s="4" t="s">
        <v>5788</v>
      </c>
      <c r="B5262" s="4" t="s">
        <v>5575</v>
      </c>
      <c r="C5262" s="12">
        <f>IFERROR(__xludf.DUMMYFUNCTION("""COMPUTED_VALUE"""),44661.81081018518)</f>
        <v>44661.81081</v>
      </c>
      <c r="D5262" s="13">
        <f t="shared" si="1"/>
        <v>10</v>
      </c>
      <c r="E5262" s="13">
        <f t="shared" si="2"/>
        <v>19</v>
      </c>
    </row>
    <row r="5263">
      <c r="A5263" s="4" t="s">
        <v>5789</v>
      </c>
      <c r="B5263" s="4" t="s">
        <v>5575</v>
      </c>
      <c r="C5263" s="12">
        <f>IFERROR(__xludf.DUMMYFUNCTION("""COMPUTED_VALUE"""),44661.810752314814)</f>
        <v>44661.81075</v>
      </c>
      <c r="D5263" s="13">
        <f t="shared" si="1"/>
        <v>10</v>
      </c>
      <c r="E5263" s="13">
        <f t="shared" si="2"/>
        <v>19</v>
      </c>
    </row>
    <row r="5264">
      <c r="A5264" s="4" t="s">
        <v>5790</v>
      </c>
      <c r="B5264" s="4" t="s">
        <v>5575</v>
      </c>
      <c r="C5264" s="12">
        <f>IFERROR(__xludf.DUMMYFUNCTION("""COMPUTED_VALUE"""),44661.81072916667)</f>
        <v>44661.81073</v>
      </c>
      <c r="D5264" s="13">
        <f t="shared" si="1"/>
        <v>10</v>
      </c>
      <c r="E5264" s="13">
        <f t="shared" si="2"/>
        <v>19</v>
      </c>
    </row>
    <row r="5265">
      <c r="A5265" s="4" t="s">
        <v>5791</v>
      </c>
      <c r="B5265" s="16"/>
      <c r="C5265" s="12">
        <f>IFERROR(__xludf.DUMMYFUNCTION("""COMPUTED_VALUE"""),44661.81071759259)</f>
        <v>44661.81072</v>
      </c>
      <c r="D5265" s="13">
        <f t="shared" si="1"/>
        <v>10</v>
      </c>
      <c r="E5265" s="13">
        <f t="shared" si="2"/>
        <v>19</v>
      </c>
    </row>
    <row r="5266">
      <c r="A5266" s="4" t="s">
        <v>5792</v>
      </c>
      <c r="B5266" s="16"/>
      <c r="C5266" s="12">
        <f>IFERROR(__xludf.DUMMYFUNCTION("""COMPUTED_VALUE"""),44661.81061342592)</f>
        <v>44661.81061</v>
      </c>
      <c r="D5266" s="13">
        <f t="shared" si="1"/>
        <v>10</v>
      </c>
      <c r="E5266" s="13">
        <f t="shared" si="2"/>
        <v>19</v>
      </c>
    </row>
    <row r="5267">
      <c r="A5267" s="4" t="s">
        <v>5793</v>
      </c>
      <c r="B5267" s="4" t="s">
        <v>5794</v>
      </c>
      <c r="C5267" s="12">
        <f>IFERROR(__xludf.DUMMYFUNCTION("""COMPUTED_VALUE"""),44661.81043981481)</f>
        <v>44661.81044</v>
      </c>
      <c r="D5267" s="13">
        <f t="shared" si="1"/>
        <v>10</v>
      </c>
      <c r="E5267" s="13">
        <f t="shared" si="2"/>
        <v>19</v>
      </c>
    </row>
    <row r="5268">
      <c r="A5268" s="4" t="s">
        <v>5795</v>
      </c>
      <c r="B5268" s="16"/>
      <c r="C5268" s="12">
        <f>IFERROR(__xludf.DUMMYFUNCTION("""COMPUTED_VALUE"""),44661.8102662037)</f>
        <v>44661.81027</v>
      </c>
      <c r="D5268" s="13">
        <f t="shared" si="1"/>
        <v>10</v>
      </c>
      <c r="E5268" s="13">
        <f t="shared" si="2"/>
        <v>19</v>
      </c>
    </row>
    <row r="5269">
      <c r="A5269" s="4" t="s">
        <v>5796</v>
      </c>
      <c r="B5269" s="4" t="s">
        <v>5794</v>
      </c>
      <c r="C5269" s="12">
        <f>IFERROR(__xludf.DUMMYFUNCTION("""COMPUTED_VALUE"""),44661.810219907406)</f>
        <v>44661.81022</v>
      </c>
      <c r="D5269" s="13">
        <f t="shared" si="1"/>
        <v>10</v>
      </c>
      <c r="E5269" s="13">
        <f t="shared" si="2"/>
        <v>19</v>
      </c>
    </row>
    <row r="5270">
      <c r="A5270" s="4" t="s">
        <v>5797</v>
      </c>
      <c r="B5270" s="16"/>
      <c r="C5270" s="12">
        <f>IFERROR(__xludf.DUMMYFUNCTION("""COMPUTED_VALUE"""),44661.810011574074)</f>
        <v>44661.81001</v>
      </c>
      <c r="D5270" s="13">
        <f t="shared" si="1"/>
        <v>10</v>
      </c>
      <c r="E5270" s="13">
        <f t="shared" si="2"/>
        <v>19</v>
      </c>
    </row>
    <row r="5271">
      <c r="A5271" s="4" t="s">
        <v>5798</v>
      </c>
      <c r="B5271" s="4" t="s">
        <v>5239</v>
      </c>
      <c r="C5271" s="12">
        <f>IFERROR(__xludf.DUMMYFUNCTION("""COMPUTED_VALUE"""),44661.80991898148)</f>
        <v>44661.80992</v>
      </c>
      <c r="D5271" s="13">
        <f t="shared" si="1"/>
        <v>10</v>
      </c>
      <c r="E5271" s="13">
        <f t="shared" si="2"/>
        <v>19</v>
      </c>
    </row>
    <row r="5272">
      <c r="A5272" s="4" t="s">
        <v>5799</v>
      </c>
      <c r="B5272" s="4" t="s">
        <v>5794</v>
      </c>
      <c r="C5272" s="12">
        <f>IFERROR(__xludf.DUMMYFUNCTION("""COMPUTED_VALUE"""),44661.80987268518)</f>
        <v>44661.80987</v>
      </c>
      <c r="D5272" s="13">
        <f t="shared" si="1"/>
        <v>10</v>
      </c>
      <c r="E5272" s="13">
        <f t="shared" si="2"/>
        <v>19</v>
      </c>
    </row>
    <row r="5273">
      <c r="A5273" s="4" t="s">
        <v>5800</v>
      </c>
      <c r="B5273" s="4" t="s">
        <v>5239</v>
      </c>
      <c r="C5273" s="12">
        <f>IFERROR(__xludf.DUMMYFUNCTION("""COMPUTED_VALUE"""),44661.80981481481)</f>
        <v>44661.80981</v>
      </c>
      <c r="D5273" s="13">
        <f t="shared" si="1"/>
        <v>10</v>
      </c>
      <c r="E5273" s="13">
        <f t="shared" si="2"/>
        <v>19</v>
      </c>
    </row>
    <row r="5274">
      <c r="A5274" s="4" t="s">
        <v>5801</v>
      </c>
      <c r="B5274" s="4" t="s">
        <v>5575</v>
      </c>
      <c r="C5274" s="12">
        <f>IFERROR(__xludf.DUMMYFUNCTION("""COMPUTED_VALUE"""),44661.8096875)</f>
        <v>44661.80969</v>
      </c>
      <c r="D5274" s="13">
        <f t="shared" si="1"/>
        <v>10</v>
      </c>
      <c r="E5274" s="13">
        <f t="shared" si="2"/>
        <v>19</v>
      </c>
    </row>
    <row r="5275">
      <c r="A5275" s="4" t="s">
        <v>5802</v>
      </c>
      <c r="B5275" s="4" t="s">
        <v>5239</v>
      </c>
      <c r="C5275" s="12">
        <f>IFERROR(__xludf.DUMMYFUNCTION("""COMPUTED_VALUE"""),44661.80914351852)</f>
        <v>44661.80914</v>
      </c>
      <c r="D5275" s="13">
        <f t="shared" si="1"/>
        <v>10</v>
      </c>
      <c r="E5275" s="13">
        <f t="shared" si="2"/>
        <v>19</v>
      </c>
    </row>
    <row r="5276">
      <c r="A5276" s="4" t="s">
        <v>5803</v>
      </c>
      <c r="B5276" s="4" t="s">
        <v>5239</v>
      </c>
      <c r="C5276" s="12">
        <f>IFERROR(__xludf.DUMMYFUNCTION("""COMPUTED_VALUE"""),44661.8091087963)</f>
        <v>44661.80911</v>
      </c>
      <c r="D5276" s="13">
        <f t="shared" si="1"/>
        <v>10</v>
      </c>
      <c r="E5276" s="13">
        <f t="shared" si="2"/>
        <v>19</v>
      </c>
    </row>
    <row r="5277">
      <c r="A5277" s="4" t="s">
        <v>5804</v>
      </c>
      <c r="B5277" s="4" t="s">
        <v>5239</v>
      </c>
      <c r="C5277" s="12">
        <f>IFERROR(__xludf.DUMMYFUNCTION("""COMPUTED_VALUE"""),44661.8090625)</f>
        <v>44661.80906</v>
      </c>
      <c r="D5277" s="13">
        <f t="shared" si="1"/>
        <v>10</v>
      </c>
      <c r="E5277" s="13">
        <f t="shared" si="2"/>
        <v>19</v>
      </c>
    </row>
    <row r="5278">
      <c r="A5278" s="4" t="s">
        <v>5805</v>
      </c>
      <c r="B5278" s="4" t="s">
        <v>5239</v>
      </c>
      <c r="C5278" s="12">
        <f>IFERROR(__xludf.DUMMYFUNCTION("""COMPUTED_VALUE"""),44661.80898148148)</f>
        <v>44661.80898</v>
      </c>
      <c r="D5278" s="13">
        <f t="shared" si="1"/>
        <v>10</v>
      </c>
      <c r="E5278" s="13">
        <f t="shared" si="2"/>
        <v>19</v>
      </c>
    </row>
    <row r="5279">
      <c r="A5279" s="4" t="s">
        <v>5806</v>
      </c>
      <c r="B5279" s="4" t="s">
        <v>5239</v>
      </c>
      <c r="C5279" s="12">
        <f>IFERROR(__xludf.DUMMYFUNCTION("""COMPUTED_VALUE"""),44661.80888888889)</f>
        <v>44661.80889</v>
      </c>
      <c r="D5279" s="13">
        <f t="shared" si="1"/>
        <v>10</v>
      </c>
      <c r="E5279" s="13">
        <f t="shared" si="2"/>
        <v>19</v>
      </c>
    </row>
    <row r="5280">
      <c r="A5280" s="4" t="s">
        <v>5807</v>
      </c>
      <c r="B5280" s="16"/>
      <c r="C5280" s="12">
        <f>IFERROR(__xludf.DUMMYFUNCTION("""COMPUTED_VALUE"""),44661.8077199074)</f>
        <v>44661.80772</v>
      </c>
      <c r="D5280" s="13">
        <f t="shared" si="1"/>
        <v>10</v>
      </c>
      <c r="E5280" s="13">
        <f t="shared" si="2"/>
        <v>19</v>
      </c>
    </row>
    <row r="5281">
      <c r="A5281" s="4" t="s">
        <v>5808</v>
      </c>
      <c r="B5281" s="16"/>
      <c r="C5281" s="12">
        <f>IFERROR(__xludf.DUMMYFUNCTION("""COMPUTED_VALUE"""),44661.80653935185)</f>
        <v>44661.80654</v>
      </c>
      <c r="D5281" s="13">
        <f t="shared" si="1"/>
        <v>10</v>
      </c>
      <c r="E5281" s="13">
        <f t="shared" si="2"/>
        <v>19</v>
      </c>
    </row>
    <row r="5282">
      <c r="A5282" s="4" t="s">
        <v>5809</v>
      </c>
      <c r="B5282" s="4" t="s">
        <v>5810</v>
      </c>
      <c r="C5282" s="12">
        <f>IFERROR(__xludf.DUMMYFUNCTION("""COMPUTED_VALUE"""),44661.80621527778)</f>
        <v>44661.80622</v>
      </c>
      <c r="D5282" s="13">
        <f t="shared" si="1"/>
        <v>10</v>
      </c>
      <c r="E5282" s="13">
        <f t="shared" si="2"/>
        <v>19</v>
      </c>
    </row>
    <row r="5283">
      <c r="A5283" s="4" t="s">
        <v>5811</v>
      </c>
      <c r="B5283" s="16"/>
      <c r="C5283" s="12">
        <f>IFERROR(__xludf.DUMMYFUNCTION("""COMPUTED_VALUE"""),44661.80469907407)</f>
        <v>44661.8047</v>
      </c>
      <c r="D5283" s="13">
        <f t="shared" si="1"/>
        <v>10</v>
      </c>
      <c r="E5283" s="13">
        <f t="shared" si="2"/>
        <v>19</v>
      </c>
    </row>
    <row r="5284">
      <c r="A5284" s="4" t="s">
        <v>5812</v>
      </c>
      <c r="B5284" s="16"/>
      <c r="C5284" s="12">
        <f>IFERROR(__xludf.DUMMYFUNCTION("""COMPUTED_VALUE"""),44661.80002314815)</f>
        <v>44661.80002</v>
      </c>
      <c r="D5284" s="13">
        <f t="shared" si="1"/>
        <v>10</v>
      </c>
      <c r="E5284" s="13">
        <f t="shared" si="2"/>
        <v>19</v>
      </c>
    </row>
    <row r="5285">
      <c r="A5285" s="4" t="s">
        <v>5813</v>
      </c>
      <c r="B5285" s="4" t="s">
        <v>5794</v>
      </c>
      <c r="C5285" s="12">
        <f>IFERROR(__xludf.DUMMYFUNCTION("""COMPUTED_VALUE"""),44661.79946759259)</f>
        <v>44661.79947</v>
      </c>
      <c r="D5285" s="13">
        <f t="shared" si="1"/>
        <v>10</v>
      </c>
      <c r="E5285" s="13">
        <f t="shared" si="2"/>
        <v>19</v>
      </c>
    </row>
    <row r="5286">
      <c r="A5286" s="4" t="s">
        <v>5814</v>
      </c>
      <c r="B5286" s="16"/>
      <c r="C5286" s="12">
        <f>IFERROR(__xludf.DUMMYFUNCTION("""COMPUTED_VALUE"""),44661.7993287037)</f>
        <v>44661.79933</v>
      </c>
      <c r="D5286" s="13">
        <f t="shared" si="1"/>
        <v>10</v>
      </c>
      <c r="E5286" s="13">
        <f t="shared" si="2"/>
        <v>19</v>
      </c>
    </row>
    <row r="5287">
      <c r="A5287" s="4" t="s">
        <v>5815</v>
      </c>
      <c r="B5287" s="16"/>
      <c r="C5287" s="12">
        <f>IFERROR(__xludf.DUMMYFUNCTION("""COMPUTED_VALUE"""),44661.79815972222)</f>
        <v>44661.79816</v>
      </c>
      <c r="D5287" s="13">
        <f t="shared" si="1"/>
        <v>10</v>
      </c>
      <c r="E5287" s="13">
        <f t="shared" si="2"/>
        <v>19</v>
      </c>
    </row>
    <row r="5288">
      <c r="A5288" s="4" t="s">
        <v>5816</v>
      </c>
      <c r="B5288" s="4" t="s">
        <v>5817</v>
      </c>
      <c r="C5288" s="12">
        <f>IFERROR(__xludf.DUMMYFUNCTION("""COMPUTED_VALUE"""),44661.798113425924)</f>
        <v>44661.79811</v>
      </c>
      <c r="D5288" s="13">
        <f t="shared" si="1"/>
        <v>10</v>
      </c>
      <c r="E5288" s="13">
        <f t="shared" si="2"/>
        <v>19</v>
      </c>
    </row>
    <row r="5289">
      <c r="A5289" s="4" t="s">
        <v>5818</v>
      </c>
      <c r="B5289" s="16"/>
      <c r="C5289" s="12">
        <f>IFERROR(__xludf.DUMMYFUNCTION("""COMPUTED_VALUE"""),44661.79809027778)</f>
        <v>44661.79809</v>
      </c>
      <c r="D5289" s="13">
        <f t="shared" si="1"/>
        <v>10</v>
      </c>
      <c r="E5289" s="13">
        <f t="shared" si="2"/>
        <v>19</v>
      </c>
    </row>
    <row r="5290">
      <c r="A5290" s="4" t="s">
        <v>5819</v>
      </c>
      <c r="B5290" s="4" t="s">
        <v>5820</v>
      </c>
      <c r="C5290" s="12">
        <f>IFERROR(__xludf.DUMMYFUNCTION("""COMPUTED_VALUE"""),44661.79802083333)</f>
        <v>44661.79802</v>
      </c>
      <c r="D5290" s="13">
        <f t="shared" si="1"/>
        <v>10</v>
      </c>
      <c r="E5290" s="13">
        <f t="shared" si="2"/>
        <v>19</v>
      </c>
    </row>
    <row r="5291">
      <c r="A5291" s="4" t="s">
        <v>5821</v>
      </c>
      <c r="B5291" s="4" t="s">
        <v>5822</v>
      </c>
      <c r="C5291" s="12">
        <f>IFERROR(__xludf.DUMMYFUNCTION("""COMPUTED_VALUE"""),44661.79399305555)</f>
        <v>44661.79399</v>
      </c>
      <c r="D5291" s="13">
        <f t="shared" si="1"/>
        <v>10</v>
      </c>
      <c r="E5291" s="13">
        <f t="shared" si="2"/>
        <v>19</v>
      </c>
    </row>
    <row r="5292">
      <c r="A5292" s="4" t="s">
        <v>5823</v>
      </c>
      <c r="B5292" s="16"/>
      <c r="C5292" s="12">
        <f>IFERROR(__xludf.DUMMYFUNCTION("""COMPUTED_VALUE"""),44661.792557870365)</f>
        <v>44661.79256</v>
      </c>
      <c r="D5292" s="13">
        <f t="shared" si="1"/>
        <v>10</v>
      </c>
      <c r="E5292" s="13">
        <f t="shared" si="2"/>
        <v>19</v>
      </c>
    </row>
    <row r="5293">
      <c r="A5293" s="4" t="s">
        <v>5824</v>
      </c>
      <c r="B5293" s="4" t="s">
        <v>5825</v>
      </c>
      <c r="C5293" s="12">
        <f>IFERROR(__xludf.DUMMYFUNCTION("""COMPUTED_VALUE"""),44661.78880787037)</f>
        <v>44661.78881</v>
      </c>
      <c r="D5293" s="13">
        <f t="shared" si="1"/>
        <v>10</v>
      </c>
      <c r="E5293" s="13">
        <f t="shared" si="2"/>
        <v>18</v>
      </c>
    </row>
    <row r="5294">
      <c r="A5294" s="4" t="s">
        <v>5826</v>
      </c>
      <c r="B5294" s="4" t="s">
        <v>5827</v>
      </c>
      <c r="C5294" s="12">
        <f>IFERROR(__xludf.DUMMYFUNCTION("""COMPUTED_VALUE"""),44661.78828703704)</f>
        <v>44661.78829</v>
      </c>
      <c r="D5294" s="13">
        <f t="shared" si="1"/>
        <v>10</v>
      </c>
      <c r="E5294" s="13">
        <f t="shared" si="2"/>
        <v>18</v>
      </c>
    </row>
    <row r="5295">
      <c r="A5295" s="4" t="s">
        <v>5828</v>
      </c>
      <c r="B5295" s="16"/>
      <c r="C5295" s="12">
        <f>IFERROR(__xludf.DUMMYFUNCTION("""COMPUTED_VALUE"""),44661.78803240741)</f>
        <v>44661.78803</v>
      </c>
      <c r="D5295" s="13">
        <f t="shared" si="1"/>
        <v>10</v>
      </c>
      <c r="E5295" s="13">
        <f t="shared" si="2"/>
        <v>18</v>
      </c>
    </row>
    <row r="5296">
      <c r="A5296" s="4" t="s">
        <v>5829</v>
      </c>
      <c r="B5296" s="4" t="s">
        <v>5830</v>
      </c>
      <c r="C5296" s="12">
        <f>IFERROR(__xludf.DUMMYFUNCTION("""COMPUTED_VALUE"""),44661.78790509259)</f>
        <v>44661.78791</v>
      </c>
      <c r="D5296" s="13">
        <f t="shared" si="1"/>
        <v>10</v>
      </c>
      <c r="E5296" s="13">
        <f t="shared" si="2"/>
        <v>18</v>
      </c>
    </row>
    <row r="5297">
      <c r="A5297" s="4" t="s">
        <v>5831</v>
      </c>
      <c r="B5297" s="16"/>
      <c r="C5297" s="12">
        <f>IFERROR(__xludf.DUMMYFUNCTION("""COMPUTED_VALUE"""),44661.78747685185)</f>
        <v>44661.78748</v>
      </c>
      <c r="D5297" s="13">
        <f t="shared" si="1"/>
        <v>10</v>
      </c>
      <c r="E5297" s="13">
        <f t="shared" si="2"/>
        <v>18</v>
      </c>
    </row>
    <row r="5298">
      <c r="A5298" s="4" t="s">
        <v>5832</v>
      </c>
      <c r="B5298" s="16"/>
      <c r="C5298" s="12">
        <f>IFERROR(__xludf.DUMMYFUNCTION("""COMPUTED_VALUE"""),44661.7874537037)</f>
        <v>44661.78745</v>
      </c>
      <c r="D5298" s="13">
        <f t="shared" si="1"/>
        <v>10</v>
      </c>
      <c r="E5298" s="13">
        <f t="shared" si="2"/>
        <v>18</v>
      </c>
    </row>
    <row r="5299">
      <c r="A5299" s="4" t="s">
        <v>5833</v>
      </c>
      <c r="B5299" s="16"/>
      <c r="C5299" s="12">
        <f>IFERROR(__xludf.DUMMYFUNCTION("""COMPUTED_VALUE"""),44661.78738425926)</f>
        <v>44661.78738</v>
      </c>
      <c r="D5299" s="13">
        <f t="shared" si="1"/>
        <v>10</v>
      </c>
      <c r="E5299" s="13">
        <f t="shared" si="2"/>
        <v>18</v>
      </c>
    </row>
    <row r="5300">
      <c r="A5300" s="4" t="s">
        <v>5834</v>
      </c>
      <c r="B5300" s="4" t="s">
        <v>5835</v>
      </c>
      <c r="C5300" s="12">
        <f>IFERROR(__xludf.DUMMYFUNCTION("""COMPUTED_VALUE"""),44661.78619212963)</f>
        <v>44661.78619</v>
      </c>
      <c r="D5300" s="13">
        <f t="shared" si="1"/>
        <v>10</v>
      </c>
      <c r="E5300" s="13">
        <f t="shared" si="2"/>
        <v>18</v>
      </c>
    </row>
    <row r="5301">
      <c r="A5301" s="4" t="s">
        <v>5836</v>
      </c>
      <c r="B5301" s="16"/>
      <c r="C5301" s="12">
        <f>IFERROR(__xludf.DUMMYFUNCTION("""COMPUTED_VALUE"""),44661.786099537036)</f>
        <v>44661.7861</v>
      </c>
      <c r="D5301" s="13">
        <f t="shared" si="1"/>
        <v>10</v>
      </c>
      <c r="E5301" s="13">
        <f t="shared" si="2"/>
        <v>18</v>
      </c>
    </row>
    <row r="5302">
      <c r="A5302" s="4" t="s">
        <v>5837</v>
      </c>
      <c r="B5302" s="16"/>
      <c r="C5302" s="12">
        <f>IFERROR(__xludf.DUMMYFUNCTION("""COMPUTED_VALUE"""),44661.78607638889)</f>
        <v>44661.78608</v>
      </c>
      <c r="D5302" s="13">
        <f t="shared" si="1"/>
        <v>10</v>
      </c>
      <c r="E5302" s="13">
        <f t="shared" si="2"/>
        <v>18</v>
      </c>
    </row>
    <row r="5303">
      <c r="A5303" s="4" t="s">
        <v>5838</v>
      </c>
      <c r="B5303" s="4" t="s">
        <v>5830</v>
      </c>
      <c r="C5303" s="12">
        <f>IFERROR(__xludf.DUMMYFUNCTION("""COMPUTED_VALUE"""),44661.78596064814)</f>
        <v>44661.78596</v>
      </c>
      <c r="D5303" s="13">
        <f t="shared" si="1"/>
        <v>10</v>
      </c>
      <c r="E5303" s="13">
        <f t="shared" si="2"/>
        <v>18</v>
      </c>
    </row>
    <row r="5304">
      <c r="A5304" s="4" t="s">
        <v>5839</v>
      </c>
      <c r="B5304" s="16"/>
      <c r="C5304" s="12">
        <f>IFERROR(__xludf.DUMMYFUNCTION("""COMPUTED_VALUE"""),44661.77603009259)</f>
        <v>44661.77603</v>
      </c>
      <c r="D5304" s="13">
        <f t="shared" si="1"/>
        <v>10</v>
      </c>
      <c r="E5304" s="13">
        <f t="shared" si="2"/>
        <v>18</v>
      </c>
    </row>
    <row r="5305">
      <c r="A5305" s="4" t="s">
        <v>5840</v>
      </c>
      <c r="B5305" s="16"/>
      <c r="C5305" s="12">
        <f>IFERROR(__xludf.DUMMYFUNCTION("""COMPUTED_VALUE"""),44661.77579861111)</f>
        <v>44661.7758</v>
      </c>
      <c r="D5305" s="13">
        <f t="shared" si="1"/>
        <v>10</v>
      </c>
      <c r="E5305" s="13">
        <f t="shared" si="2"/>
        <v>18</v>
      </c>
    </row>
    <row r="5306">
      <c r="A5306" s="4" t="s">
        <v>5841</v>
      </c>
      <c r="B5306" s="16"/>
      <c r="C5306" s="12">
        <f>IFERROR(__xludf.DUMMYFUNCTION("""COMPUTED_VALUE"""),44661.775775462964)</f>
        <v>44661.77578</v>
      </c>
      <c r="D5306" s="13">
        <f t="shared" si="1"/>
        <v>10</v>
      </c>
      <c r="E5306" s="13">
        <f t="shared" si="2"/>
        <v>18</v>
      </c>
    </row>
    <row r="5307">
      <c r="A5307" s="4" t="s">
        <v>5842</v>
      </c>
      <c r="B5307" s="16"/>
      <c r="C5307" s="12">
        <f>IFERROR(__xludf.DUMMYFUNCTION("""COMPUTED_VALUE"""),44661.77527777778)</f>
        <v>44661.77528</v>
      </c>
      <c r="D5307" s="13">
        <f t="shared" si="1"/>
        <v>10</v>
      </c>
      <c r="E5307" s="13">
        <f t="shared" si="2"/>
        <v>18</v>
      </c>
    </row>
    <row r="5308">
      <c r="A5308" s="4" t="s">
        <v>5843</v>
      </c>
      <c r="B5308" s="16"/>
      <c r="C5308" s="12">
        <f>IFERROR(__xludf.DUMMYFUNCTION("""COMPUTED_VALUE"""),44661.77445601852)</f>
        <v>44661.77446</v>
      </c>
      <c r="D5308" s="13">
        <f t="shared" si="1"/>
        <v>10</v>
      </c>
      <c r="E5308" s="13">
        <f t="shared" si="2"/>
        <v>18</v>
      </c>
    </row>
    <row r="5309">
      <c r="A5309" s="4" t="s">
        <v>5844</v>
      </c>
      <c r="B5309" s="16"/>
      <c r="C5309" s="12">
        <f>IFERROR(__xludf.DUMMYFUNCTION("""COMPUTED_VALUE"""),44661.77439814815)</f>
        <v>44661.7744</v>
      </c>
      <c r="D5309" s="13">
        <f t="shared" si="1"/>
        <v>10</v>
      </c>
      <c r="E5309" s="13">
        <f t="shared" si="2"/>
        <v>18</v>
      </c>
    </row>
    <row r="5310">
      <c r="A5310" s="4" t="s">
        <v>5845</v>
      </c>
      <c r="B5310" s="4" t="s">
        <v>5846</v>
      </c>
      <c r="C5310" s="12">
        <f>IFERROR(__xludf.DUMMYFUNCTION("""COMPUTED_VALUE"""),44661.77427083333)</f>
        <v>44661.77427</v>
      </c>
      <c r="D5310" s="13">
        <f t="shared" si="1"/>
        <v>10</v>
      </c>
      <c r="E5310" s="13">
        <f t="shared" si="2"/>
        <v>18</v>
      </c>
    </row>
    <row r="5311">
      <c r="A5311" s="4" t="s">
        <v>5847</v>
      </c>
      <c r="B5311" s="4" t="s">
        <v>5516</v>
      </c>
      <c r="C5311" s="12">
        <f>IFERROR(__xludf.DUMMYFUNCTION("""COMPUTED_VALUE"""),44661.76971064814)</f>
        <v>44661.76971</v>
      </c>
      <c r="D5311" s="13">
        <f t="shared" si="1"/>
        <v>10</v>
      </c>
      <c r="E5311" s="13">
        <f t="shared" si="2"/>
        <v>18</v>
      </c>
    </row>
    <row r="5312">
      <c r="A5312" s="4" t="s">
        <v>5848</v>
      </c>
      <c r="B5312" s="4" t="s">
        <v>5849</v>
      </c>
      <c r="C5312" s="12">
        <f>IFERROR(__xludf.DUMMYFUNCTION("""COMPUTED_VALUE"""),44661.7680324074)</f>
        <v>44661.76803</v>
      </c>
      <c r="D5312" s="13">
        <f t="shared" si="1"/>
        <v>10</v>
      </c>
      <c r="E5312" s="13">
        <f t="shared" si="2"/>
        <v>18</v>
      </c>
    </row>
    <row r="5313">
      <c r="A5313" s="4" t="s">
        <v>5850</v>
      </c>
      <c r="B5313" s="16"/>
      <c r="C5313" s="12">
        <f>IFERROR(__xludf.DUMMYFUNCTION("""COMPUTED_VALUE"""),44661.76391203704)</f>
        <v>44661.76391</v>
      </c>
      <c r="D5313" s="13">
        <f t="shared" si="1"/>
        <v>10</v>
      </c>
      <c r="E5313" s="13">
        <f t="shared" si="2"/>
        <v>18</v>
      </c>
    </row>
    <row r="5314">
      <c r="A5314" s="4" t="s">
        <v>5851</v>
      </c>
      <c r="B5314" s="4" t="s">
        <v>5852</v>
      </c>
      <c r="C5314" s="12">
        <f>IFERROR(__xludf.DUMMYFUNCTION("""COMPUTED_VALUE"""),44661.75922453703)</f>
        <v>44661.75922</v>
      </c>
      <c r="D5314" s="13">
        <f t="shared" si="1"/>
        <v>10</v>
      </c>
      <c r="E5314" s="13">
        <f t="shared" si="2"/>
        <v>18</v>
      </c>
    </row>
    <row r="5315">
      <c r="A5315" s="4" t="s">
        <v>5853</v>
      </c>
      <c r="B5315" s="16"/>
      <c r="C5315" s="12">
        <f>IFERROR(__xludf.DUMMYFUNCTION("""COMPUTED_VALUE"""),44661.75775462963)</f>
        <v>44661.75775</v>
      </c>
      <c r="D5315" s="13">
        <f t="shared" si="1"/>
        <v>10</v>
      </c>
      <c r="E5315" s="13">
        <f t="shared" si="2"/>
        <v>18</v>
      </c>
    </row>
    <row r="5316">
      <c r="A5316" s="4" t="s">
        <v>5854</v>
      </c>
      <c r="B5316" s="16"/>
      <c r="C5316" s="12">
        <f>IFERROR(__xludf.DUMMYFUNCTION("""COMPUTED_VALUE"""),44661.75010416666)</f>
        <v>44661.7501</v>
      </c>
      <c r="D5316" s="13">
        <f t="shared" si="1"/>
        <v>10</v>
      </c>
      <c r="E5316" s="13">
        <f t="shared" si="2"/>
        <v>18</v>
      </c>
    </row>
    <row r="5317">
      <c r="A5317" s="4" t="s">
        <v>5855</v>
      </c>
      <c r="B5317" s="4" t="s">
        <v>5856</v>
      </c>
      <c r="C5317" s="12">
        <f>IFERROR(__xludf.DUMMYFUNCTION("""COMPUTED_VALUE"""),44661.74925925925)</f>
        <v>44661.74926</v>
      </c>
      <c r="D5317" s="13">
        <f t="shared" si="1"/>
        <v>10</v>
      </c>
      <c r="E5317" s="13">
        <f t="shared" si="2"/>
        <v>17</v>
      </c>
    </row>
    <row r="5318">
      <c r="A5318" s="4" t="s">
        <v>5857</v>
      </c>
      <c r="B5318" s="16"/>
      <c r="C5318" s="12">
        <f>IFERROR(__xludf.DUMMYFUNCTION("""COMPUTED_VALUE"""),44661.7490625)</f>
        <v>44661.74906</v>
      </c>
      <c r="D5318" s="13">
        <f t="shared" si="1"/>
        <v>10</v>
      </c>
      <c r="E5318" s="13">
        <f t="shared" si="2"/>
        <v>17</v>
      </c>
    </row>
    <row r="5319">
      <c r="A5319" s="4" t="s">
        <v>5858</v>
      </c>
      <c r="B5319" s="4" t="s">
        <v>5859</v>
      </c>
      <c r="C5319" s="12">
        <f>IFERROR(__xludf.DUMMYFUNCTION("""COMPUTED_VALUE"""),44661.74228009259)</f>
        <v>44661.74228</v>
      </c>
      <c r="D5319" s="13">
        <f t="shared" si="1"/>
        <v>10</v>
      </c>
      <c r="E5319" s="13">
        <f t="shared" si="2"/>
        <v>17</v>
      </c>
    </row>
    <row r="5320">
      <c r="A5320" s="4" t="s">
        <v>5860</v>
      </c>
      <c r="B5320" s="16"/>
      <c r="C5320" s="12">
        <f>IFERROR(__xludf.DUMMYFUNCTION("""COMPUTED_VALUE"""),44661.73440972222)</f>
        <v>44661.73441</v>
      </c>
      <c r="D5320" s="13">
        <f t="shared" si="1"/>
        <v>10</v>
      </c>
      <c r="E5320" s="13">
        <f t="shared" si="2"/>
        <v>17</v>
      </c>
    </row>
    <row r="5321">
      <c r="A5321" s="4" t="s">
        <v>5861</v>
      </c>
      <c r="B5321" s="16"/>
      <c r="C5321" s="12">
        <f>IFERROR(__xludf.DUMMYFUNCTION("""COMPUTED_VALUE"""),44661.73365740741)</f>
        <v>44661.73366</v>
      </c>
      <c r="D5321" s="13">
        <f t="shared" si="1"/>
        <v>10</v>
      </c>
      <c r="E5321" s="13">
        <f t="shared" si="2"/>
        <v>17</v>
      </c>
    </row>
    <row r="5322">
      <c r="A5322" s="4" t="s">
        <v>5862</v>
      </c>
      <c r="B5322" s="4" t="s">
        <v>5046</v>
      </c>
      <c r="C5322" s="12">
        <f>IFERROR(__xludf.DUMMYFUNCTION("""COMPUTED_VALUE"""),44661.73295138888)</f>
        <v>44661.73295</v>
      </c>
      <c r="D5322" s="13">
        <f t="shared" si="1"/>
        <v>10</v>
      </c>
      <c r="E5322" s="13">
        <f t="shared" si="2"/>
        <v>17</v>
      </c>
    </row>
    <row r="5323">
      <c r="A5323" s="4" t="s">
        <v>5863</v>
      </c>
      <c r="B5323" s="16"/>
      <c r="C5323" s="12">
        <f>IFERROR(__xludf.DUMMYFUNCTION("""COMPUTED_VALUE"""),44661.732673611106)</f>
        <v>44661.73267</v>
      </c>
      <c r="D5323" s="13">
        <f t="shared" si="1"/>
        <v>10</v>
      </c>
      <c r="E5323" s="13">
        <f t="shared" si="2"/>
        <v>17</v>
      </c>
    </row>
    <row r="5324">
      <c r="A5324" s="4" t="s">
        <v>5864</v>
      </c>
      <c r="B5324" s="16"/>
      <c r="C5324" s="12">
        <f>IFERROR(__xludf.DUMMYFUNCTION("""COMPUTED_VALUE"""),44661.73248842592)</f>
        <v>44661.73249</v>
      </c>
      <c r="D5324" s="13">
        <f t="shared" si="1"/>
        <v>10</v>
      </c>
      <c r="E5324" s="13">
        <f t="shared" si="2"/>
        <v>17</v>
      </c>
    </row>
    <row r="5325">
      <c r="A5325" s="4" t="s">
        <v>5865</v>
      </c>
      <c r="B5325" s="16"/>
      <c r="C5325" s="12">
        <f>IFERROR(__xludf.DUMMYFUNCTION("""COMPUTED_VALUE"""),44661.73244212963)</f>
        <v>44661.73244</v>
      </c>
      <c r="D5325" s="13">
        <f t="shared" si="1"/>
        <v>10</v>
      </c>
      <c r="E5325" s="13">
        <f t="shared" si="2"/>
        <v>17</v>
      </c>
    </row>
    <row r="5326">
      <c r="A5326" s="4" t="s">
        <v>5866</v>
      </c>
      <c r="B5326" s="4" t="s">
        <v>5046</v>
      </c>
      <c r="C5326" s="12">
        <f>IFERROR(__xludf.DUMMYFUNCTION("""COMPUTED_VALUE"""),44661.732094907406)</f>
        <v>44661.73209</v>
      </c>
      <c r="D5326" s="13">
        <f t="shared" si="1"/>
        <v>10</v>
      </c>
      <c r="E5326" s="13">
        <f t="shared" si="2"/>
        <v>17</v>
      </c>
    </row>
    <row r="5327">
      <c r="A5327" s="4" t="s">
        <v>5867</v>
      </c>
      <c r="B5327" s="4" t="s">
        <v>5428</v>
      </c>
      <c r="C5327" s="12">
        <f>IFERROR(__xludf.DUMMYFUNCTION("""COMPUTED_VALUE"""),44661.724282407406)</f>
        <v>44661.72428</v>
      </c>
      <c r="D5327" s="13">
        <f t="shared" si="1"/>
        <v>10</v>
      </c>
      <c r="E5327" s="13">
        <f t="shared" si="2"/>
        <v>17</v>
      </c>
    </row>
    <row r="5328">
      <c r="A5328" s="4" t="s">
        <v>5868</v>
      </c>
      <c r="B5328" s="4" t="s">
        <v>5428</v>
      </c>
      <c r="C5328" s="12">
        <f>IFERROR(__xludf.DUMMYFUNCTION("""COMPUTED_VALUE"""),44661.723923611105)</f>
        <v>44661.72392</v>
      </c>
      <c r="D5328" s="13">
        <f t="shared" si="1"/>
        <v>10</v>
      </c>
      <c r="E5328" s="13">
        <f t="shared" si="2"/>
        <v>17</v>
      </c>
    </row>
    <row r="5329">
      <c r="A5329" s="4" t="s">
        <v>5869</v>
      </c>
      <c r="B5329" s="16"/>
      <c r="C5329" s="12">
        <f>IFERROR(__xludf.DUMMYFUNCTION("""COMPUTED_VALUE"""),44661.71634259259)</f>
        <v>44661.71634</v>
      </c>
      <c r="D5329" s="13">
        <f t="shared" si="1"/>
        <v>10</v>
      </c>
      <c r="E5329" s="13">
        <f t="shared" si="2"/>
        <v>17</v>
      </c>
    </row>
    <row r="5330">
      <c r="A5330" s="4" t="s">
        <v>5870</v>
      </c>
      <c r="B5330" s="16"/>
      <c r="C5330" s="12">
        <f>IFERROR(__xludf.DUMMYFUNCTION("""COMPUTED_VALUE"""),44661.71630787037)</f>
        <v>44661.71631</v>
      </c>
      <c r="D5330" s="13">
        <f t="shared" si="1"/>
        <v>10</v>
      </c>
      <c r="E5330" s="13">
        <f t="shared" si="2"/>
        <v>17</v>
      </c>
    </row>
    <row r="5331">
      <c r="A5331" s="4" t="s">
        <v>5871</v>
      </c>
      <c r="B5331" s="4" t="s">
        <v>5872</v>
      </c>
      <c r="C5331" s="12">
        <f>IFERROR(__xludf.DUMMYFUNCTION("""COMPUTED_VALUE"""),44661.71628472222)</f>
        <v>44661.71628</v>
      </c>
      <c r="D5331" s="13">
        <f t="shared" si="1"/>
        <v>10</v>
      </c>
      <c r="E5331" s="13">
        <f t="shared" si="2"/>
        <v>17</v>
      </c>
    </row>
    <row r="5332">
      <c r="A5332" s="4" t="s">
        <v>5873</v>
      </c>
      <c r="B5332" s="16"/>
      <c r="C5332" s="12">
        <f>IFERROR(__xludf.DUMMYFUNCTION("""COMPUTED_VALUE"""),44661.715474537035)</f>
        <v>44661.71547</v>
      </c>
      <c r="D5332" s="13">
        <f t="shared" si="1"/>
        <v>10</v>
      </c>
      <c r="E5332" s="13">
        <f t="shared" si="2"/>
        <v>17</v>
      </c>
    </row>
    <row r="5333">
      <c r="A5333" s="4" t="s">
        <v>5874</v>
      </c>
      <c r="B5333" s="16"/>
      <c r="C5333" s="12">
        <f>IFERROR(__xludf.DUMMYFUNCTION("""COMPUTED_VALUE"""),44661.71439814814)</f>
        <v>44661.7144</v>
      </c>
      <c r="D5333" s="13">
        <f t="shared" si="1"/>
        <v>10</v>
      </c>
      <c r="E5333" s="13">
        <f t="shared" si="2"/>
        <v>17</v>
      </c>
    </row>
    <row r="5334">
      <c r="A5334" s="4" t="s">
        <v>5875</v>
      </c>
      <c r="B5334" s="16"/>
      <c r="C5334" s="12">
        <f>IFERROR(__xludf.DUMMYFUNCTION("""COMPUTED_VALUE"""),44661.714108796295)</f>
        <v>44661.71411</v>
      </c>
      <c r="D5334" s="13">
        <f t="shared" si="1"/>
        <v>10</v>
      </c>
      <c r="E5334" s="13">
        <f t="shared" si="2"/>
        <v>17</v>
      </c>
    </row>
    <row r="5335">
      <c r="A5335" s="4" t="s">
        <v>5876</v>
      </c>
      <c r="B5335" s="16"/>
      <c r="C5335" s="12">
        <f>IFERROR(__xludf.DUMMYFUNCTION("""COMPUTED_VALUE"""),44661.71381944444)</f>
        <v>44661.71382</v>
      </c>
      <c r="D5335" s="13">
        <f t="shared" si="1"/>
        <v>10</v>
      </c>
      <c r="E5335" s="13">
        <f t="shared" si="2"/>
        <v>17</v>
      </c>
    </row>
    <row r="5336">
      <c r="A5336" s="4" t="s">
        <v>5877</v>
      </c>
      <c r="B5336" s="4" t="s">
        <v>5878</v>
      </c>
      <c r="C5336" s="12">
        <f>IFERROR(__xludf.DUMMYFUNCTION("""COMPUTED_VALUE"""),44661.71378472222)</f>
        <v>44661.71378</v>
      </c>
      <c r="D5336" s="13">
        <f t="shared" si="1"/>
        <v>10</v>
      </c>
      <c r="E5336" s="13">
        <f t="shared" si="2"/>
        <v>17</v>
      </c>
    </row>
    <row r="5337">
      <c r="A5337" s="4" t="s">
        <v>5879</v>
      </c>
      <c r="B5337" s="16"/>
      <c r="C5337" s="12">
        <f>IFERROR(__xludf.DUMMYFUNCTION("""COMPUTED_VALUE"""),44661.71208333333)</f>
        <v>44661.71208</v>
      </c>
      <c r="D5337" s="13">
        <f t="shared" si="1"/>
        <v>10</v>
      </c>
      <c r="E5337" s="13">
        <f t="shared" si="2"/>
        <v>17</v>
      </c>
    </row>
    <row r="5338">
      <c r="A5338" s="4" t="s">
        <v>5880</v>
      </c>
      <c r="B5338" s="4" t="s">
        <v>5872</v>
      </c>
      <c r="C5338" s="12">
        <f>IFERROR(__xludf.DUMMYFUNCTION("""COMPUTED_VALUE"""),44661.712071759255)</f>
        <v>44661.71207</v>
      </c>
      <c r="D5338" s="13">
        <f t="shared" si="1"/>
        <v>10</v>
      </c>
      <c r="E5338" s="13">
        <f t="shared" si="2"/>
        <v>17</v>
      </c>
    </row>
    <row r="5339">
      <c r="A5339" s="4" t="s">
        <v>5881</v>
      </c>
      <c r="B5339" s="4" t="s">
        <v>5872</v>
      </c>
      <c r="C5339" s="12">
        <f>IFERROR(__xludf.DUMMYFUNCTION("""COMPUTED_VALUE"""),44661.71204861111)</f>
        <v>44661.71205</v>
      </c>
      <c r="D5339" s="13">
        <f t="shared" si="1"/>
        <v>10</v>
      </c>
      <c r="E5339" s="13">
        <f t="shared" si="2"/>
        <v>17</v>
      </c>
    </row>
    <row r="5340">
      <c r="A5340" s="4" t="s">
        <v>5882</v>
      </c>
      <c r="B5340" s="16"/>
      <c r="C5340" s="12">
        <f>IFERROR(__xludf.DUMMYFUNCTION("""COMPUTED_VALUE"""),44661.71194444444)</f>
        <v>44661.71194</v>
      </c>
      <c r="D5340" s="13">
        <f t="shared" si="1"/>
        <v>10</v>
      </c>
      <c r="E5340" s="13">
        <f t="shared" si="2"/>
        <v>17</v>
      </c>
    </row>
    <row r="5341">
      <c r="A5341" s="4" t="s">
        <v>5883</v>
      </c>
      <c r="B5341" s="4" t="s">
        <v>5884</v>
      </c>
      <c r="C5341" s="12">
        <f>IFERROR(__xludf.DUMMYFUNCTION("""COMPUTED_VALUE"""),44661.71125)</f>
        <v>44661.71125</v>
      </c>
      <c r="D5341" s="13">
        <f t="shared" si="1"/>
        <v>10</v>
      </c>
      <c r="E5341" s="13">
        <f t="shared" si="2"/>
        <v>17</v>
      </c>
    </row>
    <row r="5342">
      <c r="A5342" s="4" t="s">
        <v>5885</v>
      </c>
      <c r="B5342" s="16"/>
      <c r="C5342" s="12">
        <f>IFERROR(__xludf.DUMMYFUNCTION("""COMPUTED_VALUE"""),44661.71023148148)</f>
        <v>44661.71023</v>
      </c>
      <c r="D5342" s="13">
        <f t="shared" si="1"/>
        <v>10</v>
      </c>
      <c r="E5342" s="13">
        <f t="shared" si="2"/>
        <v>17</v>
      </c>
    </row>
    <row r="5343">
      <c r="A5343" s="4" t="s">
        <v>5886</v>
      </c>
      <c r="B5343" s="4" t="s">
        <v>5884</v>
      </c>
      <c r="C5343" s="12">
        <f>IFERROR(__xludf.DUMMYFUNCTION("""COMPUTED_VALUE"""),44661.71020833333)</f>
        <v>44661.71021</v>
      </c>
      <c r="D5343" s="13">
        <f t="shared" si="1"/>
        <v>10</v>
      </c>
      <c r="E5343" s="13">
        <f t="shared" si="2"/>
        <v>17</v>
      </c>
    </row>
    <row r="5344">
      <c r="A5344" s="4" t="s">
        <v>5887</v>
      </c>
      <c r="B5344" s="4" t="s">
        <v>5888</v>
      </c>
      <c r="C5344" s="12">
        <f>IFERROR(__xludf.DUMMYFUNCTION("""COMPUTED_VALUE"""),44661.70759259259)</f>
        <v>44661.70759</v>
      </c>
      <c r="D5344" s="13">
        <f t="shared" si="1"/>
        <v>10</v>
      </c>
      <c r="E5344" s="13">
        <f t="shared" si="2"/>
        <v>16</v>
      </c>
    </row>
    <row r="5345">
      <c r="A5345" s="4" t="s">
        <v>5889</v>
      </c>
      <c r="B5345" s="16"/>
      <c r="C5345" s="12">
        <f>IFERROR(__xludf.DUMMYFUNCTION("""COMPUTED_VALUE"""),44661.70753472222)</f>
        <v>44661.70753</v>
      </c>
      <c r="D5345" s="13">
        <f t="shared" si="1"/>
        <v>10</v>
      </c>
      <c r="E5345" s="13">
        <f t="shared" si="2"/>
        <v>16</v>
      </c>
    </row>
    <row r="5346">
      <c r="A5346" s="4" t="s">
        <v>5890</v>
      </c>
      <c r="B5346" s="4" t="s">
        <v>5891</v>
      </c>
      <c r="C5346" s="12">
        <f>IFERROR(__xludf.DUMMYFUNCTION("""COMPUTED_VALUE"""),44661.706932870366)</f>
        <v>44661.70693</v>
      </c>
      <c r="D5346" s="13">
        <f t="shared" si="1"/>
        <v>10</v>
      </c>
      <c r="E5346" s="13">
        <f t="shared" si="2"/>
        <v>16</v>
      </c>
    </row>
    <row r="5347">
      <c r="A5347" s="4" t="s">
        <v>5892</v>
      </c>
      <c r="B5347" s="16"/>
      <c r="C5347" s="12">
        <f>IFERROR(__xludf.DUMMYFUNCTION("""COMPUTED_VALUE"""),44661.70688657407)</f>
        <v>44661.70689</v>
      </c>
      <c r="D5347" s="13">
        <f t="shared" si="1"/>
        <v>10</v>
      </c>
      <c r="E5347" s="13">
        <f t="shared" si="2"/>
        <v>16</v>
      </c>
    </row>
    <row r="5348">
      <c r="A5348" s="4" t="s">
        <v>5893</v>
      </c>
      <c r="B5348" s="4" t="s">
        <v>5891</v>
      </c>
      <c r="C5348" s="12">
        <f>IFERROR(__xludf.DUMMYFUNCTION("""COMPUTED_VALUE"""),44661.70686342593)</f>
        <v>44661.70686</v>
      </c>
      <c r="D5348" s="13">
        <f t="shared" si="1"/>
        <v>10</v>
      </c>
      <c r="E5348" s="13">
        <f t="shared" si="2"/>
        <v>16</v>
      </c>
    </row>
    <row r="5349">
      <c r="A5349" s="4" t="s">
        <v>5894</v>
      </c>
      <c r="B5349" s="16"/>
      <c r="C5349" s="12">
        <f>IFERROR(__xludf.DUMMYFUNCTION("""COMPUTED_VALUE"""),44661.705879629626)</f>
        <v>44661.70588</v>
      </c>
      <c r="D5349" s="13">
        <f t="shared" si="1"/>
        <v>10</v>
      </c>
      <c r="E5349" s="13">
        <f t="shared" si="2"/>
        <v>16</v>
      </c>
    </row>
    <row r="5350">
      <c r="A5350" s="4" t="s">
        <v>5895</v>
      </c>
      <c r="B5350" s="4" t="s">
        <v>5896</v>
      </c>
      <c r="C5350" s="12">
        <f>IFERROR(__xludf.DUMMYFUNCTION("""COMPUTED_VALUE"""),44661.69946759259)</f>
        <v>44661.69947</v>
      </c>
      <c r="D5350" s="13">
        <f t="shared" si="1"/>
        <v>10</v>
      </c>
      <c r="E5350" s="13">
        <f t="shared" si="2"/>
        <v>16</v>
      </c>
    </row>
    <row r="5351">
      <c r="A5351" s="4" t="s">
        <v>5897</v>
      </c>
      <c r="B5351" s="4" t="s">
        <v>5898</v>
      </c>
      <c r="C5351" s="12">
        <f>IFERROR(__xludf.DUMMYFUNCTION("""COMPUTED_VALUE"""),44661.69800925926)</f>
        <v>44661.69801</v>
      </c>
      <c r="D5351" s="13">
        <f t="shared" si="1"/>
        <v>10</v>
      </c>
      <c r="E5351" s="13">
        <f t="shared" si="2"/>
        <v>16</v>
      </c>
    </row>
    <row r="5352">
      <c r="A5352" s="4" t="s">
        <v>5899</v>
      </c>
      <c r="B5352" s="16"/>
      <c r="C5352" s="12">
        <f>IFERROR(__xludf.DUMMYFUNCTION("""COMPUTED_VALUE"""),44661.69767361111)</f>
        <v>44661.69767</v>
      </c>
      <c r="D5352" s="13">
        <f t="shared" si="1"/>
        <v>10</v>
      </c>
      <c r="E5352" s="13">
        <f t="shared" si="2"/>
        <v>16</v>
      </c>
    </row>
    <row r="5353">
      <c r="A5353" s="4" t="s">
        <v>5900</v>
      </c>
      <c r="B5353" s="4" t="s">
        <v>5898</v>
      </c>
      <c r="C5353" s="12">
        <f>IFERROR(__xludf.DUMMYFUNCTION("""COMPUTED_VALUE"""),44661.69758101852)</f>
        <v>44661.69758</v>
      </c>
      <c r="D5353" s="13">
        <f t="shared" si="1"/>
        <v>10</v>
      </c>
      <c r="E5353" s="13">
        <f t="shared" si="2"/>
        <v>16</v>
      </c>
    </row>
    <row r="5354">
      <c r="A5354" s="4" t="s">
        <v>5901</v>
      </c>
      <c r="B5354" s="16"/>
      <c r="C5354" s="12">
        <f>IFERROR(__xludf.DUMMYFUNCTION("""COMPUTED_VALUE"""),44661.695868055554)</f>
        <v>44661.69587</v>
      </c>
      <c r="D5354" s="13">
        <f t="shared" si="1"/>
        <v>10</v>
      </c>
      <c r="E5354" s="13">
        <f t="shared" si="2"/>
        <v>16</v>
      </c>
    </row>
    <row r="5355">
      <c r="A5355" s="4" t="s">
        <v>5902</v>
      </c>
      <c r="B5355" s="4" t="s">
        <v>5903</v>
      </c>
      <c r="C5355" s="12">
        <f>IFERROR(__xludf.DUMMYFUNCTION("""COMPUTED_VALUE"""),44661.69583333333)</f>
        <v>44661.69583</v>
      </c>
      <c r="D5355" s="13">
        <f t="shared" si="1"/>
        <v>10</v>
      </c>
      <c r="E5355" s="13">
        <f t="shared" si="2"/>
        <v>16</v>
      </c>
    </row>
    <row r="5356">
      <c r="A5356" s="4" t="s">
        <v>5904</v>
      </c>
      <c r="B5356" s="16"/>
      <c r="C5356" s="12">
        <f>IFERROR(__xludf.DUMMYFUNCTION("""COMPUTED_VALUE"""),44661.693194444444)</f>
        <v>44661.69319</v>
      </c>
      <c r="D5356" s="13">
        <f t="shared" si="1"/>
        <v>10</v>
      </c>
      <c r="E5356" s="13">
        <f t="shared" si="2"/>
        <v>16</v>
      </c>
    </row>
    <row r="5357">
      <c r="A5357" s="4" t="s">
        <v>5905</v>
      </c>
      <c r="B5357" s="16"/>
      <c r="C5357" s="12">
        <f>IFERROR(__xludf.DUMMYFUNCTION("""COMPUTED_VALUE"""),44661.69202546296)</f>
        <v>44661.69203</v>
      </c>
      <c r="D5357" s="13">
        <f t="shared" si="1"/>
        <v>10</v>
      </c>
      <c r="E5357" s="13">
        <f t="shared" si="2"/>
        <v>16</v>
      </c>
    </row>
    <row r="5358">
      <c r="A5358" s="4" t="s">
        <v>5906</v>
      </c>
      <c r="B5358" s="16"/>
      <c r="C5358" s="12">
        <f>IFERROR(__xludf.DUMMYFUNCTION("""COMPUTED_VALUE"""),44661.691840277774)</f>
        <v>44661.69184</v>
      </c>
      <c r="D5358" s="13">
        <f t="shared" si="1"/>
        <v>10</v>
      </c>
      <c r="E5358" s="13">
        <f t="shared" si="2"/>
        <v>16</v>
      </c>
    </row>
    <row r="5359">
      <c r="A5359" s="4" t="s">
        <v>5907</v>
      </c>
      <c r="B5359" s="4" t="s">
        <v>5908</v>
      </c>
      <c r="C5359" s="12">
        <f>IFERROR(__xludf.DUMMYFUNCTION("""COMPUTED_VALUE"""),44661.69050925926)</f>
        <v>44661.69051</v>
      </c>
      <c r="D5359" s="13">
        <f t="shared" si="1"/>
        <v>10</v>
      </c>
      <c r="E5359" s="13">
        <f t="shared" si="2"/>
        <v>16</v>
      </c>
    </row>
    <row r="5360">
      <c r="A5360" s="4" t="s">
        <v>5909</v>
      </c>
      <c r="B5360" s="16"/>
      <c r="C5360" s="12">
        <f>IFERROR(__xludf.DUMMYFUNCTION("""COMPUTED_VALUE"""),44661.678819444445)</f>
        <v>44661.67882</v>
      </c>
      <c r="D5360" s="13">
        <f t="shared" si="1"/>
        <v>10</v>
      </c>
      <c r="E5360" s="13">
        <f t="shared" si="2"/>
        <v>16</v>
      </c>
    </row>
    <row r="5361">
      <c r="A5361" s="4" t="s">
        <v>5910</v>
      </c>
      <c r="B5361" s="16"/>
      <c r="C5361" s="12">
        <f>IFERROR(__xludf.DUMMYFUNCTION("""COMPUTED_VALUE"""),44661.67770833333)</f>
        <v>44661.67771</v>
      </c>
      <c r="D5361" s="13">
        <f t="shared" si="1"/>
        <v>10</v>
      </c>
      <c r="E5361" s="13">
        <f t="shared" si="2"/>
        <v>16</v>
      </c>
    </row>
    <row r="5362">
      <c r="A5362" s="4" t="s">
        <v>5911</v>
      </c>
      <c r="B5362" s="16"/>
      <c r="C5362" s="12">
        <f>IFERROR(__xludf.DUMMYFUNCTION("""COMPUTED_VALUE"""),44661.67115740741)</f>
        <v>44661.67116</v>
      </c>
      <c r="D5362" s="13">
        <f t="shared" si="1"/>
        <v>10</v>
      </c>
      <c r="E5362" s="13">
        <f t="shared" si="2"/>
        <v>16</v>
      </c>
    </row>
    <row r="5363">
      <c r="A5363" s="4" t="s">
        <v>5912</v>
      </c>
      <c r="B5363" s="16"/>
      <c r="C5363" s="12">
        <f>IFERROR(__xludf.DUMMYFUNCTION("""COMPUTED_VALUE"""),44661.65929398148)</f>
        <v>44661.65929</v>
      </c>
      <c r="D5363" s="13">
        <f t="shared" si="1"/>
        <v>10</v>
      </c>
      <c r="E5363" s="13">
        <f t="shared" si="2"/>
        <v>15</v>
      </c>
    </row>
    <row r="5364">
      <c r="A5364" s="4" t="s">
        <v>5913</v>
      </c>
      <c r="B5364" s="16"/>
      <c r="C5364" s="12">
        <f>IFERROR(__xludf.DUMMYFUNCTION("""COMPUTED_VALUE"""),44661.658807870364)</f>
        <v>44661.65881</v>
      </c>
      <c r="D5364" s="13">
        <f t="shared" si="1"/>
        <v>10</v>
      </c>
      <c r="E5364" s="13">
        <f t="shared" si="2"/>
        <v>15</v>
      </c>
    </row>
    <row r="5365">
      <c r="A5365" s="4" t="s">
        <v>5914</v>
      </c>
      <c r="B5365" s="16"/>
      <c r="C5365" s="12">
        <f>IFERROR(__xludf.DUMMYFUNCTION("""COMPUTED_VALUE"""),44661.65877314815)</f>
        <v>44661.65877</v>
      </c>
      <c r="D5365" s="13">
        <f t="shared" si="1"/>
        <v>10</v>
      </c>
      <c r="E5365" s="13">
        <f t="shared" si="2"/>
        <v>15</v>
      </c>
    </row>
    <row r="5366">
      <c r="A5366" s="4" t="s">
        <v>5915</v>
      </c>
      <c r="B5366" s="16"/>
      <c r="C5366" s="12">
        <f>IFERROR(__xludf.DUMMYFUNCTION("""COMPUTED_VALUE"""),44661.65872685185)</f>
        <v>44661.65873</v>
      </c>
      <c r="D5366" s="13">
        <f t="shared" si="1"/>
        <v>10</v>
      </c>
      <c r="E5366" s="13">
        <f t="shared" si="2"/>
        <v>15</v>
      </c>
    </row>
    <row r="5367">
      <c r="A5367" s="4" t="s">
        <v>5916</v>
      </c>
      <c r="B5367" s="16"/>
      <c r="C5367" s="12">
        <f>IFERROR(__xludf.DUMMYFUNCTION("""COMPUTED_VALUE"""),44661.65864583333)</f>
        <v>44661.65865</v>
      </c>
      <c r="D5367" s="13">
        <f t="shared" si="1"/>
        <v>10</v>
      </c>
      <c r="E5367" s="13">
        <f t="shared" si="2"/>
        <v>15</v>
      </c>
    </row>
    <row r="5368">
      <c r="A5368" s="4" t="s">
        <v>5917</v>
      </c>
      <c r="B5368" s="16"/>
      <c r="C5368" s="12">
        <f>IFERROR(__xludf.DUMMYFUNCTION("""COMPUTED_VALUE"""),44661.65862268518)</f>
        <v>44661.65862</v>
      </c>
      <c r="D5368" s="13">
        <f t="shared" si="1"/>
        <v>10</v>
      </c>
      <c r="E5368" s="13">
        <f t="shared" si="2"/>
        <v>15</v>
      </c>
    </row>
    <row r="5369">
      <c r="A5369" s="4" t="s">
        <v>5918</v>
      </c>
      <c r="B5369" s="16"/>
      <c r="C5369" s="12">
        <f>IFERROR(__xludf.DUMMYFUNCTION("""COMPUTED_VALUE"""),44661.658587962964)</f>
        <v>44661.65859</v>
      </c>
      <c r="D5369" s="13">
        <f t="shared" si="1"/>
        <v>10</v>
      </c>
      <c r="E5369" s="13">
        <f t="shared" si="2"/>
        <v>15</v>
      </c>
    </row>
    <row r="5370">
      <c r="A5370" s="4" t="s">
        <v>5919</v>
      </c>
      <c r="B5370" s="16"/>
      <c r="C5370" s="12">
        <f>IFERROR(__xludf.DUMMYFUNCTION("""COMPUTED_VALUE"""),44661.658541666664)</f>
        <v>44661.65854</v>
      </c>
      <c r="D5370" s="13">
        <f t="shared" si="1"/>
        <v>10</v>
      </c>
      <c r="E5370" s="13">
        <f t="shared" si="2"/>
        <v>15</v>
      </c>
    </row>
    <row r="5371">
      <c r="A5371" s="4" t="s">
        <v>5920</v>
      </c>
      <c r="B5371" s="16"/>
      <c r="C5371" s="12">
        <f>IFERROR(__xludf.DUMMYFUNCTION("""COMPUTED_VALUE"""),44661.658483796295)</f>
        <v>44661.65848</v>
      </c>
      <c r="D5371" s="13">
        <f t="shared" si="1"/>
        <v>10</v>
      </c>
      <c r="E5371" s="13">
        <f t="shared" si="2"/>
        <v>15</v>
      </c>
    </row>
    <row r="5372">
      <c r="A5372" s="4" t="s">
        <v>5921</v>
      </c>
      <c r="B5372" s="16"/>
      <c r="C5372" s="12">
        <f>IFERROR(__xludf.DUMMYFUNCTION("""COMPUTED_VALUE"""),44661.65846064815)</f>
        <v>44661.65846</v>
      </c>
      <c r="D5372" s="13">
        <f t="shared" si="1"/>
        <v>10</v>
      </c>
      <c r="E5372" s="13">
        <f t="shared" si="2"/>
        <v>15</v>
      </c>
    </row>
    <row r="5373">
      <c r="A5373" s="4" t="s">
        <v>5922</v>
      </c>
      <c r="B5373" s="16"/>
      <c r="C5373" s="12">
        <f>IFERROR(__xludf.DUMMYFUNCTION("""COMPUTED_VALUE"""),44661.658425925925)</f>
        <v>44661.65843</v>
      </c>
      <c r="D5373" s="13">
        <f t="shared" si="1"/>
        <v>10</v>
      </c>
      <c r="E5373" s="13">
        <f t="shared" si="2"/>
        <v>15</v>
      </c>
    </row>
    <row r="5374">
      <c r="A5374" s="4" t="s">
        <v>5923</v>
      </c>
      <c r="B5374" s="16"/>
      <c r="C5374" s="12">
        <f>IFERROR(__xludf.DUMMYFUNCTION("""COMPUTED_VALUE"""),44661.6583912037)</f>
        <v>44661.65839</v>
      </c>
      <c r="D5374" s="13">
        <f t="shared" si="1"/>
        <v>10</v>
      </c>
      <c r="E5374" s="13">
        <f t="shared" si="2"/>
        <v>15</v>
      </c>
    </row>
    <row r="5375">
      <c r="A5375" s="4" t="s">
        <v>5924</v>
      </c>
      <c r="B5375" s="16"/>
      <c r="C5375" s="12">
        <f>IFERROR(__xludf.DUMMYFUNCTION("""COMPUTED_VALUE"""),44661.65831018518)</f>
        <v>44661.65831</v>
      </c>
      <c r="D5375" s="13">
        <f t="shared" si="1"/>
        <v>10</v>
      </c>
      <c r="E5375" s="13">
        <f t="shared" si="2"/>
        <v>15</v>
      </c>
    </row>
    <row r="5376">
      <c r="A5376" s="4" t="s">
        <v>5925</v>
      </c>
      <c r="B5376" s="16"/>
      <c r="C5376" s="12">
        <f>IFERROR(__xludf.DUMMYFUNCTION("""COMPUTED_VALUE"""),44661.6580787037)</f>
        <v>44661.65808</v>
      </c>
      <c r="D5376" s="13">
        <f t="shared" si="1"/>
        <v>10</v>
      </c>
      <c r="E5376" s="13">
        <f t="shared" si="2"/>
        <v>15</v>
      </c>
    </row>
    <row r="5377">
      <c r="A5377" s="4" t="s">
        <v>5926</v>
      </c>
      <c r="B5377" s="16"/>
      <c r="C5377" s="12">
        <f>IFERROR(__xludf.DUMMYFUNCTION("""COMPUTED_VALUE"""),44661.65802083333)</f>
        <v>44661.65802</v>
      </c>
      <c r="D5377" s="13">
        <f t="shared" si="1"/>
        <v>10</v>
      </c>
      <c r="E5377" s="13">
        <f t="shared" si="2"/>
        <v>15</v>
      </c>
    </row>
    <row r="5378">
      <c r="A5378" s="4" t="s">
        <v>5927</v>
      </c>
      <c r="B5378" s="4" t="s">
        <v>5928</v>
      </c>
      <c r="C5378" s="12">
        <f>IFERROR(__xludf.DUMMYFUNCTION("""COMPUTED_VALUE"""),44661.65755787037)</f>
        <v>44661.65756</v>
      </c>
      <c r="D5378" s="13">
        <f t="shared" si="1"/>
        <v>10</v>
      </c>
      <c r="E5378" s="13">
        <f t="shared" si="2"/>
        <v>15</v>
      </c>
    </row>
    <row r="5379">
      <c r="A5379" s="4" t="s">
        <v>5929</v>
      </c>
      <c r="B5379" s="4" t="s">
        <v>5930</v>
      </c>
      <c r="C5379" s="12">
        <f>IFERROR(__xludf.DUMMYFUNCTION("""COMPUTED_VALUE"""),44661.654814814814)</f>
        <v>44661.65481</v>
      </c>
      <c r="D5379" s="13">
        <f t="shared" si="1"/>
        <v>10</v>
      </c>
      <c r="E5379" s="13">
        <f t="shared" si="2"/>
        <v>15</v>
      </c>
    </row>
    <row r="5380">
      <c r="A5380" s="4" t="s">
        <v>5931</v>
      </c>
      <c r="B5380" s="16"/>
      <c r="C5380" s="12">
        <f>IFERROR(__xludf.DUMMYFUNCTION("""COMPUTED_VALUE"""),44661.654444444444)</f>
        <v>44661.65444</v>
      </c>
      <c r="D5380" s="13">
        <f t="shared" si="1"/>
        <v>10</v>
      </c>
      <c r="E5380" s="13">
        <f t="shared" si="2"/>
        <v>15</v>
      </c>
    </row>
    <row r="5381">
      <c r="A5381" s="4" t="s">
        <v>5932</v>
      </c>
      <c r="B5381" s="16"/>
      <c r="C5381" s="12">
        <f>IFERROR(__xludf.DUMMYFUNCTION("""COMPUTED_VALUE"""),44661.65435185185)</f>
        <v>44661.65435</v>
      </c>
      <c r="D5381" s="13">
        <f t="shared" si="1"/>
        <v>10</v>
      </c>
      <c r="E5381" s="13">
        <f t="shared" si="2"/>
        <v>15</v>
      </c>
    </row>
    <row r="5382">
      <c r="A5382" s="4" t="s">
        <v>5933</v>
      </c>
      <c r="B5382" s="4" t="s">
        <v>5934</v>
      </c>
      <c r="C5382" s="12">
        <f>IFERROR(__xludf.DUMMYFUNCTION("""COMPUTED_VALUE"""),44661.65101851852)</f>
        <v>44661.65102</v>
      </c>
      <c r="D5382" s="13">
        <f t="shared" si="1"/>
        <v>10</v>
      </c>
      <c r="E5382" s="13">
        <f t="shared" si="2"/>
        <v>15</v>
      </c>
    </row>
    <row r="5383">
      <c r="A5383" s="4" t="s">
        <v>5935</v>
      </c>
      <c r="B5383" s="16"/>
      <c r="C5383" s="12">
        <f>IFERROR(__xludf.DUMMYFUNCTION("""COMPUTED_VALUE"""),44661.65040509259)</f>
        <v>44661.65041</v>
      </c>
      <c r="D5383" s="13">
        <f t="shared" si="1"/>
        <v>10</v>
      </c>
      <c r="E5383" s="13">
        <f t="shared" si="2"/>
        <v>15</v>
      </c>
    </row>
    <row r="5384">
      <c r="A5384" s="4" t="s">
        <v>5936</v>
      </c>
      <c r="B5384" s="16"/>
      <c r="C5384" s="12">
        <f>IFERROR(__xludf.DUMMYFUNCTION("""COMPUTED_VALUE"""),44661.65038194444)</f>
        <v>44661.65038</v>
      </c>
      <c r="D5384" s="13">
        <f t="shared" si="1"/>
        <v>10</v>
      </c>
      <c r="E5384" s="13">
        <f t="shared" si="2"/>
        <v>15</v>
      </c>
    </row>
    <row r="5385">
      <c r="A5385" s="4" t="s">
        <v>5937</v>
      </c>
      <c r="B5385" s="16"/>
      <c r="C5385" s="12">
        <f>IFERROR(__xludf.DUMMYFUNCTION("""COMPUTED_VALUE"""),44661.650358796294)</f>
        <v>44661.65036</v>
      </c>
      <c r="D5385" s="13">
        <f t="shared" si="1"/>
        <v>10</v>
      </c>
      <c r="E5385" s="13">
        <f t="shared" si="2"/>
        <v>15</v>
      </c>
    </row>
    <row r="5386">
      <c r="A5386" s="4" t="s">
        <v>5938</v>
      </c>
      <c r="B5386" s="16"/>
      <c r="C5386" s="12">
        <f>IFERROR(__xludf.DUMMYFUNCTION("""COMPUTED_VALUE"""),44661.650254629625)</f>
        <v>44661.65025</v>
      </c>
      <c r="D5386" s="13">
        <f t="shared" si="1"/>
        <v>10</v>
      </c>
      <c r="E5386" s="13">
        <f t="shared" si="2"/>
        <v>15</v>
      </c>
    </row>
    <row r="5387">
      <c r="A5387" s="4" t="s">
        <v>5939</v>
      </c>
      <c r="B5387" s="4" t="s">
        <v>5940</v>
      </c>
      <c r="C5387" s="12">
        <f>IFERROR(__xludf.DUMMYFUNCTION("""COMPUTED_VALUE"""),44661.650243055556)</f>
        <v>44661.65024</v>
      </c>
      <c r="D5387" s="13">
        <f t="shared" si="1"/>
        <v>10</v>
      </c>
      <c r="E5387" s="13">
        <f t="shared" si="2"/>
        <v>15</v>
      </c>
    </row>
    <row r="5388">
      <c r="A5388" s="4" t="s">
        <v>5941</v>
      </c>
      <c r="B5388" s="4" t="s">
        <v>5942</v>
      </c>
      <c r="C5388" s="12">
        <f>IFERROR(__xludf.DUMMYFUNCTION("""COMPUTED_VALUE"""),44661.647326388884)</f>
        <v>44661.64733</v>
      </c>
      <c r="D5388" s="13">
        <f t="shared" si="1"/>
        <v>10</v>
      </c>
      <c r="E5388" s="13">
        <f t="shared" si="2"/>
        <v>15</v>
      </c>
    </row>
    <row r="5389">
      <c r="A5389" s="4" t="s">
        <v>5943</v>
      </c>
      <c r="B5389" s="16"/>
      <c r="C5389" s="12">
        <f>IFERROR(__xludf.DUMMYFUNCTION("""COMPUTED_VALUE"""),44661.64697916667)</f>
        <v>44661.64698</v>
      </c>
      <c r="D5389" s="13">
        <f t="shared" si="1"/>
        <v>10</v>
      </c>
      <c r="E5389" s="13">
        <f t="shared" si="2"/>
        <v>15</v>
      </c>
    </row>
    <row r="5390">
      <c r="A5390" s="4" t="s">
        <v>5944</v>
      </c>
      <c r="B5390" s="4" t="s">
        <v>5794</v>
      </c>
      <c r="C5390" s="12">
        <f>IFERROR(__xludf.DUMMYFUNCTION("""COMPUTED_VALUE"""),44661.64142361111)</f>
        <v>44661.64142</v>
      </c>
      <c r="D5390" s="13">
        <f t="shared" si="1"/>
        <v>10</v>
      </c>
      <c r="E5390" s="13">
        <f t="shared" si="2"/>
        <v>15</v>
      </c>
    </row>
    <row r="5391">
      <c r="A5391" s="4" t="s">
        <v>5945</v>
      </c>
      <c r="B5391" s="16"/>
      <c r="C5391" s="12">
        <f>IFERROR(__xludf.DUMMYFUNCTION("""COMPUTED_VALUE"""),44661.64140046296)</f>
        <v>44661.6414</v>
      </c>
      <c r="D5391" s="13">
        <f t="shared" si="1"/>
        <v>10</v>
      </c>
      <c r="E5391" s="13">
        <f t="shared" si="2"/>
        <v>15</v>
      </c>
    </row>
    <row r="5392">
      <c r="A5392" s="4" t="s">
        <v>5946</v>
      </c>
      <c r="B5392" s="16"/>
      <c r="C5392" s="12">
        <f>IFERROR(__xludf.DUMMYFUNCTION("""COMPUTED_VALUE"""),44661.64134259259)</f>
        <v>44661.64134</v>
      </c>
      <c r="D5392" s="13">
        <f t="shared" si="1"/>
        <v>10</v>
      </c>
      <c r="E5392" s="13">
        <f t="shared" si="2"/>
        <v>15</v>
      </c>
    </row>
    <row r="5393">
      <c r="A5393" s="4" t="s">
        <v>5947</v>
      </c>
      <c r="B5393" s="16"/>
      <c r="C5393" s="12">
        <f>IFERROR(__xludf.DUMMYFUNCTION("""COMPUTED_VALUE"""),44661.64128472222)</f>
        <v>44661.64128</v>
      </c>
      <c r="D5393" s="13">
        <f t="shared" si="1"/>
        <v>10</v>
      </c>
      <c r="E5393" s="13">
        <f t="shared" si="2"/>
        <v>15</v>
      </c>
    </row>
    <row r="5394">
      <c r="A5394" s="4" t="s">
        <v>5948</v>
      </c>
      <c r="B5394" s="16"/>
      <c r="C5394" s="12">
        <f>IFERROR(__xludf.DUMMYFUNCTION("""COMPUTED_VALUE"""),44661.64126157407)</f>
        <v>44661.64126</v>
      </c>
      <c r="D5394" s="13">
        <f t="shared" si="1"/>
        <v>10</v>
      </c>
      <c r="E5394" s="13">
        <f t="shared" si="2"/>
        <v>15</v>
      </c>
    </row>
    <row r="5395">
      <c r="A5395" s="4" t="s">
        <v>5949</v>
      </c>
      <c r="B5395" s="16"/>
      <c r="C5395" s="12">
        <f>IFERROR(__xludf.DUMMYFUNCTION("""COMPUTED_VALUE"""),44661.64121527778)</f>
        <v>44661.64122</v>
      </c>
      <c r="D5395" s="13">
        <f t="shared" si="1"/>
        <v>10</v>
      </c>
      <c r="E5395" s="13">
        <f t="shared" si="2"/>
        <v>15</v>
      </c>
    </row>
    <row r="5396">
      <c r="A5396" s="4" t="s">
        <v>5950</v>
      </c>
      <c r="B5396" s="16"/>
      <c r="C5396" s="12">
        <f>IFERROR(__xludf.DUMMYFUNCTION("""COMPUTED_VALUE"""),44661.639606481476)</f>
        <v>44661.63961</v>
      </c>
      <c r="D5396" s="13">
        <f t="shared" si="1"/>
        <v>10</v>
      </c>
      <c r="E5396" s="13">
        <f t="shared" si="2"/>
        <v>15</v>
      </c>
    </row>
    <row r="5397">
      <c r="A5397" s="4" t="s">
        <v>5951</v>
      </c>
      <c r="B5397" s="4" t="s">
        <v>5952</v>
      </c>
      <c r="C5397" s="12">
        <f>IFERROR(__xludf.DUMMYFUNCTION("""COMPUTED_VALUE"""),44661.639027777775)</f>
        <v>44661.63903</v>
      </c>
      <c r="D5397" s="13">
        <f t="shared" si="1"/>
        <v>10</v>
      </c>
      <c r="E5397" s="13">
        <f t="shared" si="2"/>
        <v>15</v>
      </c>
    </row>
    <row r="5398">
      <c r="A5398" s="4" t="s">
        <v>5953</v>
      </c>
      <c r="B5398" s="4" t="s">
        <v>5516</v>
      </c>
      <c r="C5398" s="12">
        <f>IFERROR(__xludf.DUMMYFUNCTION("""COMPUTED_VALUE"""),44661.6371875)</f>
        <v>44661.63719</v>
      </c>
      <c r="D5398" s="13">
        <f t="shared" si="1"/>
        <v>10</v>
      </c>
      <c r="E5398" s="13">
        <f t="shared" si="2"/>
        <v>15</v>
      </c>
    </row>
    <row r="5399">
      <c r="A5399" s="4" t="s">
        <v>5954</v>
      </c>
      <c r="B5399" s="4" t="s">
        <v>5516</v>
      </c>
      <c r="C5399" s="12">
        <f>IFERROR(__xludf.DUMMYFUNCTION("""COMPUTED_VALUE"""),44661.63712962963)</f>
        <v>44661.63713</v>
      </c>
      <c r="D5399" s="13">
        <f t="shared" si="1"/>
        <v>10</v>
      </c>
      <c r="E5399" s="13">
        <f t="shared" si="2"/>
        <v>15</v>
      </c>
    </row>
    <row r="5400">
      <c r="A5400" s="4" t="s">
        <v>5955</v>
      </c>
      <c r="B5400" s="4" t="s">
        <v>5516</v>
      </c>
      <c r="C5400" s="12">
        <f>IFERROR(__xludf.DUMMYFUNCTION("""COMPUTED_VALUE"""),44661.63708333333)</f>
        <v>44661.63708</v>
      </c>
      <c r="D5400" s="13">
        <f t="shared" si="1"/>
        <v>10</v>
      </c>
      <c r="E5400" s="13">
        <f t="shared" si="2"/>
        <v>15</v>
      </c>
    </row>
    <row r="5401">
      <c r="A5401" s="4" t="s">
        <v>5956</v>
      </c>
      <c r="B5401" s="16"/>
      <c r="C5401" s="12">
        <f>IFERROR(__xludf.DUMMYFUNCTION("""COMPUTED_VALUE"""),44661.63528935185)</f>
        <v>44661.63529</v>
      </c>
      <c r="D5401" s="13">
        <f t="shared" si="1"/>
        <v>10</v>
      </c>
      <c r="E5401" s="13">
        <f t="shared" si="2"/>
        <v>15</v>
      </c>
    </row>
    <row r="5402">
      <c r="A5402" s="4" t="s">
        <v>5957</v>
      </c>
      <c r="B5402" s="4" t="s">
        <v>5794</v>
      </c>
      <c r="C5402" s="12">
        <f>IFERROR(__xludf.DUMMYFUNCTION("""COMPUTED_VALUE"""),44661.63527777777)</f>
        <v>44661.63528</v>
      </c>
      <c r="D5402" s="13">
        <f t="shared" si="1"/>
        <v>10</v>
      </c>
      <c r="E5402" s="13">
        <f t="shared" si="2"/>
        <v>15</v>
      </c>
    </row>
    <row r="5403">
      <c r="A5403" s="4" t="s">
        <v>5958</v>
      </c>
      <c r="B5403" s="16"/>
      <c r="C5403" s="12">
        <f>IFERROR(__xludf.DUMMYFUNCTION("""COMPUTED_VALUE"""),44661.631111111106)</f>
        <v>44661.63111</v>
      </c>
      <c r="D5403" s="13">
        <f t="shared" si="1"/>
        <v>10</v>
      </c>
      <c r="E5403" s="13">
        <f t="shared" si="2"/>
        <v>15</v>
      </c>
    </row>
    <row r="5404">
      <c r="A5404" s="4" t="s">
        <v>5959</v>
      </c>
      <c r="B5404" s="16"/>
      <c r="C5404" s="12">
        <f>IFERROR(__xludf.DUMMYFUNCTION("""COMPUTED_VALUE"""),44661.631064814814)</f>
        <v>44661.63106</v>
      </c>
      <c r="D5404" s="13">
        <f t="shared" si="1"/>
        <v>10</v>
      </c>
      <c r="E5404" s="13">
        <f t="shared" si="2"/>
        <v>15</v>
      </c>
    </row>
    <row r="5405">
      <c r="A5405" s="4" t="s">
        <v>5960</v>
      </c>
      <c r="B5405" s="16"/>
      <c r="C5405" s="12">
        <f>IFERROR(__xludf.DUMMYFUNCTION("""COMPUTED_VALUE"""),44661.62923611111)</f>
        <v>44661.62924</v>
      </c>
      <c r="D5405" s="13">
        <f t="shared" si="1"/>
        <v>10</v>
      </c>
      <c r="E5405" s="13">
        <f t="shared" si="2"/>
        <v>15</v>
      </c>
    </row>
    <row r="5406">
      <c r="A5406" s="4" t="s">
        <v>5961</v>
      </c>
      <c r="B5406" s="16"/>
      <c r="C5406" s="12">
        <f>IFERROR(__xludf.DUMMYFUNCTION("""COMPUTED_VALUE"""),44661.62789351852)</f>
        <v>44661.62789</v>
      </c>
      <c r="D5406" s="13">
        <f t="shared" si="1"/>
        <v>10</v>
      </c>
      <c r="E5406" s="13">
        <f t="shared" si="2"/>
        <v>15</v>
      </c>
    </row>
    <row r="5407">
      <c r="A5407" s="4" t="s">
        <v>5962</v>
      </c>
      <c r="B5407" s="16"/>
      <c r="C5407" s="12">
        <f>IFERROR(__xludf.DUMMYFUNCTION("""COMPUTED_VALUE"""),44661.62657407407)</f>
        <v>44661.62657</v>
      </c>
      <c r="D5407" s="13">
        <f t="shared" si="1"/>
        <v>10</v>
      </c>
      <c r="E5407" s="13">
        <f t="shared" si="2"/>
        <v>15</v>
      </c>
    </row>
    <row r="5408">
      <c r="A5408" s="4" t="s">
        <v>5963</v>
      </c>
      <c r="B5408" s="16"/>
      <c r="C5408" s="12">
        <f>IFERROR(__xludf.DUMMYFUNCTION("""COMPUTED_VALUE"""),44661.62574074074)</f>
        <v>44661.62574</v>
      </c>
      <c r="D5408" s="13">
        <f t="shared" si="1"/>
        <v>10</v>
      </c>
      <c r="E5408" s="13">
        <f t="shared" si="2"/>
        <v>15</v>
      </c>
    </row>
    <row r="5409">
      <c r="A5409" s="4" t="s">
        <v>5964</v>
      </c>
      <c r="B5409" s="4" t="s">
        <v>5965</v>
      </c>
      <c r="C5409" s="12">
        <f>IFERROR(__xludf.DUMMYFUNCTION("""COMPUTED_VALUE"""),44661.625)</f>
        <v>44661.625</v>
      </c>
      <c r="D5409" s="13">
        <f t="shared" si="1"/>
        <v>10</v>
      </c>
      <c r="E5409" s="13">
        <f t="shared" si="2"/>
        <v>15</v>
      </c>
    </row>
    <row r="5410">
      <c r="A5410" s="4" t="s">
        <v>5966</v>
      </c>
      <c r="B5410" s="16"/>
      <c r="C5410" s="12">
        <f>IFERROR(__xludf.DUMMYFUNCTION("""COMPUTED_VALUE"""),44661.624872685185)</f>
        <v>44661.62487</v>
      </c>
      <c r="D5410" s="13">
        <f t="shared" si="1"/>
        <v>10</v>
      </c>
      <c r="E5410" s="13">
        <f t="shared" si="2"/>
        <v>14</v>
      </c>
    </row>
    <row r="5411">
      <c r="A5411" s="4" t="s">
        <v>5967</v>
      </c>
      <c r="B5411" s="4" t="s">
        <v>5968</v>
      </c>
      <c r="C5411" s="12">
        <f>IFERROR(__xludf.DUMMYFUNCTION("""COMPUTED_VALUE"""),44661.62443287037)</f>
        <v>44661.62443</v>
      </c>
      <c r="D5411" s="13">
        <f t="shared" si="1"/>
        <v>10</v>
      </c>
      <c r="E5411" s="13">
        <f t="shared" si="2"/>
        <v>14</v>
      </c>
    </row>
    <row r="5412">
      <c r="A5412" s="4" t="s">
        <v>5969</v>
      </c>
      <c r="B5412" s="16"/>
      <c r="C5412" s="12">
        <f>IFERROR(__xludf.DUMMYFUNCTION("""COMPUTED_VALUE"""),44661.624085648145)</f>
        <v>44661.62409</v>
      </c>
      <c r="D5412" s="13">
        <f t="shared" si="1"/>
        <v>10</v>
      </c>
      <c r="E5412" s="13">
        <f t="shared" si="2"/>
        <v>14</v>
      </c>
    </row>
    <row r="5413">
      <c r="A5413" s="4" t="s">
        <v>5970</v>
      </c>
      <c r="B5413" s="16"/>
      <c r="C5413" s="12">
        <f>IFERROR(__xludf.DUMMYFUNCTION("""COMPUTED_VALUE"""),44661.62278935185)</f>
        <v>44661.62279</v>
      </c>
      <c r="D5413" s="13">
        <f t="shared" si="1"/>
        <v>10</v>
      </c>
      <c r="E5413" s="13">
        <f t="shared" si="2"/>
        <v>14</v>
      </c>
    </row>
    <row r="5414">
      <c r="A5414" s="4" t="s">
        <v>5971</v>
      </c>
      <c r="B5414" s="4" t="s">
        <v>5972</v>
      </c>
      <c r="C5414" s="12">
        <f>IFERROR(__xludf.DUMMYFUNCTION("""COMPUTED_VALUE"""),44661.62173611111)</f>
        <v>44661.62174</v>
      </c>
      <c r="D5414" s="13">
        <f t="shared" si="1"/>
        <v>10</v>
      </c>
      <c r="E5414" s="13">
        <f t="shared" si="2"/>
        <v>14</v>
      </c>
    </row>
    <row r="5415">
      <c r="A5415" s="4" t="s">
        <v>5973</v>
      </c>
      <c r="B5415" s="4" t="s">
        <v>5428</v>
      </c>
      <c r="C5415" s="12">
        <f>IFERROR(__xludf.DUMMYFUNCTION("""COMPUTED_VALUE"""),44661.62100694444)</f>
        <v>44661.62101</v>
      </c>
      <c r="D5415" s="13">
        <f t="shared" si="1"/>
        <v>10</v>
      </c>
      <c r="E5415" s="13">
        <f t="shared" si="2"/>
        <v>14</v>
      </c>
    </row>
    <row r="5416">
      <c r="A5416" s="4" t="s">
        <v>5974</v>
      </c>
      <c r="B5416" s="16"/>
      <c r="C5416" s="12">
        <f>IFERROR(__xludf.DUMMYFUNCTION("""COMPUTED_VALUE"""),44661.620937499996)</f>
        <v>44661.62094</v>
      </c>
      <c r="D5416" s="13">
        <f t="shared" si="1"/>
        <v>10</v>
      </c>
      <c r="E5416" s="13">
        <f t="shared" si="2"/>
        <v>14</v>
      </c>
    </row>
    <row r="5417">
      <c r="A5417" s="4" t="s">
        <v>5975</v>
      </c>
      <c r="B5417" s="16"/>
      <c r="C5417" s="12">
        <f>IFERROR(__xludf.DUMMYFUNCTION("""COMPUTED_VALUE"""),44661.61819444444)</f>
        <v>44661.61819</v>
      </c>
      <c r="D5417" s="13">
        <f t="shared" si="1"/>
        <v>10</v>
      </c>
      <c r="E5417" s="13">
        <f t="shared" si="2"/>
        <v>14</v>
      </c>
    </row>
    <row r="5418">
      <c r="A5418" s="4" t="s">
        <v>5976</v>
      </c>
      <c r="B5418" s="4" t="s">
        <v>5977</v>
      </c>
      <c r="C5418" s="12">
        <f>IFERROR(__xludf.DUMMYFUNCTION("""COMPUTED_VALUE"""),44661.61815972222)</f>
        <v>44661.61816</v>
      </c>
      <c r="D5418" s="13">
        <f t="shared" si="1"/>
        <v>10</v>
      </c>
      <c r="E5418" s="13">
        <f t="shared" si="2"/>
        <v>14</v>
      </c>
    </row>
    <row r="5419">
      <c r="A5419" s="4" t="s">
        <v>5978</v>
      </c>
      <c r="B5419" s="16"/>
      <c r="C5419" s="12">
        <f>IFERROR(__xludf.DUMMYFUNCTION("""COMPUTED_VALUE"""),44661.618009259255)</f>
        <v>44661.61801</v>
      </c>
      <c r="D5419" s="13">
        <f t="shared" si="1"/>
        <v>10</v>
      </c>
      <c r="E5419" s="13">
        <f t="shared" si="2"/>
        <v>14</v>
      </c>
    </row>
    <row r="5420">
      <c r="A5420" s="4" t="s">
        <v>5979</v>
      </c>
      <c r="B5420" s="16"/>
      <c r="C5420" s="12">
        <f>IFERROR(__xludf.DUMMYFUNCTION("""COMPUTED_VALUE"""),44661.61782407407)</f>
        <v>44661.61782</v>
      </c>
      <c r="D5420" s="13">
        <f t="shared" si="1"/>
        <v>10</v>
      </c>
      <c r="E5420" s="13">
        <f t="shared" si="2"/>
        <v>14</v>
      </c>
    </row>
    <row r="5421">
      <c r="A5421" s="4" t="s">
        <v>5980</v>
      </c>
      <c r="B5421" s="4" t="s">
        <v>5981</v>
      </c>
      <c r="C5421" s="12">
        <f>IFERROR(__xludf.DUMMYFUNCTION("""COMPUTED_VALUE"""),44661.61326388889)</f>
        <v>44661.61326</v>
      </c>
      <c r="D5421" s="13">
        <f t="shared" si="1"/>
        <v>10</v>
      </c>
      <c r="E5421" s="13">
        <f t="shared" si="2"/>
        <v>14</v>
      </c>
    </row>
    <row r="5422">
      <c r="A5422" s="4" t="s">
        <v>5982</v>
      </c>
      <c r="B5422" s="16"/>
      <c r="C5422" s="12">
        <f>IFERROR(__xludf.DUMMYFUNCTION("""COMPUTED_VALUE"""),44661.613032407404)</f>
        <v>44661.61303</v>
      </c>
      <c r="D5422" s="13">
        <f t="shared" si="1"/>
        <v>10</v>
      </c>
      <c r="E5422" s="13">
        <f t="shared" si="2"/>
        <v>14</v>
      </c>
    </row>
    <row r="5423">
      <c r="A5423" s="4" t="s">
        <v>5983</v>
      </c>
      <c r="B5423" s="16"/>
      <c r="C5423" s="12">
        <f>IFERROR(__xludf.DUMMYFUNCTION("""COMPUTED_VALUE"""),44661.61233796296)</f>
        <v>44661.61234</v>
      </c>
      <c r="D5423" s="13">
        <f t="shared" si="1"/>
        <v>10</v>
      </c>
      <c r="E5423" s="13">
        <f t="shared" si="2"/>
        <v>14</v>
      </c>
    </row>
    <row r="5424">
      <c r="A5424" s="4" t="s">
        <v>5984</v>
      </c>
      <c r="B5424" s="16"/>
      <c r="C5424" s="12">
        <f>IFERROR(__xludf.DUMMYFUNCTION("""COMPUTED_VALUE"""),44661.61199074074)</f>
        <v>44661.61199</v>
      </c>
      <c r="D5424" s="13">
        <f t="shared" si="1"/>
        <v>10</v>
      </c>
      <c r="E5424" s="13">
        <f t="shared" si="2"/>
        <v>14</v>
      </c>
    </row>
    <row r="5425">
      <c r="A5425" s="4" t="s">
        <v>5985</v>
      </c>
      <c r="B5425" s="4" t="s">
        <v>5986</v>
      </c>
      <c r="C5425" s="12">
        <f>IFERROR(__xludf.DUMMYFUNCTION("""COMPUTED_VALUE"""),44661.60466435185)</f>
        <v>44661.60466</v>
      </c>
      <c r="D5425" s="13">
        <f t="shared" si="1"/>
        <v>10</v>
      </c>
      <c r="E5425" s="13">
        <f t="shared" si="2"/>
        <v>14</v>
      </c>
    </row>
    <row r="5426">
      <c r="A5426" s="4" t="s">
        <v>5987</v>
      </c>
      <c r="B5426" s="4" t="s">
        <v>5988</v>
      </c>
      <c r="C5426" s="12">
        <f>IFERROR(__xludf.DUMMYFUNCTION("""COMPUTED_VALUE"""),44661.60383101852)</f>
        <v>44661.60383</v>
      </c>
      <c r="D5426" s="13">
        <f t="shared" si="1"/>
        <v>10</v>
      </c>
      <c r="E5426" s="13">
        <f t="shared" si="2"/>
        <v>14</v>
      </c>
    </row>
    <row r="5427">
      <c r="A5427" s="4" t="s">
        <v>5989</v>
      </c>
      <c r="B5427" s="4" t="s">
        <v>5988</v>
      </c>
      <c r="C5427" s="12">
        <f>IFERROR(__xludf.DUMMYFUNCTION("""COMPUTED_VALUE"""),44661.60353009259)</f>
        <v>44661.60353</v>
      </c>
      <c r="D5427" s="13">
        <f t="shared" si="1"/>
        <v>10</v>
      </c>
      <c r="E5427" s="13">
        <f t="shared" si="2"/>
        <v>14</v>
      </c>
    </row>
    <row r="5428">
      <c r="A5428" s="4" t="s">
        <v>5990</v>
      </c>
      <c r="B5428" s="4" t="s">
        <v>5991</v>
      </c>
      <c r="C5428" s="12">
        <f>IFERROR(__xludf.DUMMYFUNCTION("""COMPUTED_VALUE"""),44661.597858796296)</f>
        <v>44661.59786</v>
      </c>
      <c r="D5428" s="13">
        <f t="shared" si="1"/>
        <v>10</v>
      </c>
      <c r="E5428" s="13">
        <f t="shared" si="2"/>
        <v>14</v>
      </c>
    </row>
    <row r="5429">
      <c r="A5429" s="4" t="s">
        <v>5992</v>
      </c>
      <c r="B5429" s="16"/>
      <c r="C5429" s="12">
        <f>IFERROR(__xludf.DUMMYFUNCTION("""COMPUTED_VALUE"""),44661.59774305555)</f>
        <v>44661.59774</v>
      </c>
      <c r="D5429" s="13">
        <f t="shared" si="1"/>
        <v>10</v>
      </c>
      <c r="E5429" s="13">
        <f t="shared" si="2"/>
        <v>14</v>
      </c>
    </row>
    <row r="5430">
      <c r="A5430" s="4" t="s">
        <v>5993</v>
      </c>
      <c r="B5430" s="4" t="s">
        <v>5986</v>
      </c>
      <c r="C5430" s="12">
        <f>IFERROR(__xludf.DUMMYFUNCTION("""COMPUTED_VALUE"""),44661.597615740735)</f>
        <v>44661.59762</v>
      </c>
      <c r="D5430" s="13">
        <f t="shared" si="1"/>
        <v>10</v>
      </c>
      <c r="E5430" s="13">
        <f t="shared" si="2"/>
        <v>14</v>
      </c>
    </row>
    <row r="5431">
      <c r="A5431" s="4" t="s">
        <v>5994</v>
      </c>
      <c r="B5431" s="16"/>
      <c r="C5431" s="12">
        <f>IFERROR(__xludf.DUMMYFUNCTION("""COMPUTED_VALUE"""),44661.59753472222)</f>
        <v>44661.59753</v>
      </c>
      <c r="D5431" s="13">
        <f t="shared" si="1"/>
        <v>10</v>
      </c>
      <c r="E5431" s="13">
        <f t="shared" si="2"/>
        <v>14</v>
      </c>
    </row>
    <row r="5432">
      <c r="A5432" s="4" t="s">
        <v>5995</v>
      </c>
      <c r="B5432" s="16"/>
      <c r="C5432" s="12">
        <f>IFERROR(__xludf.DUMMYFUNCTION("""COMPUTED_VALUE"""),44661.597499999996)</f>
        <v>44661.5975</v>
      </c>
      <c r="D5432" s="13">
        <f t="shared" si="1"/>
        <v>10</v>
      </c>
      <c r="E5432" s="13">
        <f t="shared" si="2"/>
        <v>14</v>
      </c>
    </row>
    <row r="5433">
      <c r="A5433" s="4" t="s">
        <v>5996</v>
      </c>
      <c r="B5433" s="16"/>
      <c r="C5433" s="12">
        <f>IFERROR(__xludf.DUMMYFUNCTION("""COMPUTED_VALUE"""),44661.59707175926)</f>
        <v>44661.59707</v>
      </c>
      <c r="D5433" s="13">
        <f t="shared" si="1"/>
        <v>10</v>
      </c>
      <c r="E5433" s="13">
        <f t="shared" si="2"/>
        <v>14</v>
      </c>
    </row>
    <row r="5434">
      <c r="A5434" s="4" t="s">
        <v>5997</v>
      </c>
      <c r="B5434" s="4" t="s">
        <v>5998</v>
      </c>
      <c r="C5434" s="12">
        <f>IFERROR(__xludf.DUMMYFUNCTION("""COMPUTED_VALUE"""),44661.596921296295)</f>
        <v>44661.59692</v>
      </c>
      <c r="D5434" s="13">
        <f t="shared" si="1"/>
        <v>10</v>
      </c>
      <c r="E5434" s="13">
        <f t="shared" si="2"/>
        <v>14</v>
      </c>
    </row>
    <row r="5435">
      <c r="A5435" s="4" t="s">
        <v>5999</v>
      </c>
      <c r="B5435" s="4" t="s">
        <v>5998</v>
      </c>
      <c r="C5435" s="12">
        <f>IFERROR(__xludf.DUMMYFUNCTION("""COMPUTED_VALUE"""),44661.59689814815)</f>
        <v>44661.5969</v>
      </c>
      <c r="D5435" s="13">
        <f t="shared" si="1"/>
        <v>10</v>
      </c>
      <c r="E5435" s="13">
        <f t="shared" si="2"/>
        <v>14</v>
      </c>
    </row>
    <row r="5436">
      <c r="A5436" s="4" t="s">
        <v>6000</v>
      </c>
      <c r="B5436" s="16"/>
      <c r="C5436" s="12">
        <f>IFERROR(__xludf.DUMMYFUNCTION("""COMPUTED_VALUE"""),44661.59688657407)</f>
        <v>44661.59689</v>
      </c>
      <c r="D5436" s="13">
        <f t="shared" si="1"/>
        <v>10</v>
      </c>
      <c r="E5436" s="13">
        <f t="shared" si="2"/>
        <v>14</v>
      </c>
    </row>
    <row r="5437">
      <c r="A5437" s="4" t="s">
        <v>6001</v>
      </c>
      <c r="B5437" s="4" t="s">
        <v>5998</v>
      </c>
      <c r="C5437" s="12">
        <f>IFERROR(__xludf.DUMMYFUNCTION("""COMPUTED_VALUE"""),44661.596874999996)</f>
        <v>44661.59688</v>
      </c>
      <c r="D5437" s="13">
        <f t="shared" si="1"/>
        <v>10</v>
      </c>
      <c r="E5437" s="13">
        <f t="shared" si="2"/>
        <v>14</v>
      </c>
    </row>
    <row r="5438">
      <c r="A5438" s="4" t="s">
        <v>6002</v>
      </c>
      <c r="B5438" s="4" t="s">
        <v>5998</v>
      </c>
      <c r="C5438" s="12">
        <f>IFERROR(__xludf.DUMMYFUNCTION("""COMPUTED_VALUE"""),44661.596863425926)</f>
        <v>44661.59686</v>
      </c>
      <c r="D5438" s="13">
        <f t="shared" si="1"/>
        <v>10</v>
      </c>
      <c r="E5438" s="13">
        <f t="shared" si="2"/>
        <v>14</v>
      </c>
    </row>
    <row r="5439">
      <c r="A5439" s="4" t="s">
        <v>6003</v>
      </c>
      <c r="B5439" s="4" t="s">
        <v>5998</v>
      </c>
      <c r="C5439" s="12">
        <f>IFERROR(__xludf.DUMMYFUNCTION("""COMPUTED_VALUE"""),44661.59684027777)</f>
        <v>44661.59684</v>
      </c>
      <c r="D5439" s="13">
        <f t="shared" si="1"/>
        <v>10</v>
      </c>
      <c r="E5439" s="13">
        <f t="shared" si="2"/>
        <v>14</v>
      </c>
    </row>
    <row r="5440">
      <c r="A5440" s="4" t="s">
        <v>6004</v>
      </c>
      <c r="B5440" s="16"/>
      <c r="C5440" s="12">
        <f>IFERROR(__xludf.DUMMYFUNCTION("""COMPUTED_VALUE"""),44661.596817129626)</f>
        <v>44661.59682</v>
      </c>
      <c r="D5440" s="13">
        <f t="shared" si="1"/>
        <v>10</v>
      </c>
      <c r="E5440" s="13">
        <f t="shared" si="2"/>
        <v>14</v>
      </c>
    </row>
    <row r="5441">
      <c r="A5441" s="4" t="s">
        <v>6005</v>
      </c>
      <c r="B5441" s="4" t="s">
        <v>5998</v>
      </c>
      <c r="C5441" s="12">
        <f>IFERROR(__xludf.DUMMYFUNCTION("""COMPUTED_VALUE"""),44661.59680555555)</f>
        <v>44661.59681</v>
      </c>
      <c r="D5441" s="13">
        <f t="shared" si="1"/>
        <v>10</v>
      </c>
      <c r="E5441" s="13">
        <f t="shared" si="2"/>
        <v>14</v>
      </c>
    </row>
    <row r="5442">
      <c r="A5442" s="4" t="s">
        <v>6006</v>
      </c>
      <c r="B5442" s="4" t="s">
        <v>5998</v>
      </c>
      <c r="C5442" s="12">
        <f>IFERROR(__xludf.DUMMYFUNCTION("""COMPUTED_VALUE"""),44661.59673611111)</f>
        <v>44661.59674</v>
      </c>
      <c r="D5442" s="13">
        <f t="shared" si="1"/>
        <v>10</v>
      </c>
      <c r="E5442" s="13">
        <f t="shared" si="2"/>
        <v>14</v>
      </c>
    </row>
    <row r="5443">
      <c r="A5443" s="4" t="s">
        <v>6007</v>
      </c>
      <c r="B5443" s="16"/>
      <c r="C5443" s="12">
        <f>IFERROR(__xludf.DUMMYFUNCTION("""COMPUTED_VALUE"""),44661.59668981481)</f>
        <v>44661.59669</v>
      </c>
      <c r="D5443" s="13">
        <f t="shared" si="1"/>
        <v>10</v>
      </c>
      <c r="E5443" s="13">
        <f t="shared" si="2"/>
        <v>14</v>
      </c>
    </row>
    <row r="5444">
      <c r="A5444" s="4" t="s">
        <v>6008</v>
      </c>
      <c r="B5444" s="16"/>
      <c r="C5444" s="12">
        <f>IFERROR(__xludf.DUMMYFUNCTION("""COMPUTED_VALUE"""),44661.59664351852)</f>
        <v>44661.59664</v>
      </c>
      <c r="D5444" s="13">
        <f t="shared" si="1"/>
        <v>10</v>
      </c>
      <c r="E5444" s="13">
        <f t="shared" si="2"/>
        <v>14</v>
      </c>
    </row>
    <row r="5445">
      <c r="A5445" s="4" t="s">
        <v>6009</v>
      </c>
      <c r="B5445" s="16"/>
      <c r="C5445" s="12">
        <f>IFERROR(__xludf.DUMMYFUNCTION("""COMPUTED_VALUE"""),44661.596608796295)</f>
        <v>44661.59661</v>
      </c>
      <c r="D5445" s="13">
        <f t="shared" si="1"/>
        <v>10</v>
      </c>
      <c r="E5445" s="13">
        <f t="shared" si="2"/>
        <v>14</v>
      </c>
    </row>
    <row r="5446">
      <c r="A5446" s="4" t="s">
        <v>6010</v>
      </c>
      <c r="B5446" s="4" t="s">
        <v>6011</v>
      </c>
      <c r="C5446" s="12">
        <f>IFERROR(__xludf.DUMMYFUNCTION("""COMPUTED_VALUE"""),44661.596504629626)</f>
        <v>44661.5965</v>
      </c>
      <c r="D5446" s="13">
        <f t="shared" si="1"/>
        <v>10</v>
      </c>
      <c r="E5446" s="13">
        <f t="shared" si="2"/>
        <v>14</v>
      </c>
    </row>
    <row r="5447">
      <c r="A5447" s="4" t="s">
        <v>6012</v>
      </c>
      <c r="B5447" s="16"/>
      <c r="C5447" s="12">
        <f>IFERROR(__xludf.DUMMYFUNCTION("""COMPUTED_VALUE"""),44661.59636574074)</f>
        <v>44661.59637</v>
      </c>
      <c r="D5447" s="13">
        <f t="shared" si="1"/>
        <v>10</v>
      </c>
      <c r="E5447" s="13">
        <f t="shared" si="2"/>
        <v>14</v>
      </c>
    </row>
    <row r="5448">
      <c r="A5448" s="4" t="s">
        <v>6013</v>
      </c>
      <c r="B5448" s="4" t="s">
        <v>6011</v>
      </c>
      <c r="C5448" s="12">
        <f>IFERROR(__xludf.DUMMYFUNCTION("""COMPUTED_VALUE"""),44661.59627314815)</f>
        <v>44661.59627</v>
      </c>
      <c r="D5448" s="13">
        <f t="shared" si="1"/>
        <v>10</v>
      </c>
      <c r="E5448" s="13">
        <f t="shared" si="2"/>
        <v>14</v>
      </c>
    </row>
    <row r="5449">
      <c r="A5449" s="4" t="s">
        <v>6014</v>
      </c>
      <c r="B5449" s="4" t="s">
        <v>6015</v>
      </c>
      <c r="C5449" s="12">
        <f>IFERROR(__xludf.DUMMYFUNCTION("""COMPUTED_VALUE"""),44661.591261574074)</f>
        <v>44661.59126</v>
      </c>
      <c r="D5449" s="13">
        <f t="shared" si="1"/>
        <v>10</v>
      </c>
      <c r="E5449" s="13">
        <f t="shared" si="2"/>
        <v>14</v>
      </c>
    </row>
    <row r="5450">
      <c r="A5450" s="4" t="s">
        <v>6016</v>
      </c>
      <c r="B5450" s="4" t="s">
        <v>6017</v>
      </c>
      <c r="C5450" s="12">
        <f>IFERROR(__xludf.DUMMYFUNCTION("""COMPUTED_VALUE"""),44661.58796296296)</f>
        <v>44661.58796</v>
      </c>
      <c r="D5450" s="13">
        <f t="shared" si="1"/>
        <v>10</v>
      </c>
      <c r="E5450" s="13">
        <f t="shared" si="2"/>
        <v>14</v>
      </c>
    </row>
    <row r="5451">
      <c r="A5451" s="4" t="s">
        <v>6018</v>
      </c>
      <c r="B5451" s="16"/>
      <c r="C5451" s="12">
        <f>IFERROR(__xludf.DUMMYFUNCTION("""COMPUTED_VALUE"""),44661.58143518518)</f>
        <v>44661.58144</v>
      </c>
      <c r="D5451" s="13">
        <f t="shared" si="1"/>
        <v>10</v>
      </c>
      <c r="E5451" s="13">
        <f t="shared" si="2"/>
        <v>13</v>
      </c>
    </row>
    <row r="5452">
      <c r="A5452" s="4" t="s">
        <v>6019</v>
      </c>
      <c r="B5452" s="16"/>
      <c r="C5452" s="12">
        <f>IFERROR(__xludf.DUMMYFUNCTION("""COMPUTED_VALUE"""),44661.58027777778)</f>
        <v>44661.58028</v>
      </c>
      <c r="D5452" s="13">
        <f t="shared" si="1"/>
        <v>10</v>
      </c>
      <c r="E5452" s="13">
        <f t="shared" si="2"/>
        <v>13</v>
      </c>
    </row>
    <row r="5453">
      <c r="A5453" s="4" t="s">
        <v>6020</v>
      </c>
      <c r="B5453" s="16"/>
      <c r="C5453" s="12">
        <f>IFERROR(__xludf.DUMMYFUNCTION("""COMPUTED_VALUE"""),44661.57667824074)</f>
        <v>44661.57668</v>
      </c>
      <c r="D5453" s="13">
        <f t="shared" si="1"/>
        <v>10</v>
      </c>
      <c r="E5453" s="13">
        <f t="shared" si="2"/>
        <v>13</v>
      </c>
    </row>
    <row r="5454">
      <c r="A5454" s="4" t="s">
        <v>6021</v>
      </c>
      <c r="B5454" s="4" t="s">
        <v>6022</v>
      </c>
      <c r="C5454" s="12">
        <f>IFERROR(__xludf.DUMMYFUNCTION("""COMPUTED_VALUE"""),44661.57561342592)</f>
        <v>44661.57561</v>
      </c>
      <c r="D5454" s="13">
        <f t="shared" si="1"/>
        <v>10</v>
      </c>
      <c r="E5454" s="13">
        <f t="shared" si="2"/>
        <v>13</v>
      </c>
    </row>
    <row r="5455">
      <c r="A5455" s="4" t="s">
        <v>6023</v>
      </c>
      <c r="B5455" s="16"/>
      <c r="C5455" s="12">
        <f>IFERROR(__xludf.DUMMYFUNCTION("""COMPUTED_VALUE"""),44661.574907407405)</f>
        <v>44661.57491</v>
      </c>
      <c r="D5455" s="13">
        <f t="shared" si="1"/>
        <v>10</v>
      </c>
      <c r="E5455" s="13">
        <f t="shared" si="2"/>
        <v>13</v>
      </c>
    </row>
    <row r="5456">
      <c r="A5456" s="4" t="s">
        <v>6024</v>
      </c>
      <c r="B5456" s="4" t="s">
        <v>6022</v>
      </c>
      <c r="C5456" s="12">
        <f>IFERROR(__xludf.DUMMYFUNCTION("""COMPUTED_VALUE"""),44661.57420138889)</f>
        <v>44661.5742</v>
      </c>
      <c r="D5456" s="13">
        <f t="shared" si="1"/>
        <v>10</v>
      </c>
      <c r="E5456" s="13">
        <f t="shared" si="2"/>
        <v>13</v>
      </c>
    </row>
    <row r="5457">
      <c r="A5457" s="4" t="s">
        <v>6025</v>
      </c>
      <c r="B5457" s="4" t="s">
        <v>6022</v>
      </c>
      <c r="C5457" s="12">
        <f>IFERROR(__xludf.DUMMYFUNCTION("""COMPUTED_VALUE"""),44661.57415509259)</f>
        <v>44661.57416</v>
      </c>
      <c r="D5457" s="13">
        <f t="shared" si="1"/>
        <v>10</v>
      </c>
      <c r="E5457" s="13">
        <f t="shared" si="2"/>
        <v>13</v>
      </c>
    </row>
    <row r="5458">
      <c r="A5458" s="4" t="s">
        <v>6026</v>
      </c>
      <c r="B5458" s="16"/>
      <c r="C5458" s="12">
        <f>IFERROR(__xludf.DUMMYFUNCTION("""COMPUTED_VALUE"""),44661.56925925926)</f>
        <v>44661.56926</v>
      </c>
      <c r="D5458" s="13">
        <f t="shared" si="1"/>
        <v>10</v>
      </c>
      <c r="E5458" s="13">
        <f t="shared" si="2"/>
        <v>13</v>
      </c>
    </row>
    <row r="5459">
      <c r="A5459" s="4" t="s">
        <v>6027</v>
      </c>
      <c r="B5459" s="16"/>
      <c r="C5459" s="12">
        <f>IFERROR(__xludf.DUMMYFUNCTION("""COMPUTED_VALUE"""),44661.569085648145)</f>
        <v>44661.56909</v>
      </c>
      <c r="D5459" s="13">
        <f t="shared" si="1"/>
        <v>10</v>
      </c>
      <c r="E5459" s="13">
        <f t="shared" si="2"/>
        <v>13</v>
      </c>
    </row>
    <row r="5460">
      <c r="A5460" s="4" t="s">
        <v>6028</v>
      </c>
      <c r="B5460" s="4" t="s">
        <v>6022</v>
      </c>
      <c r="C5460" s="12">
        <f>IFERROR(__xludf.DUMMYFUNCTION("""COMPUTED_VALUE"""),44661.5690625)</f>
        <v>44661.56906</v>
      </c>
      <c r="D5460" s="13">
        <f t="shared" si="1"/>
        <v>10</v>
      </c>
      <c r="E5460" s="13">
        <f t="shared" si="2"/>
        <v>13</v>
      </c>
    </row>
    <row r="5461">
      <c r="A5461" s="4" t="s">
        <v>6029</v>
      </c>
      <c r="B5461" s="4" t="s">
        <v>6030</v>
      </c>
      <c r="C5461" s="12">
        <f>IFERROR(__xludf.DUMMYFUNCTION("""COMPUTED_VALUE"""),44661.56905092592)</f>
        <v>44661.56905</v>
      </c>
      <c r="D5461" s="13">
        <f t="shared" si="1"/>
        <v>10</v>
      </c>
      <c r="E5461" s="13">
        <f t="shared" si="2"/>
        <v>13</v>
      </c>
    </row>
    <row r="5462">
      <c r="A5462" s="4" t="s">
        <v>6031</v>
      </c>
      <c r="B5462" s="4" t="s">
        <v>6032</v>
      </c>
      <c r="C5462" s="12">
        <f>IFERROR(__xludf.DUMMYFUNCTION("""COMPUTED_VALUE"""),44661.56650462963)</f>
        <v>44661.5665</v>
      </c>
      <c r="D5462" s="13">
        <f t="shared" si="1"/>
        <v>10</v>
      </c>
      <c r="E5462" s="13">
        <f t="shared" si="2"/>
        <v>13</v>
      </c>
    </row>
    <row r="5463">
      <c r="A5463" s="4" t="s">
        <v>6033</v>
      </c>
      <c r="B5463" s="4" t="s">
        <v>6034</v>
      </c>
      <c r="C5463" s="12">
        <f>IFERROR(__xludf.DUMMYFUNCTION("""COMPUTED_VALUE"""),44661.56637731481)</f>
        <v>44661.56638</v>
      </c>
      <c r="D5463" s="13">
        <f t="shared" si="1"/>
        <v>10</v>
      </c>
      <c r="E5463" s="13">
        <f t="shared" si="2"/>
        <v>13</v>
      </c>
    </row>
    <row r="5464">
      <c r="A5464" s="4" t="s">
        <v>6035</v>
      </c>
      <c r="B5464" s="4" t="s">
        <v>6032</v>
      </c>
      <c r="C5464" s="12">
        <f>IFERROR(__xludf.DUMMYFUNCTION("""COMPUTED_VALUE"""),44661.566354166665)</f>
        <v>44661.56635</v>
      </c>
      <c r="D5464" s="13">
        <f t="shared" si="1"/>
        <v>10</v>
      </c>
      <c r="E5464" s="13">
        <f t="shared" si="2"/>
        <v>13</v>
      </c>
    </row>
    <row r="5465">
      <c r="A5465" s="4" t="s">
        <v>6036</v>
      </c>
      <c r="B5465" s="16"/>
      <c r="C5465" s="12">
        <f>IFERROR(__xludf.DUMMYFUNCTION("""COMPUTED_VALUE"""),44661.564571759256)</f>
        <v>44661.56457</v>
      </c>
      <c r="D5465" s="13">
        <f t="shared" si="1"/>
        <v>10</v>
      </c>
      <c r="E5465" s="13">
        <f t="shared" si="2"/>
        <v>13</v>
      </c>
    </row>
    <row r="5466">
      <c r="A5466" s="4" t="s">
        <v>6037</v>
      </c>
      <c r="B5466" s="16"/>
      <c r="C5466" s="12">
        <f>IFERROR(__xludf.DUMMYFUNCTION("""COMPUTED_VALUE"""),44661.56452546296)</f>
        <v>44661.56453</v>
      </c>
      <c r="D5466" s="13">
        <f t="shared" si="1"/>
        <v>10</v>
      </c>
      <c r="E5466" s="13">
        <f t="shared" si="2"/>
        <v>13</v>
      </c>
    </row>
    <row r="5467">
      <c r="A5467" s="4" t="s">
        <v>6038</v>
      </c>
      <c r="B5467" s="16"/>
      <c r="C5467" s="12">
        <f>IFERROR(__xludf.DUMMYFUNCTION("""COMPUTED_VALUE"""),44661.564421296294)</f>
        <v>44661.56442</v>
      </c>
      <c r="D5467" s="13">
        <f t="shared" si="1"/>
        <v>10</v>
      </c>
      <c r="E5467" s="13">
        <f t="shared" si="2"/>
        <v>13</v>
      </c>
    </row>
    <row r="5468">
      <c r="A5468" s="4" t="s">
        <v>6039</v>
      </c>
      <c r="B5468" s="16"/>
      <c r="C5468" s="12">
        <f>IFERROR(__xludf.DUMMYFUNCTION("""COMPUTED_VALUE"""),44661.56429398148)</f>
        <v>44661.56429</v>
      </c>
      <c r="D5468" s="13">
        <f t="shared" si="1"/>
        <v>10</v>
      </c>
      <c r="E5468" s="13">
        <f t="shared" si="2"/>
        <v>13</v>
      </c>
    </row>
    <row r="5469">
      <c r="A5469" s="4" t="s">
        <v>6040</v>
      </c>
      <c r="B5469" s="16"/>
      <c r="C5469" s="12">
        <f>IFERROR(__xludf.DUMMYFUNCTION("""COMPUTED_VALUE"""),44661.56375)</f>
        <v>44661.56375</v>
      </c>
      <c r="D5469" s="13">
        <f t="shared" si="1"/>
        <v>10</v>
      </c>
      <c r="E5469" s="13">
        <f t="shared" si="2"/>
        <v>13</v>
      </c>
    </row>
    <row r="5470">
      <c r="A5470" s="4" t="s">
        <v>6041</v>
      </c>
      <c r="B5470" s="16"/>
      <c r="C5470" s="12">
        <f>IFERROR(__xludf.DUMMYFUNCTION("""COMPUTED_VALUE"""),44661.563692129625)</f>
        <v>44661.56369</v>
      </c>
      <c r="D5470" s="13">
        <f t="shared" si="1"/>
        <v>10</v>
      </c>
      <c r="E5470" s="13">
        <f t="shared" si="2"/>
        <v>13</v>
      </c>
    </row>
    <row r="5471">
      <c r="A5471" s="4" t="s">
        <v>6042</v>
      </c>
      <c r="B5471" s="4" t="s">
        <v>6043</v>
      </c>
      <c r="C5471" s="12">
        <f>IFERROR(__xludf.DUMMYFUNCTION("""COMPUTED_VALUE"""),44661.5634375)</f>
        <v>44661.56344</v>
      </c>
      <c r="D5471" s="13">
        <f t="shared" si="1"/>
        <v>10</v>
      </c>
      <c r="E5471" s="13">
        <f t="shared" si="2"/>
        <v>13</v>
      </c>
    </row>
    <row r="5472">
      <c r="A5472" s="4" t="s">
        <v>6044</v>
      </c>
      <c r="B5472" s="16"/>
      <c r="C5472" s="12">
        <f>IFERROR(__xludf.DUMMYFUNCTION("""COMPUTED_VALUE"""),44661.56211805555)</f>
        <v>44661.56212</v>
      </c>
      <c r="D5472" s="13">
        <f t="shared" si="1"/>
        <v>10</v>
      </c>
      <c r="E5472" s="13">
        <f t="shared" si="2"/>
        <v>13</v>
      </c>
    </row>
    <row r="5473">
      <c r="A5473" s="4" t="s">
        <v>6045</v>
      </c>
      <c r="B5473" s="4" t="s">
        <v>5567</v>
      </c>
      <c r="C5473" s="12">
        <f>IFERROR(__xludf.DUMMYFUNCTION("""COMPUTED_VALUE"""),44661.56203703704)</f>
        <v>44661.56204</v>
      </c>
      <c r="D5473" s="13">
        <f t="shared" si="1"/>
        <v>10</v>
      </c>
      <c r="E5473" s="13">
        <f t="shared" si="2"/>
        <v>13</v>
      </c>
    </row>
    <row r="5474">
      <c r="A5474" s="4" t="s">
        <v>6046</v>
      </c>
      <c r="B5474" s="4" t="s">
        <v>6047</v>
      </c>
      <c r="C5474" s="12">
        <f>IFERROR(__xludf.DUMMYFUNCTION("""COMPUTED_VALUE"""),44661.561643518515)</f>
        <v>44661.56164</v>
      </c>
      <c r="D5474" s="13">
        <f t="shared" si="1"/>
        <v>10</v>
      </c>
      <c r="E5474" s="13">
        <f t="shared" si="2"/>
        <v>13</v>
      </c>
    </row>
    <row r="5475">
      <c r="A5475" s="4" t="s">
        <v>6048</v>
      </c>
      <c r="B5475" s="16"/>
      <c r="C5475" s="12">
        <f>IFERROR(__xludf.DUMMYFUNCTION("""COMPUTED_VALUE"""),44661.561527777776)</f>
        <v>44661.56153</v>
      </c>
      <c r="D5475" s="13">
        <f t="shared" si="1"/>
        <v>10</v>
      </c>
      <c r="E5475" s="13">
        <f t="shared" si="2"/>
        <v>13</v>
      </c>
    </row>
    <row r="5476">
      <c r="A5476" s="4" t="s">
        <v>6049</v>
      </c>
      <c r="B5476" s="4" t="s">
        <v>6050</v>
      </c>
      <c r="C5476" s="12">
        <f>IFERROR(__xludf.DUMMYFUNCTION("""COMPUTED_VALUE"""),44661.557233796295)</f>
        <v>44661.55723</v>
      </c>
      <c r="D5476" s="13">
        <f t="shared" si="1"/>
        <v>10</v>
      </c>
      <c r="E5476" s="13">
        <f t="shared" si="2"/>
        <v>13</v>
      </c>
    </row>
    <row r="5477">
      <c r="A5477" s="4" t="s">
        <v>6051</v>
      </c>
      <c r="B5477" s="4" t="s">
        <v>6052</v>
      </c>
      <c r="C5477" s="12">
        <f>IFERROR(__xludf.DUMMYFUNCTION("""COMPUTED_VALUE"""),44661.54649305555)</f>
        <v>44661.54649</v>
      </c>
      <c r="D5477" s="13">
        <f t="shared" si="1"/>
        <v>10</v>
      </c>
      <c r="E5477" s="13">
        <f t="shared" si="2"/>
        <v>13</v>
      </c>
    </row>
    <row r="5478">
      <c r="A5478" s="4" t="s">
        <v>6053</v>
      </c>
      <c r="B5478" s="4" t="s">
        <v>6054</v>
      </c>
      <c r="C5478" s="12">
        <f>IFERROR(__xludf.DUMMYFUNCTION("""COMPUTED_VALUE"""),44661.541666666664)</f>
        <v>44661.54167</v>
      </c>
      <c r="D5478" s="13">
        <f t="shared" si="1"/>
        <v>10</v>
      </c>
      <c r="E5478" s="13">
        <f t="shared" si="2"/>
        <v>13</v>
      </c>
    </row>
    <row r="5479">
      <c r="A5479" s="4" t="s">
        <v>6055</v>
      </c>
      <c r="B5479" s="4" t="s">
        <v>6054</v>
      </c>
      <c r="C5479" s="12">
        <f>IFERROR(__xludf.DUMMYFUNCTION("""COMPUTED_VALUE"""),44661.54138888889)</f>
        <v>44661.54139</v>
      </c>
      <c r="D5479" s="13">
        <f t="shared" si="1"/>
        <v>10</v>
      </c>
      <c r="E5479" s="13">
        <f t="shared" si="2"/>
        <v>12</v>
      </c>
    </row>
    <row r="5480">
      <c r="A5480" s="4" t="s">
        <v>6056</v>
      </c>
      <c r="B5480" s="16"/>
      <c r="C5480" s="12">
        <f>IFERROR(__xludf.DUMMYFUNCTION("""COMPUTED_VALUE"""),44661.537951388884)</f>
        <v>44661.53795</v>
      </c>
      <c r="D5480" s="13">
        <f t="shared" si="1"/>
        <v>10</v>
      </c>
      <c r="E5480" s="13">
        <f t="shared" si="2"/>
        <v>12</v>
      </c>
    </row>
    <row r="5481">
      <c r="A5481" s="4" t="s">
        <v>6057</v>
      </c>
      <c r="B5481" s="16"/>
      <c r="C5481" s="12">
        <f>IFERROR(__xludf.DUMMYFUNCTION("""COMPUTED_VALUE"""),44661.536736111106)</f>
        <v>44661.53674</v>
      </c>
      <c r="D5481" s="13">
        <f t="shared" si="1"/>
        <v>10</v>
      </c>
      <c r="E5481" s="13">
        <f t="shared" si="2"/>
        <v>12</v>
      </c>
    </row>
    <row r="5482">
      <c r="A5482" s="4" t="s">
        <v>6058</v>
      </c>
      <c r="B5482" s="16"/>
      <c r="C5482" s="12">
        <f>IFERROR(__xludf.DUMMYFUNCTION("""COMPUTED_VALUE"""),44661.53318287037)</f>
        <v>44661.53318</v>
      </c>
      <c r="D5482" s="13">
        <f t="shared" si="1"/>
        <v>10</v>
      </c>
      <c r="E5482" s="13">
        <f t="shared" si="2"/>
        <v>12</v>
      </c>
    </row>
    <row r="5483">
      <c r="A5483" s="4" t="s">
        <v>6059</v>
      </c>
      <c r="B5483" s="16"/>
      <c r="C5483" s="12">
        <f>IFERROR(__xludf.DUMMYFUNCTION("""COMPUTED_VALUE"""),44661.533124999994)</f>
        <v>44661.53313</v>
      </c>
      <c r="D5483" s="13">
        <f t="shared" si="1"/>
        <v>10</v>
      </c>
      <c r="E5483" s="13">
        <f t="shared" si="2"/>
        <v>12</v>
      </c>
    </row>
    <row r="5484">
      <c r="A5484" s="4" t="s">
        <v>6060</v>
      </c>
      <c r="B5484" s="16"/>
      <c r="C5484" s="12">
        <f>IFERROR(__xludf.DUMMYFUNCTION("""COMPUTED_VALUE"""),44661.53302083333)</f>
        <v>44661.53302</v>
      </c>
      <c r="D5484" s="13">
        <f t="shared" si="1"/>
        <v>10</v>
      </c>
      <c r="E5484" s="13">
        <f t="shared" si="2"/>
        <v>12</v>
      </c>
    </row>
    <row r="5485">
      <c r="A5485" s="4" t="s">
        <v>6061</v>
      </c>
      <c r="B5485" s="4" t="s">
        <v>5567</v>
      </c>
      <c r="C5485" s="12">
        <f>IFERROR(__xludf.DUMMYFUNCTION("""COMPUTED_VALUE"""),44661.53293981481)</f>
        <v>44661.53294</v>
      </c>
      <c r="D5485" s="13">
        <f t="shared" si="1"/>
        <v>10</v>
      </c>
      <c r="E5485" s="13">
        <f t="shared" si="2"/>
        <v>12</v>
      </c>
    </row>
    <row r="5486">
      <c r="A5486" s="4" t="s">
        <v>6062</v>
      </c>
      <c r="B5486" s="4" t="s">
        <v>6063</v>
      </c>
      <c r="C5486" s="12">
        <f>IFERROR(__xludf.DUMMYFUNCTION("""COMPUTED_VALUE"""),44661.530648148146)</f>
        <v>44661.53065</v>
      </c>
      <c r="D5486" s="13">
        <f t="shared" si="1"/>
        <v>10</v>
      </c>
      <c r="E5486" s="13">
        <f t="shared" si="2"/>
        <v>12</v>
      </c>
    </row>
    <row r="5487">
      <c r="A5487" s="4" t="s">
        <v>6064</v>
      </c>
      <c r="B5487" s="4" t="s">
        <v>6065</v>
      </c>
      <c r="C5487" s="12">
        <f>IFERROR(__xludf.DUMMYFUNCTION("""COMPUTED_VALUE"""),44661.529398148145)</f>
        <v>44661.5294</v>
      </c>
      <c r="D5487" s="13">
        <f t="shared" si="1"/>
        <v>10</v>
      </c>
      <c r="E5487" s="13">
        <f t="shared" si="2"/>
        <v>12</v>
      </c>
    </row>
    <row r="5488">
      <c r="A5488" s="4" t="s">
        <v>6066</v>
      </c>
      <c r="B5488" s="16"/>
      <c r="C5488" s="12">
        <f>IFERROR(__xludf.DUMMYFUNCTION("""COMPUTED_VALUE"""),44661.52657407407)</f>
        <v>44661.52657</v>
      </c>
      <c r="D5488" s="13">
        <f t="shared" si="1"/>
        <v>10</v>
      </c>
      <c r="E5488" s="13">
        <f t="shared" si="2"/>
        <v>12</v>
      </c>
    </row>
    <row r="5489">
      <c r="A5489" s="4" t="s">
        <v>6067</v>
      </c>
      <c r="B5489" s="16"/>
      <c r="C5489" s="12">
        <f>IFERROR(__xludf.DUMMYFUNCTION("""COMPUTED_VALUE"""),44661.51310185185)</f>
        <v>44661.5131</v>
      </c>
      <c r="D5489" s="13">
        <f t="shared" si="1"/>
        <v>10</v>
      </c>
      <c r="E5489" s="13">
        <f t="shared" si="2"/>
        <v>12</v>
      </c>
    </row>
    <row r="5490">
      <c r="A5490" s="4" t="s">
        <v>6068</v>
      </c>
      <c r="B5490" s="16"/>
      <c r="C5490" s="12">
        <f>IFERROR(__xludf.DUMMYFUNCTION("""COMPUTED_VALUE"""),44661.513032407405)</f>
        <v>44661.51303</v>
      </c>
      <c r="D5490" s="13">
        <f t="shared" si="1"/>
        <v>10</v>
      </c>
      <c r="E5490" s="13">
        <f t="shared" si="2"/>
        <v>12</v>
      </c>
    </row>
    <row r="5491">
      <c r="A5491" s="4" t="s">
        <v>6069</v>
      </c>
      <c r="B5491" s="4" t="s">
        <v>6070</v>
      </c>
      <c r="C5491" s="12">
        <f>IFERROR(__xludf.DUMMYFUNCTION("""COMPUTED_VALUE"""),44661.51262731481)</f>
        <v>44661.51263</v>
      </c>
      <c r="D5491" s="13">
        <f t="shared" si="1"/>
        <v>10</v>
      </c>
      <c r="E5491" s="13">
        <f t="shared" si="2"/>
        <v>12</v>
      </c>
    </row>
    <row r="5492">
      <c r="A5492" s="4" t="s">
        <v>6071</v>
      </c>
      <c r="B5492" s="16"/>
      <c r="C5492" s="12">
        <f>IFERROR(__xludf.DUMMYFUNCTION("""COMPUTED_VALUE"""),44661.50613425926)</f>
        <v>44661.50613</v>
      </c>
      <c r="D5492" s="13">
        <f t="shared" si="1"/>
        <v>10</v>
      </c>
      <c r="E5492" s="13">
        <f t="shared" si="2"/>
        <v>12</v>
      </c>
    </row>
    <row r="5493">
      <c r="A5493" s="4" t="s">
        <v>6072</v>
      </c>
      <c r="B5493" s="4" t="s">
        <v>6073</v>
      </c>
      <c r="C5493" s="12">
        <f>IFERROR(__xludf.DUMMYFUNCTION("""COMPUTED_VALUE"""),44661.50599537037)</f>
        <v>44661.506</v>
      </c>
      <c r="D5493" s="13">
        <f t="shared" si="1"/>
        <v>10</v>
      </c>
      <c r="E5493" s="13">
        <f t="shared" si="2"/>
        <v>12</v>
      </c>
    </row>
    <row r="5494">
      <c r="A5494" s="4" t="s">
        <v>6074</v>
      </c>
      <c r="B5494" s="16"/>
      <c r="C5494" s="12">
        <f>IFERROR(__xludf.DUMMYFUNCTION("""COMPUTED_VALUE"""),44661.50576388888)</f>
        <v>44661.50576</v>
      </c>
      <c r="D5494" s="13">
        <f t="shared" si="1"/>
        <v>10</v>
      </c>
      <c r="E5494" s="13">
        <f t="shared" si="2"/>
        <v>12</v>
      </c>
    </row>
    <row r="5495">
      <c r="A5495" s="4" t="s">
        <v>6074</v>
      </c>
      <c r="B5495" s="16"/>
      <c r="C5495" s="12">
        <f>IFERROR(__xludf.DUMMYFUNCTION("""COMPUTED_VALUE"""),44661.50576388888)</f>
        <v>44661.50576</v>
      </c>
      <c r="D5495" s="13">
        <f t="shared" si="1"/>
        <v>10</v>
      </c>
      <c r="E5495" s="13">
        <f t="shared" si="2"/>
        <v>12</v>
      </c>
    </row>
    <row r="5496">
      <c r="A5496" s="4" t="s">
        <v>6075</v>
      </c>
      <c r="B5496" s="16"/>
      <c r="C5496" s="12">
        <f>IFERROR(__xludf.DUMMYFUNCTION("""COMPUTED_VALUE"""),44661.50567129629)</f>
        <v>44661.50567</v>
      </c>
      <c r="D5496" s="13">
        <f t="shared" si="1"/>
        <v>10</v>
      </c>
      <c r="E5496" s="13">
        <f t="shared" si="2"/>
        <v>12</v>
      </c>
    </row>
    <row r="5497">
      <c r="A5497" s="4" t="s">
        <v>6076</v>
      </c>
      <c r="B5497" s="16"/>
      <c r="C5497" s="12">
        <f>IFERROR(__xludf.DUMMYFUNCTION("""COMPUTED_VALUE"""),44661.50550925926)</f>
        <v>44661.50551</v>
      </c>
      <c r="D5497" s="13">
        <f t="shared" si="1"/>
        <v>10</v>
      </c>
      <c r="E5497" s="13">
        <f t="shared" si="2"/>
        <v>12</v>
      </c>
    </row>
    <row r="5498">
      <c r="A5498" s="4" t="s">
        <v>6077</v>
      </c>
      <c r="B5498" s="16"/>
      <c r="C5498" s="12">
        <f>IFERROR(__xludf.DUMMYFUNCTION("""COMPUTED_VALUE"""),44661.504537037035)</f>
        <v>44661.50454</v>
      </c>
      <c r="D5498" s="13">
        <f t="shared" si="1"/>
        <v>10</v>
      </c>
      <c r="E5498" s="13">
        <f t="shared" si="2"/>
        <v>12</v>
      </c>
    </row>
    <row r="5499">
      <c r="A5499" s="4" t="s">
        <v>6078</v>
      </c>
      <c r="B5499" s="16"/>
      <c r="C5499" s="12">
        <f>IFERROR(__xludf.DUMMYFUNCTION("""COMPUTED_VALUE"""),44661.50431712963)</f>
        <v>44661.50432</v>
      </c>
      <c r="D5499" s="13">
        <f t="shared" si="1"/>
        <v>10</v>
      </c>
      <c r="E5499" s="13">
        <f t="shared" si="2"/>
        <v>12</v>
      </c>
    </row>
    <row r="5500">
      <c r="A5500" s="4" t="s">
        <v>6079</v>
      </c>
      <c r="B5500" s="16"/>
      <c r="C5500" s="12">
        <f>IFERROR(__xludf.DUMMYFUNCTION("""COMPUTED_VALUE"""),44661.503703703704)</f>
        <v>44661.5037</v>
      </c>
      <c r="D5500" s="13">
        <f t="shared" si="1"/>
        <v>10</v>
      </c>
      <c r="E5500" s="13">
        <f t="shared" si="2"/>
        <v>12</v>
      </c>
    </row>
    <row r="5501">
      <c r="A5501" s="4" t="s">
        <v>6080</v>
      </c>
      <c r="B5501" s="16"/>
      <c r="C5501" s="12">
        <f>IFERROR(__xludf.DUMMYFUNCTION("""COMPUTED_VALUE"""),44661.50075231481)</f>
        <v>44661.50075</v>
      </c>
      <c r="D5501" s="13">
        <f t="shared" si="1"/>
        <v>10</v>
      </c>
      <c r="E5501" s="13">
        <f t="shared" si="2"/>
        <v>12</v>
      </c>
    </row>
    <row r="5502">
      <c r="A5502" s="4" t="s">
        <v>6081</v>
      </c>
      <c r="B5502" s="16"/>
      <c r="C5502" s="12">
        <f>IFERROR(__xludf.DUMMYFUNCTION("""COMPUTED_VALUE"""),44661.49785879629)</f>
        <v>44661.49786</v>
      </c>
      <c r="D5502" s="13">
        <f t="shared" si="1"/>
        <v>10</v>
      </c>
      <c r="E5502" s="13">
        <f t="shared" si="2"/>
        <v>11</v>
      </c>
    </row>
    <row r="5503">
      <c r="A5503" s="4" t="s">
        <v>6082</v>
      </c>
      <c r="B5503" s="16"/>
      <c r="C5503" s="12">
        <f>IFERROR(__xludf.DUMMYFUNCTION("""COMPUTED_VALUE"""),44661.496516203704)</f>
        <v>44661.49652</v>
      </c>
      <c r="D5503" s="13">
        <f t="shared" si="1"/>
        <v>10</v>
      </c>
      <c r="E5503" s="13">
        <f t="shared" si="2"/>
        <v>11</v>
      </c>
    </row>
    <row r="5504">
      <c r="A5504" s="4" t="s">
        <v>6083</v>
      </c>
      <c r="B5504" s="4" t="s">
        <v>6084</v>
      </c>
      <c r="C5504" s="12">
        <f>IFERROR(__xludf.DUMMYFUNCTION("""COMPUTED_VALUE"""),44661.4902662037)</f>
        <v>44661.49027</v>
      </c>
      <c r="D5504" s="13">
        <f t="shared" si="1"/>
        <v>10</v>
      </c>
      <c r="E5504" s="13">
        <f t="shared" si="2"/>
        <v>11</v>
      </c>
    </row>
    <row r="5505">
      <c r="A5505" s="4" t="s">
        <v>6085</v>
      </c>
      <c r="B5505" s="16"/>
      <c r="C5505" s="12">
        <f>IFERROR(__xludf.DUMMYFUNCTION("""COMPUTED_VALUE"""),44661.4825)</f>
        <v>44661.4825</v>
      </c>
      <c r="D5505" s="13">
        <f t="shared" si="1"/>
        <v>10</v>
      </c>
      <c r="E5505" s="13">
        <f t="shared" si="2"/>
        <v>11</v>
      </c>
    </row>
    <row r="5506">
      <c r="A5506" s="4" t="s">
        <v>6086</v>
      </c>
      <c r="B5506" s="16"/>
      <c r="C5506" s="12">
        <f>IFERROR(__xludf.DUMMYFUNCTION("""COMPUTED_VALUE"""),44661.4824537037)</f>
        <v>44661.48245</v>
      </c>
      <c r="D5506" s="13">
        <f t="shared" si="1"/>
        <v>10</v>
      </c>
      <c r="E5506" s="13">
        <f t="shared" si="2"/>
        <v>11</v>
      </c>
    </row>
    <row r="5507">
      <c r="A5507" s="4" t="s">
        <v>6087</v>
      </c>
      <c r="B5507" s="16"/>
      <c r="C5507" s="12">
        <f>IFERROR(__xludf.DUMMYFUNCTION("""COMPUTED_VALUE"""),44661.482152777775)</f>
        <v>44661.48215</v>
      </c>
      <c r="D5507" s="13">
        <f t="shared" si="1"/>
        <v>10</v>
      </c>
      <c r="E5507" s="13">
        <f t="shared" si="2"/>
        <v>11</v>
      </c>
    </row>
    <row r="5508">
      <c r="A5508" s="4" t="s">
        <v>6088</v>
      </c>
      <c r="B5508" s="4" t="s">
        <v>6089</v>
      </c>
      <c r="C5508" s="12">
        <f>IFERROR(__xludf.DUMMYFUNCTION("""COMPUTED_VALUE"""),44661.48094907407)</f>
        <v>44661.48095</v>
      </c>
      <c r="D5508" s="13">
        <f t="shared" si="1"/>
        <v>10</v>
      </c>
      <c r="E5508" s="13">
        <f t="shared" si="2"/>
        <v>11</v>
      </c>
    </row>
    <row r="5509">
      <c r="A5509" s="4" t="s">
        <v>6090</v>
      </c>
      <c r="B5509" s="16"/>
      <c r="C5509" s="12">
        <f>IFERROR(__xludf.DUMMYFUNCTION("""COMPUTED_VALUE"""),44661.480219907404)</f>
        <v>44661.48022</v>
      </c>
      <c r="D5509" s="13">
        <f t="shared" si="1"/>
        <v>10</v>
      </c>
      <c r="E5509" s="13">
        <f t="shared" si="2"/>
        <v>11</v>
      </c>
    </row>
    <row r="5510">
      <c r="A5510" s="4" t="s">
        <v>6091</v>
      </c>
      <c r="B5510" s="16"/>
      <c r="C5510" s="12">
        <f>IFERROR(__xludf.DUMMYFUNCTION("""COMPUTED_VALUE"""),44661.47965277777)</f>
        <v>44661.47965</v>
      </c>
      <c r="D5510" s="13">
        <f t="shared" si="1"/>
        <v>10</v>
      </c>
      <c r="E5510" s="13">
        <f t="shared" si="2"/>
        <v>11</v>
      </c>
    </row>
    <row r="5511">
      <c r="A5511" s="4" t="s">
        <v>6092</v>
      </c>
      <c r="B5511" s="16"/>
      <c r="C5511" s="12">
        <f>IFERROR(__xludf.DUMMYFUNCTION("""COMPUTED_VALUE"""),44661.4795949074)</f>
        <v>44661.47959</v>
      </c>
      <c r="D5511" s="13">
        <f t="shared" si="1"/>
        <v>10</v>
      </c>
      <c r="E5511" s="13">
        <f t="shared" si="2"/>
        <v>11</v>
      </c>
    </row>
    <row r="5512">
      <c r="A5512" s="4" t="s">
        <v>6093</v>
      </c>
      <c r="B5512" s="16"/>
      <c r="C5512" s="12">
        <f>IFERROR(__xludf.DUMMYFUNCTION("""COMPUTED_VALUE"""),44661.47954861111)</f>
        <v>44661.47955</v>
      </c>
      <c r="D5512" s="13">
        <f t="shared" si="1"/>
        <v>10</v>
      </c>
      <c r="E5512" s="13">
        <f t="shared" si="2"/>
        <v>11</v>
      </c>
    </row>
    <row r="5513">
      <c r="A5513" s="4" t="s">
        <v>6094</v>
      </c>
      <c r="B5513" s="16"/>
      <c r="C5513" s="12">
        <f>IFERROR(__xludf.DUMMYFUNCTION("""COMPUTED_VALUE"""),44661.476689814815)</f>
        <v>44661.47669</v>
      </c>
      <c r="D5513" s="13">
        <f t="shared" si="1"/>
        <v>10</v>
      </c>
      <c r="E5513" s="13">
        <f t="shared" si="2"/>
        <v>11</v>
      </c>
    </row>
    <row r="5514">
      <c r="A5514" s="4" t="s">
        <v>6095</v>
      </c>
      <c r="B5514" s="16"/>
      <c r="C5514" s="12">
        <f>IFERROR(__xludf.DUMMYFUNCTION("""COMPUTED_VALUE"""),44661.475127314814)</f>
        <v>44661.47513</v>
      </c>
      <c r="D5514" s="13">
        <f t="shared" si="1"/>
        <v>10</v>
      </c>
      <c r="E5514" s="13">
        <f t="shared" si="2"/>
        <v>11</v>
      </c>
    </row>
    <row r="5515">
      <c r="A5515" s="4" t="s">
        <v>6096</v>
      </c>
      <c r="B5515" s="16"/>
      <c r="C5515" s="12">
        <f>IFERROR(__xludf.DUMMYFUNCTION("""COMPUTED_VALUE"""),44661.463229166664)</f>
        <v>44661.46323</v>
      </c>
      <c r="D5515" s="13">
        <f t="shared" si="1"/>
        <v>10</v>
      </c>
      <c r="E5515" s="13">
        <f t="shared" si="2"/>
        <v>11</v>
      </c>
    </row>
    <row r="5516">
      <c r="A5516" s="4" t="s">
        <v>6097</v>
      </c>
      <c r="B5516" s="16"/>
      <c r="C5516" s="12">
        <f>IFERROR(__xludf.DUMMYFUNCTION("""COMPUTED_VALUE"""),44661.460509259254)</f>
        <v>44661.46051</v>
      </c>
      <c r="D5516" s="13">
        <f t="shared" si="1"/>
        <v>10</v>
      </c>
      <c r="E5516" s="13">
        <f t="shared" si="2"/>
        <v>11</v>
      </c>
    </row>
    <row r="5517">
      <c r="A5517" s="4" t="s">
        <v>6098</v>
      </c>
      <c r="B5517" s="16"/>
      <c r="C5517" s="12">
        <f>IFERROR(__xludf.DUMMYFUNCTION("""COMPUTED_VALUE"""),44661.46024305555)</f>
        <v>44661.46024</v>
      </c>
      <c r="D5517" s="13">
        <f t="shared" si="1"/>
        <v>10</v>
      </c>
      <c r="E5517" s="13">
        <f t="shared" si="2"/>
        <v>11</v>
      </c>
    </row>
    <row r="5518">
      <c r="A5518" s="4" t="s">
        <v>6099</v>
      </c>
      <c r="B5518" s="16"/>
      <c r="C5518" s="12">
        <f>IFERROR(__xludf.DUMMYFUNCTION("""COMPUTED_VALUE"""),44661.45795138889)</f>
        <v>44661.45795</v>
      </c>
      <c r="D5518" s="13">
        <f t="shared" si="1"/>
        <v>10</v>
      </c>
      <c r="E5518" s="13">
        <f t="shared" si="2"/>
        <v>10</v>
      </c>
    </row>
    <row r="5519">
      <c r="A5519" s="4" t="s">
        <v>6100</v>
      </c>
      <c r="B5519" s="16"/>
      <c r="C5519" s="12">
        <f>IFERROR(__xludf.DUMMYFUNCTION("""COMPUTED_VALUE"""),44661.45511574074)</f>
        <v>44661.45512</v>
      </c>
      <c r="D5519" s="13">
        <f t="shared" si="1"/>
        <v>10</v>
      </c>
      <c r="E5519" s="13">
        <f t="shared" si="2"/>
        <v>10</v>
      </c>
    </row>
    <row r="5520">
      <c r="A5520" s="4" t="s">
        <v>6101</v>
      </c>
      <c r="B5520" s="16"/>
      <c r="C5520" s="12">
        <f>IFERROR(__xludf.DUMMYFUNCTION("""COMPUTED_VALUE"""),44661.45322916666)</f>
        <v>44661.45323</v>
      </c>
      <c r="D5520" s="13">
        <f t="shared" si="1"/>
        <v>10</v>
      </c>
      <c r="E5520" s="13">
        <f t="shared" si="2"/>
        <v>10</v>
      </c>
    </row>
    <row r="5521">
      <c r="A5521" s="4" t="s">
        <v>6102</v>
      </c>
      <c r="B5521" s="16"/>
      <c r="C5521" s="12">
        <f>IFERROR(__xludf.DUMMYFUNCTION("""COMPUTED_VALUE"""),44661.45284722222)</f>
        <v>44661.45285</v>
      </c>
      <c r="D5521" s="13">
        <f t="shared" si="1"/>
        <v>10</v>
      </c>
      <c r="E5521" s="13">
        <f t="shared" si="2"/>
        <v>10</v>
      </c>
    </row>
    <row r="5522">
      <c r="A5522" s="4" t="s">
        <v>6103</v>
      </c>
      <c r="B5522" s="16"/>
      <c r="C5522" s="12">
        <f>IFERROR(__xludf.DUMMYFUNCTION("""COMPUTED_VALUE"""),44661.45277777778)</f>
        <v>44661.45278</v>
      </c>
      <c r="D5522" s="13">
        <f t="shared" si="1"/>
        <v>10</v>
      </c>
      <c r="E5522" s="13">
        <f t="shared" si="2"/>
        <v>10</v>
      </c>
    </row>
    <row r="5523">
      <c r="A5523" s="4" t="s">
        <v>6104</v>
      </c>
      <c r="B5523" s="16"/>
      <c r="C5523" s="12">
        <f>IFERROR(__xludf.DUMMYFUNCTION("""COMPUTED_VALUE"""),44661.452465277776)</f>
        <v>44661.45247</v>
      </c>
      <c r="D5523" s="13">
        <f t="shared" si="1"/>
        <v>10</v>
      </c>
      <c r="E5523" s="13">
        <f t="shared" si="2"/>
        <v>10</v>
      </c>
    </row>
    <row r="5524">
      <c r="A5524" s="4" t="s">
        <v>6105</v>
      </c>
      <c r="B5524" s="16"/>
      <c r="C5524" s="12">
        <f>IFERROR(__xludf.DUMMYFUNCTION("""COMPUTED_VALUE"""),44661.44844907407)</f>
        <v>44661.44845</v>
      </c>
      <c r="D5524" s="13">
        <f t="shared" si="1"/>
        <v>10</v>
      </c>
      <c r="E5524" s="13">
        <f t="shared" si="2"/>
        <v>10</v>
      </c>
    </row>
    <row r="5525">
      <c r="A5525" s="4" t="s">
        <v>6106</v>
      </c>
      <c r="B5525" s="4" t="s">
        <v>5428</v>
      </c>
      <c r="C5525" s="12">
        <f>IFERROR(__xludf.DUMMYFUNCTION("""COMPUTED_VALUE"""),44661.44800925926)</f>
        <v>44661.44801</v>
      </c>
      <c r="D5525" s="13">
        <f t="shared" si="1"/>
        <v>10</v>
      </c>
      <c r="E5525" s="13">
        <f t="shared" si="2"/>
        <v>10</v>
      </c>
    </row>
    <row r="5526">
      <c r="A5526" s="4" t="s">
        <v>6107</v>
      </c>
      <c r="B5526" s="16"/>
      <c r="C5526" s="12">
        <f>IFERROR(__xludf.DUMMYFUNCTION("""COMPUTED_VALUE"""),44661.445925925924)</f>
        <v>44661.44593</v>
      </c>
      <c r="D5526" s="13">
        <f t="shared" si="1"/>
        <v>10</v>
      </c>
      <c r="E5526" s="13">
        <f t="shared" si="2"/>
        <v>10</v>
      </c>
    </row>
    <row r="5527">
      <c r="A5527" s="4" t="s">
        <v>6108</v>
      </c>
      <c r="B5527" s="4" t="s">
        <v>5428</v>
      </c>
      <c r="C5527" s="12">
        <f>IFERROR(__xludf.DUMMYFUNCTION("""COMPUTED_VALUE"""),44661.4458912037)</f>
        <v>44661.44589</v>
      </c>
      <c r="D5527" s="13">
        <f t="shared" si="1"/>
        <v>10</v>
      </c>
      <c r="E5527" s="13">
        <f t="shared" si="2"/>
        <v>10</v>
      </c>
    </row>
    <row r="5528">
      <c r="A5528" s="4" t="s">
        <v>6109</v>
      </c>
      <c r="B5528" s="4" t="s">
        <v>5428</v>
      </c>
      <c r="C5528" s="12">
        <f>IFERROR(__xludf.DUMMYFUNCTION("""COMPUTED_VALUE"""),44661.445706018516)</f>
        <v>44661.44571</v>
      </c>
      <c r="D5528" s="13">
        <f t="shared" si="1"/>
        <v>10</v>
      </c>
      <c r="E5528" s="13">
        <f t="shared" si="2"/>
        <v>10</v>
      </c>
    </row>
    <row r="5529">
      <c r="A5529" s="4" t="s">
        <v>6110</v>
      </c>
      <c r="B5529" s="4" t="s">
        <v>6111</v>
      </c>
      <c r="C5529" s="12">
        <f>IFERROR(__xludf.DUMMYFUNCTION("""COMPUTED_VALUE"""),44661.445567129624)</f>
        <v>44661.44557</v>
      </c>
      <c r="D5529" s="13">
        <f t="shared" si="1"/>
        <v>10</v>
      </c>
      <c r="E5529" s="13">
        <f t="shared" si="2"/>
        <v>10</v>
      </c>
    </row>
    <row r="5530">
      <c r="A5530" s="4" t="s">
        <v>6112</v>
      </c>
      <c r="B5530" s="16"/>
      <c r="C5530" s="12">
        <f>IFERROR(__xludf.DUMMYFUNCTION("""COMPUTED_VALUE"""),44661.44528935185)</f>
        <v>44661.44529</v>
      </c>
      <c r="D5530" s="13">
        <f t="shared" si="1"/>
        <v>10</v>
      </c>
      <c r="E5530" s="13">
        <f t="shared" si="2"/>
        <v>10</v>
      </c>
    </row>
    <row r="5531">
      <c r="A5531" s="4" t="s">
        <v>6113</v>
      </c>
      <c r="B5531" s="4" t="s">
        <v>5428</v>
      </c>
      <c r="C5531" s="12">
        <f>IFERROR(__xludf.DUMMYFUNCTION("""COMPUTED_VALUE"""),44661.4452662037)</f>
        <v>44661.44527</v>
      </c>
      <c r="D5531" s="13">
        <f t="shared" si="1"/>
        <v>10</v>
      </c>
      <c r="E5531" s="13">
        <f t="shared" si="2"/>
        <v>10</v>
      </c>
    </row>
    <row r="5532">
      <c r="A5532" s="4" t="s">
        <v>6114</v>
      </c>
      <c r="B5532" s="4" t="s">
        <v>5428</v>
      </c>
      <c r="C5532" s="12">
        <f>IFERROR(__xludf.DUMMYFUNCTION("""COMPUTED_VALUE"""),44661.44523148148)</f>
        <v>44661.44523</v>
      </c>
      <c r="D5532" s="13">
        <f t="shared" si="1"/>
        <v>10</v>
      </c>
      <c r="E5532" s="13">
        <f t="shared" si="2"/>
        <v>10</v>
      </c>
    </row>
    <row r="5533">
      <c r="A5533" s="4" t="s">
        <v>6115</v>
      </c>
      <c r="B5533" s="4" t="s">
        <v>5428</v>
      </c>
      <c r="C5533" s="12">
        <f>IFERROR(__xludf.DUMMYFUNCTION("""COMPUTED_VALUE"""),44661.44520833333)</f>
        <v>44661.44521</v>
      </c>
      <c r="D5533" s="13">
        <f t="shared" si="1"/>
        <v>10</v>
      </c>
      <c r="E5533" s="13">
        <f t="shared" si="2"/>
        <v>10</v>
      </c>
    </row>
    <row r="5534">
      <c r="A5534" s="4" t="s">
        <v>6116</v>
      </c>
      <c r="B5534" s="4" t="s">
        <v>5428</v>
      </c>
      <c r="C5534" s="12">
        <f>IFERROR(__xludf.DUMMYFUNCTION("""COMPUTED_VALUE"""),44661.44516203704)</f>
        <v>44661.44516</v>
      </c>
      <c r="D5534" s="13">
        <f t="shared" si="1"/>
        <v>10</v>
      </c>
      <c r="E5534" s="13">
        <f t="shared" si="2"/>
        <v>10</v>
      </c>
    </row>
    <row r="5535">
      <c r="A5535" s="4" t="s">
        <v>6117</v>
      </c>
      <c r="B5535" s="4" t="s">
        <v>5428</v>
      </c>
      <c r="C5535" s="12">
        <f>IFERROR(__xludf.DUMMYFUNCTION("""COMPUTED_VALUE"""),44661.445127314815)</f>
        <v>44661.44513</v>
      </c>
      <c r="D5535" s="13">
        <f t="shared" si="1"/>
        <v>10</v>
      </c>
      <c r="E5535" s="13">
        <f t="shared" si="2"/>
        <v>10</v>
      </c>
    </row>
    <row r="5536">
      <c r="A5536" s="4" t="s">
        <v>6118</v>
      </c>
      <c r="B5536" s="4" t="s">
        <v>5428</v>
      </c>
      <c r="C5536" s="12">
        <f>IFERROR(__xludf.DUMMYFUNCTION("""COMPUTED_VALUE"""),44661.44509259259)</f>
        <v>44661.44509</v>
      </c>
      <c r="D5536" s="13">
        <f t="shared" si="1"/>
        <v>10</v>
      </c>
      <c r="E5536" s="13">
        <f t="shared" si="2"/>
        <v>10</v>
      </c>
    </row>
    <row r="5537">
      <c r="A5537" s="4" t="s">
        <v>6119</v>
      </c>
      <c r="B5537" s="4" t="s">
        <v>5428</v>
      </c>
      <c r="C5537" s="12">
        <f>IFERROR(__xludf.DUMMYFUNCTION("""COMPUTED_VALUE"""),44661.44506944444)</f>
        <v>44661.44507</v>
      </c>
      <c r="D5537" s="13">
        <f t="shared" si="1"/>
        <v>10</v>
      </c>
      <c r="E5537" s="13">
        <f t="shared" si="2"/>
        <v>10</v>
      </c>
    </row>
    <row r="5538">
      <c r="A5538" s="4" t="s">
        <v>6120</v>
      </c>
      <c r="B5538" s="4" t="s">
        <v>5428</v>
      </c>
      <c r="C5538" s="12">
        <f>IFERROR(__xludf.DUMMYFUNCTION("""COMPUTED_VALUE"""),44661.44504629629)</f>
        <v>44661.44505</v>
      </c>
      <c r="D5538" s="13">
        <f t="shared" si="1"/>
        <v>10</v>
      </c>
      <c r="E5538" s="13">
        <f t="shared" si="2"/>
        <v>10</v>
      </c>
    </row>
    <row r="5539">
      <c r="A5539" s="4" t="s">
        <v>6121</v>
      </c>
      <c r="B5539" s="4" t="s">
        <v>5428</v>
      </c>
      <c r="C5539" s="12">
        <f>IFERROR(__xludf.DUMMYFUNCTION("""COMPUTED_VALUE"""),44661.44501157407)</f>
        <v>44661.44501</v>
      </c>
      <c r="D5539" s="13">
        <f t="shared" si="1"/>
        <v>10</v>
      </c>
      <c r="E5539" s="13">
        <f t="shared" si="2"/>
        <v>10</v>
      </c>
    </row>
    <row r="5540">
      <c r="A5540" s="4" t="s">
        <v>6122</v>
      </c>
      <c r="B5540" s="4" t="s">
        <v>5428</v>
      </c>
      <c r="C5540" s="12">
        <f>IFERROR(__xludf.DUMMYFUNCTION("""COMPUTED_VALUE"""),44661.444976851846)</f>
        <v>44661.44498</v>
      </c>
      <c r="D5540" s="13">
        <f t="shared" si="1"/>
        <v>10</v>
      </c>
      <c r="E5540" s="13">
        <f t="shared" si="2"/>
        <v>10</v>
      </c>
    </row>
    <row r="5541">
      <c r="A5541" s="4" t="s">
        <v>6123</v>
      </c>
      <c r="B5541" s="4" t="s">
        <v>5428</v>
      </c>
      <c r="C5541" s="12">
        <f>IFERROR(__xludf.DUMMYFUNCTION("""COMPUTED_VALUE"""),44661.4449537037)</f>
        <v>44661.44495</v>
      </c>
      <c r="D5541" s="13">
        <f t="shared" si="1"/>
        <v>10</v>
      </c>
      <c r="E5541" s="13">
        <f t="shared" si="2"/>
        <v>10</v>
      </c>
    </row>
    <row r="5542">
      <c r="A5542" s="4" t="s">
        <v>6124</v>
      </c>
      <c r="B5542" s="4" t="s">
        <v>5428</v>
      </c>
      <c r="C5542" s="12">
        <f>IFERROR(__xludf.DUMMYFUNCTION("""COMPUTED_VALUE"""),44661.44491898148)</f>
        <v>44661.44492</v>
      </c>
      <c r="D5542" s="13">
        <f t="shared" si="1"/>
        <v>10</v>
      </c>
      <c r="E5542" s="13">
        <f t="shared" si="2"/>
        <v>10</v>
      </c>
    </row>
    <row r="5543">
      <c r="A5543" s="4" t="s">
        <v>6125</v>
      </c>
      <c r="B5543" s="4" t="s">
        <v>5428</v>
      </c>
      <c r="C5543" s="12">
        <f>IFERROR(__xludf.DUMMYFUNCTION("""COMPUTED_VALUE"""),44661.44489583333)</f>
        <v>44661.4449</v>
      </c>
      <c r="D5543" s="13">
        <f t="shared" si="1"/>
        <v>10</v>
      </c>
      <c r="E5543" s="13">
        <f t="shared" si="2"/>
        <v>10</v>
      </c>
    </row>
    <row r="5544">
      <c r="A5544" s="4" t="s">
        <v>6126</v>
      </c>
      <c r="B5544" s="16"/>
      <c r="C5544" s="12">
        <f>IFERROR(__xludf.DUMMYFUNCTION("""COMPUTED_VALUE"""),44661.44486111111)</f>
        <v>44661.44486</v>
      </c>
      <c r="D5544" s="13">
        <f t="shared" si="1"/>
        <v>10</v>
      </c>
      <c r="E5544" s="13">
        <f t="shared" si="2"/>
        <v>10</v>
      </c>
    </row>
    <row r="5545">
      <c r="A5545" s="4" t="s">
        <v>6126</v>
      </c>
      <c r="B5545" s="4" t="s">
        <v>5428</v>
      </c>
      <c r="C5545" s="12">
        <f>IFERROR(__xludf.DUMMYFUNCTION("""COMPUTED_VALUE"""),44661.44486111111)</f>
        <v>44661.44486</v>
      </c>
      <c r="D5545" s="13">
        <f t="shared" si="1"/>
        <v>10</v>
      </c>
      <c r="E5545" s="13">
        <f t="shared" si="2"/>
        <v>10</v>
      </c>
    </row>
    <row r="5546">
      <c r="A5546" s="4" t="s">
        <v>6127</v>
      </c>
      <c r="B5546" s="4" t="s">
        <v>5428</v>
      </c>
      <c r="C5546" s="12">
        <f>IFERROR(__xludf.DUMMYFUNCTION("""COMPUTED_VALUE"""),44661.444826388884)</f>
        <v>44661.44483</v>
      </c>
      <c r="D5546" s="13">
        <f t="shared" si="1"/>
        <v>10</v>
      </c>
      <c r="E5546" s="13">
        <f t="shared" si="2"/>
        <v>10</v>
      </c>
    </row>
    <row r="5547">
      <c r="A5547" s="4" t="s">
        <v>6128</v>
      </c>
      <c r="B5547" s="4" t="s">
        <v>5428</v>
      </c>
      <c r="C5547" s="12">
        <f>IFERROR(__xludf.DUMMYFUNCTION("""COMPUTED_VALUE"""),44661.44472222222)</f>
        <v>44661.44472</v>
      </c>
      <c r="D5547" s="13">
        <f t="shared" si="1"/>
        <v>10</v>
      </c>
      <c r="E5547" s="13">
        <f t="shared" si="2"/>
        <v>10</v>
      </c>
    </row>
    <row r="5548">
      <c r="A5548" s="4" t="s">
        <v>6129</v>
      </c>
      <c r="B5548" s="4" t="s">
        <v>5428</v>
      </c>
      <c r="C5548" s="12">
        <f>IFERROR(__xludf.DUMMYFUNCTION("""COMPUTED_VALUE"""),44661.44461805555)</f>
        <v>44661.44462</v>
      </c>
      <c r="D5548" s="13">
        <f t="shared" si="1"/>
        <v>10</v>
      </c>
      <c r="E5548" s="13">
        <f t="shared" si="2"/>
        <v>10</v>
      </c>
    </row>
    <row r="5549">
      <c r="A5549" s="4" t="s">
        <v>6130</v>
      </c>
      <c r="B5549" s="4" t="s">
        <v>5428</v>
      </c>
      <c r="C5549" s="12">
        <f>IFERROR(__xludf.DUMMYFUNCTION("""COMPUTED_VALUE"""),44661.44459490741)</f>
        <v>44661.44459</v>
      </c>
      <c r="D5549" s="13">
        <f t="shared" si="1"/>
        <v>10</v>
      </c>
      <c r="E5549" s="13">
        <f t="shared" si="2"/>
        <v>10</v>
      </c>
    </row>
    <row r="5550">
      <c r="A5550" s="4" t="s">
        <v>6131</v>
      </c>
      <c r="B5550" s="16"/>
      <c r="C5550" s="12">
        <f>IFERROR(__xludf.DUMMYFUNCTION("""COMPUTED_VALUE"""),44661.44452546296)</f>
        <v>44661.44453</v>
      </c>
      <c r="D5550" s="13">
        <f t="shared" si="1"/>
        <v>10</v>
      </c>
      <c r="E5550" s="13">
        <f t="shared" si="2"/>
        <v>10</v>
      </c>
    </row>
    <row r="5551">
      <c r="A5551" s="4" t="s">
        <v>6132</v>
      </c>
      <c r="B5551" s="4" t="s">
        <v>5428</v>
      </c>
      <c r="C5551" s="12">
        <f>IFERROR(__xludf.DUMMYFUNCTION("""COMPUTED_VALUE"""),44661.44447916666)</f>
        <v>44661.44448</v>
      </c>
      <c r="D5551" s="13">
        <f t="shared" si="1"/>
        <v>10</v>
      </c>
      <c r="E5551" s="13">
        <f t="shared" si="2"/>
        <v>10</v>
      </c>
    </row>
    <row r="5552">
      <c r="A5552" s="4" t="s">
        <v>6133</v>
      </c>
      <c r="B5552" s="4" t="s">
        <v>5428</v>
      </c>
      <c r="C5552" s="12">
        <f>IFERROR(__xludf.DUMMYFUNCTION("""COMPUTED_VALUE"""),44661.444375)</f>
        <v>44661.44438</v>
      </c>
      <c r="D5552" s="13">
        <f t="shared" si="1"/>
        <v>10</v>
      </c>
      <c r="E5552" s="13">
        <f t="shared" si="2"/>
        <v>10</v>
      </c>
    </row>
    <row r="5553">
      <c r="A5553" s="4" t="s">
        <v>6134</v>
      </c>
      <c r="B5553" s="4" t="s">
        <v>5428</v>
      </c>
      <c r="C5553" s="12">
        <f>IFERROR(__xludf.DUMMYFUNCTION("""COMPUTED_VALUE"""),44661.44436342592)</f>
        <v>44661.44436</v>
      </c>
      <c r="D5553" s="13">
        <f t="shared" si="1"/>
        <v>10</v>
      </c>
      <c r="E5553" s="13">
        <f t="shared" si="2"/>
        <v>10</v>
      </c>
    </row>
    <row r="5554">
      <c r="A5554" s="4" t="s">
        <v>6135</v>
      </c>
      <c r="B5554" s="4" t="s">
        <v>5428</v>
      </c>
      <c r="C5554" s="12">
        <f>IFERROR(__xludf.DUMMYFUNCTION("""COMPUTED_VALUE"""),44661.4443287037)</f>
        <v>44661.44433</v>
      </c>
      <c r="D5554" s="13">
        <f t="shared" si="1"/>
        <v>10</v>
      </c>
      <c r="E5554" s="13">
        <f t="shared" si="2"/>
        <v>10</v>
      </c>
    </row>
    <row r="5555">
      <c r="A5555" s="4" t="s">
        <v>6136</v>
      </c>
      <c r="B5555" s="16"/>
      <c r="C5555" s="12">
        <f>IFERROR(__xludf.DUMMYFUNCTION("""COMPUTED_VALUE"""),44661.44427083333)</f>
        <v>44661.44427</v>
      </c>
      <c r="D5555" s="13">
        <f t="shared" si="1"/>
        <v>10</v>
      </c>
      <c r="E5555" s="13">
        <f t="shared" si="2"/>
        <v>10</v>
      </c>
    </row>
    <row r="5556">
      <c r="A5556" s="4" t="s">
        <v>6137</v>
      </c>
      <c r="B5556" s="4" t="s">
        <v>5428</v>
      </c>
      <c r="C5556" s="12">
        <f>IFERROR(__xludf.DUMMYFUNCTION("""COMPUTED_VALUE"""),44661.444143518514)</f>
        <v>44661.44414</v>
      </c>
      <c r="D5556" s="13">
        <f t="shared" si="1"/>
        <v>10</v>
      </c>
      <c r="E5556" s="13">
        <f t="shared" si="2"/>
        <v>10</v>
      </c>
    </row>
    <row r="5557">
      <c r="A5557" s="4" t="s">
        <v>6138</v>
      </c>
      <c r="B5557" s="4" t="s">
        <v>5428</v>
      </c>
      <c r="C5557" s="12">
        <f>IFERROR(__xludf.DUMMYFUNCTION("""COMPUTED_VALUE"""),44661.44412037037)</f>
        <v>44661.44412</v>
      </c>
      <c r="D5557" s="13">
        <f t="shared" si="1"/>
        <v>10</v>
      </c>
      <c r="E5557" s="13">
        <f t="shared" si="2"/>
        <v>10</v>
      </c>
    </row>
    <row r="5558">
      <c r="A5558" s="4" t="s">
        <v>6139</v>
      </c>
      <c r="B5558" s="16"/>
      <c r="C5558" s="12">
        <f>IFERROR(__xludf.DUMMYFUNCTION("""COMPUTED_VALUE"""),44661.443819444445)</f>
        <v>44661.44382</v>
      </c>
      <c r="D5558" s="13">
        <f t="shared" si="1"/>
        <v>10</v>
      </c>
      <c r="E5558" s="13">
        <f t="shared" si="2"/>
        <v>10</v>
      </c>
    </row>
    <row r="5559">
      <c r="A5559" s="4" t="s">
        <v>6140</v>
      </c>
      <c r="B5559" s="4" t="s">
        <v>6141</v>
      </c>
      <c r="C5559" s="12">
        <f>IFERROR(__xludf.DUMMYFUNCTION("""COMPUTED_VALUE"""),44661.44362268518)</f>
        <v>44661.44362</v>
      </c>
      <c r="D5559" s="13">
        <f t="shared" si="1"/>
        <v>10</v>
      </c>
      <c r="E5559" s="13">
        <f t="shared" si="2"/>
        <v>10</v>
      </c>
    </row>
    <row r="5560">
      <c r="A5560" s="4" t="s">
        <v>6142</v>
      </c>
      <c r="B5560" s="4" t="s">
        <v>6141</v>
      </c>
      <c r="C5560" s="12">
        <f>IFERROR(__xludf.DUMMYFUNCTION("""COMPUTED_VALUE"""),44661.44359953704)</f>
        <v>44661.4436</v>
      </c>
      <c r="D5560" s="13">
        <f t="shared" si="1"/>
        <v>10</v>
      </c>
      <c r="E5560" s="13">
        <f t="shared" si="2"/>
        <v>10</v>
      </c>
    </row>
    <row r="5561">
      <c r="A5561" s="4" t="s">
        <v>6143</v>
      </c>
      <c r="B5561" s="4" t="s">
        <v>6141</v>
      </c>
      <c r="C5561" s="12">
        <f>IFERROR(__xludf.DUMMYFUNCTION("""COMPUTED_VALUE"""),44661.44349537037)</f>
        <v>44661.4435</v>
      </c>
      <c r="D5561" s="13">
        <f t="shared" si="1"/>
        <v>10</v>
      </c>
      <c r="E5561" s="13">
        <f t="shared" si="2"/>
        <v>10</v>
      </c>
    </row>
    <row r="5562">
      <c r="A5562" s="4" t="s">
        <v>6144</v>
      </c>
      <c r="B5562" s="4" t="s">
        <v>6141</v>
      </c>
      <c r="C5562" s="12">
        <f>IFERROR(__xludf.DUMMYFUNCTION("""COMPUTED_VALUE"""),44661.44347222222)</f>
        <v>44661.44347</v>
      </c>
      <c r="D5562" s="13">
        <f t="shared" si="1"/>
        <v>10</v>
      </c>
      <c r="E5562" s="13">
        <f t="shared" si="2"/>
        <v>10</v>
      </c>
    </row>
    <row r="5563">
      <c r="A5563" s="4" t="s">
        <v>6145</v>
      </c>
      <c r="B5563" s="4" t="s">
        <v>6141</v>
      </c>
      <c r="C5563" s="12">
        <f>IFERROR(__xludf.DUMMYFUNCTION("""COMPUTED_VALUE"""),44661.443344907406)</f>
        <v>44661.44334</v>
      </c>
      <c r="D5563" s="13">
        <f t="shared" si="1"/>
        <v>10</v>
      </c>
      <c r="E5563" s="13">
        <f t="shared" si="2"/>
        <v>10</v>
      </c>
    </row>
    <row r="5564">
      <c r="A5564" s="4" t="s">
        <v>6146</v>
      </c>
      <c r="B5564" s="16"/>
      <c r="C5564" s="12">
        <f>IFERROR(__xludf.DUMMYFUNCTION("""COMPUTED_VALUE"""),44661.44325231481)</f>
        <v>44661.44325</v>
      </c>
      <c r="D5564" s="13">
        <f t="shared" si="1"/>
        <v>10</v>
      </c>
      <c r="E5564" s="13">
        <f t="shared" si="2"/>
        <v>10</v>
      </c>
    </row>
    <row r="5565">
      <c r="A5565" s="4" t="s">
        <v>6147</v>
      </c>
      <c r="B5565" s="4" t="s">
        <v>6141</v>
      </c>
      <c r="C5565" s="12">
        <f>IFERROR(__xludf.DUMMYFUNCTION("""COMPUTED_VALUE"""),44661.44324074074)</f>
        <v>44661.44324</v>
      </c>
      <c r="D5565" s="13">
        <f t="shared" si="1"/>
        <v>10</v>
      </c>
      <c r="E5565" s="13">
        <f t="shared" si="2"/>
        <v>10</v>
      </c>
    </row>
    <row r="5566">
      <c r="A5566" s="4" t="s">
        <v>6148</v>
      </c>
      <c r="B5566" s="16"/>
      <c r="C5566" s="12">
        <f>IFERROR(__xludf.DUMMYFUNCTION("""COMPUTED_VALUE"""),44661.44304398148)</f>
        <v>44661.44304</v>
      </c>
      <c r="D5566" s="13">
        <f t="shared" si="1"/>
        <v>10</v>
      </c>
      <c r="E5566" s="13">
        <f t="shared" si="2"/>
        <v>10</v>
      </c>
    </row>
    <row r="5567">
      <c r="A5567" s="4" t="s">
        <v>6149</v>
      </c>
      <c r="B5567" s="16"/>
      <c r="C5567" s="12">
        <f>IFERROR(__xludf.DUMMYFUNCTION("""COMPUTED_VALUE"""),44661.44269675926)</f>
        <v>44661.4427</v>
      </c>
      <c r="D5567" s="13">
        <f t="shared" si="1"/>
        <v>10</v>
      </c>
      <c r="E5567" s="13">
        <f t="shared" si="2"/>
        <v>10</v>
      </c>
    </row>
    <row r="5568">
      <c r="A5568" s="4" t="s">
        <v>6150</v>
      </c>
      <c r="B5568" s="16"/>
      <c r="C5568" s="12">
        <f>IFERROR(__xludf.DUMMYFUNCTION("""COMPUTED_VALUE"""),44661.442673611105)</f>
        <v>44661.44267</v>
      </c>
      <c r="D5568" s="13">
        <f t="shared" si="1"/>
        <v>10</v>
      </c>
      <c r="E5568" s="13">
        <f t="shared" si="2"/>
        <v>10</v>
      </c>
    </row>
    <row r="5569">
      <c r="A5569" s="4" t="s">
        <v>6151</v>
      </c>
      <c r="B5569" s="4" t="s">
        <v>6152</v>
      </c>
      <c r="C5569" s="12">
        <f>IFERROR(__xludf.DUMMYFUNCTION("""COMPUTED_VALUE"""),44661.44263888889)</f>
        <v>44661.44264</v>
      </c>
      <c r="D5569" s="13">
        <f t="shared" si="1"/>
        <v>10</v>
      </c>
      <c r="E5569" s="13">
        <f t="shared" si="2"/>
        <v>10</v>
      </c>
    </row>
    <row r="5570">
      <c r="A5570" s="4" t="s">
        <v>6153</v>
      </c>
      <c r="B5570" s="4" t="s">
        <v>6154</v>
      </c>
      <c r="C5570" s="12">
        <f>IFERROR(__xludf.DUMMYFUNCTION("""COMPUTED_VALUE"""),44661.44259259259)</f>
        <v>44661.44259</v>
      </c>
      <c r="D5570" s="13">
        <f t="shared" si="1"/>
        <v>10</v>
      </c>
      <c r="E5570" s="13">
        <f t="shared" si="2"/>
        <v>10</v>
      </c>
    </row>
    <row r="5571">
      <c r="A5571" s="4" t="s">
        <v>6155</v>
      </c>
      <c r="B5571" s="16"/>
      <c r="C5571" s="12">
        <f>IFERROR(__xludf.DUMMYFUNCTION("""COMPUTED_VALUE"""),44661.44255787037)</f>
        <v>44661.44256</v>
      </c>
      <c r="D5571" s="13">
        <f t="shared" si="1"/>
        <v>10</v>
      </c>
      <c r="E5571" s="13">
        <f t="shared" si="2"/>
        <v>10</v>
      </c>
    </row>
    <row r="5572">
      <c r="A5572" s="4" t="s">
        <v>6156</v>
      </c>
      <c r="B5572" s="16"/>
      <c r="C5572" s="12">
        <f>IFERROR(__xludf.DUMMYFUNCTION("""COMPUTED_VALUE"""),44661.442199074074)</f>
        <v>44661.4422</v>
      </c>
      <c r="D5572" s="13">
        <f t="shared" si="1"/>
        <v>10</v>
      </c>
      <c r="E5572" s="13">
        <f t="shared" si="2"/>
        <v>10</v>
      </c>
    </row>
    <row r="5573">
      <c r="A5573" s="4" t="s">
        <v>6157</v>
      </c>
      <c r="B5573" s="16"/>
      <c r="C5573" s="12">
        <f>IFERROR(__xludf.DUMMYFUNCTION("""COMPUTED_VALUE"""),44661.44211805555)</f>
        <v>44661.44212</v>
      </c>
      <c r="D5573" s="13">
        <f t="shared" si="1"/>
        <v>10</v>
      </c>
      <c r="E5573" s="13">
        <f t="shared" si="2"/>
        <v>10</v>
      </c>
    </row>
    <row r="5574">
      <c r="A5574" s="4" t="s">
        <v>6158</v>
      </c>
      <c r="B5574" s="16"/>
      <c r="C5574" s="12">
        <f>IFERROR(__xludf.DUMMYFUNCTION("""COMPUTED_VALUE"""),44661.44195601852)</f>
        <v>44661.44196</v>
      </c>
      <c r="D5574" s="13">
        <f t="shared" si="1"/>
        <v>10</v>
      </c>
      <c r="E5574" s="13">
        <f t="shared" si="2"/>
        <v>10</v>
      </c>
    </row>
    <row r="5575">
      <c r="A5575" s="4" t="s">
        <v>6159</v>
      </c>
      <c r="B5575" s="4" t="s">
        <v>6160</v>
      </c>
      <c r="C5575" s="12">
        <f>IFERROR(__xludf.DUMMYFUNCTION("""COMPUTED_VALUE"""),44661.44190972222)</f>
        <v>44661.44191</v>
      </c>
      <c r="D5575" s="13">
        <f t="shared" si="1"/>
        <v>10</v>
      </c>
      <c r="E5575" s="13">
        <f t="shared" si="2"/>
        <v>10</v>
      </c>
    </row>
    <row r="5576">
      <c r="A5576" s="4" t="s">
        <v>6161</v>
      </c>
      <c r="B5576" s="16"/>
      <c r="C5576" s="12">
        <f>IFERROR(__xludf.DUMMYFUNCTION("""COMPUTED_VALUE"""),44661.44188657407)</f>
        <v>44661.44189</v>
      </c>
      <c r="D5576" s="13">
        <f t="shared" si="1"/>
        <v>10</v>
      </c>
      <c r="E5576" s="13">
        <f t="shared" si="2"/>
        <v>10</v>
      </c>
    </row>
    <row r="5577">
      <c r="A5577" s="4" t="s">
        <v>6162</v>
      </c>
      <c r="B5577" s="4" t="s">
        <v>6163</v>
      </c>
      <c r="C5577" s="12">
        <f>IFERROR(__xludf.DUMMYFUNCTION("""COMPUTED_VALUE"""),44661.4408912037)</f>
        <v>44661.44089</v>
      </c>
      <c r="D5577" s="13">
        <f t="shared" si="1"/>
        <v>10</v>
      </c>
      <c r="E5577" s="13">
        <f t="shared" si="2"/>
        <v>10</v>
      </c>
    </row>
    <row r="5578">
      <c r="A5578" s="4" t="s">
        <v>6164</v>
      </c>
      <c r="B5578" s="4" t="s">
        <v>6165</v>
      </c>
      <c r="C5578" s="12">
        <f>IFERROR(__xludf.DUMMYFUNCTION("""COMPUTED_VALUE"""),44661.434537037036)</f>
        <v>44661.43454</v>
      </c>
      <c r="D5578" s="13">
        <f t="shared" si="1"/>
        <v>10</v>
      </c>
      <c r="E5578" s="13">
        <f t="shared" si="2"/>
        <v>10</v>
      </c>
    </row>
    <row r="5579">
      <c r="A5579" s="4" t="s">
        <v>6166</v>
      </c>
      <c r="B5579" s="4" t="s">
        <v>6065</v>
      </c>
      <c r="C5579" s="12">
        <f>IFERROR(__xludf.DUMMYFUNCTION("""COMPUTED_VALUE"""),44661.42834490741)</f>
        <v>44661.42834</v>
      </c>
      <c r="D5579" s="13">
        <f t="shared" si="1"/>
        <v>10</v>
      </c>
      <c r="E5579" s="13">
        <f t="shared" si="2"/>
        <v>10</v>
      </c>
    </row>
    <row r="5580">
      <c r="A5580" s="4" t="s">
        <v>6167</v>
      </c>
      <c r="B5580" s="4" t="s">
        <v>6065</v>
      </c>
      <c r="C5580" s="12">
        <f>IFERROR(__xludf.DUMMYFUNCTION("""COMPUTED_VALUE"""),44661.42811342592)</f>
        <v>44661.42811</v>
      </c>
      <c r="D5580" s="13">
        <f t="shared" si="1"/>
        <v>10</v>
      </c>
      <c r="E5580" s="13">
        <f t="shared" si="2"/>
        <v>10</v>
      </c>
    </row>
    <row r="5581">
      <c r="A5581" s="4" t="s">
        <v>6167</v>
      </c>
      <c r="B5581" s="4" t="s">
        <v>6065</v>
      </c>
      <c r="C5581" s="12">
        <f>IFERROR(__xludf.DUMMYFUNCTION("""COMPUTED_VALUE"""),44661.42811342592)</f>
        <v>44661.42811</v>
      </c>
      <c r="D5581" s="13">
        <f t="shared" si="1"/>
        <v>10</v>
      </c>
      <c r="E5581" s="13">
        <f t="shared" si="2"/>
        <v>10</v>
      </c>
    </row>
    <row r="5582">
      <c r="A5582" s="4" t="s">
        <v>6168</v>
      </c>
      <c r="B5582" s="16"/>
      <c r="C5582" s="12">
        <f>IFERROR(__xludf.DUMMYFUNCTION("""COMPUTED_VALUE"""),44661.427777777775)</f>
        <v>44661.42778</v>
      </c>
      <c r="D5582" s="13">
        <f t="shared" si="1"/>
        <v>10</v>
      </c>
      <c r="E5582" s="13">
        <f t="shared" si="2"/>
        <v>10</v>
      </c>
    </row>
    <row r="5583">
      <c r="A5583" s="4" t="s">
        <v>6169</v>
      </c>
      <c r="B5583" s="4" t="s">
        <v>6065</v>
      </c>
      <c r="C5583" s="12">
        <f>IFERROR(__xludf.DUMMYFUNCTION("""COMPUTED_VALUE"""),44661.427199074074)</f>
        <v>44661.4272</v>
      </c>
      <c r="D5583" s="13">
        <f t="shared" si="1"/>
        <v>10</v>
      </c>
      <c r="E5583" s="13">
        <f t="shared" si="2"/>
        <v>10</v>
      </c>
    </row>
    <row r="5584">
      <c r="A5584" s="4" t="s">
        <v>6170</v>
      </c>
      <c r="B5584" s="16"/>
      <c r="C5584" s="12">
        <f>IFERROR(__xludf.DUMMYFUNCTION("""COMPUTED_VALUE"""),44661.42711805555)</f>
        <v>44661.42712</v>
      </c>
      <c r="D5584" s="13">
        <f t="shared" si="1"/>
        <v>10</v>
      </c>
      <c r="E5584" s="13">
        <f t="shared" si="2"/>
        <v>10</v>
      </c>
    </row>
    <row r="5585">
      <c r="A5585" s="4" t="s">
        <v>6171</v>
      </c>
      <c r="B5585" s="16"/>
      <c r="C5585" s="12">
        <f>IFERROR(__xludf.DUMMYFUNCTION("""COMPUTED_VALUE"""),44661.42643518518)</f>
        <v>44661.42644</v>
      </c>
      <c r="D5585" s="13">
        <f t="shared" si="1"/>
        <v>10</v>
      </c>
      <c r="E5585" s="13">
        <f t="shared" si="2"/>
        <v>10</v>
      </c>
    </row>
    <row r="5586">
      <c r="A5586" s="4" t="s">
        <v>6172</v>
      </c>
      <c r="B5586" s="4" t="s">
        <v>6065</v>
      </c>
      <c r="C5586" s="12">
        <f>IFERROR(__xludf.DUMMYFUNCTION("""COMPUTED_VALUE"""),44661.426412037035)</f>
        <v>44661.42641</v>
      </c>
      <c r="D5586" s="13">
        <f t="shared" si="1"/>
        <v>10</v>
      </c>
      <c r="E5586" s="13">
        <f t="shared" si="2"/>
        <v>10</v>
      </c>
    </row>
    <row r="5587">
      <c r="A5587" s="4" t="s">
        <v>6173</v>
      </c>
      <c r="B5587" s="16"/>
      <c r="C5587" s="12">
        <f>IFERROR(__xludf.DUMMYFUNCTION("""COMPUTED_VALUE"""),44661.42408564815)</f>
        <v>44661.42409</v>
      </c>
      <c r="D5587" s="13">
        <f t="shared" si="1"/>
        <v>10</v>
      </c>
      <c r="E5587" s="13">
        <f t="shared" si="2"/>
        <v>10</v>
      </c>
    </row>
    <row r="5588">
      <c r="A5588" s="4" t="s">
        <v>6174</v>
      </c>
      <c r="B5588" s="16"/>
      <c r="C5588" s="12">
        <f>IFERROR(__xludf.DUMMYFUNCTION("""COMPUTED_VALUE"""),44661.42034722222)</f>
        <v>44661.42035</v>
      </c>
      <c r="D5588" s="13">
        <f t="shared" si="1"/>
        <v>10</v>
      </c>
      <c r="E5588" s="13">
        <f t="shared" si="2"/>
        <v>10</v>
      </c>
    </row>
    <row r="5589">
      <c r="A5589" s="4" t="s">
        <v>6175</v>
      </c>
      <c r="B5589" s="4" t="s">
        <v>6176</v>
      </c>
      <c r="C5589" s="12">
        <f>IFERROR(__xludf.DUMMYFUNCTION("""COMPUTED_VALUE"""),44661.419756944444)</f>
        <v>44661.41976</v>
      </c>
      <c r="D5589" s="13">
        <f t="shared" si="1"/>
        <v>10</v>
      </c>
      <c r="E5589" s="13">
        <f t="shared" si="2"/>
        <v>10</v>
      </c>
    </row>
    <row r="5590">
      <c r="A5590" s="4" t="s">
        <v>6177</v>
      </c>
      <c r="B5590" s="4" t="s">
        <v>6178</v>
      </c>
      <c r="C5590" s="12">
        <f>IFERROR(__xludf.DUMMYFUNCTION("""COMPUTED_VALUE"""),44661.4184837963)</f>
        <v>44661.41848</v>
      </c>
      <c r="D5590" s="13">
        <f t="shared" si="1"/>
        <v>10</v>
      </c>
      <c r="E5590" s="13">
        <f t="shared" si="2"/>
        <v>10</v>
      </c>
    </row>
    <row r="5591">
      <c r="A5591" s="4" t="s">
        <v>6179</v>
      </c>
      <c r="B5591" s="4" t="s">
        <v>6180</v>
      </c>
      <c r="C5591" s="12">
        <f>IFERROR(__xludf.DUMMYFUNCTION("""COMPUTED_VALUE"""),44661.418171296296)</f>
        <v>44661.41817</v>
      </c>
      <c r="D5591" s="13">
        <f t="shared" si="1"/>
        <v>10</v>
      </c>
      <c r="E5591" s="13">
        <f t="shared" si="2"/>
        <v>10</v>
      </c>
    </row>
    <row r="5592">
      <c r="A5592" s="4" t="s">
        <v>6181</v>
      </c>
      <c r="B5592" s="4" t="s">
        <v>6182</v>
      </c>
      <c r="C5592" s="12">
        <f>IFERROR(__xludf.DUMMYFUNCTION("""COMPUTED_VALUE"""),44661.41203703704)</f>
        <v>44661.41204</v>
      </c>
      <c r="D5592" s="13">
        <f t="shared" si="1"/>
        <v>10</v>
      </c>
      <c r="E5592" s="13">
        <f t="shared" si="2"/>
        <v>9</v>
      </c>
    </row>
    <row r="5593">
      <c r="A5593" s="4" t="s">
        <v>6183</v>
      </c>
      <c r="B5593" s="16"/>
      <c r="C5593" s="12">
        <f>IFERROR(__xludf.DUMMYFUNCTION("""COMPUTED_VALUE"""),44661.41164351851)</f>
        <v>44661.41164</v>
      </c>
      <c r="D5593" s="13">
        <f t="shared" si="1"/>
        <v>10</v>
      </c>
      <c r="E5593" s="13">
        <f t="shared" si="2"/>
        <v>9</v>
      </c>
    </row>
    <row r="5594">
      <c r="A5594" s="4" t="s">
        <v>6184</v>
      </c>
      <c r="B5594" s="16"/>
      <c r="C5594" s="12">
        <f>IFERROR(__xludf.DUMMYFUNCTION("""COMPUTED_VALUE"""),44661.41143518518)</f>
        <v>44661.41144</v>
      </c>
      <c r="D5594" s="13">
        <f t="shared" si="1"/>
        <v>10</v>
      </c>
      <c r="E5594" s="13">
        <f t="shared" si="2"/>
        <v>9</v>
      </c>
    </row>
    <row r="5595">
      <c r="A5595" s="4" t="s">
        <v>6185</v>
      </c>
      <c r="B5595" s="16"/>
      <c r="C5595" s="12">
        <f>IFERROR(__xludf.DUMMYFUNCTION("""COMPUTED_VALUE"""),44661.410844907405)</f>
        <v>44661.41084</v>
      </c>
      <c r="D5595" s="13">
        <f t="shared" si="1"/>
        <v>10</v>
      </c>
      <c r="E5595" s="13">
        <f t="shared" si="2"/>
        <v>9</v>
      </c>
    </row>
    <row r="5596">
      <c r="A5596" s="4" t="s">
        <v>6186</v>
      </c>
      <c r="B5596" s="16"/>
      <c r="C5596" s="12">
        <f>IFERROR(__xludf.DUMMYFUNCTION("""COMPUTED_VALUE"""),44661.41012731481)</f>
        <v>44661.41013</v>
      </c>
      <c r="D5596" s="13">
        <f t="shared" si="1"/>
        <v>10</v>
      </c>
      <c r="E5596" s="13">
        <f t="shared" si="2"/>
        <v>9</v>
      </c>
    </row>
    <row r="5597">
      <c r="A5597" s="4" t="s">
        <v>6187</v>
      </c>
      <c r="B5597" s="16"/>
      <c r="C5597" s="12">
        <f>IFERROR(__xludf.DUMMYFUNCTION("""COMPUTED_VALUE"""),44661.41009259259)</f>
        <v>44661.41009</v>
      </c>
      <c r="D5597" s="13">
        <f t="shared" si="1"/>
        <v>10</v>
      </c>
      <c r="E5597" s="13">
        <f t="shared" si="2"/>
        <v>9</v>
      </c>
    </row>
    <row r="5598">
      <c r="A5598" s="4" t="s">
        <v>6188</v>
      </c>
      <c r="B5598" s="16"/>
      <c r="C5598" s="12">
        <f>IFERROR(__xludf.DUMMYFUNCTION("""COMPUTED_VALUE"""),44661.406493055554)</f>
        <v>44661.40649</v>
      </c>
      <c r="D5598" s="13">
        <f t="shared" si="1"/>
        <v>10</v>
      </c>
      <c r="E5598" s="13">
        <f t="shared" si="2"/>
        <v>9</v>
      </c>
    </row>
    <row r="5599">
      <c r="A5599" s="4" t="s">
        <v>6189</v>
      </c>
      <c r="B5599" s="16"/>
      <c r="C5599" s="12">
        <f>IFERROR(__xludf.DUMMYFUNCTION("""COMPUTED_VALUE"""),44661.40550925925)</f>
        <v>44661.40551</v>
      </c>
      <c r="D5599" s="13">
        <f t="shared" si="1"/>
        <v>10</v>
      </c>
      <c r="E5599" s="13">
        <f t="shared" si="2"/>
        <v>9</v>
      </c>
    </row>
    <row r="5600">
      <c r="A5600" s="4" t="s">
        <v>6190</v>
      </c>
      <c r="B5600" s="4" t="s">
        <v>6191</v>
      </c>
      <c r="C5600" s="12">
        <f>IFERROR(__xludf.DUMMYFUNCTION("""COMPUTED_VALUE"""),44661.405)</f>
        <v>44661.405</v>
      </c>
      <c r="D5600" s="13">
        <f t="shared" si="1"/>
        <v>10</v>
      </c>
      <c r="E5600" s="13">
        <f t="shared" si="2"/>
        <v>9</v>
      </c>
    </row>
    <row r="5601">
      <c r="A5601" s="4" t="s">
        <v>6192</v>
      </c>
      <c r="B5601" s="16"/>
      <c r="C5601" s="12">
        <f>IFERROR(__xludf.DUMMYFUNCTION("""COMPUTED_VALUE"""),44661.4049537037)</f>
        <v>44661.40495</v>
      </c>
      <c r="D5601" s="13">
        <f t="shared" si="1"/>
        <v>10</v>
      </c>
      <c r="E5601" s="13">
        <f t="shared" si="2"/>
        <v>9</v>
      </c>
    </row>
    <row r="5602">
      <c r="A5602" s="4" t="s">
        <v>6193</v>
      </c>
      <c r="B5602" s="16"/>
      <c r="C5602" s="12">
        <f>IFERROR(__xludf.DUMMYFUNCTION("""COMPUTED_VALUE"""),44661.40493055555)</f>
        <v>44661.40493</v>
      </c>
      <c r="D5602" s="13">
        <f t="shared" si="1"/>
        <v>10</v>
      </c>
      <c r="E5602" s="13">
        <f t="shared" si="2"/>
        <v>9</v>
      </c>
    </row>
    <row r="5603">
      <c r="A5603" s="4" t="s">
        <v>6194</v>
      </c>
      <c r="B5603" s="16"/>
      <c r="C5603" s="12">
        <f>IFERROR(__xludf.DUMMYFUNCTION("""COMPUTED_VALUE"""),44661.40466435185)</f>
        <v>44661.40466</v>
      </c>
      <c r="D5603" s="13">
        <f t="shared" si="1"/>
        <v>10</v>
      </c>
      <c r="E5603" s="13">
        <f t="shared" si="2"/>
        <v>9</v>
      </c>
    </row>
    <row r="5604">
      <c r="A5604" s="4" t="s">
        <v>6195</v>
      </c>
      <c r="B5604" s="4" t="s">
        <v>6191</v>
      </c>
      <c r="C5604" s="12">
        <f>IFERROR(__xludf.DUMMYFUNCTION("""COMPUTED_VALUE"""),44661.4046412037)</f>
        <v>44661.40464</v>
      </c>
      <c r="D5604" s="13">
        <f t="shared" si="1"/>
        <v>10</v>
      </c>
      <c r="E5604" s="13">
        <f t="shared" si="2"/>
        <v>9</v>
      </c>
    </row>
    <row r="5605">
      <c r="A5605" s="4" t="s">
        <v>6196</v>
      </c>
      <c r="B5605" s="4" t="s">
        <v>6191</v>
      </c>
      <c r="C5605" s="12">
        <f>IFERROR(__xludf.DUMMYFUNCTION("""COMPUTED_VALUE"""),44661.40461805555)</f>
        <v>44661.40462</v>
      </c>
      <c r="D5605" s="13">
        <f t="shared" si="1"/>
        <v>10</v>
      </c>
      <c r="E5605" s="13">
        <f t="shared" si="2"/>
        <v>9</v>
      </c>
    </row>
    <row r="5606">
      <c r="A5606" s="4" t="s">
        <v>6197</v>
      </c>
      <c r="B5606" s="4" t="s">
        <v>6191</v>
      </c>
      <c r="C5606" s="12">
        <f>IFERROR(__xludf.DUMMYFUNCTION("""COMPUTED_VALUE"""),44661.40458333333)</f>
        <v>44661.40458</v>
      </c>
      <c r="D5606" s="13">
        <f t="shared" si="1"/>
        <v>10</v>
      </c>
      <c r="E5606" s="13">
        <f t="shared" si="2"/>
        <v>9</v>
      </c>
    </row>
    <row r="5607">
      <c r="A5607" s="4" t="s">
        <v>6198</v>
      </c>
      <c r="B5607" s="4" t="s">
        <v>6191</v>
      </c>
      <c r="C5607" s="12">
        <f>IFERROR(__xludf.DUMMYFUNCTION("""COMPUTED_VALUE"""),44661.40456018518)</f>
        <v>44661.40456</v>
      </c>
      <c r="D5607" s="13">
        <f t="shared" si="1"/>
        <v>10</v>
      </c>
      <c r="E5607" s="13">
        <f t="shared" si="2"/>
        <v>9</v>
      </c>
    </row>
    <row r="5608">
      <c r="A5608" s="4" t="s">
        <v>6199</v>
      </c>
      <c r="B5608" s="4" t="s">
        <v>6191</v>
      </c>
      <c r="C5608" s="12">
        <f>IFERROR(__xludf.DUMMYFUNCTION("""COMPUTED_VALUE"""),44661.40453703704)</f>
        <v>44661.40454</v>
      </c>
      <c r="D5608" s="13">
        <f t="shared" si="1"/>
        <v>10</v>
      </c>
      <c r="E5608" s="13">
        <f t="shared" si="2"/>
        <v>9</v>
      </c>
    </row>
    <row r="5609">
      <c r="A5609" s="4" t="s">
        <v>6200</v>
      </c>
      <c r="B5609" s="16"/>
      <c r="C5609" s="12">
        <f>IFERROR(__xludf.DUMMYFUNCTION("""COMPUTED_VALUE"""),44661.40211805555)</f>
        <v>44661.40212</v>
      </c>
      <c r="D5609" s="13">
        <f t="shared" si="1"/>
        <v>10</v>
      </c>
      <c r="E5609" s="13">
        <f t="shared" si="2"/>
        <v>9</v>
      </c>
    </row>
    <row r="5610">
      <c r="A5610" s="4" t="s">
        <v>6201</v>
      </c>
      <c r="B5610" s="16"/>
      <c r="C5610" s="12">
        <f>IFERROR(__xludf.DUMMYFUNCTION("""COMPUTED_VALUE"""),44661.402094907404)</f>
        <v>44661.40209</v>
      </c>
      <c r="D5610" s="13">
        <f t="shared" si="1"/>
        <v>10</v>
      </c>
      <c r="E5610" s="13">
        <f t="shared" si="2"/>
        <v>9</v>
      </c>
    </row>
    <row r="5611">
      <c r="A5611" s="4" t="s">
        <v>6202</v>
      </c>
      <c r="B5611" s="4" t="s">
        <v>6203</v>
      </c>
      <c r="C5611" s="12">
        <f>IFERROR(__xludf.DUMMYFUNCTION("""COMPUTED_VALUE"""),44661.40202546296)</f>
        <v>44661.40203</v>
      </c>
      <c r="D5611" s="13">
        <f t="shared" si="1"/>
        <v>10</v>
      </c>
      <c r="E5611" s="13">
        <f t="shared" si="2"/>
        <v>9</v>
      </c>
    </row>
    <row r="5612">
      <c r="A5612" s="4" t="s">
        <v>6204</v>
      </c>
      <c r="B5612" s="16"/>
      <c r="C5612" s="12">
        <f>IFERROR(__xludf.DUMMYFUNCTION("""COMPUTED_VALUE"""),44661.401979166665)</f>
        <v>44661.40198</v>
      </c>
      <c r="D5612" s="13">
        <f t="shared" si="1"/>
        <v>10</v>
      </c>
      <c r="E5612" s="13">
        <f t="shared" si="2"/>
        <v>9</v>
      </c>
    </row>
    <row r="5613">
      <c r="A5613" s="4" t="s">
        <v>6205</v>
      </c>
      <c r="B5613" s="16"/>
      <c r="C5613" s="12">
        <f>IFERROR(__xludf.DUMMYFUNCTION("""COMPUTED_VALUE"""),44661.40195601852)</f>
        <v>44661.40196</v>
      </c>
      <c r="D5613" s="13">
        <f t="shared" si="1"/>
        <v>10</v>
      </c>
      <c r="E5613" s="13">
        <f t="shared" si="2"/>
        <v>9</v>
      </c>
    </row>
    <row r="5614">
      <c r="A5614" s="4" t="s">
        <v>6205</v>
      </c>
      <c r="B5614" s="16"/>
      <c r="C5614" s="12">
        <f>IFERROR(__xludf.DUMMYFUNCTION("""COMPUTED_VALUE"""),44661.40195601852)</f>
        <v>44661.40196</v>
      </c>
      <c r="D5614" s="13">
        <f t="shared" si="1"/>
        <v>10</v>
      </c>
      <c r="E5614" s="13">
        <f t="shared" si="2"/>
        <v>9</v>
      </c>
    </row>
    <row r="5615">
      <c r="A5615" s="4" t="s">
        <v>6206</v>
      </c>
      <c r="B5615" s="16"/>
      <c r="C5615" s="12">
        <f>IFERROR(__xludf.DUMMYFUNCTION("""COMPUTED_VALUE"""),44661.40194444444)</f>
        <v>44661.40194</v>
      </c>
      <c r="D5615" s="13">
        <f t="shared" si="1"/>
        <v>10</v>
      </c>
      <c r="E5615" s="13">
        <f t="shared" si="2"/>
        <v>9</v>
      </c>
    </row>
    <row r="5616">
      <c r="A5616" s="4" t="s">
        <v>6207</v>
      </c>
      <c r="B5616" s="16"/>
      <c r="C5616" s="12">
        <f>IFERROR(__xludf.DUMMYFUNCTION("""COMPUTED_VALUE"""),44661.401921296296)</f>
        <v>44661.40192</v>
      </c>
      <c r="D5616" s="13">
        <f t="shared" si="1"/>
        <v>10</v>
      </c>
      <c r="E5616" s="13">
        <f t="shared" si="2"/>
        <v>9</v>
      </c>
    </row>
    <row r="5617">
      <c r="A5617" s="4" t="s">
        <v>6208</v>
      </c>
      <c r="B5617" s="16"/>
      <c r="C5617" s="12">
        <f>IFERROR(__xludf.DUMMYFUNCTION("""COMPUTED_VALUE"""),44661.40189814814)</f>
        <v>44661.4019</v>
      </c>
      <c r="D5617" s="13">
        <f t="shared" si="1"/>
        <v>10</v>
      </c>
      <c r="E5617" s="13">
        <f t="shared" si="2"/>
        <v>9</v>
      </c>
    </row>
    <row r="5618">
      <c r="A5618" s="4" t="s">
        <v>6209</v>
      </c>
      <c r="B5618" s="16"/>
      <c r="C5618" s="12">
        <f>IFERROR(__xludf.DUMMYFUNCTION("""COMPUTED_VALUE"""),44661.40179398148)</f>
        <v>44661.40179</v>
      </c>
      <c r="D5618" s="13">
        <f t="shared" si="1"/>
        <v>10</v>
      </c>
      <c r="E5618" s="13">
        <f t="shared" si="2"/>
        <v>9</v>
      </c>
    </row>
    <row r="5619">
      <c r="A5619" s="4" t="s">
        <v>6210</v>
      </c>
      <c r="B5619" s="4" t="s">
        <v>6203</v>
      </c>
      <c r="C5619" s="12">
        <f>IFERROR(__xludf.DUMMYFUNCTION("""COMPUTED_VALUE"""),44661.401608796295)</f>
        <v>44661.40161</v>
      </c>
      <c r="D5619" s="13">
        <f t="shared" si="1"/>
        <v>10</v>
      </c>
      <c r="E5619" s="13">
        <f t="shared" si="2"/>
        <v>9</v>
      </c>
    </row>
    <row r="5620">
      <c r="A5620" s="4" t="s">
        <v>6211</v>
      </c>
      <c r="B5620" s="16"/>
      <c r="C5620" s="12">
        <f>IFERROR(__xludf.DUMMYFUNCTION("""COMPUTED_VALUE"""),44661.400868055556)</f>
        <v>44661.40087</v>
      </c>
      <c r="D5620" s="13">
        <f t="shared" si="1"/>
        <v>10</v>
      </c>
      <c r="E5620" s="13">
        <f t="shared" si="2"/>
        <v>9</v>
      </c>
    </row>
    <row r="5621">
      <c r="A5621" s="4" t="s">
        <v>6212</v>
      </c>
      <c r="B5621" s="4" t="s">
        <v>6213</v>
      </c>
      <c r="C5621" s="12">
        <f>IFERROR(__xludf.DUMMYFUNCTION("""COMPUTED_VALUE"""),44661.39798611111)</f>
        <v>44661.39799</v>
      </c>
      <c r="D5621" s="13">
        <f t="shared" si="1"/>
        <v>10</v>
      </c>
      <c r="E5621" s="13">
        <f t="shared" si="2"/>
        <v>9</v>
      </c>
    </row>
    <row r="5622">
      <c r="A5622" s="4" t="s">
        <v>6214</v>
      </c>
      <c r="B5622" s="16"/>
      <c r="C5622" s="12">
        <f>IFERROR(__xludf.DUMMYFUNCTION("""COMPUTED_VALUE"""),44661.396006944444)</f>
        <v>44661.39601</v>
      </c>
      <c r="D5622" s="13">
        <f t="shared" si="1"/>
        <v>10</v>
      </c>
      <c r="E5622" s="13">
        <f t="shared" si="2"/>
        <v>9</v>
      </c>
    </row>
    <row r="5623">
      <c r="A5623" s="4" t="s">
        <v>6215</v>
      </c>
      <c r="B5623" s="4" t="s">
        <v>6216</v>
      </c>
      <c r="C5623" s="12">
        <f>IFERROR(__xludf.DUMMYFUNCTION("""COMPUTED_VALUE"""),44661.39476851852)</f>
        <v>44661.39477</v>
      </c>
      <c r="D5623" s="13">
        <f t="shared" si="1"/>
        <v>10</v>
      </c>
      <c r="E5623" s="13">
        <f t="shared" si="2"/>
        <v>9</v>
      </c>
    </row>
    <row r="5624">
      <c r="A5624" s="4" t="s">
        <v>6217</v>
      </c>
      <c r="B5624" s="4" t="s">
        <v>6218</v>
      </c>
      <c r="C5624" s="12">
        <f>IFERROR(__xludf.DUMMYFUNCTION("""COMPUTED_VALUE"""),44661.39377314815)</f>
        <v>44661.39377</v>
      </c>
      <c r="D5624" s="13">
        <f t="shared" si="1"/>
        <v>10</v>
      </c>
      <c r="E5624" s="13">
        <f t="shared" si="2"/>
        <v>9</v>
      </c>
    </row>
    <row r="5625">
      <c r="A5625" s="4" t="s">
        <v>6219</v>
      </c>
      <c r="B5625" s="16"/>
      <c r="C5625" s="12">
        <f>IFERROR(__xludf.DUMMYFUNCTION("""COMPUTED_VALUE"""),44661.39340277777)</f>
        <v>44661.3934</v>
      </c>
      <c r="D5625" s="13">
        <f t="shared" si="1"/>
        <v>10</v>
      </c>
      <c r="E5625" s="13">
        <f t="shared" si="2"/>
        <v>9</v>
      </c>
    </row>
    <row r="5626">
      <c r="A5626" s="4" t="s">
        <v>6220</v>
      </c>
      <c r="B5626" s="16"/>
      <c r="C5626" s="12">
        <f>IFERROR(__xludf.DUMMYFUNCTION("""COMPUTED_VALUE"""),44661.3927199074)</f>
        <v>44661.39272</v>
      </c>
      <c r="D5626" s="13">
        <f t="shared" si="1"/>
        <v>10</v>
      </c>
      <c r="E5626" s="13">
        <f t="shared" si="2"/>
        <v>9</v>
      </c>
    </row>
    <row r="5627">
      <c r="A5627" s="4" t="s">
        <v>6221</v>
      </c>
      <c r="B5627" s="4" t="s">
        <v>6222</v>
      </c>
      <c r="C5627" s="12">
        <f>IFERROR(__xludf.DUMMYFUNCTION("""COMPUTED_VALUE"""),44661.39021990741)</f>
        <v>44661.39022</v>
      </c>
      <c r="D5627" s="13">
        <f t="shared" si="1"/>
        <v>10</v>
      </c>
      <c r="E5627" s="13">
        <f t="shared" si="2"/>
        <v>9</v>
      </c>
    </row>
    <row r="5628">
      <c r="A5628" s="4" t="s">
        <v>6223</v>
      </c>
      <c r="B5628" s="16"/>
      <c r="C5628" s="12">
        <f>IFERROR(__xludf.DUMMYFUNCTION("""COMPUTED_VALUE"""),44661.38916666667)</f>
        <v>44661.38917</v>
      </c>
      <c r="D5628" s="13">
        <f t="shared" si="1"/>
        <v>10</v>
      </c>
      <c r="E5628" s="13">
        <f t="shared" si="2"/>
        <v>9</v>
      </c>
    </row>
    <row r="5629">
      <c r="A5629" s="4" t="s">
        <v>6224</v>
      </c>
      <c r="B5629" s="16"/>
      <c r="C5629" s="12">
        <f>IFERROR(__xludf.DUMMYFUNCTION("""COMPUTED_VALUE"""),44661.387303240735)</f>
        <v>44661.3873</v>
      </c>
      <c r="D5629" s="13">
        <f t="shared" si="1"/>
        <v>10</v>
      </c>
      <c r="E5629" s="13">
        <f t="shared" si="2"/>
        <v>9</v>
      </c>
    </row>
    <row r="5630">
      <c r="A5630" s="4" t="s">
        <v>6225</v>
      </c>
      <c r="B5630" s="16"/>
      <c r="C5630" s="12">
        <f>IFERROR(__xludf.DUMMYFUNCTION("""COMPUTED_VALUE"""),44661.387291666666)</f>
        <v>44661.38729</v>
      </c>
      <c r="D5630" s="13">
        <f t="shared" si="1"/>
        <v>10</v>
      </c>
      <c r="E5630" s="13">
        <f t="shared" si="2"/>
        <v>9</v>
      </c>
    </row>
    <row r="5631">
      <c r="A5631" s="4" t="s">
        <v>6226</v>
      </c>
      <c r="B5631" s="16"/>
      <c r="C5631" s="12">
        <f>IFERROR(__xludf.DUMMYFUNCTION("""COMPUTED_VALUE"""),44661.38728009259)</f>
        <v>44661.38728</v>
      </c>
      <c r="D5631" s="13">
        <f t="shared" si="1"/>
        <v>10</v>
      </c>
      <c r="E5631" s="13">
        <f t="shared" si="2"/>
        <v>9</v>
      </c>
    </row>
    <row r="5632">
      <c r="A5632" s="4" t="s">
        <v>6227</v>
      </c>
      <c r="B5632" s="4" t="s">
        <v>6228</v>
      </c>
      <c r="C5632" s="12">
        <f>IFERROR(__xludf.DUMMYFUNCTION("""COMPUTED_VALUE"""),44661.3871875)</f>
        <v>44661.38719</v>
      </c>
      <c r="D5632" s="13">
        <f t="shared" si="1"/>
        <v>10</v>
      </c>
      <c r="E5632" s="13">
        <f t="shared" si="2"/>
        <v>9</v>
      </c>
    </row>
    <row r="5633">
      <c r="A5633" s="4" t="s">
        <v>6229</v>
      </c>
      <c r="B5633" s="4" t="s">
        <v>6228</v>
      </c>
      <c r="C5633" s="12">
        <f>IFERROR(__xludf.DUMMYFUNCTION("""COMPUTED_VALUE"""),44661.38712962963)</f>
        <v>44661.38713</v>
      </c>
      <c r="D5633" s="13">
        <f t="shared" si="1"/>
        <v>10</v>
      </c>
      <c r="E5633" s="13">
        <f t="shared" si="2"/>
        <v>9</v>
      </c>
    </row>
    <row r="5634">
      <c r="A5634" s="4" t="s">
        <v>6230</v>
      </c>
      <c r="B5634" s="16"/>
      <c r="C5634" s="12">
        <f>IFERROR(__xludf.DUMMYFUNCTION("""COMPUTED_VALUE"""),44661.385624999995)</f>
        <v>44661.38563</v>
      </c>
      <c r="D5634" s="13">
        <f t="shared" si="1"/>
        <v>10</v>
      </c>
      <c r="E5634" s="13">
        <f t="shared" si="2"/>
        <v>9</v>
      </c>
    </row>
    <row r="5635">
      <c r="A5635" s="4" t="s">
        <v>6231</v>
      </c>
      <c r="B5635" s="16"/>
      <c r="C5635" s="12">
        <f>IFERROR(__xludf.DUMMYFUNCTION("""COMPUTED_VALUE"""),44661.38542824074)</f>
        <v>44661.38543</v>
      </c>
      <c r="D5635" s="13">
        <f t="shared" si="1"/>
        <v>10</v>
      </c>
      <c r="E5635" s="13">
        <f t="shared" si="2"/>
        <v>9</v>
      </c>
    </row>
    <row r="5636">
      <c r="A5636" s="4" t="s">
        <v>6232</v>
      </c>
      <c r="B5636" s="4" t="s">
        <v>6233</v>
      </c>
      <c r="C5636" s="12">
        <f>IFERROR(__xludf.DUMMYFUNCTION("""COMPUTED_VALUE"""),44661.38539351852)</f>
        <v>44661.38539</v>
      </c>
      <c r="D5636" s="13">
        <f t="shared" si="1"/>
        <v>10</v>
      </c>
      <c r="E5636" s="13">
        <f t="shared" si="2"/>
        <v>9</v>
      </c>
    </row>
    <row r="5637">
      <c r="A5637" s="4" t="s">
        <v>6234</v>
      </c>
      <c r="B5637" s="4" t="s">
        <v>6233</v>
      </c>
      <c r="C5637" s="12">
        <f>IFERROR(__xludf.DUMMYFUNCTION("""COMPUTED_VALUE"""),44661.38501157407)</f>
        <v>44661.38501</v>
      </c>
      <c r="D5637" s="13">
        <f t="shared" si="1"/>
        <v>10</v>
      </c>
      <c r="E5637" s="13">
        <f t="shared" si="2"/>
        <v>9</v>
      </c>
    </row>
    <row r="5638">
      <c r="A5638" s="4" t="s">
        <v>6235</v>
      </c>
      <c r="B5638" s="16"/>
      <c r="C5638" s="12">
        <f>IFERROR(__xludf.DUMMYFUNCTION("""COMPUTED_VALUE"""),44661.38315972222)</f>
        <v>44661.38316</v>
      </c>
      <c r="D5638" s="13">
        <f t="shared" si="1"/>
        <v>10</v>
      </c>
      <c r="E5638" s="13">
        <f t="shared" si="2"/>
        <v>9</v>
      </c>
    </row>
    <row r="5639">
      <c r="A5639" s="4" t="s">
        <v>6236</v>
      </c>
      <c r="B5639" s="16"/>
      <c r="C5639" s="12">
        <f>IFERROR(__xludf.DUMMYFUNCTION("""COMPUTED_VALUE"""),44661.382685185185)</f>
        <v>44661.38269</v>
      </c>
      <c r="D5639" s="13">
        <f t="shared" si="1"/>
        <v>10</v>
      </c>
      <c r="E5639" s="13">
        <f t="shared" si="2"/>
        <v>9</v>
      </c>
    </row>
    <row r="5640">
      <c r="A5640" s="4" t="s">
        <v>6237</v>
      </c>
      <c r="B5640" s="4" t="s">
        <v>6238</v>
      </c>
      <c r="C5640" s="12">
        <f>IFERROR(__xludf.DUMMYFUNCTION("""COMPUTED_VALUE"""),44661.38260416666)</f>
        <v>44661.3826</v>
      </c>
      <c r="D5640" s="13">
        <f t="shared" si="1"/>
        <v>10</v>
      </c>
      <c r="E5640" s="13">
        <f t="shared" si="2"/>
        <v>9</v>
      </c>
    </row>
    <row r="5641">
      <c r="A5641" s="4" t="s">
        <v>6239</v>
      </c>
      <c r="B5641" s="4" t="s">
        <v>6238</v>
      </c>
      <c r="C5641" s="12">
        <f>IFERROR(__xludf.DUMMYFUNCTION("""COMPUTED_VALUE"""),44661.38256944444)</f>
        <v>44661.38257</v>
      </c>
      <c r="D5641" s="13">
        <f t="shared" si="1"/>
        <v>10</v>
      </c>
      <c r="E5641" s="13">
        <f t="shared" si="2"/>
        <v>9</v>
      </c>
    </row>
    <row r="5642">
      <c r="A5642" s="4" t="s">
        <v>6240</v>
      </c>
      <c r="B5642" s="4" t="s">
        <v>6241</v>
      </c>
      <c r="C5642" s="12">
        <f>IFERROR(__xludf.DUMMYFUNCTION("""COMPUTED_VALUE"""),44661.37665509259)</f>
        <v>44661.37666</v>
      </c>
      <c r="D5642" s="13">
        <f t="shared" si="1"/>
        <v>10</v>
      </c>
      <c r="E5642" s="13">
        <f t="shared" si="2"/>
        <v>9</v>
      </c>
    </row>
    <row r="5643">
      <c r="A5643" s="4" t="s">
        <v>6242</v>
      </c>
      <c r="B5643" s="4" t="s">
        <v>6243</v>
      </c>
      <c r="C5643" s="12">
        <f>IFERROR(__xludf.DUMMYFUNCTION("""COMPUTED_VALUE"""),44661.3758912037)</f>
        <v>44661.37589</v>
      </c>
      <c r="D5643" s="13">
        <f t="shared" si="1"/>
        <v>10</v>
      </c>
      <c r="E5643" s="13">
        <f t="shared" si="2"/>
        <v>9</v>
      </c>
    </row>
    <row r="5644">
      <c r="A5644" s="4" t="s">
        <v>6244</v>
      </c>
      <c r="B5644" s="16"/>
      <c r="C5644" s="12">
        <f>IFERROR(__xludf.DUMMYFUNCTION("""COMPUTED_VALUE"""),44661.3752662037)</f>
        <v>44661.37527</v>
      </c>
      <c r="D5644" s="13">
        <f t="shared" si="1"/>
        <v>10</v>
      </c>
      <c r="E5644" s="13">
        <f t="shared" si="2"/>
        <v>9</v>
      </c>
    </row>
    <row r="5645">
      <c r="A5645" s="4" t="s">
        <v>6245</v>
      </c>
      <c r="B5645" s="4" t="s">
        <v>6241</v>
      </c>
      <c r="C5645" s="12">
        <f>IFERROR(__xludf.DUMMYFUNCTION("""COMPUTED_VALUE"""),44661.37520833333)</f>
        <v>44661.37521</v>
      </c>
      <c r="D5645" s="13">
        <f t="shared" si="1"/>
        <v>10</v>
      </c>
      <c r="E5645" s="13">
        <f t="shared" si="2"/>
        <v>9</v>
      </c>
    </row>
    <row r="5646">
      <c r="A5646" s="4" t="s">
        <v>6246</v>
      </c>
      <c r="B5646" s="16"/>
      <c r="C5646" s="12">
        <f>IFERROR(__xludf.DUMMYFUNCTION("""COMPUTED_VALUE"""),44661.37516203703)</f>
        <v>44661.37516</v>
      </c>
      <c r="D5646" s="13">
        <f t="shared" si="1"/>
        <v>10</v>
      </c>
      <c r="E5646" s="13">
        <f t="shared" si="2"/>
        <v>9</v>
      </c>
    </row>
    <row r="5647">
      <c r="A5647" s="4" t="s">
        <v>6247</v>
      </c>
      <c r="B5647" s="16"/>
      <c r="C5647" s="12">
        <f>IFERROR(__xludf.DUMMYFUNCTION("""COMPUTED_VALUE"""),44661.37511574074)</f>
        <v>44661.37512</v>
      </c>
      <c r="D5647" s="13">
        <f t="shared" si="1"/>
        <v>10</v>
      </c>
      <c r="E5647" s="13">
        <f t="shared" si="2"/>
        <v>9</v>
      </c>
    </row>
    <row r="5648">
      <c r="A5648" s="4" t="s">
        <v>6248</v>
      </c>
      <c r="B5648" s="16"/>
      <c r="C5648" s="12">
        <f>IFERROR(__xludf.DUMMYFUNCTION("""COMPUTED_VALUE"""),44661.37403935185)</f>
        <v>44661.37404</v>
      </c>
      <c r="D5648" s="13">
        <f t="shared" si="1"/>
        <v>10</v>
      </c>
      <c r="E5648" s="13">
        <f t="shared" si="2"/>
        <v>8</v>
      </c>
    </row>
    <row r="5649">
      <c r="A5649" s="4" t="s">
        <v>6249</v>
      </c>
      <c r="B5649" s="16"/>
      <c r="C5649" s="12">
        <f>IFERROR(__xludf.DUMMYFUNCTION("""COMPUTED_VALUE"""),44661.37400462963)</f>
        <v>44661.374</v>
      </c>
      <c r="D5649" s="13">
        <f t="shared" si="1"/>
        <v>10</v>
      </c>
      <c r="E5649" s="13">
        <f t="shared" si="2"/>
        <v>8</v>
      </c>
    </row>
    <row r="5650">
      <c r="A5650" s="4" t="s">
        <v>6250</v>
      </c>
      <c r="B5650" s="16"/>
      <c r="C5650" s="12">
        <f>IFERROR(__xludf.DUMMYFUNCTION("""COMPUTED_VALUE"""),44661.37394675926)</f>
        <v>44661.37395</v>
      </c>
      <c r="D5650" s="13">
        <f t="shared" si="1"/>
        <v>10</v>
      </c>
      <c r="E5650" s="13">
        <f t="shared" si="2"/>
        <v>8</v>
      </c>
    </row>
    <row r="5651">
      <c r="A5651" s="4" t="s">
        <v>6251</v>
      </c>
      <c r="B5651" s="16"/>
      <c r="C5651" s="12">
        <f>IFERROR(__xludf.DUMMYFUNCTION("""COMPUTED_VALUE"""),44661.361817129626)</f>
        <v>44661.36182</v>
      </c>
      <c r="D5651" s="13">
        <f t="shared" si="1"/>
        <v>10</v>
      </c>
      <c r="E5651" s="13">
        <f t="shared" si="2"/>
        <v>8</v>
      </c>
    </row>
    <row r="5652">
      <c r="A5652" s="4" t="s">
        <v>6252</v>
      </c>
      <c r="B5652" s="16"/>
      <c r="C5652" s="12">
        <f>IFERROR(__xludf.DUMMYFUNCTION("""COMPUTED_VALUE"""),44661.36016203703)</f>
        <v>44661.36016</v>
      </c>
      <c r="D5652" s="13">
        <f t="shared" si="1"/>
        <v>10</v>
      </c>
      <c r="E5652" s="13">
        <f t="shared" si="2"/>
        <v>8</v>
      </c>
    </row>
    <row r="5653">
      <c r="A5653" s="4" t="s">
        <v>6253</v>
      </c>
      <c r="B5653" s="4" t="s">
        <v>6254</v>
      </c>
      <c r="C5653" s="12">
        <f>IFERROR(__xludf.DUMMYFUNCTION("""COMPUTED_VALUE"""),44661.34780092593)</f>
        <v>44661.3478</v>
      </c>
      <c r="D5653" s="13">
        <f t="shared" si="1"/>
        <v>10</v>
      </c>
      <c r="E5653" s="13">
        <f t="shared" si="2"/>
        <v>8</v>
      </c>
    </row>
    <row r="5654">
      <c r="A5654" s="4" t="s">
        <v>6255</v>
      </c>
      <c r="B5654" s="16"/>
      <c r="C5654" s="12">
        <f>IFERROR(__xludf.DUMMYFUNCTION("""COMPUTED_VALUE"""),44661.31886574074)</f>
        <v>44661.31887</v>
      </c>
      <c r="D5654" s="13">
        <f t="shared" si="1"/>
        <v>10</v>
      </c>
      <c r="E5654" s="13">
        <f t="shared" si="2"/>
        <v>7</v>
      </c>
    </row>
    <row r="5655">
      <c r="A5655" s="4" t="s">
        <v>6256</v>
      </c>
      <c r="B5655" s="4" t="s">
        <v>6257</v>
      </c>
      <c r="C5655" s="12">
        <f>IFERROR(__xludf.DUMMYFUNCTION("""COMPUTED_VALUE"""),44661.234513888885)</f>
        <v>44661.23451</v>
      </c>
      <c r="D5655" s="13">
        <f t="shared" si="1"/>
        <v>10</v>
      </c>
      <c r="E5655" s="13">
        <f t="shared" si="2"/>
        <v>5</v>
      </c>
    </row>
    <row r="5656">
      <c r="A5656" s="4" t="s">
        <v>6258</v>
      </c>
      <c r="B5656" s="16"/>
      <c r="C5656" s="12">
        <f>IFERROR(__xludf.DUMMYFUNCTION("""COMPUTED_VALUE"""),44661.21871527778)</f>
        <v>44661.21872</v>
      </c>
      <c r="D5656" s="13">
        <f t="shared" si="1"/>
        <v>10</v>
      </c>
      <c r="E5656" s="13">
        <f t="shared" si="2"/>
        <v>5</v>
      </c>
    </row>
    <row r="5657">
      <c r="A5657" s="4" t="s">
        <v>6259</v>
      </c>
      <c r="B5657" s="16"/>
      <c r="C5657" s="12">
        <f>IFERROR(__xludf.DUMMYFUNCTION("""COMPUTED_VALUE"""),44661.16402777778)</f>
        <v>44661.16403</v>
      </c>
      <c r="D5657" s="13">
        <f t="shared" si="1"/>
        <v>10</v>
      </c>
      <c r="E5657" s="13">
        <f t="shared" si="2"/>
        <v>3</v>
      </c>
    </row>
    <row r="5658">
      <c r="A5658" s="4" t="s">
        <v>6260</v>
      </c>
      <c r="B5658" s="16"/>
      <c r="C5658" s="12">
        <f>IFERROR(__xludf.DUMMYFUNCTION("""COMPUTED_VALUE"""),44661.163622685184)</f>
        <v>44661.16362</v>
      </c>
      <c r="D5658" s="13">
        <f t="shared" si="1"/>
        <v>10</v>
      </c>
      <c r="E5658" s="13">
        <f t="shared" si="2"/>
        <v>3</v>
      </c>
    </row>
    <row r="5659">
      <c r="A5659" s="4" t="s">
        <v>6261</v>
      </c>
      <c r="B5659" s="16"/>
      <c r="C5659" s="12">
        <f>IFERROR(__xludf.DUMMYFUNCTION("""COMPUTED_VALUE"""),44661.05008101852)</f>
        <v>44661.05008</v>
      </c>
      <c r="D5659" s="13">
        <f t="shared" si="1"/>
        <v>10</v>
      </c>
      <c r="E5659" s="13">
        <f t="shared" si="2"/>
        <v>1</v>
      </c>
    </row>
    <row r="5660">
      <c r="A5660" s="4" t="s">
        <v>6262</v>
      </c>
      <c r="B5660" s="16"/>
      <c r="C5660" s="12">
        <f>IFERROR(__xludf.DUMMYFUNCTION("""COMPUTED_VALUE"""),44661.03936342592)</f>
        <v>44661.03936</v>
      </c>
      <c r="D5660" s="13">
        <f t="shared" si="1"/>
        <v>10</v>
      </c>
      <c r="E5660" s="13">
        <f t="shared" si="2"/>
        <v>0</v>
      </c>
    </row>
    <row r="5661">
      <c r="A5661" s="4" t="s">
        <v>6263</v>
      </c>
      <c r="B5661" s="16"/>
      <c r="C5661" s="12">
        <f>IFERROR(__xludf.DUMMYFUNCTION("""COMPUTED_VALUE"""),44661.034953703704)</f>
        <v>44661.03495</v>
      </c>
      <c r="D5661" s="13">
        <f t="shared" si="1"/>
        <v>10</v>
      </c>
      <c r="E5661" s="13">
        <f t="shared" si="2"/>
        <v>0</v>
      </c>
    </row>
    <row r="5662">
      <c r="A5662" s="4" t="s">
        <v>6264</v>
      </c>
      <c r="B5662" s="16"/>
      <c r="C5662" s="12">
        <f>IFERROR(__xludf.DUMMYFUNCTION("""COMPUTED_VALUE"""),44661.02138888888)</f>
        <v>44661.02139</v>
      </c>
      <c r="D5662" s="13">
        <f t="shared" si="1"/>
        <v>10</v>
      </c>
      <c r="E5662" s="13">
        <f t="shared" si="2"/>
        <v>0</v>
      </c>
    </row>
    <row r="5663">
      <c r="A5663" s="4" t="s">
        <v>6265</v>
      </c>
      <c r="B5663" s="16"/>
      <c r="C5663" s="12">
        <f>IFERROR(__xludf.DUMMYFUNCTION("""COMPUTED_VALUE"""),44661.01173611111)</f>
        <v>44661.01174</v>
      </c>
      <c r="D5663" s="13">
        <f t="shared" si="1"/>
        <v>10</v>
      </c>
      <c r="E5663" s="13">
        <f t="shared" si="2"/>
        <v>0</v>
      </c>
    </row>
    <row r="5664">
      <c r="A5664" s="4" t="s">
        <v>6266</v>
      </c>
      <c r="B5664" s="16"/>
      <c r="C5664" s="12">
        <f>IFERROR(__xludf.DUMMYFUNCTION("""COMPUTED_VALUE"""),44661.00263888889)</f>
        <v>44661.00264</v>
      </c>
      <c r="D5664" s="13">
        <f t="shared" si="1"/>
        <v>10</v>
      </c>
      <c r="E5664" s="13">
        <f t="shared" si="2"/>
        <v>0</v>
      </c>
    </row>
    <row r="5665">
      <c r="A5665" s="4" t="s">
        <v>6267</v>
      </c>
      <c r="B5665" s="16"/>
      <c r="C5665" s="12">
        <f>IFERROR(__xludf.DUMMYFUNCTION("""COMPUTED_VALUE"""),44660.99146990741)</f>
        <v>44660.99147</v>
      </c>
      <c r="D5665" s="13">
        <f t="shared" si="1"/>
        <v>9</v>
      </c>
      <c r="E5665" s="13">
        <f t="shared" si="2"/>
        <v>23</v>
      </c>
    </row>
    <row r="5666">
      <c r="A5666" s="4" t="s">
        <v>6268</v>
      </c>
      <c r="B5666" s="4" t="s">
        <v>6269</v>
      </c>
      <c r="C5666" s="12">
        <f>IFERROR(__xludf.DUMMYFUNCTION("""COMPUTED_VALUE"""),44660.98607638889)</f>
        <v>44660.98608</v>
      </c>
      <c r="D5666" s="13">
        <f t="shared" si="1"/>
        <v>9</v>
      </c>
      <c r="E5666" s="13">
        <f t="shared" si="2"/>
        <v>23</v>
      </c>
    </row>
    <row r="5667">
      <c r="A5667" s="4" t="s">
        <v>6270</v>
      </c>
      <c r="B5667" s="16"/>
      <c r="C5667" s="12">
        <f>IFERROR(__xludf.DUMMYFUNCTION("""COMPUTED_VALUE"""),44660.97409722222)</f>
        <v>44660.9741</v>
      </c>
      <c r="D5667" s="13">
        <f t="shared" si="1"/>
        <v>9</v>
      </c>
      <c r="E5667" s="13">
        <f t="shared" si="2"/>
        <v>23</v>
      </c>
    </row>
    <row r="5668">
      <c r="A5668" s="4" t="s">
        <v>6271</v>
      </c>
      <c r="B5668" s="16"/>
      <c r="C5668" s="12">
        <f>IFERROR(__xludf.DUMMYFUNCTION("""COMPUTED_VALUE"""),44660.94515046296)</f>
        <v>44660.94515</v>
      </c>
      <c r="D5668" s="13">
        <f t="shared" si="1"/>
        <v>9</v>
      </c>
      <c r="E5668" s="13">
        <f t="shared" si="2"/>
        <v>22</v>
      </c>
    </row>
    <row r="5669">
      <c r="A5669" s="4" t="s">
        <v>6272</v>
      </c>
      <c r="B5669" s="16"/>
      <c r="C5669" s="12">
        <f>IFERROR(__xludf.DUMMYFUNCTION("""COMPUTED_VALUE"""),44660.89655092592)</f>
        <v>44660.89655</v>
      </c>
      <c r="D5669" s="13">
        <f t="shared" si="1"/>
        <v>9</v>
      </c>
      <c r="E5669" s="13">
        <f t="shared" si="2"/>
        <v>21</v>
      </c>
    </row>
    <row r="5670">
      <c r="A5670" s="4" t="s">
        <v>6273</v>
      </c>
      <c r="B5670" s="16"/>
      <c r="C5670" s="12">
        <f>IFERROR(__xludf.DUMMYFUNCTION("""COMPUTED_VALUE"""),44660.88855324074)</f>
        <v>44660.88855</v>
      </c>
      <c r="D5670" s="13">
        <f t="shared" si="1"/>
        <v>9</v>
      </c>
      <c r="E5670" s="13">
        <f t="shared" si="2"/>
        <v>21</v>
      </c>
    </row>
    <row r="5671">
      <c r="A5671" s="4" t="s">
        <v>6274</v>
      </c>
      <c r="B5671" s="16"/>
      <c r="C5671" s="12">
        <f>IFERROR(__xludf.DUMMYFUNCTION("""COMPUTED_VALUE"""),44660.88811342592)</f>
        <v>44660.88811</v>
      </c>
      <c r="D5671" s="13">
        <f t="shared" si="1"/>
        <v>9</v>
      </c>
      <c r="E5671" s="13">
        <f t="shared" si="2"/>
        <v>21</v>
      </c>
    </row>
    <row r="5672">
      <c r="A5672" s="4" t="s">
        <v>6275</v>
      </c>
      <c r="B5672" s="16"/>
      <c r="C5672" s="12">
        <f>IFERROR(__xludf.DUMMYFUNCTION("""COMPUTED_VALUE"""),44660.877488425926)</f>
        <v>44660.87749</v>
      </c>
      <c r="D5672" s="13">
        <f t="shared" si="1"/>
        <v>9</v>
      </c>
      <c r="E5672" s="13">
        <f t="shared" si="2"/>
        <v>21</v>
      </c>
    </row>
    <row r="5673">
      <c r="A5673" s="4" t="s">
        <v>6276</v>
      </c>
      <c r="B5673" s="4" t="s">
        <v>6277</v>
      </c>
      <c r="C5673" s="12">
        <f>IFERROR(__xludf.DUMMYFUNCTION("""COMPUTED_VALUE"""),44660.86443287037)</f>
        <v>44660.86443</v>
      </c>
      <c r="D5673" s="13">
        <f t="shared" si="1"/>
        <v>9</v>
      </c>
      <c r="E5673" s="13">
        <f t="shared" si="2"/>
        <v>20</v>
      </c>
    </row>
    <row r="5674">
      <c r="A5674" s="4" t="s">
        <v>6278</v>
      </c>
      <c r="B5674" s="16"/>
      <c r="C5674" s="12">
        <f>IFERROR(__xludf.DUMMYFUNCTION("""COMPUTED_VALUE"""),44660.8566087963)</f>
        <v>44660.85661</v>
      </c>
      <c r="D5674" s="13">
        <f t="shared" si="1"/>
        <v>9</v>
      </c>
      <c r="E5674" s="13">
        <f t="shared" si="2"/>
        <v>20</v>
      </c>
    </row>
    <row r="5675">
      <c r="A5675" s="4" t="s">
        <v>6279</v>
      </c>
      <c r="B5675" s="16"/>
      <c r="C5675" s="12">
        <f>IFERROR(__xludf.DUMMYFUNCTION("""COMPUTED_VALUE"""),44660.822129629625)</f>
        <v>44660.82213</v>
      </c>
      <c r="D5675" s="13">
        <f t="shared" si="1"/>
        <v>9</v>
      </c>
      <c r="E5675" s="13">
        <f t="shared" si="2"/>
        <v>19</v>
      </c>
    </row>
    <row r="5676">
      <c r="A5676" s="4" t="s">
        <v>6280</v>
      </c>
      <c r="B5676" s="16"/>
      <c r="C5676" s="12">
        <f>IFERROR(__xludf.DUMMYFUNCTION("""COMPUTED_VALUE"""),44660.7989699074)</f>
        <v>44660.79897</v>
      </c>
      <c r="D5676" s="13">
        <f t="shared" si="1"/>
        <v>9</v>
      </c>
      <c r="E5676" s="13">
        <f t="shared" si="2"/>
        <v>19</v>
      </c>
    </row>
    <row r="5677">
      <c r="A5677" s="4" t="s">
        <v>6281</v>
      </c>
      <c r="B5677" s="4" t="s">
        <v>6254</v>
      </c>
      <c r="C5677" s="12">
        <f>IFERROR(__xludf.DUMMYFUNCTION("""COMPUTED_VALUE"""),44660.79188657407)</f>
        <v>44660.79189</v>
      </c>
      <c r="D5677" s="13">
        <f t="shared" si="1"/>
        <v>9</v>
      </c>
      <c r="E5677" s="13">
        <f t="shared" si="2"/>
        <v>19</v>
      </c>
    </row>
    <row r="5678">
      <c r="A5678" s="4" t="s">
        <v>6282</v>
      </c>
      <c r="B5678" s="4" t="s">
        <v>6283</v>
      </c>
      <c r="C5678" s="12">
        <f>IFERROR(__xludf.DUMMYFUNCTION("""COMPUTED_VALUE"""),44660.771469907406)</f>
        <v>44660.77147</v>
      </c>
      <c r="D5678" s="13">
        <f t="shared" si="1"/>
        <v>9</v>
      </c>
      <c r="E5678" s="13">
        <f t="shared" si="2"/>
        <v>18</v>
      </c>
    </row>
    <row r="5679">
      <c r="A5679" s="4" t="s">
        <v>6284</v>
      </c>
      <c r="B5679" s="4" t="s">
        <v>6283</v>
      </c>
      <c r="C5679" s="12">
        <f>IFERROR(__xludf.DUMMYFUNCTION("""COMPUTED_VALUE"""),44660.77077546296)</f>
        <v>44660.77078</v>
      </c>
      <c r="D5679" s="13">
        <f t="shared" si="1"/>
        <v>9</v>
      </c>
      <c r="E5679" s="13">
        <f t="shared" si="2"/>
        <v>18</v>
      </c>
    </row>
    <row r="5680">
      <c r="A5680" s="4" t="s">
        <v>6285</v>
      </c>
      <c r="B5680" s="16"/>
      <c r="C5680" s="12">
        <f>IFERROR(__xludf.DUMMYFUNCTION("""COMPUTED_VALUE"""),44660.76640046296)</f>
        <v>44660.7664</v>
      </c>
      <c r="D5680" s="13">
        <f t="shared" si="1"/>
        <v>9</v>
      </c>
      <c r="E5680" s="13">
        <f t="shared" si="2"/>
        <v>18</v>
      </c>
    </row>
    <row r="5681">
      <c r="A5681" s="4" t="s">
        <v>6286</v>
      </c>
      <c r="B5681" s="16"/>
      <c r="C5681" s="12">
        <f>IFERROR(__xludf.DUMMYFUNCTION("""COMPUTED_VALUE"""),44660.75741898148)</f>
        <v>44660.75742</v>
      </c>
      <c r="D5681" s="13">
        <f t="shared" si="1"/>
        <v>9</v>
      </c>
      <c r="E5681" s="13">
        <f t="shared" si="2"/>
        <v>18</v>
      </c>
    </row>
    <row r="5682">
      <c r="A5682" s="4" t="s">
        <v>6287</v>
      </c>
      <c r="B5682" s="16"/>
      <c r="C5682" s="12">
        <f>IFERROR(__xludf.DUMMYFUNCTION("""COMPUTED_VALUE"""),44660.75739583333)</f>
        <v>44660.7574</v>
      </c>
      <c r="D5682" s="13">
        <f t="shared" si="1"/>
        <v>9</v>
      </c>
      <c r="E5682" s="13">
        <f t="shared" si="2"/>
        <v>18</v>
      </c>
    </row>
    <row r="5683">
      <c r="A5683" s="4" t="s">
        <v>6288</v>
      </c>
      <c r="B5683" s="4" t="s">
        <v>6283</v>
      </c>
      <c r="C5683" s="12">
        <f>IFERROR(__xludf.DUMMYFUNCTION("""COMPUTED_VALUE"""),44660.74453703703)</f>
        <v>44660.74454</v>
      </c>
      <c r="D5683" s="13">
        <f t="shared" si="1"/>
        <v>9</v>
      </c>
      <c r="E5683" s="13">
        <f t="shared" si="2"/>
        <v>17</v>
      </c>
    </row>
    <row r="5684">
      <c r="A5684" s="4" t="s">
        <v>6289</v>
      </c>
      <c r="B5684" s="16"/>
      <c r="C5684" s="12">
        <f>IFERROR(__xludf.DUMMYFUNCTION("""COMPUTED_VALUE"""),44660.73405092592)</f>
        <v>44660.73405</v>
      </c>
      <c r="D5684" s="13">
        <f t="shared" si="1"/>
        <v>9</v>
      </c>
      <c r="E5684" s="13">
        <f t="shared" si="2"/>
        <v>17</v>
      </c>
    </row>
    <row r="5685">
      <c r="A5685" s="4" t="s">
        <v>6290</v>
      </c>
      <c r="B5685" s="16"/>
      <c r="C5685" s="12">
        <f>IFERROR(__xludf.DUMMYFUNCTION("""COMPUTED_VALUE"""),44660.71165509259)</f>
        <v>44660.71166</v>
      </c>
      <c r="D5685" s="13">
        <f t="shared" si="1"/>
        <v>9</v>
      </c>
      <c r="E5685" s="13">
        <f t="shared" si="2"/>
        <v>17</v>
      </c>
    </row>
    <row r="5686">
      <c r="A5686" s="4" t="s">
        <v>6291</v>
      </c>
      <c r="B5686" s="16"/>
      <c r="C5686" s="12">
        <f>IFERROR(__xludf.DUMMYFUNCTION("""COMPUTED_VALUE"""),44660.70900462963)</f>
        <v>44660.709</v>
      </c>
      <c r="D5686" s="13">
        <f t="shared" si="1"/>
        <v>9</v>
      </c>
      <c r="E5686" s="13">
        <f t="shared" si="2"/>
        <v>17</v>
      </c>
    </row>
    <row r="5687">
      <c r="A5687" s="4" t="s">
        <v>6292</v>
      </c>
      <c r="B5687" s="16"/>
      <c r="C5687" s="12">
        <f>IFERROR(__xludf.DUMMYFUNCTION("""COMPUTED_VALUE"""),44660.70497685185)</f>
        <v>44660.70498</v>
      </c>
      <c r="D5687" s="13">
        <f t="shared" si="1"/>
        <v>9</v>
      </c>
      <c r="E5687" s="13">
        <f t="shared" si="2"/>
        <v>16</v>
      </c>
    </row>
    <row r="5688">
      <c r="A5688" s="4" t="s">
        <v>6293</v>
      </c>
      <c r="B5688" s="4" t="s">
        <v>6277</v>
      </c>
      <c r="C5688" s="12">
        <f>IFERROR(__xludf.DUMMYFUNCTION("""COMPUTED_VALUE"""),44660.70212962963)</f>
        <v>44660.70213</v>
      </c>
      <c r="D5688" s="13">
        <f t="shared" si="1"/>
        <v>9</v>
      </c>
      <c r="E5688" s="13">
        <f t="shared" si="2"/>
        <v>16</v>
      </c>
    </row>
    <row r="5689">
      <c r="A5689" s="4" t="s">
        <v>6294</v>
      </c>
      <c r="B5689" s="4" t="s">
        <v>6295</v>
      </c>
      <c r="C5689" s="12">
        <f>IFERROR(__xludf.DUMMYFUNCTION("""COMPUTED_VALUE"""),44660.67741898148)</f>
        <v>44660.67742</v>
      </c>
      <c r="D5689" s="13">
        <f t="shared" si="1"/>
        <v>9</v>
      </c>
      <c r="E5689" s="13">
        <f t="shared" si="2"/>
        <v>16</v>
      </c>
    </row>
    <row r="5690">
      <c r="A5690" s="4" t="s">
        <v>6296</v>
      </c>
      <c r="B5690" s="16"/>
      <c r="C5690" s="12">
        <f>IFERROR(__xludf.DUMMYFUNCTION("""COMPUTED_VALUE"""),44660.66321759259)</f>
        <v>44660.66322</v>
      </c>
      <c r="D5690" s="13">
        <f t="shared" si="1"/>
        <v>9</v>
      </c>
      <c r="E5690" s="13">
        <f t="shared" si="2"/>
        <v>15</v>
      </c>
    </row>
    <row r="5691">
      <c r="A5691" s="4" t="s">
        <v>6297</v>
      </c>
      <c r="B5691" s="16"/>
      <c r="C5691" s="12">
        <f>IFERROR(__xludf.DUMMYFUNCTION("""COMPUTED_VALUE"""),44660.66138888889)</f>
        <v>44660.66139</v>
      </c>
      <c r="D5691" s="13">
        <f t="shared" si="1"/>
        <v>9</v>
      </c>
      <c r="E5691" s="13">
        <f t="shared" si="2"/>
        <v>15</v>
      </c>
    </row>
    <row r="5692">
      <c r="A5692" s="4" t="s">
        <v>6298</v>
      </c>
      <c r="B5692" s="16"/>
      <c r="C5692" s="12">
        <f>IFERROR(__xludf.DUMMYFUNCTION("""COMPUTED_VALUE"""),44660.66040509259)</f>
        <v>44660.66041</v>
      </c>
      <c r="D5692" s="13">
        <f t="shared" si="1"/>
        <v>9</v>
      </c>
      <c r="E5692" s="13">
        <f t="shared" si="2"/>
        <v>15</v>
      </c>
    </row>
    <row r="5693">
      <c r="A5693" s="4" t="s">
        <v>6299</v>
      </c>
      <c r="B5693" s="16"/>
      <c r="C5693" s="12">
        <f>IFERROR(__xludf.DUMMYFUNCTION("""COMPUTED_VALUE"""),44660.645636574074)</f>
        <v>44660.64564</v>
      </c>
      <c r="D5693" s="13">
        <f t="shared" si="1"/>
        <v>9</v>
      </c>
      <c r="E5693" s="13">
        <f t="shared" si="2"/>
        <v>15</v>
      </c>
    </row>
    <row r="5694">
      <c r="A5694" s="4" t="s">
        <v>6300</v>
      </c>
      <c r="B5694" s="4" t="s">
        <v>6301</v>
      </c>
      <c r="C5694" s="12">
        <f>IFERROR(__xludf.DUMMYFUNCTION("""COMPUTED_VALUE"""),44660.64528935185)</f>
        <v>44660.64529</v>
      </c>
      <c r="D5694" s="13">
        <f t="shared" si="1"/>
        <v>9</v>
      </c>
      <c r="E5694" s="13">
        <f t="shared" si="2"/>
        <v>15</v>
      </c>
    </row>
    <row r="5695">
      <c r="A5695" s="4" t="s">
        <v>6302</v>
      </c>
      <c r="B5695" s="16"/>
      <c r="C5695" s="12">
        <f>IFERROR(__xludf.DUMMYFUNCTION("""COMPUTED_VALUE"""),44660.62578703703)</f>
        <v>44660.62579</v>
      </c>
      <c r="D5695" s="13">
        <f t="shared" si="1"/>
        <v>9</v>
      </c>
      <c r="E5695" s="13">
        <f t="shared" si="2"/>
        <v>15</v>
      </c>
    </row>
    <row r="5696">
      <c r="A5696" s="4" t="s">
        <v>6303</v>
      </c>
      <c r="B5696" s="4" t="s">
        <v>6304</v>
      </c>
      <c r="C5696" s="12">
        <f>IFERROR(__xludf.DUMMYFUNCTION("""COMPUTED_VALUE"""),44660.61759259259)</f>
        <v>44660.61759</v>
      </c>
      <c r="D5696" s="13">
        <f t="shared" si="1"/>
        <v>9</v>
      </c>
      <c r="E5696" s="13">
        <f t="shared" si="2"/>
        <v>14</v>
      </c>
    </row>
    <row r="5697">
      <c r="A5697" s="4" t="s">
        <v>6305</v>
      </c>
      <c r="B5697" s="4" t="s">
        <v>6304</v>
      </c>
      <c r="C5697" s="12">
        <f>IFERROR(__xludf.DUMMYFUNCTION("""COMPUTED_VALUE"""),44660.61753472222)</f>
        <v>44660.61753</v>
      </c>
      <c r="D5697" s="13">
        <f t="shared" si="1"/>
        <v>9</v>
      </c>
      <c r="E5697" s="13">
        <f t="shared" si="2"/>
        <v>14</v>
      </c>
    </row>
    <row r="5698">
      <c r="A5698" s="4" t="s">
        <v>6306</v>
      </c>
      <c r="B5698" s="16"/>
      <c r="C5698" s="12">
        <f>IFERROR(__xludf.DUMMYFUNCTION("""COMPUTED_VALUE"""),44660.6174537037)</f>
        <v>44660.61745</v>
      </c>
      <c r="D5698" s="13">
        <f t="shared" si="1"/>
        <v>9</v>
      </c>
      <c r="E5698" s="13">
        <f t="shared" si="2"/>
        <v>14</v>
      </c>
    </row>
    <row r="5699">
      <c r="A5699" s="4" t="s">
        <v>6307</v>
      </c>
      <c r="B5699" s="4" t="s">
        <v>6308</v>
      </c>
      <c r="C5699" s="12">
        <f>IFERROR(__xludf.DUMMYFUNCTION("""COMPUTED_VALUE"""),44660.5892824074)</f>
        <v>44660.58928</v>
      </c>
      <c r="D5699" s="13">
        <f t="shared" si="1"/>
        <v>9</v>
      </c>
      <c r="E5699" s="13">
        <f t="shared" si="2"/>
        <v>14</v>
      </c>
    </row>
    <row r="5700">
      <c r="A5700" s="4" t="s">
        <v>6309</v>
      </c>
      <c r="B5700" s="4" t="s">
        <v>6310</v>
      </c>
      <c r="C5700" s="12">
        <f>IFERROR(__xludf.DUMMYFUNCTION("""COMPUTED_VALUE"""),44660.58733796296)</f>
        <v>44660.58734</v>
      </c>
      <c r="D5700" s="13">
        <f t="shared" si="1"/>
        <v>9</v>
      </c>
      <c r="E5700" s="13">
        <f t="shared" si="2"/>
        <v>14</v>
      </c>
    </row>
    <row r="5701">
      <c r="A5701" s="4" t="s">
        <v>6311</v>
      </c>
      <c r="B5701" s="4" t="s">
        <v>6310</v>
      </c>
      <c r="C5701" s="12">
        <f>IFERROR(__xludf.DUMMYFUNCTION("""COMPUTED_VALUE"""),44660.58692129629)</f>
        <v>44660.58692</v>
      </c>
      <c r="D5701" s="13">
        <f t="shared" si="1"/>
        <v>9</v>
      </c>
      <c r="E5701" s="13">
        <f t="shared" si="2"/>
        <v>14</v>
      </c>
    </row>
    <row r="5702">
      <c r="A5702" s="4" t="s">
        <v>6312</v>
      </c>
      <c r="B5702" s="16"/>
      <c r="C5702" s="12">
        <f>IFERROR(__xludf.DUMMYFUNCTION("""COMPUTED_VALUE"""),44660.56817129629)</f>
        <v>44660.56817</v>
      </c>
      <c r="D5702" s="13">
        <f t="shared" si="1"/>
        <v>9</v>
      </c>
      <c r="E5702" s="13">
        <f t="shared" si="2"/>
        <v>13</v>
      </c>
    </row>
    <row r="5703">
      <c r="A5703" s="4" t="s">
        <v>6313</v>
      </c>
      <c r="B5703" s="4" t="s">
        <v>6314</v>
      </c>
      <c r="C5703" s="12">
        <f>IFERROR(__xludf.DUMMYFUNCTION("""COMPUTED_VALUE"""),44660.568032407406)</f>
        <v>44660.56803</v>
      </c>
      <c r="D5703" s="13">
        <f t="shared" si="1"/>
        <v>9</v>
      </c>
      <c r="E5703" s="13">
        <f t="shared" si="2"/>
        <v>13</v>
      </c>
    </row>
    <row r="5704">
      <c r="A5704" s="4" t="s">
        <v>6315</v>
      </c>
      <c r="B5704" s="4" t="s">
        <v>6314</v>
      </c>
      <c r="C5704" s="12">
        <f>IFERROR(__xludf.DUMMYFUNCTION("""COMPUTED_VALUE"""),44660.567986111106)</f>
        <v>44660.56799</v>
      </c>
      <c r="D5704" s="13">
        <f t="shared" si="1"/>
        <v>9</v>
      </c>
      <c r="E5704" s="13">
        <f t="shared" si="2"/>
        <v>13</v>
      </c>
    </row>
    <row r="5705">
      <c r="A5705" s="4" t="s">
        <v>6316</v>
      </c>
      <c r="B5705" s="16"/>
      <c r="C5705" s="12">
        <f>IFERROR(__xludf.DUMMYFUNCTION("""COMPUTED_VALUE"""),44660.567824074074)</f>
        <v>44660.56782</v>
      </c>
      <c r="D5705" s="13">
        <f t="shared" si="1"/>
        <v>9</v>
      </c>
      <c r="E5705" s="13">
        <f t="shared" si="2"/>
        <v>13</v>
      </c>
    </row>
    <row r="5706">
      <c r="A5706" s="4" t="s">
        <v>6317</v>
      </c>
      <c r="B5706" s="4" t="s">
        <v>6314</v>
      </c>
      <c r="C5706" s="12">
        <f>IFERROR(__xludf.DUMMYFUNCTION("""COMPUTED_VALUE"""),44660.567407407405)</f>
        <v>44660.56741</v>
      </c>
      <c r="D5706" s="13">
        <f t="shared" si="1"/>
        <v>9</v>
      </c>
      <c r="E5706" s="13">
        <f t="shared" si="2"/>
        <v>13</v>
      </c>
    </row>
    <row r="5707">
      <c r="A5707" s="4" t="s">
        <v>6318</v>
      </c>
      <c r="B5707" s="4" t="s">
        <v>6319</v>
      </c>
      <c r="C5707" s="12">
        <f>IFERROR(__xludf.DUMMYFUNCTION("""COMPUTED_VALUE"""),44660.545752314814)</f>
        <v>44660.54575</v>
      </c>
      <c r="D5707" s="13">
        <f t="shared" si="1"/>
        <v>9</v>
      </c>
      <c r="E5707" s="13">
        <f t="shared" si="2"/>
        <v>13</v>
      </c>
    </row>
    <row r="5708">
      <c r="A5708" s="4" t="s">
        <v>6320</v>
      </c>
      <c r="B5708" s="16"/>
      <c r="C5708" s="12">
        <f>IFERROR(__xludf.DUMMYFUNCTION("""COMPUTED_VALUE"""),44660.53046296296)</f>
        <v>44660.53046</v>
      </c>
      <c r="D5708" s="13">
        <f t="shared" si="1"/>
        <v>9</v>
      </c>
      <c r="E5708" s="13">
        <f t="shared" si="2"/>
        <v>12</v>
      </c>
    </row>
    <row r="5709">
      <c r="A5709" s="4" t="s">
        <v>6321</v>
      </c>
      <c r="B5709" s="4" t="s">
        <v>6322</v>
      </c>
      <c r="C5709" s="12">
        <f>IFERROR(__xludf.DUMMYFUNCTION("""COMPUTED_VALUE"""),44660.52569444444)</f>
        <v>44660.52569</v>
      </c>
      <c r="D5709" s="13">
        <f t="shared" si="1"/>
        <v>9</v>
      </c>
      <c r="E5709" s="13">
        <f t="shared" si="2"/>
        <v>12</v>
      </c>
    </row>
    <row r="5710">
      <c r="A5710" s="4" t="s">
        <v>6323</v>
      </c>
      <c r="B5710" s="4" t="s">
        <v>6324</v>
      </c>
      <c r="C5710" s="12">
        <f>IFERROR(__xludf.DUMMYFUNCTION("""COMPUTED_VALUE"""),44660.51710648148)</f>
        <v>44660.51711</v>
      </c>
      <c r="D5710" s="13">
        <f t="shared" si="1"/>
        <v>9</v>
      </c>
      <c r="E5710" s="13">
        <f t="shared" si="2"/>
        <v>12</v>
      </c>
    </row>
    <row r="5711">
      <c r="A5711" s="4" t="s">
        <v>6325</v>
      </c>
      <c r="B5711" s="16"/>
      <c r="C5711" s="12">
        <f>IFERROR(__xludf.DUMMYFUNCTION("""COMPUTED_VALUE"""),44660.51672453703)</f>
        <v>44660.51672</v>
      </c>
      <c r="D5711" s="13">
        <f t="shared" si="1"/>
        <v>9</v>
      </c>
      <c r="E5711" s="13">
        <f t="shared" si="2"/>
        <v>12</v>
      </c>
    </row>
    <row r="5712">
      <c r="A5712" s="4" t="s">
        <v>6326</v>
      </c>
      <c r="B5712" s="16"/>
      <c r="C5712" s="12">
        <f>IFERROR(__xludf.DUMMYFUNCTION("""COMPUTED_VALUE"""),44660.516701388886)</f>
        <v>44660.5167</v>
      </c>
      <c r="D5712" s="13">
        <f t="shared" si="1"/>
        <v>9</v>
      </c>
      <c r="E5712" s="13">
        <f t="shared" si="2"/>
        <v>12</v>
      </c>
    </row>
    <row r="5713">
      <c r="A5713" s="4" t="s">
        <v>6327</v>
      </c>
      <c r="B5713" s="16"/>
      <c r="C5713" s="12">
        <f>IFERROR(__xludf.DUMMYFUNCTION("""COMPUTED_VALUE"""),44660.51665509259)</f>
        <v>44660.51666</v>
      </c>
      <c r="D5713" s="13">
        <f t="shared" si="1"/>
        <v>9</v>
      </c>
      <c r="E5713" s="13">
        <f t="shared" si="2"/>
        <v>12</v>
      </c>
    </row>
    <row r="5714">
      <c r="A5714" s="4" t="s">
        <v>6328</v>
      </c>
      <c r="B5714" s="16"/>
      <c r="C5714" s="12">
        <f>IFERROR(__xludf.DUMMYFUNCTION("""COMPUTED_VALUE"""),44660.51662037037)</f>
        <v>44660.51662</v>
      </c>
      <c r="D5714" s="13">
        <f t="shared" si="1"/>
        <v>9</v>
      </c>
      <c r="E5714" s="13">
        <f t="shared" si="2"/>
        <v>12</v>
      </c>
    </row>
    <row r="5715">
      <c r="A5715" s="4" t="s">
        <v>6329</v>
      </c>
      <c r="B5715" s="16"/>
      <c r="C5715" s="12">
        <f>IFERROR(__xludf.DUMMYFUNCTION("""COMPUTED_VALUE"""),44660.51660879629)</f>
        <v>44660.51661</v>
      </c>
      <c r="D5715" s="13">
        <f t="shared" si="1"/>
        <v>9</v>
      </c>
      <c r="E5715" s="13">
        <f t="shared" si="2"/>
        <v>12</v>
      </c>
    </row>
    <row r="5716">
      <c r="A5716" s="4" t="s">
        <v>6330</v>
      </c>
      <c r="B5716" s="16"/>
      <c r="C5716" s="12">
        <f>IFERROR(__xludf.DUMMYFUNCTION("""COMPUTED_VALUE"""),44660.49413194444)</f>
        <v>44660.49413</v>
      </c>
      <c r="D5716" s="13">
        <f t="shared" si="1"/>
        <v>9</v>
      </c>
      <c r="E5716" s="13">
        <f t="shared" si="2"/>
        <v>11</v>
      </c>
    </row>
    <row r="5717">
      <c r="A5717" s="4" t="s">
        <v>6331</v>
      </c>
      <c r="B5717" s="16"/>
      <c r="C5717" s="12">
        <f>IFERROR(__xludf.DUMMYFUNCTION("""COMPUTED_VALUE"""),44660.48207175926)</f>
        <v>44660.48207</v>
      </c>
      <c r="D5717" s="13">
        <f t="shared" si="1"/>
        <v>9</v>
      </c>
      <c r="E5717" s="13">
        <f t="shared" si="2"/>
        <v>11</v>
      </c>
    </row>
    <row r="5718">
      <c r="A5718" s="4" t="s">
        <v>6332</v>
      </c>
      <c r="B5718" s="16"/>
      <c r="C5718" s="12">
        <f>IFERROR(__xludf.DUMMYFUNCTION("""COMPUTED_VALUE"""),44660.47519675926)</f>
        <v>44660.4752</v>
      </c>
      <c r="D5718" s="13">
        <f t="shared" si="1"/>
        <v>9</v>
      </c>
      <c r="E5718" s="13">
        <f t="shared" si="2"/>
        <v>11</v>
      </c>
    </row>
    <row r="5719">
      <c r="A5719" s="4" t="s">
        <v>6333</v>
      </c>
      <c r="B5719" s="16"/>
      <c r="C5719" s="12">
        <f>IFERROR(__xludf.DUMMYFUNCTION("""COMPUTED_VALUE"""),44660.46976851852)</f>
        <v>44660.46977</v>
      </c>
      <c r="D5719" s="13">
        <f t="shared" si="1"/>
        <v>9</v>
      </c>
      <c r="E5719" s="13">
        <f t="shared" si="2"/>
        <v>11</v>
      </c>
    </row>
    <row r="5720">
      <c r="A5720" s="4" t="s">
        <v>6334</v>
      </c>
      <c r="B5720" s="16"/>
      <c r="C5720" s="12">
        <f>IFERROR(__xludf.DUMMYFUNCTION("""COMPUTED_VALUE"""),44660.469143518516)</f>
        <v>44660.46914</v>
      </c>
      <c r="D5720" s="13">
        <f t="shared" si="1"/>
        <v>9</v>
      </c>
      <c r="E5720" s="13">
        <f t="shared" si="2"/>
        <v>11</v>
      </c>
    </row>
    <row r="5721">
      <c r="A5721" s="4" t="s">
        <v>6335</v>
      </c>
      <c r="B5721" s="16"/>
      <c r="C5721" s="12">
        <f>IFERROR(__xludf.DUMMYFUNCTION("""COMPUTED_VALUE"""),44660.468622685185)</f>
        <v>44660.46862</v>
      </c>
      <c r="D5721" s="13">
        <f t="shared" si="1"/>
        <v>9</v>
      </c>
      <c r="E5721" s="13">
        <f t="shared" si="2"/>
        <v>11</v>
      </c>
    </row>
    <row r="5722">
      <c r="A5722" s="4" t="s">
        <v>6336</v>
      </c>
      <c r="B5722" s="16"/>
      <c r="C5722" s="12">
        <f>IFERROR(__xludf.DUMMYFUNCTION("""COMPUTED_VALUE"""),44660.46821759259)</f>
        <v>44660.46822</v>
      </c>
      <c r="D5722" s="13">
        <f t="shared" si="1"/>
        <v>9</v>
      </c>
      <c r="E5722" s="13">
        <f t="shared" si="2"/>
        <v>11</v>
      </c>
    </row>
    <row r="5723">
      <c r="A5723" s="4" t="s">
        <v>6337</v>
      </c>
      <c r="B5723" s="16"/>
      <c r="C5723" s="12">
        <f>IFERROR(__xludf.DUMMYFUNCTION("""COMPUTED_VALUE"""),44660.46672453704)</f>
        <v>44660.46672</v>
      </c>
      <c r="D5723" s="13">
        <f t="shared" si="1"/>
        <v>9</v>
      </c>
      <c r="E5723" s="13">
        <f t="shared" si="2"/>
        <v>11</v>
      </c>
    </row>
    <row r="5724">
      <c r="A5724" s="4" t="s">
        <v>6338</v>
      </c>
      <c r="B5724" s="16"/>
      <c r="C5724" s="12">
        <f>IFERROR(__xludf.DUMMYFUNCTION("""COMPUTED_VALUE"""),44660.46506944444)</f>
        <v>44660.46507</v>
      </c>
      <c r="D5724" s="13">
        <f t="shared" si="1"/>
        <v>9</v>
      </c>
      <c r="E5724" s="13">
        <f t="shared" si="2"/>
        <v>11</v>
      </c>
    </row>
    <row r="5725">
      <c r="A5725" s="4" t="s">
        <v>6339</v>
      </c>
      <c r="B5725" s="16"/>
      <c r="C5725" s="12">
        <f>IFERROR(__xludf.DUMMYFUNCTION("""COMPUTED_VALUE"""),44660.464479166665)</f>
        <v>44660.46448</v>
      </c>
      <c r="D5725" s="13">
        <f t="shared" si="1"/>
        <v>9</v>
      </c>
      <c r="E5725" s="13">
        <f t="shared" si="2"/>
        <v>11</v>
      </c>
    </row>
    <row r="5726">
      <c r="A5726" s="4" t="s">
        <v>6340</v>
      </c>
      <c r="B5726" s="16"/>
      <c r="C5726" s="12">
        <f>IFERROR(__xludf.DUMMYFUNCTION("""COMPUTED_VALUE"""),44660.462060185186)</f>
        <v>44660.46206</v>
      </c>
      <c r="D5726" s="13">
        <f t="shared" si="1"/>
        <v>9</v>
      </c>
      <c r="E5726" s="13">
        <f t="shared" si="2"/>
        <v>11</v>
      </c>
    </row>
    <row r="5727">
      <c r="A5727" s="4" t="s">
        <v>6341</v>
      </c>
      <c r="B5727" s="16"/>
      <c r="C5727" s="12">
        <f>IFERROR(__xludf.DUMMYFUNCTION("""COMPUTED_VALUE"""),44660.4575462963)</f>
        <v>44660.45755</v>
      </c>
      <c r="D5727" s="13">
        <f t="shared" si="1"/>
        <v>9</v>
      </c>
      <c r="E5727" s="13">
        <f t="shared" si="2"/>
        <v>10</v>
      </c>
    </row>
    <row r="5728">
      <c r="A5728" s="4" t="s">
        <v>6342</v>
      </c>
      <c r="B5728" s="16"/>
      <c r="C5728" s="12">
        <f>IFERROR(__xludf.DUMMYFUNCTION("""COMPUTED_VALUE"""),44660.44792824074)</f>
        <v>44660.44793</v>
      </c>
      <c r="D5728" s="13">
        <f t="shared" si="1"/>
        <v>9</v>
      </c>
      <c r="E5728" s="13">
        <f t="shared" si="2"/>
        <v>10</v>
      </c>
    </row>
    <row r="5729">
      <c r="A5729" s="4" t="s">
        <v>6343</v>
      </c>
      <c r="B5729" s="16"/>
      <c r="C5729" s="12">
        <f>IFERROR(__xludf.DUMMYFUNCTION("""COMPUTED_VALUE"""),44660.42891203704)</f>
        <v>44660.42891</v>
      </c>
      <c r="D5729" s="13">
        <f t="shared" si="1"/>
        <v>9</v>
      </c>
      <c r="E5729" s="13">
        <f t="shared" si="2"/>
        <v>10</v>
      </c>
    </row>
    <row r="5730">
      <c r="A5730" s="4" t="s">
        <v>6344</v>
      </c>
      <c r="B5730" s="16"/>
      <c r="C5730" s="12">
        <f>IFERROR(__xludf.DUMMYFUNCTION("""COMPUTED_VALUE"""),44660.42594907407)</f>
        <v>44660.42595</v>
      </c>
      <c r="D5730" s="13">
        <f t="shared" si="1"/>
        <v>9</v>
      </c>
      <c r="E5730" s="13">
        <f t="shared" si="2"/>
        <v>10</v>
      </c>
    </row>
    <row r="5731">
      <c r="A5731" s="4" t="s">
        <v>6345</v>
      </c>
      <c r="B5731" s="16"/>
      <c r="C5731" s="12">
        <f>IFERROR(__xludf.DUMMYFUNCTION("""COMPUTED_VALUE"""),44660.41853009259)</f>
        <v>44660.41853</v>
      </c>
      <c r="D5731" s="13">
        <f t="shared" si="1"/>
        <v>9</v>
      </c>
      <c r="E5731" s="13">
        <f t="shared" si="2"/>
        <v>10</v>
      </c>
    </row>
    <row r="5732">
      <c r="A5732" s="4" t="s">
        <v>6346</v>
      </c>
      <c r="B5732" s="16"/>
      <c r="C5732" s="12">
        <f>IFERROR(__xludf.DUMMYFUNCTION("""COMPUTED_VALUE"""),44660.41263888888)</f>
        <v>44660.41264</v>
      </c>
      <c r="D5732" s="13">
        <f t="shared" si="1"/>
        <v>9</v>
      </c>
      <c r="E5732" s="13">
        <f t="shared" si="2"/>
        <v>9</v>
      </c>
    </row>
    <row r="5733">
      <c r="A5733" s="4" t="s">
        <v>6347</v>
      </c>
      <c r="B5733" s="16"/>
      <c r="C5733" s="12">
        <f>IFERROR(__xludf.DUMMYFUNCTION("""COMPUTED_VALUE"""),44660.41017361111)</f>
        <v>44660.41017</v>
      </c>
      <c r="D5733" s="13">
        <f t="shared" si="1"/>
        <v>9</v>
      </c>
      <c r="E5733" s="13">
        <f t="shared" si="2"/>
        <v>9</v>
      </c>
    </row>
    <row r="5734">
      <c r="A5734" s="4" t="s">
        <v>6348</v>
      </c>
      <c r="B5734" s="16"/>
      <c r="C5734" s="12">
        <f>IFERROR(__xludf.DUMMYFUNCTION("""COMPUTED_VALUE"""),44660.40278935185)</f>
        <v>44660.40279</v>
      </c>
      <c r="D5734" s="13">
        <f t="shared" si="1"/>
        <v>9</v>
      </c>
      <c r="E5734" s="13">
        <f t="shared" si="2"/>
        <v>9</v>
      </c>
    </row>
    <row r="5735">
      <c r="A5735" s="4" t="s">
        <v>6349</v>
      </c>
      <c r="B5735" s="16"/>
      <c r="C5735" s="12">
        <f>IFERROR(__xludf.DUMMYFUNCTION("""COMPUTED_VALUE"""),44660.392800925925)</f>
        <v>44660.3928</v>
      </c>
      <c r="D5735" s="13">
        <f t="shared" si="1"/>
        <v>9</v>
      </c>
      <c r="E5735" s="13">
        <f t="shared" si="2"/>
        <v>9</v>
      </c>
    </row>
    <row r="5736">
      <c r="A5736" s="4" t="s">
        <v>6350</v>
      </c>
      <c r="B5736" s="16"/>
      <c r="C5736" s="12">
        <f>IFERROR(__xludf.DUMMYFUNCTION("""COMPUTED_VALUE"""),44660.35148148148)</f>
        <v>44660.35148</v>
      </c>
      <c r="D5736" s="13">
        <f t="shared" si="1"/>
        <v>9</v>
      </c>
      <c r="E5736" s="13">
        <f t="shared" si="2"/>
        <v>8</v>
      </c>
    </row>
    <row r="5737">
      <c r="A5737" s="4" t="s">
        <v>6351</v>
      </c>
      <c r="B5737" s="16"/>
      <c r="C5737" s="12">
        <f>IFERROR(__xludf.DUMMYFUNCTION("""COMPUTED_VALUE"""),44660.315833333334)</f>
        <v>44660.31583</v>
      </c>
      <c r="D5737" s="13">
        <f t="shared" si="1"/>
        <v>9</v>
      </c>
      <c r="E5737" s="13">
        <f t="shared" si="2"/>
        <v>7</v>
      </c>
    </row>
    <row r="5738">
      <c r="A5738" s="4" t="s">
        <v>6352</v>
      </c>
      <c r="B5738" s="4" t="s">
        <v>6353</v>
      </c>
      <c r="C5738" s="12">
        <f>IFERROR(__xludf.DUMMYFUNCTION("""COMPUTED_VALUE"""),44660.31261574074)</f>
        <v>44660.31262</v>
      </c>
      <c r="D5738" s="13">
        <f t="shared" si="1"/>
        <v>9</v>
      </c>
      <c r="E5738" s="13">
        <f t="shared" si="2"/>
        <v>7</v>
      </c>
    </row>
    <row r="5739">
      <c r="A5739" s="4" t="s">
        <v>6354</v>
      </c>
      <c r="B5739" s="16"/>
      <c r="C5739" s="12">
        <f>IFERROR(__xludf.DUMMYFUNCTION("""COMPUTED_VALUE"""),44660.26872685185)</f>
        <v>44660.26873</v>
      </c>
      <c r="D5739" s="13">
        <f t="shared" si="1"/>
        <v>9</v>
      </c>
      <c r="E5739" s="13">
        <f t="shared" si="2"/>
        <v>6</v>
      </c>
    </row>
    <row r="5740">
      <c r="A5740" s="4" t="s">
        <v>6355</v>
      </c>
      <c r="B5740" s="16"/>
      <c r="C5740" s="12">
        <f>IFERROR(__xludf.DUMMYFUNCTION("""COMPUTED_VALUE"""),44660.26645833333)</f>
        <v>44660.26646</v>
      </c>
      <c r="D5740" s="13">
        <f t="shared" si="1"/>
        <v>9</v>
      </c>
      <c r="E5740" s="13">
        <f t="shared" si="2"/>
        <v>6</v>
      </c>
    </row>
    <row r="5741">
      <c r="A5741" s="4" t="s">
        <v>6356</v>
      </c>
      <c r="B5741" s="16"/>
      <c r="C5741" s="12">
        <f>IFERROR(__xludf.DUMMYFUNCTION("""COMPUTED_VALUE"""),44660.26530092592)</f>
        <v>44660.2653</v>
      </c>
      <c r="D5741" s="13">
        <f t="shared" si="1"/>
        <v>9</v>
      </c>
      <c r="E5741" s="13">
        <f t="shared" si="2"/>
        <v>6</v>
      </c>
    </row>
    <row r="5742">
      <c r="A5742" s="4" t="s">
        <v>6357</v>
      </c>
      <c r="B5742" s="16"/>
      <c r="C5742" s="12">
        <f>IFERROR(__xludf.DUMMYFUNCTION("""COMPUTED_VALUE"""),44660.26422453704)</f>
        <v>44660.26422</v>
      </c>
      <c r="D5742" s="13">
        <f t="shared" si="1"/>
        <v>9</v>
      </c>
      <c r="E5742" s="13">
        <f t="shared" si="2"/>
        <v>6</v>
      </c>
    </row>
    <row r="5743">
      <c r="A5743" s="4" t="s">
        <v>6358</v>
      </c>
      <c r="B5743" s="16"/>
      <c r="C5743" s="12">
        <f>IFERROR(__xludf.DUMMYFUNCTION("""COMPUTED_VALUE"""),44660.26228009259)</f>
        <v>44660.26228</v>
      </c>
      <c r="D5743" s="13">
        <f t="shared" si="1"/>
        <v>9</v>
      </c>
      <c r="E5743" s="13">
        <f t="shared" si="2"/>
        <v>6</v>
      </c>
    </row>
    <row r="5744">
      <c r="A5744" s="4" t="s">
        <v>6359</v>
      </c>
      <c r="B5744" s="16"/>
      <c r="C5744" s="12">
        <f>IFERROR(__xludf.DUMMYFUNCTION("""COMPUTED_VALUE"""),44660.25953703703)</f>
        <v>44660.25954</v>
      </c>
      <c r="D5744" s="13">
        <f t="shared" si="1"/>
        <v>9</v>
      </c>
      <c r="E5744" s="13">
        <f t="shared" si="2"/>
        <v>6</v>
      </c>
    </row>
    <row r="5745">
      <c r="A5745" s="4" t="s">
        <v>6360</v>
      </c>
      <c r="B5745" s="16"/>
      <c r="C5745" s="12">
        <f>IFERROR(__xludf.DUMMYFUNCTION("""COMPUTED_VALUE"""),44660.258009259254)</f>
        <v>44660.25801</v>
      </c>
      <c r="D5745" s="13">
        <f t="shared" si="1"/>
        <v>9</v>
      </c>
      <c r="E5745" s="13">
        <f t="shared" si="2"/>
        <v>6</v>
      </c>
    </row>
    <row r="5746">
      <c r="A5746" s="4" t="s">
        <v>6361</v>
      </c>
      <c r="B5746" s="16"/>
      <c r="C5746" s="12">
        <f>IFERROR(__xludf.DUMMYFUNCTION("""COMPUTED_VALUE"""),44660.257951388885)</f>
        <v>44660.25795</v>
      </c>
      <c r="D5746" s="13">
        <f t="shared" si="1"/>
        <v>9</v>
      </c>
      <c r="E5746" s="13">
        <f t="shared" si="2"/>
        <v>6</v>
      </c>
    </row>
    <row r="5747">
      <c r="A5747" s="4" t="s">
        <v>6362</v>
      </c>
      <c r="B5747" s="16"/>
      <c r="C5747" s="12">
        <f>IFERROR(__xludf.DUMMYFUNCTION("""COMPUTED_VALUE"""),44660.252650462964)</f>
        <v>44660.25265</v>
      </c>
      <c r="D5747" s="13">
        <f t="shared" si="1"/>
        <v>9</v>
      </c>
      <c r="E5747" s="13">
        <f t="shared" si="2"/>
        <v>6</v>
      </c>
    </row>
    <row r="5748">
      <c r="A5748" s="4" t="s">
        <v>6363</v>
      </c>
      <c r="B5748" s="16"/>
      <c r="C5748" s="12">
        <f>IFERROR(__xludf.DUMMYFUNCTION("""COMPUTED_VALUE"""),44660.24886574074)</f>
        <v>44660.24887</v>
      </c>
      <c r="D5748" s="13">
        <f t="shared" si="1"/>
        <v>9</v>
      </c>
      <c r="E5748" s="13">
        <f t="shared" si="2"/>
        <v>5</v>
      </c>
    </row>
    <row r="5749">
      <c r="A5749" s="4" t="s">
        <v>6364</v>
      </c>
      <c r="B5749" s="16"/>
      <c r="C5749" s="12">
        <f>IFERROR(__xludf.DUMMYFUNCTION("""COMPUTED_VALUE"""),44660.24538194444)</f>
        <v>44660.24538</v>
      </c>
      <c r="D5749" s="13">
        <f t="shared" si="1"/>
        <v>9</v>
      </c>
      <c r="E5749" s="13">
        <f t="shared" si="2"/>
        <v>5</v>
      </c>
    </row>
    <row r="5750">
      <c r="A5750" s="4" t="s">
        <v>6365</v>
      </c>
      <c r="B5750" s="16"/>
      <c r="C5750" s="12">
        <f>IFERROR(__xludf.DUMMYFUNCTION("""COMPUTED_VALUE"""),44660.24177083333)</f>
        <v>44660.24177</v>
      </c>
      <c r="D5750" s="13">
        <f t="shared" si="1"/>
        <v>9</v>
      </c>
      <c r="E5750" s="13">
        <f t="shared" si="2"/>
        <v>5</v>
      </c>
    </row>
    <row r="5751">
      <c r="A5751" s="4" t="s">
        <v>6366</v>
      </c>
      <c r="B5751" s="16"/>
      <c r="C5751" s="12">
        <f>IFERROR(__xludf.DUMMYFUNCTION("""COMPUTED_VALUE"""),44660.238495370366)</f>
        <v>44660.2385</v>
      </c>
      <c r="D5751" s="13">
        <f t="shared" si="1"/>
        <v>9</v>
      </c>
      <c r="E5751" s="13">
        <f t="shared" si="2"/>
        <v>5</v>
      </c>
    </row>
    <row r="5752">
      <c r="A5752" s="4" t="s">
        <v>6367</v>
      </c>
      <c r="B5752" s="16"/>
      <c r="C5752" s="12">
        <f>IFERROR(__xludf.DUMMYFUNCTION("""COMPUTED_VALUE"""),44660.235613425924)</f>
        <v>44660.23561</v>
      </c>
      <c r="D5752" s="13">
        <f t="shared" si="1"/>
        <v>9</v>
      </c>
      <c r="E5752" s="13">
        <f t="shared" si="2"/>
        <v>5</v>
      </c>
    </row>
    <row r="5753">
      <c r="A5753" s="4" t="s">
        <v>6368</v>
      </c>
      <c r="B5753" s="16"/>
      <c r="C5753" s="12">
        <f>IFERROR(__xludf.DUMMYFUNCTION("""COMPUTED_VALUE"""),44660.235567129625)</f>
        <v>44660.23557</v>
      </c>
      <c r="D5753" s="13">
        <f t="shared" si="1"/>
        <v>9</v>
      </c>
      <c r="E5753" s="13">
        <f t="shared" si="2"/>
        <v>5</v>
      </c>
    </row>
    <row r="5754">
      <c r="A5754" s="4" t="s">
        <v>6369</v>
      </c>
      <c r="B5754" s="16"/>
      <c r="C5754" s="12">
        <f>IFERROR(__xludf.DUMMYFUNCTION("""COMPUTED_VALUE"""),44660.23379629629)</f>
        <v>44660.2338</v>
      </c>
      <c r="D5754" s="13">
        <f t="shared" si="1"/>
        <v>9</v>
      </c>
      <c r="E5754" s="13">
        <f t="shared" si="2"/>
        <v>5</v>
      </c>
    </row>
    <row r="5755">
      <c r="A5755" s="4" t="s">
        <v>6370</v>
      </c>
      <c r="B5755" s="16"/>
      <c r="C5755" s="12">
        <f>IFERROR(__xludf.DUMMYFUNCTION("""COMPUTED_VALUE"""),44660.23373842592)</f>
        <v>44660.23374</v>
      </c>
      <c r="D5755" s="13">
        <f t="shared" si="1"/>
        <v>9</v>
      </c>
      <c r="E5755" s="13">
        <f t="shared" si="2"/>
        <v>5</v>
      </c>
    </row>
    <row r="5756">
      <c r="A5756" s="4" t="s">
        <v>6371</v>
      </c>
      <c r="B5756" s="16"/>
      <c r="C5756" s="12">
        <f>IFERROR(__xludf.DUMMYFUNCTION("""COMPUTED_VALUE"""),44660.23111111111)</f>
        <v>44660.23111</v>
      </c>
      <c r="D5756" s="13">
        <f t="shared" si="1"/>
        <v>9</v>
      </c>
      <c r="E5756" s="13">
        <f t="shared" si="2"/>
        <v>5</v>
      </c>
    </row>
    <row r="5757">
      <c r="A5757" s="4" t="s">
        <v>6372</v>
      </c>
      <c r="B5757" s="16"/>
      <c r="C5757" s="12">
        <f>IFERROR(__xludf.DUMMYFUNCTION("""COMPUTED_VALUE"""),44660.231041666666)</f>
        <v>44660.23104</v>
      </c>
      <c r="D5757" s="13">
        <f t="shared" si="1"/>
        <v>9</v>
      </c>
      <c r="E5757" s="13">
        <f t="shared" si="2"/>
        <v>5</v>
      </c>
    </row>
    <row r="5758">
      <c r="A5758" s="4" t="s">
        <v>6373</v>
      </c>
      <c r="B5758" s="16"/>
      <c r="C5758" s="12">
        <f>IFERROR(__xludf.DUMMYFUNCTION("""COMPUTED_VALUE"""),44660.22787037037)</f>
        <v>44660.22787</v>
      </c>
      <c r="D5758" s="13">
        <f t="shared" si="1"/>
        <v>9</v>
      </c>
      <c r="E5758" s="13">
        <f t="shared" si="2"/>
        <v>5</v>
      </c>
    </row>
    <row r="5759">
      <c r="A5759" s="4" t="s">
        <v>6374</v>
      </c>
      <c r="B5759" s="16"/>
      <c r="C5759" s="12">
        <f>IFERROR(__xludf.DUMMYFUNCTION("""COMPUTED_VALUE"""),44660.22782407407)</f>
        <v>44660.22782</v>
      </c>
      <c r="D5759" s="13">
        <f t="shared" si="1"/>
        <v>9</v>
      </c>
      <c r="E5759" s="13">
        <f t="shared" si="2"/>
        <v>5</v>
      </c>
    </row>
    <row r="5760">
      <c r="A5760" s="4" t="s">
        <v>6375</v>
      </c>
      <c r="B5760" s="16"/>
      <c r="C5760" s="12">
        <f>IFERROR(__xludf.DUMMYFUNCTION("""COMPUTED_VALUE"""),44660.21376157407)</f>
        <v>44660.21376</v>
      </c>
      <c r="D5760" s="13">
        <f t="shared" si="1"/>
        <v>9</v>
      </c>
      <c r="E5760" s="13">
        <f t="shared" si="2"/>
        <v>5</v>
      </c>
    </row>
    <row r="5761">
      <c r="A5761" s="4" t="s">
        <v>6376</v>
      </c>
      <c r="B5761" s="16"/>
      <c r="C5761" s="12">
        <f>IFERROR(__xludf.DUMMYFUNCTION("""COMPUTED_VALUE"""),44660.129641203705)</f>
        <v>44660.12964</v>
      </c>
      <c r="D5761" s="13">
        <f t="shared" si="1"/>
        <v>9</v>
      </c>
      <c r="E5761" s="13">
        <f t="shared" si="2"/>
        <v>3</v>
      </c>
    </row>
    <row r="5762">
      <c r="A5762" s="4" t="s">
        <v>6377</v>
      </c>
      <c r="B5762" s="16"/>
      <c r="C5762" s="12">
        <f>IFERROR(__xludf.DUMMYFUNCTION("""COMPUTED_VALUE"""),44660.103425925925)</f>
        <v>44660.10343</v>
      </c>
      <c r="D5762" s="13">
        <f t="shared" si="1"/>
        <v>9</v>
      </c>
      <c r="E5762" s="13">
        <f t="shared" si="2"/>
        <v>2</v>
      </c>
    </row>
    <row r="5763">
      <c r="A5763" s="4" t="s">
        <v>6378</v>
      </c>
      <c r="B5763" s="16"/>
      <c r="C5763" s="12">
        <f>IFERROR(__xludf.DUMMYFUNCTION("""COMPUTED_VALUE"""),44659.99927083333)</f>
        <v>44659.99927</v>
      </c>
      <c r="D5763" s="13">
        <f t="shared" si="1"/>
        <v>8</v>
      </c>
      <c r="E5763" s="13">
        <f t="shared" si="2"/>
        <v>23</v>
      </c>
    </row>
    <row r="5764">
      <c r="A5764" s="4" t="s">
        <v>6379</v>
      </c>
      <c r="B5764" s="16"/>
      <c r="C5764" s="12">
        <f>IFERROR(__xludf.DUMMYFUNCTION("""COMPUTED_VALUE"""),44659.99804398148)</f>
        <v>44659.99804</v>
      </c>
      <c r="D5764" s="13">
        <f t="shared" si="1"/>
        <v>8</v>
      </c>
      <c r="E5764" s="13">
        <f t="shared" si="2"/>
        <v>23</v>
      </c>
    </row>
    <row r="5765">
      <c r="A5765" s="4" t="s">
        <v>6380</v>
      </c>
      <c r="B5765" s="4" t="s">
        <v>6381</v>
      </c>
      <c r="C5765" s="12">
        <f>IFERROR(__xludf.DUMMYFUNCTION("""COMPUTED_VALUE"""),44659.95255787037)</f>
        <v>44659.95256</v>
      </c>
      <c r="D5765" s="13">
        <f t="shared" si="1"/>
        <v>8</v>
      </c>
      <c r="E5765" s="13">
        <f t="shared" si="2"/>
        <v>22</v>
      </c>
    </row>
    <row r="5766">
      <c r="A5766" s="4" t="s">
        <v>6382</v>
      </c>
      <c r="B5766" s="16"/>
      <c r="C5766" s="12">
        <f>IFERROR(__xludf.DUMMYFUNCTION("""COMPUTED_VALUE"""),44659.952523148146)</f>
        <v>44659.95252</v>
      </c>
      <c r="D5766" s="13">
        <f t="shared" si="1"/>
        <v>8</v>
      </c>
      <c r="E5766" s="13">
        <f t="shared" si="2"/>
        <v>22</v>
      </c>
    </row>
    <row r="5767">
      <c r="A5767" s="4" t="s">
        <v>6383</v>
      </c>
      <c r="B5767" s="16"/>
      <c r="C5767" s="12">
        <f>IFERROR(__xludf.DUMMYFUNCTION("""COMPUTED_VALUE"""),44659.92758101851)</f>
        <v>44659.92758</v>
      </c>
      <c r="D5767" s="13">
        <f t="shared" si="1"/>
        <v>8</v>
      </c>
      <c r="E5767" s="13">
        <f t="shared" si="2"/>
        <v>22</v>
      </c>
    </row>
    <row r="5768">
      <c r="A5768" s="4" t="s">
        <v>6384</v>
      </c>
      <c r="B5768" s="16"/>
      <c r="C5768" s="12">
        <f>IFERROR(__xludf.DUMMYFUNCTION("""COMPUTED_VALUE"""),44659.90797453703)</f>
        <v>44659.90797</v>
      </c>
      <c r="D5768" s="13">
        <f t="shared" si="1"/>
        <v>8</v>
      </c>
      <c r="E5768" s="13">
        <f t="shared" si="2"/>
        <v>21</v>
      </c>
    </row>
    <row r="5769">
      <c r="A5769" s="4" t="s">
        <v>6385</v>
      </c>
      <c r="B5769" s="16"/>
      <c r="C5769" s="12">
        <f>IFERROR(__xludf.DUMMYFUNCTION("""COMPUTED_VALUE"""),44659.84137731481)</f>
        <v>44659.84138</v>
      </c>
      <c r="D5769" s="13">
        <f t="shared" si="1"/>
        <v>8</v>
      </c>
      <c r="E5769" s="13">
        <f t="shared" si="2"/>
        <v>20</v>
      </c>
    </row>
    <row r="5770">
      <c r="A5770" s="4" t="s">
        <v>6386</v>
      </c>
      <c r="B5770" s="16"/>
      <c r="C5770" s="12">
        <f>IFERROR(__xludf.DUMMYFUNCTION("""COMPUTED_VALUE"""),44659.81608796296)</f>
        <v>44659.81609</v>
      </c>
      <c r="D5770" s="13">
        <f t="shared" si="1"/>
        <v>8</v>
      </c>
      <c r="E5770" s="13">
        <f t="shared" si="2"/>
        <v>19</v>
      </c>
    </row>
    <row r="5771">
      <c r="A5771" s="4" t="s">
        <v>6387</v>
      </c>
      <c r="B5771" s="16"/>
      <c r="C5771" s="12">
        <f>IFERROR(__xludf.DUMMYFUNCTION("""COMPUTED_VALUE"""),44659.80652777778)</f>
        <v>44659.80653</v>
      </c>
      <c r="D5771" s="13">
        <f t="shared" si="1"/>
        <v>8</v>
      </c>
      <c r="E5771" s="13">
        <f t="shared" si="2"/>
        <v>19</v>
      </c>
    </row>
    <row r="5772">
      <c r="A5772" s="4" t="s">
        <v>6388</v>
      </c>
      <c r="B5772" s="16"/>
      <c r="C5772" s="12">
        <f>IFERROR(__xludf.DUMMYFUNCTION("""COMPUTED_VALUE"""),44659.8064699074)</f>
        <v>44659.80647</v>
      </c>
      <c r="D5772" s="13">
        <f t="shared" si="1"/>
        <v>8</v>
      </c>
      <c r="E5772" s="13">
        <f t="shared" si="2"/>
        <v>19</v>
      </c>
    </row>
    <row r="5773">
      <c r="A5773" s="4" t="s">
        <v>6389</v>
      </c>
      <c r="B5773" s="4" t="s">
        <v>6390</v>
      </c>
      <c r="C5773" s="12">
        <f>IFERROR(__xludf.DUMMYFUNCTION("""COMPUTED_VALUE"""),44659.7212037037)</f>
        <v>44659.7212</v>
      </c>
      <c r="D5773" s="13">
        <f t="shared" si="1"/>
        <v>8</v>
      </c>
      <c r="E5773" s="13">
        <f t="shared" si="2"/>
        <v>17</v>
      </c>
    </row>
    <row r="5774">
      <c r="A5774" s="4" t="s">
        <v>6391</v>
      </c>
      <c r="B5774" s="16"/>
      <c r="C5774" s="12">
        <f>IFERROR(__xludf.DUMMYFUNCTION("""COMPUTED_VALUE"""),44659.70239583333)</f>
        <v>44659.7024</v>
      </c>
      <c r="D5774" s="13">
        <f t="shared" si="1"/>
        <v>8</v>
      </c>
      <c r="E5774" s="13">
        <f t="shared" si="2"/>
        <v>16</v>
      </c>
    </row>
    <row r="5775">
      <c r="A5775" s="4" t="s">
        <v>6392</v>
      </c>
      <c r="B5775" s="16"/>
      <c r="C5775" s="12">
        <f>IFERROR(__xludf.DUMMYFUNCTION("""COMPUTED_VALUE"""),44659.69353009259)</f>
        <v>44659.69353</v>
      </c>
      <c r="D5775" s="13">
        <f t="shared" si="1"/>
        <v>8</v>
      </c>
      <c r="E5775" s="13">
        <f t="shared" si="2"/>
        <v>16</v>
      </c>
    </row>
    <row r="5776">
      <c r="A5776" s="4" t="s">
        <v>6393</v>
      </c>
      <c r="B5776" s="16"/>
      <c r="C5776" s="12">
        <f>IFERROR(__xludf.DUMMYFUNCTION("""COMPUTED_VALUE"""),44659.67761574074)</f>
        <v>44659.67762</v>
      </c>
      <c r="D5776" s="13">
        <f t="shared" si="1"/>
        <v>8</v>
      </c>
      <c r="E5776" s="13">
        <f t="shared" si="2"/>
        <v>16</v>
      </c>
    </row>
    <row r="5777">
      <c r="A5777" s="4" t="s">
        <v>6394</v>
      </c>
      <c r="B5777" s="4" t="s">
        <v>6395</v>
      </c>
      <c r="C5777" s="12">
        <f>IFERROR(__xludf.DUMMYFUNCTION("""COMPUTED_VALUE"""),44659.66784722222)</f>
        <v>44659.66785</v>
      </c>
      <c r="D5777" s="13">
        <f t="shared" si="1"/>
        <v>8</v>
      </c>
      <c r="E5777" s="13">
        <f t="shared" si="2"/>
        <v>16</v>
      </c>
    </row>
    <row r="5778">
      <c r="A5778" s="4" t="s">
        <v>6396</v>
      </c>
      <c r="B5778" s="16"/>
      <c r="C5778" s="12">
        <f>IFERROR(__xludf.DUMMYFUNCTION("""COMPUTED_VALUE"""),44659.66752314814)</f>
        <v>44659.66752</v>
      </c>
      <c r="D5778" s="13">
        <f t="shared" si="1"/>
        <v>8</v>
      </c>
      <c r="E5778" s="13">
        <f t="shared" si="2"/>
        <v>16</v>
      </c>
    </row>
    <row r="5779">
      <c r="A5779" s="4" t="s">
        <v>6397</v>
      </c>
      <c r="B5779" s="16"/>
      <c r="C5779" s="12">
        <f>IFERROR(__xludf.DUMMYFUNCTION("""COMPUTED_VALUE"""),44659.65657407407)</f>
        <v>44659.65657</v>
      </c>
      <c r="D5779" s="13">
        <f t="shared" si="1"/>
        <v>8</v>
      </c>
      <c r="E5779" s="13">
        <f t="shared" si="2"/>
        <v>15</v>
      </c>
    </row>
    <row r="5780">
      <c r="A5780" s="4" t="s">
        <v>6398</v>
      </c>
      <c r="B5780" s="4" t="s">
        <v>6399</v>
      </c>
      <c r="C5780" s="12">
        <f>IFERROR(__xludf.DUMMYFUNCTION("""COMPUTED_VALUE"""),44659.655763888884)</f>
        <v>44659.65576</v>
      </c>
      <c r="D5780" s="13">
        <f t="shared" si="1"/>
        <v>8</v>
      </c>
      <c r="E5780" s="13">
        <f t="shared" si="2"/>
        <v>15</v>
      </c>
    </row>
    <row r="5781">
      <c r="A5781" s="4" t="s">
        <v>6400</v>
      </c>
      <c r="B5781" s="16"/>
      <c r="C5781" s="12">
        <f>IFERROR(__xludf.DUMMYFUNCTION("""COMPUTED_VALUE"""),44659.6553125)</f>
        <v>44659.65531</v>
      </c>
      <c r="D5781" s="13">
        <f t="shared" si="1"/>
        <v>8</v>
      </c>
      <c r="E5781" s="13">
        <f t="shared" si="2"/>
        <v>15</v>
      </c>
    </row>
    <row r="5782">
      <c r="A5782" s="4" t="s">
        <v>6401</v>
      </c>
      <c r="B5782" s="16"/>
      <c r="C5782" s="12">
        <f>IFERROR(__xludf.DUMMYFUNCTION("""COMPUTED_VALUE"""),44659.6502662037)</f>
        <v>44659.65027</v>
      </c>
      <c r="D5782" s="13">
        <f t="shared" si="1"/>
        <v>8</v>
      </c>
      <c r="E5782" s="13">
        <f t="shared" si="2"/>
        <v>15</v>
      </c>
    </row>
    <row r="5783">
      <c r="A5783" s="4" t="s">
        <v>6402</v>
      </c>
      <c r="B5783" s="16"/>
      <c r="C5783" s="12">
        <f>IFERROR(__xludf.DUMMYFUNCTION("""COMPUTED_VALUE"""),44659.65015046296)</f>
        <v>44659.65015</v>
      </c>
      <c r="D5783" s="13">
        <f t="shared" si="1"/>
        <v>8</v>
      </c>
      <c r="E5783" s="13">
        <f t="shared" si="2"/>
        <v>15</v>
      </c>
    </row>
    <row r="5784">
      <c r="A5784" s="4" t="s">
        <v>6403</v>
      </c>
      <c r="B5784" s="16"/>
      <c r="C5784" s="12">
        <f>IFERROR(__xludf.DUMMYFUNCTION("""COMPUTED_VALUE"""),44659.645625)</f>
        <v>44659.64563</v>
      </c>
      <c r="D5784" s="13">
        <f t="shared" si="1"/>
        <v>8</v>
      </c>
      <c r="E5784" s="13">
        <f t="shared" si="2"/>
        <v>15</v>
      </c>
    </row>
    <row r="5785">
      <c r="A5785" s="4" t="s">
        <v>6404</v>
      </c>
      <c r="B5785" s="16"/>
      <c r="C5785" s="12">
        <f>IFERROR(__xludf.DUMMYFUNCTION("""COMPUTED_VALUE"""),44659.64530092592)</f>
        <v>44659.6453</v>
      </c>
      <c r="D5785" s="13">
        <f t="shared" si="1"/>
        <v>8</v>
      </c>
      <c r="E5785" s="13">
        <f t="shared" si="2"/>
        <v>15</v>
      </c>
    </row>
    <row r="5786">
      <c r="A5786" s="4" t="s">
        <v>6405</v>
      </c>
      <c r="B5786" s="16"/>
      <c r="C5786" s="12">
        <f>IFERROR(__xludf.DUMMYFUNCTION("""COMPUTED_VALUE"""),44659.64466435185)</f>
        <v>44659.64466</v>
      </c>
      <c r="D5786" s="13">
        <f t="shared" si="1"/>
        <v>8</v>
      </c>
      <c r="E5786" s="13">
        <f t="shared" si="2"/>
        <v>15</v>
      </c>
    </row>
    <row r="5787">
      <c r="A5787" s="4" t="s">
        <v>6406</v>
      </c>
      <c r="B5787" s="16"/>
      <c r="C5787" s="12">
        <f>IFERROR(__xludf.DUMMYFUNCTION("""COMPUTED_VALUE"""),44659.641331018516)</f>
        <v>44659.64133</v>
      </c>
      <c r="D5787" s="13">
        <f t="shared" si="1"/>
        <v>8</v>
      </c>
      <c r="E5787" s="13">
        <f t="shared" si="2"/>
        <v>15</v>
      </c>
    </row>
    <row r="5788">
      <c r="A5788" s="4" t="s">
        <v>6407</v>
      </c>
      <c r="B5788" s="16"/>
      <c r="C5788" s="12">
        <f>IFERROR(__xludf.DUMMYFUNCTION("""COMPUTED_VALUE"""),44659.64034722222)</f>
        <v>44659.64035</v>
      </c>
      <c r="D5788" s="13">
        <f t="shared" si="1"/>
        <v>8</v>
      </c>
      <c r="E5788" s="13">
        <f t="shared" si="2"/>
        <v>15</v>
      </c>
    </row>
    <row r="5789">
      <c r="A5789" s="4" t="s">
        <v>6408</v>
      </c>
      <c r="B5789" s="16"/>
      <c r="C5789" s="12">
        <f>IFERROR(__xludf.DUMMYFUNCTION("""COMPUTED_VALUE"""),44659.6403125)</f>
        <v>44659.64031</v>
      </c>
      <c r="D5789" s="13">
        <f t="shared" si="1"/>
        <v>8</v>
      </c>
      <c r="E5789" s="13">
        <f t="shared" si="2"/>
        <v>15</v>
      </c>
    </row>
    <row r="5790">
      <c r="A5790" s="4" t="s">
        <v>6409</v>
      </c>
      <c r="B5790" s="16"/>
      <c r="C5790" s="12">
        <f>IFERROR(__xludf.DUMMYFUNCTION("""COMPUTED_VALUE"""),44659.64016203704)</f>
        <v>44659.64016</v>
      </c>
      <c r="D5790" s="13">
        <f t="shared" si="1"/>
        <v>8</v>
      </c>
      <c r="E5790" s="13">
        <f t="shared" si="2"/>
        <v>15</v>
      </c>
    </row>
    <row r="5791">
      <c r="A5791" s="4" t="s">
        <v>6410</v>
      </c>
      <c r="B5791" s="16"/>
      <c r="C5791" s="12">
        <f>IFERROR(__xludf.DUMMYFUNCTION("""COMPUTED_VALUE"""),44659.64015046296)</f>
        <v>44659.64015</v>
      </c>
      <c r="D5791" s="13">
        <f t="shared" si="1"/>
        <v>8</v>
      </c>
      <c r="E5791" s="13">
        <f t="shared" si="2"/>
        <v>15</v>
      </c>
    </row>
    <row r="5792">
      <c r="A5792" s="4" t="s">
        <v>6411</v>
      </c>
      <c r="B5792" s="16"/>
      <c r="C5792" s="12">
        <f>IFERROR(__xludf.DUMMYFUNCTION("""COMPUTED_VALUE"""),44659.63707175926)</f>
        <v>44659.63707</v>
      </c>
      <c r="D5792" s="13">
        <f t="shared" si="1"/>
        <v>8</v>
      </c>
      <c r="E5792" s="13">
        <f t="shared" si="2"/>
        <v>15</v>
      </c>
    </row>
    <row r="5793">
      <c r="A5793" s="4" t="s">
        <v>6412</v>
      </c>
      <c r="B5793" s="16"/>
      <c r="C5793" s="12">
        <f>IFERROR(__xludf.DUMMYFUNCTION("""COMPUTED_VALUE"""),44659.63310185185)</f>
        <v>44659.6331</v>
      </c>
      <c r="D5793" s="13">
        <f t="shared" si="1"/>
        <v>8</v>
      </c>
      <c r="E5793" s="13">
        <f t="shared" si="2"/>
        <v>15</v>
      </c>
    </row>
    <row r="5794">
      <c r="A5794" s="4" t="s">
        <v>6413</v>
      </c>
      <c r="B5794" s="16"/>
      <c r="C5794" s="12">
        <f>IFERROR(__xludf.DUMMYFUNCTION("""COMPUTED_VALUE"""),44659.6261574074)</f>
        <v>44659.62616</v>
      </c>
      <c r="D5794" s="13">
        <f t="shared" si="1"/>
        <v>8</v>
      </c>
      <c r="E5794" s="13">
        <f t="shared" si="2"/>
        <v>15</v>
      </c>
    </row>
    <row r="5795">
      <c r="A5795" s="4" t="s">
        <v>6414</v>
      </c>
      <c r="B5795" s="16"/>
      <c r="C5795" s="12">
        <f>IFERROR(__xludf.DUMMYFUNCTION("""COMPUTED_VALUE"""),44659.620937499996)</f>
        <v>44659.62094</v>
      </c>
      <c r="D5795" s="13">
        <f t="shared" si="1"/>
        <v>8</v>
      </c>
      <c r="E5795" s="13">
        <f t="shared" si="2"/>
        <v>14</v>
      </c>
    </row>
    <row r="5796">
      <c r="A5796" s="4" t="s">
        <v>6415</v>
      </c>
      <c r="B5796" s="16"/>
      <c r="C5796" s="12">
        <f>IFERROR(__xludf.DUMMYFUNCTION("""COMPUTED_VALUE"""),44659.62086805555)</f>
        <v>44659.62087</v>
      </c>
      <c r="D5796" s="13">
        <f t="shared" si="1"/>
        <v>8</v>
      </c>
      <c r="E5796" s="13">
        <f t="shared" si="2"/>
        <v>14</v>
      </c>
    </row>
    <row r="5797">
      <c r="A5797" s="4" t="s">
        <v>6416</v>
      </c>
      <c r="B5797" s="4" t="s">
        <v>6417</v>
      </c>
      <c r="C5797" s="12">
        <f>IFERROR(__xludf.DUMMYFUNCTION("""COMPUTED_VALUE"""),44659.61342592593)</f>
        <v>44659.61343</v>
      </c>
      <c r="D5797" s="13">
        <f t="shared" si="1"/>
        <v>8</v>
      </c>
      <c r="E5797" s="13">
        <f t="shared" si="2"/>
        <v>14</v>
      </c>
    </row>
    <row r="5798">
      <c r="A5798" s="4" t="s">
        <v>6418</v>
      </c>
      <c r="B5798" s="16"/>
      <c r="C5798" s="12">
        <f>IFERROR(__xludf.DUMMYFUNCTION("""COMPUTED_VALUE"""),44659.60796296296)</f>
        <v>44659.60796</v>
      </c>
      <c r="D5798" s="13">
        <f t="shared" si="1"/>
        <v>8</v>
      </c>
      <c r="E5798" s="13">
        <f t="shared" si="2"/>
        <v>14</v>
      </c>
    </row>
    <row r="5799">
      <c r="A5799" s="4" t="s">
        <v>6419</v>
      </c>
      <c r="B5799" s="16"/>
      <c r="C5799" s="12">
        <f>IFERROR(__xludf.DUMMYFUNCTION("""COMPUTED_VALUE"""),44659.603738425925)</f>
        <v>44659.60374</v>
      </c>
      <c r="D5799" s="13">
        <f t="shared" si="1"/>
        <v>8</v>
      </c>
      <c r="E5799" s="13">
        <f t="shared" si="2"/>
        <v>14</v>
      </c>
    </row>
    <row r="5800">
      <c r="A5800" s="4" t="s">
        <v>6420</v>
      </c>
      <c r="B5800" s="16"/>
      <c r="C5800" s="12">
        <f>IFERROR(__xludf.DUMMYFUNCTION("""COMPUTED_VALUE"""),44659.6036574074)</f>
        <v>44659.60366</v>
      </c>
      <c r="D5800" s="13">
        <f t="shared" si="1"/>
        <v>8</v>
      </c>
      <c r="E5800" s="13">
        <f t="shared" si="2"/>
        <v>14</v>
      </c>
    </row>
    <row r="5801">
      <c r="A5801" s="4" t="s">
        <v>6421</v>
      </c>
      <c r="B5801" s="16"/>
      <c r="C5801" s="12">
        <f>IFERROR(__xludf.DUMMYFUNCTION("""COMPUTED_VALUE"""),44659.59920138889)</f>
        <v>44659.5992</v>
      </c>
      <c r="D5801" s="13">
        <f t="shared" si="1"/>
        <v>8</v>
      </c>
      <c r="E5801" s="13">
        <f t="shared" si="2"/>
        <v>14</v>
      </c>
    </row>
    <row r="5802">
      <c r="A5802" s="4" t="s">
        <v>6422</v>
      </c>
      <c r="B5802" s="16"/>
      <c r="C5802" s="12">
        <f>IFERROR(__xludf.DUMMYFUNCTION("""COMPUTED_VALUE"""),44659.596817129626)</f>
        <v>44659.59682</v>
      </c>
      <c r="D5802" s="13">
        <f t="shared" si="1"/>
        <v>8</v>
      </c>
      <c r="E5802" s="13">
        <f t="shared" si="2"/>
        <v>14</v>
      </c>
    </row>
    <row r="5803">
      <c r="A5803" s="4" t="s">
        <v>6423</v>
      </c>
      <c r="B5803" s="16"/>
      <c r="C5803" s="12">
        <f>IFERROR(__xludf.DUMMYFUNCTION("""COMPUTED_VALUE"""),44659.59244212963)</f>
        <v>44659.59244</v>
      </c>
      <c r="D5803" s="13">
        <f t="shared" si="1"/>
        <v>8</v>
      </c>
      <c r="E5803" s="13">
        <f t="shared" si="2"/>
        <v>14</v>
      </c>
    </row>
    <row r="5804">
      <c r="A5804" s="4" t="s">
        <v>6424</v>
      </c>
      <c r="B5804" s="16"/>
      <c r="C5804" s="12">
        <f>IFERROR(__xludf.DUMMYFUNCTION("""COMPUTED_VALUE"""),44659.588275462964)</f>
        <v>44659.58828</v>
      </c>
      <c r="D5804" s="13">
        <f t="shared" si="1"/>
        <v>8</v>
      </c>
      <c r="E5804" s="13">
        <f t="shared" si="2"/>
        <v>14</v>
      </c>
    </row>
    <row r="5805">
      <c r="A5805" s="4" t="s">
        <v>6425</v>
      </c>
      <c r="B5805" s="16"/>
      <c r="C5805" s="12">
        <f>IFERROR(__xludf.DUMMYFUNCTION("""COMPUTED_VALUE"""),44659.57914351852)</f>
        <v>44659.57914</v>
      </c>
      <c r="D5805" s="13">
        <f t="shared" si="1"/>
        <v>8</v>
      </c>
      <c r="E5805" s="13">
        <f t="shared" si="2"/>
        <v>13</v>
      </c>
    </row>
    <row r="5806">
      <c r="A5806" s="4" t="s">
        <v>6426</v>
      </c>
      <c r="B5806" s="16"/>
      <c r="C5806" s="12">
        <f>IFERROR(__xludf.DUMMYFUNCTION("""COMPUTED_VALUE"""),44659.57903935185)</f>
        <v>44659.57904</v>
      </c>
      <c r="D5806" s="13">
        <f t="shared" si="1"/>
        <v>8</v>
      </c>
      <c r="E5806" s="13">
        <f t="shared" si="2"/>
        <v>13</v>
      </c>
    </row>
    <row r="5807">
      <c r="A5807" s="4" t="s">
        <v>6427</v>
      </c>
      <c r="B5807" s="16"/>
      <c r="C5807" s="12">
        <f>IFERROR(__xludf.DUMMYFUNCTION("""COMPUTED_VALUE"""),44659.57890046296)</f>
        <v>44659.5789</v>
      </c>
      <c r="D5807" s="13">
        <f t="shared" si="1"/>
        <v>8</v>
      </c>
      <c r="E5807" s="13">
        <f t="shared" si="2"/>
        <v>13</v>
      </c>
    </row>
    <row r="5808">
      <c r="A5808" s="4" t="s">
        <v>6428</v>
      </c>
      <c r="B5808" s="16"/>
      <c r="C5808" s="12">
        <f>IFERROR(__xludf.DUMMYFUNCTION("""COMPUTED_VALUE"""),44659.566666666666)</f>
        <v>44659.56667</v>
      </c>
      <c r="D5808" s="13">
        <f t="shared" si="1"/>
        <v>8</v>
      </c>
      <c r="E5808" s="13">
        <f t="shared" si="2"/>
        <v>13</v>
      </c>
    </row>
    <row r="5809">
      <c r="A5809" s="4" t="s">
        <v>6429</v>
      </c>
      <c r="B5809" s="16"/>
      <c r="C5809" s="12">
        <f>IFERROR(__xludf.DUMMYFUNCTION("""COMPUTED_VALUE"""),44659.55292824074)</f>
        <v>44659.55293</v>
      </c>
      <c r="D5809" s="13">
        <f t="shared" si="1"/>
        <v>8</v>
      </c>
      <c r="E5809" s="13">
        <f t="shared" si="2"/>
        <v>13</v>
      </c>
    </row>
    <row r="5810">
      <c r="A5810" s="4" t="s">
        <v>6430</v>
      </c>
      <c r="B5810" s="16"/>
      <c r="C5810" s="12">
        <f>IFERROR(__xludf.DUMMYFUNCTION("""COMPUTED_VALUE"""),44659.5527662037)</f>
        <v>44659.55277</v>
      </c>
      <c r="D5810" s="13">
        <f t="shared" si="1"/>
        <v>8</v>
      </c>
      <c r="E5810" s="13">
        <f t="shared" si="2"/>
        <v>13</v>
      </c>
    </row>
    <row r="5811">
      <c r="A5811" s="4" t="s">
        <v>6431</v>
      </c>
      <c r="B5811" s="16"/>
      <c r="C5811" s="12">
        <f>IFERROR(__xludf.DUMMYFUNCTION("""COMPUTED_VALUE"""),44659.55185185185)</f>
        <v>44659.55185</v>
      </c>
      <c r="D5811" s="13">
        <f t="shared" si="1"/>
        <v>8</v>
      </c>
      <c r="E5811" s="13">
        <f t="shared" si="2"/>
        <v>13</v>
      </c>
    </row>
    <row r="5812">
      <c r="A5812" s="4" t="s">
        <v>6432</v>
      </c>
      <c r="B5812" s="16"/>
      <c r="C5812" s="12">
        <f>IFERROR(__xludf.DUMMYFUNCTION("""COMPUTED_VALUE"""),44659.55165509259)</f>
        <v>44659.55166</v>
      </c>
      <c r="D5812" s="13">
        <f t="shared" si="1"/>
        <v>8</v>
      </c>
      <c r="E5812" s="13">
        <f t="shared" si="2"/>
        <v>13</v>
      </c>
    </row>
    <row r="5813">
      <c r="A5813" s="4" t="s">
        <v>6433</v>
      </c>
      <c r="B5813" s="16"/>
      <c r="C5813" s="12">
        <f>IFERROR(__xludf.DUMMYFUNCTION("""COMPUTED_VALUE"""),44659.54895833333)</f>
        <v>44659.54896</v>
      </c>
      <c r="D5813" s="13">
        <f t="shared" si="1"/>
        <v>8</v>
      </c>
      <c r="E5813" s="13">
        <f t="shared" si="2"/>
        <v>13</v>
      </c>
    </row>
    <row r="5814">
      <c r="A5814" s="4" t="s">
        <v>6434</v>
      </c>
      <c r="B5814" s="16"/>
      <c r="C5814" s="12">
        <f>IFERROR(__xludf.DUMMYFUNCTION("""COMPUTED_VALUE"""),44659.54887731481)</f>
        <v>44659.54888</v>
      </c>
      <c r="D5814" s="13">
        <f t="shared" si="1"/>
        <v>8</v>
      </c>
      <c r="E5814" s="13">
        <f t="shared" si="2"/>
        <v>13</v>
      </c>
    </row>
    <row r="5815">
      <c r="A5815" s="4" t="s">
        <v>6435</v>
      </c>
      <c r="B5815" s="4" t="s">
        <v>6436</v>
      </c>
      <c r="C5815" s="12">
        <f>IFERROR(__xludf.DUMMYFUNCTION("""COMPUTED_VALUE"""),44659.54618055555)</f>
        <v>44659.54618</v>
      </c>
      <c r="D5815" s="13">
        <f t="shared" si="1"/>
        <v>8</v>
      </c>
      <c r="E5815" s="13">
        <f t="shared" si="2"/>
        <v>13</v>
      </c>
    </row>
    <row r="5816">
      <c r="A5816" s="4" t="s">
        <v>6437</v>
      </c>
      <c r="B5816" s="16"/>
      <c r="C5816" s="12">
        <f>IFERROR(__xludf.DUMMYFUNCTION("""COMPUTED_VALUE"""),44659.54594907407)</f>
        <v>44659.54595</v>
      </c>
      <c r="D5816" s="13">
        <f t="shared" si="1"/>
        <v>8</v>
      </c>
      <c r="E5816" s="13">
        <f t="shared" si="2"/>
        <v>13</v>
      </c>
    </row>
    <row r="5817">
      <c r="A5817" s="4" t="s">
        <v>6438</v>
      </c>
      <c r="B5817" s="16"/>
      <c r="C5817" s="12">
        <f>IFERROR(__xludf.DUMMYFUNCTION("""COMPUTED_VALUE"""),44659.54586805555)</f>
        <v>44659.54587</v>
      </c>
      <c r="D5817" s="13">
        <f t="shared" si="1"/>
        <v>8</v>
      </c>
      <c r="E5817" s="13">
        <f t="shared" si="2"/>
        <v>13</v>
      </c>
    </row>
    <row r="5818">
      <c r="A5818" s="4" t="s">
        <v>6439</v>
      </c>
      <c r="B5818" s="16"/>
      <c r="C5818" s="12">
        <f>IFERROR(__xludf.DUMMYFUNCTION("""COMPUTED_VALUE"""),44659.545752314814)</f>
        <v>44659.54575</v>
      </c>
      <c r="D5818" s="13">
        <f t="shared" si="1"/>
        <v>8</v>
      </c>
      <c r="E5818" s="13">
        <f t="shared" si="2"/>
        <v>13</v>
      </c>
    </row>
    <row r="5819">
      <c r="A5819" s="4" t="s">
        <v>6440</v>
      </c>
      <c r="B5819" s="16"/>
      <c r="C5819" s="12">
        <f>IFERROR(__xludf.DUMMYFUNCTION("""COMPUTED_VALUE"""),44659.53140046296)</f>
        <v>44659.5314</v>
      </c>
      <c r="D5819" s="13">
        <f t="shared" si="1"/>
        <v>8</v>
      </c>
      <c r="E5819" s="13">
        <f t="shared" si="2"/>
        <v>12</v>
      </c>
    </row>
    <row r="5820">
      <c r="A5820" s="4" t="s">
        <v>6441</v>
      </c>
      <c r="B5820" s="16"/>
      <c r="C5820" s="12">
        <f>IFERROR(__xludf.DUMMYFUNCTION("""COMPUTED_VALUE"""),44659.531377314815)</f>
        <v>44659.53138</v>
      </c>
      <c r="D5820" s="13">
        <f t="shared" si="1"/>
        <v>8</v>
      </c>
      <c r="E5820" s="13">
        <f t="shared" si="2"/>
        <v>12</v>
      </c>
    </row>
    <row r="5821">
      <c r="A5821" s="4" t="s">
        <v>6442</v>
      </c>
      <c r="B5821" s="16"/>
      <c r="C5821" s="12">
        <f>IFERROR(__xludf.DUMMYFUNCTION("""COMPUTED_VALUE"""),44659.53129629629)</f>
        <v>44659.5313</v>
      </c>
      <c r="D5821" s="13">
        <f t="shared" si="1"/>
        <v>8</v>
      </c>
      <c r="E5821" s="13">
        <f t="shared" si="2"/>
        <v>12</v>
      </c>
    </row>
    <row r="5822">
      <c r="A5822" s="4" t="s">
        <v>6443</v>
      </c>
      <c r="B5822" s="16"/>
      <c r="C5822" s="12">
        <f>IFERROR(__xludf.DUMMYFUNCTION("""COMPUTED_VALUE"""),44659.531273148146)</f>
        <v>44659.53127</v>
      </c>
      <c r="D5822" s="13">
        <f t="shared" si="1"/>
        <v>8</v>
      </c>
      <c r="E5822" s="13">
        <f t="shared" si="2"/>
        <v>12</v>
      </c>
    </row>
    <row r="5823">
      <c r="A5823" s="4" t="s">
        <v>6444</v>
      </c>
      <c r="B5823" s="16"/>
      <c r="C5823" s="12">
        <f>IFERROR(__xludf.DUMMYFUNCTION("""COMPUTED_VALUE"""),44659.53125)</f>
        <v>44659.53125</v>
      </c>
      <c r="D5823" s="13">
        <f t="shared" si="1"/>
        <v>8</v>
      </c>
      <c r="E5823" s="13">
        <f t="shared" si="2"/>
        <v>12</v>
      </c>
    </row>
    <row r="5824">
      <c r="A5824" s="4" t="s">
        <v>6445</v>
      </c>
      <c r="B5824" s="16"/>
      <c r="C5824" s="12">
        <f>IFERROR(__xludf.DUMMYFUNCTION("""COMPUTED_VALUE"""),44659.53115740741)</f>
        <v>44659.53116</v>
      </c>
      <c r="D5824" s="13">
        <f t="shared" si="1"/>
        <v>8</v>
      </c>
      <c r="E5824" s="13">
        <f t="shared" si="2"/>
        <v>12</v>
      </c>
    </row>
    <row r="5825">
      <c r="A5825" s="4" t="s">
        <v>6446</v>
      </c>
      <c r="B5825" s="16"/>
      <c r="C5825" s="12">
        <f>IFERROR(__xludf.DUMMYFUNCTION("""COMPUTED_VALUE"""),44659.531134259254)</f>
        <v>44659.53113</v>
      </c>
      <c r="D5825" s="13">
        <f t="shared" si="1"/>
        <v>8</v>
      </c>
      <c r="E5825" s="13">
        <f t="shared" si="2"/>
        <v>12</v>
      </c>
    </row>
    <row r="5826">
      <c r="A5826" s="4" t="s">
        <v>6447</v>
      </c>
      <c r="B5826" s="16"/>
      <c r="C5826" s="12">
        <f>IFERROR(__xludf.DUMMYFUNCTION("""COMPUTED_VALUE"""),44659.52854166667)</f>
        <v>44659.52854</v>
      </c>
      <c r="D5826" s="13">
        <f t="shared" si="1"/>
        <v>8</v>
      </c>
      <c r="E5826" s="13">
        <f t="shared" si="2"/>
        <v>12</v>
      </c>
    </row>
    <row r="5827">
      <c r="A5827" s="4" t="s">
        <v>6447</v>
      </c>
      <c r="B5827" s="16"/>
      <c r="C5827" s="12">
        <f>IFERROR(__xludf.DUMMYFUNCTION("""COMPUTED_VALUE"""),44659.52854166667)</f>
        <v>44659.52854</v>
      </c>
      <c r="D5827" s="13">
        <f t="shared" si="1"/>
        <v>8</v>
      </c>
      <c r="E5827" s="13">
        <f t="shared" si="2"/>
        <v>12</v>
      </c>
    </row>
    <row r="5828">
      <c r="A5828" s="4" t="s">
        <v>6448</v>
      </c>
      <c r="B5828" s="16"/>
      <c r="C5828" s="12">
        <f>IFERROR(__xludf.DUMMYFUNCTION("""COMPUTED_VALUE"""),44659.5284375)</f>
        <v>44659.52844</v>
      </c>
      <c r="D5828" s="13">
        <f t="shared" si="1"/>
        <v>8</v>
      </c>
      <c r="E5828" s="13">
        <f t="shared" si="2"/>
        <v>12</v>
      </c>
    </row>
    <row r="5829">
      <c r="A5829" s="4" t="s">
        <v>6449</v>
      </c>
      <c r="B5829" s="16"/>
      <c r="C5829" s="12">
        <f>IFERROR(__xludf.DUMMYFUNCTION("""COMPUTED_VALUE"""),44659.528240740736)</f>
        <v>44659.52824</v>
      </c>
      <c r="D5829" s="13">
        <f t="shared" si="1"/>
        <v>8</v>
      </c>
      <c r="E5829" s="13">
        <f t="shared" si="2"/>
        <v>12</v>
      </c>
    </row>
    <row r="5830">
      <c r="A5830" s="4" t="s">
        <v>6450</v>
      </c>
      <c r="B5830" s="16"/>
      <c r="C5830" s="12">
        <f>IFERROR(__xludf.DUMMYFUNCTION("""COMPUTED_VALUE"""),44659.522210648145)</f>
        <v>44659.52221</v>
      </c>
      <c r="D5830" s="13">
        <f t="shared" si="1"/>
        <v>8</v>
      </c>
      <c r="E5830" s="13">
        <f t="shared" si="2"/>
        <v>12</v>
      </c>
    </row>
    <row r="5831">
      <c r="A5831" s="4" t="s">
        <v>6451</v>
      </c>
      <c r="B5831" s="16"/>
      <c r="C5831" s="12">
        <f>IFERROR(__xludf.DUMMYFUNCTION("""COMPUTED_VALUE"""),44659.49997685185)</f>
        <v>44659.49998</v>
      </c>
      <c r="D5831" s="13">
        <f t="shared" si="1"/>
        <v>8</v>
      </c>
      <c r="E5831" s="13">
        <f t="shared" si="2"/>
        <v>11</v>
      </c>
    </row>
    <row r="5832">
      <c r="A5832" s="4" t="s">
        <v>6452</v>
      </c>
      <c r="B5832" s="16"/>
      <c r="C5832" s="12">
        <f>IFERROR(__xludf.DUMMYFUNCTION("""COMPUTED_VALUE"""),44659.49271990741)</f>
        <v>44659.49272</v>
      </c>
      <c r="D5832" s="13">
        <f t="shared" si="1"/>
        <v>8</v>
      </c>
      <c r="E5832" s="13">
        <f t="shared" si="2"/>
        <v>11</v>
      </c>
    </row>
    <row r="5833">
      <c r="A5833" s="4" t="s">
        <v>6453</v>
      </c>
      <c r="B5833" s="4" t="s">
        <v>6454</v>
      </c>
      <c r="C5833" s="12">
        <f>IFERROR(__xludf.DUMMYFUNCTION("""COMPUTED_VALUE"""),44659.49259259259)</f>
        <v>44659.49259</v>
      </c>
      <c r="D5833" s="13">
        <f t="shared" si="1"/>
        <v>8</v>
      </c>
      <c r="E5833" s="13">
        <f t="shared" si="2"/>
        <v>11</v>
      </c>
    </row>
    <row r="5834">
      <c r="A5834" s="4" t="s">
        <v>6455</v>
      </c>
      <c r="B5834" s="16"/>
      <c r="C5834" s="12">
        <f>IFERROR(__xludf.DUMMYFUNCTION("""COMPUTED_VALUE"""),44659.488854166666)</f>
        <v>44659.48885</v>
      </c>
      <c r="D5834" s="13">
        <f t="shared" si="1"/>
        <v>8</v>
      </c>
      <c r="E5834" s="13">
        <f t="shared" si="2"/>
        <v>11</v>
      </c>
    </row>
    <row r="5835">
      <c r="A5835" s="4" t="s">
        <v>6456</v>
      </c>
      <c r="B5835" s="16"/>
      <c r="C5835" s="12">
        <f>IFERROR(__xludf.DUMMYFUNCTION("""COMPUTED_VALUE"""),44659.483194444445)</f>
        <v>44659.48319</v>
      </c>
      <c r="D5835" s="13">
        <f t="shared" si="1"/>
        <v>8</v>
      </c>
      <c r="E5835" s="13">
        <f t="shared" si="2"/>
        <v>11</v>
      </c>
    </row>
    <row r="5836">
      <c r="A5836" s="4" t="s">
        <v>6457</v>
      </c>
      <c r="B5836" s="16"/>
      <c r="C5836" s="12">
        <f>IFERROR(__xludf.DUMMYFUNCTION("""COMPUTED_VALUE"""),44659.48038194444)</f>
        <v>44659.48038</v>
      </c>
      <c r="D5836" s="13">
        <f t="shared" si="1"/>
        <v>8</v>
      </c>
      <c r="E5836" s="13">
        <f t="shared" si="2"/>
        <v>11</v>
      </c>
    </row>
    <row r="5837">
      <c r="A5837" s="4" t="s">
        <v>6458</v>
      </c>
      <c r="B5837" s="16"/>
      <c r="C5837" s="12">
        <f>IFERROR(__xludf.DUMMYFUNCTION("""COMPUTED_VALUE"""),44659.47895833333)</f>
        <v>44659.47896</v>
      </c>
      <c r="D5837" s="13">
        <f t="shared" si="1"/>
        <v>8</v>
      </c>
      <c r="E5837" s="13">
        <f t="shared" si="2"/>
        <v>11</v>
      </c>
    </row>
    <row r="5838">
      <c r="A5838" s="4" t="s">
        <v>6459</v>
      </c>
      <c r="B5838" s="16"/>
      <c r="C5838" s="12">
        <f>IFERROR(__xludf.DUMMYFUNCTION("""COMPUTED_VALUE"""),44659.47813657407)</f>
        <v>44659.47814</v>
      </c>
      <c r="D5838" s="13">
        <f t="shared" si="1"/>
        <v>8</v>
      </c>
      <c r="E5838" s="13">
        <f t="shared" si="2"/>
        <v>11</v>
      </c>
    </row>
    <row r="5839">
      <c r="A5839" s="4" t="s">
        <v>6460</v>
      </c>
      <c r="B5839" s="16"/>
      <c r="C5839" s="12">
        <f>IFERROR(__xludf.DUMMYFUNCTION("""COMPUTED_VALUE"""),44659.4777662037)</f>
        <v>44659.47777</v>
      </c>
      <c r="D5839" s="13">
        <f t="shared" si="1"/>
        <v>8</v>
      </c>
      <c r="E5839" s="13">
        <f t="shared" si="2"/>
        <v>11</v>
      </c>
    </row>
    <row r="5840">
      <c r="A5840" s="4" t="s">
        <v>6461</v>
      </c>
      <c r="B5840" s="16"/>
      <c r="C5840" s="12">
        <f>IFERROR(__xludf.DUMMYFUNCTION("""COMPUTED_VALUE"""),44659.47765046296)</f>
        <v>44659.47765</v>
      </c>
      <c r="D5840" s="13">
        <f t="shared" si="1"/>
        <v>8</v>
      </c>
      <c r="E5840" s="13">
        <f t="shared" si="2"/>
        <v>11</v>
      </c>
    </row>
    <row r="5841">
      <c r="A5841" s="4" t="s">
        <v>6462</v>
      </c>
      <c r="B5841" s="16"/>
      <c r="C5841" s="12">
        <f>IFERROR(__xludf.DUMMYFUNCTION("""COMPUTED_VALUE"""),44659.46532407407)</f>
        <v>44659.46532</v>
      </c>
      <c r="D5841" s="13">
        <f t="shared" si="1"/>
        <v>8</v>
      </c>
      <c r="E5841" s="13">
        <f t="shared" si="2"/>
        <v>11</v>
      </c>
    </row>
    <row r="5842">
      <c r="A5842" s="4" t="s">
        <v>6463</v>
      </c>
      <c r="B5842" s="16"/>
      <c r="C5842" s="12">
        <f>IFERROR(__xludf.DUMMYFUNCTION("""COMPUTED_VALUE"""),44659.46530092592)</f>
        <v>44659.4653</v>
      </c>
      <c r="D5842" s="13">
        <f t="shared" si="1"/>
        <v>8</v>
      </c>
      <c r="E5842" s="13">
        <f t="shared" si="2"/>
        <v>11</v>
      </c>
    </row>
    <row r="5843">
      <c r="A5843" s="4" t="s">
        <v>6464</v>
      </c>
      <c r="B5843" s="16"/>
      <c r="C5843" s="12">
        <f>IFERROR(__xludf.DUMMYFUNCTION("""COMPUTED_VALUE"""),44659.45582175926)</f>
        <v>44659.45582</v>
      </c>
      <c r="D5843" s="13">
        <f t="shared" si="1"/>
        <v>8</v>
      </c>
      <c r="E5843" s="13">
        <f t="shared" si="2"/>
        <v>10</v>
      </c>
    </row>
    <row r="5844">
      <c r="A5844" s="4" t="s">
        <v>6465</v>
      </c>
      <c r="B5844" s="16"/>
      <c r="C5844" s="12">
        <f>IFERROR(__xludf.DUMMYFUNCTION("""COMPUTED_VALUE"""),44659.44701388889)</f>
        <v>44659.44701</v>
      </c>
      <c r="D5844" s="13">
        <f t="shared" si="1"/>
        <v>8</v>
      </c>
      <c r="E5844" s="13">
        <f t="shared" si="2"/>
        <v>10</v>
      </c>
    </row>
    <row r="5845">
      <c r="A5845" s="4" t="s">
        <v>6466</v>
      </c>
      <c r="B5845" s="16"/>
      <c r="C5845" s="12">
        <f>IFERROR(__xludf.DUMMYFUNCTION("""COMPUTED_VALUE"""),44659.434120370366)</f>
        <v>44659.43412</v>
      </c>
      <c r="D5845" s="13">
        <f t="shared" si="1"/>
        <v>8</v>
      </c>
      <c r="E5845" s="13">
        <f t="shared" si="2"/>
        <v>10</v>
      </c>
    </row>
    <row r="5846">
      <c r="A5846" s="4" t="s">
        <v>6467</v>
      </c>
      <c r="B5846" s="4" t="s">
        <v>6468</v>
      </c>
      <c r="C5846" s="12">
        <f>IFERROR(__xludf.DUMMYFUNCTION("""COMPUTED_VALUE"""),44659.43127314815)</f>
        <v>44659.43127</v>
      </c>
      <c r="D5846" s="13">
        <f t="shared" si="1"/>
        <v>8</v>
      </c>
      <c r="E5846" s="13">
        <f t="shared" si="2"/>
        <v>10</v>
      </c>
    </row>
    <row r="5847">
      <c r="A5847" s="4" t="s">
        <v>6469</v>
      </c>
      <c r="B5847" s="16"/>
      <c r="C5847" s="12">
        <f>IFERROR(__xludf.DUMMYFUNCTION("""COMPUTED_VALUE"""),44659.43091435185)</f>
        <v>44659.43091</v>
      </c>
      <c r="D5847" s="13">
        <f t="shared" si="1"/>
        <v>8</v>
      </c>
      <c r="E5847" s="13">
        <f t="shared" si="2"/>
        <v>10</v>
      </c>
    </row>
    <row r="5848">
      <c r="A5848" s="4" t="s">
        <v>6470</v>
      </c>
      <c r="B5848" s="16"/>
      <c r="C5848" s="12">
        <f>IFERROR(__xludf.DUMMYFUNCTION("""COMPUTED_VALUE"""),44659.43079861111)</f>
        <v>44659.4308</v>
      </c>
      <c r="D5848" s="13">
        <f t="shared" si="1"/>
        <v>8</v>
      </c>
      <c r="E5848" s="13">
        <f t="shared" si="2"/>
        <v>10</v>
      </c>
    </row>
    <row r="5849">
      <c r="A5849" s="4" t="s">
        <v>6471</v>
      </c>
      <c r="B5849" s="16"/>
      <c r="C5849" s="12">
        <f>IFERROR(__xludf.DUMMYFUNCTION("""COMPUTED_VALUE"""),44659.4205787037)</f>
        <v>44659.42058</v>
      </c>
      <c r="D5849" s="13">
        <f t="shared" si="1"/>
        <v>8</v>
      </c>
      <c r="E5849" s="13">
        <f t="shared" si="2"/>
        <v>10</v>
      </c>
    </row>
    <row r="5850">
      <c r="A5850" s="4" t="s">
        <v>6472</v>
      </c>
      <c r="B5850" s="16"/>
      <c r="C5850" s="12">
        <f>IFERROR(__xludf.DUMMYFUNCTION("""COMPUTED_VALUE"""),44659.394907407404)</f>
        <v>44659.39491</v>
      </c>
      <c r="D5850" s="13">
        <f t="shared" si="1"/>
        <v>8</v>
      </c>
      <c r="E5850" s="13">
        <f t="shared" si="2"/>
        <v>9</v>
      </c>
    </row>
    <row r="5851">
      <c r="A5851" s="4" t="s">
        <v>6473</v>
      </c>
      <c r="B5851" s="16"/>
      <c r="C5851" s="12">
        <f>IFERROR(__xludf.DUMMYFUNCTION("""COMPUTED_VALUE"""),44659.394849537035)</f>
        <v>44659.39485</v>
      </c>
      <c r="D5851" s="13">
        <f t="shared" si="1"/>
        <v>8</v>
      </c>
      <c r="E5851" s="13">
        <f t="shared" si="2"/>
        <v>9</v>
      </c>
    </row>
    <row r="5852">
      <c r="A5852" s="4" t="s">
        <v>6474</v>
      </c>
      <c r="B5852" s="4" t="s">
        <v>6475</v>
      </c>
      <c r="C5852" s="12">
        <f>IFERROR(__xludf.DUMMYFUNCTION("""COMPUTED_VALUE"""),44659.3946875)</f>
        <v>44659.39469</v>
      </c>
      <c r="D5852" s="13">
        <f t="shared" si="1"/>
        <v>8</v>
      </c>
      <c r="E5852" s="13">
        <f t="shared" si="2"/>
        <v>9</v>
      </c>
    </row>
    <row r="5853">
      <c r="A5853" s="4" t="s">
        <v>6476</v>
      </c>
      <c r="B5853" s="16"/>
      <c r="C5853" s="12">
        <f>IFERROR(__xludf.DUMMYFUNCTION("""COMPUTED_VALUE"""),44659.39456018518)</f>
        <v>44659.39456</v>
      </c>
      <c r="D5853" s="13">
        <f t="shared" si="1"/>
        <v>8</v>
      </c>
      <c r="E5853" s="13">
        <f t="shared" si="2"/>
        <v>9</v>
      </c>
    </row>
    <row r="5854">
      <c r="A5854" s="4" t="s">
        <v>6477</v>
      </c>
      <c r="B5854" s="4" t="s">
        <v>6468</v>
      </c>
      <c r="C5854" s="12">
        <f>IFERROR(__xludf.DUMMYFUNCTION("""COMPUTED_VALUE"""),44659.3872337963)</f>
        <v>44659.38723</v>
      </c>
      <c r="D5854" s="13">
        <f t="shared" si="1"/>
        <v>8</v>
      </c>
      <c r="E5854" s="13">
        <f t="shared" si="2"/>
        <v>9</v>
      </c>
    </row>
    <row r="5855">
      <c r="A5855" s="4" t="s">
        <v>6478</v>
      </c>
      <c r="B5855" s="16"/>
      <c r="C5855" s="12">
        <f>IFERROR(__xludf.DUMMYFUNCTION("""COMPUTED_VALUE"""),44659.38439814815)</f>
        <v>44659.3844</v>
      </c>
      <c r="D5855" s="13">
        <f t="shared" si="1"/>
        <v>8</v>
      </c>
      <c r="E5855" s="13">
        <f t="shared" si="2"/>
        <v>9</v>
      </c>
    </row>
    <row r="5856">
      <c r="A5856" s="4" t="s">
        <v>6479</v>
      </c>
      <c r="B5856" s="16"/>
      <c r="C5856" s="12">
        <f>IFERROR(__xludf.DUMMYFUNCTION("""COMPUTED_VALUE"""),44659.382743055554)</f>
        <v>44659.38274</v>
      </c>
      <c r="D5856" s="13">
        <f t="shared" si="1"/>
        <v>8</v>
      </c>
      <c r="E5856" s="13">
        <f t="shared" si="2"/>
        <v>9</v>
      </c>
    </row>
    <row r="5857">
      <c r="A5857" s="4" t="s">
        <v>6480</v>
      </c>
      <c r="B5857" s="16"/>
      <c r="C5857" s="12">
        <f>IFERROR(__xludf.DUMMYFUNCTION("""COMPUTED_VALUE"""),44659.30048611111)</f>
        <v>44659.30049</v>
      </c>
      <c r="D5857" s="13">
        <f t="shared" si="1"/>
        <v>8</v>
      </c>
      <c r="E5857" s="13">
        <f t="shared" si="2"/>
        <v>7</v>
      </c>
    </row>
    <row r="5858">
      <c r="A5858" s="4" t="s">
        <v>6481</v>
      </c>
      <c r="B5858" s="16"/>
      <c r="C5858" s="12">
        <f>IFERROR(__xludf.DUMMYFUNCTION("""COMPUTED_VALUE"""),44659.290983796294)</f>
        <v>44659.29098</v>
      </c>
      <c r="D5858" s="13">
        <f t="shared" si="1"/>
        <v>8</v>
      </c>
      <c r="E5858" s="13">
        <f t="shared" si="2"/>
        <v>6</v>
      </c>
    </row>
    <row r="5859">
      <c r="A5859" s="4" t="s">
        <v>6482</v>
      </c>
      <c r="B5859" s="16"/>
      <c r="C5859" s="12">
        <f>IFERROR(__xludf.DUMMYFUNCTION("""COMPUTED_VALUE"""),44659.2890625)</f>
        <v>44659.28906</v>
      </c>
      <c r="D5859" s="13">
        <f t="shared" si="1"/>
        <v>8</v>
      </c>
      <c r="E5859" s="13">
        <f t="shared" si="2"/>
        <v>6</v>
      </c>
    </row>
    <row r="5860">
      <c r="A5860" s="4" t="s">
        <v>6483</v>
      </c>
      <c r="B5860" s="16"/>
      <c r="C5860" s="12">
        <f>IFERROR(__xludf.DUMMYFUNCTION("""COMPUTED_VALUE"""),44659.28565972222)</f>
        <v>44659.28566</v>
      </c>
      <c r="D5860" s="13">
        <f t="shared" si="1"/>
        <v>8</v>
      </c>
      <c r="E5860" s="13">
        <f t="shared" si="2"/>
        <v>6</v>
      </c>
    </row>
    <row r="5861">
      <c r="A5861" s="4" t="s">
        <v>6484</v>
      </c>
      <c r="B5861" s="16"/>
      <c r="C5861" s="12">
        <f>IFERROR(__xludf.DUMMYFUNCTION("""COMPUTED_VALUE"""),44659.28053240741)</f>
        <v>44659.28053</v>
      </c>
      <c r="D5861" s="13">
        <f t="shared" si="1"/>
        <v>8</v>
      </c>
      <c r="E5861" s="13">
        <f t="shared" si="2"/>
        <v>6</v>
      </c>
    </row>
    <row r="5862">
      <c r="A5862" s="4" t="s">
        <v>6485</v>
      </c>
      <c r="B5862" s="16"/>
      <c r="C5862" s="12">
        <f>IFERROR(__xludf.DUMMYFUNCTION("""COMPUTED_VALUE"""),44659.28047453704)</f>
        <v>44659.28047</v>
      </c>
      <c r="D5862" s="13">
        <f t="shared" si="1"/>
        <v>8</v>
      </c>
      <c r="E5862" s="13">
        <f t="shared" si="2"/>
        <v>6</v>
      </c>
    </row>
    <row r="5863">
      <c r="A5863" s="4" t="s">
        <v>6486</v>
      </c>
      <c r="B5863" s="16"/>
      <c r="C5863" s="12">
        <f>IFERROR(__xludf.DUMMYFUNCTION("""COMPUTED_VALUE"""),44659.27885416667)</f>
        <v>44659.27885</v>
      </c>
      <c r="D5863" s="13">
        <f t="shared" si="1"/>
        <v>8</v>
      </c>
      <c r="E5863" s="13">
        <f t="shared" si="2"/>
        <v>6</v>
      </c>
    </row>
    <row r="5864">
      <c r="A5864" s="4" t="s">
        <v>6487</v>
      </c>
      <c r="B5864" s="16"/>
      <c r="C5864" s="12">
        <f>IFERROR(__xludf.DUMMYFUNCTION("""COMPUTED_VALUE"""),44659.27478009259)</f>
        <v>44659.27478</v>
      </c>
      <c r="D5864" s="13">
        <f t="shared" si="1"/>
        <v>8</v>
      </c>
      <c r="E5864" s="13">
        <f t="shared" si="2"/>
        <v>6</v>
      </c>
    </row>
    <row r="5865">
      <c r="A5865" s="4" t="s">
        <v>6488</v>
      </c>
      <c r="B5865" s="16"/>
      <c r="C5865" s="12">
        <f>IFERROR(__xludf.DUMMYFUNCTION("""COMPUTED_VALUE"""),44659.27472222222)</f>
        <v>44659.27472</v>
      </c>
      <c r="D5865" s="13">
        <f t="shared" si="1"/>
        <v>8</v>
      </c>
      <c r="E5865" s="13">
        <f t="shared" si="2"/>
        <v>6</v>
      </c>
    </row>
    <row r="5866">
      <c r="A5866" s="4" t="s">
        <v>6489</v>
      </c>
      <c r="B5866" s="16"/>
      <c r="C5866" s="12">
        <f>IFERROR(__xludf.DUMMYFUNCTION("""COMPUTED_VALUE"""),44659.26753472222)</f>
        <v>44659.26753</v>
      </c>
      <c r="D5866" s="13">
        <f t="shared" si="1"/>
        <v>8</v>
      </c>
      <c r="E5866" s="13">
        <f t="shared" si="2"/>
        <v>6</v>
      </c>
    </row>
    <row r="5867">
      <c r="A5867" s="4" t="s">
        <v>6490</v>
      </c>
      <c r="B5867" s="16"/>
      <c r="C5867" s="12">
        <f>IFERROR(__xludf.DUMMYFUNCTION("""COMPUTED_VALUE"""),44659.26122685185)</f>
        <v>44659.26123</v>
      </c>
      <c r="D5867" s="13">
        <f t="shared" si="1"/>
        <v>8</v>
      </c>
      <c r="E5867" s="13">
        <f t="shared" si="2"/>
        <v>6</v>
      </c>
    </row>
    <row r="5868">
      <c r="A5868" s="4" t="s">
        <v>6491</v>
      </c>
      <c r="B5868" s="16"/>
      <c r="C5868" s="12">
        <f>IFERROR(__xludf.DUMMYFUNCTION("""COMPUTED_VALUE"""),44659.26074074074)</f>
        <v>44659.26074</v>
      </c>
      <c r="D5868" s="13">
        <f t="shared" si="1"/>
        <v>8</v>
      </c>
      <c r="E5868" s="13">
        <f t="shared" si="2"/>
        <v>6</v>
      </c>
    </row>
    <row r="5869">
      <c r="A5869" s="4" t="s">
        <v>6492</v>
      </c>
      <c r="B5869" s="16"/>
      <c r="C5869" s="12">
        <f>IFERROR(__xludf.DUMMYFUNCTION("""COMPUTED_VALUE"""),44659.26064814815)</f>
        <v>44659.26065</v>
      </c>
      <c r="D5869" s="13">
        <f t="shared" si="1"/>
        <v>8</v>
      </c>
      <c r="E5869" s="13">
        <f t="shared" si="2"/>
        <v>6</v>
      </c>
    </row>
    <row r="5870">
      <c r="A5870" s="4" t="s">
        <v>6493</v>
      </c>
      <c r="B5870" s="16"/>
      <c r="C5870" s="12">
        <f>IFERROR(__xludf.DUMMYFUNCTION("""COMPUTED_VALUE"""),44659.25324074074)</f>
        <v>44659.25324</v>
      </c>
      <c r="D5870" s="13">
        <f t="shared" si="1"/>
        <v>8</v>
      </c>
      <c r="E5870" s="13">
        <f t="shared" si="2"/>
        <v>6</v>
      </c>
    </row>
    <row r="5871">
      <c r="A5871" s="4" t="s">
        <v>6494</v>
      </c>
      <c r="B5871" s="16"/>
      <c r="C5871" s="12">
        <f>IFERROR(__xludf.DUMMYFUNCTION("""COMPUTED_VALUE"""),44659.25048611111)</f>
        <v>44659.25049</v>
      </c>
      <c r="D5871" s="13">
        <f t="shared" si="1"/>
        <v>8</v>
      </c>
      <c r="E5871" s="13">
        <f t="shared" si="2"/>
        <v>6</v>
      </c>
    </row>
    <row r="5872">
      <c r="A5872" s="4" t="s">
        <v>6495</v>
      </c>
      <c r="B5872" s="4" t="s">
        <v>6496</v>
      </c>
      <c r="C5872" s="12">
        <f>IFERROR(__xludf.DUMMYFUNCTION("""COMPUTED_VALUE"""),44659.204675925925)</f>
        <v>44659.20468</v>
      </c>
      <c r="D5872" s="13">
        <f t="shared" si="1"/>
        <v>8</v>
      </c>
      <c r="E5872" s="13">
        <f t="shared" si="2"/>
        <v>4</v>
      </c>
    </row>
    <row r="5873">
      <c r="A5873" s="4" t="s">
        <v>6497</v>
      </c>
      <c r="B5873" s="4" t="s">
        <v>6496</v>
      </c>
      <c r="C5873" s="12">
        <f>IFERROR(__xludf.DUMMYFUNCTION("""COMPUTED_VALUE"""),44659.12940972222)</f>
        <v>44659.12941</v>
      </c>
      <c r="D5873" s="13">
        <f t="shared" si="1"/>
        <v>8</v>
      </c>
      <c r="E5873" s="13">
        <f t="shared" si="2"/>
        <v>3</v>
      </c>
    </row>
    <row r="5874">
      <c r="A5874" s="4" t="s">
        <v>6498</v>
      </c>
      <c r="B5874" s="16"/>
      <c r="C5874" s="12">
        <f>IFERROR(__xludf.DUMMYFUNCTION("""COMPUTED_VALUE"""),44658.92240740741)</f>
        <v>44658.92241</v>
      </c>
      <c r="D5874" s="13">
        <f t="shared" si="1"/>
        <v>7</v>
      </c>
      <c r="E5874" s="13">
        <f t="shared" si="2"/>
        <v>22</v>
      </c>
    </row>
    <row r="5875">
      <c r="A5875" s="4" t="s">
        <v>6499</v>
      </c>
      <c r="B5875" s="4" t="s">
        <v>6496</v>
      </c>
      <c r="C5875" s="12">
        <f>IFERROR(__xludf.DUMMYFUNCTION("""COMPUTED_VALUE"""),44658.91324074074)</f>
        <v>44658.91324</v>
      </c>
      <c r="D5875" s="13">
        <f t="shared" si="1"/>
        <v>7</v>
      </c>
      <c r="E5875" s="13">
        <f t="shared" si="2"/>
        <v>21</v>
      </c>
    </row>
    <row r="5876">
      <c r="A5876" s="4" t="s">
        <v>6500</v>
      </c>
      <c r="B5876" s="16"/>
      <c r="C5876" s="12">
        <f>IFERROR(__xludf.DUMMYFUNCTION("""COMPUTED_VALUE"""),44658.851956018516)</f>
        <v>44658.85196</v>
      </c>
      <c r="D5876" s="13">
        <f t="shared" si="1"/>
        <v>7</v>
      </c>
      <c r="E5876" s="13">
        <f t="shared" si="2"/>
        <v>20</v>
      </c>
    </row>
    <row r="5877">
      <c r="A5877" s="4" t="s">
        <v>6501</v>
      </c>
      <c r="B5877" s="16"/>
      <c r="C5877" s="12">
        <f>IFERROR(__xludf.DUMMYFUNCTION("""COMPUTED_VALUE"""),44658.8425)</f>
        <v>44658.8425</v>
      </c>
      <c r="D5877" s="13">
        <f t="shared" si="1"/>
        <v>7</v>
      </c>
      <c r="E5877" s="13">
        <f t="shared" si="2"/>
        <v>20</v>
      </c>
    </row>
    <row r="5878">
      <c r="A5878" s="4" t="s">
        <v>6502</v>
      </c>
      <c r="B5878" s="16"/>
      <c r="C5878" s="12">
        <f>IFERROR(__xludf.DUMMYFUNCTION("""COMPUTED_VALUE"""),44658.842465277776)</f>
        <v>44658.84247</v>
      </c>
      <c r="D5878" s="13">
        <f t="shared" si="1"/>
        <v>7</v>
      </c>
      <c r="E5878" s="13">
        <f t="shared" si="2"/>
        <v>20</v>
      </c>
    </row>
    <row r="5879">
      <c r="A5879" s="4" t="s">
        <v>6503</v>
      </c>
      <c r="B5879" s="16"/>
      <c r="C5879" s="12">
        <f>IFERROR(__xludf.DUMMYFUNCTION("""COMPUTED_VALUE"""),44658.81800925926)</f>
        <v>44658.81801</v>
      </c>
      <c r="D5879" s="13">
        <f t="shared" si="1"/>
        <v>7</v>
      </c>
      <c r="E5879" s="13">
        <f t="shared" si="2"/>
        <v>19</v>
      </c>
    </row>
    <row r="5880">
      <c r="A5880" s="4" t="s">
        <v>6504</v>
      </c>
      <c r="B5880" s="16"/>
      <c r="C5880" s="12">
        <f>IFERROR(__xludf.DUMMYFUNCTION("""COMPUTED_VALUE"""),44658.81260416666)</f>
        <v>44658.8126</v>
      </c>
      <c r="D5880" s="13">
        <f t="shared" si="1"/>
        <v>7</v>
      </c>
      <c r="E5880" s="13">
        <f t="shared" si="2"/>
        <v>19</v>
      </c>
    </row>
    <row r="5881">
      <c r="A5881" s="4" t="s">
        <v>6505</v>
      </c>
      <c r="B5881" s="16"/>
      <c r="C5881" s="12">
        <f>IFERROR(__xludf.DUMMYFUNCTION("""COMPUTED_VALUE"""),44658.81256944444)</f>
        <v>44658.81257</v>
      </c>
      <c r="D5881" s="13">
        <f t="shared" si="1"/>
        <v>7</v>
      </c>
      <c r="E5881" s="13">
        <f t="shared" si="2"/>
        <v>19</v>
      </c>
    </row>
    <row r="5882">
      <c r="A5882" s="4" t="s">
        <v>6506</v>
      </c>
      <c r="B5882" s="16"/>
      <c r="C5882" s="12">
        <f>IFERROR(__xludf.DUMMYFUNCTION("""COMPUTED_VALUE"""),44658.803831018515)</f>
        <v>44658.80383</v>
      </c>
      <c r="D5882" s="13">
        <f t="shared" si="1"/>
        <v>7</v>
      </c>
      <c r="E5882" s="13">
        <f t="shared" si="2"/>
        <v>19</v>
      </c>
    </row>
    <row r="5883">
      <c r="A5883" s="4" t="s">
        <v>6507</v>
      </c>
      <c r="B5883" s="16"/>
      <c r="C5883" s="12">
        <f>IFERROR(__xludf.DUMMYFUNCTION("""COMPUTED_VALUE"""),44658.79753472222)</f>
        <v>44658.79753</v>
      </c>
      <c r="D5883" s="13">
        <f t="shared" si="1"/>
        <v>7</v>
      </c>
      <c r="E5883" s="13">
        <f t="shared" si="2"/>
        <v>19</v>
      </c>
    </row>
    <row r="5884">
      <c r="A5884" s="4" t="s">
        <v>6508</v>
      </c>
      <c r="B5884" s="16"/>
      <c r="C5884" s="12">
        <f>IFERROR(__xludf.DUMMYFUNCTION("""COMPUTED_VALUE"""),44658.79751157407)</f>
        <v>44658.79751</v>
      </c>
      <c r="D5884" s="13">
        <f t="shared" si="1"/>
        <v>7</v>
      </c>
      <c r="E5884" s="13">
        <f t="shared" si="2"/>
        <v>19</v>
      </c>
    </row>
    <row r="5885">
      <c r="A5885" s="4" t="s">
        <v>6509</v>
      </c>
      <c r="B5885" s="16"/>
      <c r="C5885" s="12">
        <f>IFERROR(__xludf.DUMMYFUNCTION("""COMPUTED_VALUE"""),44658.79530092592)</f>
        <v>44658.7953</v>
      </c>
      <c r="D5885" s="13">
        <f t="shared" si="1"/>
        <v>7</v>
      </c>
      <c r="E5885" s="13">
        <f t="shared" si="2"/>
        <v>19</v>
      </c>
    </row>
    <row r="5886">
      <c r="A5886" s="4" t="s">
        <v>6510</v>
      </c>
      <c r="B5886" s="16"/>
      <c r="C5886" s="12">
        <f>IFERROR(__xludf.DUMMYFUNCTION("""COMPUTED_VALUE"""),44658.7952662037)</f>
        <v>44658.79527</v>
      </c>
      <c r="D5886" s="13">
        <f t="shared" si="1"/>
        <v>7</v>
      </c>
      <c r="E5886" s="13">
        <f t="shared" si="2"/>
        <v>19</v>
      </c>
    </row>
    <row r="5887">
      <c r="A5887" s="4" t="s">
        <v>6511</v>
      </c>
      <c r="B5887" s="16"/>
      <c r="C5887" s="12">
        <f>IFERROR(__xludf.DUMMYFUNCTION("""COMPUTED_VALUE"""),44658.78803240741)</f>
        <v>44658.78803</v>
      </c>
      <c r="D5887" s="13">
        <f t="shared" si="1"/>
        <v>7</v>
      </c>
      <c r="E5887" s="13">
        <f t="shared" si="2"/>
        <v>18</v>
      </c>
    </row>
    <row r="5888">
      <c r="A5888" s="4" t="s">
        <v>6512</v>
      </c>
      <c r="B5888" s="16"/>
      <c r="C5888" s="12">
        <f>IFERROR(__xludf.DUMMYFUNCTION("""COMPUTED_VALUE"""),44658.74254629629)</f>
        <v>44658.74255</v>
      </c>
      <c r="D5888" s="13">
        <f t="shared" si="1"/>
        <v>7</v>
      </c>
      <c r="E5888" s="13">
        <f t="shared" si="2"/>
        <v>17</v>
      </c>
    </row>
    <row r="5889">
      <c r="A5889" s="4" t="s">
        <v>6513</v>
      </c>
      <c r="B5889" s="16"/>
      <c r="C5889" s="12">
        <f>IFERROR(__xludf.DUMMYFUNCTION("""COMPUTED_VALUE"""),44658.73480324074)</f>
        <v>44658.7348</v>
      </c>
      <c r="D5889" s="13">
        <f t="shared" si="1"/>
        <v>7</v>
      </c>
      <c r="E5889" s="13">
        <f t="shared" si="2"/>
        <v>17</v>
      </c>
    </row>
    <row r="5890">
      <c r="A5890" s="4" t="s">
        <v>6514</v>
      </c>
      <c r="B5890" s="16"/>
      <c r="C5890" s="12">
        <f>IFERROR(__xludf.DUMMYFUNCTION("""COMPUTED_VALUE"""),44658.73094907407)</f>
        <v>44658.73095</v>
      </c>
      <c r="D5890" s="13">
        <f t="shared" si="1"/>
        <v>7</v>
      </c>
      <c r="E5890" s="13">
        <f t="shared" si="2"/>
        <v>17</v>
      </c>
    </row>
    <row r="5891">
      <c r="A5891" s="4" t="s">
        <v>6515</v>
      </c>
      <c r="B5891" s="4" t="s">
        <v>6496</v>
      </c>
      <c r="C5891" s="12">
        <f>IFERROR(__xludf.DUMMYFUNCTION("""COMPUTED_VALUE"""),44658.72516203704)</f>
        <v>44658.72516</v>
      </c>
      <c r="D5891" s="13">
        <f t="shared" si="1"/>
        <v>7</v>
      </c>
      <c r="E5891" s="13">
        <f t="shared" si="2"/>
        <v>17</v>
      </c>
    </row>
    <row r="5892">
      <c r="A5892" s="4" t="s">
        <v>6516</v>
      </c>
      <c r="B5892" s="16"/>
      <c r="C5892" s="12">
        <f>IFERROR(__xludf.DUMMYFUNCTION("""COMPUTED_VALUE"""),44658.702256944445)</f>
        <v>44658.70226</v>
      </c>
      <c r="D5892" s="13">
        <f t="shared" si="1"/>
        <v>7</v>
      </c>
      <c r="E5892" s="13">
        <f t="shared" si="2"/>
        <v>16</v>
      </c>
    </row>
    <row r="5893">
      <c r="A5893" s="4" t="s">
        <v>6517</v>
      </c>
      <c r="B5893" s="16"/>
      <c r="C5893" s="12">
        <f>IFERROR(__xludf.DUMMYFUNCTION("""COMPUTED_VALUE"""),44658.70223379629)</f>
        <v>44658.70223</v>
      </c>
      <c r="D5893" s="13">
        <f t="shared" si="1"/>
        <v>7</v>
      </c>
      <c r="E5893" s="13">
        <f t="shared" si="2"/>
        <v>16</v>
      </c>
    </row>
    <row r="5894">
      <c r="A5894" s="4" t="s">
        <v>6518</v>
      </c>
      <c r="B5894" s="16"/>
      <c r="C5894" s="12">
        <f>IFERROR(__xludf.DUMMYFUNCTION("""COMPUTED_VALUE"""),44658.70086805555)</f>
        <v>44658.70087</v>
      </c>
      <c r="D5894" s="13">
        <f t="shared" si="1"/>
        <v>7</v>
      </c>
      <c r="E5894" s="13">
        <f t="shared" si="2"/>
        <v>16</v>
      </c>
    </row>
    <row r="5895">
      <c r="A5895" s="4" t="s">
        <v>6519</v>
      </c>
      <c r="B5895" s="16"/>
      <c r="C5895" s="12">
        <f>IFERROR(__xludf.DUMMYFUNCTION("""COMPUTED_VALUE"""),44658.69196759259)</f>
        <v>44658.69197</v>
      </c>
      <c r="D5895" s="13">
        <f t="shared" si="1"/>
        <v>7</v>
      </c>
      <c r="E5895" s="13">
        <f t="shared" si="2"/>
        <v>16</v>
      </c>
    </row>
    <row r="5896">
      <c r="A5896" s="4" t="s">
        <v>6520</v>
      </c>
      <c r="B5896" s="16"/>
      <c r="C5896" s="12">
        <f>IFERROR(__xludf.DUMMYFUNCTION("""COMPUTED_VALUE"""),44658.69194444444)</f>
        <v>44658.69194</v>
      </c>
      <c r="D5896" s="13">
        <f t="shared" si="1"/>
        <v>7</v>
      </c>
      <c r="E5896" s="13">
        <f t="shared" si="2"/>
        <v>16</v>
      </c>
    </row>
    <row r="5897">
      <c r="A5897" s="4" t="s">
        <v>6521</v>
      </c>
      <c r="B5897" s="16"/>
      <c r="C5897" s="12">
        <f>IFERROR(__xludf.DUMMYFUNCTION("""COMPUTED_VALUE"""),44658.68369212963)</f>
        <v>44658.68369</v>
      </c>
      <c r="D5897" s="13">
        <f t="shared" si="1"/>
        <v>7</v>
      </c>
      <c r="E5897" s="13">
        <f t="shared" si="2"/>
        <v>16</v>
      </c>
    </row>
    <row r="5898">
      <c r="A5898" s="4" t="s">
        <v>6522</v>
      </c>
      <c r="B5898" s="4" t="s">
        <v>6436</v>
      </c>
      <c r="C5898" s="12">
        <f>IFERROR(__xludf.DUMMYFUNCTION("""COMPUTED_VALUE"""),44658.68321759259)</f>
        <v>44658.68322</v>
      </c>
      <c r="D5898" s="13">
        <f t="shared" si="1"/>
        <v>7</v>
      </c>
      <c r="E5898" s="13">
        <f t="shared" si="2"/>
        <v>16</v>
      </c>
    </row>
    <row r="5899">
      <c r="A5899" s="4" t="s">
        <v>6523</v>
      </c>
      <c r="B5899" s="16"/>
      <c r="C5899" s="12">
        <f>IFERROR(__xludf.DUMMYFUNCTION("""COMPUTED_VALUE"""),44658.661736111106)</f>
        <v>44658.66174</v>
      </c>
      <c r="D5899" s="13">
        <f t="shared" si="1"/>
        <v>7</v>
      </c>
      <c r="E5899" s="13">
        <f t="shared" si="2"/>
        <v>15</v>
      </c>
    </row>
    <row r="5900">
      <c r="A5900" s="4" t="s">
        <v>6524</v>
      </c>
      <c r="B5900" s="16"/>
      <c r="C5900" s="12">
        <f>IFERROR(__xludf.DUMMYFUNCTION("""COMPUTED_VALUE"""),44658.66009259259)</f>
        <v>44658.66009</v>
      </c>
      <c r="D5900" s="13">
        <f t="shared" si="1"/>
        <v>7</v>
      </c>
      <c r="E5900" s="13">
        <f t="shared" si="2"/>
        <v>15</v>
      </c>
    </row>
    <row r="5901">
      <c r="A5901" s="4" t="s">
        <v>6525</v>
      </c>
      <c r="B5901" s="16"/>
      <c r="C5901" s="12">
        <f>IFERROR(__xludf.DUMMYFUNCTION("""COMPUTED_VALUE"""),44658.660057870366)</f>
        <v>44658.66006</v>
      </c>
      <c r="D5901" s="13">
        <f t="shared" si="1"/>
        <v>7</v>
      </c>
      <c r="E5901" s="13">
        <f t="shared" si="2"/>
        <v>15</v>
      </c>
    </row>
    <row r="5902">
      <c r="A5902" s="4" t="s">
        <v>6526</v>
      </c>
      <c r="B5902" s="16"/>
      <c r="C5902" s="12">
        <f>IFERROR(__xludf.DUMMYFUNCTION("""COMPUTED_VALUE"""),44658.656180555554)</f>
        <v>44658.65618</v>
      </c>
      <c r="D5902" s="13">
        <f t="shared" si="1"/>
        <v>7</v>
      </c>
      <c r="E5902" s="13">
        <f t="shared" si="2"/>
        <v>15</v>
      </c>
    </row>
    <row r="5903">
      <c r="A5903" s="4" t="s">
        <v>6527</v>
      </c>
      <c r="B5903" s="16"/>
      <c r="C5903" s="12">
        <f>IFERROR(__xludf.DUMMYFUNCTION("""COMPUTED_VALUE"""),44658.654398148145)</f>
        <v>44658.6544</v>
      </c>
      <c r="D5903" s="13">
        <f t="shared" si="1"/>
        <v>7</v>
      </c>
      <c r="E5903" s="13">
        <f t="shared" si="2"/>
        <v>15</v>
      </c>
    </row>
    <row r="5904">
      <c r="A5904" s="4" t="s">
        <v>6528</v>
      </c>
      <c r="B5904" s="16"/>
      <c r="C5904" s="12">
        <f>IFERROR(__xludf.DUMMYFUNCTION("""COMPUTED_VALUE"""),44658.65436342592)</f>
        <v>44658.65436</v>
      </c>
      <c r="D5904" s="13">
        <f t="shared" si="1"/>
        <v>7</v>
      </c>
      <c r="E5904" s="13">
        <f t="shared" si="2"/>
        <v>15</v>
      </c>
    </row>
    <row r="5905">
      <c r="A5905" s="4" t="s">
        <v>6529</v>
      </c>
      <c r="B5905" s="16"/>
      <c r="C5905" s="12">
        <f>IFERROR(__xludf.DUMMYFUNCTION("""COMPUTED_VALUE"""),44658.653449074074)</f>
        <v>44658.65345</v>
      </c>
      <c r="D5905" s="13">
        <f t="shared" si="1"/>
        <v>7</v>
      </c>
      <c r="E5905" s="13">
        <f t="shared" si="2"/>
        <v>15</v>
      </c>
    </row>
    <row r="5906">
      <c r="A5906" s="4" t="s">
        <v>6530</v>
      </c>
      <c r="B5906" s="16"/>
      <c r="C5906" s="12">
        <f>IFERROR(__xludf.DUMMYFUNCTION("""COMPUTED_VALUE"""),44658.65342592592)</f>
        <v>44658.65343</v>
      </c>
      <c r="D5906" s="13">
        <f t="shared" si="1"/>
        <v>7</v>
      </c>
      <c r="E5906" s="13">
        <f t="shared" si="2"/>
        <v>15</v>
      </c>
    </row>
    <row r="5907">
      <c r="A5907" s="4" t="s">
        <v>6531</v>
      </c>
      <c r="B5907" s="16"/>
      <c r="C5907" s="12">
        <f>IFERROR(__xludf.DUMMYFUNCTION("""COMPUTED_VALUE"""),44658.626747685186)</f>
        <v>44658.62675</v>
      </c>
      <c r="D5907" s="13">
        <f t="shared" si="1"/>
        <v>7</v>
      </c>
      <c r="E5907" s="13">
        <f t="shared" si="2"/>
        <v>15</v>
      </c>
    </row>
    <row r="5908">
      <c r="A5908" s="4" t="s">
        <v>6532</v>
      </c>
      <c r="B5908" s="16"/>
      <c r="C5908" s="12">
        <f>IFERROR(__xludf.DUMMYFUNCTION("""COMPUTED_VALUE"""),44658.624143518515)</f>
        <v>44658.62414</v>
      </c>
      <c r="D5908" s="13">
        <f t="shared" si="1"/>
        <v>7</v>
      </c>
      <c r="E5908" s="13">
        <f t="shared" si="2"/>
        <v>14</v>
      </c>
    </row>
    <row r="5909">
      <c r="A5909" s="4" t="s">
        <v>6533</v>
      </c>
      <c r="B5909" s="16"/>
      <c r="C5909" s="12">
        <f>IFERROR(__xludf.DUMMYFUNCTION("""COMPUTED_VALUE"""),44658.619733796295)</f>
        <v>44658.61973</v>
      </c>
      <c r="D5909" s="13">
        <f t="shared" si="1"/>
        <v>7</v>
      </c>
      <c r="E5909" s="13">
        <f t="shared" si="2"/>
        <v>14</v>
      </c>
    </row>
    <row r="5910">
      <c r="A5910" s="4" t="s">
        <v>6534</v>
      </c>
      <c r="B5910" s="16"/>
      <c r="C5910" s="12">
        <f>IFERROR(__xludf.DUMMYFUNCTION("""COMPUTED_VALUE"""),44658.61960648148)</f>
        <v>44658.61961</v>
      </c>
      <c r="D5910" s="13">
        <f t="shared" si="1"/>
        <v>7</v>
      </c>
      <c r="E5910" s="13">
        <f t="shared" si="2"/>
        <v>14</v>
      </c>
    </row>
    <row r="5911">
      <c r="A5911" s="4" t="s">
        <v>6535</v>
      </c>
      <c r="B5911" s="16"/>
      <c r="C5911" s="12">
        <f>IFERROR(__xludf.DUMMYFUNCTION("""COMPUTED_VALUE"""),44658.61296296296)</f>
        <v>44658.61296</v>
      </c>
      <c r="D5911" s="13">
        <f t="shared" si="1"/>
        <v>7</v>
      </c>
      <c r="E5911" s="13">
        <f t="shared" si="2"/>
        <v>14</v>
      </c>
    </row>
    <row r="5912">
      <c r="A5912" s="4" t="s">
        <v>6536</v>
      </c>
      <c r="B5912" s="16"/>
      <c r="C5912" s="12">
        <f>IFERROR(__xludf.DUMMYFUNCTION("""COMPUTED_VALUE"""),44658.610821759255)</f>
        <v>44658.61082</v>
      </c>
      <c r="D5912" s="13">
        <f t="shared" si="1"/>
        <v>7</v>
      </c>
      <c r="E5912" s="13">
        <f t="shared" si="2"/>
        <v>14</v>
      </c>
    </row>
    <row r="5913">
      <c r="A5913" s="4" t="s">
        <v>6537</v>
      </c>
      <c r="B5913" s="16"/>
      <c r="C5913" s="12">
        <f>IFERROR(__xludf.DUMMYFUNCTION("""COMPUTED_VALUE"""),44658.610613425924)</f>
        <v>44658.61061</v>
      </c>
      <c r="D5913" s="13">
        <f t="shared" si="1"/>
        <v>7</v>
      </c>
      <c r="E5913" s="13">
        <f t="shared" si="2"/>
        <v>14</v>
      </c>
    </row>
    <row r="5914">
      <c r="A5914" s="4" t="s">
        <v>6538</v>
      </c>
      <c r="B5914" s="16"/>
      <c r="C5914" s="12">
        <f>IFERROR(__xludf.DUMMYFUNCTION("""COMPUTED_VALUE"""),44658.60711805555)</f>
        <v>44658.60712</v>
      </c>
      <c r="D5914" s="13">
        <f t="shared" si="1"/>
        <v>7</v>
      </c>
      <c r="E5914" s="13">
        <f t="shared" si="2"/>
        <v>14</v>
      </c>
    </row>
    <row r="5915">
      <c r="A5915" s="4" t="s">
        <v>6539</v>
      </c>
      <c r="B5915" s="4" t="s">
        <v>6496</v>
      </c>
      <c r="C5915" s="12">
        <f>IFERROR(__xludf.DUMMYFUNCTION("""COMPUTED_VALUE"""),44658.60702546296)</f>
        <v>44658.60703</v>
      </c>
      <c r="D5915" s="13">
        <f t="shared" si="1"/>
        <v>7</v>
      </c>
      <c r="E5915" s="13">
        <f t="shared" si="2"/>
        <v>14</v>
      </c>
    </row>
    <row r="5916">
      <c r="A5916" s="4" t="s">
        <v>6540</v>
      </c>
      <c r="B5916" s="16"/>
      <c r="C5916" s="12">
        <f>IFERROR(__xludf.DUMMYFUNCTION("""COMPUTED_VALUE"""),44658.60545138889)</f>
        <v>44658.60545</v>
      </c>
      <c r="D5916" s="13">
        <f t="shared" si="1"/>
        <v>7</v>
      </c>
      <c r="E5916" s="13">
        <f t="shared" si="2"/>
        <v>14</v>
      </c>
    </row>
    <row r="5917">
      <c r="A5917" s="4" t="s">
        <v>6541</v>
      </c>
      <c r="B5917" s="16"/>
      <c r="C5917" s="12">
        <f>IFERROR(__xludf.DUMMYFUNCTION("""COMPUTED_VALUE"""),44658.59253472222)</f>
        <v>44658.59253</v>
      </c>
      <c r="D5917" s="13">
        <f t="shared" si="1"/>
        <v>7</v>
      </c>
      <c r="E5917" s="13">
        <f t="shared" si="2"/>
        <v>14</v>
      </c>
    </row>
    <row r="5918">
      <c r="A5918" s="4" t="s">
        <v>6542</v>
      </c>
      <c r="B5918" s="16"/>
      <c r="C5918" s="12">
        <f>IFERROR(__xludf.DUMMYFUNCTION("""COMPUTED_VALUE"""),44658.591956018514)</f>
        <v>44658.59196</v>
      </c>
      <c r="D5918" s="13">
        <f t="shared" si="1"/>
        <v>7</v>
      </c>
      <c r="E5918" s="13">
        <f t="shared" si="2"/>
        <v>14</v>
      </c>
    </row>
    <row r="5919">
      <c r="A5919" s="4" t="s">
        <v>6543</v>
      </c>
      <c r="B5919" s="16"/>
      <c r="C5919" s="12">
        <f>IFERROR(__xludf.DUMMYFUNCTION("""COMPUTED_VALUE"""),44658.59192129629)</f>
        <v>44658.59192</v>
      </c>
      <c r="D5919" s="13">
        <f t="shared" si="1"/>
        <v>7</v>
      </c>
      <c r="E5919" s="13">
        <f t="shared" si="2"/>
        <v>14</v>
      </c>
    </row>
    <row r="5920">
      <c r="A5920" s="4" t="s">
        <v>6544</v>
      </c>
      <c r="B5920" s="16"/>
      <c r="C5920" s="12">
        <f>IFERROR(__xludf.DUMMYFUNCTION("""COMPUTED_VALUE"""),44658.54740740741)</f>
        <v>44658.54741</v>
      </c>
      <c r="D5920" s="13">
        <f t="shared" si="1"/>
        <v>7</v>
      </c>
      <c r="E5920" s="13">
        <f t="shared" si="2"/>
        <v>13</v>
      </c>
    </row>
    <row r="5921">
      <c r="A5921" s="4" t="s">
        <v>6545</v>
      </c>
      <c r="B5921" s="16"/>
      <c r="C5921" s="12">
        <f>IFERROR(__xludf.DUMMYFUNCTION("""COMPUTED_VALUE"""),44658.527303240735)</f>
        <v>44658.5273</v>
      </c>
      <c r="D5921" s="13">
        <f t="shared" si="1"/>
        <v>7</v>
      </c>
      <c r="E5921" s="13">
        <f t="shared" si="2"/>
        <v>12</v>
      </c>
    </row>
    <row r="5922">
      <c r="A5922" s="4" t="s">
        <v>6546</v>
      </c>
      <c r="B5922" s="16"/>
      <c r="C5922" s="12">
        <f>IFERROR(__xludf.DUMMYFUNCTION("""COMPUTED_VALUE"""),44658.5011574074)</f>
        <v>44658.50116</v>
      </c>
      <c r="D5922" s="13">
        <f t="shared" si="1"/>
        <v>7</v>
      </c>
      <c r="E5922" s="13">
        <f t="shared" si="2"/>
        <v>12</v>
      </c>
    </row>
    <row r="5923">
      <c r="A5923" s="4" t="s">
        <v>6547</v>
      </c>
      <c r="B5923" s="16"/>
      <c r="C5923" s="12">
        <f>IFERROR(__xludf.DUMMYFUNCTION("""COMPUTED_VALUE"""),44658.45707175926)</f>
        <v>44658.45707</v>
      </c>
      <c r="D5923" s="13">
        <f t="shared" si="1"/>
        <v>7</v>
      </c>
      <c r="E5923" s="13">
        <f t="shared" si="2"/>
        <v>10</v>
      </c>
    </row>
    <row r="5924">
      <c r="A5924" s="4" t="s">
        <v>6548</v>
      </c>
      <c r="B5924" s="16"/>
      <c r="C5924" s="12">
        <f>IFERROR(__xludf.DUMMYFUNCTION("""COMPUTED_VALUE"""),44658.45143518518)</f>
        <v>44658.45144</v>
      </c>
      <c r="D5924" s="13">
        <f t="shared" si="1"/>
        <v>7</v>
      </c>
      <c r="E5924" s="13">
        <f t="shared" si="2"/>
        <v>10</v>
      </c>
    </row>
    <row r="5925">
      <c r="A5925" s="4" t="s">
        <v>6549</v>
      </c>
      <c r="B5925" s="4" t="s">
        <v>6550</v>
      </c>
      <c r="C5925" s="12">
        <f>IFERROR(__xludf.DUMMYFUNCTION("""COMPUTED_VALUE"""),44658.44511574074)</f>
        <v>44658.44512</v>
      </c>
      <c r="D5925" s="13">
        <f t="shared" si="1"/>
        <v>7</v>
      </c>
      <c r="E5925" s="13">
        <f t="shared" si="2"/>
        <v>10</v>
      </c>
    </row>
    <row r="5926">
      <c r="A5926" s="4" t="s">
        <v>6551</v>
      </c>
      <c r="B5926" s="4" t="s">
        <v>6552</v>
      </c>
      <c r="C5926" s="12">
        <f>IFERROR(__xludf.DUMMYFUNCTION("""COMPUTED_VALUE"""),44658.44217592592)</f>
        <v>44658.44218</v>
      </c>
      <c r="D5926" s="13">
        <f t="shared" si="1"/>
        <v>7</v>
      </c>
      <c r="E5926" s="13">
        <f t="shared" si="2"/>
        <v>10</v>
      </c>
    </row>
    <row r="5927">
      <c r="A5927" s="4" t="s">
        <v>6553</v>
      </c>
      <c r="B5927" s="4" t="s">
        <v>6552</v>
      </c>
      <c r="C5927" s="12">
        <f>IFERROR(__xludf.DUMMYFUNCTION("""COMPUTED_VALUE"""),44658.441840277774)</f>
        <v>44658.44184</v>
      </c>
      <c r="D5927" s="13">
        <f t="shared" si="1"/>
        <v>7</v>
      </c>
      <c r="E5927" s="13">
        <f t="shared" si="2"/>
        <v>10</v>
      </c>
    </row>
    <row r="5928">
      <c r="A5928" s="4" t="s">
        <v>6554</v>
      </c>
      <c r="B5928" s="16"/>
      <c r="C5928" s="12">
        <f>IFERROR(__xludf.DUMMYFUNCTION("""COMPUTED_VALUE"""),44658.44181712963)</f>
        <v>44658.44182</v>
      </c>
      <c r="D5928" s="13">
        <f t="shared" si="1"/>
        <v>7</v>
      </c>
      <c r="E5928" s="13">
        <f t="shared" si="2"/>
        <v>10</v>
      </c>
    </row>
    <row r="5929">
      <c r="A5929" s="4" t="s">
        <v>6555</v>
      </c>
      <c r="B5929" s="16"/>
      <c r="C5929" s="12">
        <f>IFERROR(__xludf.DUMMYFUNCTION("""COMPUTED_VALUE"""),44658.44159722222)</f>
        <v>44658.4416</v>
      </c>
      <c r="D5929" s="13">
        <f t="shared" si="1"/>
        <v>7</v>
      </c>
      <c r="E5929" s="13">
        <f t="shared" si="2"/>
        <v>10</v>
      </c>
    </row>
    <row r="5930">
      <c r="A5930" s="4" t="s">
        <v>6556</v>
      </c>
      <c r="B5930" s="16"/>
      <c r="C5930" s="12">
        <f>IFERROR(__xludf.DUMMYFUNCTION("""COMPUTED_VALUE"""),44658.44157407407)</f>
        <v>44658.44157</v>
      </c>
      <c r="D5930" s="13">
        <f t="shared" si="1"/>
        <v>7</v>
      </c>
      <c r="E5930" s="13">
        <f t="shared" si="2"/>
        <v>10</v>
      </c>
    </row>
    <row r="5931">
      <c r="A5931" s="4" t="s">
        <v>6557</v>
      </c>
      <c r="B5931" s="16"/>
      <c r="C5931" s="12">
        <f>IFERROR(__xludf.DUMMYFUNCTION("""COMPUTED_VALUE"""),44658.44153935185)</f>
        <v>44658.44154</v>
      </c>
      <c r="D5931" s="13">
        <f t="shared" si="1"/>
        <v>7</v>
      </c>
      <c r="E5931" s="13">
        <f t="shared" si="2"/>
        <v>10</v>
      </c>
    </row>
    <row r="5932">
      <c r="A5932" s="4" t="s">
        <v>6558</v>
      </c>
      <c r="B5932" s="16"/>
      <c r="C5932" s="12">
        <f>IFERROR(__xludf.DUMMYFUNCTION("""COMPUTED_VALUE"""),44658.441516203704)</f>
        <v>44658.44152</v>
      </c>
      <c r="D5932" s="13">
        <f t="shared" si="1"/>
        <v>7</v>
      </c>
      <c r="E5932" s="13">
        <f t="shared" si="2"/>
        <v>10</v>
      </c>
    </row>
    <row r="5933">
      <c r="A5933" s="4" t="s">
        <v>6559</v>
      </c>
      <c r="B5933" s="16"/>
      <c r="C5933" s="12">
        <f>IFERROR(__xludf.DUMMYFUNCTION("""COMPUTED_VALUE"""),44658.44144675926)</f>
        <v>44658.44145</v>
      </c>
      <c r="D5933" s="13">
        <f t="shared" si="1"/>
        <v>7</v>
      </c>
      <c r="E5933" s="13">
        <f t="shared" si="2"/>
        <v>10</v>
      </c>
    </row>
    <row r="5934">
      <c r="A5934" s="4" t="s">
        <v>6560</v>
      </c>
      <c r="B5934" s="4" t="s">
        <v>6552</v>
      </c>
      <c r="C5934" s="12">
        <f>IFERROR(__xludf.DUMMYFUNCTION("""COMPUTED_VALUE"""),44658.44142361111)</f>
        <v>44658.44142</v>
      </c>
      <c r="D5934" s="13">
        <f t="shared" si="1"/>
        <v>7</v>
      </c>
      <c r="E5934" s="13">
        <f t="shared" si="2"/>
        <v>10</v>
      </c>
    </row>
    <row r="5935">
      <c r="A5935" s="4" t="s">
        <v>6561</v>
      </c>
      <c r="B5935" s="4" t="s">
        <v>6552</v>
      </c>
      <c r="C5935" s="12">
        <f>IFERROR(__xludf.DUMMYFUNCTION("""COMPUTED_VALUE"""),44658.44094907407)</f>
        <v>44658.44095</v>
      </c>
      <c r="D5935" s="13">
        <f t="shared" si="1"/>
        <v>7</v>
      </c>
      <c r="E5935" s="13">
        <f t="shared" si="2"/>
        <v>10</v>
      </c>
    </row>
    <row r="5936">
      <c r="A5936" s="4" t="s">
        <v>6562</v>
      </c>
      <c r="B5936" s="16"/>
      <c r="C5936" s="12">
        <f>IFERROR(__xludf.DUMMYFUNCTION("""COMPUTED_VALUE"""),44658.42129629629)</f>
        <v>44658.4213</v>
      </c>
      <c r="D5936" s="13">
        <f t="shared" si="1"/>
        <v>7</v>
      </c>
      <c r="E5936" s="13">
        <f t="shared" si="2"/>
        <v>10</v>
      </c>
    </row>
    <row r="5937">
      <c r="A5937" s="4" t="s">
        <v>6563</v>
      </c>
      <c r="B5937" s="16"/>
      <c r="C5937" s="12">
        <f>IFERROR(__xludf.DUMMYFUNCTION("""COMPUTED_VALUE"""),44658.41707175926)</f>
        <v>44658.41707</v>
      </c>
      <c r="D5937" s="13">
        <f t="shared" si="1"/>
        <v>7</v>
      </c>
      <c r="E5937" s="13">
        <f t="shared" si="2"/>
        <v>10</v>
      </c>
    </row>
    <row r="5938">
      <c r="A5938" s="4" t="s">
        <v>6564</v>
      </c>
      <c r="B5938" s="16"/>
      <c r="C5938" s="12">
        <f>IFERROR(__xludf.DUMMYFUNCTION("""COMPUTED_VALUE"""),44658.40690972222)</f>
        <v>44658.40691</v>
      </c>
      <c r="D5938" s="13">
        <f t="shared" si="1"/>
        <v>7</v>
      </c>
      <c r="E5938" s="13">
        <f t="shared" si="2"/>
        <v>9</v>
      </c>
    </row>
    <row r="5939">
      <c r="A5939" s="4" t="s">
        <v>6565</v>
      </c>
      <c r="B5939" s="16"/>
      <c r="C5939" s="12">
        <f>IFERROR(__xludf.DUMMYFUNCTION("""COMPUTED_VALUE"""),44658.40552083333)</f>
        <v>44658.40552</v>
      </c>
      <c r="D5939" s="13">
        <f t="shared" si="1"/>
        <v>7</v>
      </c>
      <c r="E5939" s="13">
        <f t="shared" si="2"/>
        <v>9</v>
      </c>
    </row>
    <row r="5940">
      <c r="A5940" s="4" t="s">
        <v>6566</v>
      </c>
      <c r="B5940" s="4" t="s">
        <v>6567</v>
      </c>
      <c r="C5940" s="12">
        <f>IFERROR(__xludf.DUMMYFUNCTION("""COMPUTED_VALUE"""),44658.404027777775)</f>
        <v>44658.40403</v>
      </c>
      <c r="D5940" s="13">
        <f t="shared" si="1"/>
        <v>7</v>
      </c>
      <c r="E5940" s="13">
        <f t="shared" si="2"/>
        <v>9</v>
      </c>
    </row>
    <row r="5941">
      <c r="A5941" s="4" t="s">
        <v>6568</v>
      </c>
      <c r="B5941" s="16"/>
      <c r="C5941" s="12">
        <f>IFERROR(__xludf.DUMMYFUNCTION("""COMPUTED_VALUE"""),44658.3830787037)</f>
        <v>44658.38308</v>
      </c>
      <c r="D5941" s="13">
        <f t="shared" si="1"/>
        <v>7</v>
      </c>
      <c r="E5941" s="13">
        <f t="shared" si="2"/>
        <v>9</v>
      </c>
    </row>
    <row r="5942">
      <c r="A5942" s="4" t="s">
        <v>6569</v>
      </c>
      <c r="B5942" s="16"/>
      <c r="C5942" s="12">
        <f>IFERROR(__xludf.DUMMYFUNCTION("""COMPUTED_VALUE"""),44658.37185185185)</f>
        <v>44658.37185</v>
      </c>
      <c r="D5942" s="13">
        <f t="shared" si="1"/>
        <v>7</v>
      </c>
      <c r="E5942" s="13">
        <f t="shared" si="2"/>
        <v>8</v>
      </c>
    </row>
    <row r="5943">
      <c r="A5943" s="4" t="s">
        <v>6570</v>
      </c>
      <c r="B5943" s="16"/>
      <c r="C5943" s="12">
        <f>IFERROR(__xludf.DUMMYFUNCTION("""COMPUTED_VALUE"""),44658.36577546296)</f>
        <v>44658.36578</v>
      </c>
      <c r="D5943" s="13">
        <f t="shared" si="1"/>
        <v>7</v>
      </c>
      <c r="E5943" s="13">
        <f t="shared" si="2"/>
        <v>8</v>
      </c>
    </row>
    <row r="5944">
      <c r="A5944" s="4" t="s">
        <v>6571</v>
      </c>
      <c r="B5944" s="16"/>
      <c r="C5944" s="12">
        <f>IFERROR(__xludf.DUMMYFUNCTION("""COMPUTED_VALUE"""),44658.362974537034)</f>
        <v>44658.36297</v>
      </c>
      <c r="D5944" s="13">
        <f t="shared" si="1"/>
        <v>7</v>
      </c>
      <c r="E5944" s="13">
        <f t="shared" si="2"/>
        <v>8</v>
      </c>
    </row>
    <row r="5945">
      <c r="A5945" s="4" t="s">
        <v>6572</v>
      </c>
      <c r="B5945" s="16"/>
      <c r="C5945" s="12">
        <f>IFERROR(__xludf.DUMMYFUNCTION("""COMPUTED_VALUE"""),44658.36157407407)</f>
        <v>44658.36157</v>
      </c>
      <c r="D5945" s="13">
        <f t="shared" si="1"/>
        <v>7</v>
      </c>
      <c r="E5945" s="13">
        <f t="shared" si="2"/>
        <v>8</v>
      </c>
    </row>
    <row r="5946">
      <c r="A5946" s="4" t="s">
        <v>6573</v>
      </c>
      <c r="B5946" s="16"/>
      <c r="C5946" s="12">
        <f>IFERROR(__xludf.DUMMYFUNCTION("""COMPUTED_VALUE"""),44658.360868055555)</f>
        <v>44658.36087</v>
      </c>
      <c r="D5946" s="13">
        <f t="shared" si="1"/>
        <v>7</v>
      </c>
      <c r="E5946" s="13">
        <f t="shared" si="2"/>
        <v>8</v>
      </c>
    </row>
    <row r="5947">
      <c r="A5947" s="4" t="s">
        <v>6574</v>
      </c>
      <c r="B5947" s="16"/>
      <c r="C5947" s="12">
        <f>IFERROR(__xludf.DUMMYFUNCTION("""COMPUTED_VALUE"""),44658.360254629624)</f>
        <v>44658.36025</v>
      </c>
      <c r="D5947" s="13">
        <f t="shared" si="1"/>
        <v>7</v>
      </c>
      <c r="E5947" s="13">
        <f t="shared" si="2"/>
        <v>8</v>
      </c>
    </row>
    <row r="5948">
      <c r="A5948" s="4" t="s">
        <v>6575</v>
      </c>
      <c r="B5948" s="16"/>
      <c r="C5948" s="12">
        <f>IFERROR(__xludf.DUMMYFUNCTION("""COMPUTED_VALUE"""),44658.360196759255)</f>
        <v>44658.3602</v>
      </c>
      <c r="D5948" s="13">
        <f t="shared" si="1"/>
        <v>7</v>
      </c>
      <c r="E5948" s="13">
        <f t="shared" si="2"/>
        <v>8</v>
      </c>
    </row>
    <row r="5949">
      <c r="A5949" s="4" t="s">
        <v>6576</v>
      </c>
      <c r="B5949" s="4" t="s">
        <v>6436</v>
      </c>
      <c r="C5949" s="12">
        <f>IFERROR(__xludf.DUMMYFUNCTION("""COMPUTED_VALUE"""),44658.35465277777)</f>
        <v>44658.35465</v>
      </c>
      <c r="D5949" s="13">
        <f t="shared" si="1"/>
        <v>7</v>
      </c>
      <c r="E5949" s="13">
        <f t="shared" si="2"/>
        <v>8</v>
      </c>
    </row>
    <row r="5950">
      <c r="A5950" s="4" t="s">
        <v>6577</v>
      </c>
      <c r="B5950" s="16"/>
      <c r="C5950" s="12">
        <f>IFERROR(__xludf.DUMMYFUNCTION("""COMPUTED_VALUE"""),44658.35427083333)</f>
        <v>44658.35427</v>
      </c>
      <c r="D5950" s="13">
        <f t="shared" si="1"/>
        <v>7</v>
      </c>
      <c r="E5950" s="13">
        <f t="shared" si="2"/>
        <v>8</v>
      </c>
    </row>
    <row r="5951">
      <c r="A5951" s="4" t="s">
        <v>6578</v>
      </c>
      <c r="B5951" s="16"/>
      <c r="C5951" s="12">
        <f>IFERROR(__xludf.DUMMYFUNCTION("""COMPUTED_VALUE"""),44658.35420138889)</f>
        <v>44658.3542</v>
      </c>
      <c r="D5951" s="13">
        <f t="shared" si="1"/>
        <v>7</v>
      </c>
      <c r="E5951" s="13">
        <f t="shared" si="2"/>
        <v>8</v>
      </c>
    </row>
    <row r="5952">
      <c r="A5952" s="4" t="s">
        <v>6579</v>
      </c>
      <c r="B5952" s="4" t="s">
        <v>6580</v>
      </c>
      <c r="C5952" s="12">
        <f>IFERROR(__xludf.DUMMYFUNCTION("""COMPUTED_VALUE"""),44658.352685185186)</f>
        <v>44658.35269</v>
      </c>
      <c r="D5952" s="13">
        <f t="shared" si="1"/>
        <v>7</v>
      </c>
      <c r="E5952" s="13">
        <f t="shared" si="2"/>
        <v>8</v>
      </c>
    </row>
    <row r="5953">
      <c r="A5953" s="4" t="s">
        <v>6581</v>
      </c>
      <c r="B5953" s="4" t="s">
        <v>6580</v>
      </c>
      <c r="C5953" s="12">
        <f>IFERROR(__xludf.DUMMYFUNCTION("""COMPUTED_VALUE"""),44658.35259259259)</f>
        <v>44658.35259</v>
      </c>
      <c r="D5953" s="13">
        <f t="shared" si="1"/>
        <v>7</v>
      </c>
      <c r="E5953" s="13">
        <f t="shared" si="2"/>
        <v>8</v>
      </c>
    </row>
    <row r="5954">
      <c r="A5954" s="4" t="s">
        <v>6582</v>
      </c>
      <c r="B5954" s="16"/>
      <c r="C5954" s="12">
        <f>IFERROR(__xludf.DUMMYFUNCTION("""COMPUTED_VALUE"""),44658.35210648148)</f>
        <v>44658.35211</v>
      </c>
      <c r="D5954" s="13">
        <f t="shared" si="1"/>
        <v>7</v>
      </c>
      <c r="E5954" s="13">
        <f t="shared" si="2"/>
        <v>8</v>
      </c>
    </row>
    <row r="5955">
      <c r="A5955" s="4" t="s">
        <v>6583</v>
      </c>
      <c r="B5955" s="16"/>
      <c r="C5955" s="12">
        <f>IFERROR(__xludf.DUMMYFUNCTION("""COMPUTED_VALUE"""),44658.35204861111)</f>
        <v>44658.35205</v>
      </c>
      <c r="D5955" s="13">
        <f t="shared" si="1"/>
        <v>7</v>
      </c>
      <c r="E5955" s="13">
        <f t="shared" si="2"/>
        <v>8</v>
      </c>
    </row>
    <row r="5956">
      <c r="A5956" s="4" t="s">
        <v>6584</v>
      </c>
      <c r="B5956" s="16"/>
      <c r="C5956" s="12">
        <f>IFERROR(__xludf.DUMMYFUNCTION("""COMPUTED_VALUE"""),44658.35197916666)</f>
        <v>44658.35198</v>
      </c>
      <c r="D5956" s="13">
        <f t="shared" si="1"/>
        <v>7</v>
      </c>
      <c r="E5956" s="13">
        <f t="shared" si="2"/>
        <v>8</v>
      </c>
    </row>
    <row r="5957">
      <c r="A5957" s="4" t="s">
        <v>6585</v>
      </c>
      <c r="B5957" s="16"/>
      <c r="C5957" s="12">
        <f>IFERROR(__xludf.DUMMYFUNCTION("""COMPUTED_VALUE"""),44658.351006944446)</f>
        <v>44658.35101</v>
      </c>
      <c r="D5957" s="13">
        <f t="shared" si="1"/>
        <v>7</v>
      </c>
      <c r="E5957" s="13">
        <f t="shared" si="2"/>
        <v>8</v>
      </c>
    </row>
    <row r="5958">
      <c r="A5958" s="4" t="s">
        <v>6586</v>
      </c>
      <c r="B5958" s="16"/>
      <c r="C5958" s="12">
        <f>IFERROR(__xludf.DUMMYFUNCTION("""COMPUTED_VALUE"""),44658.35042824074)</f>
        <v>44658.35043</v>
      </c>
      <c r="D5958" s="13">
        <f t="shared" si="1"/>
        <v>7</v>
      </c>
      <c r="E5958" s="13">
        <f t="shared" si="2"/>
        <v>8</v>
      </c>
    </row>
    <row r="5959">
      <c r="A5959" s="4" t="s">
        <v>6587</v>
      </c>
      <c r="B5959" s="16"/>
      <c r="C5959" s="12">
        <f>IFERROR(__xludf.DUMMYFUNCTION("""COMPUTED_VALUE"""),44658.350393518514)</f>
        <v>44658.35039</v>
      </c>
      <c r="D5959" s="13">
        <f t="shared" si="1"/>
        <v>7</v>
      </c>
      <c r="E5959" s="13">
        <f t="shared" si="2"/>
        <v>8</v>
      </c>
    </row>
    <row r="5960">
      <c r="A5960" s="4" t="s">
        <v>6588</v>
      </c>
      <c r="B5960" s="4" t="s">
        <v>6589</v>
      </c>
      <c r="C5960" s="12">
        <f>IFERROR(__xludf.DUMMYFUNCTION("""COMPUTED_VALUE"""),44658.32972222222)</f>
        <v>44658.32972</v>
      </c>
      <c r="D5960" s="13">
        <f t="shared" si="1"/>
        <v>7</v>
      </c>
      <c r="E5960" s="13">
        <f t="shared" si="2"/>
        <v>7</v>
      </c>
    </row>
    <row r="5961">
      <c r="A5961" s="4" t="s">
        <v>6590</v>
      </c>
      <c r="B5961" s="16"/>
      <c r="C5961" s="12">
        <f>IFERROR(__xludf.DUMMYFUNCTION("""COMPUTED_VALUE"""),44658.281122685185)</f>
        <v>44658.28112</v>
      </c>
      <c r="D5961" s="13">
        <f t="shared" si="1"/>
        <v>7</v>
      </c>
      <c r="E5961" s="13">
        <f t="shared" si="2"/>
        <v>6</v>
      </c>
    </row>
    <row r="5962">
      <c r="A5962" s="4" t="s">
        <v>6591</v>
      </c>
      <c r="B5962" s="16"/>
      <c r="C5962" s="12">
        <f>IFERROR(__xludf.DUMMYFUNCTION("""COMPUTED_VALUE"""),44658.2808912037)</f>
        <v>44658.28089</v>
      </c>
      <c r="D5962" s="13">
        <f t="shared" si="1"/>
        <v>7</v>
      </c>
      <c r="E5962" s="13">
        <f t="shared" si="2"/>
        <v>6</v>
      </c>
    </row>
    <row r="5963">
      <c r="A5963" s="4" t="s">
        <v>6592</v>
      </c>
      <c r="B5963" s="16"/>
      <c r="C5963" s="12">
        <f>IFERROR(__xludf.DUMMYFUNCTION("""COMPUTED_VALUE"""),44658.28065972222)</f>
        <v>44658.28066</v>
      </c>
      <c r="D5963" s="13">
        <f t="shared" si="1"/>
        <v>7</v>
      </c>
      <c r="E5963" s="13">
        <f t="shared" si="2"/>
        <v>6</v>
      </c>
    </row>
    <row r="5964">
      <c r="A5964" s="4" t="s">
        <v>6593</v>
      </c>
      <c r="B5964" s="16"/>
      <c r="C5964" s="12">
        <f>IFERROR(__xludf.DUMMYFUNCTION("""COMPUTED_VALUE"""),44658.28042824074)</f>
        <v>44658.28043</v>
      </c>
      <c r="D5964" s="13">
        <f t="shared" si="1"/>
        <v>7</v>
      </c>
      <c r="E5964" s="13">
        <f t="shared" si="2"/>
        <v>6</v>
      </c>
    </row>
    <row r="5965">
      <c r="A5965" s="4" t="s">
        <v>6594</v>
      </c>
      <c r="B5965" s="16"/>
      <c r="C5965" s="12">
        <f>IFERROR(__xludf.DUMMYFUNCTION("""COMPUTED_VALUE"""),44658.28019675926)</f>
        <v>44658.2802</v>
      </c>
      <c r="D5965" s="13">
        <f t="shared" si="1"/>
        <v>7</v>
      </c>
      <c r="E5965" s="13">
        <f t="shared" si="2"/>
        <v>6</v>
      </c>
    </row>
    <row r="5966">
      <c r="A5966" s="4" t="s">
        <v>6595</v>
      </c>
      <c r="B5966" s="16"/>
      <c r="C5966" s="12">
        <f>IFERROR(__xludf.DUMMYFUNCTION("""COMPUTED_VALUE"""),44658.279965277776)</f>
        <v>44658.27997</v>
      </c>
      <c r="D5966" s="13">
        <f t="shared" si="1"/>
        <v>7</v>
      </c>
      <c r="E5966" s="13">
        <f t="shared" si="2"/>
        <v>6</v>
      </c>
    </row>
    <row r="5967">
      <c r="A5967" s="4" t="s">
        <v>6596</v>
      </c>
      <c r="B5967" s="16"/>
      <c r="C5967" s="12">
        <f>IFERROR(__xludf.DUMMYFUNCTION("""COMPUTED_VALUE"""),44658.27973379629)</f>
        <v>44658.27973</v>
      </c>
      <c r="D5967" s="13">
        <f t="shared" si="1"/>
        <v>7</v>
      </c>
      <c r="E5967" s="13">
        <f t="shared" si="2"/>
        <v>6</v>
      </c>
    </row>
    <row r="5968">
      <c r="A5968" s="4" t="s">
        <v>6597</v>
      </c>
      <c r="B5968" s="16"/>
      <c r="C5968" s="12">
        <f>IFERROR(__xludf.DUMMYFUNCTION("""COMPUTED_VALUE"""),44658.27951388888)</f>
        <v>44658.27951</v>
      </c>
      <c r="D5968" s="13">
        <f t="shared" si="1"/>
        <v>7</v>
      </c>
      <c r="E5968" s="13">
        <f t="shared" si="2"/>
        <v>6</v>
      </c>
    </row>
    <row r="5969">
      <c r="A5969" s="4" t="s">
        <v>6598</v>
      </c>
      <c r="B5969" s="16"/>
      <c r="C5969" s="12">
        <f>IFERROR(__xludf.DUMMYFUNCTION("""COMPUTED_VALUE"""),44658.27927083333)</f>
        <v>44658.27927</v>
      </c>
      <c r="D5969" s="13">
        <f t="shared" si="1"/>
        <v>7</v>
      </c>
      <c r="E5969" s="13">
        <f t="shared" si="2"/>
        <v>6</v>
      </c>
    </row>
    <row r="5970">
      <c r="A5970" s="4" t="s">
        <v>6599</v>
      </c>
      <c r="B5970" s="16"/>
      <c r="C5970" s="12">
        <f>IFERROR(__xludf.DUMMYFUNCTION("""COMPUTED_VALUE"""),44658.27903935185)</f>
        <v>44658.27904</v>
      </c>
      <c r="D5970" s="13">
        <f t="shared" si="1"/>
        <v>7</v>
      </c>
      <c r="E5970" s="13">
        <f t="shared" si="2"/>
        <v>6</v>
      </c>
    </row>
    <row r="5971">
      <c r="A5971" s="4" t="s">
        <v>6600</v>
      </c>
      <c r="B5971" s="16"/>
      <c r="C5971" s="12">
        <f>IFERROR(__xludf.DUMMYFUNCTION("""COMPUTED_VALUE"""),44658.27880787037)</f>
        <v>44658.27881</v>
      </c>
      <c r="D5971" s="13">
        <f t="shared" si="1"/>
        <v>7</v>
      </c>
      <c r="E5971" s="13">
        <f t="shared" si="2"/>
        <v>6</v>
      </c>
    </row>
    <row r="5972">
      <c r="A5972" s="4" t="s">
        <v>6601</v>
      </c>
      <c r="B5972" s="16"/>
      <c r="C5972" s="12">
        <f>IFERROR(__xludf.DUMMYFUNCTION("""COMPUTED_VALUE"""),44658.27857638889)</f>
        <v>44658.27858</v>
      </c>
      <c r="D5972" s="13">
        <f t="shared" si="1"/>
        <v>7</v>
      </c>
      <c r="E5972" s="13">
        <f t="shared" si="2"/>
        <v>6</v>
      </c>
    </row>
    <row r="5973">
      <c r="A5973" s="4" t="s">
        <v>6602</v>
      </c>
      <c r="B5973" s="16"/>
      <c r="C5973" s="12">
        <f>IFERROR(__xludf.DUMMYFUNCTION("""COMPUTED_VALUE"""),44658.278229166666)</f>
        <v>44658.27823</v>
      </c>
      <c r="D5973" s="13">
        <f t="shared" si="1"/>
        <v>7</v>
      </c>
      <c r="E5973" s="13">
        <f t="shared" si="2"/>
        <v>6</v>
      </c>
    </row>
    <row r="5974">
      <c r="A5974" s="4" t="s">
        <v>6603</v>
      </c>
      <c r="B5974" s="16"/>
      <c r="C5974" s="12">
        <f>IFERROR(__xludf.DUMMYFUNCTION("""COMPUTED_VALUE"""),44658.27799768518)</f>
        <v>44658.278</v>
      </c>
      <c r="D5974" s="13">
        <f t="shared" si="1"/>
        <v>7</v>
      </c>
      <c r="E5974" s="13">
        <f t="shared" si="2"/>
        <v>6</v>
      </c>
    </row>
    <row r="5975">
      <c r="A5975" s="4" t="s">
        <v>6604</v>
      </c>
      <c r="B5975" s="16"/>
      <c r="C5975" s="12">
        <f>IFERROR(__xludf.DUMMYFUNCTION("""COMPUTED_VALUE"""),44658.277766203704)</f>
        <v>44658.27777</v>
      </c>
      <c r="D5975" s="13">
        <f t="shared" si="1"/>
        <v>7</v>
      </c>
      <c r="E5975" s="13">
        <f t="shared" si="2"/>
        <v>6</v>
      </c>
    </row>
    <row r="5976">
      <c r="A5976" s="4" t="s">
        <v>6605</v>
      </c>
      <c r="B5976" s="16"/>
      <c r="C5976" s="12">
        <f>IFERROR(__xludf.DUMMYFUNCTION("""COMPUTED_VALUE"""),44658.277546296296)</f>
        <v>44658.27755</v>
      </c>
      <c r="D5976" s="13">
        <f t="shared" si="1"/>
        <v>7</v>
      </c>
      <c r="E5976" s="13">
        <f t="shared" si="2"/>
        <v>6</v>
      </c>
    </row>
    <row r="5977">
      <c r="A5977" s="4" t="s">
        <v>6606</v>
      </c>
      <c r="B5977" s="16"/>
      <c r="C5977" s="12">
        <f>IFERROR(__xludf.DUMMYFUNCTION("""COMPUTED_VALUE"""),44658.277303240735)</f>
        <v>44658.2773</v>
      </c>
      <c r="D5977" s="13">
        <f t="shared" si="1"/>
        <v>7</v>
      </c>
      <c r="E5977" s="13">
        <f t="shared" si="2"/>
        <v>6</v>
      </c>
    </row>
    <row r="5978">
      <c r="A5978" s="4" t="s">
        <v>6607</v>
      </c>
      <c r="B5978" s="16"/>
      <c r="C5978" s="12">
        <f>IFERROR(__xludf.DUMMYFUNCTION("""COMPUTED_VALUE"""),44658.27707175926)</f>
        <v>44658.27707</v>
      </c>
      <c r="D5978" s="13">
        <f t="shared" si="1"/>
        <v>7</v>
      </c>
      <c r="E5978" s="13">
        <f t="shared" si="2"/>
        <v>6</v>
      </c>
    </row>
    <row r="5979">
      <c r="A5979" s="4" t="s">
        <v>6608</v>
      </c>
      <c r="B5979" s="16"/>
      <c r="C5979" s="12">
        <f>IFERROR(__xludf.DUMMYFUNCTION("""COMPUTED_VALUE"""),44658.27684027777)</f>
        <v>44658.27684</v>
      </c>
      <c r="D5979" s="13">
        <f t="shared" si="1"/>
        <v>7</v>
      </c>
      <c r="E5979" s="13">
        <f t="shared" si="2"/>
        <v>6</v>
      </c>
    </row>
    <row r="5980">
      <c r="A5980" s="4" t="s">
        <v>6609</v>
      </c>
      <c r="B5980" s="16"/>
      <c r="C5980" s="12">
        <f>IFERROR(__xludf.DUMMYFUNCTION("""COMPUTED_VALUE"""),44658.276608796295)</f>
        <v>44658.27661</v>
      </c>
      <c r="D5980" s="13">
        <f t="shared" si="1"/>
        <v>7</v>
      </c>
      <c r="E5980" s="13">
        <f t="shared" si="2"/>
        <v>6</v>
      </c>
    </row>
    <row r="5981">
      <c r="A5981" s="4" t="s">
        <v>6610</v>
      </c>
      <c r="B5981" s="16"/>
      <c r="C5981" s="12">
        <f>IFERROR(__xludf.DUMMYFUNCTION("""COMPUTED_VALUE"""),44658.27626157407)</f>
        <v>44658.27626</v>
      </c>
      <c r="D5981" s="13">
        <f t="shared" si="1"/>
        <v>7</v>
      </c>
      <c r="E5981" s="13">
        <f t="shared" si="2"/>
        <v>6</v>
      </c>
    </row>
    <row r="5982">
      <c r="A5982" s="4" t="s">
        <v>6611</v>
      </c>
      <c r="B5982" s="16"/>
      <c r="C5982" s="12">
        <f>IFERROR(__xludf.DUMMYFUNCTION("""COMPUTED_VALUE"""),44658.27603009259)</f>
        <v>44658.27603</v>
      </c>
      <c r="D5982" s="13">
        <f t="shared" si="1"/>
        <v>7</v>
      </c>
      <c r="E5982" s="13">
        <f t="shared" si="2"/>
        <v>6</v>
      </c>
    </row>
    <row r="5983">
      <c r="A5983" s="4" t="s">
        <v>6612</v>
      </c>
      <c r="B5983" s="16"/>
      <c r="C5983" s="12">
        <f>IFERROR(__xludf.DUMMYFUNCTION("""COMPUTED_VALUE"""),44658.27579861111)</f>
        <v>44658.2758</v>
      </c>
      <c r="D5983" s="13">
        <f t="shared" si="1"/>
        <v>7</v>
      </c>
      <c r="E5983" s="13">
        <f t="shared" si="2"/>
        <v>6</v>
      </c>
    </row>
    <row r="5984">
      <c r="A5984" s="4" t="s">
        <v>6613</v>
      </c>
      <c r="B5984" s="16"/>
      <c r="C5984" s="12">
        <f>IFERROR(__xludf.DUMMYFUNCTION("""COMPUTED_VALUE"""),44658.275567129625)</f>
        <v>44658.27557</v>
      </c>
      <c r="D5984" s="13">
        <f t="shared" si="1"/>
        <v>7</v>
      </c>
      <c r="E5984" s="13">
        <f t="shared" si="2"/>
        <v>6</v>
      </c>
    </row>
    <row r="5985">
      <c r="A5985" s="4" t="s">
        <v>6614</v>
      </c>
      <c r="B5985" s="16"/>
      <c r="C5985" s="12">
        <f>IFERROR(__xludf.DUMMYFUNCTION("""COMPUTED_VALUE"""),44658.27533564815)</f>
        <v>44658.27534</v>
      </c>
      <c r="D5985" s="13">
        <f t="shared" si="1"/>
        <v>7</v>
      </c>
      <c r="E5985" s="13">
        <f t="shared" si="2"/>
        <v>6</v>
      </c>
    </row>
    <row r="5986">
      <c r="A5986" s="4" t="s">
        <v>6615</v>
      </c>
      <c r="B5986" s="16"/>
      <c r="C5986" s="12">
        <f>IFERROR(__xludf.DUMMYFUNCTION("""COMPUTED_VALUE"""),44658.27510416666)</f>
        <v>44658.2751</v>
      </c>
      <c r="D5986" s="13">
        <f t="shared" si="1"/>
        <v>7</v>
      </c>
      <c r="E5986" s="13">
        <f t="shared" si="2"/>
        <v>6</v>
      </c>
    </row>
    <row r="5987">
      <c r="A5987" s="4" t="s">
        <v>6616</v>
      </c>
      <c r="B5987" s="16"/>
      <c r="C5987" s="12">
        <f>IFERROR(__xludf.DUMMYFUNCTION("""COMPUTED_VALUE"""),44658.274872685186)</f>
        <v>44658.27487</v>
      </c>
      <c r="D5987" s="13">
        <f t="shared" si="1"/>
        <v>7</v>
      </c>
      <c r="E5987" s="13">
        <f t="shared" si="2"/>
        <v>6</v>
      </c>
    </row>
    <row r="5988">
      <c r="A5988" s="4" t="s">
        <v>6617</v>
      </c>
      <c r="B5988" s="16"/>
      <c r="C5988" s="12">
        <f>IFERROR(__xludf.DUMMYFUNCTION("""COMPUTED_VALUE"""),44658.2746412037)</f>
        <v>44658.27464</v>
      </c>
      <c r="D5988" s="13">
        <f t="shared" si="1"/>
        <v>7</v>
      </c>
      <c r="E5988" s="13">
        <f t="shared" si="2"/>
        <v>6</v>
      </c>
    </row>
    <row r="5989">
      <c r="A5989" s="4" t="s">
        <v>6618</v>
      </c>
      <c r="B5989" s="16"/>
      <c r="C5989" s="12">
        <f>IFERROR(__xludf.DUMMYFUNCTION("""COMPUTED_VALUE"""),44658.27440972222)</f>
        <v>44658.27441</v>
      </c>
      <c r="D5989" s="13">
        <f t="shared" si="1"/>
        <v>7</v>
      </c>
      <c r="E5989" s="13">
        <f t="shared" si="2"/>
        <v>6</v>
      </c>
    </row>
    <row r="5990">
      <c r="A5990" s="4" t="s">
        <v>6619</v>
      </c>
      <c r="B5990" s="16"/>
      <c r="C5990" s="12">
        <f>IFERROR(__xludf.DUMMYFUNCTION("""COMPUTED_VALUE"""),44658.27371527778)</f>
        <v>44658.27372</v>
      </c>
      <c r="D5990" s="13">
        <f t="shared" si="1"/>
        <v>7</v>
      </c>
      <c r="E5990" s="13">
        <f t="shared" si="2"/>
        <v>6</v>
      </c>
    </row>
    <row r="5991">
      <c r="A5991" s="4" t="s">
        <v>6620</v>
      </c>
      <c r="B5991" s="16"/>
      <c r="C5991" s="12">
        <f>IFERROR(__xludf.DUMMYFUNCTION("""COMPUTED_VALUE"""),44658.27348379629)</f>
        <v>44658.27348</v>
      </c>
      <c r="D5991" s="13">
        <f t="shared" si="1"/>
        <v>7</v>
      </c>
      <c r="E5991" s="13">
        <f t="shared" si="2"/>
        <v>6</v>
      </c>
    </row>
    <row r="5992">
      <c r="A5992" s="4" t="s">
        <v>6621</v>
      </c>
      <c r="B5992" s="16"/>
      <c r="C5992" s="12">
        <f>IFERROR(__xludf.DUMMYFUNCTION("""COMPUTED_VALUE"""),44658.273252314815)</f>
        <v>44658.27325</v>
      </c>
      <c r="D5992" s="13">
        <f t="shared" si="1"/>
        <v>7</v>
      </c>
      <c r="E5992" s="13">
        <f t="shared" si="2"/>
        <v>6</v>
      </c>
    </row>
    <row r="5993">
      <c r="A5993" s="4" t="s">
        <v>6622</v>
      </c>
      <c r="B5993" s="16"/>
      <c r="C5993" s="12">
        <f>IFERROR(__xludf.DUMMYFUNCTION("""COMPUTED_VALUE"""),44658.27302083333)</f>
        <v>44658.27302</v>
      </c>
      <c r="D5993" s="13">
        <f t="shared" si="1"/>
        <v>7</v>
      </c>
      <c r="E5993" s="13">
        <f t="shared" si="2"/>
        <v>6</v>
      </c>
    </row>
    <row r="5994">
      <c r="A5994" s="4" t="s">
        <v>6623</v>
      </c>
      <c r="B5994" s="16"/>
      <c r="C5994" s="12">
        <f>IFERROR(__xludf.DUMMYFUNCTION("""COMPUTED_VALUE"""),44658.272789351846)</f>
        <v>44658.27279</v>
      </c>
      <c r="D5994" s="13">
        <f t="shared" si="1"/>
        <v>7</v>
      </c>
      <c r="E5994" s="13">
        <f t="shared" si="2"/>
        <v>6</v>
      </c>
    </row>
    <row r="5995">
      <c r="A5995" s="4" t="s">
        <v>6624</v>
      </c>
      <c r="B5995" s="16"/>
      <c r="C5995" s="12">
        <f>IFERROR(__xludf.DUMMYFUNCTION("""COMPUTED_VALUE"""),44658.27255787037)</f>
        <v>44658.27256</v>
      </c>
      <c r="D5995" s="13">
        <f t="shared" si="1"/>
        <v>7</v>
      </c>
      <c r="E5995" s="13">
        <f t="shared" si="2"/>
        <v>6</v>
      </c>
    </row>
    <row r="5996">
      <c r="A5996" s="4" t="s">
        <v>6625</v>
      </c>
      <c r="B5996" s="16"/>
      <c r="C5996" s="12">
        <f>IFERROR(__xludf.DUMMYFUNCTION("""COMPUTED_VALUE"""),44658.272326388884)</f>
        <v>44658.27233</v>
      </c>
      <c r="D5996" s="13">
        <f t="shared" si="1"/>
        <v>7</v>
      </c>
      <c r="E5996" s="13">
        <f t="shared" si="2"/>
        <v>6</v>
      </c>
    </row>
    <row r="5997">
      <c r="A5997" s="4" t="s">
        <v>6626</v>
      </c>
      <c r="B5997" s="16"/>
      <c r="C5997" s="12">
        <f>IFERROR(__xludf.DUMMYFUNCTION("""COMPUTED_VALUE"""),44658.27209490741)</f>
        <v>44658.27209</v>
      </c>
      <c r="D5997" s="13">
        <f t="shared" si="1"/>
        <v>7</v>
      </c>
      <c r="E5997" s="13">
        <f t="shared" si="2"/>
        <v>6</v>
      </c>
    </row>
    <row r="5998">
      <c r="A5998" s="4" t="s">
        <v>6627</v>
      </c>
      <c r="B5998" s="16"/>
      <c r="C5998" s="12">
        <f>IFERROR(__xludf.DUMMYFUNCTION("""COMPUTED_VALUE"""),44658.27186342592)</f>
        <v>44658.27186</v>
      </c>
      <c r="D5998" s="13">
        <f t="shared" si="1"/>
        <v>7</v>
      </c>
      <c r="E5998" s="13">
        <f t="shared" si="2"/>
        <v>6</v>
      </c>
    </row>
    <row r="5999">
      <c r="A5999" s="4" t="s">
        <v>6628</v>
      </c>
      <c r="B5999" s="16"/>
      <c r="C5999" s="12">
        <f>IFERROR(__xludf.DUMMYFUNCTION("""COMPUTED_VALUE"""),44658.271631944444)</f>
        <v>44658.27163</v>
      </c>
      <c r="D5999" s="13">
        <f t="shared" si="1"/>
        <v>7</v>
      </c>
      <c r="E5999" s="13">
        <f t="shared" si="2"/>
        <v>6</v>
      </c>
    </row>
    <row r="6000">
      <c r="A6000" s="4" t="s">
        <v>6629</v>
      </c>
      <c r="B6000" s="16"/>
      <c r="C6000" s="12">
        <f>IFERROR(__xludf.DUMMYFUNCTION("""COMPUTED_VALUE"""),44658.27141203704)</f>
        <v>44658.27141</v>
      </c>
      <c r="D6000" s="13">
        <f t="shared" si="1"/>
        <v>7</v>
      </c>
      <c r="E6000" s="13">
        <f t="shared" si="2"/>
        <v>6</v>
      </c>
    </row>
    <row r="6001">
      <c r="A6001" s="4" t="s">
        <v>6630</v>
      </c>
      <c r="B6001" s="16"/>
      <c r="C6001" s="12">
        <f>IFERROR(__xludf.DUMMYFUNCTION("""COMPUTED_VALUE"""),44658.27118055555)</f>
        <v>44658.27118</v>
      </c>
      <c r="D6001" s="13">
        <f t="shared" si="1"/>
        <v>7</v>
      </c>
      <c r="E6001" s="13">
        <f t="shared" si="2"/>
        <v>6</v>
      </c>
    </row>
    <row r="6002">
      <c r="A6002" s="4" t="s">
        <v>6631</v>
      </c>
      <c r="B6002" s="16"/>
      <c r="C6002" s="12">
        <f>IFERROR(__xludf.DUMMYFUNCTION("""COMPUTED_VALUE"""),44658.27097222222)</f>
        <v>44658.27097</v>
      </c>
      <c r="D6002" s="13">
        <f t="shared" si="1"/>
        <v>7</v>
      </c>
      <c r="E6002" s="13">
        <f t="shared" si="2"/>
        <v>6</v>
      </c>
    </row>
    <row r="6003">
      <c r="A6003" s="4" t="s">
        <v>6632</v>
      </c>
      <c r="B6003" s="16"/>
      <c r="C6003" s="12">
        <f>IFERROR(__xludf.DUMMYFUNCTION("""COMPUTED_VALUE"""),44658.27071759259)</f>
        <v>44658.27072</v>
      </c>
      <c r="D6003" s="13">
        <f t="shared" si="1"/>
        <v>7</v>
      </c>
      <c r="E6003" s="13">
        <f t="shared" si="2"/>
        <v>6</v>
      </c>
    </row>
    <row r="6004">
      <c r="A6004" s="4" t="s">
        <v>6633</v>
      </c>
      <c r="B6004" s="16"/>
      <c r="C6004" s="12">
        <f>IFERROR(__xludf.DUMMYFUNCTION("""COMPUTED_VALUE"""),44658.27055555555)</f>
        <v>44658.27056</v>
      </c>
      <c r="D6004" s="13">
        <f t="shared" si="1"/>
        <v>7</v>
      </c>
      <c r="E6004" s="13">
        <f t="shared" si="2"/>
        <v>6</v>
      </c>
    </row>
    <row r="6005">
      <c r="A6005" s="4" t="s">
        <v>6634</v>
      </c>
      <c r="B6005" s="16"/>
      <c r="C6005" s="12">
        <f>IFERROR(__xludf.DUMMYFUNCTION("""COMPUTED_VALUE"""),44658.27040509259)</f>
        <v>44658.27041</v>
      </c>
      <c r="D6005" s="13">
        <f t="shared" si="1"/>
        <v>7</v>
      </c>
      <c r="E6005" s="13">
        <f t="shared" si="2"/>
        <v>6</v>
      </c>
    </row>
    <row r="6006">
      <c r="A6006" s="4" t="s">
        <v>6635</v>
      </c>
      <c r="B6006" s="16"/>
      <c r="C6006" s="12">
        <f>IFERROR(__xludf.DUMMYFUNCTION("""COMPUTED_VALUE"""),44658.270162037035)</f>
        <v>44658.27016</v>
      </c>
      <c r="D6006" s="13">
        <f t="shared" si="1"/>
        <v>7</v>
      </c>
      <c r="E6006" s="13">
        <f t="shared" si="2"/>
        <v>6</v>
      </c>
    </row>
    <row r="6007">
      <c r="A6007" s="4" t="s">
        <v>6636</v>
      </c>
      <c r="B6007" s="16"/>
      <c r="C6007" s="12">
        <f>IFERROR(__xludf.DUMMYFUNCTION("""COMPUTED_VALUE"""),44658.26988425926)</f>
        <v>44658.26988</v>
      </c>
      <c r="D6007" s="13">
        <f t="shared" si="1"/>
        <v>7</v>
      </c>
      <c r="E6007" s="13">
        <f t="shared" si="2"/>
        <v>6</v>
      </c>
    </row>
    <row r="6008">
      <c r="A6008" s="4" t="s">
        <v>6637</v>
      </c>
      <c r="B6008" s="16"/>
      <c r="C6008" s="12">
        <f>IFERROR(__xludf.DUMMYFUNCTION("""COMPUTED_VALUE"""),44658.26986111111)</f>
        <v>44658.26986</v>
      </c>
      <c r="D6008" s="13">
        <f t="shared" si="1"/>
        <v>7</v>
      </c>
      <c r="E6008" s="13">
        <f t="shared" si="2"/>
        <v>6</v>
      </c>
    </row>
    <row r="6009">
      <c r="A6009" s="4" t="s">
        <v>6638</v>
      </c>
      <c r="B6009" s="16"/>
      <c r="C6009" s="12">
        <f>IFERROR(__xludf.DUMMYFUNCTION("""COMPUTED_VALUE"""),44658.26982638889)</f>
        <v>44658.26983</v>
      </c>
      <c r="D6009" s="13">
        <f t="shared" si="1"/>
        <v>7</v>
      </c>
      <c r="E6009" s="13">
        <f t="shared" si="2"/>
        <v>6</v>
      </c>
    </row>
    <row r="6010">
      <c r="A6010" s="4" t="s">
        <v>6639</v>
      </c>
      <c r="B6010" s="16"/>
      <c r="C6010" s="12">
        <f>IFERROR(__xludf.DUMMYFUNCTION("""COMPUTED_VALUE"""),44658.269803240735)</f>
        <v>44658.2698</v>
      </c>
      <c r="D6010" s="13">
        <f t="shared" si="1"/>
        <v>7</v>
      </c>
      <c r="E6010" s="13">
        <f t="shared" si="2"/>
        <v>6</v>
      </c>
    </row>
    <row r="6011">
      <c r="A6011" s="4" t="s">
        <v>6640</v>
      </c>
      <c r="B6011" s="16"/>
      <c r="C6011" s="12">
        <f>IFERROR(__xludf.DUMMYFUNCTION("""COMPUTED_VALUE"""),44658.26978009259)</f>
        <v>44658.26978</v>
      </c>
      <c r="D6011" s="13">
        <f t="shared" si="1"/>
        <v>7</v>
      </c>
      <c r="E6011" s="13">
        <f t="shared" si="2"/>
        <v>6</v>
      </c>
    </row>
    <row r="6012">
      <c r="A6012" s="4" t="s">
        <v>6641</v>
      </c>
      <c r="B6012" s="16"/>
      <c r="C6012" s="12">
        <f>IFERROR(__xludf.DUMMYFUNCTION("""COMPUTED_VALUE"""),44658.269733796296)</f>
        <v>44658.26973</v>
      </c>
      <c r="D6012" s="13">
        <f t="shared" si="1"/>
        <v>7</v>
      </c>
      <c r="E6012" s="13">
        <f t="shared" si="2"/>
        <v>6</v>
      </c>
    </row>
    <row r="6013">
      <c r="A6013" s="4" t="s">
        <v>6642</v>
      </c>
      <c r="B6013" s="16"/>
      <c r="C6013" s="12">
        <f>IFERROR(__xludf.DUMMYFUNCTION("""COMPUTED_VALUE"""),44658.26969907407)</f>
        <v>44658.2697</v>
      </c>
      <c r="D6013" s="13">
        <f t="shared" si="1"/>
        <v>7</v>
      </c>
      <c r="E6013" s="13">
        <f t="shared" si="2"/>
        <v>6</v>
      </c>
    </row>
    <row r="6014">
      <c r="A6014" s="4" t="s">
        <v>6643</v>
      </c>
      <c r="B6014" s="16"/>
      <c r="C6014" s="12">
        <f>IFERROR(__xludf.DUMMYFUNCTION("""COMPUTED_VALUE"""),44658.26966435185)</f>
        <v>44658.26966</v>
      </c>
      <c r="D6014" s="13">
        <f t="shared" si="1"/>
        <v>7</v>
      </c>
      <c r="E6014" s="13">
        <f t="shared" si="2"/>
        <v>6</v>
      </c>
    </row>
    <row r="6015">
      <c r="A6015" s="4" t="s">
        <v>6644</v>
      </c>
      <c r="B6015" s="16"/>
      <c r="C6015" s="12">
        <f>IFERROR(__xludf.DUMMYFUNCTION("""COMPUTED_VALUE"""),44658.269594907404)</f>
        <v>44658.26959</v>
      </c>
      <c r="D6015" s="13">
        <f t="shared" si="1"/>
        <v>7</v>
      </c>
      <c r="E6015" s="13">
        <f t="shared" si="2"/>
        <v>6</v>
      </c>
    </row>
    <row r="6016">
      <c r="A6016" s="4" t="s">
        <v>6645</v>
      </c>
      <c r="B6016" s="16"/>
      <c r="C6016" s="12">
        <f>IFERROR(__xludf.DUMMYFUNCTION("""COMPUTED_VALUE"""),44658.26956018518)</f>
        <v>44658.26956</v>
      </c>
      <c r="D6016" s="13">
        <f t="shared" si="1"/>
        <v>7</v>
      </c>
      <c r="E6016" s="13">
        <f t="shared" si="2"/>
        <v>6</v>
      </c>
    </row>
    <row r="6017">
      <c r="A6017" s="4" t="s">
        <v>6646</v>
      </c>
      <c r="B6017" s="16"/>
      <c r="C6017" s="12">
        <f>IFERROR(__xludf.DUMMYFUNCTION("""COMPUTED_VALUE"""),44658.269537037035)</f>
        <v>44658.26954</v>
      </c>
      <c r="D6017" s="13">
        <f t="shared" si="1"/>
        <v>7</v>
      </c>
      <c r="E6017" s="13">
        <f t="shared" si="2"/>
        <v>6</v>
      </c>
    </row>
    <row r="6018">
      <c r="A6018" s="4" t="s">
        <v>6647</v>
      </c>
      <c r="B6018" s="16"/>
      <c r="C6018" s="12">
        <f>IFERROR(__xludf.DUMMYFUNCTION("""COMPUTED_VALUE"""),44658.26950231481)</f>
        <v>44658.2695</v>
      </c>
      <c r="D6018" s="13">
        <f t="shared" si="1"/>
        <v>7</v>
      </c>
      <c r="E6018" s="13">
        <f t="shared" si="2"/>
        <v>6</v>
      </c>
    </row>
    <row r="6019">
      <c r="A6019" s="4" t="s">
        <v>6648</v>
      </c>
      <c r="B6019" s="16"/>
      <c r="C6019" s="12">
        <f>IFERROR(__xludf.DUMMYFUNCTION("""COMPUTED_VALUE"""),44658.269479166665)</f>
        <v>44658.26948</v>
      </c>
      <c r="D6019" s="13">
        <f t="shared" si="1"/>
        <v>7</v>
      </c>
      <c r="E6019" s="13">
        <f t="shared" si="2"/>
        <v>6</v>
      </c>
    </row>
    <row r="6020">
      <c r="A6020" s="4" t="s">
        <v>6649</v>
      </c>
      <c r="B6020" s="16"/>
      <c r="C6020" s="12">
        <f>IFERROR(__xludf.DUMMYFUNCTION("""COMPUTED_VALUE"""),44658.26944444444)</f>
        <v>44658.26944</v>
      </c>
      <c r="D6020" s="13">
        <f t="shared" si="1"/>
        <v>7</v>
      </c>
      <c r="E6020" s="13">
        <f t="shared" si="2"/>
        <v>6</v>
      </c>
    </row>
    <row r="6021">
      <c r="A6021" s="4" t="s">
        <v>6650</v>
      </c>
      <c r="B6021" s="16"/>
      <c r="C6021" s="12">
        <f>IFERROR(__xludf.DUMMYFUNCTION("""COMPUTED_VALUE"""),44658.269421296296)</f>
        <v>44658.26942</v>
      </c>
      <c r="D6021" s="13">
        <f t="shared" si="1"/>
        <v>7</v>
      </c>
      <c r="E6021" s="13">
        <f t="shared" si="2"/>
        <v>6</v>
      </c>
    </row>
    <row r="6022">
      <c r="A6022" s="4" t="s">
        <v>6651</v>
      </c>
      <c r="B6022" s="16"/>
      <c r="C6022" s="12">
        <f>IFERROR(__xludf.DUMMYFUNCTION("""COMPUTED_VALUE"""),44658.26939814814)</f>
        <v>44658.2694</v>
      </c>
      <c r="D6022" s="13">
        <f t="shared" si="1"/>
        <v>7</v>
      </c>
      <c r="E6022" s="13">
        <f t="shared" si="2"/>
        <v>6</v>
      </c>
    </row>
    <row r="6023">
      <c r="A6023" s="4" t="s">
        <v>6652</v>
      </c>
      <c r="B6023" s="16"/>
      <c r="C6023" s="12">
        <f>IFERROR(__xludf.DUMMYFUNCTION("""COMPUTED_VALUE"""),44658.26936342593)</f>
        <v>44658.26936</v>
      </c>
      <c r="D6023" s="13">
        <f t="shared" si="1"/>
        <v>7</v>
      </c>
      <c r="E6023" s="13">
        <f t="shared" si="2"/>
        <v>6</v>
      </c>
    </row>
    <row r="6024">
      <c r="A6024" s="4" t="s">
        <v>6653</v>
      </c>
      <c r="B6024" s="16"/>
      <c r="C6024" s="12">
        <f>IFERROR(__xludf.DUMMYFUNCTION("""COMPUTED_VALUE"""),44658.269328703704)</f>
        <v>44658.26933</v>
      </c>
      <c r="D6024" s="13">
        <f t="shared" si="1"/>
        <v>7</v>
      </c>
      <c r="E6024" s="13">
        <f t="shared" si="2"/>
        <v>6</v>
      </c>
    </row>
    <row r="6025">
      <c r="A6025" s="4" t="s">
        <v>6654</v>
      </c>
      <c r="B6025" s="16"/>
      <c r="C6025" s="12">
        <f>IFERROR(__xludf.DUMMYFUNCTION("""COMPUTED_VALUE"""),44658.269282407404)</f>
        <v>44658.26928</v>
      </c>
      <c r="D6025" s="13">
        <f t="shared" si="1"/>
        <v>7</v>
      </c>
      <c r="E6025" s="13">
        <f t="shared" si="2"/>
        <v>6</v>
      </c>
    </row>
    <row r="6026">
      <c r="A6026" s="4" t="s">
        <v>6655</v>
      </c>
      <c r="B6026" s="16"/>
      <c r="C6026" s="12">
        <f>IFERROR(__xludf.DUMMYFUNCTION("""COMPUTED_VALUE"""),44658.26921296296)</f>
        <v>44658.26921</v>
      </c>
      <c r="D6026" s="13">
        <f t="shared" si="1"/>
        <v>7</v>
      </c>
      <c r="E6026" s="13">
        <f t="shared" si="2"/>
        <v>6</v>
      </c>
    </row>
    <row r="6027">
      <c r="A6027" s="4" t="s">
        <v>6656</v>
      </c>
      <c r="B6027" s="4" t="s">
        <v>6657</v>
      </c>
      <c r="C6027" s="12">
        <f>IFERROR(__xludf.DUMMYFUNCTION("""COMPUTED_VALUE"""),44658.26096064815)</f>
        <v>44658.26096</v>
      </c>
      <c r="D6027" s="13">
        <f t="shared" si="1"/>
        <v>7</v>
      </c>
      <c r="E6027" s="13">
        <f t="shared" si="2"/>
        <v>6</v>
      </c>
    </row>
    <row r="6028">
      <c r="A6028" s="4" t="s">
        <v>6658</v>
      </c>
      <c r="B6028" s="16"/>
      <c r="C6028" s="12">
        <f>IFERROR(__xludf.DUMMYFUNCTION("""COMPUTED_VALUE"""),44658.259247685186)</f>
        <v>44658.25925</v>
      </c>
      <c r="D6028" s="13">
        <f t="shared" si="1"/>
        <v>7</v>
      </c>
      <c r="E6028" s="13">
        <f t="shared" si="2"/>
        <v>6</v>
      </c>
    </row>
    <row r="6029">
      <c r="A6029" s="4" t="s">
        <v>6659</v>
      </c>
      <c r="B6029" s="4" t="s">
        <v>6660</v>
      </c>
      <c r="C6029" s="12">
        <f>IFERROR(__xludf.DUMMYFUNCTION("""COMPUTED_VALUE"""),44658.23069444444)</f>
        <v>44658.23069</v>
      </c>
      <c r="D6029" s="13">
        <f t="shared" si="1"/>
        <v>7</v>
      </c>
      <c r="E6029" s="13">
        <f t="shared" si="2"/>
        <v>5</v>
      </c>
    </row>
    <row r="6030">
      <c r="A6030" s="4" t="s">
        <v>6661</v>
      </c>
      <c r="B6030" s="16"/>
      <c r="C6030" s="12">
        <f>IFERROR(__xludf.DUMMYFUNCTION("""COMPUTED_VALUE"""),44658.120057870365)</f>
        <v>44658.12006</v>
      </c>
      <c r="D6030" s="13">
        <f t="shared" si="1"/>
        <v>7</v>
      </c>
      <c r="E6030" s="13">
        <f t="shared" si="2"/>
        <v>2</v>
      </c>
    </row>
    <row r="6031">
      <c r="A6031" s="4" t="s">
        <v>6662</v>
      </c>
      <c r="B6031" s="16"/>
      <c r="C6031" s="12">
        <f>IFERROR(__xludf.DUMMYFUNCTION("""COMPUTED_VALUE"""),44658.10706018518)</f>
        <v>44658.10706</v>
      </c>
      <c r="D6031" s="13">
        <f t="shared" si="1"/>
        <v>7</v>
      </c>
      <c r="E6031" s="13">
        <f t="shared" si="2"/>
        <v>2</v>
      </c>
    </row>
    <row r="6032">
      <c r="A6032" s="4" t="s">
        <v>6663</v>
      </c>
      <c r="B6032" s="16"/>
      <c r="C6032" s="12">
        <f>IFERROR(__xludf.DUMMYFUNCTION("""COMPUTED_VALUE"""),44658.104317129626)</f>
        <v>44658.10432</v>
      </c>
      <c r="D6032" s="13">
        <f t="shared" si="1"/>
        <v>7</v>
      </c>
      <c r="E6032" s="13">
        <f t="shared" si="2"/>
        <v>2</v>
      </c>
    </row>
    <row r="6033">
      <c r="A6033" s="4" t="s">
        <v>6664</v>
      </c>
      <c r="B6033" s="16"/>
      <c r="C6033" s="12">
        <f>IFERROR(__xludf.DUMMYFUNCTION("""COMPUTED_VALUE"""),44658.10427083333)</f>
        <v>44658.10427</v>
      </c>
      <c r="D6033" s="13">
        <f t="shared" si="1"/>
        <v>7</v>
      </c>
      <c r="E6033" s="13">
        <f t="shared" si="2"/>
        <v>2</v>
      </c>
    </row>
    <row r="6034">
      <c r="A6034" s="4" t="s">
        <v>6665</v>
      </c>
      <c r="B6034" s="4" t="s">
        <v>6666</v>
      </c>
      <c r="C6034" s="12">
        <f>IFERROR(__xludf.DUMMYFUNCTION("""COMPUTED_VALUE"""),44658.10423611111)</f>
        <v>44658.10424</v>
      </c>
      <c r="D6034" s="13">
        <f t="shared" si="1"/>
        <v>7</v>
      </c>
      <c r="E6034" s="13">
        <f t="shared" si="2"/>
        <v>2</v>
      </c>
    </row>
    <row r="6035">
      <c r="A6035" s="4" t="s">
        <v>6667</v>
      </c>
      <c r="B6035" s="16"/>
      <c r="C6035" s="12">
        <f>IFERROR(__xludf.DUMMYFUNCTION("""COMPUTED_VALUE"""),44658.10415509259)</f>
        <v>44658.10416</v>
      </c>
      <c r="D6035" s="13">
        <f t="shared" si="1"/>
        <v>7</v>
      </c>
      <c r="E6035" s="13">
        <f t="shared" si="2"/>
        <v>2</v>
      </c>
    </row>
    <row r="6036">
      <c r="A6036" s="4" t="s">
        <v>6668</v>
      </c>
      <c r="B6036" s="16"/>
      <c r="C6036" s="12">
        <f>IFERROR(__xludf.DUMMYFUNCTION("""COMPUTED_VALUE"""),44658.039930555555)</f>
        <v>44658.03993</v>
      </c>
      <c r="D6036" s="13">
        <f t="shared" si="1"/>
        <v>7</v>
      </c>
      <c r="E6036" s="13">
        <f t="shared" si="2"/>
        <v>0</v>
      </c>
    </row>
    <row r="6037">
      <c r="A6037" s="4" t="s">
        <v>6669</v>
      </c>
      <c r="B6037" s="4" t="s">
        <v>6670</v>
      </c>
      <c r="C6037" s="12">
        <f>IFERROR(__xludf.DUMMYFUNCTION("""COMPUTED_VALUE"""),44657.98722222222)</f>
        <v>44657.98722</v>
      </c>
      <c r="D6037" s="13">
        <f t="shared" si="1"/>
        <v>6</v>
      </c>
      <c r="E6037" s="13">
        <f t="shared" si="2"/>
        <v>23</v>
      </c>
    </row>
    <row r="6038">
      <c r="A6038" s="4" t="s">
        <v>6671</v>
      </c>
      <c r="B6038" s="4" t="s">
        <v>6468</v>
      </c>
      <c r="C6038" s="12">
        <f>IFERROR(__xludf.DUMMYFUNCTION("""COMPUTED_VALUE"""),44657.94832175926)</f>
        <v>44657.94832</v>
      </c>
      <c r="D6038" s="13">
        <f t="shared" si="1"/>
        <v>6</v>
      </c>
      <c r="E6038" s="13">
        <f t="shared" si="2"/>
        <v>22</v>
      </c>
    </row>
    <row r="6039">
      <c r="A6039" s="4" t="s">
        <v>6672</v>
      </c>
      <c r="B6039" s="16"/>
      <c r="C6039" s="12">
        <f>IFERROR(__xludf.DUMMYFUNCTION("""COMPUTED_VALUE"""),44657.94798611111)</f>
        <v>44657.94799</v>
      </c>
      <c r="D6039" s="13">
        <f t="shared" si="1"/>
        <v>6</v>
      </c>
      <c r="E6039" s="13">
        <f t="shared" si="2"/>
        <v>22</v>
      </c>
    </row>
    <row r="6040">
      <c r="A6040" s="4" t="s">
        <v>6673</v>
      </c>
      <c r="B6040" s="16"/>
      <c r="C6040" s="12">
        <f>IFERROR(__xludf.DUMMYFUNCTION("""COMPUTED_VALUE"""),44657.94792824074)</f>
        <v>44657.94793</v>
      </c>
      <c r="D6040" s="13">
        <f t="shared" si="1"/>
        <v>6</v>
      </c>
      <c r="E6040" s="13">
        <f t="shared" si="2"/>
        <v>22</v>
      </c>
    </row>
    <row r="6041">
      <c r="A6041" s="4" t="s">
        <v>6674</v>
      </c>
      <c r="B6041" s="16"/>
      <c r="C6041" s="12">
        <f>IFERROR(__xludf.DUMMYFUNCTION("""COMPUTED_VALUE"""),44657.947546296295)</f>
        <v>44657.94755</v>
      </c>
      <c r="D6041" s="13">
        <f t="shared" si="1"/>
        <v>6</v>
      </c>
      <c r="E6041" s="13">
        <f t="shared" si="2"/>
        <v>22</v>
      </c>
    </row>
    <row r="6042">
      <c r="A6042" s="4" t="s">
        <v>6675</v>
      </c>
      <c r="B6042" s="16"/>
      <c r="C6042" s="12">
        <f>IFERROR(__xludf.DUMMYFUNCTION("""COMPUTED_VALUE"""),44657.943831018514)</f>
        <v>44657.94383</v>
      </c>
      <c r="D6042" s="13">
        <f t="shared" si="1"/>
        <v>6</v>
      </c>
      <c r="E6042" s="13">
        <f t="shared" si="2"/>
        <v>22</v>
      </c>
    </row>
    <row r="6043">
      <c r="A6043" s="4" t="s">
        <v>6676</v>
      </c>
      <c r="B6043" s="4" t="s">
        <v>6677</v>
      </c>
      <c r="C6043" s="12">
        <f>IFERROR(__xludf.DUMMYFUNCTION("""COMPUTED_VALUE"""),44657.94380787037)</f>
        <v>44657.94381</v>
      </c>
      <c r="D6043" s="13">
        <f t="shared" si="1"/>
        <v>6</v>
      </c>
      <c r="E6043" s="13">
        <f t="shared" si="2"/>
        <v>22</v>
      </c>
    </row>
    <row r="6044">
      <c r="A6044" s="4" t="s">
        <v>6678</v>
      </c>
      <c r="B6044" s="4" t="s">
        <v>6679</v>
      </c>
      <c r="C6044" s="12">
        <f>IFERROR(__xludf.DUMMYFUNCTION("""COMPUTED_VALUE"""),44657.91185185185)</f>
        <v>44657.91185</v>
      </c>
      <c r="D6044" s="13">
        <f t="shared" si="1"/>
        <v>6</v>
      </c>
      <c r="E6044" s="13">
        <f t="shared" si="2"/>
        <v>21</v>
      </c>
    </row>
    <row r="6045">
      <c r="A6045" s="4" t="s">
        <v>6680</v>
      </c>
      <c r="B6045" s="16"/>
      <c r="C6045" s="12">
        <f>IFERROR(__xludf.DUMMYFUNCTION("""COMPUTED_VALUE"""),44657.90849537037)</f>
        <v>44657.9085</v>
      </c>
      <c r="D6045" s="13">
        <f t="shared" si="1"/>
        <v>6</v>
      </c>
      <c r="E6045" s="13">
        <f t="shared" si="2"/>
        <v>21</v>
      </c>
    </row>
    <row r="6046">
      <c r="A6046" s="4" t="s">
        <v>6681</v>
      </c>
      <c r="B6046" s="4" t="s">
        <v>6682</v>
      </c>
      <c r="C6046" s="12">
        <f>IFERROR(__xludf.DUMMYFUNCTION("""COMPUTED_VALUE"""),44657.90846064815)</f>
        <v>44657.90846</v>
      </c>
      <c r="D6046" s="13">
        <f t="shared" si="1"/>
        <v>6</v>
      </c>
      <c r="E6046" s="13">
        <f t="shared" si="2"/>
        <v>21</v>
      </c>
    </row>
    <row r="6047">
      <c r="A6047" s="4" t="s">
        <v>6683</v>
      </c>
      <c r="B6047" s="4" t="s">
        <v>6684</v>
      </c>
      <c r="C6047" s="12">
        <f>IFERROR(__xludf.DUMMYFUNCTION("""COMPUTED_VALUE"""),44657.90011574074)</f>
        <v>44657.90012</v>
      </c>
      <c r="D6047" s="13">
        <f t="shared" si="1"/>
        <v>6</v>
      </c>
      <c r="E6047" s="13">
        <f t="shared" si="2"/>
        <v>21</v>
      </c>
    </row>
    <row r="6048">
      <c r="A6048" s="4" t="s">
        <v>6685</v>
      </c>
      <c r="B6048" s="16"/>
      <c r="C6048" s="12">
        <f>IFERROR(__xludf.DUMMYFUNCTION("""COMPUTED_VALUE"""),44657.899571759255)</f>
        <v>44657.89957</v>
      </c>
      <c r="D6048" s="13">
        <f t="shared" si="1"/>
        <v>6</v>
      </c>
      <c r="E6048" s="13">
        <f t="shared" si="2"/>
        <v>21</v>
      </c>
    </row>
    <row r="6049">
      <c r="A6049" s="4" t="s">
        <v>6686</v>
      </c>
      <c r="B6049" s="16"/>
      <c r="C6049" s="12">
        <f>IFERROR(__xludf.DUMMYFUNCTION("""COMPUTED_VALUE"""),44657.89952546296)</f>
        <v>44657.89953</v>
      </c>
      <c r="D6049" s="13">
        <f t="shared" si="1"/>
        <v>6</v>
      </c>
      <c r="E6049" s="13">
        <f t="shared" si="2"/>
        <v>21</v>
      </c>
    </row>
    <row r="6050">
      <c r="A6050" s="4" t="s">
        <v>6687</v>
      </c>
      <c r="B6050" s="16"/>
      <c r="C6050" s="12">
        <f>IFERROR(__xludf.DUMMYFUNCTION("""COMPUTED_VALUE"""),44657.89482638889)</f>
        <v>44657.89483</v>
      </c>
      <c r="D6050" s="13">
        <f t="shared" si="1"/>
        <v>6</v>
      </c>
      <c r="E6050" s="13">
        <f t="shared" si="2"/>
        <v>21</v>
      </c>
    </row>
    <row r="6051">
      <c r="A6051" s="4" t="s">
        <v>6688</v>
      </c>
      <c r="B6051" s="4" t="s">
        <v>6689</v>
      </c>
      <c r="C6051" s="12">
        <f>IFERROR(__xludf.DUMMYFUNCTION("""COMPUTED_VALUE"""),44657.88957175926)</f>
        <v>44657.88957</v>
      </c>
      <c r="D6051" s="13">
        <f t="shared" si="1"/>
        <v>6</v>
      </c>
      <c r="E6051" s="13">
        <f t="shared" si="2"/>
        <v>21</v>
      </c>
    </row>
    <row r="6052">
      <c r="A6052" s="4" t="s">
        <v>6690</v>
      </c>
      <c r="B6052" s="4" t="s">
        <v>6689</v>
      </c>
      <c r="C6052" s="12">
        <f>IFERROR(__xludf.DUMMYFUNCTION("""COMPUTED_VALUE"""),44657.889398148145)</f>
        <v>44657.8894</v>
      </c>
      <c r="D6052" s="13">
        <f t="shared" si="1"/>
        <v>6</v>
      </c>
      <c r="E6052" s="13">
        <f t="shared" si="2"/>
        <v>21</v>
      </c>
    </row>
    <row r="6053">
      <c r="A6053" s="4" t="s">
        <v>6691</v>
      </c>
      <c r="B6053" s="16"/>
      <c r="C6053" s="12">
        <f>IFERROR(__xludf.DUMMYFUNCTION("""COMPUTED_VALUE"""),44657.84159722222)</f>
        <v>44657.8416</v>
      </c>
      <c r="D6053" s="13">
        <f t="shared" si="1"/>
        <v>6</v>
      </c>
      <c r="E6053" s="13">
        <f t="shared" si="2"/>
        <v>20</v>
      </c>
    </row>
    <row r="6054">
      <c r="A6054" s="4" t="s">
        <v>6692</v>
      </c>
      <c r="B6054" s="16"/>
      <c r="C6054" s="12">
        <f>IFERROR(__xludf.DUMMYFUNCTION("""COMPUTED_VALUE"""),44657.768067129626)</f>
        <v>44657.76807</v>
      </c>
      <c r="D6054" s="13">
        <f t="shared" si="1"/>
        <v>6</v>
      </c>
      <c r="E6054" s="13">
        <f t="shared" si="2"/>
        <v>18</v>
      </c>
    </row>
    <row r="6055">
      <c r="A6055" s="4" t="s">
        <v>6693</v>
      </c>
      <c r="B6055" s="16"/>
      <c r="C6055" s="12">
        <f>IFERROR(__xludf.DUMMYFUNCTION("""COMPUTED_VALUE"""),44657.73469907407)</f>
        <v>44657.7347</v>
      </c>
      <c r="D6055" s="13">
        <f t="shared" si="1"/>
        <v>6</v>
      </c>
      <c r="E6055" s="13">
        <f t="shared" si="2"/>
        <v>17</v>
      </c>
    </row>
    <row r="6056">
      <c r="A6056" s="4" t="s">
        <v>6694</v>
      </c>
      <c r="B6056" s="16"/>
      <c r="C6056" s="12">
        <f>IFERROR(__xludf.DUMMYFUNCTION("""COMPUTED_VALUE"""),44657.72001157407)</f>
        <v>44657.72001</v>
      </c>
      <c r="D6056" s="13">
        <f t="shared" si="1"/>
        <v>6</v>
      </c>
      <c r="E6056" s="13">
        <f t="shared" si="2"/>
        <v>17</v>
      </c>
    </row>
    <row r="6057">
      <c r="A6057" s="4" t="s">
        <v>6695</v>
      </c>
      <c r="B6057" s="16"/>
      <c r="C6057" s="12">
        <f>IFERROR(__xludf.DUMMYFUNCTION("""COMPUTED_VALUE"""),44657.713495370364)</f>
        <v>44657.7135</v>
      </c>
      <c r="D6057" s="13">
        <f t="shared" si="1"/>
        <v>6</v>
      </c>
      <c r="E6057" s="13">
        <f t="shared" si="2"/>
        <v>17</v>
      </c>
    </row>
    <row r="6058">
      <c r="A6058" s="4" t="s">
        <v>6696</v>
      </c>
      <c r="B6058" s="16"/>
      <c r="C6058" s="12">
        <f>IFERROR(__xludf.DUMMYFUNCTION("""COMPUTED_VALUE"""),44657.70186342592)</f>
        <v>44657.70186</v>
      </c>
      <c r="D6058" s="13">
        <f t="shared" si="1"/>
        <v>6</v>
      </c>
      <c r="E6058" s="13">
        <f t="shared" si="2"/>
        <v>16</v>
      </c>
    </row>
    <row r="6059">
      <c r="A6059" s="4" t="s">
        <v>6697</v>
      </c>
      <c r="B6059" s="16"/>
      <c r="C6059" s="12">
        <f>IFERROR(__xludf.DUMMYFUNCTION("""COMPUTED_VALUE"""),44657.68818287037)</f>
        <v>44657.68818</v>
      </c>
      <c r="D6059" s="13">
        <f t="shared" si="1"/>
        <v>6</v>
      </c>
      <c r="E6059" s="13">
        <f t="shared" si="2"/>
        <v>16</v>
      </c>
    </row>
    <row r="6060">
      <c r="A6060" s="4" t="s">
        <v>6698</v>
      </c>
      <c r="B6060" s="16"/>
      <c r="C6060" s="12">
        <f>IFERROR(__xludf.DUMMYFUNCTION("""COMPUTED_VALUE"""),44657.62565972222)</f>
        <v>44657.62566</v>
      </c>
      <c r="D6060" s="13">
        <f t="shared" si="1"/>
        <v>6</v>
      </c>
      <c r="E6060" s="13">
        <f t="shared" si="2"/>
        <v>15</v>
      </c>
    </row>
    <row r="6061">
      <c r="A6061" s="4" t="s">
        <v>6699</v>
      </c>
      <c r="B6061" s="16"/>
      <c r="C6061" s="12">
        <f>IFERROR(__xludf.DUMMYFUNCTION("""COMPUTED_VALUE"""),44657.62425925925)</f>
        <v>44657.62426</v>
      </c>
      <c r="D6061" s="13">
        <f t="shared" si="1"/>
        <v>6</v>
      </c>
      <c r="E6061" s="13">
        <f t="shared" si="2"/>
        <v>14</v>
      </c>
    </row>
    <row r="6062">
      <c r="A6062" s="4" t="s">
        <v>6700</v>
      </c>
      <c r="B6062" s="16"/>
      <c r="C6062" s="12">
        <f>IFERROR(__xludf.DUMMYFUNCTION("""COMPUTED_VALUE"""),44657.624247685184)</f>
        <v>44657.62425</v>
      </c>
      <c r="D6062" s="13">
        <f t="shared" si="1"/>
        <v>6</v>
      </c>
      <c r="E6062" s="13">
        <f t="shared" si="2"/>
        <v>14</v>
      </c>
    </row>
    <row r="6063">
      <c r="A6063" s="4" t="s">
        <v>6701</v>
      </c>
      <c r="B6063" s="16"/>
      <c r="C6063" s="12">
        <f>IFERROR(__xludf.DUMMYFUNCTION("""COMPUTED_VALUE"""),44657.624189814815)</f>
        <v>44657.62419</v>
      </c>
      <c r="D6063" s="13">
        <f t="shared" si="1"/>
        <v>6</v>
      </c>
      <c r="E6063" s="13">
        <f t="shared" si="2"/>
        <v>14</v>
      </c>
    </row>
    <row r="6064">
      <c r="A6064" s="4" t="s">
        <v>6702</v>
      </c>
      <c r="B6064" s="16"/>
      <c r="C6064" s="12">
        <f>IFERROR(__xludf.DUMMYFUNCTION("""COMPUTED_VALUE"""),44657.624143518515)</f>
        <v>44657.62414</v>
      </c>
      <c r="D6064" s="13">
        <f t="shared" si="1"/>
        <v>6</v>
      </c>
      <c r="E6064" s="13">
        <f t="shared" si="2"/>
        <v>14</v>
      </c>
    </row>
    <row r="6065">
      <c r="A6065" s="4" t="s">
        <v>6703</v>
      </c>
      <c r="B6065" s="16"/>
      <c r="C6065" s="12">
        <f>IFERROR(__xludf.DUMMYFUNCTION("""COMPUTED_VALUE"""),44657.61560185185)</f>
        <v>44657.6156</v>
      </c>
      <c r="D6065" s="13">
        <f t="shared" si="1"/>
        <v>6</v>
      </c>
      <c r="E6065" s="13">
        <f t="shared" si="2"/>
        <v>14</v>
      </c>
    </row>
    <row r="6066">
      <c r="A6066" s="4" t="s">
        <v>6704</v>
      </c>
      <c r="B6066" s="16"/>
      <c r="C6066" s="12">
        <f>IFERROR(__xludf.DUMMYFUNCTION("""COMPUTED_VALUE"""),44657.615543981476)</f>
        <v>44657.61554</v>
      </c>
      <c r="D6066" s="13">
        <f t="shared" si="1"/>
        <v>6</v>
      </c>
      <c r="E6066" s="13">
        <f t="shared" si="2"/>
        <v>14</v>
      </c>
    </row>
    <row r="6067">
      <c r="A6067" s="4" t="s">
        <v>6705</v>
      </c>
      <c r="B6067" s="16"/>
      <c r="C6067" s="12">
        <f>IFERROR(__xludf.DUMMYFUNCTION("""COMPUTED_VALUE"""),44657.61545138888)</f>
        <v>44657.61545</v>
      </c>
      <c r="D6067" s="13">
        <f t="shared" si="1"/>
        <v>6</v>
      </c>
      <c r="E6067" s="13">
        <f t="shared" si="2"/>
        <v>14</v>
      </c>
    </row>
    <row r="6068">
      <c r="A6068" s="4" t="s">
        <v>6706</v>
      </c>
      <c r="B6068" s="16"/>
      <c r="C6068" s="12">
        <f>IFERROR(__xludf.DUMMYFUNCTION("""COMPUTED_VALUE"""),44657.614224537036)</f>
        <v>44657.61422</v>
      </c>
      <c r="D6068" s="13">
        <f t="shared" si="1"/>
        <v>6</v>
      </c>
      <c r="E6068" s="13">
        <f t="shared" si="2"/>
        <v>14</v>
      </c>
    </row>
    <row r="6069">
      <c r="A6069" s="4" t="s">
        <v>6707</v>
      </c>
      <c r="B6069" s="16"/>
      <c r="C6069" s="12">
        <f>IFERROR(__xludf.DUMMYFUNCTION("""COMPUTED_VALUE"""),44657.61333333333)</f>
        <v>44657.61333</v>
      </c>
      <c r="D6069" s="13">
        <f t="shared" si="1"/>
        <v>6</v>
      </c>
      <c r="E6069" s="13">
        <f t="shared" si="2"/>
        <v>14</v>
      </c>
    </row>
    <row r="6070">
      <c r="A6070" s="4" t="s">
        <v>6708</v>
      </c>
      <c r="B6070" s="16"/>
      <c r="C6070" s="12">
        <f>IFERROR(__xludf.DUMMYFUNCTION("""COMPUTED_VALUE"""),44657.565671296295)</f>
        <v>44657.56567</v>
      </c>
      <c r="D6070" s="13">
        <f t="shared" si="1"/>
        <v>6</v>
      </c>
      <c r="E6070" s="13">
        <f t="shared" si="2"/>
        <v>13</v>
      </c>
    </row>
    <row r="6071">
      <c r="A6071" s="4" t="s">
        <v>6709</v>
      </c>
      <c r="B6071" s="16"/>
      <c r="C6071" s="12">
        <f>IFERROR(__xludf.DUMMYFUNCTION("""COMPUTED_VALUE"""),44657.53979166666)</f>
        <v>44657.53979</v>
      </c>
      <c r="D6071" s="13">
        <f t="shared" si="1"/>
        <v>6</v>
      </c>
      <c r="E6071" s="13">
        <f t="shared" si="2"/>
        <v>12</v>
      </c>
    </row>
    <row r="6072">
      <c r="A6072" s="4" t="s">
        <v>6710</v>
      </c>
      <c r="B6072" s="16"/>
      <c r="C6072" s="12">
        <f>IFERROR(__xludf.DUMMYFUNCTION("""COMPUTED_VALUE"""),44657.51915509259)</f>
        <v>44657.51916</v>
      </c>
      <c r="D6072" s="13">
        <f t="shared" si="1"/>
        <v>6</v>
      </c>
      <c r="E6072" s="13">
        <f t="shared" si="2"/>
        <v>12</v>
      </c>
    </row>
    <row r="6073">
      <c r="A6073" s="4" t="s">
        <v>6711</v>
      </c>
      <c r="B6073" s="16"/>
      <c r="C6073" s="12">
        <f>IFERROR(__xludf.DUMMYFUNCTION("""COMPUTED_VALUE"""),44657.50609953704)</f>
        <v>44657.5061</v>
      </c>
      <c r="D6073" s="13">
        <f t="shared" si="1"/>
        <v>6</v>
      </c>
      <c r="E6073" s="13">
        <f t="shared" si="2"/>
        <v>12</v>
      </c>
    </row>
    <row r="6074">
      <c r="A6074" s="4" t="s">
        <v>6712</v>
      </c>
      <c r="B6074" s="16"/>
      <c r="C6074" s="12">
        <f>IFERROR(__xludf.DUMMYFUNCTION("""COMPUTED_VALUE"""),44657.494108796294)</f>
        <v>44657.49411</v>
      </c>
      <c r="D6074" s="13">
        <f t="shared" si="1"/>
        <v>6</v>
      </c>
      <c r="E6074" s="13">
        <f t="shared" si="2"/>
        <v>11</v>
      </c>
    </row>
    <row r="6075">
      <c r="A6075" s="4" t="s">
        <v>6713</v>
      </c>
      <c r="B6075" s="16"/>
      <c r="C6075" s="12">
        <f>IFERROR(__xludf.DUMMYFUNCTION("""COMPUTED_VALUE"""),44657.48270833333)</f>
        <v>44657.48271</v>
      </c>
      <c r="D6075" s="13">
        <f t="shared" si="1"/>
        <v>6</v>
      </c>
      <c r="E6075" s="13">
        <f t="shared" si="2"/>
        <v>11</v>
      </c>
    </row>
    <row r="6076">
      <c r="A6076" s="4" t="s">
        <v>6714</v>
      </c>
      <c r="B6076" s="16"/>
      <c r="C6076" s="12">
        <f>IFERROR(__xludf.DUMMYFUNCTION("""COMPUTED_VALUE"""),44657.476956018516)</f>
        <v>44657.47696</v>
      </c>
      <c r="D6076" s="13">
        <f t="shared" si="1"/>
        <v>6</v>
      </c>
      <c r="E6076" s="13">
        <f t="shared" si="2"/>
        <v>11</v>
      </c>
    </row>
    <row r="6077">
      <c r="A6077" s="4" t="s">
        <v>6715</v>
      </c>
      <c r="B6077" s="16"/>
      <c r="C6077" s="12">
        <f>IFERROR(__xludf.DUMMYFUNCTION("""COMPUTED_VALUE"""),44657.460810185185)</f>
        <v>44657.46081</v>
      </c>
      <c r="D6077" s="13">
        <f t="shared" si="1"/>
        <v>6</v>
      </c>
      <c r="E6077" s="13">
        <f t="shared" si="2"/>
        <v>11</v>
      </c>
    </row>
    <row r="6078">
      <c r="A6078" s="4" t="s">
        <v>6716</v>
      </c>
      <c r="B6078" s="16"/>
      <c r="C6078" s="12">
        <f>IFERROR(__xludf.DUMMYFUNCTION("""COMPUTED_VALUE"""),44657.40239583333)</f>
        <v>44657.4024</v>
      </c>
      <c r="D6078" s="13">
        <f t="shared" si="1"/>
        <v>6</v>
      </c>
      <c r="E6078" s="13">
        <f t="shared" si="2"/>
        <v>9</v>
      </c>
    </row>
    <row r="6079">
      <c r="A6079" s="4" t="s">
        <v>6716</v>
      </c>
      <c r="B6079" s="16"/>
      <c r="C6079" s="12">
        <f>IFERROR(__xludf.DUMMYFUNCTION("""COMPUTED_VALUE"""),44657.40239583333)</f>
        <v>44657.4024</v>
      </c>
      <c r="D6079" s="13">
        <f t="shared" si="1"/>
        <v>6</v>
      </c>
      <c r="E6079" s="13">
        <f t="shared" si="2"/>
        <v>9</v>
      </c>
    </row>
    <row r="6080">
      <c r="A6080" s="4" t="s">
        <v>6717</v>
      </c>
      <c r="B6080" s="16"/>
      <c r="C6080" s="12">
        <f>IFERROR(__xludf.DUMMYFUNCTION("""COMPUTED_VALUE"""),44657.402349537035)</f>
        <v>44657.40235</v>
      </c>
      <c r="D6080" s="13">
        <f t="shared" si="1"/>
        <v>6</v>
      </c>
      <c r="E6080" s="13">
        <f t="shared" si="2"/>
        <v>9</v>
      </c>
    </row>
    <row r="6081">
      <c r="A6081" s="4" t="s">
        <v>6717</v>
      </c>
      <c r="B6081" s="16"/>
      <c r="C6081" s="12">
        <f>IFERROR(__xludf.DUMMYFUNCTION("""COMPUTED_VALUE"""),44657.402349537035)</f>
        <v>44657.40235</v>
      </c>
      <c r="D6081" s="13">
        <f t="shared" si="1"/>
        <v>6</v>
      </c>
      <c r="E6081" s="13">
        <f t="shared" si="2"/>
        <v>9</v>
      </c>
    </row>
    <row r="6082">
      <c r="A6082" s="4" t="s">
        <v>6718</v>
      </c>
      <c r="B6082" s="16"/>
      <c r="C6082" s="12">
        <f>IFERROR(__xludf.DUMMYFUNCTION("""COMPUTED_VALUE"""),44657.402291666665)</f>
        <v>44657.40229</v>
      </c>
      <c r="D6082" s="13">
        <f t="shared" si="1"/>
        <v>6</v>
      </c>
      <c r="E6082" s="13">
        <f t="shared" si="2"/>
        <v>9</v>
      </c>
    </row>
    <row r="6083">
      <c r="A6083" s="4" t="s">
        <v>6718</v>
      </c>
      <c r="B6083" s="16"/>
      <c r="C6083" s="12">
        <f>IFERROR(__xludf.DUMMYFUNCTION("""COMPUTED_VALUE"""),44657.402291666665)</f>
        <v>44657.40229</v>
      </c>
      <c r="D6083" s="13">
        <f t="shared" si="1"/>
        <v>6</v>
      </c>
      <c r="E6083" s="13">
        <f t="shared" si="2"/>
        <v>9</v>
      </c>
    </row>
    <row r="6084">
      <c r="A6084" s="4" t="s">
        <v>6719</v>
      </c>
      <c r="B6084" s="16"/>
      <c r="C6084" s="12">
        <f>IFERROR(__xludf.DUMMYFUNCTION("""COMPUTED_VALUE"""),44657.40225694444)</f>
        <v>44657.40226</v>
      </c>
      <c r="D6084" s="13">
        <f t="shared" si="1"/>
        <v>6</v>
      </c>
      <c r="E6084" s="13">
        <f t="shared" si="2"/>
        <v>9</v>
      </c>
    </row>
    <row r="6085">
      <c r="A6085" s="4" t="s">
        <v>6719</v>
      </c>
      <c r="B6085" s="16"/>
      <c r="C6085" s="12">
        <f>IFERROR(__xludf.DUMMYFUNCTION("""COMPUTED_VALUE"""),44657.40225694444)</f>
        <v>44657.40226</v>
      </c>
      <c r="D6085" s="13">
        <f t="shared" si="1"/>
        <v>6</v>
      </c>
      <c r="E6085" s="13">
        <f t="shared" si="2"/>
        <v>9</v>
      </c>
    </row>
    <row r="6086">
      <c r="A6086" s="4" t="s">
        <v>6720</v>
      </c>
      <c r="B6086" s="16"/>
      <c r="C6086" s="12">
        <f>IFERROR(__xludf.DUMMYFUNCTION("""COMPUTED_VALUE"""),44657.3825)</f>
        <v>44657.3825</v>
      </c>
      <c r="D6086" s="13">
        <f t="shared" si="1"/>
        <v>6</v>
      </c>
      <c r="E6086" s="13">
        <f t="shared" si="2"/>
        <v>9</v>
      </c>
    </row>
    <row r="6087">
      <c r="A6087" s="4" t="s">
        <v>6721</v>
      </c>
      <c r="B6087" s="4" t="s">
        <v>6722</v>
      </c>
      <c r="C6087" s="12">
        <f>IFERROR(__xludf.DUMMYFUNCTION("""COMPUTED_VALUE"""),44657.38228009259)</f>
        <v>44657.38228</v>
      </c>
      <c r="D6087" s="13">
        <f t="shared" si="1"/>
        <v>6</v>
      </c>
      <c r="E6087" s="13">
        <f t="shared" si="2"/>
        <v>9</v>
      </c>
    </row>
    <row r="6088">
      <c r="A6088" s="4" t="s">
        <v>6723</v>
      </c>
      <c r="B6088" s="16"/>
      <c r="C6088" s="12">
        <f>IFERROR(__xludf.DUMMYFUNCTION("""COMPUTED_VALUE"""),44657.326898148145)</f>
        <v>44657.3269</v>
      </c>
      <c r="D6088" s="13">
        <f t="shared" si="1"/>
        <v>6</v>
      </c>
      <c r="E6088" s="13">
        <f t="shared" si="2"/>
        <v>7</v>
      </c>
    </row>
    <row r="6089">
      <c r="A6089" s="4" t="s">
        <v>6724</v>
      </c>
      <c r="B6089" s="4" t="s">
        <v>6725</v>
      </c>
      <c r="C6089" s="12">
        <f>IFERROR(__xludf.DUMMYFUNCTION("""COMPUTED_VALUE"""),44657.31548611111)</f>
        <v>44657.31549</v>
      </c>
      <c r="D6089" s="13">
        <f t="shared" si="1"/>
        <v>6</v>
      </c>
      <c r="E6089" s="13">
        <f t="shared" si="2"/>
        <v>7</v>
      </c>
    </row>
    <row r="6090">
      <c r="A6090" s="4" t="s">
        <v>6726</v>
      </c>
      <c r="B6090" s="4" t="s">
        <v>6436</v>
      </c>
      <c r="C6090" s="12">
        <f>IFERROR(__xludf.DUMMYFUNCTION("""COMPUTED_VALUE"""),44656.93298611111)</f>
        <v>44656.93299</v>
      </c>
      <c r="D6090" s="13">
        <f t="shared" si="1"/>
        <v>5</v>
      </c>
      <c r="E6090" s="13">
        <f t="shared" si="2"/>
        <v>22</v>
      </c>
    </row>
    <row r="6091">
      <c r="A6091" s="4" t="s">
        <v>6727</v>
      </c>
      <c r="B6091" s="16"/>
      <c r="C6091" s="12">
        <f>IFERROR(__xludf.DUMMYFUNCTION("""COMPUTED_VALUE"""),44656.93273148148)</f>
        <v>44656.93273</v>
      </c>
      <c r="D6091" s="13">
        <f t="shared" si="1"/>
        <v>5</v>
      </c>
      <c r="E6091" s="13">
        <f t="shared" si="2"/>
        <v>22</v>
      </c>
    </row>
    <row r="6092">
      <c r="A6092" s="4" t="s">
        <v>6728</v>
      </c>
      <c r="B6092" s="16"/>
      <c r="C6092" s="12">
        <f>IFERROR(__xludf.DUMMYFUNCTION("""COMPUTED_VALUE"""),44656.93268518518)</f>
        <v>44656.93269</v>
      </c>
      <c r="D6092" s="13">
        <f t="shared" si="1"/>
        <v>5</v>
      </c>
      <c r="E6092" s="13">
        <f t="shared" si="2"/>
        <v>22</v>
      </c>
    </row>
    <row r="6093">
      <c r="A6093" s="4" t="s">
        <v>6729</v>
      </c>
      <c r="B6093" s="16"/>
      <c r="C6093" s="12">
        <f>IFERROR(__xludf.DUMMYFUNCTION("""COMPUTED_VALUE"""),44656.93259259259)</f>
        <v>44656.93259</v>
      </c>
      <c r="D6093" s="13">
        <f t="shared" si="1"/>
        <v>5</v>
      </c>
      <c r="E6093" s="13">
        <f t="shared" si="2"/>
        <v>22</v>
      </c>
    </row>
    <row r="6094">
      <c r="A6094" s="4" t="s">
        <v>6730</v>
      </c>
      <c r="B6094" s="16"/>
      <c r="C6094" s="12">
        <f>IFERROR(__xludf.DUMMYFUNCTION("""COMPUTED_VALUE"""),44656.9324074074)</f>
        <v>44656.93241</v>
      </c>
      <c r="D6094" s="13">
        <f t="shared" si="1"/>
        <v>5</v>
      </c>
      <c r="E6094" s="13">
        <f t="shared" si="2"/>
        <v>22</v>
      </c>
    </row>
    <row r="6095">
      <c r="A6095" s="4" t="s">
        <v>6731</v>
      </c>
      <c r="B6095" s="16"/>
      <c r="C6095" s="12">
        <f>IFERROR(__xludf.DUMMYFUNCTION("""COMPUTED_VALUE"""),44656.93168981481)</f>
        <v>44656.93169</v>
      </c>
      <c r="D6095" s="13">
        <f t="shared" si="1"/>
        <v>5</v>
      </c>
      <c r="E6095" s="13">
        <f t="shared" si="2"/>
        <v>22</v>
      </c>
    </row>
    <row r="6096">
      <c r="A6096" s="4" t="s">
        <v>6732</v>
      </c>
      <c r="B6096" s="16"/>
      <c r="C6096" s="12">
        <f>IFERROR(__xludf.DUMMYFUNCTION("""COMPUTED_VALUE"""),44656.93131944444)</f>
        <v>44656.93132</v>
      </c>
      <c r="D6096" s="13">
        <f t="shared" si="1"/>
        <v>5</v>
      </c>
      <c r="E6096" s="13">
        <f t="shared" si="2"/>
        <v>22</v>
      </c>
    </row>
    <row r="6097">
      <c r="A6097" s="4" t="s">
        <v>6733</v>
      </c>
      <c r="B6097" s="16"/>
      <c r="C6097" s="12">
        <f>IFERROR(__xludf.DUMMYFUNCTION("""COMPUTED_VALUE"""),44656.931296296294)</f>
        <v>44656.9313</v>
      </c>
      <c r="D6097" s="13">
        <f t="shared" si="1"/>
        <v>5</v>
      </c>
      <c r="E6097" s="13">
        <f t="shared" si="2"/>
        <v>22</v>
      </c>
    </row>
    <row r="6098">
      <c r="A6098" s="4" t="s">
        <v>6734</v>
      </c>
      <c r="B6098" s="16"/>
      <c r="C6098" s="12">
        <f>IFERROR(__xludf.DUMMYFUNCTION("""COMPUTED_VALUE"""),44656.93121527778)</f>
        <v>44656.93122</v>
      </c>
      <c r="D6098" s="13">
        <f t="shared" si="1"/>
        <v>5</v>
      </c>
      <c r="E6098" s="13">
        <f t="shared" si="2"/>
        <v>22</v>
      </c>
    </row>
    <row r="6099">
      <c r="A6099" s="4" t="s">
        <v>6735</v>
      </c>
      <c r="B6099" s="16"/>
      <c r="C6099" s="12">
        <f>IFERROR(__xludf.DUMMYFUNCTION("""COMPUTED_VALUE"""),44656.924421296295)</f>
        <v>44656.92442</v>
      </c>
      <c r="D6099" s="13">
        <f t="shared" si="1"/>
        <v>5</v>
      </c>
      <c r="E6099" s="13">
        <f t="shared" si="2"/>
        <v>22</v>
      </c>
    </row>
    <row r="6100">
      <c r="A6100" s="4" t="s">
        <v>6736</v>
      </c>
      <c r="B6100" s="16"/>
      <c r="C6100" s="12">
        <f>IFERROR(__xludf.DUMMYFUNCTION("""COMPUTED_VALUE"""),44656.87704861111)</f>
        <v>44656.87705</v>
      </c>
      <c r="D6100" s="13">
        <f t="shared" si="1"/>
        <v>5</v>
      </c>
      <c r="E6100" s="13">
        <f t="shared" si="2"/>
        <v>21</v>
      </c>
    </row>
    <row r="6101">
      <c r="A6101" s="4" t="s">
        <v>6737</v>
      </c>
      <c r="B6101" s="16"/>
      <c r="C6101" s="12">
        <f>IFERROR(__xludf.DUMMYFUNCTION("""COMPUTED_VALUE"""),44656.85556712963)</f>
        <v>44656.85557</v>
      </c>
      <c r="D6101" s="13">
        <f t="shared" si="1"/>
        <v>5</v>
      </c>
      <c r="E6101" s="13">
        <f t="shared" si="2"/>
        <v>20</v>
      </c>
    </row>
    <row r="6102">
      <c r="A6102" s="4" t="s">
        <v>6738</v>
      </c>
      <c r="B6102" s="16"/>
      <c r="C6102" s="12">
        <f>IFERROR(__xludf.DUMMYFUNCTION("""COMPUTED_VALUE"""),44656.855162037034)</f>
        <v>44656.85516</v>
      </c>
      <c r="D6102" s="13">
        <f t="shared" si="1"/>
        <v>5</v>
      </c>
      <c r="E6102" s="13">
        <f t="shared" si="2"/>
        <v>20</v>
      </c>
    </row>
    <row r="6103">
      <c r="A6103" s="4" t="s">
        <v>6739</v>
      </c>
      <c r="B6103" s="16"/>
      <c r="C6103" s="12">
        <f>IFERROR(__xludf.DUMMYFUNCTION("""COMPUTED_VALUE"""),44656.85512731481)</f>
        <v>44656.85513</v>
      </c>
      <c r="D6103" s="13">
        <f t="shared" si="1"/>
        <v>5</v>
      </c>
      <c r="E6103" s="13">
        <f t="shared" si="2"/>
        <v>20</v>
      </c>
    </row>
    <row r="6104">
      <c r="A6104" s="4" t="s">
        <v>6740</v>
      </c>
      <c r="B6104" s="16"/>
      <c r="C6104" s="12">
        <f>IFERROR(__xludf.DUMMYFUNCTION("""COMPUTED_VALUE"""),44656.85476851852)</f>
        <v>44656.85477</v>
      </c>
      <c r="D6104" s="13">
        <f t="shared" si="1"/>
        <v>5</v>
      </c>
      <c r="E6104" s="13">
        <f t="shared" si="2"/>
        <v>20</v>
      </c>
    </row>
    <row r="6105">
      <c r="A6105" s="4" t="s">
        <v>6741</v>
      </c>
      <c r="B6105" s="16"/>
      <c r="C6105" s="12">
        <f>IFERROR(__xludf.DUMMYFUNCTION("""COMPUTED_VALUE"""),44656.85376157407)</f>
        <v>44656.85376</v>
      </c>
      <c r="D6105" s="13">
        <f t="shared" si="1"/>
        <v>5</v>
      </c>
      <c r="E6105" s="13">
        <f t="shared" si="2"/>
        <v>20</v>
      </c>
    </row>
    <row r="6106">
      <c r="A6106" s="4" t="s">
        <v>6742</v>
      </c>
      <c r="B6106" s="16"/>
      <c r="C6106" s="12">
        <f>IFERROR(__xludf.DUMMYFUNCTION("""COMPUTED_VALUE"""),44656.853425925925)</f>
        <v>44656.85343</v>
      </c>
      <c r="D6106" s="13">
        <f t="shared" si="1"/>
        <v>5</v>
      </c>
      <c r="E6106" s="13">
        <f t="shared" si="2"/>
        <v>20</v>
      </c>
    </row>
    <row r="6107">
      <c r="A6107" s="4" t="s">
        <v>6743</v>
      </c>
      <c r="B6107" s="16"/>
      <c r="C6107" s="12">
        <f>IFERROR(__xludf.DUMMYFUNCTION("""COMPUTED_VALUE"""),44656.853055555555)</f>
        <v>44656.85306</v>
      </c>
      <c r="D6107" s="13">
        <f t="shared" si="1"/>
        <v>5</v>
      </c>
      <c r="E6107" s="13">
        <f t="shared" si="2"/>
        <v>20</v>
      </c>
    </row>
    <row r="6108">
      <c r="A6108" s="4" t="s">
        <v>6744</v>
      </c>
      <c r="B6108" s="16"/>
      <c r="C6108" s="12">
        <f>IFERROR(__xludf.DUMMYFUNCTION("""COMPUTED_VALUE"""),44656.734618055554)</f>
        <v>44656.73462</v>
      </c>
      <c r="D6108" s="13">
        <f t="shared" si="1"/>
        <v>5</v>
      </c>
      <c r="E6108" s="13">
        <f t="shared" si="2"/>
        <v>17</v>
      </c>
    </row>
    <row r="6109">
      <c r="A6109" s="4" t="s">
        <v>6745</v>
      </c>
      <c r="B6109" s="4" t="s">
        <v>6746</v>
      </c>
      <c r="C6109" s="12">
        <f>IFERROR(__xludf.DUMMYFUNCTION("""COMPUTED_VALUE"""),44656.695509259254)</f>
        <v>44656.69551</v>
      </c>
      <c r="D6109" s="13">
        <f t="shared" si="1"/>
        <v>5</v>
      </c>
      <c r="E6109" s="13">
        <f t="shared" si="2"/>
        <v>16</v>
      </c>
    </row>
    <row r="6110">
      <c r="A6110" s="4" t="s">
        <v>6747</v>
      </c>
      <c r="B6110" s="16"/>
      <c r="C6110" s="12">
        <f>IFERROR(__xludf.DUMMYFUNCTION("""COMPUTED_VALUE"""),44656.65033564815)</f>
        <v>44656.65034</v>
      </c>
      <c r="D6110" s="13">
        <f t="shared" si="1"/>
        <v>5</v>
      </c>
      <c r="E6110" s="13">
        <f t="shared" si="2"/>
        <v>15</v>
      </c>
    </row>
    <row r="6111">
      <c r="A6111" s="4" t="s">
        <v>6748</v>
      </c>
      <c r="B6111" s="16"/>
      <c r="C6111" s="12">
        <f>IFERROR(__xludf.DUMMYFUNCTION("""COMPUTED_VALUE"""),44656.65015046296)</f>
        <v>44656.65015</v>
      </c>
      <c r="D6111" s="13">
        <f t="shared" si="1"/>
        <v>5</v>
      </c>
      <c r="E6111" s="13">
        <f t="shared" si="2"/>
        <v>15</v>
      </c>
    </row>
    <row r="6112">
      <c r="A6112" s="4" t="s">
        <v>6749</v>
      </c>
      <c r="B6112" s="16"/>
      <c r="C6112" s="12">
        <f>IFERROR(__xludf.DUMMYFUNCTION("""COMPUTED_VALUE"""),44656.65008101852)</f>
        <v>44656.65008</v>
      </c>
      <c r="D6112" s="13">
        <f t="shared" si="1"/>
        <v>5</v>
      </c>
      <c r="E6112" s="13">
        <f t="shared" si="2"/>
        <v>15</v>
      </c>
    </row>
    <row r="6113">
      <c r="A6113" s="4" t="s">
        <v>6750</v>
      </c>
      <c r="B6113" s="4" t="s">
        <v>6751</v>
      </c>
      <c r="C6113" s="12">
        <f>IFERROR(__xludf.DUMMYFUNCTION("""COMPUTED_VALUE"""),44656.64827546296)</f>
        <v>44656.64828</v>
      </c>
      <c r="D6113" s="13">
        <f t="shared" si="1"/>
        <v>5</v>
      </c>
      <c r="E6113" s="13">
        <f t="shared" si="2"/>
        <v>15</v>
      </c>
    </row>
    <row r="6114">
      <c r="A6114" s="4" t="s">
        <v>6752</v>
      </c>
      <c r="B6114" s="16"/>
      <c r="C6114" s="12">
        <f>IFERROR(__xludf.DUMMYFUNCTION("""COMPUTED_VALUE"""),44656.595879629625)</f>
        <v>44656.59588</v>
      </c>
      <c r="D6114" s="13">
        <f t="shared" si="1"/>
        <v>5</v>
      </c>
      <c r="E6114" s="13">
        <f t="shared" si="2"/>
        <v>14</v>
      </c>
    </row>
    <row r="6115">
      <c r="A6115" s="4" t="s">
        <v>6753</v>
      </c>
      <c r="B6115" s="4" t="s">
        <v>6754</v>
      </c>
      <c r="C6115" s="12">
        <f>IFERROR(__xludf.DUMMYFUNCTION("""COMPUTED_VALUE"""),44656.55645833333)</f>
        <v>44656.55646</v>
      </c>
      <c r="D6115" s="13">
        <f t="shared" si="1"/>
        <v>5</v>
      </c>
      <c r="E6115" s="13">
        <f t="shared" si="2"/>
        <v>13</v>
      </c>
    </row>
    <row r="6116">
      <c r="A6116" s="4" t="s">
        <v>6755</v>
      </c>
      <c r="B6116" s="4" t="s">
        <v>6754</v>
      </c>
      <c r="C6116" s="12">
        <f>IFERROR(__xludf.DUMMYFUNCTION("""COMPUTED_VALUE"""),44656.55144675926)</f>
        <v>44656.55145</v>
      </c>
      <c r="D6116" s="13">
        <f t="shared" si="1"/>
        <v>5</v>
      </c>
      <c r="E6116" s="13">
        <f t="shared" si="2"/>
        <v>13</v>
      </c>
    </row>
    <row r="6117">
      <c r="A6117" s="4" t="s">
        <v>6756</v>
      </c>
      <c r="B6117" s="16"/>
      <c r="C6117" s="12">
        <f>IFERROR(__xludf.DUMMYFUNCTION("""COMPUTED_VALUE"""),44656.54425925926)</f>
        <v>44656.54426</v>
      </c>
      <c r="D6117" s="13">
        <f t="shared" si="1"/>
        <v>5</v>
      </c>
      <c r="E6117" s="13">
        <f t="shared" si="2"/>
        <v>13</v>
      </c>
    </row>
    <row r="6118">
      <c r="A6118" s="4" t="s">
        <v>6757</v>
      </c>
      <c r="B6118" s="16"/>
      <c r="C6118" s="12">
        <f>IFERROR(__xludf.DUMMYFUNCTION("""COMPUTED_VALUE"""),44656.54394675926)</f>
        <v>44656.54395</v>
      </c>
      <c r="D6118" s="13">
        <f t="shared" si="1"/>
        <v>5</v>
      </c>
      <c r="E6118" s="13">
        <f t="shared" si="2"/>
        <v>13</v>
      </c>
    </row>
    <row r="6119">
      <c r="A6119" s="4" t="s">
        <v>6758</v>
      </c>
      <c r="B6119" s="16"/>
      <c r="C6119" s="12">
        <f>IFERROR(__xludf.DUMMYFUNCTION("""COMPUTED_VALUE"""),44656.54091435185)</f>
        <v>44656.54091</v>
      </c>
      <c r="D6119" s="13">
        <f t="shared" si="1"/>
        <v>5</v>
      </c>
      <c r="E6119" s="13">
        <f t="shared" si="2"/>
        <v>12</v>
      </c>
    </row>
    <row r="6120">
      <c r="A6120" s="4" t="s">
        <v>6759</v>
      </c>
      <c r="B6120" s="16"/>
      <c r="C6120" s="12">
        <f>IFERROR(__xludf.DUMMYFUNCTION("""COMPUTED_VALUE"""),44656.54077546296)</f>
        <v>44656.54078</v>
      </c>
      <c r="D6120" s="13">
        <f t="shared" si="1"/>
        <v>5</v>
      </c>
      <c r="E6120" s="13">
        <f t="shared" si="2"/>
        <v>12</v>
      </c>
    </row>
    <row r="6121">
      <c r="A6121" s="4" t="s">
        <v>6760</v>
      </c>
      <c r="B6121" s="16"/>
      <c r="C6121" s="12">
        <f>IFERROR(__xludf.DUMMYFUNCTION("""COMPUTED_VALUE"""),44656.53587962963)</f>
        <v>44656.53588</v>
      </c>
      <c r="D6121" s="13">
        <f t="shared" si="1"/>
        <v>5</v>
      </c>
      <c r="E6121" s="13">
        <f t="shared" si="2"/>
        <v>12</v>
      </c>
    </row>
    <row r="6122">
      <c r="A6122" s="4" t="s">
        <v>6761</v>
      </c>
      <c r="B6122" s="16"/>
      <c r="C6122" s="12">
        <f>IFERROR(__xludf.DUMMYFUNCTION("""COMPUTED_VALUE"""),44656.52116898148)</f>
        <v>44656.52117</v>
      </c>
      <c r="D6122" s="13">
        <f t="shared" si="1"/>
        <v>5</v>
      </c>
      <c r="E6122" s="13">
        <f t="shared" si="2"/>
        <v>12</v>
      </c>
    </row>
    <row r="6123">
      <c r="A6123" s="4" t="s">
        <v>6762</v>
      </c>
      <c r="B6123" s="16"/>
      <c r="C6123" s="12">
        <f>IFERROR(__xludf.DUMMYFUNCTION("""COMPUTED_VALUE"""),44656.465740740736)</f>
        <v>44656.46574</v>
      </c>
      <c r="D6123" s="13">
        <f t="shared" si="1"/>
        <v>5</v>
      </c>
      <c r="E6123" s="13">
        <f t="shared" si="2"/>
        <v>11</v>
      </c>
    </row>
    <row r="6124">
      <c r="A6124" s="4" t="s">
        <v>6763</v>
      </c>
      <c r="B6124" s="16"/>
      <c r="C6124" s="12">
        <f>IFERROR(__xludf.DUMMYFUNCTION("""COMPUTED_VALUE"""),44656.46517361111)</f>
        <v>44656.46517</v>
      </c>
      <c r="D6124" s="13">
        <f t="shared" si="1"/>
        <v>5</v>
      </c>
      <c r="E6124" s="13">
        <f t="shared" si="2"/>
        <v>11</v>
      </c>
    </row>
    <row r="6125">
      <c r="A6125" s="4" t="s">
        <v>6764</v>
      </c>
      <c r="B6125" s="16"/>
      <c r="C6125" s="12">
        <f>IFERROR(__xludf.DUMMYFUNCTION("""COMPUTED_VALUE"""),44656.46451388889)</f>
        <v>44656.46451</v>
      </c>
      <c r="D6125" s="13">
        <f t="shared" si="1"/>
        <v>5</v>
      </c>
      <c r="E6125" s="13">
        <f t="shared" si="2"/>
        <v>11</v>
      </c>
    </row>
    <row r="6126">
      <c r="A6126" s="4" t="s">
        <v>6765</v>
      </c>
      <c r="B6126" s="16"/>
      <c r="C6126" s="12">
        <f>IFERROR(__xludf.DUMMYFUNCTION("""COMPUTED_VALUE"""),44656.4627199074)</f>
        <v>44656.46272</v>
      </c>
      <c r="D6126" s="13">
        <f t="shared" si="1"/>
        <v>5</v>
      </c>
      <c r="E6126" s="13">
        <f t="shared" si="2"/>
        <v>11</v>
      </c>
    </row>
    <row r="6127">
      <c r="A6127" s="4" t="s">
        <v>6766</v>
      </c>
      <c r="B6127" s="16"/>
      <c r="C6127" s="12">
        <f>IFERROR(__xludf.DUMMYFUNCTION("""COMPUTED_VALUE"""),44656.453009259254)</f>
        <v>44656.45301</v>
      </c>
      <c r="D6127" s="13">
        <f t="shared" si="1"/>
        <v>5</v>
      </c>
      <c r="E6127" s="13">
        <f t="shared" si="2"/>
        <v>10</v>
      </c>
    </row>
    <row r="6128">
      <c r="A6128" s="4" t="s">
        <v>6767</v>
      </c>
      <c r="B6128" s="16"/>
      <c r="C6128" s="12">
        <f>IFERROR(__xludf.DUMMYFUNCTION("""COMPUTED_VALUE"""),44656.45253472222)</f>
        <v>44656.45253</v>
      </c>
      <c r="D6128" s="13">
        <f t="shared" si="1"/>
        <v>5</v>
      </c>
      <c r="E6128" s="13">
        <f t="shared" si="2"/>
        <v>10</v>
      </c>
    </row>
    <row r="6129">
      <c r="A6129" s="4" t="s">
        <v>6768</v>
      </c>
      <c r="B6129" s="16"/>
      <c r="C6129" s="12">
        <f>IFERROR(__xludf.DUMMYFUNCTION("""COMPUTED_VALUE"""),44656.44855324074)</f>
        <v>44656.44855</v>
      </c>
      <c r="D6129" s="13">
        <f t="shared" si="1"/>
        <v>5</v>
      </c>
      <c r="E6129" s="13">
        <f t="shared" si="2"/>
        <v>10</v>
      </c>
    </row>
    <row r="6130">
      <c r="A6130" s="4" t="s">
        <v>6769</v>
      </c>
      <c r="B6130" s="4" t="s">
        <v>6770</v>
      </c>
      <c r="C6130" s="12">
        <f>IFERROR(__xludf.DUMMYFUNCTION("""COMPUTED_VALUE"""),44656.44585648148)</f>
        <v>44656.44586</v>
      </c>
      <c r="D6130" s="13">
        <f t="shared" si="1"/>
        <v>5</v>
      </c>
      <c r="E6130" s="13">
        <f t="shared" si="2"/>
        <v>10</v>
      </c>
    </row>
    <row r="6131">
      <c r="A6131" s="4" t="s">
        <v>6771</v>
      </c>
      <c r="B6131" s="16"/>
      <c r="C6131" s="12">
        <f>IFERROR(__xludf.DUMMYFUNCTION("""COMPUTED_VALUE"""),44656.414375)</f>
        <v>44656.41438</v>
      </c>
      <c r="D6131" s="13">
        <f t="shared" si="1"/>
        <v>5</v>
      </c>
      <c r="E6131" s="13">
        <f t="shared" si="2"/>
        <v>9</v>
      </c>
    </row>
    <row r="6132">
      <c r="A6132" s="4" t="s">
        <v>6772</v>
      </c>
      <c r="B6132" s="16"/>
      <c r="C6132" s="12">
        <f>IFERROR(__xludf.DUMMYFUNCTION("""COMPUTED_VALUE"""),44656.41412037037)</f>
        <v>44656.41412</v>
      </c>
      <c r="D6132" s="13">
        <f t="shared" si="1"/>
        <v>5</v>
      </c>
      <c r="E6132" s="13">
        <f t="shared" si="2"/>
        <v>9</v>
      </c>
    </row>
    <row r="6133">
      <c r="A6133" s="4" t="s">
        <v>6773</v>
      </c>
      <c r="B6133" s="16"/>
      <c r="C6133" s="12">
        <f>IFERROR(__xludf.DUMMYFUNCTION("""COMPUTED_VALUE"""),44656.4140162037)</f>
        <v>44656.41402</v>
      </c>
      <c r="D6133" s="13">
        <f t="shared" si="1"/>
        <v>5</v>
      </c>
      <c r="E6133" s="13">
        <f t="shared" si="2"/>
        <v>9</v>
      </c>
    </row>
    <row r="6134">
      <c r="A6134" s="4" t="s">
        <v>6774</v>
      </c>
      <c r="B6134" s="16"/>
      <c r="C6134" s="12">
        <f>IFERROR(__xludf.DUMMYFUNCTION("""COMPUTED_VALUE"""),44656.413043981476)</f>
        <v>44656.41304</v>
      </c>
      <c r="D6134" s="13">
        <f t="shared" si="1"/>
        <v>5</v>
      </c>
      <c r="E6134" s="13">
        <f t="shared" si="2"/>
        <v>9</v>
      </c>
    </row>
    <row r="6135">
      <c r="A6135" s="4" t="s">
        <v>6775</v>
      </c>
      <c r="B6135" s="16"/>
      <c r="C6135" s="12">
        <f>IFERROR(__xludf.DUMMYFUNCTION("""COMPUTED_VALUE"""),44656.383252314816)</f>
        <v>44656.38325</v>
      </c>
      <c r="D6135" s="13">
        <f t="shared" si="1"/>
        <v>5</v>
      </c>
      <c r="E6135" s="13">
        <f t="shared" si="2"/>
        <v>9</v>
      </c>
    </row>
    <row r="6136">
      <c r="A6136" s="4" t="s">
        <v>6776</v>
      </c>
      <c r="B6136" s="16"/>
      <c r="C6136" s="12">
        <f>IFERROR(__xludf.DUMMYFUNCTION("""COMPUTED_VALUE"""),44656.38321759259)</f>
        <v>44656.38322</v>
      </c>
      <c r="D6136" s="13">
        <f t="shared" si="1"/>
        <v>5</v>
      </c>
      <c r="E6136" s="13">
        <f t="shared" si="2"/>
        <v>9</v>
      </c>
    </row>
    <row r="6137">
      <c r="A6137" s="4" t="s">
        <v>6777</v>
      </c>
      <c r="B6137" s="16"/>
      <c r="C6137" s="12">
        <f>IFERROR(__xludf.DUMMYFUNCTION("""COMPUTED_VALUE"""),44656.38318287037)</f>
        <v>44656.38318</v>
      </c>
      <c r="D6137" s="13">
        <f t="shared" si="1"/>
        <v>5</v>
      </c>
      <c r="E6137" s="13">
        <f t="shared" si="2"/>
        <v>9</v>
      </c>
    </row>
    <row r="6138">
      <c r="A6138" s="4" t="s">
        <v>6778</v>
      </c>
      <c r="B6138" s="16"/>
      <c r="C6138" s="12">
        <f>IFERROR(__xludf.DUMMYFUNCTION("""COMPUTED_VALUE"""),44656.38315972222)</f>
        <v>44656.38316</v>
      </c>
      <c r="D6138" s="13">
        <f t="shared" si="1"/>
        <v>5</v>
      </c>
      <c r="E6138" s="13">
        <f t="shared" si="2"/>
        <v>9</v>
      </c>
    </row>
    <row r="6139">
      <c r="A6139" s="4" t="s">
        <v>6779</v>
      </c>
      <c r="B6139" s="16"/>
      <c r="C6139" s="12">
        <f>IFERROR(__xludf.DUMMYFUNCTION("""COMPUTED_VALUE"""),44656.382951388885)</f>
        <v>44656.38295</v>
      </c>
      <c r="D6139" s="13">
        <f t="shared" si="1"/>
        <v>5</v>
      </c>
      <c r="E6139" s="13">
        <f t="shared" si="2"/>
        <v>9</v>
      </c>
    </row>
    <row r="6140">
      <c r="A6140" s="4" t="s">
        <v>6780</v>
      </c>
      <c r="B6140" s="16"/>
      <c r="C6140" s="12">
        <f>IFERROR(__xludf.DUMMYFUNCTION("""COMPUTED_VALUE"""),44656.382939814815)</f>
        <v>44656.38294</v>
      </c>
      <c r="D6140" s="13">
        <f t="shared" si="1"/>
        <v>5</v>
      </c>
      <c r="E6140" s="13">
        <f t="shared" si="2"/>
        <v>9</v>
      </c>
    </row>
    <row r="6141">
      <c r="A6141" s="4" t="s">
        <v>6781</v>
      </c>
      <c r="B6141" s="16"/>
      <c r="C6141" s="12">
        <f>IFERROR(__xludf.DUMMYFUNCTION("""COMPUTED_VALUE"""),44656.38291666666)</f>
        <v>44656.38292</v>
      </c>
      <c r="D6141" s="13">
        <f t="shared" si="1"/>
        <v>5</v>
      </c>
      <c r="E6141" s="13">
        <f t="shared" si="2"/>
        <v>9</v>
      </c>
    </row>
    <row r="6142">
      <c r="A6142" s="4" t="s">
        <v>6782</v>
      </c>
      <c r="B6142" s="16"/>
      <c r="C6142" s="12">
        <f>IFERROR(__xludf.DUMMYFUNCTION("""COMPUTED_VALUE"""),44656.382893518516)</f>
        <v>44656.38289</v>
      </c>
      <c r="D6142" s="13">
        <f t="shared" si="1"/>
        <v>5</v>
      </c>
      <c r="E6142" s="13">
        <f t="shared" si="2"/>
        <v>9</v>
      </c>
    </row>
    <row r="6143">
      <c r="A6143" s="4" t="s">
        <v>6783</v>
      </c>
      <c r="B6143" s="16"/>
      <c r="C6143" s="12">
        <f>IFERROR(__xludf.DUMMYFUNCTION("""COMPUTED_VALUE"""),44656.38287037037)</f>
        <v>44656.38287</v>
      </c>
      <c r="D6143" s="13">
        <f t="shared" si="1"/>
        <v>5</v>
      </c>
      <c r="E6143" s="13">
        <f t="shared" si="2"/>
        <v>9</v>
      </c>
    </row>
    <row r="6144">
      <c r="A6144" s="4" t="s">
        <v>6784</v>
      </c>
      <c r="B6144" s="16"/>
      <c r="C6144" s="12">
        <f>IFERROR(__xludf.DUMMYFUNCTION("""COMPUTED_VALUE"""),44656.38284722222)</f>
        <v>44656.38285</v>
      </c>
      <c r="D6144" s="13">
        <f t="shared" si="1"/>
        <v>5</v>
      </c>
      <c r="E6144" s="13">
        <f t="shared" si="2"/>
        <v>9</v>
      </c>
    </row>
    <row r="6145">
      <c r="A6145" s="4" t="s">
        <v>6785</v>
      </c>
      <c r="B6145" s="16"/>
      <c r="C6145" s="12">
        <f>IFERROR(__xludf.DUMMYFUNCTION("""COMPUTED_VALUE"""),44656.382835648146)</f>
        <v>44656.38284</v>
      </c>
      <c r="D6145" s="13">
        <f t="shared" si="1"/>
        <v>5</v>
      </c>
      <c r="E6145" s="13">
        <f t="shared" si="2"/>
        <v>9</v>
      </c>
    </row>
    <row r="6146">
      <c r="A6146" s="4" t="s">
        <v>6786</v>
      </c>
      <c r="B6146" s="16"/>
      <c r="C6146" s="12">
        <f>IFERROR(__xludf.DUMMYFUNCTION("""COMPUTED_VALUE"""),44656.38275462963)</f>
        <v>44656.38275</v>
      </c>
      <c r="D6146" s="13">
        <f t="shared" si="1"/>
        <v>5</v>
      </c>
      <c r="E6146" s="13">
        <f t="shared" si="2"/>
        <v>9</v>
      </c>
    </row>
    <row r="6147">
      <c r="A6147" s="4" t="s">
        <v>6787</v>
      </c>
      <c r="B6147" s="16"/>
      <c r="C6147" s="12">
        <f>IFERROR(__xludf.DUMMYFUNCTION("""COMPUTED_VALUE"""),44656.38273148148)</f>
        <v>44656.38273</v>
      </c>
      <c r="D6147" s="13">
        <f t="shared" si="1"/>
        <v>5</v>
      </c>
      <c r="E6147" s="13">
        <f t="shared" si="2"/>
        <v>9</v>
      </c>
    </row>
    <row r="6148">
      <c r="A6148" s="4" t="s">
        <v>6788</v>
      </c>
      <c r="B6148" s="16"/>
      <c r="C6148" s="12">
        <f>IFERROR(__xludf.DUMMYFUNCTION("""COMPUTED_VALUE"""),44656.38267361111)</f>
        <v>44656.38267</v>
      </c>
      <c r="D6148" s="13">
        <f t="shared" si="1"/>
        <v>5</v>
      </c>
      <c r="E6148" s="13">
        <f t="shared" si="2"/>
        <v>9</v>
      </c>
    </row>
    <row r="6149">
      <c r="A6149" s="4" t="s">
        <v>6789</v>
      </c>
      <c r="B6149" s="16"/>
      <c r="C6149" s="12">
        <f>IFERROR(__xludf.DUMMYFUNCTION("""COMPUTED_VALUE"""),44656.382638888885)</f>
        <v>44656.38264</v>
      </c>
      <c r="D6149" s="13">
        <f t="shared" si="1"/>
        <v>5</v>
      </c>
      <c r="E6149" s="13">
        <f t="shared" si="2"/>
        <v>9</v>
      </c>
    </row>
    <row r="6150">
      <c r="A6150" s="4" t="s">
        <v>6790</v>
      </c>
      <c r="B6150" s="16"/>
      <c r="C6150" s="12">
        <f>IFERROR(__xludf.DUMMYFUNCTION("""COMPUTED_VALUE"""),44656.38255787037)</f>
        <v>44656.38256</v>
      </c>
      <c r="D6150" s="13">
        <f t="shared" si="1"/>
        <v>5</v>
      </c>
      <c r="E6150" s="13">
        <f t="shared" si="2"/>
        <v>9</v>
      </c>
    </row>
    <row r="6151">
      <c r="A6151" s="4" t="s">
        <v>6791</v>
      </c>
      <c r="B6151" s="16"/>
      <c r="C6151" s="12">
        <f>IFERROR(__xludf.DUMMYFUNCTION("""COMPUTED_VALUE"""),44656.38254629629)</f>
        <v>44656.38255</v>
      </c>
      <c r="D6151" s="13">
        <f t="shared" si="1"/>
        <v>5</v>
      </c>
      <c r="E6151" s="13">
        <f t="shared" si="2"/>
        <v>9</v>
      </c>
    </row>
    <row r="6152">
      <c r="A6152" s="4" t="s">
        <v>6792</v>
      </c>
      <c r="B6152" s="16"/>
      <c r="C6152" s="12">
        <f>IFERROR(__xludf.DUMMYFUNCTION("""COMPUTED_VALUE"""),44656.382523148146)</f>
        <v>44656.38252</v>
      </c>
      <c r="D6152" s="13">
        <f t="shared" si="1"/>
        <v>5</v>
      </c>
      <c r="E6152" s="13">
        <f t="shared" si="2"/>
        <v>9</v>
      </c>
    </row>
    <row r="6153">
      <c r="A6153" s="4" t="s">
        <v>6793</v>
      </c>
      <c r="B6153" s="16"/>
      <c r="C6153" s="12">
        <f>IFERROR(__xludf.DUMMYFUNCTION("""COMPUTED_VALUE"""),44656.3825)</f>
        <v>44656.3825</v>
      </c>
      <c r="D6153" s="13">
        <f t="shared" si="1"/>
        <v>5</v>
      </c>
      <c r="E6153" s="13">
        <f t="shared" si="2"/>
        <v>9</v>
      </c>
    </row>
    <row r="6154">
      <c r="A6154" s="4" t="s">
        <v>6794</v>
      </c>
      <c r="B6154" s="16"/>
      <c r="C6154" s="12">
        <f>IFERROR(__xludf.DUMMYFUNCTION("""COMPUTED_VALUE"""),44656.382476851846)</f>
        <v>44656.38248</v>
      </c>
      <c r="D6154" s="13">
        <f t="shared" si="1"/>
        <v>5</v>
      </c>
      <c r="E6154" s="13">
        <f t="shared" si="2"/>
        <v>9</v>
      </c>
    </row>
    <row r="6155">
      <c r="A6155" s="4" t="s">
        <v>6795</v>
      </c>
      <c r="B6155" s="16"/>
      <c r="C6155" s="12">
        <f>IFERROR(__xludf.DUMMYFUNCTION("""COMPUTED_VALUE"""),44656.3824537037)</f>
        <v>44656.38245</v>
      </c>
      <c r="D6155" s="13">
        <f t="shared" si="1"/>
        <v>5</v>
      </c>
      <c r="E6155" s="13">
        <f t="shared" si="2"/>
        <v>9</v>
      </c>
    </row>
    <row r="6156">
      <c r="A6156" s="4" t="s">
        <v>6796</v>
      </c>
      <c r="B6156" s="16"/>
      <c r="C6156" s="12">
        <f>IFERROR(__xludf.DUMMYFUNCTION("""COMPUTED_VALUE"""),44656.38244212963)</f>
        <v>44656.38244</v>
      </c>
      <c r="D6156" s="13">
        <f t="shared" si="1"/>
        <v>5</v>
      </c>
      <c r="E6156" s="13">
        <f t="shared" si="2"/>
        <v>9</v>
      </c>
    </row>
    <row r="6157">
      <c r="A6157" s="4" t="s">
        <v>6797</v>
      </c>
      <c r="B6157" s="16"/>
      <c r="C6157" s="12">
        <f>IFERROR(__xludf.DUMMYFUNCTION("""COMPUTED_VALUE"""),44656.38241898148)</f>
        <v>44656.38242</v>
      </c>
      <c r="D6157" s="13">
        <f t="shared" si="1"/>
        <v>5</v>
      </c>
      <c r="E6157" s="13">
        <f t="shared" si="2"/>
        <v>9</v>
      </c>
    </row>
    <row r="6158">
      <c r="A6158" s="4" t="s">
        <v>6798</v>
      </c>
      <c r="B6158" s="16"/>
      <c r="C6158" s="12">
        <f>IFERROR(__xludf.DUMMYFUNCTION("""COMPUTED_VALUE"""),44656.382384259254)</f>
        <v>44656.38238</v>
      </c>
      <c r="D6158" s="13">
        <f t="shared" si="1"/>
        <v>5</v>
      </c>
      <c r="E6158" s="13">
        <f t="shared" si="2"/>
        <v>9</v>
      </c>
    </row>
    <row r="6159">
      <c r="A6159" s="4" t="s">
        <v>6799</v>
      </c>
      <c r="B6159" s="16"/>
      <c r="C6159" s="12">
        <f>IFERROR(__xludf.DUMMYFUNCTION("""COMPUTED_VALUE"""),44656.38212962963)</f>
        <v>44656.38213</v>
      </c>
      <c r="D6159" s="13">
        <f t="shared" si="1"/>
        <v>5</v>
      </c>
      <c r="E6159" s="13">
        <f t="shared" si="2"/>
        <v>9</v>
      </c>
    </row>
    <row r="6160">
      <c r="A6160" s="4" t="s">
        <v>6800</v>
      </c>
      <c r="B6160" s="16"/>
      <c r="C6160" s="12">
        <f>IFERROR(__xludf.DUMMYFUNCTION("""COMPUTED_VALUE"""),44656.38210648148)</f>
        <v>44656.38211</v>
      </c>
      <c r="D6160" s="13">
        <f t="shared" si="1"/>
        <v>5</v>
      </c>
      <c r="E6160" s="13">
        <f t="shared" si="2"/>
        <v>9</v>
      </c>
    </row>
    <row r="6161">
      <c r="A6161" s="4" t="s">
        <v>6801</v>
      </c>
      <c r="B6161" s="16"/>
      <c r="C6161" s="12">
        <f>IFERROR(__xludf.DUMMYFUNCTION("""COMPUTED_VALUE"""),44656.38208333333)</f>
        <v>44656.38208</v>
      </c>
      <c r="D6161" s="13">
        <f t="shared" si="1"/>
        <v>5</v>
      </c>
      <c r="E6161" s="13">
        <f t="shared" si="2"/>
        <v>9</v>
      </c>
    </row>
    <row r="6162">
      <c r="A6162" s="4" t="s">
        <v>6802</v>
      </c>
      <c r="B6162" s="16"/>
      <c r="C6162" s="12">
        <f>IFERROR(__xludf.DUMMYFUNCTION("""COMPUTED_VALUE"""),44656.382060185184)</f>
        <v>44656.38206</v>
      </c>
      <c r="D6162" s="13">
        <f t="shared" si="1"/>
        <v>5</v>
      </c>
      <c r="E6162" s="13">
        <f t="shared" si="2"/>
        <v>9</v>
      </c>
    </row>
    <row r="6163">
      <c r="A6163" s="4" t="s">
        <v>6803</v>
      </c>
      <c r="B6163" s="16"/>
      <c r="C6163" s="12">
        <f>IFERROR(__xludf.DUMMYFUNCTION("""COMPUTED_VALUE"""),44656.38203703704)</f>
        <v>44656.38204</v>
      </c>
      <c r="D6163" s="13">
        <f t="shared" si="1"/>
        <v>5</v>
      </c>
      <c r="E6163" s="13">
        <f t="shared" si="2"/>
        <v>9</v>
      </c>
    </row>
    <row r="6164">
      <c r="A6164" s="4" t="s">
        <v>6804</v>
      </c>
      <c r="B6164" s="16"/>
      <c r="C6164" s="12">
        <f>IFERROR(__xludf.DUMMYFUNCTION("""COMPUTED_VALUE"""),44656.02990740741)</f>
        <v>44656.02991</v>
      </c>
      <c r="D6164" s="13">
        <f t="shared" si="1"/>
        <v>5</v>
      </c>
      <c r="E6164" s="13">
        <f t="shared" si="2"/>
        <v>0</v>
      </c>
    </row>
    <row r="6165">
      <c r="A6165" s="4" t="s">
        <v>6805</v>
      </c>
      <c r="B6165" s="16"/>
      <c r="C6165" s="12">
        <f>IFERROR(__xludf.DUMMYFUNCTION("""COMPUTED_VALUE"""),44655.93414351852)</f>
        <v>44655.93414</v>
      </c>
      <c r="D6165" s="13">
        <f t="shared" si="1"/>
        <v>4</v>
      </c>
      <c r="E6165" s="13">
        <f t="shared" si="2"/>
        <v>22</v>
      </c>
    </row>
    <row r="6166">
      <c r="A6166" s="4" t="s">
        <v>6806</v>
      </c>
      <c r="B6166" s="16"/>
      <c r="C6166" s="12">
        <f>IFERROR(__xludf.DUMMYFUNCTION("""COMPUTED_VALUE"""),44655.92854166666)</f>
        <v>44655.92854</v>
      </c>
      <c r="D6166" s="13">
        <f t="shared" si="1"/>
        <v>4</v>
      </c>
      <c r="E6166" s="13">
        <f t="shared" si="2"/>
        <v>22</v>
      </c>
    </row>
    <row r="6167">
      <c r="A6167" s="4" t="s">
        <v>6807</v>
      </c>
      <c r="B6167" s="16"/>
      <c r="C6167" s="12">
        <f>IFERROR(__xludf.DUMMYFUNCTION("""COMPUTED_VALUE"""),44655.92407407407)</f>
        <v>44655.92407</v>
      </c>
      <c r="D6167" s="13">
        <f t="shared" si="1"/>
        <v>4</v>
      </c>
      <c r="E6167" s="13">
        <f t="shared" si="2"/>
        <v>22</v>
      </c>
    </row>
    <row r="6168">
      <c r="A6168" s="4" t="s">
        <v>6808</v>
      </c>
      <c r="B6168" s="16"/>
      <c r="C6168" s="12">
        <f>IFERROR(__xludf.DUMMYFUNCTION("""COMPUTED_VALUE"""),44655.90306712963)</f>
        <v>44655.90307</v>
      </c>
      <c r="D6168" s="13">
        <f t="shared" si="1"/>
        <v>4</v>
      </c>
      <c r="E6168" s="13">
        <f t="shared" si="2"/>
        <v>21</v>
      </c>
    </row>
    <row r="6169">
      <c r="A6169" s="4" t="s">
        <v>6809</v>
      </c>
      <c r="B6169" s="4" t="s">
        <v>6810</v>
      </c>
      <c r="C6169" s="12">
        <f>IFERROR(__xludf.DUMMYFUNCTION("""COMPUTED_VALUE"""),44655.89666666667)</f>
        <v>44655.89667</v>
      </c>
      <c r="D6169" s="13">
        <f t="shared" si="1"/>
        <v>4</v>
      </c>
      <c r="E6169" s="13">
        <f t="shared" si="2"/>
        <v>21</v>
      </c>
    </row>
    <row r="6170">
      <c r="A6170" s="4" t="s">
        <v>6811</v>
      </c>
      <c r="B6170" s="16"/>
      <c r="C6170" s="12">
        <f>IFERROR(__xludf.DUMMYFUNCTION("""COMPUTED_VALUE"""),44655.88543981481)</f>
        <v>44655.88544</v>
      </c>
      <c r="D6170" s="13">
        <f t="shared" si="1"/>
        <v>4</v>
      </c>
      <c r="E6170" s="13">
        <f t="shared" si="2"/>
        <v>21</v>
      </c>
    </row>
    <row r="6171">
      <c r="A6171" s="4" t="s">
        <v>6812</v>
      </c>
      <c r="B6171" s="4" t="s">
        <v>6436</v>
      </c>
      <c r="C6171" s="12">
        <f>IFERROR(__xludf.DUMMYFUNCTION("""COMPUTED_VALUE"""),44655.85650462963)</f>
        <v>44655.8565</v>
      </c>
      <c r="D6171" s="13">
        <f t="shared" si="1"/>
        <v>4</v>
      </c>
      <c r="E6171" s="13">
        <f t="shared" si="2"/>
        <v>20</v>
      </c>
    </row>
    <row r="6172">
      <c r="A6172" s="4" t="s">
        <v>6813</v>
      </c>
      <c r="B6172" s="16"/>
      <c r="C6172" s="12">
        <f>IFERROR(__xludf.DUMMYFUNCTION("""COMPUTED_VALUE"""),44655.85616898148)</f>
        <v>44655.85617</v>
      </c>
      <c r="D6172" s="13">
        <f t="shared" si="1"/>
        <v>4</v>
      </c>
      <c r="E6172" s="13">
        <f t="shared" si="2"/>
        <v>20</v>
      </c>
    </row>
    <row r="6173">
      <c r="A6173" s="4" t="s">
        <v>6814</v>
      </c>
      <c r="B6173" s="16"/>
      <c r="C6173" s="12">
        <f>IFERROR(__xludf.DUMMYFUNCTION("""COMPUTED_VALUE"""),44655.85613425926)</f>
        <v>44655.85613</v>
      </c>
      <c r="D6173" s="13">
        <f t="shared" si="1"/>
        <v>4</v>
      </c>
      <c r="E6173" s="13">
        <f t="shared" si="2"/>
        <v>20</v>
      </c>
    </row>
    <row r="6174">
      <c r="A6174" s="4" t="s">
        <v>6815</v>
      </c>
      <c r="B6174" s="16"/>
      <c r="C6174" s="12">
        <f>IFERROR(__xludf.DUMMYFUNCTION("""COMPUTED_VALUE"""),44655.85612268518)</f>
        <v>44655.85612</v>
      </c>
      <c r="D6174" s="13">
        <f t="shared" si="1"/>
        <v>4</v>
      </c>
      <c r="E6174" s="13">
        <f t="shared" si="2"/>
        <v>20</v>
      </c>
    </row>
    <row r="6175">
      <c r="A6175" s="4" t="s">
        <v>6816</v>
      </c>
      <c r="B6175" s="16"/>
      <c r="C6175" s="12">
        <f>IFERROR(__xludf.DUMMYFUNCTION("""COMPUTED_VALUE"""),44655.83201388889)</f>
        <v>44655.83201</v>
      </c>
      <c r="D6175" s="13">
        <f t="shared" si="1"/>
        <v>4</v>
      </c>
      <c r="E6175" s="13">
        <f t="shared" si="2"/>
        <v>19</v>
      </c>
    </row>
    <row r="6176">
      <c r="A6176" s="4" t="s">
        <v>6817</v>
      </c>
      <c r="B6176" s="16"/>
      <c r="C6176" s="12">
        <f>IFERROR(__xludf.DUMMYFUNCTION("""COMPUTED_VALUE"""),44655.80798611111)</f>
        <v>44655.80799</v>
      </c>
      <c r="D6176" s="13">
        <f t="shared" si="1"/>
        <v>4</v>
      </c>
      <c r="E6176" s="13">
        <f t="shared" si="2"/>
        <v>19</v>
      </c>
    </row>
    <row r="6177">
      <c r="A6177" s="4" t="s">
        <v>6818</v>
      </c>
      <c r="B6177" s="16"/>
      <c r="C6177" s="12">
        <f>IFERROR(__xludf.DUMMYFUNCTION("""COMPUTED_VALUE"""),44655.765879629624)</f>
        <v>44655.76588</v>
      </c>
      <c r="D6177" s="13">
        <f t="shared" si="1"/>
        <v>4</v>
      </c>
      <c r="E6177" s="13">
        <f t="shared" si="2"/>
        <v>18</v>
      </c>
    </row>
    <row r="6178">
      <c r="A6178" s="4" t="s">
        <v>6819</v>
      </c>
      <c r="B6178" s="16"/>
      <c r="C6178" s="12">
        <f>IFERROR(__xludf.DUMMYFUNCTION("""COMPUTED_VALUE"""),44655.76578703703)</f>
        <v>44655.76579</v>
      </c>
      <c r="D6178" s="13">
        <f t="shared" si="1"/>
        <v>4</v>
      </c>
      <c r="E6178" s="13">
        <f t="shared" si="2"/>
        <v>18</v>
      </c>
    </row>
    <row r="6179">
      <c r="A6179" s="4" t="s">
        <v>6820</v>
      </c>
      <c r="B6179" s="16"/>
      <c r="C6179" s="12">
        <f>IFERROR(__xludf.DUMMYFUNCTION("""COMPUTED_VALUE"""),44655.76565972222)</f>
        <v>44655.76566</v>
      </c>
      <c r="D6179" s="13">
        <f t="shared" si="1"/>
        <v>4</v>
      </c>
      <c r="E6179" s="13">
        <f t="shared" si="2"/>
        <v>18</v>
      </c>
    </row>
    <row r="6180">
      <c r="A6180" s="4" t="s">
        <v>6821</v>
      </c>
      <c r="B6180" s="16"/>
      <c r="C6180" s="12">
        <f>IFERROR(__xludf.DUMMYFUNCTION("""COMPUTED_VALUE"""),44655.7653125)</f>
        <v>44655.76531</v>
      </c>
      <c r="D6180" s="13">
        <f t="shared" si="1"/>
        <v>4</v>
      </c>
      <c r="E6180" s="13">
        <f t="shared" si="2"/>
        <v>18</v>
      </c>
    </row>
    <row r="6181">
      <c r="A6181" s="4" t="s">
        <v>6822</v>
      </c>
      <c r="B6181" s="16"/>
      <c r="C6181" s="12">
        <f>IFERROR(__xludf.DUMMYFUNCTION("""COMPUTED_VALUE"""),44655.760995370365)</f>
        <v>44655.761</v>
      </c>
      <c r="D6181" s="13">
        <f t="shared" si="1"/>
        <v>4</v>
      </c>
      <c r="E6181" s="13">
        <f t="shared" si="2"/>
        <v>18</v>
      </c>
    </row>
    <row r="6182">
      <c r="A6182" s="4" t="s">
        <v>6823</v>
      </c>
      <c r="B6182" s="16"/>
      <c r="C6182" s="12">
        <f>IFERROR(__xludf.DUMMYFUNCTION("""COMPUTED_VALUE"""),44655.76074074074)</f>
        <v>44655.76074</v>
      </c>
      <c r="D6182" s="13">
        <f t="shared" si="1"/>
        <v>4</v>
      </c>
      <c r="E6182" s="13">
        <f t="shared" si="2"/>
        <v>18</v>
      </c>
    </row>
    <row r="6183">
      <c r="A6183" s="4" t="s">
        <v>6824</v>
      </c>
      <c r="B6183" s="16"/>
      <c r="C6183" s="12">
        <f>IFERROR(__xludf.DUMMYFUNCTION("""COMPUTED_VALUE"""),44655.7605324074)</f>
        <v>44655.76053</v>
      </c>
      <c r="D6183" s="13">
        <f t="shared" si="1"/>
        <v>4</v>
      </c>
      <c r="E6183" s="13">
        <f t="shared" si="2"/>
        <v>18</v>
      </c>
    </row>
    <row r="6184">
      <c r="A6184" s="4" t="s">
        <v>6825</v>
      </c>
      <c r="B6184" s="16"/>
      <c r="C6184" s="12">
        <f>IFERROR(__xludf.DUMMYFUNCTION("""COMPUTED_VALUE"""),44655.75780092592)</f>
        <v>44655.7578</v>
      </c>
      <c r="D6184" s="13">
        <f t="shared" si="1"/>
        <v>4</v>
      </c>
      <c r="E6184" s="13">
        <f t="shared" si="2"/>
        <v>18</v>
      </c>
    </row>
    <row r="6185">
      <c r="A6185" s="4" t="s">
        <v>6826</v>
      </c>
      <c r="B6185" s="16"/>
      <c r="C6185" s="12">
        <f>IFERROR(__xludf.DUMMYFUNCTION("""COMPUTED_VALUE"""),44655.75743055555)</f>
        <v>44655.75743</v>
      </c>
      <c r="D6185" s="13">
        <f t="shared" si="1"/>
        <v>4</v>
      </c>
      <c r="E6185" s="13">
        <f t="shared" si="2"/>
        <v>18</v>
      </c>
    </row>
    <row r="6186">
      <c r="A6186" s="4" t="s">
        <v>6827</v>
      </c>
      <c r="B6186" s="16"/>
      <c r="C6186" s="12">
        <f>IFERROR(__xludf.DUMMYFUNCTION("""COMPUTED_VALUE"""),44655.75079861111)</f>
        <v>44655.7508</v>
      </c>
      <c r="D6186" s="13">
        <f t="shared" si="1"/>
        <v>4</v>
      </c>
      <c r="E6186" s="13">
        <f t="shared" si="2"/>
        <v>18</v>
      </c>
    </row>
    <row r="6187">
      <c r="A6187" s="4" t="s">
        <v>6828</v>
      </c>
      <c r="B6187" s="16"/>
      <c r="C6187" s="12">
        <f>IFERROR(__xludf.DUMMYFUNCTION("""COMPUTED_VALUE"""),44655.71760416666)</f>
        <v>44655.7176</v>
      </c>
      <c r="D6187" s="13">
        <f t="shared" si="1"/>
        <v>4</v>
      </c>
      <c r="E6187" s="13">
        <f t="shared" si="2"/>
        <v>17</v>
      </c>
    </row>
    <row r="6188">
      <c r="A6188" s="4" t="s">
        <v>6829</v>
      </c>
      <c r="B6188" s="16"/>
      <c r="C6188" s="12">
        <f>IFERROR(__xludf.DUMMYFUNCTION("""COMPUTED_VALUE"""),44655.717569444445)</f>
        <v>44655.71757</v>
      </c>
      <c r="D6188" s="13">
        <f t="shared" si="1"/>
        <v>4</v>
      </c>
      <c r="E6188" s="13">
        <f t="shared" si="2"/>
        <v>17</v>
      </c>
    </row>
    <row r="6189">
      <c r="A6189" s="4" t="s">
        <v>6830</v>
      </c>
      <c r="B6189" s="16"/>
      <c r="C6189" s="12">
        <f>IFERROR(__xludf.DUMMYFUNCTION("""COMPUTED_VALUE"""),44655.71753472222)</f>
        <v>44655.71753</v>
      </c>
      <c r="D6189" s="13">
        <f t="shared" si="1"/>
        <v>4</v>
      </c>
      <c r="E6189" s="13">
        <f t="shared" si="2"/>
        <v>17</v>
      </c>
    </row>
    <row r="6190">
      <c r="A6190" s="4" t="s">
        <v>6831</v>
      </c>
      <c r="B6190" s="16"/>
      <c r="C6190" s="12">
        <f>IFERROR(__xludf.DUMMYFUNCTION("""COMPUTED_VALUE"""),44655.7175)</f>
        <v>44655.7175</v>
      </c>
      <c r="D6190" s="13">
        <f t="shared" si="1"/>
        <v>4</v>
      </c>
      <c r="E6190" s="13">
        <f t="shared" si="2"/>
        <v>17</v>
      </c>
    </row>
    <row r="6191">
      <c r="A6191" s="4" t="s">
        <v>6832</v>
      </c>
      <c r="B6191" s="16"/>
      <c r="C6191" s="12">
        <f>IFERROR(__xludf.DUMMYFUNCTION("""COMPUTED_VALUE"""),44655.71747685185)</f>
        <v>44655.71748</v>
      </c>
      <c r="D6191" s="13">
        <f t="shared" si="1"/>
        <v>4</v>
      </c>
      <c r="E6191" s="13">
        <f t="shared" si="2"/>
        <v>17</v>
      </c>
    </row>
    <row r="6192">
      <c r="A6192" s="4" t="s">
        <v>6833</v>
      </c>
      <c r="B6192" s="16"/>
      <c r="C6192" s="12">
        <f>IFERROR(__xludf.DUMMYFUNCTION("""COMPUTED_VALUE"""),44655.71744212963)</f>
        <v>44655.71744</v>
      </c>
      <c r="D6192" s="13">
        <f t="shared" si="1"/>
        <v>4</v>
      </c>
      <c r="E6192" s="13">
        <f t="shared" si="2"/>
        <v>17</v>
      </c>
    </row>
    <row r="6193">
      <c r="A6193" s="4" t="s">
        <v>6834</v>
      </c>
      <c r="B6193" s="16"/>
      <c r="C6193" s="12">
        <f>IFERROR(__xludf.DUMMYFUNCTION("""COMPUTED_VALUE"""),44655.71736111111)</f>
        <v>44655.71736</v>
      </c>
      <c r="D6193" s="13">
        <f t="shared" si="1"/>
        <v>4</v>
      </c>
      <c r="E6193" s="13">
        <f t="shared" si="2"/>
        <v>17</v>
      </c>
    </row>
    <row r="6194">
      <c r="A6194" s="4" t="s">
        <v>6835</v>
      </c>
      <c r="B6194" s="16"/>
      <c r="C6194" s="12">
        <f>IFERROR(__xludf.DUMMYFUNCTION("""COMPUTED_VALUE"""),44655.71732638888)</f>
        <v>44655.71733</v>
      </c>
      <c r="D6194" s="13">
        <f t="shared" si="1"/>
        <v>4</v>
      </c>
      <c r="E6194" s="13">
        <f t="shared" si="2"/>
        <v>17</v>
      </c>
    </row>
    <row r="6195">
      <c r="A6195" s="4" t="s">
        <v>6836</v>
      </c>
      <c r="B6195" s="16"/>
      <c r="C6195" s="12">
        <f>IFERROR(__xludf.DUMMYFUNCTION("""COMPUTED_VALUE"""),44655.71729166667)</f>
        <v>44655.71729</v>
      </c>
      <c r="D6195" s="13">
        <f t="shared" si="1"/>
        <v>4</v>
      </c>
      <c r="E6195" s="13">
        <f t="shared" si="2"/>
        <v>17</v>
      </c>
    </row>
    <row r="6196">
      <c r="A6196" s="4" t="s">
        <v>6837</v>
      </c>
      <c r="B6196" s="16"/>
      <c r="C6196" s="12">
        <f>IFERROR(__xludf.DUMMYFUNCTION("""COMPUTED_VALUE"""),44655.71724537037)</f>
        <v>44655.71725</v>
      </c>
      <c r="D6196" s="13">
        <f t="shared" si="1"/>
        <v>4</v>
      </c>
      <c r="E6196" s="13">
        <f t="shared" si="2"/>
        <v>17</v>
      </c>
    </row>
    <row r="6197">
      <c r="A6197" s="4" t="s">
        <v>6838</v>
      </c>
      <c r="B6197" s="16"/>
      <c r="C6197" s="12">
        <f>IFERROR(__xludf.DUMMYFUNCTION("""COMPUTED_VALUE"""),44655.717210648145)</f>
        <v>44655.71721</v>
      </c>
      <c r="D6197" s="13">
        <f t="shared" si="1"/>
        <v>4</v>
      </c>
      <c r="E6197" s="13">
        <f t="shared" si="2"/>
        <v>17</v>
      </c>
    </row>
    <row r="6198">
      <c r="A6198" s="4" t="s">
        <v>6839</v>
      </c>
      <c r="B6198" s="16"/>
      <c r="C6198" s="12">
        <f>IFERROR(__xludf.DUMMYFUNCTION("""COMPUTED_VALUE"""),44655.716875)</f>
        <v>44655.71688</v>
      </c>
      <c r="D6198" s="13">
        <f t="shared" si="1"/>
        <v>4</v>
      </c>
      <c r="E6198" s="13">
        <f t="shared" si="2"/>
        <v>17</v>
      </c>
    </row>
    <row r="6199">
      <c r="A6199" s="4" t="s">
        <v>6840</v>
      </c>
      <c r="B6199" s="16"/>
      <c r="C6199" s="12">
        <f>IFERROR(__xludf.DUMMYFUNCTION("""COMPUTED_VALUE"""),44655.71685185185)</f>
        <v>44655.71685</v>
      </c>
      <c r="D6199" s="13">
        <f t="shared" si="1"/>
        <v>4</v>
      </c>
      <c r="E6199" s="13">
        <f t="shared" si="2"/>
        <v>17</v>
      </c>
    </row>
    <row r="6200">
      <c r="A6200" s="4" t="s">
        <v>6841</v>
      </c>
      <c r="B6200" s="16"/>
      <c r="C6200" s="12">
        <f>IFERROR(__xludf.DUMMYFUNCTION("""COMPUTED_VALUE"""),44655.71481481481)</f>
        <v>44655.71481</v>
      </c>
      <c r="D6200" s="13">
        <f t="shared" si="1"/>
        <v>4</v>
      </c>
      <c r="E6200" s="13">
        <f t="shared" si="2"/>
        <v>17</v>
      </c>
    </row>
    <row r="6201">
      <c r="A6201" s="4" t="s">
        <v>6842</v>
      </c>
      <c r="B6201" s="16"/>
      <c r="C6201" s="12">
        <f>IFERROR(__xludf.DUMMYFUNCTION("""COMPUTED_VALUE"""),44655.666446759256)</f>
        <v>44655.66645</v>
      </c>
      <c r="D6201" s="13">
        <f t="shared" si="1"/>
        <v>4</v>
      </c>
      <c r="E6201" s="13">
        <f t="shared" si="2"/>
        <v>15</v>
      </c>
    </row>
    <row r="6202">
      <c r="A6202" s="4" t="s">
        <v>6843</v>
      </c>
      <c r="B6202" s="16"/>
      <c r="C6202" s="12">
        <f>IFERROR(__xludf.DUMMYFUNCTION("""COMPUTED_VALUE"""),44655.65949074074)</f>
        <v>44655.65949</v>
      </c>
      <c r="D6202" s="13">
        <f t="shared" si="1"/>
        <v>4</v>
      </c>
      <c r="E6202" s="13">
        <f t="shared" si="2"/>
        <v>15</v>
      </c>
    </row>
    <row r="6203">
      <c r="A6203" s="4" t="s">
        <v>6844</v>
      </c>
      <c r="B6203" s="16"/>
      <c r="C6203" s="12">
        <f>IFERROR(__xludf.DUMMYFUNCTION("""COMPUTED_VALUE"""),44655.65946759259)</f>
        <v>44655.65947</v>
      </c>
      <c r="D6203" s="13">
        <f t="shared" si="1"/>
        <v>4</v>
      </c>
      <c r="E6203" s="13">
        <f t="shared" si="2"/>
        <v>15</v>
      </c>
    </row>
    <row r="6204">
      <c r="A6204" s="4" t="s">
        <v>6845</v>
      </c>
      <c r="B6204" s="16"/>
      <c r="C6204" s="12">
        <f>IFERROR(__xludf.DUMMYFUNCTION("""COMPUTED_VALUE"""),44655.65945601852)</f>
        <v>44655.65946</v>
      </c>
      <c r="D6204" s="13">
        <f t="shared" si="1"/>
        <v>4</v>
      </c>
      <c r="E6204" s="13">
        <f t="shared" si="2"/>
        <v>15</v>
      </c>
    </row>
    <row r="6205">
      <c r="A6205" s="4" t="s">
        <v>6846</v>
      </c>
      <c r="B6205" s="16"/>
      <c r="C6205" s="12">
        <f>IFERROR(__xludf.DUMMYFUNCTION("""COMPUTED_VALUE"""),44655.659421296295)</f>
        <v>44655.65942</v>
      </c>
      <c r="D6205" s="13">
        <f t="shared" si="1"/>
        <v>4</v>
      </c>
      <c r="E6205" s="13">
        <f t="shared" si="2"/>
        <v>15</v>
      </c>
    </row>
    <row r="6206">
      <c r="A6206" s="4" t="s">
        <v>6847</v>
      </c>
      <c r="B6206" s="16"/>
      <c r="C6206" s="12">
        <f>IFERROR(__xludf.DUMMYFUNCTION("""COMPUTED_VALUE"""),44655.65939814815)</f>
        <v>44655.6594</v>
      </c>
      <c r="D6206" s="13">
        <f t="shared" si="1"/>
        <v>4</v>
      </c>
      <c r="E6206" s="13">
        <f t="shared" si="2"/>
        <v>15</v>
      </c>
    </row>
    <row r="6207">
      <c r="A6207" s="4" t="s">
        <v>6848</v>
      </c>
      <c r="B6207" s="16"/>
      <c r="C6207" s="12">
        <f>IFERROR(__xludf.DUMMYFUNCTION("""COMPUTED_VALUE"""),44655.659120370365)</f>
        <v>44655.65912</v>
      </c>
      <c r="D6207" s="13">
        <f t="shared" si="1"/>
        <v>4</v>
      </c>
      <c r="E6207" s="13">
        <f t="shared" si="2"/>
        <v>15</v>
      </c>
    </row>
    <row r="6208">
      <c r="A6208" s="4" t="s">
        <v>6849</v>
      </c>
      <c r="B6208" s="16"/>
      <c r="C6208" s="12">
        <f>IFERROR(__xludf.DUMMYFUNCTION("""COMPUTED_VALUE"""),44655.59671296296)</f>
        <v>44655.59671</v>
      </c>
      <c r="D6208" s="13">
        <f t="shared" si="1"/>
        <v>4</v>
      </c>
      <c r="E6208" s="13">
        <f t="shared" si="2"/>
        <v>14</v>
      </c>
    </row>
    <row r="6209">
      <c r="A6209" s="4" t="s">
        <v>6850</v>
      </c>
      <c r="B6209" s="16"/>
      <c r="C6209" s="12">
        <f>IFERROR(__xludf.DUMMYFUNCTION("""COMPUTED_VALUE"""),44655.59667824074)</f>
        <v>44655.59668</v>
      </c>
      <c r="D6209" s="13">
        <f t="shared" si="1"/>
        <v>4</v>
      </c>
      <c r="E6209" s="13">
        <f t="shared" si="2"/>
        <v>14</v>
      </c>
    </row>
    <row r="6210">
      <c r="A6210" s="4" t="s">
        <v>6851</v>
      </c>
      <c r="B6210" s="16"/>
      <c r="C6210" s="12">
        <f>IFERROR(__xludf.DUMMYFUNCTION("""COMPUTED_VALUE"""),44655.596238425926)</f>
        <v>44655.59624</v>
      </c>
      <c r="D6210" s="13">
        <f t="shared" si="1"/>
        <v>4</v>
      </c>
      <c r="E6210" s="13">
        <f t="shared" si="2"/>
        <v>14</v>
      </c>
    </row>
    <row r="6211">
      <c r="A6211" s="4" t="s">
        <v>6852</v>
      </c>
      <c r="B6211" s="16"/>
      <c r="C6211" s="12">
        <f>IFERROR(__xludf.DUMMYFUNCTION("""COMPUTED_VALUE"""),44655.59621527777)</f>
        <v>44655.59622</v>
      </c>
      <c r="D6211" s="13">
        <f t="shared" si="1"/>
        <v>4</v>
      </c>
      <c r="E6211" s="13">
        <f t="shared" si="2"/>
        <v>14</v>
      </c>
    </row>
    <row r="6212">
      <c r="A6212" s="4" t="s">
        <v>6853</v>
      </c>
      <c r="B6212" s="16"/>
      <c r="C6212" s="12">
        <f>IFERROR(__xludf.DUMMYFUNCTION("""COMPUTED_VALUE"""),44655.59438657407)</f>
        <v>44655.59439</v>
      </c>
      <c r="D6212" s="13">
        <f t="shared" si="1"/>
        <v>4</v>
      </c>
      <c r="E6212" s="13">
        <f t="shared" si="2"/>
        <v>14</v>
      </c>
    </row>
    <row r="6213">
      <c r="A6213" s="4" t="s">
        <v>6854</v>
      </c>
      <c r="B6213" s="4" t="s">
        <v>6855</v>
      </c>
      <c r="C6213" s="12">
        <f>IFERROR(__xludf.DUMMYFUNCTION("""COMPUTED_VALUE"""),44655.569444444445)</f>
        <v>44655.56944</v>
      </c>
      <c r="D6213" s="13">
        <f t="shared" si="1"/>
        <v>4</v>
      </c>
      <c r="E6213" s="13">
        <f t="shared" si="2"/>
        <v>13</v>
      </c>
    </row>
    <row r="6214">
      <c r="A6214" s="4" t="s">
        <v>6856</v>
      </c>
      <c r="B6214" s="16"/>
      <c r="C6214" s="12">
        <f>IFERROR(__xludf.DUMMYFUNCTION("""COMPUTED_VALUE"""),44655.552881944444)</f>
        <v>44655.55288</v>
      </c>
      <c r="D6214" s="13">
        <f t="shared" si="1"/>
        <v>4</v>
      </c>
      <c r="E6214" s="13">
        <f t="shared" si="2"/>
        <v>13</v>
      </c>
    </row>
    <row r="6215">
      <c r="A6215" s="4" t="s">
        <v>6857</v>
      </c>
      <c r="B6215" s="16"/>
      <c r="C6215" s="12">
        <f>IFERROR(__xludf.DUMMYFUNCTION("""COMPUTED_VALUE"""),44655.5528125)</f>
        <v>44655.55281</v>
      </c>
      <c r="D6215" s="13">
        <f t="shared" si="1"/>
        <v>4</v>
      </c>
      <c r="E6215" s="13">
        <f t="shared" si="2"/>
        <v>13</v>
      </c>
    </row>
    <row r="6216">
      <c r="A6216" s="4" t="s">
        <v>6858</v>
      </c>
      <c r="B6216" s="16"/>
      <c r="C6216" s="12">
        <f>IFERROR(__xludf.DUMMYFUNCTION("""COMPUTED_VALUE"""),44655.5527662037)</f>
        <v>44655.55277</v>
      </c>
      <c r="D6216" s="13">
        <f t="shared" si="1"/>
        <v>4</v>
      </c>
      <c r="E6216" s="13">
        <f t="shared" si="2"/>
        <v>13</v>
      </c>
    </row>
    <row r="6217">
      <c r="A6217" s="4" t="s">
        <v>6859</v>
      </c>
      <c r="B6217" s="16"/>
      <c r="C6217" s="12">
        <f>IFERROR(__xludf.DUMMYFUNCTION("""COMPUTED_VALUE"""),44655.52350694444)</f>
        <v>44655.52351</v>
      </c>
      <c r="D6217" s="13">
        <f t="shared" si="1"/>
        <v>4</v>
      </c>
      <c r="E6217" s="13">
        <f t="shared" si="2"/>
        <v>12</v>
      </c>
    </row>
    <row r="6218">
      <c r="A6218" s="4" t="s">
        <v>6860</v>
      </c>
      <c r="B6218" s="16"/>
      <c r="C6218" s="12">
        <f>IFERROR(__xludf.DUMMYFUNCTION("""COMPUTED_VALUE"""),44655.51719907407)</f>
        <v>44655.5172</v>
      </c>
      <c r="D6218" s="13">
        <f t="shared" si="1"/>
        <v>4</v>
      </c>
      <c r="E6218" s="13">
        <f t="shared" si="2"/>
        <v>12</v>
      </c>
    </row>
    <row r="6219">
      <c r="A6219" s="4" t="s">
        <v>6861</v>
      </c>
      <c r="B6219" s="16"/>
      <c r="C6219" s="12">
        <f>IFERROR(__xludf.DUMMYFUNCTION("""COMPUTED_VALUE"""),44655.50262731481)</f>
        <v>44655.50263</v>
      </c>
      <c r="D6219" s="13">
        <f t="shared" si="1"/>
        <v>4</v>
      </c>
      <c r="E6219" s="13">
        <f t="shared" si="2"/>
        <v>12</v>
      </c>
    </row>
    <row r="6220">
      <c r="A6220" s="4" t="s">
        <v>6862</v>
      </c>
      <c r="B6220" s="16"/>
      <c r="C6220" s="12">
        <f>IFERROR(__xludf.DUMMYFUNCTION("""COMPUTED_VALUE"""),44655.502430555556)</f>
        <v>44655.50243</v>
      </c>
      <c r="D6220" s="13">
        <f t="shared" si="1"/>
        <v>4</v>
      </c>
      <c r="E6220" s="13">
        <f t="shared" si="2"/>
        <v>12</v>
      </c>
    </row>
    <row r="6221">
      <c r="A6221" s="4" t="s">
        <v>6863</v>
      </c>
      <c r="B6221" s="16"/>
      <c r="C6221" s="12">
        <f>IFERROR(__xludf.DUMMYFUNCTION("""COMPUTED_VALUE"""),44655.501863425925)</f>
        <v>44655.50186</v>
      </c>
      <c r="D6221" s="13">
        <f t="shared" si="1"/>
        <v>4</v>
      </c>
      <c r="E6221" s="13">
        <f t="shared" si="2"/>
        <v>12</v>
      </c>
    </row>
    <row r="6222">
      <c r="A6222" s="4" t="s">
        <v>6864</v>
      </c>
      <c r="B6222" s="16"/>
      <c r="C6222" s="12">
        <f>IFERROR(__xludf.DUMMYFUNCTION("""COMPUTED_VALUE"""),44655.5018287037)</f>
        <v>44655.50183</v>
      </c>
      <c r="D6222" s="13">
        <f t="shared" si="1"/>
        <v>4</v>
      </c>
      <c r="E6222" s="13">
        <f t="shared" si="2"/>
        <v>12</v>
      </c>
    </row>
    <row r="6223">
      <c r="A6223" s="4" t="s">
        <v>6865</v>
      </c>
      <c r="B6223" s="16"/>
      <c r="C6223" s="12">
        <f>IFERROR(__xludf.DUMMYFUNCTION("""COMPUTED_VALUE"""),44655.501747685186)</f>
        <v>44655.50175</v>
      </c>
      <c r="D6223" s="13">
        <f t="shared" si="1"/>
        <v>4</v>
      </c>
      <c r="E6223" s="13">
        <f t="shared" si="2"/>
        <v>12</v>
      </c>
    </row>
    <row r="6224">
      <c r="A6224" s="4" t="s">
        <v>6866</v>
      </c>
      <c r="B6224" s="16"/>
      <c r="C6224" s="12">
        <f>IFERROR(__xludf.DUMMYFUNCTION("""COMPUTED_VALUE"""),44655.50171296296)</f>
        <v>44655.50171</v>
      </c>
      <c r="D6224" s="13">
        <f t="shared" si="1"/>
        <v>4</v>
      </c>
      <c r="E6224" s="13">
        <f t="shared" si="2"/>
        <v>12</v>
      </c>
    </row>
    <row r="6225">
      <c r="A6225" s="4" t="s">
        <v>6867</v>
      </c>
      <c r="B6225" s="16"/>
      <c r="C6225" s="12">
        <f>IFERROR(__xludf.DUMMYFUNCTION("""COMPUTED_VALUE"""),44655.50168981481)</f>
        <v>44655.50169</v>
      </c>
      <c r="D6225" s="13">
        <f t="shared" si="1"/>
        <v>4</v>
      </c>
      <c r="E6225" s="13">
        <f t="shared" si="2"/>
        <v>12</v>
      </c>
    </row>
    <row r="6226">
      <c r="A6226" s="4" t="s">
        <v>6868</v>
      </c>
      <c r="B6226" s="16"/>
      <c r="C6226" s="12">
        <f>IFERROR(__xludf.DUMMYFUNCTION("""COMPUTED_VALUE"""),44655.50163194444)</f>
        <v>44655.50163</v>
      </c>
      <c r="D6226" s="13">
        <f t="shared" si="1"/>
        <v>4</v>
      </c>
      <c r="E6226" s="13">
        <f t="shared" si="2"/>
        <v>12</v>
      </c>
    </row>
    <row r="6227">
      <c r="A6227" s="4" t="s">
        <v>6869</v>
      </c>
      <c r="B6227" s="16"/>
      <c r="C6227" s="12">
        <f>IFERROR(__xludf.DUMMYFUNCTION("""COMPUTED_VALUE"""),44655.501608796294)</f>
        <v>44655.50161</v>
      </c>
      <c r="D6227" s="13">
        <f t="shared" si="1"/>
        <v>4</v>
      </c>
      <c r="E6227" s="13">
        <f t="shared" si="2"/>
        <v>12</v>
      </c>
    </row>
    <row r="6228">
      <c r="A6228" s="4" t="s">
        <v>6870</v>
      </c>
      <c r="B6228" s="16"/>
      <c r="C6228" s="12">
        <f>IFERROR(__xludf.DUMMYFUNCTION("""COMPUTED_VALUE"""),44655.48291666667)</f>
        <v>44655.48292</v>
      </c>
      <c r="D6228" s="13">
        <f t="shared" si="1"/>
        <v>4</v>
      </c>
      <c r="E6228" s="13">
        <f t="shared" si="2"/>
        <v>11</v>
      </c>
    </row>
    <row r="6229">
      <c r="A6229" s="4" t="s">
        <v>6871</v>
      </c>
      <c r="B6229" s="16"/>
      <c r="C6229" s="12">
        <f>IFERROR(__xludf.DUMMYFUNCTION("""COMPUTED_VALUE"""),44655.481516203705)</f>
        <v>44655.48152</v>
      </c>
      <c r="D6229" s="13">
        <f t="shared" si="1"/>
        <v>4</v>
      </c>
      <c r="E6229" s="13">
        <f t="shared" si="2"/>
        <v>11</v>
      </c>
    </row>
    <row r="6230">
      <c r="A6230" s="4" t="s">
        <v>6872</v>
      </c>
      <c r="B6230" s="16"/>
      <c r="C6230" s="12">
        <f>IFERROR(__xludf.DUMMYFUNCTION("""COMPUTED_VALUE"""),44655.48077546296)</f>
        <v>44655.48078</v>
      </c>
      <c r="D6230" s="13">
        <f t="shared" si="1"/>
        <v>4</v>
      </c>
      <c r="E6230" s="13">
        <f t="shared" si="2"/>
        <v>11</v>
      </c>
    </row>
    <row r="6231">
      <c r="A6231" s="4" t="s">
        <v>6873</v>
      </c>
      <c r="B6231" s="16"/>
      <c r="C6231" s="12">
        <f>IFERROR(__xludf.DUMMYFUNCTION("""COMPUTED_VALUE"""),44655.48034722222)</f>
        <v>44655.48035</v>
      </c>
      <c r="D6231" s="13">
        <f t="shared" si="1"/>
        <v>4</v>
      </c>
      <c r="E6231" s="13">
        <f t="shared" si="2"/>
        <v>11</v>
      </c>
    </row>
    <row r="6232">
      <c r="A6232" s="4" t="s">
        <v>6874</v>
      </c>
      <c r="B6232" s="16"/>
      <c r="C6232" s="12">
        <f>IFERROR(__xludf.DUMMYFUNCTION("""COMPUTED_VALUE"""),44655.48028935185)</f>
        <v>44655.48029</v>
      </c>
      <c r="D6232" s="13">
        <f t="shared" si="1"/>
        <v>4</v>
      </c>
      <c r="E6232" s="13">
        <f t="shared" si="2"/>
        <v>11</v>
      </c>
    </row>
    <row r="6233">
      <c r="A6233" s="4" t="s">
        <v>6875</v>
      </c>
      <c r="B6233" s="16"/>
      <c r="C6233" s="12">
        <f>IFERROR(__xludf.DUMMYFUNCTION("""COMPUTED_VALUE"""),44655.46804398148)</f>
        <v>44655.46804</v>
      </c>
      <c r="D6233" s="13">
        <f t="shared" si="1"/>
        <v>4</v>
      </c>
      <c r="E6233" s="13">
        <f t="shared" si="2"/>
        <v>11</v>
      </c>
    </row>
    <row r="6234">
      <c r="A6234" s="4" t="s">
        <v>6876</v>
      </c>
      <c r="B6234" s="16"/>
      <c r="C6234" s="12">
        <f>IFERROR(__xludf.DUMMYFUNCTION("""COMPUTED_VALUE"""),44655.467893518515)</f>
        <v>44655.46789</v>
      </c>
      <c r="D6234" s="13">
        <f t="shared" si="1"/>
        <v>4</v>
      </c>
      <c r="E6234" s="13">
        <f t="shared" si="2"/>
        <v>11</v>
      </c>
    </row>
    <row r="6235">
      <c r="A6235" s="4" t="s">
        <v>6877</v>
      </c>
      <c r="B6235" s="16"/>
      <c r="C6235" s="12">
        <f>IFERROR(__xludf.DUMMYFUNCTION("""COMPUTED_VALUE"""),44655.456041666665)</f>
        <v>44655.45604</v>
      </c>
      <c r="D6235" s="13">
        <f t="shared" si="1"/>
        <v>4</v>
      </c>
      <c r="E6235" s="13">
        <f t="shared" si="2"/>
        <v>10</v>
      </c>
    </row>
    <row r="6236">
      <c r="A6236" s="4" t="s">
        <v>6878</v>
      </c>
      <c r="B6236" s="16"/>
      <c r="C6236" s="12">
        <f>IFERROR(__xludf.DUMMYFUNCTION("""COMPUTED_VALUE"""),44655.448437499996)</f>
        <v>44655.44844</v>
      </c>
      <c r="D6236" s="13">
        <f t="shared" si="1"/>
        <v>4</v>
      </c>
      <c r="E6236" s="13">
        <f t="shared" si="2"/>
        <v>10</v>
      </c>
    </row>
    <row r="6237">
      <c r="A6237" s="4" t="s">
        <v>6879</v>
      </c>
      <c r="B6237" s="16"/>
      <c r="C6237" s="12">
        <f>IFERROR(__xludf.DUMMYFUNCTION("""COMPUTED_VALUE"""),44655.43679398148)</f>
        <v>44655.43679</v>
      </c>
      <c r="D6237" s="13">
        <f t="shared" si="1"/>
        <v>4</v>
      </c>
      <c r="E6237" s="13">
        <f t="shared" si="2"/>
        <v>10</v>
      </c>
    </row>
    <row r="6238">
      <c r="A6238" s="4" t="s">
        <v>6880</v>
      </c>
      <c r="B6238" s="16"/>
      <c r="C6238" s="12">
        <f>IFERROR(__xludf.DUMMYFUNCTION("""COMPUTED_VALUE"""),44655.43605324074)</f>
        <v>44655.43605</v>
      </c>
      <c r="D6238" s="13">
        <f t="shared" si="1"/>
        <v>4</v>
      </c>
      <c r="E6238" s="13">
        <f t="shared" si="2"/>
        <v>10</v>
      </c>
    </row>
    <row r="6239">
      <c r="A6239" s="4" t="s">
        <v>6881</v>
      </c>
      <c r="B6239" s="16"/>
      <c r="C6239" s="12">
        <f>IFERROR(__xludf.DUMMYFUNCTION("""COMPUTED_VALUE"""),44655.43597222222)</f>
        <v>44655.43597</v>
      </c>
      <c r="D6239" s="13">
        <f t="shared" si="1"/>
        <v>4</v>
      </c>
      <c r="E6239" s="13">
        <f t="shared" si="2"/>
        <v>10</v>
      </c>
    </row>
    <row r="6240">
      <c r="A6240" s="4" t="s">
        <v>6882</v>
      </c>
      <c r="B6240" s="16"/>
      <c r="C6240" s="12">
        <f>IFERROR(__xludf.DUMMYFUNCTION("""COMPUTED_VALUE"""),44655.43572916667)</f>
        <v>44655.43573</v>
      </c>
      <c r="D6240" s="13">
        <f t="shared" si="1"/>
        <v>4</v>
      </c>
      <c r="E6240" s="13">
        <f t="shared" si="2"/>
        <v>10</v>
      </c>
    </row>
    <row r="6241">
      <c r="A6241" s="4" t="s">
        <v>6883</v>
      </c>
      <c r="B6241" s="16"/>
      <c r="C6241" s="12">
        <f>IFERROR(__xludf.DUMMYFUNCTION("""COMPUTED_VALUE"""),44655.37243055555)</f>
        <v>44655.37243</v>
      </c>
      <c r="D6241" s="13">
        <f t="shared" si="1"/>
        <v>4</v>
      </c>
      <c r="E6241" s="13">
        <f t="shared" si="2"/>
        <v>8</v>
      </c>
    </row>
    <row r="6242">
      <c r="A6242" s="4" t="s">
        <v>6884</v>
      </c>
      <c r="B6242" s="16"/>
      <c r="C6242" s="12">
        <f>IFERROR(__xludf.DUMMYFUNCTION("""COMPUTED_VALUE"""),44655.31780092592)</f>
        <v>44655.3178</v>
      </c>
      <c r="D6242" s="13">
        <f t="shared" si="1"/>
        <v>4</v>
      </c>
      <c r="E6242" s="13">
        <f t="shared" si="2"/>
        <v>7</v>
      </c>
    </row>
    <row r="6243">
      <c r="A6243" s="4" t="s">
        <v>6885</v>
      </c>
      <c r="B6243" s="16"/>
      <c r="C6243" s="12">
        <f>IFERROR(__xludf.DUMMYFUNCTION("""COMPUTED_VALUE"""),44655.30950231481)</f>
        <v>44655.3095</v>
      </c>
      <c r="D6243" s="13">
        <f t="shared" si="1"/>
        <v>4</v>
      </c>
      <c r="E6243" s="13">
        <f t="shared" si="2"/>
        <v>7</v>
      </c>
    </row>
    <row r="6244">
      <c r="A6244" s="4" t="s">
        <v>6886</v>
      </c>
      <c r="B6244" s="16"/>
      <c r="C6244" s="12">
        <f>IFERROR(__xludf.DUMMYFUNCTION("""COMPUTED_VALUE"""),44655.13710648148)</f>
        <v>44655.13711</v>
      </c>
      <c r="D6244" s="13">
        <f t="shared" si="1"/>
        <v>4</v>
      </c>
      <c r="E6244" s="13">
        <f t="shared" si="2"/>
        <v>3</v>
      </c>
    </row>
    <row r="6245">
      <c r="A6245" s="4" t="s">
        <v>6887</v>
      </c>
      <c r="B6245" s="16"/>
      <c r="C6245" s="12">
        <f>IFERROR(__xludf.DUMMYFUNCTION("""COMPUTED_VALUE"""),44654.98111111111)</f>
        <v>44654.98111</v>
      </c>
      <c r="D6245" s="13">
        <f t="shared" si="1"/>
        <v>3</v>
      </c>
      <c r="E6245" s="13">
        <f t="shared" si="2"/>
        <v>23</v>
      </c>
    </row>
    <row r="6246">
      <c r="A6246" s="4" t="s">
        <v>6888</v>
      </c>
      <c r="B6246" s="16"/>
      <c r="C6246" s="12">
        <f>IFERROR(__xludf.DUMMYFUNCTION("""COMPUTED_VALUE"""),44654.980416666665)</f>
        <v>44654.98042</v>
      </c>
      <c r="D6246" s="13">
        <f t="shared" si="1"/>
        <v>3</v>
      </c>
      <c r="E6246" s="13">
        <f t="shared" si="2"/>
        <v>23</v>
      </c>
    </row>
    <row r="6247">
      <c r="A6247" s="4" t="s">
        <v>6889</v>
      </c>
      <c r="B6247" s="16"/>
      <c r="C6247" s="12">
        <f>IFERROR(__xludf.DUMMYFUNCTION("""COMPUTED_VALUE"""),44654.98001157407)</f>
        <v>44654.98001</v>
      </c>
      <c r="D6247" s="13">
        <f t="shared" si="1"/>
        <v>3</v>
      </c>
      <c r="E6247" s="13">
        <f t="shared" si="2"/>
        <v>23</v>
      </c>
    </row>
    <row r="6248">
      <c r="A6248" s="4" t="s">
        <v>6890</v>
      </c>
      <c r="B6248" s="16"/>
      <c r="C6248" s="12">
        <f>IFERROR(__xludf.DUMMYFUNCTION("""COMPUTED_VALUE"""),44654.97949074074)</f>
        <v>44654.97949</v>
      </c>
      <c r="D6248" s="13">
        <f t="shared" si="1"/>
        <v>3</v>
      </c>
      <c r="E6248" s="13">
        <f t="shared" si="2"/>
        <v>23</v>
      </c>
    </row>
    <row r="6249">
      <c r="A6249" s="4" t="s">
        <v>6891</v>
      </c>
      <c r="B6249" s="4" t="s">
        <v>6892</v>
      </c>
      <c r="C6249" s="12">
        <f>IFERROR(__xludf.DUMMYFUNCTION("""COMPUTED_VALUE"""),44654.978692129625)</f>
        <v>44654.97869</v>
      </c>
      <c r="D6249" s="13">
        <f t="shared" si="1"/>
        <v>3</v>
      </c>
      <c r="E6249" s="13">
        <f t="shared" si="2"/>
        <v>23</v>
      </c>
    </row>
    <row r="6250">
      <c r="A6250" s="4" t="s">
        <v>6893</v>
      </c>
      <c r="B6250" s="16"/>
      <c r="C6250" s="12">
        <f>IFERROR(__xludf.DUMMYFUNCTION("""COMPUTED_VALUE"""),44654.977754629625)</f>
        <v>44654.97775</v>
      </c>
      <c r="D6250" s="13">
        <f t="shared" si="1"/>
        <v>3</v>
      </c>
      <c r="E6250" s="13">
        <f t="shared" si="2"/>
        <v>23</v>
      </c>
    </row>
    <row r="6251">
      <c r="A6251" s="4" t="s">
        <v>6894</v>
      </c>
      <c r="B6251" s="16"/>
      <c r="C6251" s="12">
        <f>IFERROR(__xludf.DUMMYFUNCTION("""COMPUTED_VALUE"""),44654.97765046296)</f>
        <v>44654.97765</v>
      </c>
      <c r="D6251" s="13">
        <f t="shared" si="1"/>
        <v>3</v>
      </c>
      <c r="E6251" s="13">
        <f t="shared" si="2"/>
        <v>23</v>
      </c>
    </row>
    <row r="6252">
      <c r="A6252" s="4" t="s">
        <v>6895</v>
      </c>
      <c r="B6252" s="16"/>
      <c r="C6252" s="12">
        <f>IFERROR(__xludf.DUMMYFUNCTION("""COMPUTED_VALUE"""),44654.97453703704)</f>
        <v>44654.97454</v>
      </c>
      <c r="D6252" s="13">
        <f t="shared" si="1"/>
        <v>3</v>
      </c>
      <c r="E6252" s="13">
        <f t="shared" si="2"/>
        <v>23</v>
      </c>
    </row>
    <row r="6253">
      <c r="A6253" s="4" t="s">
        <v>6896</v>
      </c>
      <c r="B6253" s="16"/>
      <c r="C6253" s="12">
        <f>IFERROR(__xludf.DUMMYFUNCTION("""COMPUTED_VALUE"""),44654.93219907407)</f>
        <v>44654.9322</v>
      </c>
      <c r="D6253" s="13">
        <f t="shared" si="1"/>
        <v>3</v>
      </c>
      <c r="E6253" s="13">
        <f t="shared" si="2"/>
        <v>22</v>
      </c>
    </row>
    <row r="6254">
      <c r="A6254" s="4" t="s">
        <v>6897</v>
      </c>
      <c r="B6254" s="16"/>
      <c r="C6254" s="12">
        <f>IFERROR(__xludf.DUMMYFUNCTION("""COMPUTED_VALUE"""),44654.927986111106)</f>
        <v>44654.92799</v>
      </c>
      <c r="D6254" s="13">
        <f t="shared" si="1"/>
        <v>3</v>
      </c>
      <c r="E6254" s="13">
        <f t="shared" si="2"/>
        <v>22</v>
      </c>
    </row>
    <row r="6255">
      <c r="A6255" s="4" t="s">
        <v>6898</v>
      </c>
      <c r="B6255" s="16"/>
      <c r="C6255" s="12">
        <f>IFERROR(__xludf.DUMMYFUNCTION("""COMPUTED_VALUE"""),44654.914189814815)</f>
        <v>44654.91419</v>
      </c>
      <c r="D6255" s="13">
        <f t="shared" si="1"/>
        <v>3</v>
      </c>
      <c r="E6255" s="13">
        <f t="shared" si="2"/>
        <v>21</v>
      </c>
    </row>
    <row r="6256">
      <c r="A6256" s="4" t="s">
        <v>6899</v>
      </c>
      <c r="B6256" s="16"/>
      <c r="C6256" s="12">
        <f>IFERROR(__xludf.DUMMYFUNCTION("""COMPUTED_VALUE"""),44654.91015046296)</f>
        <v>44654.91015</v>
      </c>
      <c r="D6256" s="13">
        <f t="shared" si="1"/>
        <v>3</v>
      </c>
      <c r="E6256" s="13">
        <f t="shared" si="2"/>
        <v>21</v>
      </c>
    </row>
    <row r="6257">
      <c r="A6257" s="4" t="s">
        <v>6900</v>
      </c>
      <c r="B6257" s="16"/>
      <c r="C6257" s="12">
        <f>IFERROR(__xludf.DUMMYFUNCTION("""COMPUTED_VALUE"""),44654.90390046296)</f>
        <v>44654.9039</v>
      </c>
      <c r="D6257" s="13">
        <f t="shared" si="1"/>
        <v>3</v>
      </c>
      <c r="E6257" s="13">
        <f t="shared" si="2"/>
        <v>21</v>
      </c>
    </row>
    <row r="6258">
      <c r="A6258" s="4" t="s">
        <v>6901</v>
      </c>
      <c r="B6258" s="16"/>
      <c r="C6258" s="12">
        <f>IFERROR(__xludf.DUMMYFUNCTION("""COMPUTED_VALUE"""),44654.897939814815)</f>
        <v>44654.89794</v>
      </c>
      <c r="D6258" s="13">
        <f t="shared" si="1"/>
        <v>3</v>
      </c>
      <c r="E6258" s="13">
        <f t="shared" si="2"/>
        <v>21</v>
      </c>
    </row>
    <row r="6259">
      <c r="A6259" s="4" t="s">
        <v>6902</v>
      </c>
      <c r="B6259" s="16"/>
      <c r="C6259" s="12">
        <f>IFERROR(__xludf.DUMMYFUNCTION("""COMPUTED_VALUE"""),44654.87082175926)</f>
        <v>44654.87082</v>
      </c>
      <c r="D6259" s="13">
        <f t="shared" si="1"/>
        <v>3</v>
      </c>
      <c r="E6259" s="13">
        <f t="shared" si="2"/>
        <v>20</v>
      </c>
    </row>
    <row r="6260">
      <c r="A6260" s="4" t="s">
        <v>6903</v>
      </c>
      <c r="B6260" s="16"/>
      <c r="C6260" s="12">
        <f>IFERROR(__xludf.DUMMYFUNCTION("""COMPUTED_VALUE"""),44654.85408564815)</f>
        <v>44654.85409</v>
      </c>
      <c r="D6260" s="13">
        <f t="shared" si="1"/>
        <v>3</v>
      </c>
      <c r="E6260" s="13">
        <f t="shared" si="2"/>
        <v>20</v>
      </c>
    </row>
    <row r="6261">
      <c r="A6261" s="4" t="s">
        <v>6904</v>
      </c>
      <c r="B6261" s="4" t="s">
        <v>6905</v>
      </c>
      <c r="C6261" s="12">
        <f>IFERROR(__xludf.DUMMYFUNCTION("""COMPUTED_VALUE"""),44654.84961805555)</f>
        <v>44654.84962</v>
      </c>
      <c r="D6261" s="13">
        <f t="shared" si="1"/>
        <v>3</v>
      </c>
      <c r="E6261" s="13">
        <f t="shared" si="2"/>
        <v>20</v>
      </c>
    </row>
    <row r="6262">
      <c r="A6262" s="4" t="s">
        <v>6906</v>
      </c>
      <c r="B6262" s="16"/>
      <c r="C6262" s="12">
        <f>IFERROR(__xludf.DUMMYFUNCTION("""COMPUTED_VALUE"""),44654.84958333333)</f>
        <v>44654.84958</v>
      </c>
      <c r="D6262" s="13">
        <f t="shared" si="1"/>
        <v>3</v>
      </c>
      <c r="E6262" s="13">
        <f t="shared" si="2"/>
        <v>20</v>
      </c>
    </row>
    <row r="6263">
      <c r="A6263" s="4" t="s">
        <v>6907</v>
      </c>
      <c r="B6263" s="16"/>
      <c r="C6263" s="12">
        <f>IFERROR(__xludf.DUMMYFUNCTION("""COMPUTED_VALUE"""),44654.84956018518)</f>
        <v>44654.84956</v>
      </c>
      <c r="D6263" s="13">
        <f t="shared" si="1"/>
        <v>3</v>
      </c>
      <c r="E6263" s="13">
        <f t="shared" si="2"/>
        <v>20</v>
      </c>
    </row>
    <row r="6264">
      <c r="A6264" s="4" t="s">
        <v>6908</v>
      </c>
      <c r="B6264" s="16"/>
      <c r="C6264" s="12">
        <f>IFERROR(__xludf.DUMMYFUNCTION("""COMPUTED_VALUE"""),44654.84949074074)</f>
        <v>44654.84949</v>
      </c>
      <c r="D6264" s="13">
        <f t="shared" si="1"/>
        <v>3</v>
      </c>
      <c r="E6264" s="13">
        <f t="shared" si="2"/>
        <v>20</v>
      </c>
    </row>
    <row r="6265">
      <c r="A6265" s="4" t="s">
        <v>6909</v>
      </c>
      <c r="B6265" s="16"/>
      <c r="C6265" s="12">
        <f>IFERROR(__xludf.DUMMYFUNCTION("""COMPUTED_VALUE"""),44654.849398148144)</f>
        <v>44654.8494</v>
      </c>
      <c r="D6265" s="13">
        <f t="shared" si="1"/>
        <v>3</v>
      </c>
      <c r="E6265" s="13">
        <f t="shared" si="2"/>
        <v>20</v>
      </c>
    </row>
    <row r="6266">
      <c r="A6266" s="4" t="s">
        <v>6910</v>
      </c>
      <c r="B6266" s="16"/>
      <c r="C6266" s="12">
        <f>IFERROR(__xludf.DUMMYFUNCTION("""COMPUTED_VALUE"""),44654.8370949074)</f>
        <v>44654.83709</v>
      </c>
      <c r="D6266" s="13">
        <f t="shared" si="1"/>
        <v>3</v>
      </c>
      <c r="E6266" s="13">
        <f t="shared" si="2"/>
        <v>20</v>
      </c>
    </row>
    <row r="6267">
      <c r="A6267" s="4" t="s">
        <v>6911</v>
      </c>
      <c r="B6267" s="16"/>
      <c r="C6267" s="12">
        <f>IFERROR(__xludf.DUMMYFUNCTION("""COMPUTED_VALUE"""),44654.837071759255)</f>
        <v>44654.83707</v>
      </c>
      <c r="D6267" s="13">
        <f t="shared" si="1"/>
        <v>3</v>
      </c>
      <c r="E6267" s="13">
        <f t="shared" si="2"/>
        <v>20</v>
      </c>
    </row>
    <row r="6268">
      <c r="A6268" s="4" t="s">
        <v>6912</v>
      </c>
      <c r="B6268" s="16"/>
      <c r="C6268" s="12">
        <f>IFERROR(__xludf.DUMMYFUNCTION("""COMPUTED_VALUE"""),44654.83704861111)</f>
        <v>44654.83705</v>
      </c>
      <c r="D6268" s="13">
        <f t="shared" si="1"/>
        <v>3</v>
      </c>
      <c r="E6268" s="13">
        <f t="shared" si="2"/>
        <v>20</v>
      </c>
    </row>
    <row r="6269">
      <c r="A6269" s="4" t="s">
        <v>6913</v>
      </c>
      <c r="B6269" s="16"/>
      <c r="C6269" s="12">
        <f>IFERROR(__xludf.DUMMYFUNCTION("""COMPUTED_VALUE"""),44654.837013888886)</f>
        <v>44654.83701</v>
      </c>
      <c r="D6269" s="13">
        <f t="shared" si="1"/>
        <v>3</v>
      </c>
      <c r="E6269" s="13">
        <f t="shared" si="2"/>
        <v>20</v>
      </c>
    </row>
    <row r="6270">
      <c r="A6270" s="4" t="s">
        <v>6914</v>
      </c>
      <c r="B6270" s="16"/>
      <c r="C6270" s="12">
        <f>IFERROR(__xludf.DUMMYFUNCTION("""COMPUTED_VALUE"""),44654.83700231481)</f>
        <v>44654.837</v>
      </c>
      <c r="D6270" s="13">
        <f t="shared" si="1"/>
        <v>3</v>
      </c>
      <c r="E6270" s="13">
        <f t="shared" si="2"/>
        <v>20</v>
      </c>
    </row>
    <row r="6271">
      <c r="A6271" s="4" t="s">
        <v>6915</v>
      </c>
      <c r="B6271" s="16"/>
      <c r="C6271" s="12">
        <f>IFERROR(__xludf.DUMMYFUNCTION("""COMPUTED_VALUE"""),44654.83696759259)</f>
        <v>44654.83697</v>
      </c>
      <c r="D6271" s="13">
        <f t="shared" si="1"/>
        <v>3</v>
      </c>
      <c r="E6271" s="13">
        <f t="shared" si="2"/>
        <v>20</v>
      </c>
    </row>
    <row r="6272">
      <c r="A6272" s="4" t="s">
        <v>6916</v>
      </c>
      <c r="B6272" s="16"/>
      <c r="C6272" s="12">
        <f>IFERROR(__xludf.DUMMYFUNCTION("""COMPUTED_VALUE"""),44654.83695601852)</f>
        <v>44654.83696</v>
      </c>
      <c r="D6272" s="13">
        <f t="shared" si="1"/>
        <v>3</v>
      </c>
      <c r="E6272" s="13">
        <f t="shared" si="2"/>
        <v>20</v>
      </c>
    </row>
    <row r="6273">
      <c r="A6273" s="4" t="s">
        <v>6917</v>
      </c>
      <c r="B6273" s="16"/>
      <c r="C6273" s="12">
        <f>IFERROR(__xludf.DUMMYFUNCTION("""COMPUTED_VALUE"""),44654.83693287037)</f>
        <v>44654.83693</v>
      </c>
      <c r="D6273" s="13">
        <f t="shared" si="1"/>
        <v>3</v>
      </c>
      <c r="E6273" s="13">
        <f t="shared" si="2"/>
        <v>20</v>
      </c>
    </row>
    <row r="6274">
      <c r="A6274" s="4" t="s">
        <v>6918</v>
      </c>
      <c r="B6274" s="16"/>
      <c r="C6274" s="12">
        <f>IFERROR(__xludf.DUMMYFUNCTION("""COMPUTED_VALUE"""),44654.83690972222)</f>
        <v>44654.83691</v>
      </c>
      <c r="D6274" s="13">
        <f t="shared" si="1"/>
        <v>3</v>
      </c>
      <c r="E6274" s="13">
        <f t="shared" si="2"/>
        <v>20</v>
      </c>
    </row>
    <row r="6275">
      <c r="A6275" s="4" t="s">
        <v>6919</v>
      </c>
      <c r="B6275" s="16"/>
      <c r="C6275" s="12">
        <f>IFERROR(__xludf.DUMMYFUNCTION("""COMPUTED_VALUE"""),44654.836875)</f>
        <v>44654.83688</v>
      </c>
      <c r="D6275" s="13">
        <f t="shared" si="1"/>
        <v>3</v>
      </c>
      <c r="E6275" s="13">
        <f t="shared" si="2"/>
        <v>20</v>
      </c>
    </row>
    <row r="6276">
      <c r="A6276" s="4" t="s">
        <v>6920</v>
      </c>
      <c r="B6276" s="16"/>
      <c r="C6276" s="12">
        <f>IFERROR(__xludf.DUMMYFUNCTION("""COMPUTED_VALUE"""),44654.83685185185)</f>
        <v>44654.83685</v>
      </c>
      <c r="D6276" s="13">
        <f t="shared" si="1"/>
        <v>3</v>
      </c>
      <c r="E6276" s="13">
        <f t="shared" si="2"/>
        <v>20</v>
      </c>
    </row>
    <row r="6277">
      <c r="A6277" s="4" t="s">
        <v>6921</v>
      </c>
      <c r="B6277" s="16"/>
      <c r="C6277" s="12">
        <f>IFERROR(__xludf.DUMMYFUNCTION("""COMPUTED_VALUE"""),44654.836817129624)</f>
        <v>44654.83682</v>
      </c>
      <c r="D6277" s="13">
        <f t="shared" si="1"/>
        <v>3</v>
      </c>
      <c r="E6277" s="13">
        <f t="shared" si="2"/>
        <v>20</v>
      </c>
    </row>
    <row r="6278">
      <c r="A6278" s="4" t="s">
        <v>6922</v>
      </c>
      <c r="B6278" s="16"/>
      <c r="C6278" s="12">
        <f>IFERROR(__xludf.DUMMYFUNCTION("""COMPUTED_VALUE"""),44654.83678240741)</f>
        <v>44654.83678</v>
      </c>
      <c r="D6278" s="13">
        <f t="shared" si="1"/>
        <v>3</v>
      </c>
      <c r="E6278" s="13">
        <f t="shared" si="2"/>
        <v>20</v>
      </c>
    </row>
    <row r="6279">
      <c r="A6279" s="4" t="s">
        <v>6923</v>
      </c>
      <c r="B6279" s="16"/>
      <c r="C6279" s="12">
        <f>IFERROR(__xludf.DUMMYFUNCTION("""COMPUTED_VALUE"""),44654.836747685185)</f>
        <v>44654.83675</v>
      </c>
      <c r="D6279" s="13">
        <f t="shared" si="1"/>
        <v>3</v>
      </c>
      <c r="E6279" s="13">
        <f t="shared" si="2"/>
        <v>20</v>
      </c>
    </row>
    <row r="6280">
      <c r="A6280" s="4" t="s">
        <v>6924</v>
      </c>
      <c r="B6280" s="16"/>
      <c r="C6280" s="12">
        <f>IFERROR(__xludf.DUMMYFUNCTION("""COMPUTED_VALUE"""),44654.83668981481)</f>
        <v>44654.83669</v>
      </c>
      <c r="D6280" s="13">
        <f t="shared" si="1"/>
        <v>3</v>
      </c>
      <c r="E6280" s="13">
        <f t="shared" si="2"/>
        <v>20</v>
      </c>
    </row>
    <row r="6281">
      <c r="A6281" s="4" t="s">
        <v>6925</v>
      </c>
      <c r="B6281" s="16"/>
      <c r="C6281" s="12">
        <f>IFERROR(__xludf.DUMMYFUNCTION("""COMPUTED_VALUE"""),44654.83665509259)</f>
        <v>44654.83666</v>
      </c>
      <c r="D6281" s="13">
        <f t="shared" si="1"/>
        <v>3</v>
      </c>
      <c r="E6281" s="13">
        <f t="shared" si="2"/>
        <v>20</v>
      </c>
    </row>
    <row r="6282">
      <c r="A6282" s="4" t="s">
        <v>6926</v>
      </c>
      <c r="B6282" s="16"/>
      <c r="C6282" s="12">
        <f>IFERROR(__xludf.DUMMYFUNCTION("""COMPUTED_VALUE"""),44654.83663194444)</f>
        <v>44654.83663</v>
      </c>
      <c r="D6282" s="13">
        <f t="shared" si="1"/>
        <v>3</v>
      </c>
      <c r="E6282" s="13">
        <f t="shared" si="2"/>
        <v>20</v>
      </c>
    </row>
    <row r="6283">
      <c r="A6283" s="4" t="s">
        <v>6927</v>
      </c>
      <c r="B6283" s="16"/>
      <c r="C6283" s="12">
        <f>IFERROR(__xludf.DUMMYFUNCTION("""COMPUTED_VALUE"""),44654.83659722222)</f>
        <v>44654.8366</v>
      </c>
      <c r="D6283" s="13">
        <f t="shared" si="1"/>
        <v>3</v>
      </c>
      <c r="E6283" s="13">
        <f t="shared" si="2"/>
        <v>20</v>
      </c>
    </row>
    <row r="6284">
      <c r="A6284" s="4" t="s">
        <v>6928</v>
      </c>
      <c r="B6284" s="16"/>
      <c r="C6284" s="12">
        <f>IFERROR(__xludf.DUMMYFUNCTION("""COMPUTED_VALUE"""),44654.8365625)</f>
        <v>44654.83656</v>
      </c>
      <c r="D6284" s="13">
        <f t="shared" si="1"/>
        <v>3</v>
      </c>
      <c r="E6284" s="13">
        <f t="shared" si="2"/>
        <v>20</v>
      </c>
    </row>
    <row r="6285">
      <c r="A6285" s="4" t="s">
        <v>6929</v>
      </c>
      <c r="B6285" s="16"/>
      <c r="C6285" s="12">
        <f>IFERROR(__xludf.DUMMYFUNCTION("""COMPUTED_VALUE"""),44654.83652777778)</f>
        <v>44654.83653</v>
      </c>
      <c r="D6285" s="13">
        <f t="shared" si="1"/>
        <v>3</v>
      </c>
      <c r="E6285" s="13">
        <f t="shared" si="2"/>
        <v>20</v>
      </c>
    </row>
    <row r="6286">
      <c r="A6286" s="4" t="s">
        <v>6930</v>
      </c>
      <c r="B6286" s="16"/>
      <c r="C6286" s="12">
        <f>IFERROR(__xludf.DUMMYFUNCTION("""COMPUTED_VALUE"""),44654.836493055554)</f>
        <v>44654.83649</v>
      </c>
      <c r="D6286" s="13">
        <f t="shared" si="1"/>
        <v>3</v>
      </c>
      <c r="E6286" s="13">
        <f t="shared" si="2"/>
        <v>20</v>
      </c>
    </row>
    <row r="6287">
      <c r="A6287" s="4" t="s">
        <v>6931</v>
      </c>
      <c r="B6287" s="16"/>
      <c r="C6287" s="12">
        <f>IFERROR(__xludf.DUMMYFUNCTION("""COMPUTED_VALUE"""),44654.83645833333)</f>
        <v>44654.83646</v>
      </c>
      <c r="D6287" s="13">
        <f t="shared" si="1"/>
        <v>3</v>
      </c>
      <c r="E6287" s="13">
        <f t="shared" si="2"/>
        <v>20</v>
      </c>
    </row>
    <row r="6288">
      <c r="A6288" s="4" t="s">
        <v>6932</v>
      </c>
      <c r="B6288" s="16"/>
      <c r="C6288" s="12">
        <f>IFERROR(__xludf.DUMMYFUNCTION("""COMPUTED_VALUE"""),44654.83642361111)</f>
        <v>44654.83642</v>
      </c>
      <c r="D6288" s="13">
        <f t="shared" si="1"/>
        <v>3</v>
      </c>
      <c r="E6288" s="13">
        <f t="shared" si="2"/>
        <v>20</v>
      </c>
    </row>
    <row r="6289">
      <c r="A6289" s="4" t="s">
        <v>6933</v>
      </c>
      <c r="B6289" s="16"/>
      <c r="C6289" s="12">
        <f>IFERROR(__xludf.DUMMYFUNCTION("""COMPUTED_VALUE"""),44654.836388888885)</f>
        <v>44654.83639</v>
      </c>
      <c r="D6289" s="13">
        <f t="shared" si="1"/>
        <v>3</v>
      </c>
      <c r="E6289" s="13">
        <f t="shared" si="2"/>
        <v>20</v>
      </c>
    </row>
    <row r="6290">
      <c r="A6290" s="4" t="s">
        <v>6934</v>
      </c>
      <c r="B6290" s="16"/>
      <c r="C6290" s="12">
        <f>IFERROR(__xludf.DUMMYFUNCTION("""COMPUTED_VALUE"""),44654.83635416666)</f>
        <v>44654.83635</v>
      </c>
      <c r="D6290" s="13">
        <f t="shared" si="1"/>
        <v>3</v>
      </c>
      <c r="E6290" s="13">
        <f t="shared" si="2"/>
        <v>20</v>
      </c>
    </row>
    <row r="6291">
      <c r="A6291" s="4" t="s">
        <v>6935</v>
      </c>
      <c r="B6291" s="16"/>
      <c r="C6291" s="12">
        <f>IFERROR(__xludf.DUMMYFUNCTION("""COMPUTED_VALUE"""),44654.836331018516)</f>
        <v>44654.83633</v>
      </c>
      <c r="D6291" s="13">
        <f t="shared" si="1"/>
        <v>3</v>
      </c>
      <c r="E6291" s="13">
        <f t="shared" si="2"/>
        <v>20</v>
      </c>
    </row>
    <row r="6292">
      <c r="A6292" s="4" t="s">
        <v>6936</v>
      </c>
      <c r="B6292" s="16"/>
      <c r="C6292" s="12">
        <f>IFERROR(__xludf.DUMMYFUNCTION("""COMPUTED_VALUE"""),44654.83628472222)</f>
        <v>44654.83628</v>
      </c>
      <c r="D6292" s="13">
        <f t="shared" si="1"/>
        <v>3</v>
      </c>
      <c r="E6292" s="13">
        <f t="shared" si="2"/>
        <v>20</v>
      </c>
    </row>
    <row r="6293">
      <c r="A6293" s="4" t="s">
        <v>6937</v>
      </c>
      <c r="B6293" s="16"/>
      <c r="C6293" s="12">
        <f>IFERROR(__xludf.DUMMYFUNCTION("""COMPUTED_VALUE"""),44654.83625)</f>
        <v>44654.83625</v>
      </c>
      <c r="D6293" s="13">
        <f t="shared" si="1"/>
        <v>3</v>
      </c>
      <c r="E6293" s="13">
        <f t="shared" si="2"/>
        <v>20</v>
      </c>
    </row>
    <row r="6294">
      <c r="A6294" s="4" t="s">
        <v>6938</v>
      </c>
      <c r="B6294" s="16"/>
      <c r="C6294" s="12">
        <f>IFERROR(__xludf.DUMMYFUNCTION("""COMPUTED_VALUE"""),44654.83622685185)</f>
        <v>44654.83623</v>
      </c>
      <c r="D6294" s="13">
        <f t="shared" si="1"/>
        <v>3</v>
      </c>
      <c r="E6294" s="13">
        <f t="shared" si="2"/>
        <v>20</v>
      </c>
    </row>
    <row r="6295">
      <c r="A6295" s="4" t="s">
        <v>6939</v>
      </c>
      <c r="B6295" s="16"/>
      <c r="C6295" s="12">
        <f>IFERROR(__xludf.DUMMYFUNCTION("""COMPUTED_VALUE"""),44654.8362037037)</f>
        <v>44654.8362</v>
      </c>
      <c r="D6295" s="13">
        <f t="shared" si="1"/>
        <v>3</v>
      </c>
      <c r="E6295" s="13">
        <f t="shared" si="2"/>
        <v>20</v>
      </c>
    </row>
    <row r="6296">
      <c r="A6296" s="4" t="s">
        <v>6940</v>
      </c>
      <c r="B6296" s="16"/>
      <c r="C6296" s="12">
        <f>IFERROR(__xludf.DUMMYFUNCTION("""COMPUTED_VALUE"""),44654.836180555554)</f>
        <v>44654.83618</v>
      </c>
      <c r="D6296" s="13">
        <f t="shared" si="1"/>
        <v>3</v>
      </c>
      <c r="E6296" s="13">
        <f t="shared" si="2"/>
        <v>20</v>
      </c>
    </row>
    <row r="6297">
      <c r="A6297" s="4" t="s">
        <v>6941</v>
      </c>
      <c r="B6297" s="16"/>
      <c r="C6297" s="12">
        <f>IFERROR(__xludf.DUMMYFUNCTION("""COMPUTED_VALUE"""),44654.83615740741)</f>
        <v>44654.83616</v>
      </c>
      <c r="D6297" s="13">
        <f t="shared" si="1"/>
        <v>3</v>
      </c>
      <c r="E6297" s="13">
        <f t="shared" si="2"/>
        <v>20</v>
      </c>
    </row>
    <row r="6298">
      <c r="A6298" s="4" t="s">
        <v>6942</v>
      </c>
      <c r="B6298" s="16"/>
      <c r="C6298" s="12">
        <f>IFERROR(__xludf.DUMMYFUNCTION("""COMPUTED_VALUE"""),44654.836134259254)</f>
        <v>44654.83613</v>
      </c>
      <c r="D6298" s="13">
        <f t="shared" si="1"/>
        <v>3</v>
      </c>
      <c r="E6298" s="13">
        <f t="shared" si="2"/>
        <v>20</v>
      </c>
    </row>
    <row r="6299">
      <c r="A6299" s="4" t="s">
        <v>6943</v>
      </c>
      <c r="B6299" s="16"/>
      <c r="C6299" s="12">
        <f>IFERROR(__xludf.DUMMYFUNCTION("""COMPUTED_VALUE"""),44654.83609953703)</f>
        <v>44654.8361</v>
      </c>
      <c r="D6299" s="13">
        <f t="shared" si="1"/>
        <v>3</v>
      </c>
      <c r="E6299" s="13">
        <f t="shared" si="2"/>
        <v>20</v>
      </c>
    </row>
    <row r="6300">
      <c r="A6300" s="4" t="s">
        <v>6944</v>
      </c>
      <c r="B6300" s="16"/>
      <c r="C6300" s="12">
        <f>IFERROR(__xludf.DUMMYFUNCTION("""COMPUTED_VALUE"""),44654.836076388885)</f>
        <v>44654.83608</v>
      </c>
      <c r="D6300" s="13">
        <f t="shared" si="1"/>
        <v>3</v>
      </c>
      <c r="E6300" s="13">
        <f t="shared" si="2"/>
        <v>20</v>
      </c>
    </row>
    <row r="6301">
      <c r="A6301" s="4" t="s">
        <v>6945</v>
      </c>
      <c r="B6301" s="16"/>
      <c r="C6301" s="12">
        <f>IFERROR(__xludf.DUMMYFUNCTION("""COMPUTED_VALUE"""),44654.83605324074)</f>
        <v>44654.83605</v>
      </c>
      <c r="D6301" s="13">
        <f t="shared" si="1"/>
        <v>3</v>
      </c>
      <c r="E6301" s="13">
        <f t="shared" si="2"/>
        <v>20</v>
      </c>
    </row>
    <row r="6302">
      <c r="A6302" s="4" t="s">
        <v>6946</v>
      </c>
      <c r="B6302" s="16"/>
      <c r="C6302" s="12">
        <f>IFERROR(__xludf.DUMMYFUNCTION("""COMPUTED_VALUE"""),44654.83603009259)</f>
        <v>44654.83603</v>
      </c>
      <c r="D6302" s="13">
        <f t="shared" si="1"/>
        <v>3</v>
      </c>
      <c r="E6302" s="13">
        <f t="shared" si="2"/>
        <v>20</v>
      </c>
    </row>
    <row r="6303">
      <c r="A6303" s="4" t="s">
        <v>6947</v>
      </c>
      <c r="B6303" s="16"/>
      <c r="C6303" s="12">
        <f>IFERROR(__xludf.DUMMYFUNCTION("""COMPUTED_VALUE"""),44654.83600694444)</f>
        <v>44654.83601</v>
      </c>
      <c r="D6303" s="13">
        <f t="shared" si="1"/>
        <v>3</v>
      </c>
      <c r="E6303" s="13">
        <f t="shared" si="2"/>
        <v>20</v>
      </c>
    </row>
    <row r="6304">
      <c r="A6304" s="4" t="s">
        <v>6948</v>
      </c>
      <c r="B6304" s="16"/>
      <c r="C6304" s="12">
        <f>IFERROR(__xludf.DUMMYFUNCTION("""COMPUTED_VALUE"""),44654.83598379629)</f>
        <v>44654.83598</v>
      </c>
      <c r="D6304" s="13">
        <f t="shared" si="1"/>
        <v>3</v>
      </c>
      <c r="E6304" s="13">
        <f t="shared" si="2"/>
        <v>20</v>
      </c>
    </row>
    <row r="6305">
      <c r="A6305" s="4" t="s">
        <v>6949</v>
      </c>
      <c r="B6305" s="16"/>
      <c r="C6305" s="12">
        <f>IFERROR(__xludf.DUMMYFUNCTION("""COMPUTED_VALUE"""),44654.835960648146)</f>
        <v>44654.83596</v>
      </c>
      <c r="D6305" s="13">
        <f t="shared" si="1"/>
        <v>3</v>
      </c>
      <c r="E6305" s="13">
        <f t="shared" si="2"/>
        <v>20</v>
      </c>
    </row>
    <row r="6306">
      <c r="A6306" s="4" t="s">
        <v>6950</v>
      </c>
      <c r="B6306" s="16"/>
      <c r="C6306" s="12">
        <f>IFERROR(__xludf.DUMMYFUNCTION("""COMPUTED_VALUE"""),44654.8359375)</f>
        <v>44654.83594</v>
      </c>
      <c r="D6306" s="13">
        <f t="shared" si="1"/>
        <v>3</v>
      </c>
      <c r="E6306" s="13">
        <f t="shared" si="2"/>
        <v>20</v>
      </c>
    </row>
    <row r="6307">
      <c r="A6307" s="4" t="s">
        <v>6951</v>
      </c>
      <c r="B6307" s="16"/>
      <c r="C6307" s="12">
        <f>IFERROR(__xludf.DUMMYFUNCTION("""COMPUTED_VALUE"""),44654.83590277778)</f>
        <v>44654.8359</v>
      </c>
      <c r="D6307" s="13">
        <f t="shared" si="1"/>
        <v>3</v>
      </c>
      <c r="E6307" s="13">
        <f t="shared" si="2"/>
        <v>20</v>
      </c>
    </row>
    <row r="6308">
      <c r="A6308" s="4" t="s">
        <v>6952</v>
      </c>
      <c r="B6308" s="16"/>
      <c r="C6308" s="12">
        <f>IFERROR(__xludf.DUMMYFUNCTION("""COMPUTED_VALUE"""),44654.83587962963)</f>
        <v>44654.83588</v>
      </c>
      <c r="D6308" s="13">
        <f t="shared" si="1"/>
        <v>3</v>
      </c>
      <c r="E6308" s="13">
        <f t="shared" si="2"/>
        <v>20</v>
      </c>
    </row>
    <row r="6309">
      <c r="A6309" s="4" t="s">
        <v>6953</v>
      </c>
      <c r="B6309" s="16"/>
      <c r="C6309" s="12">
        <f>IFERROR(__xludf.DUMMYFUNCTION("""COMPUTED_VALUE"""),44654.83585648148)</f>
        <v>44654.83586</v>
      </c>
      <c r="D6309" s="13">
        <f t="shared" si="1"/>
        <v>3</v>
      </c>
      <c r="E6309" s="13">
        <f t="shared" si="2"/>
        <v>20</v>
      </c>
    </row>
    <row r="6310">
      <c r="A6310" s="4" t="s">
        <v>6954</v>
      </c>
      <c r="B6310" s="16"/>
      <c r="C6310" s="12">
        <f>IFERROR(__xludf.DUMMYFUNCTION("""COMPUTED_VALUE"""),44654.83583333333)</f>
        <v>44654.83583</v>
      </c>
      <c r="D6310" s="13">
        <f t="shared" si="1"/>
        <v>3</v>
      </c>
      <c r="E6310" s="13">
        <f t="shared" si="2"/>
        <v>20</v>
      </c>
    </row>
    <row r="6311">
      <c r="A6311" s="4" t="s">
        <v>6955</v>
      </c>
      <c r="B6311" s="16"/>
      <c r="C6311" s="12">
        <f>IFERROR(__xludf.DUMMYFUNCTION("""COMPUTED_VALUE"""),44654.835810185185)</f>
        <v>44654.83581</v>
      </c>
      <c r="D6311" s="13">
        <f t="shared" si="1"/>
        <v>3</v>
      </c>
      <c r="E6311" s="13">
        <f t="shared" si="2"/>
        <v>20</v>
      </c>
    </row>
    <row r="6312">
      <c r="A6312" s="4" t="s">
        <v>6956</v>
      </c>
      <c r="B6312" s="16"/>
      <c r="C6312" s="12">
        <f>IFERROR(__xludf.DUMMYFUNCTION("""COMPUTED_VALUE"""),44654.83578703704)</f>
        <v>44654.83579</v>
      </c>
      <c r="D6312" s="13">
        <f t="shared" si="1"/>
        <v>3</v>
      </c>
      <c r="E6312" s="13">
        <f t="shared" si="2"/>
        <v>20</v>
      </c>
    </row>
    <row r="6313">
      <c r="A6313" s="4" t="s">
        <v>6957</v>
      </c>
      <c r="B6313" s="16"/>
      <c r="C6313" s="12">
        <f>IFERROR(__xludf.DUMMYFUNCTION("""COMPUTED_VALUE"""),44654.835752314815)</f>
        <v>44654.83575</v>
      </c>
      <c r="D6313" s="13">
        <f t="shared" si="1"/>
        <v>3</v>
      </c>
      <c r="E6313" s="13">
        <f t="shared" si="2"/>
        <v>20</v>
      </c>
    </row>
    <row r="6314">
      <c r="A6314" s="4" t="s">
        <v>6958</v>
      </c>
      <c r="B6314" s="16"/>
      <c r="C6314" s="12">
        <f>IFERROR(__xludf.DUMMYFUNCTION("""COMPUTED_VALUE"""),44654.83571759259)</f>
        <v>44654.83572</v>
      </c>
      <c r="D6314" s="13">
        <f t="shared" si="1"/>
        <v>3</v>
      </c>
      <c r="E6314" s="13">
        <f t="shared" si="2"/>
        <v>20</v>
      </c>
    </row>
    <row r="6315">
      <c r="A6315" s="4" t="s">
        <v>6959</v>
      </c>
      <c r="B6315" s="16"/>
      <c r="C6315" s="12">
        <f>IFERROR(__xludf.DUMMYFUNCTION("""COMPUTED_VALUE"""),44654.83568287037)</f>
        <v>44654.83568</v>
      </c>
      <c r="D6315" s="13">
        <f t="shared" si="1"/>
        <v>3</v>
      </c>
      <c r="E6315" s="13">
        <f t="shared" si="2"/>
        <v>20</v>
      </c>
    </row>
    <row r="6316">
      <c r="A6316" s="4" t="s">
        <v>6960</v>
      </c>
      <c r="B6316" s="16"/>
      <c r="C6316" s="12">
        <f>IFERROR(__xludf.DUMMYFUNCTION("""COMPUTED_VALUE"""),44654.835648148146)</f>
        <v>44654.83565</v>
      </c>
      <c r="D6316" s="13">
        <f t="shared" si="1"/>
        <v>3</v>
      </c>
      <c r="E6316" s="13">
        <f t="shared" si="2"/>
        <v>20</v>
      </c>
    </row>
    <row r="6317">
      <c r="A6317" s="4" t="s">
        <v>6961</v>
      </c>
      <c r="B6317" s="16"/>
      <c r="C6317" s="12">
        <f>IFERROR(__xludf.DUMMYFUNCTION("""COMPUTED_VALUE"""),44654.835625)</f>
        <v>44654.83563</v>
      </c>
      <c r="D6317" s="13">
        <f t="shared" si="1"/>
        <v>3</v>
      </c>
      <c r="E6317" s="13">
        <f t="shared" si="2"/>
        <v>20</v>
      </c>
    </row>
    <row r="6318">
      <c r="A6318" s="4" t="s">
        <v>6962</v>
      </c>
      <c r="B6318" s="16"/>
      <c r="C6318" s="12">
        <f>IFERROR(__xludf.DUMMYFUNCTION("""COMPUTED_VALUE"""),44654.83559027778)</f>
        <v>44654.83559</v>
      </c>
      <c r="D6318" s="13">
        <f t="shared" si="1"/>
        <v>3</v>
      </c>
      <c r="E6318" s="13">
        <f t="shared" si="2"/>
        <v>20</v>
      </c>
    </row>
    <row r="6319">
      <c r="A6319" s="4" t="s">
        <v>6963</v>
      </c>
      <c r="B6319" s="16"/>
      <c r="C6319" s="12">
        <f>IFERROR(__xludf.DUMMYFUNCTION("""COMPUTED_VALUE"""),44654.83555555555)</f>
        <v>44654.83556</v>
      </c>
      <c r="D6319" s="13">
        <f t="shared" si="1"/>
        <v>3</v>
      </c>
      <c r="E6319" s="13">
        <f t="shared" si="2"/>
        <v>20</v>
      </c>
    </row>
    <row r="6320">
      <c r="A6320" s="4" t="s">
        <v>6964</v>
      </c>
      <c r="B6320" s="16"/>
      <c r="C6320" s="12">
        <f>IFERROR(__xludf.DUMMYFUNCTION("""COMPUTED_VALUE"""),44654.83553240741)</f>
        <v>44654.83553</v>
      </c>
      <c r="D6320" s="13">
        <f t="shared" si="1"/>
        <v>3</v>
      </c>
      <c r="E6320" s="13">
        <f t="shared" si="2"/>
        <v>20</v>
      </c>
    </row>
    <row r="6321">
      <c r="A6321" s="4" t="s">
        <v>6965</v>
      </c>
      <c r="B6321" s="16"/>
      <c r="C6321" s="12">
        <f>IFERROR(__xludf.DUMMYFUNCTION("""COMPUTED_VALUE"""),44654.835509259254)</f>
        <v>44654.83551</v>
      </c>
      <c r="D6321" s="13">
        <f t="shared" si="1"/>
        <v>3</v>
      </c>
      <c r="E6321" s="13">
        <f t="shared" si="2"/>
        <v>20</v>
      </c>
    </row>
    <row r="6322">
      <c r="A6322" s="4" t="s">
        <v>6966</v>
      </c>
      <c r="B6322" s="16"/>
      <c r="C6322" s="12">
        <f>IFERROR(__xludf.DUMMYFUNCTION("""COMPUTED_VALUE"""),44654.83548611111)</f>
        <v>44654.83549</v>
      </c>
      <c r="D6322" s="13">
        <f t="shared" si="1"/>
        <v>3</v>
      </c>
      <c r="E6322" s="13">
        <f t="shared" si="2"/>
        <v>20</v>
      </c>
    </row>
    <row r="6323">
      <c r="A6323" s="4" t="s">
        <v>6967</v>
      </c>
      <c r="B6323" s="16"/>
      <c r="C6323" s="12">
        <f>IFERROR(__xludf.DUMMYFUNCTION("""COMPUTED_VALUE"""),44654.835451388884)</f>
        <v>44654.83545</v>
      </c>
      <c r="D6323" s="13">
        <f t="shared" si="1"/>
        <v>3</v>
      </c>
      <c r="E6323" s="13">
        <f t="shared" si="2"/>
        <v>20</v>
      </c>
    </row>
    <row r="6324">
      <c r="A6324" s="4" t="s">
        <v>6968</v>
      </c>
      <c r="B6324" s="16"/>
      <c r="C6324" s="12">
        <f>IFERROR(__xludf.DUMMYFUNCTION("""COMPUTED_VALUE"""),44654.83542824074)</f>
        <v>44654.83543</v>
      </c>
      <c r="D6324" s="13">
        <f t="shared" si="1"/>
        <v>3</v>
      </c>
      <c r="E6324" s="13">
        <f t="shared" si="2"/>
        <v>20</v>
      </c>
    </row>
    <row r="6325">
      <c r="A6325" s="4" t="s">
        <v>6969</v>
      </c>
      <c r="B6325" s="16"/>
      <c r="C6325" s="12">
        <f>IFERROR(__xludf.DUMMYFUNCTION("""COMPUTED_VALUE"""),44654.83540509259)</f>
        <v>44654.83541</v>
      </c>
      <c r="D6325" s="13">
        <f t="shared" si="1"/>
        <v>3</v>
      </c>
      <c r="E6325" s="13">
        <f t="shared" si="2"/>
        <v>20</v>
      </c>
    </row>
    <row r="6326">
      <c r="A6326" s="4" t="s">
        <v>6970</v>
      </c>
      <c r="B6326" s="16"/>
      <c r="C6326" s="12">
        <f>IFERROR(__xludf.DUMMYFUNCTION("""COMPUTED_VALUE"""),44654.83537037037)</f>
        <v>44654.83537</v>
      </c>
      <c r="D6326" s="13">
        <f t="shared" si="1"/>
        <v>3</v>
      </c>
      <c r="E6326" s="13">
        <f t="shared" si="2"/>
        <v>20</v>
      </c>
    </row>
    <row r="6327">
      <c r="A6327" s="4" t="s">
        <v>6971</v>
      </c>
      <c r="B6327" s="16"/>
      <c r="C6327" s="12">
        <f>IFERROR(__xludf.DUMMYFUNCTION("""COMPUTED_VALUE"""),44654.83534722222)</f>
        <v>44654.83535</v>
      </c>
      <c r="D6327" s="13">
        <f t="shared" si="1"/>
        <v>3</v>
      </c>
      <c r="E6327" s="13">
        <f t="shared" si="2"/>
        <v>20</v>
      </c>
    </row>
    <row r="6328">
      <c r="A6328" s="4" t="s">
        <v>6972</v>
      </c>
      <c r="B6328" s="16"/>
      <c r="C6328" s="12">
        <f>IFERROR(__xludf.DUMMYFUNCTION("""COMPUTED_VALUE"""),44654.8353125)</f>
        <v>44654.83531</v>
      </c>
      <c r="D6328" s="13">
        <f t="shared" si="1"/>
        <v>3</v>
      </c>
      <c r="E6328" s="13">
        <f t="shared" si="2"/>
        <v>20</v>
      </c>
    </row>
    <row r="6329">
      <c r="A6329" s="4" t="s">
        <v>6973</v>
      </c>
      <c r="B6329" s="16"/>
      <c r="C6329" s="12">
        <f>IFERROR(__xludf.DUMMYFUNCTION("""COMPUTED_VALUE"""),44654.835289351846)</f>
        <v>44654.83529</v>
      </c>
      <c r="D6329" s="13">
        <f t="shared" si="1"/>
        <v>3</v>
      </c>
      <c r="E6329" s="13">
        <f t="shared" si="2"/>
        <v>20</v>
      </c>
    </row>
    <row r="6330">
      <c r="A6330" s="4" t="s">
        <v>6974</v>
      </c>
      <c r="B6330" s="16"/>
      <c r="C6330" s="12">
        <f>IFERROR(__xludf.DUMMYFUNCTION("""COMPUTED_VALUE"""),44654.83525462963)</f>
        <v>44654.83525</v>
      </c>
      <c r="D6330" s="13">
        <f t="shared" si="1"/>
        <v>3</v>
      </c>
      <c r="E6330" s="13">
        <f t="shared" si="2"/>
        <v>20</v>
      </c>
    </row>
    <row r="6331">
      <c r="A6331" s="4" t="s">
        <v>6975</v>
      </c>
      <c r="B6331" s="16"/>
      <c r="C6331" s="12">
        <f>IFERROR(__xludf.DUMMYFUNCTION("""COMPUTED_VALUE"""),44654.83520833333)</f>
        <v>44654.83521</v>
      </c>
      <c r="D6331" s="13">
        <f t="shared" si="1"/>
        <v>3</v>
      </c>
      <c r="E6331" s="13">
        <f t="shared" si="2"/>
        <v>20</v>
      </c>
    </row>
    <row r="6332">
      <c r="A6332" s="4" t="s">
        <v>6976</v>
      </c>
      <c r="B6332" s="16"/>
      <c r="C6332" s="12">
        <f>IFERROR(__xludf.DUMMYFUNCTION("""COMPUTED_VALUE"""),44654.83517361111)</f>
        <v>44654.83517</v>
      </c>
      <c r="D6332" s="13">
        <f t="shared" si="1"/>
        <v>3</v>
      </c>
      <c r="E6332" s="13">
        <f t="shared" si="2"/>
        <v>20</v>
      </c>
    </row>
    <row r="6333">
      <c r="A6333" s="4" t="s">
        <v>6977</v>
      </c>
      <c r="B6333" s="16"/>
      <c r="C6333" s="12">
        <f>IFERROR(__xludf.DUMMYFUNCTION("""COMPUTED_VALUE"""),44654.835138888884)</f>
        <v>44654.83514</v>
      </c>
      <c r="D6333" s="13">
        <f t="shared" si="1"/>
        <v>3</v>
      </c>
      <c r="E6333" s="13">
        <f t="shared" si="2"/>
        <v>20</v>
      </c>
    </row>
    <row r="6334">
      <c r="A6334" s="4" t="s">
        <v>6978</v>
      </c>
      <c r="B6334" s="16"/>
      <c r="C6334" s="12">
        <f>IFERROR(__xludf.DUMMYFUNCTION("""COMPUTED_VALUE"""),44654.83215277777)</f>
        <v>44654.83215</v>
      </c>
      <c r="D6334" s="13">
        <f t="shared" si="1"/>
        <v>3</v>
      </c>
      <c r="E6334" s="13">
        <f t="shared" si="2"/>
        <v>19</v>
      </c>
    </row>
    <row r="6335">
      <c r="A6335" s="4" t="s">
        <v>6979</v>
      </c>
      <c r="B6335" s="16"/>
      <c r="C6335" s="12">
        <f>IFERROR(__xludf.DUMMYFUNCTION("""COMPUTED_VALUE"""),44654.81487268518)</f>
        <v>44654.81487</v>
      </c>
      <c r="D6335" s="13">
        <f t="shared" si="1"/>
        <v>3</v>
      </c>
      <c r="E6335" s="13">
        <f t="shared" si="2"/>
        <v>19</v>
      </c>
    </row>
    <row r="6336">
      <c r="A6336" s="4" t="s">
        <v>6980</v>
      </c>
      <c r="B6336" s="16"/>
      <c r="C6336" s="12">
        <f>IFERROR(__xludf.DUMMYFUNCTION("""COMPUTED_VALUE"""),44654.81310185185)</f>
        <v>44654.8131</v>
      </c>
      <c r="D6336" s="13">
        <f t="shared" si="1"/>
        <v>3</v>
      </c>
      <c r="E6336" s="13">
        <f t="shared" si="2"/>
        <v>19</v>
      </c>
    </row>
    <row r="6337">
      <c r="A6337" s="4" t="s">
        <v>6981</v>
      </c>
      <c r="B6337" s="16"/>
      <c r="C6337" s="12">
        <f>IFERROR(__xludf.DUMMYFUNCTION("""COMPUTED_VALUE"""),44654.81270833333)</f>
        <v>44654.81271</v>
      </c>
      <c r="D6337" s="13">
        <f t="shared" si="1"/>
        <v>3</v>
      </c>
      <c r="E6337" s="13">
        <f t="shared" si="2"/>
        <v>19</v>
      </c>
    </row>
    <row r="6338">
      <c r="A6338" s="4" t="s">
        <v>6982</v>
      </c>
      <c r="B6338" s="16"/>
      <c r="C6338" s="12">
        <f>IFERROR(__xludf.DUMMYFUNCTION("""COMPUTED_VALUE"""),44654.7903125)</f>
        <v>44654.79031</v>
      </c>
      <c r="D6338" s="13">
        <f t="shared" si="1"/>
        <v>3</v>
      </c>
      <c r="E6338" s="13">
        <f t="shared" si="2"/>
        <v>18</v>
      </c>
    </row>
    <row r="6339">
      <c r="A6339" s="4" t="s">
        <v>6983</v>
      </c>
      <c r="B6339" s="16"/>
      <c r="C6339" s="12">
        <f>IFERROR(__xludf.DUMMYFUNCTION("""COMPUTED_VALUE"""),44654.78325231481)</f>
        <v>44654.78325</v>
      </c>
      <c r="D6339" s="13">
        <f t="shared" si="1"/>
        <v>3</v>
      </c>
      <c r="E6339" s="13">
        <f t="shared" si="2"/>
        <v>18</v>
      </c>
    </row>
    <row r="6340">
      <c r="A6340" s="4" t="s">
        <v>6984</v>
      </c>
      <c r="B6340" s="16"/>
      <c r="C6340" s="12">
        <f>IFERROR(__xludf.DUMMYFUNCTION("""COMPUTED_VALUE"""),44654.783124999994)</f>
        <v>44654.78313</v>
      </c>
      <c r="D6340" s="13">
        <f t="shared" si="1"/>
        <v>3</v>
      </c>
      <c r="E6340" s="13">
        <f t="shared" si="2"/>
        <v>18</v>
      </c>
    </row>
    <row r="6341">
      <c r="A6341" s="4" t="s">
        <v>6985</v>
      </c>
      <c r="B6341" s="16"/>
      <c r="C6341" s="12">
        <f>IFERROR(__xludf.DUMMYFUNCTION("""COMPUTED_VALUE"""),44654.78296296296)</f>
        <v>44654.78296</v>
      </c>
      <c r="D6341" s="13">
        <f t="shared" si="1"/>
        <v>3</v>
      </c>
      <c r="E6341" s="13">
        <f t="shared" si="2"/>
        <v>18</v>
      </c>
    </row>
    <row r="6342">
      <c r="A6342" s="4" t="s">
        <v>6986</v>
      </c>
      <c r="B6342" s="16"/>
      <c r="C6342" s="12">
        <f>IFERROR(__xludf.DUMMYFUNCTION("""COMPUTED_VALUE"""),44654.763657407406)</f>
        <v>44654.76366</v>
      </c>
      <c r="D6342" s="13">
        <f t="shared" si="1"/>
        <v>3</v>
      </c>
      <c r="E6342" s="13">
        <f t="shared" si="2"/>
        <v>18</v>
      </c>
    </row>
    <row r="6343">
      <c r="A6343" s="4" t="s">
        <v>6987</v>
      </c>
      <c r="B6343" s="16"/>
      <c r="C6343" s="12">
        <f>IFERROR(__xludf.DUMMYFUNCTION("""COMPUTED_VALUE"""),44654.758946759255)</f>
        <v>44654.75895</v>
      </c>
      <c r="D6343" s="13">
        <f t="shared" si="1"/>
        <v>3</v>
      </c>
      <c r="E6343" s="13">
        <f t="shared" si="2"/>
        <v>18</v>
      </c>
    </row>
    <row r="6344">
      <c r="A6344" s="4" t="s">
        <v>6988</v>
      </c>
      <c r="B6344" s="16"/>
      <c r="C6344" s="12">
        <f>IFERROR(__xludf.DUMMYFUNCTION("""COMPUTED_VALUE"""),44654.74917824074)</f>
        <v>44654.74918</v>
      </c>
      <c r="D6344" s="13">
        <f t="shared" si="1"/>
        <v>3</v>
      </c>
      <c r="E6344" s="13">
        <f t="shared" si="2"/>
        <v>17</v>
      </c>
    </row>
    <row r="6345">
      <c r="A6345" s="4" t="s">
        <v>6989</v>
      </c>
      <c r="B6345" s="16"/>
      <c r="C6345" s="12">
        <f>IFERROR(__xludf.DUMMYFUNCTION("""COMPUTED_VALUE"""),44654.74827546296)</f>
        <v>44654.74828</v>
      </c>
      <c r="D6345" s="13">
        <f t="shared" si="1"/>
        <v>3</v>
      </c>
      <c r="E6345" s="13">
        <f t="shared" si="2"/>
        <v>17</v>
      </c>
    </row>
    <row r="6346">
      <c r="A6346" s="4" t="s">
        <v>6990</v>
      </c>
      <c r="B6346" s="16"/>
      <c r="C6346" s="12">
        <f>IFERROR(__xludf.DUMMYFUNCTION("""COMPUTED_VALUE"""),44654.74818287037)</f>
        <v>44654.74818</v>
      </c>
      <c r="D6346" s="13">
        <f t="shared" si="1"/>
        <v>3</v>
      </c>
      <c r="E6346" s="13">
        <f t="shared" si="2"/>
        <v>17</v>
      </c>
    </row>
    <row r="6347">
      <c r="A6347" s="4" t="s">
        <v>6991</v>
      </c>
      <c r="B6347" s="16"/>
      <c r="C6347" s="12">
        <f>IFERROR(__xludf.DUMMYFUNCTION("""COMPUTED_VALUE"""),44654.748148148145)</f>
        <v>44654.74815</v>
      </c>
      <c r="D6347" s="13">
        <f t="shared" si="1"/>
        <v>3</v>
      </c>
      <c r="E6347" s="13">
        <f t="shared" si="2"/>
        <v>17</v>
      </c>
    </row>
    <row r="6348">
      <c r="A6348" s="4" t="s">
        <v>6992</v>
      </c>
      <c r="B6348" s="16"/>
      <c r="C6348" s="12">
        <f>IFERROR(__xludf.DUMMYFUNCTION("""COMPUTED_VALUE"""),44654.74797453704)</f>
        <v>44654.74797</v>
      </c>
      <c r="D6348" s="13">
        <f t="shared" si="1"/>
        <v>3</v>
      </c>
      <c r="E6348" s="13">
        <f t="shared" si="2"/>
        <v>17</v>
      </c>
    </row>
    <row r="6349">
      <c r="A6349" s="4" t="s">
        <v>6993</v>
      </c>
      <c r="B6349" s="16"/>
      <c r="C6349" s="12">
        <f>IFERROR(__xludf.DUMMYFUNCTION("""COMPUTED_VALUE"""),44654.74790509259)</f>
        <v>44654.74791</v>
      </c>
      <c r="D6349" s="13">
        <f t="shared" si="1"/>
        <v>3</v>
      </c>
      <c r="E6349" s="13">
        <f t="shared" si="2"/>
        <v>17</v>
      </c>
    </row>
    <row r="6350">
      <c r="A6350" s="4" t="s">
        <v>6994</v>
      </c>
      <c r="B6350" s="16"/>
      <c r="C6350" s="12">
        <f>IFERROR(__xludf.DUMMYFUNCTION("""COMPUTED_VALUE"""),44654.747824074075)</f>
        <v>44654.74782</v>
      </c>
      <c r="D6350" s="13">
        <f t="shared" si="1"/>
        <v>3</v>
      </c>
      <c r="E6350" s="13">
        <f t="shared" si="2"/>
        <v>17</v>
      </c>
    </row>
    <row r="6351">
      <c r="A6351" s="4" t="s">
        <v>6995</v>
      </c>
      <c r="B6351" s="16"/>
      <c r="C6351" s="12">
        <f>IFERROR(__xludf.DUMMYFUNCTION("""COMPUTED_VALUE"""),44654.74773148148)</f>
        <v>44654.74773</v>
      </c>
      <c r="D6351" s="13">
        <f t="shared" si="1"/>
        <v>3</v>
      </c>
      <c r="E6351" s="13">
        <f t="shared" si="2"/>
        <v>17</v>
      </c>
    </row>
    <row r="6352">
      <c r="A6352" s="4" t="s">
        <v>6996</v>
      </c>
      <c r="B6352" s="16"/>
      <c r="C6352" s="12">
        <f>IFERROR(__xludf.DUMMYFUNCTION("""COMPUTED_VALUE"""),44654.747662037036)</f>
        <v>44654.74766</v>
      </c>
      <c r="D6352" s="13">
        <f t="shared" si="1"/>
        <v>3</v>
      </c>
      <c r="E6352" s="13">
        <f t="shared" si="2"/>
        <v>17</v>
      </c>
    </row>
    <row r="6353">
      <c r="A6353" s="4" t="s">
        <v>6997</v>
      </c>
      <c r="B6353" s="16"/>
      <c r="C6353" s="12">
        <f>IFERROR(__xludf.DUMMYFUNCTION("""COMPUTED_VALUE"""),44654.74761574074)</f>
        <v>44654.74762</v>
      </c>
      <c r="D6353" s="13">
        <f t="shared" si="1"/>
        <v>3</v>
      </c>
      <c r="E6353" s="13">
        <f t="shared" si="2"/>
        <v>17</v>
      </c>
    </row>
    <row r="6354">
      <c r="A6354" s="4" t="s">
        <v>6998</v>
      </c>
      <c r="B6354" s="16"/>
      <c r="C6354" s="12">
        <f>IFERROR(__xludf.DUMMYFUNCTION("""COMPUTED_VALUE"""),44654.74755787037)</f>
        <v>44654.74756</v>
      </c>
      <c r="D6354" s="13">
        <f t="shared" si="1"/>
        <v>3</v>
      </c>
      <c r="E6354" s="13">
        <f t="shared" si="2"/>
        <v>17</v>
      </c>
    </row>
    <row r="6355">
      <c r="A6355" s="4" t="s">
        <v>6999</v>
      </c>
      <c r="B6355" s="16"/>
      <c r="C6355" s="12">
        <f>IFERROR(__xludf.DUMMYFUNCTION("""COMPUTED_VALUE"""),44654.73012731481)</f>
        <v>44654.73013</v>
      </c>
      <c r="D6355" s="13">
        <f t="shared" si="1"/>
        <v>3</v>
      </c>
      <c r="E6355" s="13">
        <f t="shared" si="2"/>
        <v>17</v>
      </c>
    </row>
    <row r="6356">
      <c r="A6356" s="4" t="s">
        <v>7000</v>
      </c>
      <c r="B6356" s="16"/>
      <c r="C6356" s="12">
        <f>IFERROR(__xludf.DUMMYFUNCTION("""COMPUTED_VALUE"""),44654.7290162037)</f>
        <v>44654.72902</v>
      </c>
      <c r="D6356" s="13">
        <f t="shared" si="1"/>
        <v>3</v>
      </c>
      <c r="E6356" s="13">
        <f t="shared" si="2"/>
        <v>17</v>
      </c>
    </row>
    <row r="6357">
      <c r="A6357" s="4" t="s">
        <v>7001</v>
      </c>
      <c r="B6357" s="16"/>
      <c r="C6357" s="12">
        <f>IFERROR(__xludf.DUMMYFUNCTION("""COMPUTED_VALUE"""),44654.72818287037)</f>
        <v>44654.72818</v>
      </c>
      <c r="D6357" s="13">
        <f t="shared" si="1"/>
        <v>3</v>
      </c>
      <c r="E6357" s="13">
        <f t="shared" si="2"/>
        <v>17</v>
      </c>
    </row>
    <row r="6358">
      <c r="A6358" s="4" t="s">
        <v>7002</v>
      </c>
      <c r="B6358" s="16"/>
      <c r="C6358" s="12">
        <f>IFERROR(__xludf.DUMMYFUNCTION("""COMPUTED_VALUE"""),44654.72802083333)</f>
        <v>44654.72802</v>
      </c>
      <c r="D6358" s="13">
        <f t="shared" si="1"/>
        <v>3</v>
      </c>
      <c r="E6358" s="13">
        <f t="shared" si="2"/>
        <v>17</v>
      </c>
    </row>
    <row r="6359">
      <c r="A6359" s="4" t="s">
        <v>7003</v>
      </c>
      <c r="B6359" s="16"/>
      <c r="C6359" s="12">
        <f>IFERROR(__xludf.DUMMYFUNCTION("""COMPUTED_VALUE"""),44654.72081018518)</f>
        <v>44654.72081</v>
      </c>
      <c r="D6359" s="13">
        <f t="shared" si="1"/>
        <v>3</v>
      </c>
      <c r="E6359" s="13">
        <f t="shared" si="2"/>
        <v>17</v>
      </c>
    </row>
    <row r="6360">
      <c r="A6360" s="4" t="s">
        <v>7004</v>
      </c>
      <c r="B6360" s="16"/>
      <c r="C6360" s="12">
        <f>IFERROR(__xludf.DUMMYFUNCTION("""COMPUTED_VALUE"""),44654.71084490741)</f>
        <v>44654.71084</v>
      </c>
      <c r="D6360" s="13">
        <f t="shared" si="1"/>
        <v>3</v>
      </c>
      <c r="E6360" s="13">
        <f t="shared" si="2"/>
        <v>17</v>
      </c>
    </row>
    <row r="6361">
      <c r="A6361" s="4" t="s">
        <v>7005</v>
      </c>
      <c r="B6361" s="16"/>
      <c r="C6361" s="12">
        <f>IFERROR(__xludf.DUMMYFUNCTION("""COMPUTED_VALUE"""),44654.70055555555)</f>
        <v>44654.70056</v>
      </c>
      <c r="D6361" s="13">
        <f t="shared" si="1"/>
        <v>3</v>
      </c>
      <c r="E6361" s="13">
        <f t="shared" si="2"/>
        <v>16</v>
      </c>
    </row>
    <row r="6362">
      <c r="A6362" s="4" t="s">
        <v>7006</v>
      </c>
      <c r="B6362" s="16"/>
      <c r="C6362" s="12">
        <f>IFERROR(__xludf.DUMMYFUNCTION("""COMPUTED_VALUE"""),44654.69909722222)</f>
        <v>44654.6991</v>
      </c>
      <c r="D6362" s="13">
        <f t="shared" si="1"/>
        <v>3</v>
      </c>
      <c r="E6362" s="13">
        <f t="shared" si="2"/>
        <v>16</v>
      </c>
    </row>
    <row r="6363">
      <c r="A6363" s="4" t="s">
        <v>7007</v>
      </c>
      <c r="B6363" s="16"/>
      <c r="C6363" s="12">
        <f>IFERROR(__xludf.DUMMYFUNCTION("""COMPUTED_VALUE"""),44654.69907407407)</f>
        <v>44654.69907</v>
      </c>
      <c r="D6363" s="13">
        <f t="shared" si="1"/>
        <v>3</v>
      </c>
      <c r="E6363" s="13">
        <f t="shared" si="2"/>
        <v>16</v>
      </c>
    </row>
    <row r="6364">
      <c r="A6364" s="4" t="s">
        <v>7008</v>
      </c>
      <c r="B6364" s="16"/>
      <c r="C6364" s="12">
        <f>IFERROR(__xludf.DUMMYFUNCTION("""COMPUTED_VALUE"""),44654.699016203704)</f>
        <v>44654.69902</v>
      </c>
      <c r="D6364" s="13">
        <f t="shared" si="1"/>
        <v>3</v>
      </c>
      <c r="E6364" s="13">
        <f t="shared" si="2"/>
        <v>16</v>
      </c>
    </row>
    <row r="6365">
      <c r="A6365" s="4" t="s">
        <v>7009</v>
      </c>
      <c r="B6365" s="16"/>
      <c r="C6365" s="12">
        <f>IFERROR(__xludf.DUMMYFUNCTION("""COMPUTED_VALUE"""),44654.69900462963)</f>
        <v>44654.699</v>
      </c>
      <c r="D6365" s="13">
        <f t="shared" si="1"/>
        <v>3</v>
      </c>
      <c r="E6365" s="13">
        <f t="shared" si="2"/>
        <v>16</v>
      </c>
    </row>
    <row r="6366">
      <c r="A6366" s="4" t="s">
        <v>7010</v>
      </c>
      <c r="B6366" s="16"/>
      <c r="C6366" s="12">
        <f>IFERROR(__xludf.DUMMYFUNCTION("""COMPUTED_VALUE"""),44654.69898148148)</f>
        <v>44654.69898</v>
      </c>
      <c r="D6366" s="13">
        <f t="shared" si="1"/>
        <v>3</v>
      </c>
      <c r="E6366" s="13">
        <f t="shared" si="2"/>
        <v>16</v>
      </c>
    </row>
    <row r="6367">
      <c r="A6367" s="4" t="s">
        <v>7011</v>
      </c>
      <c r="B6367" s="16"/>
      <c r="C6367" s="12">
        <f>IFERROR(__xludf.DUMMYFUNCTION("""COMPUTED_VALUE"""),44654.698912037034)</f>
        <v>44654.69891</v>
      </c>
      <c r="D6367" s="13">
        <f t="shared" si="1"/>
        <v>3</v>
      </c>
      <c r="E6367" s="13">
        <f t="shared" si="2"/>
        <v>16</v>
      </c>
    </row>
    <row r="6368">
      <c r="A6368" s="4" t="s">
        <v>7012</v>
      </c>
      <c r="B6368" s="16"/>
      <c r="C6368" s="12">
        <f>IFERROR(__xludf.DUMMYFUNCTION("""COMPUTED_VALUE"""),44654.6983912037)</f>
        <v>44654.69839</v>
      </c>
      <c r="D6368" s="13">
        <f t="shared" si="1"/>
        <v>3</v>
      </c>
      <c r="E6368" s="13">
        <f t="shared" si="2"/>
        <v>16</v>
      </c>
    </row>
    <row r="6369">
      <c r="A6369" s="4" t="s">
        <v>7013</v>
      </c>
      <c r="B6369" s="16"/>
      <c r="C6369" s="12">
        <f>IFERROR(__xludf.DUMMYFUNCTION("""COMPUTED_VALUE"""),44654.69831018518)</f>
        <v>44654.69831</v>
      </c>
      <c r="D6369" s="13">
        <f t="shared" si="1"/>
        <v>3</v>
      </c>
      <c r="E6369" s="13">
        <f t="shared" si="2"/>
        <v>16</v>
      </c>
    </row>
    <row r="6370">
      <c r="A6370" s="4" t="s">
        <v>7014</v>
      </c>
      <c r="B6370" s="16"/>
      <c r="C6370" s="12">
        <f>IFERROR(__xludf.DUMMYFUNCTION("""COMPUTED_VALUE"""),44654.698229166665)</f>
        <v>44654.69823</v>
      </c>
      <c r="D6370" s="13">
        <f t="shared" si="1"/>
        <v>3</v>
      </c>
      <c r="E6370" s="13">
        <f t="shared" si="2"/>
        <v>16</v>
      </c>
    </row>
    <row r="6371">
      <c r="A6371" s="4" t="s">
        <v>7015</v>
      </c>
      <c r="B6371" s="16"/>
      <c r="C6371" s="12">
        <f>IFERROR(__xludf.DUMMYFUNCTION("""COMPUTED_VALUE"""),44654.698067129626)</f>
        <v>44654.69807</v>
      </c>
      <c r="D6371" s="13">
        <f t="shared" si="1"/>
        <v>3</v>
      </c>
      <c r="E6371" s="13">
        <f t="shared" si="2"/>
        <v>16</v>
      </c>
    </row>
    <row r="6372">
      <c r="A6372" s="4" t="s">
        <v>7016</v>
      </c>
      <c r="B6372" s="16"/>
      <c r="C6372" s="12">
        <f>IFERROR(__xludf.DUMMYFUNCTION("""COMPUTED_VALUE"""),44654.69385416667)</f>
        <v>44654.69385</v>
      </c>
      <c r="D6372" s="13">
        <f t="shared" si="1"/>
        <v>3</v>
      </c>
      <c r="E6372" s="13">
        <f t="shared" si="2"/>
        <v>16</v>
      </c>
    </row>
    <row r="6373">
      <c r="A6373" s="4" t="s">
        <v>7017</v>
      </c>
      <c r="B6373" s="4" t="s">
        <v>7018</v>
      </c>
      <c r="C6373" s="12">
        <f>IFERROR(__xludf.DUMMYFUNCTION("""COMPUTED_VALUE"""),44654.66353009259)</f>
        <v>44654.66353</v>
      </c>
      <c r="D6373" s="13">
        <f t="shared" si="1"/>
        <v>3</v>
      </c>
      <c r="E6373" s="13">
        <f t="shared" si="2"/>
        <v>15</v>
      </c>
    </row>
    <row r="6374">
      <c r="A6374" s="4" t="s">
        <v>7019</v>
      </c>
      <c r="B6374" s="16"/>
      <c r="C6374" s="12">
        <f>IFERROR(__xludf.DUMMYFUNCTION("""COMPUTED_VALUE"""),44654.63891203704)</f>
        <v>44654.63891</v>
      </c>
      <c r="D6374" s="13">
        <f t="shared" si="1"/>
        <v>3</v>
      </c>
      <c r="E6374" s="13">
        <f t="shared" si="2"/>
        <v>15</v>
      </c>
    </row>
    <row r="6375">
      <c r="A6375" s="4" t="s">
        <v>7020</v>
      </c>
      <c r="B6375" s="16"/>
      <c r="C6375" s="12">
        <f>IFERROR(__xludf.DUMMYFUNCTION("""COMPUTED_VALUE"""),44654.53304398148)</f>
        <v>44654.53304</v>
      </c>
      <c r="D6375" s="13">
        <f t="shared" si="1"/>
        <v>3</v>
      </c>
      <c r="E6375" s="13">
        <f t="shared" si="2"/>
        <v>12</v>
      </c>
    </row>
    <row r="6376">
      <c r="A6376" s="4" t="s">
        <v>7021</v>
      </c>
      <c r="B6376" s="16"/>
      <c r="C6376" s="12">
        <f>IFERROR(__xludf.DUMMYFUNCTION("""COMPUTED_VALUE"""),44654.52285879629)</f>
        <v>44654.52286</v>
      </c>
      <c r="D6376" s="13">
        <f t="shared" si="1"/>
        <v>3</v>
      </c>
      <c r="E6376" s="13">
        <f t="shared" si="2"/>
        <v>12</v>
      </c>
    </row>
    <row r="6377">
      <c r="A6377" s="4" t="s">
        <v>7022</v>
      </c>
      <c r="B6377" s="16"/>
      <c r="C6377" s="12">
        <f>IFERROR(__xludf.DUMMYFUNCTION("""COMPUTED_VALUE"""),44654.52160879629)</f>
        <v>44654.52161</v>
      </c>
      <c r="D6377" s="13">
        <f t="shared" si="1"/>
        <v>3</v>
      </c>
      <c r="E6377" s="13">
        <f t="shared" si="2"/>
        <v>12</v>
      </c>
    </row>
    <row r="6378">
      <c r="A6378" s="4" t="s">
        <v>7023</v>
      </c>
      <c r="B6378" s="16"/>
      <c r="C6378" s="12">
        <f>IFERROR(__xludf.DUMMYFUNCTION("""COMPUTED_VALUE"""),44654.51778935185)</f>
        <v>44654.51779</v>
      </c>
      <c r="D6378" s="13">
        <f t="shared" si="1"/>
        <v>3</v>
      </c>
      <c r="E6378" s="13">
        <f t="shared" si="2"/>
        <v>12</v>
      </c>
    </row>
    <row r="6379">
      <c r="A6379" s="4" t="s">
        <v>7024</v>
      </c>
      <c r="B6379" s="16"/>
      <c r="C6379" s="12">
        <f>IFERROR(__xludf.DUMMYFUNCTION("""COMPUTED_VALUE"""),44654.517696759256)</f>
        <v>44654.5177</v>
      </c>
      <c r="D6379" s="13">
        <f t="shared" si="1"/>
        <v>3</v>
      </c>
      <c r="E6379" s="13">
        <f t="shared" si="2"/>
        <v>12</v>
      </c>
    </row>
    <row r="6380">
      <c r="A6380" s="4" t="s">
        <v>7025</v>
      </c>
      <c r="B6380" s="16"/>
      <c r="C6380" s="12">
        <f>IFERROR(__xludf.DUMMYFUNCTION("""COMPUTED_VALUE"""),44654.5122337963)</f>
        <v>44654.51223</v>
      </c>
      <c r="D6380" s="13">
        <f t="shared" si="1"/>
        <v>3</v>
      </c>
      <c r="E6380" s="13">
        <f t="shared" si="2"/>
        <v>12</v>
      </c>
    </row>
    <row r="6381">
      <c r="A6381" s="4" t="s">
        <v>7026</v>
      </c>
      <c r="B6381" s="16"/>
      <c r="C6381" s="12">
        <f>IFERROR(__xludf.DUMMYFUNCTION("""COMPUTED_VALUE"""),44654.5024074074)</f>
        <v>44654.50241</v>
      </c>
      <c r="D6381" s="13">
        <f t="shared" si="1"/>
        <v>3</v>
      </c>
      <c r="E6381" s="13">
        <f t="shared" si="2"/>
        <v>12</v>
      </c>
    </row>
    <row r="6382">
      <c r="A6382" s="4" t="s">
        <v>7027</v>
      </c>
      <c r="B6382" s="16"/>
      <c r="C6382" s="12">
        <f>IFERROR(__xludf.DUMMYFUNCTION("""COMPUTED_VALUE"""),44654.50236111111)</f>
        <v>44654.50236</v>
      </c>
      <c r="D6382" s="13">
        <f t="shared" si="1"/>
        <v>3</v>
      </c>
      <c r="E6382" s="13">
        <f t="shared" si="2"/>
        <v>12</v>
      </c>
    </row>
    <row r="6383">
      <c r="A6383" s="4" t="s">
        <v>7028</v>
      </c>
      <c r="B6383" s="16"/>
      <c r="C6383" s="12">
        <f>IFERROR(__xludf.DUMMYFUNCTION("""COMPUTED_VALUE"""),44654.47880787037)</f>
        <v>44654.47881</v>
      </c>
      <c r="D6383" s="13">
        <f t="shared" si="1"/>
        <v>3</v>
      </c>
      <c r="E6383" s="13">
        <f t="shared" si="2"/>
        <v>11</v>
      </c>
    </row>
    <row r="6384">
      <c r="A6384" s="4" t="s">
        <v>7029</v>
      </c>
      <c r="B6384" s="16"/>
      <c r="C6384" s="12">
        <f>IFERROR(__xludf.DUMMYFUNCTION("""COMPUTED_VALUE"""),44654.47871527778)</f>
        <v>44654.47872</v>
      </c>
      <c r="D6384" s="13">
        <f t="shared" si="1"/>
        <v>3</v>
      </c>
      <c r="E6384" s="13">
        <f t="shared" si="2"/>
        <v>11</v>
      </c>
    </row>
    <row r="6385">
      <c r="A6385" s="4" t="s">
        <v>7030</v>
      </c>
      <c r="B6385" s="4" t="s">
        <v>7031</v>
      </c>
      <c r="C6385" s="12">
        <f>IFERROR(__xludf.DUMMYFUNCTION("""COMPUTED_VALUE"""),44654.47180555555)</f>
        <v>44654.47181</v>
      </c>
      <c r="D6385" s="13">
        <f t="shared" si="1"/>
        <v>3</v>
      </c>
      <c r="E6385" s="13">
        <f t="shared" si="2"/>
        <v>11</v>
      </c>
    </row>
    <row r="6386">
      <c r="A6386" s="4" t="s">
        <v>7032</v>
      </c>
      <c r="B6386" s="16"/>
      <c r="C6386" s="12">
        <f>IFERROR(__xludf.DUMMYFUNCTION("""COMPUTED_VALUE"""),44654.45140046296)</f>
        <v>44654.4514</v>
      </c>
      <c r="D6386" s="13">
        <f t="shared" si="1"/>
        <v>3</v>
      </c>
      <c r="E6386" s="13">
        <f t="shared" si="2"/>
        <v>10</v>
      </c>
    </row>
    <row r="6387">
      <c r="A6387" s="4" t="s">
        <v>7033</v>
      </c>
      <c r="B6387" s="16"/>
      <c r="C6387" s="12">
        <f>IFERROR(__xludf.DUMMYFUNCTION("""COMPUTED_VALUE"""),44654.437743055554)</f>
        <v>44654.43774</v>
      </c>
      <c r="D6387" s="13">
        <f t="shared" si="1"/>
        <v>3</v>
      </c>
      <c r="E6387" s="13">
        <f t="shared" si="2"/>
        <v>10</v>
      </c>
    </row>
    <row r="6388">
      <c r="A6388" s="4" t="s">
        <v>7034</v>
      </c>
      <c r="B6388" s="16"/>
      <c r="C6388" s="12">
        <f>IFERROR(__xludf.DUMMYFUNCTION("""COMPUTED_VALUE"""),44654.43724537037)</f>
        <v>44654.43725</v>
      </c>
      <c r="D6388" s="13">
        <f t="shared" si="1"/>
        <v>3</v>
      </c>
      <c r="E6388" s="13">
        <f t="shared" si="2"/>
        <v>10</v>
      </c>
    </row>
    <row r="6389">
      <c r="A6389" s="4" t="s">
        <v>7035</v>
      </c>
      <c r="B6389" s="16"/>
      <c r="C6389" s="12">
        <f>IFERROR(__xludf.DUMMYFUNCTION("""COMPUTED_VALUE"""),44654.43715277778)</f>
        <v>44654.43715</v>
      </c>
      <c r="D6389" s="13">
        <f t="shared" si="1"/>
        <v>3</v>
      </c>
      <c r="E6389" s="13">
        <f t="shared" si="2"/>
        <v>10</v>
      </c>
    </row>
    <row r="6390">
      <c r="A6390" s="4" t="s">
        <v>7036</v>
      </c>
      <c r="B6390" s="16"/>
      <c r="C6390" s="12">
        <f>IFERROR(__xludf.DUMMYFUNCTION("""COMPUTED_VALUE"""),44654.43696759259)</f>
        <v>44654.43697</v>
      </c>
      <c r="D6390" s="13">
        <f t="shared" si="1"/>
        <v>3</v>
      </c>
      <c r="E6390" s="13">
        <f t="shared" si="2"/>
        <v>10</v>
      </c>
    </row>
    <row r="6391">
      <c r="A6391" s="4" t="s">
        <v>7037</v>
      </c>
      <c r="B6391" s="16"/>
      <c r="C6391" s="12">
        <f>IFERROR(__xludf.DUMMYFUNCTION("""COMPUTED_VALUE"""),44654.43614583333)</f>
        <v>44654.43615</v>
      </c>
      <c r="D6391" s="13">
        <f t="shared" si="1"/>
        <v>3</v>
      </c>
      <c r="E6391" s="13">
        <f t="shared" si="2"/>
        <v>10</v>
      </c>
    </row>
    <row r="6392">
      <c r="A6392" s="4" t="s">
        <v>7038</v>
      </c>
      <c r="B6392" s="16"/>
      <c r="C6392" s="12">
        <f>IFERROR(__xludf.DUMMYFUNCTION("""COMPUTED_VALUE"""),44654.43528935185)</f>
        <v>44654.43529</v>
      </c>
      <c r="D6392" s="13">
        <f t="shared" si="1"/>
        <v>3</v>
      </c>
      <c r="E6392" s="13">
        <f t="shared" si="2"/>
        <v>10</v>
      </c>
    </row>
    <row r="6393">
      <c r="A6393" s="4" t="s">
        <v>7039</v>
      </c>
      <c r="B6393" s="16"/>
      <c r="C6393" s="12">
        <f>IFERROR(__xludf.DUMMYFUNCTION("""COMPUTED_VALUE"""),44654.434849537036)</f>
        <v>44654.43485</v>
      </c>
      <c r="D6393" s="13">
        <f t="shared" si="1"/>
        <v>3</v>
      </c>
      <c r="E6393" s="13">
        <f t="shared" si="2"/>
        <v>10</v>
      </c>
    </row>
    <row r="6394">
      <c r="A6394" s="4" t="s">
        <v>7040</v>
      </c>
      <c r="B6394" s="16"/>
      <c r="C6394" s="12">
        <f>IFERROR(__xludf.DUMMYFUNCTION("""COMPUTED_VALUE"""),44654.43478009259)</f>
        <v>44654.43478</v>
      </c>
      <c r="D6394" s="13">
        <f t="shared" si="1"/>
        <v>3</v>
      </c>
      <c r="E6394" s="13">
        <f t="shared" si="2"/>
        <v>10</v>
      </c>
    </row>
    <row r="6395">
      <c r="A6395" s="4" t="s">
        <v>7041</v>
      </c>
      <c r="B6395" s="16"/>
      <c r="C6395" s="12">
        <f>IFERROR(__xludf.DUMMYFUNCTION("""COMPUTED_VALUE"""),44654.434016203704)</f>
        <v>44654.43402</v>
      </c>
      <c r="D6395" s="13">
        <f t="shared" si="1"/>
        <v>3</v>
      </c>
      <c r="E6395" s="13">
        <f t="shared" si="2"/>
        <v>10</v>
      </c>
    </row>
    <row r="6396">
      <c r="A6396" s="4" t="s">
        <v>7042</v>
      </c>
      <c r="B6396" s="16"/>
      <c r="C6396" s="12">
        <f>IFERROR(__xludf.DUMMYFUNCTION("""COMPUTED_VALUE"""),44654.408587962964)</f>
        <v>44654.40859</v>
      </c>
      <c r="D6396" s="13">
        <f t="shared" si="1"/>
        <v>3</v>
      </c>
      <c r="E6396" s="13">
        <f t="shared" si="2"/>
        <v>9</v>
      </c>
    </row>
    <row r="6397">
      <c r="A6397" s="4" t="s">
        <v>7043</v>
      </c>
      <c r="B6397" s="16"/>
      <c r="C6397" s="12">
        <f>IFERROR(__xludf.DUMMYFUNCTION("""COMPUTED_VALUE"""),44654.408425925925)</f>
        <v>44654.40843</v>
      </c>
      <c r="D6397" s="13">
        <f t="shared" si="1"/>
        <v>3</v>
      </c>
      <c r="E6397" s="13">
        <f t="shared" si="2"/>
        <v>9</v>
      </c>
    </row>
    <row r="6398">
      <c r="A6398" s="4" t="s">
        <v>7044</v>
      </c>
      <c r="B6398" s="16"/>
      <c r="C6398" s="12">
        <f>IFERROR(__xludf.DUMMYFUNCTION("""COMPUTED_VALUE"""),44654.40814814815)</f>
        <v>44654.40815</v>
      </c>
      <c r="D6398" s="13">
        <f t="shared" si="1"/>
        <v>3</v>
      </c>
      <c r="E6398" s="13">
        <f t="shared" si="2"/>
        <v>9</v>
      </c>
    </row>
    <row r="6399">
      <c r="A6399" s="4" t="s">
        <v>7045</v>
      </c>
      <c r="B6399" s="16"/>
      <c r="C6399" s="12">
        <f>IFERROR(__xludf.DUMMYFUNCTION("""COMPUTED_VALUE"""),44654.40810185185)</f>
        <v>44654.4081</v>
      </c>
      <c r="D6399" s="13">
        <f t="shared" si="1"/>
        <v>3</v>
      </c>
      <c r="E6399" s="13">
        <f t="shared" si="2"/>
        <v>9</v>
      </c>
    </row>
    <row r="6400">
      <c r="A6400" s="4" t="s">
        <v>7046</v>
      </c>
      <c r="B6400" s="16"/>
      <c r="C6400" s="12">
        <f>IFERROR(__xludf.DUMMYFUNCTION("""COMPUTED_VALUE"""),44654.40802083333)</f>
        <v>44654.40802</v>
      </c>
      <c r="D6400" s="13">
        <f t="shared" si="1"/>
        <v>3</v>
      </c>
      <c r="E6400" s="13">
        <f t="shared" si="2"/>
        <v>9</v>
      </c>
    </row>
    <row r="6401">
      <c r="A6401" s="4" t="s">
        <v>7047</v>
      </c>
      <c r="B6401" s="16"/>
      <c r="C6401" s="12">
        <f>IFERROR(__xludf.DUMMYFUNCTION("""COMPUTED_VALUE"""),44654.40783564815)</f>
        <v>44654.40784</v>
      </c>
      <c r="D6401" s="13">
        <f t="shared" si="1"/>
        <v>3</v>
      </c>
      <c r="E6401" s="13">
        <f t="shared" si="2"/>
        <v>9</v>
      </c>
    </row>
    <row r="6402">
      <c r="A6402" s="4" t="s">
        <v>7048</v>
      </c>
      <c r="B6402" s="16"/>
      <c r="C6402" s="12">
        <f>IFERROR(__xludf.DUMMYFUNCTION("""COMPUTED_VALUE"""),44654.407812499994)</f>
        <v>44654.40781</v>
      </c>
      <c r="D6402" s="13">
        <f t="shared" si="1"/>
        <v>3</v>
      </c>
      <c r="E6402" s="13">
        <f t="shared" si="2"/>
        <v>9</v>
      </c>
    </row>
    <row r="6403">
      <c r="A6403" s="4" t="s">
        <v>7049</v>
      </c>
      <c r="B6403" s="16"/>
      <c r="C6403" s="12">
        <f>IFERROR(__xludf.DUMMYFUNCTION("""COMPUTED_VALUE"""),44654.40136574074)</f>
        <v>44654.40137</v>
      </c>
      <c r="D6403" s="13">
        <f t="shared" si="1"/>
        <v>3</v>
      </c>
      <c r="E6403" s="13">
        <f t="shared" si="2"/>
        <v>9</v>
      </c>
    </row>
    <row r="6404">
      <c r="A6404" s="4" t="s">
        <v>7050</v>
      </c>
      <c r="B6404" s="16"/>
      <c r="C6404" s="12">
        <f>IFERROR(__xludf.DUMMYFUNCTION("""COMPUTED_VALUE"""),44654.401296296295)</f>
        <v>44654.4013</v>
      </c>
      <c r="D6404" s="13">
        <f t="shared" si="1"/>
        <v>3</v>
      </c>
      <c r="E6404" s="13">
        <f t="shared" si="2"/>
        <v>9</v>
      </c>
    </row>
    <row r="6405">
      <c r="A6405" s="4" t="s">
        <v>7051</v>
      </c>
      <c r="B6405" s="4" t="s">
        <v>7052</v>
      </c>
      <c r="C6405" s="12">
        <f>IFERROR(__xludf.DUMMYFUNCTION("""COMPUTED_VALUE"""),44654.397997685184)</f>
        <v>44654.398</v>
      </c>
      <c r="D6405" s="13">
        <f t="shared" si="1"/>
        <v>3</v>
      </c>
      <c r="E6405" s="13">
        <f t="shared" si="2"/>
        <v>9</v>
      </c>
    </row>
    <row r="6406">
      <c r="A6406" s="4" t="s">
        <v>7053</v>
      </c>
      <c r="B6406" s="16"/>
      <c r="C6406" s="12">
        <f>IFERROR(__xludf.DUMMYFUNCTION("""COMPUTED_VALUE"""),44654.32376157407)</f>
        <v>44654.32376</v>
      </c>
      <c r="D6406" s="13">
        <f t="shared" si="1"/>
        <v>3</v>
      </c>
      <c r="E6406" s="13">
        <f t="shared" si="2"/>
        <v>7</v>
      </c>
    </row>
    <row r="6407">
      <c r="A6407" s="4" t="s">
        <v>7054</v>
      </c>
      <c r="B6407" s="16"/>
      <c r="C6407" s="12">
        <f>IFERROR(__xludf.DUMMYFUNCTION("""COMPUTED_VALUE"""),44654.322187499994)</f>
        <v>44654.32219</v>
      </c>
      <c r="D6407" s="13">
        <f t="shared" si="1"/>
        <v>3</v>
      </c>
      <c r="E6407" s="13">
        <f t="shared" si="2"/>
        <v>7</v>
      </c>
    </row>
    <row r="6408">
      <c r="A6408" s="4" t="s">
        <v>7055</v>
      </c>
      <c r="B6408" s="16"/>
      <c r="C6408" s="12">
        <f>IFERROR(__xludf.DUMMYFUNCTION("""COMPUTED_VALUE"""),44654.322129629625)</f>
        <v>44654.32213</v>
      </c>
      <c r="D6408" s="13">
        <f t="shared" si="1"/>
        <v>3</v>
      </c>
      <c r="E6408" s="13">
        <f t="shared" si="2"/>
        <v>7</v>
      </c>
    </row>
    <row r="6409">
      <c r="A6409" s="4" t="s">
        <v>7056</v>
      </c>
      <c r="B6409" s="16"/>
      <c r="C6409" s="12">
        <f>IFERROR(__xludf.DUMMYFUNCTION("""COMPUTED_VALUE"""),44654.31762731481)</f>
        <v>44654.31763</v>
      </c>
      <c r="D6409" s="13">
        <f t="shared" si="1"/>
        <v>3</v>
      </c>
      <c r="E6409" s="13">
        <f t="shared" si="2"/>
        <v>7</v>
      </c>
    </row>
    <row r="6410">
      <c r="A6410" s="4" t="s">
        <v>7057</v>
      </c>
      <c r="B6410" s="16"/>
      <c r="C6410" s="12">
        <f>IFERROR(__xludf.DUMMYFUNCTION("""COMPUTED_VALUE"""),44654.31760416667)</f>
        <v>44654.3176</v>
      </c>
      <c r="D6410" s="13">
        <f t="shared" si="1"/>
        <v>3</v>
      </c>
      <c r="E6410" s="13">
        <f t="shared" si="2"/>
        <v>7</v>
      </c>
    </row>
    <row r="6411">
      <c r="A6411" s="4" t="s">
        <v>7058</v>
      </c>
      <c r="B6411" s="16"/>
      <c r="C6411" s="12">
        <f>IFERROR(__xludf.DUMMYFUNCTION("""COMPUTED_VALUE"""),44654.31758101851)</f>
        <v>44654.31758</v>
      </c>
      <c r="D6411" s="13">
        <f t="shared" si="1"/>
        <v>3</v>
      </c>
      <c r="E6411" s="13">
        <f t="shared" si="2"/>
        <v>7</v>
      </c>
    </row>
    <row r="6412">
      <c r="A6412" s="4" t="s">
        <v>7059</v>
      </c>
      <c r="B6412" s="16"/>
      <c r="C6412" s="12">
        <f>IFERROR(__xludf.DUMMYFUNCTION("""COMPUTED_VALUE"""),44654.31756944444)</f>
        <v>44654.31757</v>
      </c>
      <c r="D6412" s="13">
        <f t="shared" si="1"/>
        <v>3</v>
      </c>
      <c r="E6412" s="13">
        <f t="shared" si="2"/>
        <v>7</v>
      </c>
    </row>
    <row r="6413">
      <c r="A6413" s="4" t="s">
        <v>7060</v>
      </c>
      <c r="B6413" s="16"/>
      <c r="C6413" s="12">
        <f>IFERROR(__xludf.DUMMYFUNCTION("""COMPUTED_VALUE"""),44654.3175462963)</f>
        <v>44654.31755</v>
      </c>
      <c r="D6413" s="13">
        <f t="shared" si="1"/>
        <v>3</v>
      </c>
      <c r="E6413" s="13">
        <f t="shared" si="2"/>
        <v>7</v>
      </c>
    </row>
    <row r="6414">
      <c r="A6414" s="4" t="s">
        <v>7061</v>
      </c>
      <c r="B6414" s="16"/>
      <c r="C6414" s="12">
        <f>IFERROR(__xludf.DUMMYFUNCTION("""COMPUTED_VALUE"""),44654.31753472222)</f>
        <v>44654.31753</v>
      </c>
      <c r="D6414" s="13">
        <f t="shared" si="1"/>
        <v>3</v>
      </c>
      <c r="E6414" s="13">
        <f t="shared" si="2"/>
        <v>7</v>
      </c>
    </row>
    <row r="6415">
      <c r="A6415" s="4" t="s">
        <v>7062</v>
      </c>
      <c r="B6415" s="16"/>
      <c r="C6415" s="12">
        <f>IFERROR(__xludf.DUMMYFUNCTION("""COMPUTED_VALUE"""),44654.317511574074)</f>
        <v>44654.31751</v>
      </c>
      <c r="D6415" s="13">
        <f t="shared" si="1"/>
        <v>3</v>
      </c>
      <c r="E6415" s="13">
        <f t="shared" si="2"/>
        <v>7</v>
      </c>
    </row>
    <row r="6416">
      <c r="A6416" s="4" t="s">
        <v>7063</v>
      </c>
      <c r="B6416" s="16"/>
      <c r="C6416" s="12">
        <f>IFERROR(__xludf.DUMMYFUNCTION("""COMPUTED_VALUE"""),44654.317465277774)</f>
        <v>44654.31747</v>
      </c>
      <c r="D6416" s="13">
        <f t="shared" si="1"/>
        <v>3</v>
      </c>
      <c r="E6416" s="13">
        <f t="shared" si="2"/>
        <v>7</v>
      </c>
    </row>
    <row r="6417">
      <c r="A6417" s="4" t="s">
        <v>7064</v>
      </c>
      <c r="B6417" s="16"/>
      <c r="C6417" s="12">
        <f>IFERROR(__xludf.DUMMYFUNCTION("""COMPUTED_VALUE"""),44654.317453703705)</f>
        <v>44654.31745</v>
      </c>
      <c r="D6417" s="13">
        <f t="shared" si="1"/>
        <v>3</v>
      </c>
      <c r="E6417" s="13">
        <f t="shared" si="2"/>
        <v>7</v>
      </c>
    </row>
    <row r="6418">
      <c r="A6418" s="4" t="s">
        <v>7065</v>
      </c>
      <c r="B6418" s="16"/>
      <c r="C6418" s="12">
        <f>IFERROR(__xludf.DUMMYFUNCTION("""COMPUTED_VALUE"""),44654.31738425926)</f>
        <v>44654.31738</v>
      </c>
      <c r="D6418" s="13">
        <f t="shared" si="1"/>
        <v>3</v>
      </c>
      <c r="E6418" s="13">
        <f t="shared" si="2"/>
        <v>7</v>
      </c>
    </row>
    <row r="6419">
      <c r="A6419" s="4" t="s">
        <v>7066</v>
      </c>
      <c r="B6419" s="16"/>
      <c r="C6419" s="12">
        <f>IFERROR(__xludf.DUMMYFUNCTION("""COMPUTED_VALUE"""),44654.31650462963)</f>
        <v>44654.3165</v>
      </c>
      <c r="D6419" s="13">
        <f t="shared" si="1"/>
        <v>3</v>
      </c>
      <c r="E6419" s="13">
        <f t="shared" si="2"/>
        <v>7</v>
      </c>
    </row>
    <row r="6420">
      <c r="A6420" s="4" t="s">
        <v>7067</v>
      </c>
      <c r="B6420" s="16"/>
      <c r="C6420" s="12">
        <f>IFERROR(__xludf.DUMMYFUNCTION("""COMPUTED_VALUE"""),44654.31586805555)</f>
        <v>44654.31587</v>
      </c>
      <c r="D6420" s="13">
        <f t="shared" si="1"/>
        <v>3</v>
      </c>
      <c r="E6420" s="13">
        <f t="shared" si="2"/>
        <v>7</v>
      </c>
    </row>
    <row r="6421">
      <c r="A6421" s="4" t="s">
        <v>7068</v>
      </c>
      <c r="B6421" s="16"/>
      <c r="C6421" s="12">
        <f>IFERROR(__xludf.DUMMYFUNCTION("""COMPUTED_VALUE"""),44654.31222222222)</f>
        <v>44654.31222</v>
      </c>
      <c r="D6421" s="13">
        <f t="shared" si="1"/>
        <v>3</v>
      </c>
      <c r="E6421" s="13">
        <f t="shared" si="2"/>
        <v>7</v>
      </c>
    </row>
    <row r="6422">
      <c r="A6422" s="4" t="s">
        <v>7069</v>
      </c>
      <c r="B6422" s="16"/>
      <c r="C6422" s="12">
        <f>IFERROR(__xludf.DUMMYFUNCTION("""COMPUTED_VALUE"""),44654.31219907407)</f>
        <v>44654.3122</v>
      </c>
      <c r="D6422" s="13">
        <f t="shared" si="1"/>
        <v>3</v>
      </c>
      <c r="E6422" s="13">
        <f t="shared" si="2"/>
        <v>7</v>
      </c>
    </row>
    <row r="6423">
      <c r="A6423" s="4" t="s">
        <v>7070</v>
      </c>
      <c r="B6423" s="16"/>
      <c r="C6423" s="12">
        <f>IFERROR(__xludf.DUMMYFUNCTION("""COMPUTED_VALUE"""),44654.31217592592)</f>
        <v>44654.31218</v>
      </c>
      <c r="D6423" s="13">
        <f t="shared" si="1"/>
        <v>3</v>
      </c>
      <c r="E6423" s="13">
        <f t="shared" si="2"/>
        <v>7</v>
      </c>
    </row>
    <row r="6424">
      <c r="A6424" s="4" t="s">
        <v>7071</v>
      </c>
      <c r="B6424" s="16"/>
      <c r="C6424" s="12">
        <f>IFERROR(__xludf.DUMMYFUNCTION("""COMPUTED_VALUE"""),44654.31210648148)</f>
        <v>44654.31211</v>
      </c>
      <c r="D6424" s="13">
        <f t="shared" si="1"/>
        <v>3</v>
      </c>
      <c r="E6424" s="13">
        <f t="shared" si="2"/>
        <v>7</v>
      </c>
    </row>
    <row r="6425">
      <c r="A6425" s="4" t="s">
        <v>7072</v>
      </c>
      <c r="B6425" s="16"/>
      <c r="C6425" s="12">
        <f>IFERROR(__xludf.DUMMYFUNCTION("""COMPUTED_VALUE"""),44653.95721064814)</f>
        <v>44653.95721</v>
      </c>
      <c r="D6425" s="13">
        <f t="shared" si="1"/>
        <v>2</v>
      </c>
      <c r="E6425" s="13">
        <f t="shared" si="2"/>
        <v>22</v>
      </c>
    </row>
    <row r="6426">
      <c r="A6426" s="4" t="s">
        <v>7073</v>
      </c>
      <c r="B6426" s="16"/>
      <c r="C6426" s="12">
        <f>IFERROR(__xludf.DUMMYFUNCTION("""COMPUTED_VALUE"""),44653.90216435185)</f>
        <v>44653.90216</v>
      </c>
      <c r="D6426" s="13">
        <f t="shared" si="1"/>
        <v>2</v>
      </c>
      <c r="E6426" s="13">
        <f t="shared" si="2"/>
        <v>21</v>
      </c>
    </row>
    <row r="6427">
      <c r="A6427" s="4" t="s">
        <v>7074</v>
      </c>
      <c r="B6427" s="16"/>
      <c r="C6427" s="12">
        <f>IFERROR(__xludf.DUMMYFUNCTION("""COMPUTED_VALUE"""),44653.88571759259)</f>
        <v>44653.88572</v>
      </c>
      <c r="D6427" s="13">
        <f t="shared" si="1"/>
        <v>2</v>
      </c>
      <c r="E6427" s="13">
        <f t="shared" si="2"/>
        <v>21</v>
      </c>
    </row>
    <row r="6428">
      <c r="A6428" s="4" t="s">
        <v>7075</v>
      </c>
      <c r="B6428" s="16"/>
      <c r="C6428" s="12">
        <f>IFERROR(__xludf.DUMMYFUNCTION("""COMPUTED_VALUE"""),44653.78805555555)</f>
        <v>44653.78806</v>
      </c>
      <c r="D6428" s="13">
        <f t="shared" si="1"/>
        <v>2</v>
      </c>
      <c r="E6428" s="13">
        <f t="shared" si="2"/>
        <v>18</v>
      </c>
    </row>
    <row r="6429">
      <c r="A6429" s="4" t="s">
        <v>7076</v>
      </c>
      <c r="B6429" s="16"/>
      <c r="C6429" s="12">
        <f>IFERROR(__xludf.DUMMYFUNCTION("""COMPUTED_VALUE"""),44653.78803240741)</f>
        <v>44653.78803</v>
      </c>
      <c r="D6429" s="13">
        <f t="shared" si="1"/>
        <v>2</v>
      </c>
      <c r="E6429" s="13">
        <f t="shared" si="2"/>
        <v>18</v>
      </c>
    </row>
    <row r="6430">
      <c r="A6430" s="4" t="s">
        <v>7077</v>
      </c>
      <c r="B6430" s="16"/>
      <c r="C6430" s="12">
        <f>IFERROR(__xludf.DUMMYFUNCTION("""COMPUTED_VALUE"""),44653.78800925926)</f>
        <v>44653.78801</v>
      </c>
      <c r="D6430" s="13">
        <f t="shared" si="1"/>
        <v>2</v>
      </c>
      <c r="E6430" s="13">
        <f t="shared" si="2"/>
        <v>18</v>
      </c>
    </row>
    <row r="6431">
      <c r="A6431" s="4" t="s">
        <v>7078</v>
      </c>
      <c r="B6431" s="16"/>
      <c r="C6431" s="12">
        <f>IFERROR(__xludf.DUMMYFUNCTION("""COMPUTED_VALUE"""),44653.78798611111)</f>
        <v>44653.78799</v>
      </c>
      <c r="D6431" s="13">
        <f t="shared" si="1"/>
        <v>2</v>
      </c>
      <c r="E6431" s="13">
        <f t="shared" si="2"/>
        <v>18</v>
      </c>
    </row>
    <row r="6432">
      <c r="A6432" s="4" t="s">
        <v>7079</v>
      </c>
      <c r="B6432" s="16"/>
      <c r="C6432" s="12">
        <f>IFERROR(__xludf.DUMMYFUNCTION("""COMPUTED_VALUE"""),44653.78787037037)</f>
        <v>44653.78787</v>
      </c>
      <c r="D6432" s="13">
        <f t="shared" si="1"/>
        <v>2</v>
      </c>
      <c r="E6432" s="13">
        <f t="shared" si="2"/>
        <v>18</v>
      </c>
    </row>
    <row r="6433">
      <c r="A6433" s="4" t="s">
        <v>7080</v>
      </c>
      <c r="B6433" s="16"/>
      <c r="C6433" s="12">
        <f>IFERROR(__xludf.DUMMYFUNCTION("""COMPUTED_VALUE"""),44653.78165509259)</f>
        <v>44653.78166</v>
      </c>
      <c r="D6433" s="13">
        <f t="shared" si="1"/>
        <v>2</v>
      </c>
      <c r="E6433" s="13">
        <f t="shared" si="2"/>
        <v>18</v>
      </c>
    </row>
    <row r="6434">
      <c r="A6434" s="4" t="s">
        <v>7081</v>
      </c>
      <c r="B6434" s="16"/>
      <c r="C6434" s="12">
        <f>IFERROR(__xludf.DUMMYFUNCTION("""COMPUTED_VALUE"""),44653.77768518518)</f>
        <v>44653.77769</v>
      </c>
      <c r="D6434" s="13">
        <f t="shared" si="1"/>
        <v>2</v>
      </c>
      <c r="E6434" s="13">
        <f t="shared" si="2"/>
        <v>18</v>
      </c>
    </row>
    <row r="6435">
      <c r="A6435" s="4" t="s">
        <v>7082</v>
      </c>
      <c r="B6435" s="16"/>
      <c r="C6435" s="12">
        <f>IFERROR(__xludf.DUMMYFUNCTION("""COMPUTED_VALUE"""),44653.74695601851)</f>
        <v>44653.74696</v>
      </c>
      <c r="D6435" s="13">
        <f t="shared" si="1"/>
        <v>2</v>
      </c>
      <c r="E6435" s="13">
        <f t="shared" si="2"/>
        <v>17</v>
      </c>
    </row>
    <row r="6436">
      <c r="A6436" s="4" t="s">
        <v>7083</v>
      </c>
      <c r="B6436" s="16"/>
      <c r="C6436" s="12">
        <f>IFERROR(__xludf.DUMMYFUNCTION("""COMPUTED_VALUE"""),44653.70743055555)</f>
        <v>44653.70743</v>
      </c>
      <c r="D6436" s="13">
        <f t="shared" si="1"/>
        <v>2</v>
      </c>
      <c r="E6436" s="13">
        <f t="shared" si="2"/>
        <v>16</v>
      </c>
    </row>
    <row r="6437">
      <c r="A6437" s="4" t="s">
        <v>7084</v>
      </c>
      <c r="B6437" s="16"/>
      <c r="C6437" s="12">
        <f>IFERROR(__xludf.DUMMYFUNCTION("""COMPUTED_VALUE"""),44653.707407407404)</f>
        <v>44653.70741</v>
      </c>
      <c r="D6437" s="13">
        <f t="shared" si="1"/>
        <v>2</v>
      </c>
      <c r="E6437" s="13">
        <f t="shared" si="2"/>
        <v>16</v>
      </c>
    </row>
    <row r="6438">
      <c r="A6438" s="4" t="s">
        <v>7085</v>
      </c>
      <c r="B6438" s="16"/>
      <c r="C6438" s="12">
        <f>IFERROR(__xludf.DUMMYFUNCTION("""COMPUTED_VALUE"""),44653.688125)</f>
        <v>44653.68813</v>
      </c>
      <c r="D6438" s="13">
        <f t="shared" si="1"/>
        <v>2</v>
      </c>
      <c r="E6438" s="13">
        <f t="shared" si="2"/>
        <v>16</v>
      </c>
    </row>
    <row r="6439">
      <c r="A6439" s="4" t="s">
        <v>7086</v>
      </c>
      <c r="B6439" s="16"/>
      <c r="C6439" s="12">
        <f>IFERROR(__xludf.DUMMYFUNCTION("""COMPUTED_VALUE"""),44653.660590277774)</f>
        <v>44653.66059</v>
      </c>
      <c r="D6439" s="13">
        <f t="shared" si="1"/>
        <v>2</v>
      </c>
      <c r="E6439" s="13">
        <f t="shared" si="2"/>
        <v>15</v>
      </c>
    </row>
    <row r="6440">
      <c r="A6440" s="4" t="s">
        <v>7087</v>
      </c>
      <c r="B6440" s="16"/>
      <c r="C6440" s="12">
        <f>IFERROR(__xludf.DUMMYFUNCTION("""COMPUTED_VALUE"""),44653.656747685185)</f>
        <v>44653.65675</v>
      </c>
      <c r="D6440" s="13">
        <f t="shared" si="1"/>
        <v>2</v>
      </c>
      <c r="E6440" s="13">
        <f t="shared" si="2"/>
        <v>15</v>
      </c>
    </row>
    <row r="6441">
      <c r="A6441" s="4" t="s">
        <v>7088</v>
      </c>
      <c r="B6441" s="16"/>
      <c r="C6441" s="12">
        <f>IFERROR(__xludf.DUMMYFUNCTION("""COMPUTED_VALUE"""),44653.656689814816)</f>
        <v>44653.65669</v>
      </c>
      <c r="D6441" s="13">
        <f t="shared" si="1"/>
        <v>2</v>
      </c>
      <c r="E6441" s="13">
        <f t="shared" si="2"/>
        <v>15</v>
      </c>
    </row>
    <row r="6442">
      <c r="A6442" s="4" t="s">
        <v>7089</v>
      </c>
      <c r="B6442" s="4" t="s">
        <v>7090</v>
      </c>
      <c r="C6442" s="12">
        <f>IFERROR(__xludf.DUMMYFUNCTION("""COMPUTED_VALUE"""),44653.50554398148)</f>
        <v>44653.50554</v>
      </c>
      <c r="D6442" s="13">
        <f t="shared" si="1"/>
        <v>2</v>
      </c>
      <c r="E6442" s="13">
        <f t="shared" si="2"/>
        <v>12</v>
      </c>
    </row>
    <row r="6443">
      <c r="A6443" s="4" t="s">
        <v>7091</v>
      </c>
      <c r="B6443" s="16"/>
      <c r="C6443" s="12">
        <f>IFERROR(__xludf.DUMMYFUNCTION("""COMPUTED_VALUE"""),44653.503796296296)</f>
        <v>44653.5038</v>
      </c>
      <c r="D6443" s="13">
        <f t="shared" si="1"/>
        <v>2</v>
      </c>
      <c r="E6443" s="13">
        <f t="shared" si="2"/>
        <v>12</v>
      </c>
    </row>
    <row r="6444">
      <c r="A6444" s="4" t="s">
        <v>7092</v>
      </c>
      <c r="B6444" s="16"/>
      <c r="C6444" s="12">
        <f>IFERROR(__xludf.DUMMYFUNCTION("""COMPUTED_VALUE"""),44653.50376157407)</f>
        <v>44653.50376</v>
      </c>
      <c r="D6444" s="13">
        <f t="shared" si="1"/>
        <v>2</v>
      </c>
      <c r="E6444" s="13">
        <f t="shared" si="2"/>
        <v>12</v>
      </c>
    </row>
    <row r="6445">
      <c r="A6445" s="4" t="s">
        <v>7093</v>
      </c>
      <c r="B6445" s="16"/>
      <c r="C6445" s="12">
        <f>IFERROR(__xludf.DUMMYFUNCTION("""COMPUTED_VALUE"""),44653.50373842593)</f>
        <v>44653.50374</v>
      </c>
      <c r="D6445" s="13">
        <f t="shared" si="1"/>
        <v>2</v>
      </c>
      <c r="E6445" s="13">
        <f t="shared" si="2"/>
        <v>12</v>
      </c>
    </row>
    <row r="6446">
      <c r="A6446" s="4" t="s">
        <v>7094</v>
      </c>
      <c r="B6446" s="16"/>
      <c r="C6446" s="12">
        <f>IFERROR(__xludf.DUMMYFUNCTION("""COMPUTED_VALUE"""),44653.50371527777)</f>
        <v>44653.50372</v>
      </c>
      <c r="D6446" s="13">
        <f t="shared" si="1"/>
        <v>2</v>
      </c>
      <c r="E6446" s="13">
        <f t="shared" si="2"/>
        <v>12</v>
      </c>
    </row>
    <row r="6447">
      <c r="A6447" s="4" t="s">
        <v>7095</v>
      </c>
      <c r="B6447" s="16"/>
      <c r="C6447" s="12">
        <f>IFERROR(__xludf.DUMMYFUNCTION("""COMPUTED_VALUE"""),44653.50358796296)</f>
        <v>44653.50359</v>
      </c>
      <c r="D6447" s="13">
        <f t="shared" si="1"/>
        <v>2</v>
      </c>
      <c r="E6447" s="13">
        <f t="shared" si="2"/>
        <v>12</v>
      </c>
    </row>
    <row r="6448">
      <c r="A6448" s="4" t="s">
        <v>7096</v>
      </c>
      <c r="B6448" s="16"/>
      <c r="C6448" s="12">
        <f>IFERROR(__xludf.DUMMYFUNCTION("""COMPUTED_VALUE"""),44653.50356481481)</f>
        <v>44653.50356</v>
      </c>
      <c r="D6448" s="13">
        <f t="shared" si="1"/>
        <v>2</v>
      </c>
      <c r="E6448" s="13">
        <f t="shared" si="2"/>
        <v>12</v>
      </c>
    </row>
    <row r="6449">
      <c r="A6449" s="4" t="s">
        <v>7097</v>
      </c>
      <c r="B6449" s="16"/>
      <c r="C6449" s="12">
        <f>IFERROR(__xludf.DUMMYFUNCTION("""COMPUTED_VALUE"""),44653.41028935185)</f>
        <v>44653.41029</v>
      </c>
      <c r="D6449" s="13">
        <f t="shared" si="1"/>
        <v>2</v>
      </c>
      <c r="E6449" s="13">
        <f t="shared" si="2"/>
        <v>9</v>
      </c>
    </row>
    <row r="6450">
      <c r="A6450" s="4" t="s">
        <v>7098</v>
      </c>
      <c r="B6450" s="16"/>
      <c r="C6450" s="12">
        <f>IFERROR(__xludf.DUMMYFUNCTION("""COMPUTED_VALUE"""),44653.408483796295)</f>
        <v>44653.40848</v>
      </c>
      <c r="D6450" s="13">
        <f t="shared" si="1"/>
        <v>2</v>
      </c>
      <c r="E6450" s="13">
        <f t="shared" si="2"/>
        <v>9</v>
      </c>
    </row>
    <row r="6451">
      <c r="A6451" s="4" t="s">
        <v>7099</v>
      </c>
      <c r="B6451" s="16"/>
      <c r="C6451" s="12">
        <f>IFERROR(__xludf.DUMMYFUNCTION("""COMPUTED_VALUE"""),44653.4055787037)</f>
        <v>44653.40558</v>
      </c>
      <c r="D6451" s="13">
        <f t="shared" si="1"/>
        <v>2</v>
      </c>
      <c r="E6451" s="13">
        <f t="shared" si="2"/>
        <v>9</v>
      </c>
    </row>
    <row r="6452">
      <c r="A6452" s="4" t="s">
        <v>7100</v>
      </c>
      <c r="B6452" s="16"/>
      <c r="C6452" s="12">
        <f>IFERROR(__xludf.DUMMYFUNCTION("""COMPUTED_VALUE"""),44653.40542824074)</f>
        <v>44653.40543</v>
      </c>
      <c r="D6452" s="13">
        <f t="shared" si="1"/>
        <v>2</v>
      </c>
      <c r="E6452" s="13">
        <f t="shared" si="2"/>
        <v>9</v>
      </c>
    </row>
    <row r="6453">
      <c r="A6453" s="4" t="s">
        <v>7101</v>
      </c>
      <c r="B6453" s="16"/>
      <c r="C6453" s="12">
        <f>IFERROR(__xludf.DUMMYFUNCTION("""COMPUTED_VALUE"""),44653.39278935185)</f>
        <v>44653.39279</v>
      </c>
      <c r="D6453" s="13">
        <f t="shared" si="1"/>
        <v>2</v>
      </c>
      <c r="E6453" s="13">
        <f t="shared" si="2"/>
        <v>9</v>
      </c>
    </row>
    <row r="6454">
      <c r="A6454" s="4" t="s">
        <v>7102</v>
      </c>
      <c r="B6454" s="16"/>
      <c r="C6454" s="12">
        <f>IFERROR(__xludf.DUMMYFUNCTION("""COMPUTED_VALUE"""),44653.37762731481)</f>
        <v>44653.37763</v>
      </c>
      <c r="D6454" s="13">
        <f t="shared" si="1"/>
        <v>2</v>
      </c>
      <c r="E6454" s="13">
        <f t="shared" si="2"/>
        <v>9</v>
      </c>
    </row>
    <row r="6455">
      <c r="A6455" s="4" t="s">
        <v>7103</v>
      </c>
      <c r="B6455" s="16"/>
      <c r="C6455" s="12">
        <f>IFERROR(__xludf.DUMMYFUNCTION("""COMPUTED_VALUE"""),44653.32152777778)</f>
        <v>44653.32153</v>
      </c>
      <c r="D6455" s="13">
        <f t="shared" si="1"/>
        <v>2</v>
      </c>
      <c r="E6455" s="13">
        <f t="shared" si="2"/>
        <v>7</v>
      </c>
    </row>
    <row r="6456">
      <c r="A6456" s="4" t="s">
        <v>7104</v>
      </c>
      <c r="B6456" s="16"/>
      <c r="C6456" s="12">
        <f>IFERROR(__xludf.DUMMYFUNCTION("""COMPUTED_VALUE"""),44653.29552083333)</f>
        <v>44653.29552</v>
      </c>
      <c r="D6456" s="13">
        <f t="shared" si="1"/>
        <v>2</v>
      </c>
      <c r="E6456" s="13">
        <f t="shared" si="2"/>
        <v>7</v>
      </c>
    </row>
    <row r="6457">
      <c r="A6457" s="4" t="s">
        <v>7105</v>
      </c>
      <c r="B6457" s="16"/>
      <c r="C6457" s="12">
        <f>IFERROR(__xludf.DUMMYFUNCTION("""COMPUTED_VALUE"""),44653.05594907407)</f>
        <v>44653.05595</v>
      </c>
      <c r="D6457" s="13">
        <f t="shared" si="1"/>
        <v>2</v>
      </c>
      <c r="E6457" s="13">
        <f t="shared" si="2"/>
        <v>1</v>
      </c>
    </row>
    <row r="6458">
      <c r="A6458" s="4" t="s">
        <v>7106</v>
      </c>
      <c r="B6458" s="16"/>
      <c r="C6458" s="12">
        <f>IFERROR(__xludf.DUMMYFUNCTION("""COMPUTED_VALUE"""),44653.03185185185)</f>
        <v>44653.03185</v>
      </c>
      <c r="D6458" s="13">
        <f t="shared" si="1"/>
        <v>2</v>
      </c>
      <c r="E6458" s="13">
        <f t="shared" si="2"/>
        <v>0</v>
      </c>
    </row>
    <row r="6459">
      <c r="A6459" s="4" t="s">
        <v>7107</v>
      </c>
      <c r="B6459" s="16"/>
      <c r="C6459" s="12">
        <f>IFERROR(__xludf.DUMMYFUNCTION("""COMPUTED_VALUE"""),44652.95475694444)</f>
        <v>44652.95476</v>
      </c>
      <c r="D6459" s="13">
        <f t="shared" si="1"/>
        <v>1</v>
      </c>
      <c r="E6459" s="13">
        <f t="shared" si="2"/>
        <v>22</v>
      </c>
    </row>
    <row r="6460">
      <c r="A6460" s="4" t="s">
        <v>7108</v>
      </c>
      <c r="B6460" s="16"/>
      <c r="C6460" s="12">
        <f>IFERROR(__xludf.DUMMYFUNCTION("""COMPUTED_VALUE"""),44652.784120370365)</f>
        <v>44652.78412</v>
      </c>
      <c r="D6460" s="13">
        <f t="shared" si="1"/>
        <v>1</v>
      </c>
      <c r="E6460" s="13">
        <f t="shared" si="2"/>
        <v>18</v>
      </c>
    </row>
    <row r="6461">
      <c r="A6461" s="4" t="s">
        <v>7109</v>
      </c>
      <c r="B6461" s="16"/>
      <c r="C6461" s="12">
        <f>IFERROR(__xludf.DUMMYFUNCTION("""COMPUTED_VALUE"""),44652.78408564815)</f>
        <v>44652.78409</v>
      </c>
      <c r="D6461" s="13">
        <f t="shared" si="1"/>
        <v>1</v>
      </c>
      <c r="E6461" s="13">
        <f t="shared" si="2"/>
        <v>18</v>
      </c>
    </row>
    <row r="6462">
      <c r="A6462" s="4" t="s">
        <v>7110</v>
      </c>
      <c r="B6462" s="16"/>
      <c r="C6462" s="12">
        <f>IFERROR(__xludf.DUMMYFUNCTION("""COMPUTED_VALUE"""),44652.7840162037)</f>
        <v>44652.78402</v>
      </c>
      <c r="D6462" s="13">
        <f t="shared" si="1"/>
        <v>1</v>
      </c>
      <c r="E6462" s="13">
        <f t="shared" si="2"/>
        <v>18</v>
      </c>
    </row>
    <row r="6463">
      <c r="A6463" s="4" t="s">
        <v>7111</v>
      </c>
      <c r="B6463" s="16"/>
      <c r="C6463" s="12">
        <f>IFERROR(__xludf.DUMMYFUNCTION("""COMPUTED_VALUE"""),44652.78128472222)</f>
        <v>44652.78128</v>
      </c>
      <c r="D6463" s="13">
        <f t="shared" si="1"/>
        <v>1</v>
      </c>
      <c r="E6463" s="13">
        <f t="shared" si="2"/>
        <v>18</v>
      </c>
    </row>
    <row r="6464">
      <c r="A6464" s="4" t="s">
        <v>7112</v>
      </c>
      <c r="B6464" s="4" t="s">
        <v>7113</v>
      </c>
      <c r="C6464" s="12">
        <f>IFERROR(__xludf.DUMMYFUNCTION("""COMPUTED_VALUE"""),44652.77261574074)</f>
        <v>44652.77262</v>
      </c>
      <c r="D6464" s="13">
        <f t="shared" si="1"/>
        <v>1</v>
      </c>
      <c r="E6464" s="13">
        <f t="shared" si="2"/>
        <v>18</v>
      </c>
    </row>
    <row r="6465">
      <c r="A6465" s="4" t="s">
        <v>7114</v>
      </c>
      <c r="B6465" s="16"/>
      <c r="C6465" s="12">
        <f>IFERROR(__xludf.DUMMYFUNCTION("""COMPUTED_VALUE"""),44652.672118055554)</f>
        <v>44652.67212</v>
      </c>
      <c r="D6465" s="13">
        <f t="shared" si="1"/>
        <v>1</v>
      </c>
      <c r="E6465" s="13">
        <f t="shared" si="2"/>
        <v>16</v>
      </c>
    </row>
    <row r="6466">
      <c r="A6466" s="4" t="s">
        <v>7115</v>
      </c>
      <c r="B6466" s="16"/>
      <c r="C6466" s="12">
        <f>IFERROR(__xludf.DUMMYFUNCTION("""COMPUTED_VALUE"""),44652.66134259259)</f>
        <v>44652.66134</v>
      </c>
      <c r="D6466" s="13">
        <f t="shared" si="1"/>
        <v>1</v>
      </c>
      <c r="E6466" s="13">
        <f t="shared" si="2"/>
        <v>15</v>
      </c>
    </row>
    <row r="6467">
      <c r="A6467" s="4" t="s">
        <v>7116</v>
      </c>
      <c r="B6467" s="16"/>
      <c r="C6467" s="12">
        <f>IFERROR(__xludf.DUMMYFUNCTION("""COMPUTED_VALUE"""),44652.492384259254)</f>
        <v>44652.49238</v>
      </c>
      <c r="D6467" s="13">
        <f t="shared" si="1"/>
        <v>1</v>
      </c>
      <c r="E6467" s="13">
        <f t="shared" si="2"/>
        <v>11</v>
      </c>
    </row>
    <row r="6468">
      <c r="A6468" s="4" t="s">
        <v>7117</v>
      </c>
      <c r="B6468" s="16"/>
      <c r="C6468" s="12">
        <f>IFERROR(__xludf.DUMMYFUNCTION("""COMPUTED_VALUE"""),44652.492118055554)</f>
        <v>44652.49212</v>
      </c>
      <c r="D6468" s="13">
        <f t="shared" si="1"/>
        <v>1</v>
      </c>
      <c r="E6468" s="13">
        <f t="shared" si="2"/>
        <v>11</v>
      </c>
    </row>
    <row r="6469">
      <c r="A6469" s="4" t="s">
        <v>7118</v>
      </c>
      <c r="B6469" s="16"/>
      <c r="C6469" s="12">
        <f>IFERROR(__xludf.DUMMYFUNCTION("""COMPUTED_VALUE"""),44652.477685185186)</f>
        <v>44652.47769</v>
      </c>
      <c r="D6469" s="13">
        <f t="shared" si="1"/>
        <v>1</v>
      </c>
      <c r="E6469" s="13">
        <f t="shared" si="2"/>
        <v>11</v>
      </c>
    </row>
    <row r="6470">
      <c r="A6470" s="4" t="s">
        <v>7119</v>
      </c>
      <c r="B6470" s="16"/>
      <c r="C6470" s="12">
        <f>IFERROR(__xludf.DUMMYFUNCTION("""COMPUTED_VALUE"""),44652.476747685185)</f>
        <v>44652.47675</v>
      </c>
      <c r="D6470" s="13">
        <f t="shared" si="1"/>
        <v>1</v>
      </c>
      <c r="E6470" s="13">
        <f t="shared" si="2"/>
        <v>11</v>
      </c>
    </row>
    <row r="6471">
      <c r="A6471" s="4" t="s">
        <v>7120</v>
      </c>
      <c r="B6471" s="16"/>
      <c r="C6471" s="12">
        <f>IFERROR(__xludf.DUMMYFUNCTION("""COMPUTED_VALUE"""),44652.47609953704)</f>
        <v>44652.4761</v>
      </c>
      <c r="D6471" s="13">
        <f t="shared" si="1"/>
        <v>1</v>
      </c>
      <c r="E6471" s="13">
        <f t="shared" si="2"/>
        <v>11</v>
      </c>
    </row>
    <row r="6472">
      <c r="A6472" s="4" t="s">
        <v>7121</v>
      </c>
      <c r="B6472" s="16"/>
      <c r="C6472" s="12">
        <f>IFERROR(__xludf.DUMMYFUNCTION("""COMPUTED_VALUE"""),44652.47568287037)</f>
        <v>44652.47568</v>
      </c>
      <c r="D6472" s="13">
        <f t="shared" si="1"/>
        <v>1</v>
      </c>
      <c r="E6472" s="13">
        <f t="shared" si="2"/>
        <v>11</v>
      </c>
    </row>
    <row r="6473">
      <c r="A6473" s="4" t="s">
        <v>7122</v>
      </c>
      <c r="B6473" s="16"/>
      <c r="C6473" s="12">
        <f>IFERROR(__xludf.DUMMYFUNCTION("""COMPUTED_VALUE"""),44652.475277777776)</f>
        <v>44652.47528</v>
      </c>
      <c r="D6473" s="13">
        <f t="shared" si="1"/>
        <v>1</v>
      </c>
      <c r="E6473" s="13">
        <f t="shared" si="2"/>
        <v>11</v>
      </c>
    </row>
    <row r="6474">
      <c r="A6474" s="4" t="s">
        <v>7123</v>
      </c>
      <c r="B6474" s="16"/>
      <c r="C6474" s="12">
        <f>IFERROR(__xludf.DUMMYFUNCTION("""COMPUTED_VALUE"""),44652.47479166667)</f>
        <v>44652.47479</v>
      </c>
      <c r="D6474" s="13">
        <f t="shared" si="1"/>
        <v>1</v>
      </c>
      <c r="E6474" s="13">
        <f t="shared" si="2"/>
        <v>11</v>
      </c>
    </row>
    <row r="6475">
      <c r="A6475" s="4" t="s">
        <v>7124</v>
      </c>
      <c r="B6475" s="16"/>
      <c r="C6475" s="12">
        <f>IFERROR(__xludf.DUMMYFUNCTION("""COMPUTED_VALUE"""),44652.474652777775)</f>
        <v>44652.47465</v>
      </c>
      <c r="D6475" s="13">
        <f t="shared" si="1"/>
        <v>1</v>
      </c>
      <c r="E6475" s="13">
        <f t="shared" si="2"/>
        <v>11</v>
      </c>
    </row>
    <row r="6476">
      <c r="A6476" s="4" t="s">
        <v>7125</v>
      </c>
      <c r="B6476" s="16"/>
      <c r="C6476" s="12">
        <f>IFERROR(__xludf.DUMMYFUNCTION("""COMPUTED_VALUE"""),44652.47424768518)</f>
        <v>44652.47425</v>
      </c>
      <c r="D6476" s="13">
        <f t="shared" si="1"/>
        <v>1</v>
      </c>
      <c r="E6476" s="13">
        <f t="shared" si="2"/>
        <v>11</v>
      </c>
    </row>
    <row r="6477">
      <c r="A6477" s="4" t="s">
        <v>7126</v>
      </c>
      <c r="B6477" s="16"/>
      <c r="C6477" s="12">
        <f>IFERROR(__xludf.DUMMYFUNCTION("""COMPUTED_VALUE"""),44652.47416666667)</f>
        <v>44652.47417</v>
      </c>
      <c r="D6477" s="13">
        <f t="shared" si="1"/>
        <v>1</v>
      </c>
      <c r="E6477" s="13">
        <f t="shared" si="2"/>
        <v>11</v>
      </c>
    </row>
    <row r="6478">
      <c r="A6478" s="4" t="s">
        <v>7127</v>
      </c>
      <c r="B6478" s="16"/>
      <c r="C6478" s="12">
        <f>IFERROR(__xludf.DUMMYFUNCTION("""COMPUTED_VALUE"""),44652.47366898148)</f>
        <v>44652.47367</v>
      </c>
      <c r="D6478" s="13">
        <f t="shared" si="1"/>
        <v>1</v>
      </c>
      <c r="E6478" s="13">
        <f t="shared" si="2"/>
        <v>11</v>
      </c>
    </row>
    <row r="6479">
      <c r="A6479" s="4" t="s">
        <v>7128</v>
      </c>
      <c r="B6479" s="16"/>
      <c r="C6479" s="12">
        <f>IFERROR(__xludf.DUMMYFUNCTION("""COMPUTED_VALUE"""),44652.47325231481)</f>
        <v>44652.47325</v>
      </c>
      <c r="D6479" s="13">
        <f t="shared" si="1"/>
        <v>1</v>
      </c>
      <c r="E6479" s="13">
        <f t="shared" si="2"/>
        <v>11</v>
      </c>
    </row>
    <row r="6480">
      <c r="A6480" s="4" t="s">
        <v>7129</v>
      </c>
      <c r="B6480" s="16"/>
      <c r="C6480" s="12">
        <f>IFERROR(__xludf.DUMMYFUNCTION("""COMPUTED_VALUE"""),44652.472870370366)</f>
        <v>44652.47287</v>
      </c>
      <c r="D6480" s="13">
        <f t="shared" si="1"/>
        <v>1</v>
      </c>
      <c r="E6480" s="13">
        <f t="shared" si="2"/>
        <v>11</v>
      </c>
    </row>
    <row r="6481">
      <c r="A6481" s="4" t="s">
        <v>7130</v>
      </c>
      <c r="B6481" s="16"/>
      <c r="C6481" s="12">
        <f>IFERROR(__xludf.DUMMYFUNCTION("""COMPUTED_VALUE"""),44652.47284722222)</f>
        <v>44652.47285</v>
      </c>
      <c r="D6481" s="13">
        <f t="shared" si="1"/>
        <v>1</v>
      </c>
      <c r="E6481" s="13">
        <f t="shared" si="2"/>
        <v>11</v>
      </c>
    </row>
    <row r="6482">
      <c r="A6482" s="4" t="s">
        <v>7131</v>
      </c>
      <c r="B6482" s="16"/>
      <c r="C6482" s="12">
        <f>IFERROR(__xludf.DUMMYFUNCTION("""COMPUTED_VALUE"""),44652.454930555556)</f>
        <v>44652.45493</v>
      </c>
      <c r="D6482" s="13">
        <f t="shared" si="1"/>
        <v>1</v>
      </c>
      <c r="E6482" s="13">
        <f t="shared" si="2"/>
        <v>10</v>
      </c>
    </row>
    <row r="6483">
      <c r="A6483" s="4" t="s">
        <v>7132</v>
      </c>
      <c r="B6483" s="16"/>
      <c r="C6483" s="12">
        <f>IFERROR(__xludf.DUMMYFUNCTION("""COMPUTED_VALUE"""),44652.454375)</f>
        <v>44652.45438</v>
      </c>
      <c r="D6483" s="13">
        <f t="shared" si="1"/>
        <v>1</v>
      </c>
      <c r="E6483" s="13">
        <f t="shared" si="2"/>
        <v>10</v>
      </c>
    </row>
    <row r="6484">
      <c r="A6484" s="4" t="s">
        <v>7133</v>
      </c>
      <c r="B6484" s="16"/>
      <c r="C6484" s="12">
        <f>IFERROR(__xludf.DUMMYFUNCTION("""COMPUTED_VALUE"""),44652.453692129624)</f>
        <v>44652.45369</v>
      </c>
      <c r="D6484" s="13">
        <f t="shared" si="1"/>
        <v>1</v>
      </c>
      <c r="E6484" s="13">
        <f t="shared" si="2"/>
        <v>10</v>
      </c>
    </row>
    <row r="6485">
      <c r="A6485" s="4" t="s">
        <v>7134</v>
      </c>
      <c r="B6485" s="16"/>
      <c r="C6485" s="12">
        <f>IFERROR(__xludf.DUMMYFUNCTION("""COMPUTED_VALUE"""),44652.453310185185)</f>
        <v>44652.45331</v>
      </c>
      <c r="D6485" s="13">
        <f t="shared" si="1"/>
        <v>1</v>
      </c>
      <c r="E6485" s="13">
        <f t="shared" si="2"/>
        <v>10</v>
      </c>
    </row>
    <row r="6486">
      <c r="A6486" s="4" t="s">
        <v>7135</v>
      </c>
      <c r="B6486" s="16"/>
      <c r="C6486" s="12">
        <f>IFERROR(__xludf.DUMMYFUNCTION("""COMPUTED_VALUE"""),44652.45290509259)</f>
        <v>44652.45291</v>
      </c>
      <c r="D6486" s="13">
        <f t="shared" si="1"/>
        <v>1</v>
      </c>
      <c r="E6486" s="13">
        <f t="shared" si="2"/>
        <v>10</v>
      </c>
    </row>
    <row r="6487">
      <c r="A6487" s="4" t="s">
        <v>7136</v>
      </c>
      <c r="B6487" s="16"/>
      <c r="C6487" s="12">
        <f>IFERROR(__xludf.DUMMYFUNCTION("""COMPUTED_VALUE"""),44652.45248842592)</f>
        <v>44652.45249</v>
      </c>
      <c r="D6487" s="13">
        <f t="shared" si="1"/>
        <v>1</v>
      </c>
      <c r="E6487" s="13">
        <f t="shared" si="2"/>
        <v>10</v>
      </c>
    </row>
    <row r="6488">
      <c r="A6488" s="4" t="s">
        <v>7137</v>
      </c>
      <c r="B6488" s="16"/>
      <c r="C6488" s="12">
        <f>IFERROR(__xludf.DUMMYFUNCTION("""COMPUTED_VALUE"""),44652.45236111111)</f>
        <v>44652.45236</v>
      </c>
      <c r="D6488" s="13">
        <f t="shared" si="1"/>
        <v>1</v>
      </c>
      <c r="E6488" s="13">
        <f t="shared" si="2"/>
        <v>10</v>
      </c>
    </row>
    <row r="6489">
      <c r="A6489" s="4" t="s">
        <v>7138</v>
      </c>
      <c r="B6489" s="16"/>
      <c r="C6489" s="12">
        <f>IFERROR(__xludf.DUMMYFUNCTION("""COMPUTED_VALUE"""),44652.44567129629)</f>
        <v>44652.44567</v>
      </c>
      <c r="D6489" s="13">
        <f t="shared" si="1"/>
        <v>1</v>
      </c>
      <c r="E6489" s="13">
        <f t="shared" si="2"/>
        <v>10</v>
      </c>
    </row>
    <row r="6490">
      <c r="A6490" s="4" t="s">
        <v>7139</v>
      </c>
      <c r="B6490" s="16"/>
      <c r="C6490" s="12">
        <f>IFERROR(__xludf.DUMMYFUNCTION("""COMPUTED_VALUE"""),44652.42677083333)</f>
        <v>44652.42677</v>
      </c>
      <c r="D6490" s="13">
        <f t="shared" si="1"/>
        <v>1</v>
      </c>
      <c r="E6490" s="13">
        <f t="shared" si="2"/>
        <v>10</v>
      </c>
    </row>
    <row r="6491">
      <c r="A6491" s="4" t="s">
        <v>7140</v>
      </c>
      <c r="B6491" s="16"/>
      <c r="C6491" s="12">
        <f>IFERROR(__xludf.DUMMYFUNCTION("""COMPUTED_VALUE"""),44652.41761574074)</f>
        <v>44652.41762</v>
      </c>
      <c r="D6491" s="13">
        <f t="shared" si="1"/>
        <v>1</v>
      </c>
      <c r="E6491" s="13">
        <f t="shared" si="2"/>
        <v>10</v>
      </c>
    </row>
    <row r="6492">
      <c r="A6492" s="4" t="s">
        <v>7141</v>
      </c>
      <c r="B6492" s="16"/>
      <c r="C6492" s="12">
        <f>IFERROR(__xludf.DUMMYFUNCTION("""COMPUTED_VALUE"""),44652.416446759256)</f>
        <v>44652.41645</v>
      </c>
      <c r="D6492" s="13">
        <f t="shared" si="1"/>
        <v>1</v>
      </c>
      <c r="E6492" s="13">
        <f t="shared" si="2"/>
        <v>9</v>
      </c>
    </row>
    <row r="6493">
      <c r="A6493" s="4" t="s">
        <v>7141</v>
      </c>
      <c r="B6493" s="16"/>
      <c r="C6493" s="12">
        <f>IFERROR(__xludf.DUMMYFUNCTION("""COMPUTED_VALUE"""),44652.416446759256)</f>
        <v>44652.41645</v>
      </c>
      <c r="D6493" s="13">
        <f t="shared" si="1"/>
        <v>1</v>
      </c>
      <c r="E6493" s="13">
        <f t="shared" si="2"/>
        <v>9</v>
      </c>
    </row>
    <row r="6494">
      <c r="A6494" s="4" t="s">
        <v>7142</v>
      </c>
      <c r="B6494" s="16"/>
      <c r="C6494" s="12">
        <f>IFERROR(__xludf.DUMMYFUNCTION("""COMPUTED_VALUE"""),44652.416041666664)</f>
        <v>44652.41604</v>
      </c>
      <c r="D6494" s="13">
        <f t="shared" si="1"/>
        <v>1</v>
      </c>
      <c r="E6494" s="13">
        <f t="shared" si="2"/>
        <v>9</v>
      </c>
    </row>
    <row r="6495">
      <c r="A6495" s="4" t="s">
        <v>7143</v>
      </c>
      <c r="B6495" s="16"/>
      <c r="C6495" s="12">
        <f>IFERROR(__xludf.DUMMYFUNCTION("""COMPUTED_VALUE"""),44652.415671296294)</f>
        <v>44652.41567</v>
      </c>
      <c r="D6495" s="13">
        <f t="shared" si="1"/>
        <v>1</v>
      </c>
      <c r="E6495" s="13">
        <f t="shared" si="2"/>
        <v>9</v>
      </c>
    </row>
    <row r="6496">
      <c r="A6496" s="4" t="s">
        <v>7144</v>
      </c>
      <c r="B6496" s="16"/>
      <c r="C6496" s="12">
        <f>IFERROR(__xludf.DUMMYFUNCTION("""COMPUTED_VALUE"""),44652.41508101852)</f>
        <v>44652.41508</v>
      </c>
      <c r="D6496" s="13">
        <f t="shared" si="1"/>
        <v>1</v>
      </c>
      <c r="E6496" s="13">
        <f t="shared" si="2"/>
        <v>9</v>
      </c>
    </row>
    <row r="6497">
      <c r="A6497" s="4" t="s">
        <v>7145</v>
      </c>
      <c r="B6497" s="16"/>
      <c r="C6497" s="12">
        <f>IFERROR(__xludf.DUMMYFUNCTION("""COMPUTED_VALUE"""),44652.41469907407)</f>
        <v>44652.4147</v>
      </c>
      <c r="D6497" s="13">
        <f t="shared" si="1"/>
        <v>1</v>
      </c>
      <c r="E6497" s="13">
        <f t="shared" si="2"/>
        <v>9</v>
      </c>
    </row>
    <row r="6498">
      <c r="A6498" s="4" t="s">
        <v>7146</v>
      </c>
      <c r="B6498" s="16"/>
      <c r="C6498" s="12">
        <f>IFERROR(__xludf.DUMMYFUNCTION("""COMPUTED_VALUE"""),44652.41427083333)</f>
        <v>44652.41427</v>
      </c>
      <c r="D6498" s="13">
        <f t="shared" si="1"/>
        <v>1</v>
      </c>
      <c r="E6498" s="13">
        <f t="shared" si="2"/>
        <v>9</v>
      </c>
    </row>
    <row r="6499">
      <c r="A6499" s="4" t="s">
        <v>7147</v>
      </c>
      <c r="B6499" s="16"/>
      <c r="C6499" s="12">
        <f>IFERROR(__xludf.DUMMYFUNCTION("""COMPUTED_VALUE"""),44652.41416666666)</f>
        <v>44652.41417</v>
      </c>
      <c r="D6499" s="13">
        <f t="shared" si="1"/>
        <v>1</v>
      </c>
      <c r="E6499" s="13">
        <f t="shared" si="2"/>
        <v>9</v>
      </c>
    </row>
    <row r="6500">
      <c r="A6500" s="4" t="s">
        <v>7148</v>
      </c>
      <c r="B6500" s="16"/>
      <c r="C6500" s="12">
        <f>IFERROR(__xludf.DUMMYFUNCTION("""COMPUTED_VALUE"""),44652.41415509259)</f>
        <v>44652.41416</v>
      </c>
      <c r="D6500" s="13">
        <f t="shared" si="1"/>
        <v>1</v>
      </c>
      <c r="E6500" s="13">
        <f t="shared" si="2"/>
        <v>9</v>
      </c>
    </row>
    <row r="6501">
      <c r="A6501" s="4" t="s">
        <v>7149</v>
      </c>
      <c r="B6501" s="16"/>
      <c r="C6501" s="12">
        <f>IFERROR(__xludf.DUMMYFUNCTION("""COMPUTED_VALUE"""),44652.414143518516)</f>
        <v>44652.41414</v>
      </c>
      <c r="D6501" s="13">
        <f t="shared" si="1"/>
        <v>1</v>
      </c>
      <c r="E6501" s="13">
        <f t="shared" si="2"/>
        <v>9</v>
      </c>
    </row>
    <row r="6502">
      <c r="A6502" s="4" t="s">
        <v>7150</v>
      </c>
      <c r="B6502" s="16"/>
      <c r="C6502" s="12">
        <f>IFERROR(__xludf.DUMMYFUNCTION("""COMPUTED_VALUE"""),44652.41390046296)</f>
        <v>44652.4139</v>
      </c>
      <c r="D6502" s="13">
        <f t="shared" si="1"/>
        <v>1</v>
      </c>
      <c r="E6502" s="13">
        <f t="shared" si="2"/>
        <v>9</v>
      </c>
    </row>
    <row r="6503">
      <c r="A6503" s="4" t="s">
        <v>7151</v>
      </c>
      <c r="B6503" s="16"/>
      <c r="C6503" s="12">
        <f>IFERROR(__xludf.DUMMYFUNCTION("""COMPUTED_VALUE"""),44652.41342592592)</f>
        <v>44652.41343</v>
      </c>
      <c r="D6503" s="13">
        <f t="shared" si="1"/>
        <v>1</v>
      </c>
      <c r="E6503" s="13">
        <f t="shared" si="2"/>
        <v>9</v>
      </c>
    </row>
    <row r="6504">
      <c r="A6504" s="4" t="s">
        <v>7152</v>
      </c>
      <c r="B6504" s="16"/>
      <c r="C6504" s="12">
        <f>IFERROR(__xludf.DUMMYFUNCTION("""COMPUTED_VALUE"""),44652.413402777776)</f>
        <v>44652.4134</v>
      </c>
      <c r="D6504" s="13">
        <f t="shared" si="1"/>
        <v>1</v>
      </c>
      <c r="E6504" s="13">
        <f t="shared" si="2"/>
        <v>9</v>
      </c>
    </row>
    <row r="6505">
      <c r="A6505" s="4" t="s">
        <v>7153</v>
      </c>
      <c r="B6505" s="16"/>
      <c r="C6505" s="12">
        <f>IFERROR(__xludf.DUMMYFUNCTION("""COMPUTED_VALUE"""),44652.41328703704)</f>
        <v>44652.41329</v>
      </c>
      <c r="D6505" s="13">
        <f t="shared" si="1"/>
        <v>1</v>
      </c>
      <c r="E6505" s="13">
        <f t="shared" si="2"/>
        <v>9</v>
      </c>
    </row>
    <row r="6506">
      <c r="A6506" s="4" t="s">
        <v>7154</v>
      </c>
      <c r="B6506" s="16"/>
      <c r="C6506" s="12">
        <f>IFERROR(__xludf.DUMMYFUNCTION("""COMPUTED_VALUE"""),44652.41327546296)</f>
        <v>44652.41328</v>
      </c>
      <c r="D6506" s="13">
        <f t="shared" si="1"/>
        <v>1</v>
      </c>
      <c r="E6506" s="13">
        <f t="shared" si="2"/>
        <v>9</v>
      </c>
    </row>
    <row r="6507">
      <c r="A6507" s="4" t="s">
        <v>7155</v>
      </c>
      <c r="B6507" s="16"/>
      <c r="C6507" s="12">
        <f>IFERROR(__xludf.DUMMYFUNCTION("""COMPUTED_VALUE"""),44652.40762731481)</f>
        <v>44652.40763</v>
      </c>
      <c r="D6507" s="13">
        <f t="shared" si="1"/>
        <v>1</v>
      </c>
      <c r="E6507" s="13">
        <f t="shared" si="2"/>
        <v>9</v>
      </c>
    </row>
    <row r="6508">
      <c r="A6508" s="4" t="s">
        <v>7156</v>
      </c>
      <c r="B6508" s="16"/>
      <c r="C6508" s="12">
        <f>IFERROR(__xludf.DUMMYFUNCTION("""COMPUTED_VALUE"""),44652.40760416666)</f>
        <v>44652.4076</v>
      </c>
      <c r="D6508" s="13">
        <f t="shared" si="1"/>
        <v>1</v>
      </c>
      <c r="E6508" s="13">
        <f t="shared" si="2"/>
        <v>9</v>
      </c>
    </row>
    <row r="6509">
      <c r="A6509" s="4" t="s">
        <v>7157</v>
      </c>
      <c r="B6509" s="16"/>
      <c r="C6509" s="12">
        <f>IFERROR(__xludf.DUMMYFUNCTION("""COMPUTED_VALUE"""),44652.2983912037)</f>
        <v>44652.29839</v>
      </c>
      <c r="D6509" s="13">
        <f t="shared" si="1"/>
        <v>1</v>
      </c>
      <c r="E6509" s="13">
        <f t="shared" si="2"/>
        <v>7</v>
      </c>
    </row>
    <row r="6510">
      <c r="A6510" s="4" t="s">
        <v>7158</v>
      </c>
      <c r="B6510" s="16"/>
      <c r="C6510" s="12">
        <f>IFERROR(__xludf.DUMMYFUNCTION("""COMPUTED_VALUE"""),44652.29793981481)</f>
        <v>44652.29794</v>
      </c>
      <c r="D6510" s="13">
        <f t="shared" si="1"/>
        <v>1</v>
      </c>
      <c r="E6510" s="13">
        <f t="shared" si="2"/>
        <v>7</v>
      </c>
    </row>
    <row r="6511">
      <c r="A6511" s="4" t="s">
        <v>7159</v>
      </c>
      <c r="B6511" s="16"/>
      <c r="C6511" s="12">
        <f>IFERROR(__xludf.DUMMYFUNCTION("""COMPUTED_VALUE"""),44652.29722222222)</f>
        <v>44652.29722</v>
      </c>
      <c r="D6511" s="13">
        <f t="shared" si="1"/>
        <v>1</v>
      </c>
      <c r="E6511" s="13">
        <f t="shared" si="2"/>
        <v>7</v>
      </c>
    </row>
    <row r="6512">
      <c r="A6512" s="4" t="s">
        <v>7160</v>
      </c>
      <c r="B6512" s="16"/>
      <c r="C6512" s="12">
        <f>IFERROR(__xludf.DUMMYFUNCTION("""COMPUTED_VALUE"""),44652.29671296296)</f>
        <v>44652.29671</v>
      </c>
      <c r="D6512" s="13">
        <f t="shared" si="1"/>
        <v>1</v>
      </c>
      <c r="E6512" s="13">
        <f t="shared" si="2"/>
        <v>7</v>
      </c>
    </row>
    <row r="6513">
      <c r="A6513" s="4" t="s">
        <v>7161</v>
      </c>
      <c r="B6513" s="16"/>
      <c r="C6513" s="12">
        <f>IFERROR(__xludf.DUMMYFUNCTION("""COMPUTED_VALUE"""),44652.296018518515)</f>
        <v>44652.29602</v>
      </c>
      <c r="D6513" s="13">
        <f t="shared" si="1"/>
        <v>1</v>
      </c>
      <c r="E6513" s="13">
        <f t="shared" si="2"/>
        <v>7</v>
      </c>
    </row>
    <row r="6514">
      <c r="A6514" s="4" t="s">
        <v>7162</v>
      </c>
      <c r="B6514" s="16"/>
      <c r="C6514" s="12">
        <f>IFERROR(__xludf.DUMMYFUNCTION("""COMPUTED_VALUE"""),44652.29515046296)</f>
        <v>44652.29515</v>
      </c>
      <c r="D6514" s="13">
        <f t="shared" si="1"/>
        <v>1</v>
      </c>
      <c r="E6514" s="13">
        <f t="shared" si="2"/>
        <v>7</v>
      </c>
    </row>
    <row r="6515">
      <c r="A6515" s="4" t="s">
        <v>7163</v>
      </c>
      <c r="B6515" s="16"/>
      <c r="C6515" s="12">
        <f>IFERROR(__xludf.DUMMYFUNCTION("""COMPUTED_VALUE"""),44652.29445601851)</f>
        <v>44652.29446</v>
      </c>
      <c r="D6515" s="13">
        <f t="shared" si="1"/>
        <v>1</v>
      </c>
      <c r="E6515" s="13">
        <f t="shared" si="2"/>
        <v>7</v>
      </c>
    </row>
    <row r="6516">
      <c r="A6516" s="4" t="s">
        <v>7164</v>
      </c>
      <c r="B6516" s="16"/>
      <c r="C6516" s="12">
        <f>IFERROR(__xludf.DUMMYFUNCTION("""COMPUTED_VALUE"""),44652.29375)</f>
        <v>44652.29375</v>
      </c>
      <c r="D6516" s="13">
        <f t="shared" si="1"/>
        <v>1</v>
      </c>
      <c r="E6516" s="13">
        <f t="shared" si="2"/>
        <v>7</v>
      </c>
    </row>
    <row r="6517">
      <c r="A6517" s="4" t="s">
        <v>7165</v>
      </c>
      <c r="B6517" s="16"/>
      <c r="C6517" s="12">
        <f>IFERROR(__xludf.DUMMYFUNCTION("""COMPUTED_VALUE"""),44652.29335648148)</f>
        <v>44652.29336</v>
      </c>
      <c r="D6517" s="13">
        <f t="shared" si="1"/>
        <v>1</v>
      </c>
      <c r="E6517" s="13">
        <f t="shared" si="2"/>
        <v>7</v>
      </c>
    </row>
    <row r="6518">
      <c r="A6518" s="4" t="s">
        <v>7166</v>
      </c>
      <c r="B6518" s="16"/>
      <c r="C6518" s="12">
        <f>IFERROR(__xludf.DUMMYFUNCTION("""COMPUTED_VALUE"""),44652.29299768518)</f>
        <v>44652.293</v>
      </c>
      <c r="D6518" s="13">
        <f t="shared" si="1"/>
        <v>1</v>
      </c>
      <c r="E6518" s="13">
        <f t="shared" si="2"/>
        <v>7</v>
      </c>
    </row>
    <row r="6519">
      <c r="A6519" s="4" t="s">
        <v>7167</v>
      </c>
      <c r="B6519" s="16"/>
      <c r="C6519" s="12">
        <f>IFERROR(__xludf.DUMMYFUNCTION("""COMPUTED_VALUE"""),44652.292662037034)</f>
        <v>44652.29266</v>
      </c>
      <c r="D6519" s="13">
        <f t="shared" si="1"/>
        <v>1</v>
      </c>
      <c r="E6519" s="13">
        <f t="shared" si="2"/>
        <v>7</v>
      </c>
    </row>
    <row r="6520">
      <c r="A6520" s="4" t="s">
        <v>7168</v>
      </c>
      <c r="B6520" s="16"/>
      <c r="C6520" s="12">
        <f>IFERROR(__xludf.DUMMYFUNCTION("""COMPUTED_VALUE"""),44652.292233796295)</f>
        <v>44652.29223</v>
      </c>
      <c r="D6520" s="13">
        <f t="shared" si="1"/>
        <v>1</v>
      </c>
      <c r="E6520" s="13">
        <f t="shared" si="2"/>
        <v>7</v>
      </c>
    </row>
    <row r="6521">
      <c r="A6521" s="4" t="s">
        <v>7169</v>
      </c>
      <c r="B6521" s="16"/>
      <c r="C6521" s="12">
        <f>IFERROR(__xludf.DUMMYFUNCTION("""COMPUTED_VALUE"""),44652.29158564815)</f>
        <v>44652.29159</v>
      </c>
      <c r="D6521" s="13">
        <f t="shared" si="1"/>
        <v>1</v>
      </c>
      <c r="E6521" s="13">
        <f t="shared" si="2"/>
        <v>6</v>
      </c>
    </row>
    <row r="6522">
      <c r="A6522" s="4" t="s">
        <v>7170</v>
      </c>
      <c r="B6522" s="16"/>
      <c r="C6522" s="12">
        <f>IFERROR(__xludf.DUMMYFUNCTION("""COMPUTED_VALUE"""),44652.29108796296)</f>
        <v>44652.29109</v>
      </c>
      <c r="D6522" s="13">
        <f t="shared" si="1"/>
        <v>1</v>
      </c>
      <c r="E6522" s="13">
        <f t="shared" si="2"/>
        <v>6</v>
      </c>
    </row>
    <row r="6523">
      <c r="A6523" s="4" t="s">
        <v>7171</v>
      </c>
      <c r="B6523" s="16"/>
      <c r="C6523" s="12">
        <f>IFERROR(__xludf.DUMMYFUNCTION("""COMPUTED_VALUE"""),44652.273877314816)</f>
        <v>44652.27388</v>
      </c>
      <c r="D6523" s="13">
        <f t="shared" si="1"/>
        <v>1</v>
      </c>
      <c r="E6523" s="13">
        <f t="shared" si="2"/>
        <v>6</v>
      </c>
    </row>
    <row r="6524">
      <c r="A6524" s="4" t="s">
        <v>7172</v>
      </c>
      <c r="B6524" s="16"/>
      <c r="C6524" s="12">
        <f>IFERROR(__xludf.DUMMYFUNCTION("""COMPUTED_VALUE"""),44652.18011574074)</f>
        <v>44652.18012</v>
      </c>
      <c r="D6524" s="13">
        <f t="shared" si="1"/>
        <v>1</v>
      </c>
      <c r="E6524" s="13">
        <f t="shared" si="2"/>
        <v>4</v>
      </c>
    </row>
    <row r="6525">
      <c r="A6525" s="4" t="s">
        <v>7173</v>
      </c>
      <c r="B6525" s="16"/>
      <c r="C6525" s="12">
        <f>IFERROR(__xludf.DUMMYFUNCTION("""COMPUTED_VALUE"""),44652.069375)</f>
        <v>44652.06938</v>
      </c>
      <c r="D6525" s="13">
        <f t="shared" si="1"/>
        <v>1</v>
      </c>
      <c r="E6525" s="13">
        <f t="shared" si="2"/>
        <v>1</v>
      </c>
    </row>
    <row r="6526">
      <c r="A6526" s="4" t="s">
        <v>7174</v>
      </c>
      <c r="B6526" s="16"/>
      <c r="C6526" s="12">
        <f>IFERROR(__xludf.DUMMYFUNCTION("""COMPUTED_VALUE"""),44652.035682870366)</f>
        <v>44652.03568</v>
      </c>
      <c r="D6526" s="13">
        <f t="shared" si="1"/>
        <v>1</v>
      </c>
      <c r="E6526" s="13">
        <f t="shared" si="2"/>
        <v>0</v>
      </c>
    </row>
    <row r="6527">
      <c r="A6527" s="4" t="s">
        <v>7175</v>
      </c>
      <c r="B6527" s="16"/>
      <c r="C6527" s="12">
        <f>IFERROR(__xludf.DUMMYFUNCTION("""COMPUTED_VALUE"""),44652.02622685185)</f>
        <v>44652.02623</v>
      </c>
      <c r="D6527" s="13">
        <f t="shared" si="1"/>
        <v>1</v>
      </c>
      <c r="E6527" s="13">
        <f t="shared" si="2"/>
        <v>0</v>
      </c>
    </row>
    <row r="6528">
      <c r="A6528" s="4" t="s">
        <v>7176</v>
      </c>
      <c r="B6528" s="16"/>
      <c r="C6528" s="12">
        <f>IFERROR(__xludf.DUMMYFUNCTION("""COMPUTED_VALUE"""),44651.99150462963)</f>
        <v>44651.9915</v>
      </c>
      <c r="D6528" s="13">
        <f t="shared" si="1"/>
        <v>31</v>
      </c>
      <c r="E6528" s="13">
        <f t="shared" si="2"/>
        <v>23</v>
      </c>
    </row>
    <row r="6529">
      <c r="A6529" s="4" t="s">
        <v>7177</v>
      </c>
      <c r="B6529" s="16"/>
      <c r="C6529" s="12">
        <f>IFERROR(__xludf.DUMMYFUNCTION("""COMPUTED_VALUE"""),44651.938680555555)</f>
        <v>44651.93868</v>
      </c>
      <c r="D6529" s="13">
        <f t="shared" si="1"/>
        <v>31</v>
      </c>
      <c r="E6529" s="13">
        <f t="shared" si="2"/>
        <v>22</v>
      </c>
    </row>
    <row r="6530">
      <c r="A6530" s="4" t="s">
        <v>7178</v>
      </c>
      <c r="B6530" s="16"/>
      <c r="C6530" s="12">
        <f>IFERROR(__xludf.DUMMYFUNCTION("""COMPUTED_VALUE"""),44651.92773148148)</f>
        <v>44651.92773</v>
      </c>
      <c r="D6530" s="13">
        <f t="shared" si="1"/>
        <v>31</v>
      </c>
      <c r="E6530" s="13">
        <f t="shared" si="2"/>
        <v>22</v>
      </c>
    </row>
    <row r="6531">
      <c r="A6531" s="4" t="s">
        <v>7179</v>
      </c>
      <c r="B6531" s="16"/>
      <c r="C6531" s="12">
        <f>IFERROR(__xludf.DUMMYFUNCTION("""COMPUTED_VALUE"""),44651.92744212963)</f>
        <v>44651.92744</v>
      </c>
      <c r="D6531" s="13">
        <f t="shared" si="1"/>
        <v>31</v>
      </c>
      <c r="E6531" s="13">
        <f t="shared" si="2"/>
        <v>22</v>
      </c>
    </row>
    <row r="6532">
      <c r="A6532" s="4" t="s">
        <v>7180</v>
      </c>
      <c r="B6532" s="16"/>
      <c r="C6532" s="12">
        <f>IFERROR(__xludf.DUMMYFUNCTION("""COMPUTED_VALUE"""),44651.90488425926)</f>
        <v>44651.90488</v>
      </c>
      <c r="D6532" s="13">
        <f t="shared" si="1"/>
        <v>31</v>
      </c>
      <c r="E6532" s="13">
        <f t="shared" si="2"/>
        <v>21</v>
      </c>
    </row>
    <row r="6533">
      <c r="A6533" s="4" t="s">
        <v>7181</v>
      </c>
      <c r="B6533" s="16"/>
      <c r="C6533" s="12">
        <f>IFERROR(__xludf.DUMMYFUNCTION("""COMPUTED_VALUE"""),44651.9037037037)</f>
        <v>44651.9037</v>
      </c>
      <c r="D6533" s="13">
        <f t="shared" si="1"/>
        <v>31</v>
      </c>
      <c r="E6533" s="13">
        <f t="shared" si="2"/>
        <v>21</v>
      </c>
    </row>
    <row r="6534">
      <c r="A6534" s="4" t="s">
        <v>7182</v>
      </c>
      <c r="B6534" s="16"/>
      <c r="C6534" s="12">
        <f>IFERROR(__xludf.DUMMYFUNCTION("""COMPUTED_VALUE"""),44651.90333333333)</f>
        <v>44651.90333</v>
      </c>
      <c r="D6534" s="13">
        <f t="shared" si="1"/>
        <v>31</v>
      </c>
      <c r="E6534" s="13">
        <f t="shared" si="2"/>
        <v>21</v>
      </c>
    </row>
    <row r="6535">
      <c r="A6535" s="4" t="s">
        <v>7183</v>
      </c>
      <c r="B6535" s="16"/>
      <c r="C6535" s="12">
        <f>IFERROR(__xludf.DUMMYFUNCTION("""COMPUTED_VALUE"""),44651.902974537035)</f>
        <v>44651.90297</v>
      </c>
      <c r="D6535" s="13">
        <f t="shared" si="1"/>
        <v>31</v>
      </c>
      <c r="E6535" s="13">
        <f t="shared" si="2"/>
        <v>21</v>
      </c>
    </row>
    <row r="6536">
      <c r="A6536" s="4" t="s">
        <v>7184</v>
      </c>
      <c r="B6536" s="16"/>
      <c r="C6536" s="12">
        <f>IFERROR(__xludf.DUMMYFUNCTION("""COMPUTED_VALUE"""),44651.90259259259)</f>
        <v>44651.90259</v>
      </c>
      <c r="D6536" s="13">
        <f t="shared" si="1"/>
        <v>31</v>
      </c>
      <c r="E6536" s="13">
        <f t="shared" si="2"/>
        <v>21</v>
      </c>
    </row>
    <row r="6537">
      <c r="A6537" s="4" t="s">
        <v>7185</v>
      </c>
      <c r="B6537" s="16"/>
      <c r="C6537" s="12">
        <f>IFERROR(__xludf.DUMMYFUNCTION("""COMPUTED_VALUE"""),44651.90221064814)</f>
        <v>44651.90221</v>
      </c>
      <c r="D6537" s="13">
        <f t="shared" si="1"/>
        <v>31</v>
      </c>
      <c r="E6537" s="13">
        <f t="shared" si="2"/>
        <v>21</v>
      </c>
    </row>
    <row r="6538">
      <c r="A6538" s="4" t="s">
        <v>7186</v>
      </c>
      <c r="B6538" s="16"/>
      <c r="C6538" s="12">
        <f>IFERROR(__xludf.DUMMYFUNCTION("""COMPUTED_VALUE"""),44651.9015162037)</f>
        <v>44651.90152</v>
      </c>
      <c r="D6538" s="13">
        <f t="shared" si="1"/>
        <v>31</v>
      </c>
      <c r="E6538" s="13">
        <f t="shared" si="2"/>
        <v>21</v>
      </c>
    </row>
    <row r="6539">
      <c r="A6539" s="4" t="s">
        <v>7187</v>
      </c>
      <c r="B6539" s="16"/>
      <c r="C6539" s="12">
        <f>IFERROR(__xludf.DUMMYFUNCTION("""COMPUTED_VALUE"""),44651.900821759256)</f>
        <v>44651.90082</v>
      </c>
      <c r="D6539" s="13">
        <f t="shared" si="1"/>
        <v>31</v>
      </c>
      <c r="E6539" s="13">
        <f t="shared" si="2"/>
        <v>21</v>
      </c>
    </row>
    <row r="6540">
      <c r="A6540" s="4" t="s">
        <v>7188</v>
      </c>
      <c r="B6540" s="16"/>
      <c r="C6540" s="12">
        <f>IFERROR(__xludf.DUMMYFUNCTION("""COMPUTED_VALUE"""),44651.90043981481)</f>
        <v>44651.90044</v>
      </c>
      <c r="D6540" s="13">
        <f t="shared" si="1"/>
        <v>31</v>
      </c>
      <c r="E6540" s="13">
        <f t="shared" si="2"/>
        <v>21</v>
      </c>
    </row>
    <row r="6541">
      <c r="A6541" s="4" t="s">
        <v>7189</v>
      </c>
      <c r="B6541" s="16"/>
      <c r="C6541" s="12">
        <f>IFERROR(__xludf.DUMMYFUNCTION("""COMPUTED_VALUE"""),44651.90005787037)</f>
        <v>44651.90006</v>
      </c>
      <c r="D6541" s="13">
        <f t="shared" si="1"/>
        <v>31</v>
      </c>
      <c r="E6541" s="13">
        <f t="shared" si="2"/>
        <v>21</v>
      </c>
    </row>
    <row r="6542">
      <c r="A6542" s="4" t="s">
        <v>7190</v>
      </c>
      <c r="B6542" s="16"/>
      <c r="C6542" s="12">
        <f>IFERROR(__xludf.DUMMYFUNCTION("""COMPUTED_VALUE"""),44651.8996875)</f>
        <v>44651.89969</v>
      </c>
      <c r="D6542" s="13">
        <f t="shared" si="1"/>
        <v>31</v>
      </c>
      <c r="E6542" s="13">
        <f t="shared" si="2"/>
        <v>21</v>
      </c>
    </row>
    <row r="6543">
      <c r="A6543" s="4" t="s">
        <v>7191</v>
      </c>
      <c r="B6543" s="16"/>
      <c r="C6543" s="12">
        <f>IFERROR(__xludf.DUMMYFUNCTION("""COMPUTED_VALUE"""),44651.899305555555)</f>
        <v>44651.89931</v>
      </c>
      <c r="D6543" s="13">
        <f t="shared" si="1"/>
        <v>31</v>
      </c>
      <c r="E6543" s="13">
        <f t="shared" si="2"/>
        <v>21</v>
      </c>
    </row>
    <row r="6544">
      <c r="A6544" s="4" t="s">
        <v>7192</v>
      </c>
      <c r="B6544" s="16"/>
      <c r="C6544" s="12">
        <f>IFERROR(__xludf.DUMMYFUNCTION("""COMPUTED_VALUE"""),44651.89892361111)</f>
        <v>44651.89892</v>
      </c>
      <c r="D6544" s="13">
        <f t="shared" si="1"/>
        <v>31</v>
      </c>
      <c r="E6544" s="13">
        <f t="shared" si="2"/>
        <v>21</v>
      </c>
    </row>
    <row r="6545">
      <c r="A6545" s="4" t="s">
        <v>7193</v>
      </c>
      <c r="B6545" s="16"/>
      <c r="C6545" s="12">
        <f>IFERROR(__xludf.DUMMYFUNCTION("""COMPUTED_VALUE"""),44651.898634259254)</f>
        <v>44651.89863</v>
      </c>
      <c r="D6545" s="13">
        <f t="shared" si="1"/>
        <v>31</v>
      </c>
      <c r="E6545" s="13">
        <f t="shared" si="2"/>
        <v>21</v>
      </c>
    </row>
    <row r="6546">
      <c r="A6546" s="4" t="s">
        <v>7194</v>
      </c>
      <c r="B6546" s="16"/>
      <c r="C6546" s="12">
        <f>IFERROR(__xludf.DUMMYFUNCTION("""COMPUTED_VALUE"""),44651.89861111111)</f>
        <v>44651.89861</v>
      </c>
      <c r="D6546" s="13">
        <f t="shared" si="1"/>
        <v>31</v>
      </c>
      <c r="E6546" s="13">
        <f t="shared" si="2"/>
        <v>21</v>
      </c>
    </row>
    <row r="6547">
      <c r="A6547" s="4" t="s">
        <v>7195</v>
      </c>
      <c r="B6547" s="16"/>
      <c r="C6547" s="12">
        <f>IFERROR(__xludf.DUMMYFUNCTION("""COMPUTED_VALUE"""),44651.898564814815)</f>
        <v>44651.89856</v>
      </c>
      <c r="D6547" s="13">
        <f t="shared" si="1"/>
        <v>31</v>
      </c>
      <c r="E6547" s="13">
        <f t="shared" si="2"/>
        <v>21</v>
      </c>
    </row>
    <row r="6548">
      <c r="A6548" s="4" t="s">
        <v>7196</v>
      </c>
      <c r="B6548" s="16"/>
      <c r="C6548" s="12">
        <f>IFERROR(__xludf.DUMMYFUNCTION("""COMPUTED_VALUE"""),44651.89842592592)</f>
        <v>44651.89843</v>
      </c>
      <c r="D6548" s="13">
        <f t="shared" si="1"/>
        <v>31</v>
      </c>
      <c r="E6548" s="13">
        <f t="shared" si="2"/>
        <v>21</v>
      </c>
    </row>
    <row r="6549">
      <c r="A6549" s="4" t="s">
        <v>7197</v>
      </c>
      <c r="B6549" s="16"/>
      <c r="C6549" s="12">
        <f>IFERROR(__xludf.DUMMYFUNCTION("""COMPUTED_VALUE"""),44651.89840277778)</f>
        <v>44651.8984</v>
      </c>
      <c r="D6549" s="13">
        <f t="shared" si="1"/>
        <v>31</v>
      </c>
      <c r="E6549" s="13">
        <f t="shared" si="2"/>
        <v>21</v>
      </c>
    </row>
    <row r="6550">
      <c r="A6550" s="4" t="s">
        <v>7198</v>
      </c>
      <c r="B6550" s="16"/>
      <c r="C6550" s="12">
        <f>IFERROR(__xludf.DUMMYFUNCTION("""COMPUTED_VALUE"""),44651.897835648146)</f>
        <v>44651.89784</v>
      </c>
      <c r="D6550" s="13">
        <f t="shared" si="1"/>
        <v>31</v>
      </c>
      <c r="E6550" s="13">
        <f t="shared" si="2"/>
        <v>21</v>
      </c>
    </row>
    <row r="6551">
      <c r="A6551" s="4" t="s">
        <v>7199</v>
      </c>
      <c r="B6551" s="16"/>
      <c r="C6551" s="12">
        <f>IFERROR(__xludf.DUMMYFUNCTION("""COMPUTED_VALUE"""),44651.89744212963)</f>
        <v>44651.89744</v>
      </c>
      <c r="D6551" s="13">
        <f t="shared" si="1"/>
        <v>31</v>
      </c>
      <c r="E6551" s="13">
        <f t="shared" si="2"/>
        <v>21</v>
      </c>
    </row>
    <row r="6552">
      <c r="A6552" s="4" t="s">
        <v>7200</v>
      </c>
      <c r="B6552" s="16"/>
      <c r="C6552" s="12">
        <f>IFERROR(__xludf.DUMMYFUNCTION("""COMPUTED_VALUE"""),44651.89703703704)</f>
        <v>44651.89704</v>
      </c>
      <c r="D6552" s="13">
        <f t="shared" si="1"/>
        <v>31</v>
      </c>
      <c r="E6552" s="13">
        <f t="shared" si="2"/>
        <v>21</v>
      </c>
    </row>
    <row r="6553">
      <c r="A6553" s="4" t="s">
        <v>7201</v>
      </c>
      <c r="B6553" s="16"/>
      <c r="C6553" s="12">
        <f>IFERROR(__xludf.DUMMYFUNCTION("""COMPUTED_VALUE"""),44651.896956018514)</f>
        <v>44651.89696</v>
      </c>
      <c r="D6553" s="13">
        <f t="shared" si="1"/>
        <v>31</v>
      </c>
      <c r="E6553" s="13">
        <f t="shared" si="2"/>
        <v>21</v>
      </c>
    </row>
    <row r="6554">
      <c r="A6554" s="4" t="s">
        <v>7202</v>
      </c>
      <c r="B6554" s="16"/>
      <c r="C6554" s="12">
        <f>IFERROR(__xludf.DUMMYFUNCTION("""COMPUTED_VALUE"""),44651.896643518514)</f>
        <v>44651.89664</v>
      </c>
      <c r="D6554" s="13">
        <f t="shared" si="1"/>
        <v>31</v>
      </c>
      <c r="E6554" s="13">
        <f t="shared" si="2"/>
        <v>21</v>
      </c>
    </row>
    <row r="6555">
      <c r="A6555" s="4" t="s">
        <v>7203</v>
      </c>
      <c r="B6555" s="16"/>
      <c r="C6555" s="12">
        <f>IFERROR(__xludf.DUMMYFUNCTION("""COMPUTED_VALUE"""),44651.89628472222)</f>
        <v>44651.89628</v>
      </c>
      <c r="D6555" s="13">
        <f t="shared" si="1"/>
        <v>31</v>
      </c>
      <c r="E6555" s="13">
        <f t="shared" si="2"/>
        <v>21</v>
      </c>
    </row>
    <row r="6556">
      <c r="A6556" s="4" t="s">
        <v>7204</v>
      </c>
      <c r="B6556" s="16"/>
      <c r="C6556" s="12">
        <f>IFERROR(__xludf.DUMMYFUNCTION("""COMPUTED_VALUE"""),44651.89622685185)</f>
        <v>44651.89623</v>
      </c>
      <c r="D6556" s="13">
        <f t="shared" si="1"/>
        <v>31</v>
      </c>
      <c r="E6556" s="13">
        <f t="shared" si="2"/>
        <v>21</v>
      </c>
    </row>
    <row r="6557">
      <c r="A6557" s="4" t="s">
        <v>7205</v>
      </c>
      <c r="B6557" s="16"/>
      <c r="C6557" s="12">
        <f>IFERROR(__xludf.DUMMYFUNCTION("""COMPUTED_VALUE"""),44651.89612268518)</f>
        <v>44651.89612</v>
      </c>
      <c r="D6557" s="13">
        <f t="shared" si="1"/>
        <v>31</v>
      </c>
      <c r="E6557" s="13">
        <f t="shared" si="2"/>
        <v>21</v>
      </c>
    </row>
    <row r="6558">
      <c r="A6558" s="4" t="s">
        <v>7206</v>
      </c>
      <c r="B6558" s="16"/>
      <c r="C6558" s="12">
        <f>IFERROR(__xludf.DUMMYFUNCTION("""COMPUTED_VALUE"""),44651.896111111106)</f>
        <v>44651.89611</v>
      </c>
      <c r="D6558" s="13">
        <f t="shared" si="1"/>
        <v>31</v>
      </c>
      <c r="E6558" s="13">
        <f t="shared" si="2"/>
        <v>21</v>
      </c>
    </row>
    <row r="6559">
      <c r="A6559" s="4" t="s">
        <v>7207</v>
      </c>
      <c r="B6559" s="16"/>
      <c r="C6559" s="12">
        <f>IFERROR(__xludf.DUMMYFUNCTION("""COMPUTED_VALUE"""),44651.89597222222)</f>
        <v>44651.89597</v>
      </c>
      <c r="D6559" s="13">
        <f t="shared" si="1"/>
        <v>31</v>
      </c>
      <c r="E6559" s="13">
        <f t="shared" si="2"/>
        <v>21</v>
      </c>
    </row>
    <row r="6560">
      <c r="A6560" s="4" t="s">
        <v>7208</v>
      </c>
      <c r="B6560" s="16"/>
      <c r="C6560" s="12">
        <f>IFERROR(__xludf.DUMMYFUNCTION("""COMPUTED_VALUE"""),44651.895949074074)</f>
        <v>44651.89595</v>
      </c>
      <c r="D6560" s="13">
        <f t="shared" si="1"/>
        <v>31</v>
      </c>
      <c r="E6560" s="13">
        <f t="shared" si="2"/>
        <v>21</v>
      </c>
    </row>
    <row r="6561">
      <c r="A6561" s="4" t="s">
        <v>7209</v>
      </c>
      <c r="B6561" s="16"/>
      <c r="C6561" s="12">
        <f>IFERROR(__xludf.DUMMYFUNCTION("""COMPUTED_VALUE"""),44651.89591435185)</f>
        <v>44651.89591</v>
      </c>
      <c r="D6561" s="13">
        <f t="shared" si="1"/>
        <v>31</v>
      </c>
      <c r="E6561" s="13">
        <f t="shared" si="2"/>
        <v>21</v>
      </c>
    </row>
    <row r="6562">
      <c r="A6562" s="4" t="s">
        <v>7210</v>
      </c>
      <c r="B6562" s="16"/>
      <c r="C6562" s="12">
        <f>IFERROR(__xludf.DUMMYFUNCTION("""COMPUTED_VALUE"""),44651.89565972222)</f>
        <v>44651.89566</v>
      </c>
      <c r="D6562" s="13">
        <f t="shared" si="1"/>
        <v>31</v>
      </c>
      <c r="E6562" s="13">
        <f t="shared" si="2"/>
        <v>21</v>
      </c>
    </row>
    <row r="6563">
      <c r="A6563" s="4" t="s">
        <v>7211</v>
      </c>
      <c r="B6563" s="16"/>
      <c r="C6563" s="12">
        <f>IFERROR(__xludf.DUMMYFUNCTION("""COMPUTED_VALUE"""),44651.895532407405)</f>
        <v>44651.89553</v>
      </c>
      <c r="D6563" s="13">
        <f t="shared" si="1"/>
        <v>31</v>
      </c>
      <c r="E6563" s="13">
        <f t="shared" si="2"/>
        <v>21</v>
      </c>
    </row>
    <row r="6564">
      <c r="A6564" s="4" t="s">
        <v>7212</v>
      </c>
      <c r="B6564" s="16"/>
      <c r="C6564" s="12">
        <f>IFERROR(__xludf.DUMMYFUNCTION("""COMPUTED_VALUE"""),44651.89552083333)</f>
        <v>44651.89552</v>
      </c>
      <c r="D6564" s="13">
        <f t="shared" si="1"/>
        <v>31</v>
      </c>
      <c r="E6564" s="13">
        <f t="shared" si="2"/>
        <v>21</v>
      </c>
    </row>
    <row r="6565">
      <c r="A6565" s="4" t="s">
        <v>7213</v>
      </c>
      <c r="B6565" s="16"/>
      <c r="C6565" s="12">
        <f>IFERROR(__xludf.DUMMYFUNCTION("""COMPUTED_VALUE"""),44651.89549768518)</f>
        <v>44651.8955</v>
      </c>
      <c r="D6565" s="13">
        <f t="shared" si="1"/>
        <v>31</v>
      </c>
      <c r="E6565" s="13">
        <f t="shared" si="2"/>
        <v>21</v>
      </c>
    </row>
    <row r="6566">
      <c r="A6566" s="4" t="s">
        <v>7214</v>
      </c>
      <c r="B6566" s="16"/>
      <c r="C6566" s="12">
        <f>IFERROR(__xludf.DUMMYFUNCTION("""COMPUTED_VALUE"""),44651.89540509259)</f>
        <v>44651.89541</v>
      </c>
      <c r="D6566" s="13">
        <f t="shared" si="1"/>
        <v>31</v>
      </c>
      <c r="E6566" s="13">
        <f t="shared" si="2"/>
        <v>21</v>
      </c>
    </row>
    <row r="6567">
      <c r="A6567" s="4" t="s">
        <v>7215</v>
      </c>
      <c r="B6567" s="16"/>
      <c r="C6567" s="12">
        <f>IFERROR(__xludf.DUMMYFUNCTION("""COMPUTED_VALUE"""),44651.89533564814)</f>
        <v>44651.89534</v>
      </c>
      <c r="D6567" s="13">
        <f t="shared" si="1"/>
        <v>31</v>
      </c>
      <c r="E6567" s="13">
        <f t="shared" si="2"/>
        <v>21</v>
      </c>
    </row>
    <row r="6568">
      <c r="A6568" s="4" t="s">
        <v>7216</v>
      </c>
      <c r="B6568" s="16"/>
      <c r="C6568" s="12">
        <f>IFERROR(__xludf.DUMMYFUNCTION("""COMPUTED_VALUE"""),44651.89494212963)</f>
        <v>44651.89494</v>
      </c>
      <c r="D6568" s="13">
        <f t="shared" si="1"/>
        <v>31</v>
      </c>
      <c r="E6568" s="13">
        <f t="shared" si="2"/>
        <v>21</v>
      </c>
    </row>
    <row r="6569">
      <c r="A6569" s="4" t="s">
        <v>7217</v>
      </c>
      <c r="B6569" s="16"/>
      <c r="C6569" s="12">
        <f>IFERROR(__xludf.DUMMYFUNCTION("""COMPUTED_VALUE"""),44651.89456018518)</f>
        <v>44651.89456</v>
      </c>
      <c r="D6569" s="13">
        <f t="shared" si="1"/>
        <v>31</v>
      </c>
      <c r="E6569" s="13">
        <f t="shared" si="2"/>
        <v>21</v>
      </c>
    </row>
    <row r="6570">
      <c r="A6570" s="4" t="s">
        <v>7218</v>
      </c>
      <c r="B6570" s="16"/>
      <c r="C6570" s="12">
        <f>IFERROR(__xludf.DUMMYFUNCTION("""COMPUTED_VALUE"""),44651.89444444444)</f>
        <v>44651.89444</v>
      </c>
      <c r="D6570" s="13">
        <f t="shared" si="1"/>
        <v>31</v>
      </c>
      <c r="E6570" s="13">
        <f t="shared" si="2"/>
        <v>21</v>
      </c>
    </row>
    <row r="6571">
      <c r="A6571" s="4" t="s">
        <v>7219</v>
      </c>
      <c r="B6571" s="16"/>
      <c r="C6571" s="12">
        <f>IFERROR(__xludf.DUMMYFUNCTION("""COMPUTED_VALUE"""),44651.894062499996)</f>
        <v>44651.89406</v>
      </c>
      <c r="D6571" s="13">
        <f t="shared" si="1"/>
        <v>31</v>
      </c>
      <c r="E6571" s="13">
        <f t="shared" si="2"/>
        <v>21</v>
      </c>
    </row>
    <row r="6572">
      <c r="A6572" s="4" t="s">
        <v>7220</v>
      </c>
      <c r="B6572" s="16"/>
      <c r="C6572" s="12">
        <f>IFERROR(__xludf.DUMMYFUNCTION("""COMPUTED_VALUE"""),44651.89405092593)</f>
        <v>44651.89405</v>
      </c>
      <c r="D6572" s="13">
        <f t="shared" si="1"/>
        <v>31</v>
      </c>
      <c r="E6572" s="13">
        <f t="shared" si="2"/>
        <v>21</v>
      </c>
    </row>
    <row r="6573">
      <c r="A6573" s="4" t="s">
        <v>7221</v>
      </c>
      <c r="B6573" s="16"/>
      <c r="C6573" s="12">
        <f>IFERROR(__xludf.DUMMYFUNCTION("""COMPUTED_VALUE"""),44651.89387731481)</f>
        <v>44651.89388</v>
      </c>
      <c r="D6573" s="13">
        <f t="shared" si="1"/>
        <v>31</v>
      </c>
      <c r="E6573" s="13">
        <f t="shared" si="2"/>
        <v>21</v>
      </c>
    </row>
    <row r="6574">
      <c r="A6574" s="4" t="s">
        <v>7222</v>
      </c>
      <c r="B6574" s="16"/>
      <c r="C6574" s="12">
        <f>IFERROR(__xludf.DUMMYFUNCTION("""COMPUTED_VALUE"""),44651.8933912037)</f>
        <v>44651.89339</v>
      </c>
      <c r="D6574" s="13">
        <f t="shared" si="1"/>
        <v>31</v>
      </c>
      <c r="E6574" s="13">
        <f t="shared" si="2"/>
        <v>21</v>
      </c>
    </row>
    <row r="6575">
      <c r="A6575" s="4" t="s">
        <v>7223</v>
      </c>
      <c r="B6575" s="16"/>
      <c r="C6575" s="12">
        <f>IFERROR(__xludf.DUMMYFUNCTION("""COMPUTED_VALUE"""),44651.89298611111)</f>
        <v>44651.89299</v>
      </c>
      <c r="D6575" s="13">
        <f t="shared" si="1"/>
        <v>31</v>
      </c>
      <c r="E6575" s="13">
        <f t="shared" si="2"/>
        <v>21</v>
      </c>
    </row>
    <row r="6576">
      <c r="A6576" s="4" t="s">
        <v>7224</v>
      </c>
      <c r="B6576" s="16"/>
      <c r="C6576" s="12">
        <f>IFERROR(__xludf.DUMMYFUNCTION("""COMPUTED_VALUE"""),44651.892604166664)</f>
        <v>44651.8926</v>
      </c>
      <c r="D6576" s="13">
        <f t="shared" si="1"/>
        <v>31</v>
      </c>
      <c r="E6576" s="13">
        <f t="shared" si="2"/>
        <v>21</v>
      </c>
    </row>
    <row r="6577">
      <c r="A6577" s="4" t="s">
        <v>7225</v>
      </c>
      <c r="B6577" s="16"/>
      <c r="C6577" s="12">
        <f>IFERROR(__xludf.DUMMYFUNCTION("""COMPUTED_VALUE"""),44651.892372685186)</f>
        <v>44651.89237</v>
      </c>
      <c r="D6577" s="13">
        <f t="shared" si="1"/>
        <v>31</v>
      </c>
      <c r="E6577" s="13">
        <f t="shared" si="2"/>
        <v>21</v>
      </c>
    </row>
    <row r="6578">
      <c r="A6578" s="4" t="s">
        <v>7226</v>
      </c>
      <c r="B6578" s="16"/>
      <c r="C6578" s="12">
        <f>IFERROR(__xludf.DUMMYFUNCTION("""COMPUTED_VALUE"""),44651.89231481481)</f>
        <v>44651.89231</v>
      </c>
      <c r="D6578" s="13">
        <f t="shared" si="1"/>
        <v>31</v>
      </c>
      <c r="E6578" s="13">
        <f t="shared" si="2"/>
        <v>21</v>
      </c>
    </row>
    <row r="6579">
      <c r="A6579" s="4" t="s">
        <v>7227</v>
      </c>
      <c r="B6579" s="16"/>
      <c r="C6579" s="12">
        <f>IFERROR(__xludf.DUMMYFUNCTION("""COMPUTED_VALUE"""),44651.89225694444)</f>
        <v>44651.89226</v>
      </c>
      <c r="D6579" s="13">
        <f t="shared" si="1"/>
        <v>31</v>
      </c>
      <c r="E6579" s="13">
        <f t="shared" si="2"/>
        <v>21</v>
      </c>
    </row>
    <row r="6580">
      <c r="A6580" s="4" t="s">
        <v>7228</v>
      </c>
      <c r="B6580" s="16"/>
      <c r="C6580" s="12">
        <f>IFERROR(__xludf.DUMMYFUNCTION("""COMPUTED_VALUE"""),44651.89216435185)</f>
        <v>44651.89216</v>
      </c>
      <c r="D6580" s="13">
        <f t="shared" si="1"/>
        <v>31</v>
      </c>
      <c r="E6580" s="13">
        <f t="shared" si="2"/>
        <v>21</v>
      </c>
    </row>
    <row r="6581">
      <c r="A6581" s="4" t="s">
        <v>7229</v>
      </c>
      <c r="B6581" s="16"/>
      <c r="C6581" s="12">
        <f>IFERROR(__xludf.DUMMYFUNCTION("""COMPUTED_VALUE"""),44651.89215277778)</f>
        <v>44651.89215</v>
      </c>
      <c r="D6581" s="13">
        <f t="shared" si="1"/>
        <v>31</v>
      </c>
      <c r="E6581" s="13">
        <f t="shared" si="2"/>
        <v>21</v>
      </c>
    </row>
    <row r="6582">
      <c r="A6582" s="4" t="s">
        <v>7230</v>
      </c>
      <c r="B6582" s="16"/>
      <c r="C6582" s="12">
        <f>IFERROR(__xludf.DUMMYFUNCTION("""COMPUTED_VALUE"""),44651.89134259259)</f>
        <v>44651.89134</v>
      </c>
      <c r="D6582" s="13">
        <f t="shared" si="1"/>
        <v>31</v>
      </c>
      <c r="E6582" s="13">
        <f t="shared" si="2"/>
        <v>21</v>
      </c>
    </row>
    <row r="6583">
      <c r="A6583" s="4" t="s">
        <v>7231</v>
      </c>
      <c r="B6583" s="16"/>
      <c r="C6583" s="12">
        <f>IFERROR(__xludf.DUMMYFUNCTION("""COMPUTED_VALUE"""),44651.8909375)</f>
        <v>44651.89094</v>
      </c>
      <c r="D6583" s="13">
        <f t="shared" si="1"/>
        <v>31</v>
      </c>
      <c r="E6583" s="13">
        <f t="shared" si="2"/>
        <v>21</v>
      </c>
    </row>
    <row r="6584">
      <c r="A6584" s="4" t="s">
        <v>7232</v>
      </c>
      <c r="B6584" s="16"/>
      <c r="C6584" s="12">
        <f>IFERROR(__xludf.DUMMYFUNCTION("""COMPUTED_VALUE"""),44651.89034722222)</f>
        <v>44651.89035</v>
      </c>
      <c r="D6584" s="13">
        <f t="shared" si="1"/>
        <v>31</v>
      </c>
      <c r="E6584" s="13">
        <f t="shared" si="2"/>
        <v>21</v>
      </c>
    </row>
    <row r="6585">
      <c r="A6585" s="4" t="s">
        <v>7233</v>
      </c>
      <c r="B6585" s="16"/>
      <c r="C6585" s="12">
        <f>IFERROR(__xludf.DUMMYFUNCTION("""COMPUTED_VALUE"""),44651.8899537037)</f>
        <v>44651.88995</v>
      </c>
      <c r="D6585" s="13">
        <f t="shared" si="1"/>
        <v>31</v>
      </c>
      <c r="E6585" s="13">
        <f t="shared" si="2"/>
        <v>21</v>
      </c>
    </row>
    <row r="6586">
      <c r="A6586" s="4" t="s">
        <v>7234</v>
      </c>
      <c r="B6586" s="16"/>
      <c r="C6586" s="12">
        <f>IFERROR(__xludf.DUMMYFUNCTION("""COMPUTED_VALUE"""),44651.88925925926)</f>
        <v>44651.88926</v>
      </c>
      <c r="D6586" s="13">
        <f t="shared" si="1"/>
        <v>31</v>
      </c>
      <c r="E6586" s="13">
        <f t="shared" si="2"/>
        <v>21</v>
      </c>
    </row>
    <row r="6587">
      <c r="A6587" s="4" t="s">
        <v>7235</v>
      </c>
      <c r="B6587" s="16"/>
      <c r="C6587" s="12">
        <f>IFERROR(__xludf.DUMMYFUNCTION("""COMPUTED_VALUE"""),44651.889085648145)</f>
        <v>44651.88909</v>
      </c>
      <c r="D6587" s="13">
        <f t="shared" si="1"/>
        <v>31</v>
      </c>
      <c r="E6587" s="13">
        <f t="shared" si="2"/>
        <v>21</v>
      </c>
    </row>
    <row r="6588">
      <c r="A6588" s="4" t="s">
        <v>7236</v>
      </c>
      <c r="B6588" s="16"/>
      <c r="C6588" s="12">
        <f>IFERROR(__xludf.DUMMYFUNCTION("""COMPUTED_VALUE"""),44651.8890162037)</f>
        <v>44651.88902</v>
      </c>
      <c r="D6588" s="13">
        <f t="shared" si="1"/>
        <v>31</v>
      </c>
      <c r="E6588" s="13">
        <f t="shared" si="2"/>
        <v>21</v>
      </c>
    </row>
    <row r="6589">
      <c r="A6589" s="4" t="s">
        <v>7237</v>
      </c>
      <c r="B6589" s="16"/>
      <c r="C6589" s="12">
        <f>IFERROR(__xludf.DUMMYFUNCTION("""COMPUTED_VALUE"""),44651.888877314814)</f>
        <v>44651.88888</v>
      </c>
      <c r="D6589" s="13">
        <f t="shared" si="1"/>
        <v>31</v>
      </c>
      <c r="E6589" s="13">
        <f t="shared" si="2"/>
        <v>21</v>
      </c>
    </row>
    <row r="6590">
      <c r="A6590" s="4" t="s">
        <v>7238</v>
      </c>
      <c r="B6590" s="16"/>
      <c r="C6590" s="12">
        <f>IFERROR(__xludf.DUMMYFUNCTION("""COMPUTED_VALUE"""),44651.88832175926)</f>
        <v>44651.88832</v>
      </c>
      <c r="D6590" s="13">
        <f t="shared" si="1"/>
        <v>31</v>
      </c>
      <c r="E6590" s="13">
        <f t="shared" si="2"/>
        <v>21</v>
      </c>
    </row>
    <row r="6591">
      <c r="A6591" s="4" t="s">
        <v>7239</v>
      </c>
      <c r="B6591" s="16"/>
      <c r="C6591" s="12">
        <f>IFERROR(__xludf.DUMMYFUNCTION("""COMPUTED_VALUE"""),44651.888298611106)</f>
        <v>44651.8883</v>
      </c>
      <c r="D6591" s="13">
        <f t="shared" si="1"/>
        <v>31</v>
      </c>
      <c r="E6591" s="13">
        <f t="shared" si="2"/>
        <v>21</v>
      </c>
    </row>
    <row r="6592">
      <c r="A6592" s="4" t="s">
        <v>7240</v>
      </c>
      <c r="B6592" s="16"/>
      <c r="C6592" s="12">
        <f>IFERROR(__xludf.DUMMYFUNCTION("""COMPUTED_VALUE"""),44651.88240740741)</f>
        <v>44651.88241</v>
      </c>
      <c r="D6592" s="13">
        <f t="shared" si="1"/>
        <v>31</v>
      </c>
      <c r="E6592" s="13">
        <f t="shared" si="2"/>
        <v>21</v>
      </c>
    </row>
    <row r="6593">
      <c r="A6593" s="4" t="s">
        <v>7241</v>
      </c>
      <c r="B6593" s="16"/>
      <c r="C6593" s="12">
        <f>IFERROR(__xludf.DUMMYFUNCTION("""COMPUTED_VALUE"""),44651.81565972222)</f>
        <v>44651.81566</v>
      </c>
      <c r="D6593" s="13">
        <f t="shared" si="1"/>
        <v>31</v>
      </c>
      <c r="E6593" s="13">
        <f t="shared" si="2"/>
        <v>19</v>
      </c>
    </row>
    <row r="6594">
      <c r="A6594" s="4" t="s">
        <v>7242</v>
      </c>
      <c r="B6594" s="16"/>
      <c r="C6594" s="12">
        <f>IFERROR(__xludf.DUMMYFUNCTION("""COMPUTED_VALUE"""),44651.815624999996)</f>
        <v>44651.81563</v>
      </c>
      <c r="D6594" s="13">
        <f t="shared" si="1"/>
        <v>31</v>
      </c>
      <c r="E6594" s="13">
        <f t="shared" si="2"/>
        <v>19</v>
      </c>
    </row>
    <row r="6595">
      <c r="A6595" s="4" t="s">
        <v>7243</v>
      </c>
      <c r="B6595" s="16"/>
      <c r="C6595" s="12">
        <f>IFERROR(__xludf.DUMMYFUNCTION("""COMPUTED_VALUE"""),44651.798622685186)</f>
        <v>44651.79862</v>
      </c>
      <c r="D6595" s="13">
        <f t="shared" si="1"/>
        <v>31</v>
      </c>
      <c r="E6595" s="13">
        <f t="shared" si="2"/>
        <v>19</v>
      </c>
    </row>
    <row r="6596">
      <c r="A6596" s="4" t="s">
        <v>7244</v>
      </c>
      <c r="B6596" s="16"/>
      <c r="C6596" s="12">
        <f>IFERROR(__xludf.DUMMYFUNCTION("""COMPUTED_VALUE"""),44651.79614583333)</f>
        <v>44651.79615</v>
      </c>
      <c r="D6596" s="13">
        <f t="shared" si="1"/>
        <v>31</v>
      </c>
      <c r="E6596" s="13">
        <f t="shared" si="2"/>
        <v>19</v>
      </c>
    </row>
    <row r="6597">
      <c r="A6597" s="4" t="s">
        <v>7245</v>
      </c>
      <c r="B6597" s="16"/>
      <c r="C6597" s="12">
        <f>IFERROR(__xludf.DUMMYFUNCTION("""COMPUTED_VALUE"""),44651.790567129625)</f>
        <v>44651.79057</v>
      </c>
      <c r="D6597" s="13">
        <f t="shared" si="1"/>
        <v>31</v>
      </c>
      <c r="E6597" s="13">
        <f t="shared" si="2"/>
        <v>18</v>
      </c>
    </row>
    <row r="6598">
      <c r="A6598" s="4" t="s">
        <v>7246</v>
      </c>
      <c r="B6598" s="16"/>
      <c r="C6598" s="12">
        <f>IFERROR(__xludf.DUMMYFUNCTION("""COMPUTED_VALUE"""),44651.788564814815)</f>
        <v>44651.78856</v>
      </c>
      <c r="D6598" s="13">
        <f t="shared" si="1"/>
        <v>31</v>
      </c>
      <c r="E6598" s="13">
        <f t="shared" si="2"/>
        <v>18</v>
      </c>
    </row>
    <row r="6599">
      <c r="A6599" s="4" t="s">
        <v>7247</v>
      </c>
      <c r="B6599" s="16"/>
      <c r="C6599" s="12">
        <f>IFERROR(__xludf.DUMMYFUNCTION("""COMPUTED_VALUE"""),44651.77489583333)</f>
        <v>44651.7749</v>
      </c>
      <c r="D6599" s="13">
        <f t="shared" si="1"/>
        <v>31</v>
      </c>
      <c r="E6599" s="13">
        <f t="shared" si="2"/>
        <v>18</v>
      </c>
    </row>
    <row r="6600">
      <c r="A6600" s="4" t="s">
        <v>7248</v>
      </c>
      <c r="B6600" s="16"/>
      <c r="C6600" s="12">
        <f>IFERROR(__xludf.DUMMYFUNCTION("""COMPUTED_VALUE"""),44651.75975694444)</f>
        <v>44651.75976</v>
      </c>
      <c r="D6600" s="13">
        <f t="shared" si="1"/>
        <v>31</v>
      </c>
      <c r="E6600" s="13">
        <f t="shared" si="2"/>
        <v>18</v>
      </c>
    </row>
    <row r="6601">
      <c r="A6601" s="4" t="s">
        <v>7249</v>
      </c>
      <c r="B6601" s="16"/>
      <c r="C6601" s="12">
        <f>IFERROR(__xludf.DUMMYFUNCTION("""COMPUTED_VALUE"""),44651.74288194444)</f>
        <v>44651.74288</v>
      </c>
      <c r="D6601" s="13">
        <f t="shared" si="1"/>
        <v>31</v>
      </c>
      <c r="E6601" s="13">
        <f t="shared" si="2"/>
        <v>17</v>
      </c>
    </row>
    <row r="6602">
      <c r="A6602" s="4" t="s">
        <v>7250</v>
      </c>
      <c r="B6602" s="16"/>
      <c r="C6602" s="12">
        <f>IFERROR(__xludf.DUMMYFUNCTION("""COMPUTED_VALUE"""),44651.735451388886)</f>
        <v>44651.73545</v>
      </c>
      <c r="D6602" s="13">
        <f t="shared" si="1"/>
        <v>31</v>
      </c>
      <c r="E6602" s="13">
        <f t="shared" si="2"/>
        <v>17</v>
      </c>
    </row>
    <row r="6603">
      <c r="A6603" s="4" t="s">
        <v>7251</v>
      </c>
      <c r="B6603" s="16"/>
      <c r="C6603" s="12">
        <f>IFERROR(__xludf.DUMMYFUNCTION("""COMPUTED_VALUE"""),44651.73504629629)</f>
        <v>44651.73505</v>
      </c>
      <c r="D6603" s="13">
        <f t="shared" si="1"/>
        <v>31</v>
      </c>
      <c r="E6603" s="13">
        <f t="shared" si="2"/>
        <v>17</v>
      </c>
    </row>
    <row r="6604">
      <c r="A6604" s="4" t="s">
        <v>7252</v>
      </c>
      <c r="B6604" s="16"/>
      <c r="C6604" s="12">
        <f>IFERROR(__xludf.DUMMYFUNCTION("""COMPUTED_VALUE"""),44651.73471064815)</f>
        <v>44651.73471</v>
      </c>
      <c r="D6604" s="13">
        <f t="shared" si="1"/>
        <v>31</v>
      </c>
      <c r="E6604" s="13">
        <f t="shared" si="2"/>
        <v>17</v>
      </c>
    </row>
    <row r="6605">
      <c r="A6605" s="4" t="s">
        <v>7253</v>
      </c>
      <c r="B6605" s="16"/>
      <c r="C6605" s="12">
        <f>IFERROR(__xludf.DUMMYFUNCTION("""COMPUTED_VALUE"""),44651.73442129629)</f>
        <v>44651.73442</v>
      </c>
      <c r="D6605" s="13">
        <f t="shared" si="1"/>
        <v>31</v>
      </c>
      <c r="E6605" s="13">
        <f t="shared" si="2"/>
        <v>17</v>
      </c>
    </row>
    <row r="6606">
      <c r="A6606" s="4" t="s">
        <v>7253</v>
      </c>
      <c r="B6606" s="16"/>
      <c r="C6606" s="12">
        <f>IFERROR(__xludf.DUMMYFUNCTION("""COMPUTED_VALUE"""),44651.73442129629)</f>
        <v>44651.73442</v>
      </c>
      <c r="D6606" s="13">
        <f t="shared" si="1"/>
        <v>31</v>
      </c>
      <c r="E6606" s="13">
        <f t="shared" si="2"/>
        <v>17</v>
      </c>
    </row>
    <row r="6607">
      <c r="A6607" s="4" t="s">
        <v>7254</v>
      </c>
      <c r="B6607" s="16"/>
      <c r="C6607" s="12">
        <f>IFERROR(__xludf.DUMMYFUNCTION("""COMPUTED_VALUE"""),44651.7343287037)</f>
        <v>44651.73433</v>
      </c>
      <c r="D6607" s="13">
        <f t="shared" si="1"/>
        <v>31</v>
      </c>
      <c r="E6607" s="13">
        <f t="shared" si="2"/>
        <v>17</v>
      </c>
    </row>
    <row r="6608">
      <c r="A6608" s="4" t="s">
        <v>7255</v>
      </c>
      <c r="B6608" s="16"/>
      <c r="C6608" s="12">
        <f>IFERROR(__xludf.DUMMYFUNCTION("""COMPUTED_VALUE"""),44651.73398148148)</f>
        <v>44651.73398</v>
      </c>
      <c r="D6608" s="13">
        <f t="shared" si="1"/>
        <v>31</v>
      </c>
      <c r="E6608" s="13">
        <f t="shared" si="2"/>
        <v>17</v>
      </c>
    </row>
    <row r="6609">
      <c r="A6609" s="4" t="s">
        <v>7256</v>
      </c>
      <c r="B6609" s="16"/>
      <c r="C6609" s="12">
        <f>IFERROR(__xludf.DUMMYFUNCTION("""COMPUTED_VALUE"""),44651.73363425925)</f>
        <v>44651.73363</v>
      </c>
      <c r="D6609" s="13">
        <f t="shared" si="1"/>
        <v>31</v>
      </c>
      <c r="E6609" s="13">
        <f t="shared" si="2"/>
        <v>17</v>
      </c>
    </row>
    <row r="6610">
      <c r="A6610" s="4" t="s">
        <v>7257</v>
      </c>
      <c r="B6610" s="16"/>
      <c r="C6610" s="12">
        <f>IFERROR(__xludf.DUMMYFUNCTION("""COMPUTED_VALUE"""),44651.733576388884)</f>
        <v>44651.73358</v>
      </c>
      <c r="D6610" s="13">
        <f t="shared" si="1"/>
        <v>31</v>
      </c>
      <c r="E6610" s="13">
        <f t="shared" si="2"/>
        <v>17</v>
      </c>
    </row>
    <row r="6611">
      <c r="A6611" s="4" t="s">
        <v>7258</v>
      </c>
      <c r="B6611" s="16"/>
      <c r="C6611" s="12">
        <f>IFERROR(__xludf.DUMMYFUNCTION("""COMPUTED_VALUE"""),44651.733263888884)</f>
        <v>44651.73326</v>
      </c>
      <c r="D6611" s="13">
        <f t="shared" si="1"/>
        <v>31</v>
      </c>
      <c r="E6611" s="13">
        <f t="shared" si="2"/>
        <v>17</v>
      </c>
    </row>
    <row r="6612">
      <c r="A6612" s="4" t="s">
        <v>7259</v>
      </c>
      <c r="B6612" s="16"/>
      <c r="C6612" s="12">
        <f>IFERROR(__xludf.DUMMYFUNCTION("""COMPUTED_VALUE"""),44651.733252314814)</f>
        <v>44651.73325</v>
      </c>
      <c r="D6612" s="13">
        <f t="shared" si="1"/>
        <v>31</v>
      </c>
      <c r="E6612" s="13">
        <f t="shared" si="2"/>
        <v>17</v>
      </c>
    </row>
    <row r="6613">
      <c r="A6613" s="4" t="s">
        <v>7260</v>
      </c>
      <c r="B6613" s="16"/>
      <c r="C6613" s="12">
        <f>IFERROR(__xludf.DUMMYFUNCTION("""COMPUTED_VALUE"""),44651.73313657407)</f>
        <v>44651.73314</v>
      </c>
      <c r="D6613" s="13">
        <f t="shared" si="1"/>
        <v>31</v>
      </c>
      <c r="E6613" s="13">
        <f t="shared" si="2"/>
        <v>17</v>
      </c>
    </row>
    <row r="6614">
      <c r="A6614" s="4" t="s">
        <v>7261</v>
      </c>
      <c r="B6614" s="16"/>
      <c r="C6614" s="12">
        <f>IFERROR(__xludf.DUMMYFUNCTION("""COMPUTED_VALUE"""),44651.73302083333)</f>
        <v>44651.73302</v>
      </c>
      <c r="D6614" s="13">
        <f t="shared" si="1"/>
        <v>31</v>
      </c>
      <c r="E6614" s="13">
        <f t="shared" si="2"/>
        <v>17</v>
      </c>
    </row>
    <row r="6615">
      <c r="A6615" s="4" t="s">
        <v>7262</v>
      </c>
      <c r="B6615" s="16"/>
      <c r="C6615" s="12">
        <f>IFERROR(__xludf.DUMMYFUNCTION("""COMPUTED_VALUE"""),44651.73295138888)</f>
        <v>44651.73295</v>
      </c>
      <c r="D6615" s="13">
        <f t="shared" si="1"/>
        <v>31</v>
      </c>
      <c r="E6615" s="13">
        <f t="shared" si="2"/>
        <v>17</v>
      </c>
    </row>
    <row r="6616">
      <c r="A6616" s="4" t="s">
        <v>7263</v>
      </c>
      <c r="B6616" s="16"/>
      <c r="C6616" s="12">
        <f>IFERROR(__xludf.DUMMYFUNCTION("""COMPUTED_VALUE"""),44651.732731481476)</f>
        <v>44651.73273</v>
      </c>
      <c r="D6616" s="13">
        <f t="shared" si="1"/>
        <v>31</v>
      </c>
      <c r="E6616" s="13">
        <f t="shared" si="2"/>
        <v>17</v>
      </c>
    </row>
    <row r="6617">
      <c r="A6617" s="4" t="s">
        <v>7264</v>
      </c>
      <c r="B6617" s="16"/>
      <c r="C6617" s="12">
        <f>IFERROR(__xludf.DUMMYFUNCTION("""COMPUTED_VALUE"""),44651.73231481481)</f>
        <v>44651.73231</v>
      </c>
      <c r="D6617" s="13">
        <f t="shared" si="1"/>
        <v>31</v>
      </c>
      <c r="E6617" s="13">
        <f t="shared" si="2"/>
        <v>17</v>
      </c>
    </row>
    <row r="6618">
      <c r="A6618" s="4" t="s">
        <v>7265</v>
      </c>
      <c r="B6618" s="16"/>
      <c r="C6618" s="12">
        <f>IFERROR(__xludf.DUMMYFUNCTION("""COMPUTED_VALUE"""),44651.73190972222)</f>
        <v>44651.73191</v>
      </c>
      <c r="D6618" s="13">
        <f t="shared" si="1"/>
        <v>31</v>
      </c>
      <c r="E6618" s="13">
        <f t="shared" si="2"/>
        <v>17</v>
      </c>
    </row>
    <row r="6619">
      <c r="A6619" s="4" t="s">
        <v>7266</v>
      </c>
      <c r="B6619" s="16"/>
      <c r="C6619" s="12">
        <f>IFERROR(__xludf.DUMMYFUNCTION("""COMPUTED_VALUE"""),44651.731423611105)</f>
        <v>44651.73142</v>
      </c>
      <c r="D6619" s="13">
        <f t="shared" si="1"/>
        <v>31</v>
      </c>
      <c r="E6619" s="13">
        <f t="shared" si="2"/>
        <v>17</v>
      </c>
    </row>
    <row r="6620">
      <c r="A6620" s="4" t="s">
        <v>7267</v>
      </c>
      <c r="B6620" s="16"/>
      <c r="C6620" s="12">
        <f>IFERROR(__xludf.DUMMYFUNCTION("""COMPUTED_VALUE"""),44651.73137731481)</f>
        <v>44651.73138</v>
      </c>
      <c r="D6620" s="13">
        <f t="shared" si="1"/>
        <v>31</v>
      </c>
      <c r="E6620" s="13">
        <f t="shared" si="2"/>
        <v>17</v>
      </c>
    </row>
    <row r="6621">
      <c r="A6621" s="4" t="s">
        <v>7268</v>
      </c>
      <c r="B6621" s="16"/>
      <c r="C6621" s="12">
        <f>IFERROR(__xludf.DUMMYFUNCTION("""COMPUTED_VALUE"""),44651.73119212963)</f>
        <v>44651.73119</v>
      </c>
      <c r="D6621" s="13">
        <f t="shared" si="1"/>
        <v>31</v>
      </c>
      <c r="E6621" s="13">
        <f t="shared" si="2"/>
        <v>17</v>
      </c>
    </row>
    <row r="6622">
      <c r="A6622" s="4" t="s">
        <v>7269</v>
      </c>
      <c r="B6622" s="16"/>
      <c r="C6622" s="12">
        <f>IFERROR(__xludf.DUMMYFUNCTION("""COMPUTED_VALUE"""),44651.73113425926)</f>
        <v>44651.73113</v>
      </c>
      <c r="D6622" s="13">
        <f t="shared" si="1"/>
        <v>31</v>
      </c>
      <c r="E6622" s="13">
        <f t="shared" si="2"/>
        <v>17</v>
      </c>
    </row>
    <row r="6623">
      <c r="A6623" s="4" t="s">
        <v>7270</v>
      </c>
      <c r="B6623" s="16"/>
      <c r="C6623" s="12">
        <f>IFERROR(__xludf.DUMMYFUNCTION("""COMPUTED_VALUE"""),44651.73097222222)</f>
        <v>44651.73097</v>
      </c>
      <c r="D6623" s="13">
        <f t="shared" si="1"/>
        <v>31</v>
      </c>
      <c r="E6623" s="13">
        <f t="shared" si="2"/>
        <v>17</v>
      </c>
    </row>
    <row r="6624">
      <c r="A6624" s="4" t="s">
        <v>7271</v>
      </c>
      <c r="B6624" s="16"/>
      <c r="C6624" s="12">
        <f>IFERROR(__xludf.DUMMYFUNCTION("""COMPUTED_VALUE"""),44651.73003472222)</f>
        <v>44651.73003</v>
      </c>
      <c r="D6624" s="13">
        <f t="shared" si="1"/>
        <v>31</v>
      </c>
      <c r="E6624" s="13">
        <f t="shared" si="2"/>
        <v>17</v>
      </c>
    </row>
    <row r="6625">
      <c r="A6625" s="4" t="s">
        <v>7272</v>
      </c>
      <c r="B6625" s="16"/>
      <c r="C6625" s="12">
        <f>IFERROR(__xludf.DUMMYFUNCTION("""COMPUTED_VALUE"""),44651.72934027777)</f>
        <v>44651.72934</v>
      </c>
      <c r="D6625" s="13">
        <f t="shared" si="1"/>
        <v>31</v>
      </c>
      <c r="E6625" s="13">
        <f t="shared" si="2"/>
        <v>17</v>
      </c>
    </row>
    <row r="6626">
      <c r="A6626" s="4" t="s">
        <v>7273</v>
      </c>
      <c r="B6626" s="16"/>
      <c r="C6626" s="12">
        <f>IFERROR(__xludf.DUMMYFUNCTION("""COMPUTED_VALUE"""),44651.725069444445)</f>
        <v>44651.72507</v>
      </c>
      <c r="D6626" s="13">
        <f t="shared" si="1"/>
        <v>31</v>
      </c>
      <c r="E6626" s="13">
        <f t="shared" si="2"/>
        <v>17</v>
      </c>
    </row>
    <row r="6627">
      <c r="A6627" s="4" t="s">
        <v>7274</v>
      </c>
      <c r="B6627" s="16"/>
      <c r="C6627" s="12">
        <f>IFERROR(__xludf.DUMMYFUNCTION("""COMPUTED_VALUE"""),44651.72267361111)</f>
        <v>44651.72267</v>
      </c>
      <c r="D6627" s="13">
        <f t="shared" si="1"/>
        <v>31</v>
      </c>
      <c r="E6627" s="13">
        <f t="shared" si="2"/>
        <v>17</v>
      </c>
    </row>
    <row r="6628">
      <c r="A6628" s="4" t="s">
        <v>7275</v>
      </c>
      <c r="B6628" s="16"/>
      <c r="C6628" s="12">
        <f>IFERROR(__xludf.DUMMYFUNCTION("""COMPUTED_VALUE"""),44651.72184027777)</f>
        <v>44651.72184</v>
      </c>
      <c r="D6628" s="13">
        <f t="shared" si="1"/>
        <v>31</v>
      </c>
      <c r="E6628" s="13">
        <f t="shared" si="2"/>
        <v>17</v>
      </c>
    </row>
    <row r="6629">
      <c r="A6629" s="4" t="s">
        <v>7276</v>
      </c>
      <c r="B6629" s="16"/>
      <c r="C6629" s="12">
        <f>IFERROR(__xludf.DUMMYFUNCTION("""COMPUTED_VALUE"""),44651.72144675926)</f>
        <v>44651.72145</v>
      </c>
      <c r="D6629" s="13">
        <f t="shared" si="1"/>
        <v>31</v>
      </c>
      <c r="E6629" s="13">
        <f t="shared" si="2"/>
        <v>17</v>
      </c>
    </row>
    <row r="6630">
      <c r="A6630" s="4" t="s">
        <v>7277</v>
      </c>
      <c r="B6630" s="16"/>
      <c r="C6630" s="12">
        <f>IFERROR(__xludf.DUMMYFUNCTION("""COMPUTED_VALUE"""),44651.72107638889)</f>
        <v>44651.72108</v>
      </c>
      <c r="D6630" s="13">
        <f t="shared" si="1"/>
        <v>31</v>
      </c>
      <c r="E6630" s="13">
        <f t="shared" si="2"/>
        <v>17</v>
      </c>
    </row>
    <row r="6631">
      <c r="A6631" s="4" t="s">
        <v>7278</v>
      </c>
      <c r="B6631" s="16"/>
      <c r="C6631" s="12">
        <f>IFERROR(__xludf.DUMMYFUNCTION("""COMPUTED_VALUE"""),44651.72069444444)</f>
        <v>44651.72069</v>
      </c>
      <c r="D6631" s="13">
        <f t="shared" si="1"/>
        <v>31</v>
      </c>
      <c r="E6631" s="13">
        <f t="shared" si="2"/>
        <v>17</v>
      </c>
    </row>
    <row r="6632">
      <c r="A6632" s="4" t="s">
        <v>7279</v>
      </c>
      <c r="B6632" s="16"/>
      <c r="C6632" s="12">
        <f>IFERROR(__xludf.DUMMYFUNCTION("""COMPUTED_VALUE"""),44651.7202662037)</f>
        <v>44651.72027</v>
      </c>
      <c r="D6632" s="13">
        <f t="shared" si="1"/>
        <v>31</v>
      </c>
      <c r="E6632" s="13">
        <f t="shared" si="2"/>
        <v>17</v>
      </c>
    </row>
    <row r="6633">
      <c r="A6633" s="4" t="s">
        <v>7280</v>
      </c>
      <c r="B6633" s="16"/>
      <c r="C6633" s="12">
        <f>IFERROR(__xludf.DUMMYFUNCTION("""COMPUTED_VALUE"""),44651.71969907407)</f>
        <v>44651.7197</v>
      </c>
      <c r="D6633" s="13">
        <f t="shared" si="1"/>
        <v>31</v>
      </c>
      <c r="E6633" s="13">
        <f t="shared" si="2"/>
        <v>17</v>
      </c>
    </row>
    <row r="6634">
      <c r="A6634" s="4" t="s">
        <v>7281</v>
      </c>
      <c r="B6634" s="16"/>
      <c r="C6634" s="12">
        <f>IFERROR(__xludf.DUMMYFUNCTION("""COMPUTED_VALUE"""),44651.71934027778)</f>
        <v>44651.71934</v>
      </c>
      <c r="D6634" s="13">
        <f t="shared" si="1"/>
        <v>31</v>
      </c>
      <c r="E6634" s="13">
        <f t="shared" si="2"/>
        <v>17</v>
      </c>
    </row>
    <row r="6635">
      <c r="A6635" s="4" t="s">
        <v>7282</v>
      </c>
      <c r="B6635" s="16"/>
      <c r="C6635" s="12">
        <f>IFERROR(__xludf.DUMMYFUNCTION("""COMPUTED_VALUE"""),44651.71895833333)</f>
        <v>44651.71896</v>
      </c>
      <c r="D6635" s="13">
        <f t="shared" si="1"/>
        <v>31</v>
      </c>
      <c r="E6635" s="13">
        <f t="shared" si="2"/>
        <v>17</v>
      </c>
    </row>
    <row r="6636">
      <c r="A6636" s="4" t="s">
        <v>7283</v>
      </c>
      <c r="B6636" s="16"/>
      <c r="C6636" s="12">
        <f>IFERROR(__xludf.DUMMYFUNCTION("""COMPUTED_VALUE"""),44651.71858796296)</f>
        <v>44651.71859</v>
      </c>
      <c r="D6636" s="13">
        <f t="shared" si="1"/>
        <v>31</v>
      </c>
      <c r="E6636" s="13">
        <f t="shared" si="2"/>
        <v>17</v>
      </c>
    </row>
    <row r="6637">
      <c r="A6637" s="4" t="s">
        <v>7284</v>
      </c>
      <c r="B6637" s="16"/>
      <c r="C6637" s="12">
        <f>IFERROR(__xludf.DUMMYFUNCTION("""COMPUTED_VALUE"""),44651.71811342592)</f>
        <v>44651.71811</v>
      </c>
      <c r="D6637" s="13">
        <f t="shared" si="1"/>
        <v>31</v>
      </c>
      <c r="E6637" s="13">
        <f t="shared" si="2"/>
        <v>17</v>
      </c>
    </row>
    <row r="6638">
      <c r="A6638" s="4" t="s">
        <v>7285</v>
      </c>
      <c r="B6638" s="16"/>
      <c r="C6638" s="12">
        <f>IFERROR(__xludf.DUMMYFUNCTION("""COMPUTED_VALUE"""),44651.71774305555)</f>
        <v>44651.71774</v>
      </c>
      <c r="D6638" s="13">
        <f t="shared" si="1"/>
        <v>31</v>
      </c>
      <c r="E6638" s="13">
        <f t="shared" si="2"/>
        <v>17</v>
      </c>
    </row>
    <row r="6639">
      <c r="A6639" s="4" t="s">
        <v>7286</v>
      </c>
      <c r="B6639" s="16"/>
      <c r="C6639" s="12">
        <f>IFERROR(__xludf.DUMMYFUNCTION("""COMPUTED_VALUE"""),44651.71737268518)</f>
        <v>44651.71737</v>
      </c>
      <c r="D6639" s="13">
        <f t="shared" si="1"/>
        <v>31</v>
      </c>
      <c r="E6639" s="13">
        <f t="shared" si="2"/>
        <v>17</v>
      </c>
    </row>
    <row r="6640">
      <c r="A6640" s="4" t="s">
        <v>7287</v>
      </c>
      <c r="B6640" s="16"/>
      <c r="C6640" s="12">
        <f>IFERROR(__xludf.DUMMYFUNCTION("""COMPUTED_VALUE"""),44651.71681712963)</f>
        <v>44651.71682</v>
      </c>
      <c r="D6640" s="13">
        <f t="shared" si="1"/>
        <v>31</v>
      </c>
      <c r="E6640" s="13">
        <f t="shared" si="2"/>
        <v>17</v>
      </c>
    </row>
    <row r="6641">
      <c r="A6641" s="4" t="s">
        <v>7288</v>
      </c>
      <c r="B6641" s="16"/>
      <c r="C6641" s="12">
        <f>IFERROR(__xludf.DUMMYFUNCTION("""COMPUTED_VALUE"""),44651.71644675926)</f>
        <v>44651.71645</v>
      </c>
      <c r="D6641" s="13">
        <f t="shared" si="1"/>
        <v>31</v>
      </c>
      <c r="E6641" s="13">
        <f t="shared" si="2"/>
        <v>17</v>
      </c>
    </row>
    <row r="6642">
      <c r="A6642" s="4" t="s">
        <v>7289</v>
      </c>
      <c r="B6642" s="16"/>
      <c r="C6642" s="12">
        <f>IFERROR(__xludf.DUMMYFUNCTION("""COMPUTED_VALUE"""),44651.71597222222)</f>
        <v>44651.71597</v>
      </c>
      <c r="D6642" s="13">
        <f t="shared" si="1"/>
        <v>31</v>
      </c>
      <c r="E6642" s="13">
        <f t="shared" si="2"/>
        <v>17</v>
      </c>
    </row>
    <row r="6643">
      <c r="A6643" s="4" t="s">
        <v>7290</v>
      </c>
      <c r="B6643" s="16"/>
      <c r="C6643" s="12">
        <f>IFERROR(__xludf.DUMMYFUNCTION("""COMPUTED_VALUE"""),44651.715590277774)</f>
        <v>44651.71559</v>
      </c>
      <c r="D6643" s="13">
        <f t="shared" si="1"/>
        <v>31</v>
      </c>
      <c r="E6643" s="13">
        <f t="shared" si="2"/>
        <v>17</v>
      </c>
    </row>
    <row r="6644">
      <c r="A6644" s="4" t="s">
        <v>7291</v>
      </c>
      <c r="B6644" s="16"/>
      <c r="C6644" s="12">
        <f>IFERROR(__xludf.DUMMYFUNCTION("""COMPUTED_VALUE"""),44651.71520833333)</f>
        <v>44651.71521</v>
      </c>
      <c r="D6644" s="13">
        <f t="shared" si="1"/>
        <v>31</v>
      </c>
      <c r="E6644" s="13">
        <f t="shared" si="2"/>
        <v>17</v>
      </c>
    </row>
    <row r="6645">
      <c r="A6645" s="4" t="s">
        <v>7292</v>
      </c>
      <c r="B6645" s="16"/>
      <c r="C6645" s="12">
        <f>IFERROR(__xludf.DUMMYFUNCTION("""COMPUTED_VALUE"""),44651.71482638889)</f>
        <v>44651.71483</v>
      </c>
      <c r="D6645" s="13">
        <f t="shared" si="1"/>
        <v>31</v>
      </c>
      <c r="E6645" s="13">
        <f t="shared" si="2"/>
        <v>17</v>
      </c>
    </row>
    <row r="6646">
      <c r="A6646" s="4" t="s">
        <v>7293</v>
      </c>
      <c r="B6646" s="16"/>
      <c r="C6646" s="12">
        <f>IFERROR(__xludf.DUMMYFUNCTION("""COMPUTED_VALUE"""),44651.71444444444)</f>
        <v>44651.71444</v>
      </c>
      <c r="D6646" s="13">
        <f t="shared" si="1"/>
        <v>31</v>
      </c>
      <c r="E6646" s="13">
        <f t="shared" si="2"/>
        <v>17</v>
      </c>
    </row>
    <row r="6647">
      <c r="A6647" s="4" t="s">
        <v>7294</v>
      </c>
      <c r="B6647" s="16"/>
      <c r="C6647" s="12">
        <f>IFERROR(__xludf.DUMMYFUNCTION("""COMPUTED_VALUE"""),44651.66190972222)</f>
        <v>44651.66191</v>
      </c>
      <c r="D6647" s="13">
        <f t="shared" si="1"/>
        <v>31</v>
      </c>
      <c r="E6647" s="13">
        <f t="shared" si="2"/>
        <v>15</v>
      </c>
    </row>
    <row r="6648">
      <c r="A6648" s="4" t="s">
        <v>7295</v>
      </c>
      <c r="B6648" s="16"/>
      <c r="C6648" s="12">
        <f>IFERROR(__xludf.DUMMYFUNCTION("""COMPUTED_VALUE"""),44651.661898148144)</f>
        <v>44651.6619</v>
      </c>
      <c r="D6648" s="13">
        <f t="shared" si="1"/>
        <v>31</v>
      </c>
      <c r="E6648" s="13">
        <f t="shared" si="2"/>
        <v>15</v>
      </c>
    </row>
    <row r="6649">
      <c r="A6649" s="4" t="s">
        <v>7296</v>
      </c>
      <c r="B6649" s="16"/>
      <c r="C6649" s="12">
        <f>IFERROR(__xludf.DUMMYFUNCTION("""COMPUTED_VALUE"""),44651.6615625)</f>
        <v>44651.66156</v>
      </c>
      <c r="D6649" s="13">
        <f t="shared" si="1"/>
        <v>31</v>
      </c>
      <c r="E6649" s="13">
        <f t="shared" si="2"/>
        <v>15</v>
      </c>
    </row>
    <row r="6650">
      <c r="A6650" s="4" t="s">
        <v>7297</v>
      </c>
      <c r="B6650" s="16"/>
      <c r="C6650" s="12">
        <f>IFERROR(__xludf.DUMMYFUNCTION("""COMPUTED_VALUE"""),44651.66107638889)</f>
        <v>44651.66108</v>
      </c>
      <c r="D6650" s="13">
        <f t="shared" si="1"/>
        <v>31</v>
      </c>
      <c r="E6650" s="13">
        <f t="shared" si="2"/>
        <v>15</v>
      </c>
    </row>
    <row r="6651">
      <c r="A6651" s="4" t="s">
        <v>7298</v>
      </c>
      <c r="B6651" s="16"/>
      <c r="C6651" s="12">
        <f>IFERROR(__xludf.DUMMYFUNCTION("""COMPUTED_VALUE"""),44651.66069444444)</f>
        <v>44651.66069</v>
      </c>
      <c r="D6651" s="13">
        <f t="shared" si="1"/>
        <v>31</v>
      </c>
      <c r="E6651" s="13">
        <f t="shared" si="2"/>
        <v>15</v>
      </c>
    </row>
    <row r="6652">
      <c r="A6652" s="4" t="s">
        <v>7299</v>
      </c>
      <c r="B6652" s="16"/>
      <c r="C6652" s="12">
        <f>IFERROR(__xludf.DUMMYFUNCTION("""COMPUTED_VALUE"""),44651.66033564814)</f>
        <v>44651.66034</v>
      </c>
      <c r="D6652" s="13">
        <f t="shared" si="1"/>
        <v>31</v>
      </c>
      <c r="E6652" s="13">
        <f t="shared" si="2"/>
        <v>15</v>
      </c>
    </row>
    <row r="6653">
      <c r="A6653" s="4" t="s">
        <v>7300</v>
      </c>
      <c r="B6653" s="16"/>
      <c r="C6653" s="12">
        <f>IFERROR(__xludf.DUMMYFUNCTION("""COMPUTED_VALUE"""),44651.65993055555)</f>
        <v>44651.65993</v>
      </c>
      <c r="D6653" s="13">
        <f t="shared" si="1"/>
        <v>31</v>
      </c>
      <c r="E6653" s="13">
        <f t="shared" si="2"/>
        <v>15</v>
      </c>
    </row>
    <row r="6654">
      <c r="A6654" s="4" t="s">
        <v>7301</v>
      </c>
      <c r="B6654" s="16"/>
      <c r="C6654" s="12">
        <f>IFERROR(__xludf.DUMMYFUNCTION("""COMPUTED_VALUE"""),44651.65954861111)</f>
        <v>44651.65955</v>
      </c>
      <c r="D6654" s="13">
        <f t="shared" si="1"/>
        <v>31</v>
      </c>
      <c r="E6654" s="13">
        <f t="shared" si="2"/>
        <v>15</v>
      </c>
    </row>
    <row r="6655">
      <c r="A6655" s="4" t="s">
        <v>7302</v>
      </c>
      <c r="B6655" s="16"/>
      <c r="C6655" s="12">
        <f>IFERROR(__xludf.DUMMYFUNCTION("""COMPUTED_VALUE"""),44651.65908564815)</f>
        <v>44651.65909</v>
      </c>
      <c r="D6655" s="13">
        <f t="shared" si="1"/>
        <v>31</v>
      </c>
      <c r="E6655" s="13">
        <f t="shared" si="2"/>
        <v>15</v>
      </c>
    </row>
    <row r="6656">
      <c r="A6656" s="4" t="s">
        <v>7303</v>
      </c>
      <c r="B6656" s="16"/>
      <c r="C6656" s="12">
        <f>IFERROR(__xludf.DUMMYFUNCTION("""COMPUTED_VALUE"""),44651.65871527777)</f>
        <v>44651.65872</v>
      </c>
      <c r="D6656" s="13">
        <f t="shared" si="1"/>
        <v>31</v>
      </c>
      <c r="E6656" s="13">
        <f t="shared" si="2"/>
        <v>15</v>
      </c>
    </row>
    <row r="6657">
      <c r="A6657" s="4" t="s">
        <v>7304</v>
      </c>
      <c r="B6657" s="16"/>
      <c r="C6657" s="12">
        <f>IFERROR(__xludf.DUMMYFUNCTION("""COMPUTED_VALUE"""),44651.65802083333)</f>
        <v>44651.65802</v>
      </c>
      <c r="D6657" s="13">
        <f t="shared" si="1"/>
        <v>31</v>
      </c>
      <c r="E6657" s="13">
        <f t="shared" si="2"/>
        <v>15</v>
      </c>
    </row>
    <row r="6658">
      <c r="A6658" s="4" t="s">
        <v>7305</v>
      </c>
      <c r="B6658" s="16"/>
      <c r="C6658" s="12">
        <f>IFERROR(__xludf.DUMMYFUNCTION("""COMPUTED_VALUE"""),44651.65747685185)</f>
        <v>44651.65748</v>
      </c>
      <c r="D6658" s="13">
        <f t="shared" si="1"/>
        <v>31</v>
      </c>
      <c r="E6658" s="13">
        <f t="shared" si="2"/>
        <v>15</v>
      </c>
    </row>
    <row r="6659">
      <c r="A6659" s="4" t="s">
        <v>7306</v>
      </c>
      <c r="B6659" s="16"/>
      <c r="C6659" s="12">
        <f>IFERROR(__xludf.DUMMYFUNCTION("""COMPUTED_VALUE"""),44651.65734953703)</f>
        <v>44651.65735</v>
      </c>
      <c r="D6659" s="13">
        <f t="shared" si="1"/>
        <v>31</v>
      </c>
      <c r="E6659" s="13">
        <f t="shared" si="2"/>
        <v>15</v>
      </c>
    </row>
    <row r="6660">
      <c r="A6660" s="4" t="s">
        <v>7306</v>
      </c>
      <c r="B6660" s="16"/>
      <c r="C6660" s="12">
        <f>IFERROR(__xludf.DUMMYFUNCTION("""COMPUTED_VALUE"""),44651.65734953703)</f>
        <v>44651.65735</v>
      </c>
      <c r="D6660" s="13">
        <f t="shared" si="1"/>
        <v>31</v>
      </c>
      <c r="E6660" s="13">
        <f t="shared" si="2"/>
        <v>15</v>
      </c>
    </row>
    <row r="6661">
      <c r="A6661" s="4" t="s">
        <v>7307</v>
      </c>
      <c r="B6661" s="16"/>
      <c r="C6661" s="12">
        <f>IFERROR(__xludf.DUMMYFUNCTION("""COMPUTED_VALUE"""),44651.65730324074)</f>
        <v>44651.6573</v>
      </c>
      <c r="D6661" s="13">
        <f t="shared" si="1"/>
        <v>31</v>
      </c>
      <c r="E6661" s="13">
        <f t="shared" si="2"/>
        <v>15</v>
      </c>
    </row>
    <row r="6662">
      <c r="A6662" s="4" t="s">
        <v>7308</v>
      </c>
      <c r="B6662" s="16"/>
      <c r="C6662" s="12">
        <f>IFERROR(__xludf.DUMMYFUNCTION("""COMPUTED_VALUE"""),44651.63612268518)</f>
        <v>44651.63612</v>
      </c>
      <c r="D6662" s="13">
        <f t="shared" si="1"/>
        <v>31</v>
      </c>
      <c r="E6662" s="13">
        <f t="shared" si="2"/>
        <v>15</v>
      </c>
    </row>
    <row r="6663">
      <c r="A6663" s="4" t="s">
        <v>7309</v>
      </c>
      <c r="B6663" s="16"/>
      <c r="C6663" s="12">
        <f>IFERROR(__xludf.DUMMYFUNCTION("""COMPUTED_VALUE"""),44651.63542824074)</f>
        <v>44651.63543</v>
      </c>
      <c r="D6663" s="13">
        <f t="shared" si="1"/>
        <v>31</v>
      </c>
      <c r="E6663" s="13">
        <f t="shared" si="2"/>
        <v>15</v>
      </c>
    </row>
    <row r="6664">
      <c r="A6664" s="4" t="s">
        <v>7310</v>
      </c>
      <c r="B6664" s="16"/>
      <c r="C6664" s="12">
        <f>IFERROR(__xludf.DUMMYFUNCTION("""COMPUTED_VALUE"""),44651.63476851852)</f>
        <v>44651.63477</v>
      </c>
      <c r="D6664" s="13">
        <f t="shared" si="1"/>
        <v>31</v>
      </c>
      <c r="E6664" s="13">
        <f t="shared" si="2"/>
        <v>15</v>
      </c>
    </row>
    <row r="6665">
      <c r="A6665" s="4" t="s">
        <v>7311</v>
      </c>
      <c r="B6665" s="16"/>
      <c r="C6665" s="12">
        <f>IFERROR(__xludf.DUMMYFUNCTION("""COMPUTED_VALUE"""),44651.595821759256)</f>
        <v>44651.59582</v>
      </c>
      <c r="D6665" s="13">
        <f t="shared" si="1"/>
        <v>31</v>
      </c>
      <c r="E6665" s="13">
        <f t="shared" si="2"/>
        <v>14</v>
      </c>
    </row>
    <row r="6666">
      <c r="A6666" s="4" t="s">
        <v>7312</v>
      </c>
      <c r="B6666" s="16"/>
      <c r="C6666" s="12">
        <f>IFERROR(__xludf.DUMMYFUNCTION("""COMPUTED_VALUE"""),44651.593564814815)</f>
        <v>44651.59356</v>
      </c>
      <c r="D6666" s="13">
        <f t="shared" si="1"/>
        <v>31</v>
      </c>
      <c r="E6666" s="13">
        <f t="shared" si="2"/>
        <v>14</v>
      </c>
    </row>
    <row r="6667">
      <c r="A6667" s="4" t="s">
        <v>7313</v>
      </c>
      <c r="B6667" s="16"/>
      <c r="C6667" s="12">
        <f>IFERROR(__xludf.DUMMYFUNCTION("""COMPUTED_VALUE"""),44651.592777777776)</f>
        <v>44651.59278</v>
      </c>
      <c r="D6667" s="13">
        <f t="shared" si="1"/>
        <v>31</v>
      </c>
      <c r="E6667" s="13">
        <f t="shared" si="2"/>
        <v>14</v>
      </c>
    </row>
    <row r="6668">
      <c r="A6668" s="4" t="s">
        <v>7314</v>
      </c>
      <c r="B6668" s="16"/>
      <c r="C6668" s="12">
        <f>IFERROR(__xludf.DUMMYFUNCTION("""COMPUTED_VALUE"""),44651.59233796296)</f>
        <v>44651.59234</v>
      </c>
      <c r="D6668" s="13">
        <f t="shared" si="1"/>
        <v>31</v>
      </c>
      <c r="E6668" s="13">
        <f t="shared" si="2"/>
        <v>14</v>
      </c>
    </row>
    <row r="6669">
      <c r="A6669" s="4" t="s">
        <v>7315</v>
      </c>
      <c r="B6669" s="16"/>
      <c r="C6669" s="12">
        <f>IFERROR(__xludf.DUMMYFUNCTION("""COMPUTED_VALUE"""),44651.591782407406)</f>
        <v>44651.59178</v>
      </c>
      <c r="D6669" s="13">
        <f t="shared" si="1"/>
        <v>31</v>
      </c>
      <c r="E6669" s="13">
        <f t="shared" si="2"/>
        <v>14</v>
      </c>
    </row>
    <row r="6670">
      <c r="A6670" s="4" t="s">
        <v>7316</v>
      </c>
      <c r="B6670" s="16"/>
      <c r="C6670" s="12">
        <f>IFERROR(__xludf.DUMMYFUNCTION("""COMPUTED_VALUE"""),44651.59106481481)</f>
        <v>44651.59106</v>
      </c>
      <c r="D6670" s="13">
        <f t="shared" si="1"/>
        <v>31</v>
      </c>
      <c r="E6670" s="13">
        <f t="shared" si="2"/>
        <v>14</v>
      </c>
    </row>
    <row r="6671">
      <c r="A6671" s="4" t="s">
        <v>7317</v>
      </c>
      <c r="B6671" s="16"/>
      <c r="C6671" s="12">
        <f>IFERROR(__xludf.DUMMYFUNCTION("""COMPUTED_VALUE"""),44651.59049768518)</f>
        <v>44651.5905</v>
      </c>
      <c r="D6671" s="13">
        <f t="shared" si="1"/>
        <v>31</v>
      </c>
      <c r="E6671" s="13">
        <f t="shared" si="2"/>
        <v>14</v>
      </c>
    </row>
    <row r="6672">
      <c r="A6672" s="4" t="s">
        <v>7318</v>
      </c>
      <c r="B6672" s="16"/>
      <c r="C6672" s="12">
        <f>IFERROR(__xludf.DUMMYFUNCTION("""COMPUTED_VALUE"""),44651.59006944444)</f>
        <v>44651.59007</v>
      </c>
      <c r="D6672" s="13">
        <f t="shared" si="1"/>
        <v>31</v>
      </c>
      <c r="E6672" s="13">
        <f t="shared" si="2"/>
        <v>14</v>
      </c>
    </row>
    <row r="6673">
      <c r="A6673" s="4" t="s">
        <v>7319</v>
      </c>
      <c r="B6673" s="16"/>
      <c r="C6673" s="12">
        <f>IFERROR(__xludf.DUMMYFUNCTION("""COMPUTED_VALUE"""),44651.581412037034)</f>
        <v>44651.58141</v>
      </c>
      <c r="D6673" s="13">
        <f t="shared" si="1"/>
        <v>31</v>
      </c>
      <c r="E6673" s="13">
        <f t="shared" si="2"/>
        <v>13</v>
      </c>
    </row>
    <row r="6674">
      <c r="A6674" s="4" t="s">
        <v>7320</v>
      </c>
      <c r="B6674" s="16"/>
      <c r="C6674" s="12">
        <f>IFERROR(__xludf.DUMMYFUNCTION("""COMPUTED_VALUE"""),44651.57197916666)</f>
        <v>44651.57198</v>
      </c>
      <c r="D6674" s="13">
        <f t="shared" si="1"/>
        <v>31</v>
      </c>
      <c r="E6674" s="13">
        <f t="shared" si="2"/>
        <v>13</v>
      </c>
    </row>
    <row r="6675">
      <c r="A6675" s="4" t="s">
        <v>7321</v>
      </c>
      <c r="B6675" s="16"/>
      <c r="C6675" s="12">
        <f>IFERROR(__xludf.DUMMYFUNCTION("""COMPUTED_VALUE"""),44651.56417824074)</f>
        <v>44651.56418</v>
      </c>
      <c r="D6675" s="13">
        <f t="shared" si="1"/>
        <v>31</v>
      </c>
      <c r="E6675" s="13">
        <f t="shared" si="2"/>
        <v>13</v>
      </c>
    </row>
    <row r="6676">
      <c r="A6676" s="4" t="s">
        <v>7322</v>
      </c>
      <c r="B6676" s="16"/>
      <c r="C6676" s="12">
        <f>IFERROR(__xludf.DUMMYFUNCTION("""COMPUTED_VALUE"""),44651.56383101852)</f>
        <v>44651.56383</v>
      </c>
      <c r="D6676" s="13">
        <f t="shared" si="1"/>
        <v>31</v>
      </c>
      <c r="E6676" s="13">
        <f t="shared" si="2"/>
        <v>13</v>
      </c>
    </row>
    <row r="6677">
      <c r="A6677" s="4" t="s">
        <v>7323</v>
      </c>
      <c r="B6677" s="16"/>
      <c r="C6677" s="12">
        <f>IFERROR(__xludf.DUMMYFUNCTION("""COMPUTED_VALUE"""),44651.56309027778)</f>
        <v>44651.56309</v>
      </c>
      <c r="D6677" s="13">
        <f t="shared" si="1"/>
        <v>31</v>
      </c>
      <c r="E6677" s="13">
        <f t="shared" si="2"/>
        <v>13</v>
      </c>
    </row>
    <row r="6678">
      <c r="A6678" s="4" t="s">
        <v>7324</v>
      </c>
      <c r="B6678" s="16"/>
      <c r="C6678" s="12">
        <f>IFERROR(__xludf.DUMMYFUNCTION("""COMPUTED_VALUE"""),44651.56255787037)</f>
        <v>44651.56256</v>
      </c>
      <c r="D6678" s="13">
        <f t="shared" si="1"/>
        <v>31</v>
      </c>
      <c r="E6678" s="13">
        <f t="shared" si="2"/>
        <v>13</v>
      </c>
    </row>
    <row r="6679">
      <c r="A6679" s="4" t="s">
        <v>7325</v>
      </c>
      <c r="B6679" s="16"/>
      <c r="C6679" s="12">
        <f>IFERROR(__xludf.DUMMYFUNCTION("""COMPUTED_VALUE"""),44651.56210648148)</f>
        <v>44651.56211</v>
      </c>
      <c r="D6679" s="13">
        <f t="shared" si="1"/>
        <v>31</v>
      </c>
      <c r="E6679" s="13">
        <f t="shared" si="2"/>
        <v>13</v>
      </c>
    </row>
    <row r="6680">
      <c r="A6680" s="4" t="s">
        <v>7326</v>
      </c>
      <c r="B6680" s="16"/>
      <c r="C6680" s="12">
        <f>IFERROR(__xludf.DUMMYFUNCTION("""COMPUTED_VALUE"""),44651.56162037037)</f>
        <v>44651.56162</v>
      </c>
      <c r="D6680" s="13">
        <f t="shared" si="1"/>
        <v>31</v>
      </c>
      <c r="E6680" s="13">
        <f t="shared" si="2"/>
        <v>13</v>
      </c>
    </row>
    <row r="6681">
      <c r="A6681" s="4" t="s">
        <v>7327</v>
      </c>
      <c r="B6681" s="16"/>
      <c r="C6681" s="12">
        <f>IFERROR(__xludf.DUMMYFUNCTION("""COMPUTED_VALUE"""),44651.561215277776)</f>
        <v>44651.56122</v>
      </c>
      <c r="D6681" s="13">
        <f t="shared" si="1"/>
        <v>31</v>
      </c>
      <c r="E6681" s="13">
        <f t="shared" si="2"/>
        <v>13</v>
      </c>
    </row>
    <row r="6682">
      <c r="A6682" s="4" t="s">
        <v>7328</v>
      </c>
      <c r="B6682" s="16"/>
      <c r="C6682" s="12">
        <f>IFERROR(__xludf.DUMMYFUNCTION("""COMPUTED_VALUE"""),44651.5577662037)</f>
        <v>44651.55777</v>
      </c>
      <c r="D6682" s="13">
        <f t="shared" si="1"/>
        <v>31</v>
      </c>
      <c r="E6682" s="13">
        <f t="shared" si="2"/>
        <v>13</v>
      </c>
    </row>
    <row r="6683">
      <c r="A6683" s="4" t="s">
        <v>7329</v>
      </c>
      <c r="B6683" s="16"/>
      <c r="C6683" s="12">
        <f>IFERROR(__xludf.DUMMYFUNCTION("""COMPUTED_VALUE"""),44651.553819444445)</f>
        <v>44651.55382</v>
      </c>
      <c r="D6683" s="13">
        <f t="shared" si="1"/>
        <v>31</v>
      </c>
      <c r="E6683" s="13">
        <f t="shared" si="2"/>
        <v>13</v>
      </c>
    </row>
    <row r="6684">
      <c r="A6684" s="4" t="s">
        <v>7330</v>
      </c>
      <c r="B6684" s="16"/>
      <c r="C6684" s="12">
        <f>IFERROR(__xludf.DUMMYFUNCTION("""COMPUTED_VALUE"""),44651.5534375)</f>
        <v>44651.55344</v>
      </c>
      <c r="D6684" s="13">
        <f t="shared" si="1"/>
        <v>31</v>
      </c>
      <c r="E6684" s="13">
        <f t="shared" si="2"/>
        <v>13</v>
      </c>
    </row>
    <row r="6685">
      <c r="A6685" s="4" t="s">
        <v>7331</v>
      </c>
      <c r="B6685" s="16"/>
      <c r="C6685" s="12">
        <f>IFERROR(__xludf.DUMMYFUNCTION("""COMPUTED_VALUE"""),44651.55262731481)</f>
        <v>44651.55263</v>
      </c>
      <c r="D6685" s="13">
        <f t="shared" si="1"/>
        <v>31</v>
      </c>
      <c r="E6685" s="13">
        <f t="shared" si="2"/>
        <v>13</v>
      </c>
    </row>
    <row r="6686">
      <c r="A6686" s="4" t="s">
        <v>7332</v>
      </c>
      <c r="B6686" s="16"/>
      <c r="C6686" s="12">
        <f>IFERROR(__xludf.DUMMYFUNCTION("""COMPUTED_VALUE"""),44651.55233796296)</f>
        <v>44651.55234</v>
      </c>
      <c r="D6686" s="13">
        <f t="shared" si="1"/>
        <v>31</v>
      </c>
      <c r="E6686" s="13">
        <f t="shared" si="2"/>
        <v>13</v>
      </c>
    </row>
    <row r="6687">
      <c r="A6687" s="4" t="s">
        <v>7333</v>
      </c>
      <c r="B6687" s="16"/>
      <c r="C6687" s="12">
        <f>IFERROR(__xludf.DUMMYFUNCTION("""COMPUTED_VALUE"""),44651.55231481481)</f>
        <v>44651.55231</v>
      </c>
      <c r="D6687" s="13">
        <f t="shared" si="1"/>
        <v>31</v>
      </c>
      <c r="E6687" s="13">
        <f t="shared" si="2"/>
        <v>13</v>
      </c>
    </row>
    <row r="6688">
      <c r="A6688" s="4" t="s">
        <v>7334</v>
      </c>
      <c r="B6688" s="16"/>
      <c r="C6688" s="12">
        <f>IFERROR(__xludf.DUMMYFUNCTION("""COMPUTED_VALUE"""),44651.55224537037)</f>
        <v>44651.55225</v>
      </c>
      <c r="D6688" s="13">
        <f t="shared" si="1"/>
        <v>31</v>
      </c>
      <c r="E6688" s="13">
        <f t="shared" si="2"/>
        <v>13</v>
      </c>
    </row>
    <row r="6689">
      <c r="A6689" s="4" t="s">
        <v>7335</v>
      </c>
      <c r="B6689" s="16"/>
      <c r="C6689" s="12">
        <f>IFERROR(__xludf.DUMMYFUNCTION("""COMPUTED_VALUE"""),44651.552210648144)</f>
        <v>44651.55221</v>
      </c>
      <c r="D6689" s="13">
        <f t="shared" si="1"/>
        <v>31</v>
      </c>
      <c r="E6689" s="13">
        <f t="shared" si="2"/>
        <v>13</v>
      </c>
    </row>
    <row r="6690">
      <c r="A6690" s="4" t="s">
        <v>7336</v>
      </c>
      <c r="B6690" s="16"/>
      <c r="C6690" s="12">
        <f>IFERROR(__xludf.DUMMYFUNCTION("""COMPUTED_VALUE"""),44651.55045138889)</f>
        <v>44651.55045</v>
      </c>
      <c r="D6690" s="13">
        <f t="shared" si="1"/>
        <v>31</v>
      </c>
      <c r="E6690" s="13">
        <f t="shared" si="2"/>
        <v>13</v>
      </c>
    </row>
    <row r="6691">
      <c r="A6691" s="4" t="s">
        <v>7337</v>
      </c>
      <c r="B6691" s="16"/>
      <c r="C6691" s="12">
        <f>IFERROR(__xludf.DUMMYFUNCTION("""COMPUTED_VALUE"""),44651.54498842592)</f>
        <v>44651.54499</v>
      </c>
      <c r="D6691" s="13">
        <f t="shared" si="1"/>
        <v>31</v>
      </c>
      <c r="E6691" s="13">
        <f t="shared" si="2"/>
        <v>13</v>
      </c>
    </row>
    <row r="6692">
      <c r="A6692" s="4" t="s">
        <v>7338</v>
      </c>
      <c r="B6692" s="16"/>
      <c r="C6692" s="12">
        <f>IFERROR(__xludf.DUMMYFUNCTION("""COMPUTED_VALUE"""),44651.54405092592)</f>
        <v>44651.54405</v>
      </c>
      <c r="D6692" s="13">
        <f t="shared" si="1"/>
        <v>31</v>
      </c>
      <c r="E6692" s="13">
        <f t="shared" si="2"/>
        <v>13</v>
      </c>
    </row>
    <row r="6693">
      <c r="A6693" s="4" t="s">
        <v>7339</v>
      </c>
      <c r="B6693" s="16"/>
      <c r="C6693" s="12">
        <f>IFERROR(__xludf.DUMMYFUNCTION("""COMPUTED_VALUE"""),44651.543553240735)</f>
        <v>44651.54355</v>
      </c>
      <c r="D6693" s="13">
        <f t="shared" si="1"/>
        <v>31</v>
      </c>
      <c r="E6693" s="13">
        <f t="shared" si="2"/>
        <v>13</v>
      </c>
    </row>
    <row r="6694">
      <c r="A6694" s="4" t="s">
        <v>7340</v>
      </c>
      <c r="B6694" s="16"/>
      <c r="C6694" s="12">
        <f>IFERROR(__xludf.DUMMYFUNCTION("""COMPUTED_VALUE"""),44651.54314814814)</f>
        <v>44651.54315</v>
      </c>
      <c r="D6694" s="13">
        <f t="shared" si="1"/>
        <v>31</v>
      </c>
      <c r="E6694" s="13">
        <f t="shared" si="2"/>
        <v>13</v>
      </c>
    </row>
    <row r="6695">
      <c r="A6695" s="4" t="s">
        <v>7341</v>
      </c>
      <c r="B6695" s="16"/>
      <c r="C6695" s="12">
        <f>IFERROR(__xludf.DUMMYFUNCTION("""COMPUTED_VALUE"""),44651.542604166665)</f>
        <v>44651.5426</v>
      </c>
      <c r="D6695" s="13">
        <f t="shared" si="1"/>
        <v>31</v>
      </c>
      <c r="E6695" s="13">
        <f t="shared" si="2"/>
        <v>13</v>
      </c>
    </row>
    <row r="6696">
      <c r="A6696" s="4" t="s">
        <v>7342</v>
      </c>
      <c r="B6696" s="16"/>
      <c r="C6696" s="12">
        <f>IFERROR(__xludf.DUMMYFUNCTION("""COMPUTED_VALUE"""),44651.542233796295)</f>
        <v>44651.54223</v>
      </c>
      <c r="D6696" s="13">
        <f t="shared" si="1"/>
        <v>31</v>
      </c>
      <c r="E6696" s="13">
        <f t="shared" si="2"/>
        <v>13</v>
      </c>
    </row>
    <row r="6697">
      <c r="A6697" s="4" t="s">
        <v>7343</v>
      </c>
      <c r="B6697" s="16"/>
      <c r="C6697" s="12">
        <f>IFERROR(__xludf.DUMMYFUNCTION("""COMPUTED_VALUE"""),44651.54185185185)</f>
        <v>44651.54185</v>
      </c>
      <c r="D6697" s="13">
        <f t="shared" si="1"/>
        <v>31</v>
      </c>
      <c r="E6697" s="13">
        <f t="shared" si="2"/>
        <v>13</v>
      </c>
    </row>
    <row r="6698">
      <c r="A6698" s="4" t="s">
        <v>7344</v>
      </c>
      <c r="B6698" s="16"/>
      <c r="C6698" s="12">
        <f>IFERROR(__xludf.DUMMYFUNCTION("""COMPUTED_VALUE"""),44651.5414699074)</f>
        <v>44651.54147</v>
      </c>
      <c r="D6698" s="13">
        <f t="shared" si="1"/>
        <v>31</v>
      </c>
      <c r="E6698" s="13">
        <f t="shared" si="2"/>
        <v>12</v>
      </c>
    </row>
    <row r="6699">
      <c r="A6699" s="4" t="s">
        <v>7345</v>
      </c>
      <c r="B6699" s="16"/>
      <c r="C6699" s="12">
        <f>IFERROR(__xludf.DUMMYFUNCTION("""COMPUTED_VALUE"""),44651.54100694444)</f>
        <v>44651.54101</v>
      </c>
      <c r="D6699" s="13">
        <f t="shared" si="1"/>
        <v>31</v>
      </c>
      <c r="E6699" s="13">
        <f t="shared" si="2"/>
        <v>12</v>
      </c>
    </row>
    <row r="6700">
      <c r="A6700" s="4" t="s">
        <v>7346</v>
      </c>
      <c r="B6700" s="16"/>
      <c r="C6700" s="12">
        <f>IFERROR(__xludf.DUMMYFUNCTION("""COMPUTED_VALUE"""),44651.54063657407)</f>
        <v>44651.54064</v>
      </c>
      <c r="D6700" s="13">
        <f t="shared" si="1"/>
        <v>31</v>
      </c>
      <c r="E6700" s="13">
        <f t="shared" si="2"/>
        <v>12</v>
      </c>
    </row>
    <row r="6701">
      <c r="A6701" s="4" t="s">
        <v>7347</v>
      </c>
      <c r="B6701" s="16"/>
      <c r="C6701" s="12">
        <f>IFERROR(__xludf.DUMMYFUNCTION("""COMPUTED_VALUE"""),44651.540254629625)</f>
        <v>44651.54025</v>
      </c>
      <c r="D6701" s="13">
        <f t="shared" si="1"/>
        <v>31</v>
      </c>
      <c r="E6701" s="13">
        <f t="shared" si="2"/>
        <v>12</v>
      </c>
    </row>
    <row r="6702">
      <c r="A6702" s="4" t="s">
        <v>7348</v>
      </c>
      <c r="B6702" s="16"/>
      <c r="C6702" s="12">
        <f>IFERROR(__xludf.DUMMYFUNCTION("""COMPUTED_VALUE"""),44651.53939814815)</f>
        <v>44651.5394</v>
      </c>
      <c r="D6702" s="13">
        <f t="shared" si="1"/>
        <v>31</v>
      </c>
      <c r="E6702" s="13">
        <f t="shared" si="2"/>
        <v>12</v>
      </c>
    </row>
    <row r="6703">
      <c r="A6703" s="4" t="s">
        <v>7349</v>
      </c>
      <c r="B6703" s="16"/>
      <c r="C6703" s="12">
        <f>IFERROR(__xludf.DUMMYFUNCTION("""COMPUTED_VALUE"""),44651.53879629629)</f>
        <v>44651.5388</v>
      </c>
      <c r="D6703" s="13">
        <f t="shared" si="1"/>
        <v>31</v>
      </c>
      <c r="E6703" s="13">
        <f t="shared" si="2"/>
        <v>12</v>
      </c>
    </row>
    <row r="6704">
      <c r="A6704" s="4" t="s">
        <v>7350</v>
      </c>
      <c r="B6704" s="16"/>
      <c r="C6704" s="12">
        <f>IFERROR(__xludf.DUMMYFUNCTION("""COMPUTED_VALUE"""),44651.52998842592)</f>
        <v>44651.52999</v>
      </c>
      <c r="D6704" s="13">
        <f t="shared" si="1"/>
        <v>31</v>
      </c>
      <c r="E6704" s="13">
        <f t="shared" si="2"/>
        <v>12</v>
      </c>
    </row>
    <row r="6705">
      <c r="A6705" s="4" t="s">
        <v>7351</v>
      </c>
      <c r="B6705" s="16"/>
      <c r="C6705" s="12">
        <f>IFERROR(__xludf.DUMMYFUNCTION("""COMPUTED_VALUE"""),44651.5255324074)</f>
        <v>44651.52553</v>
      </c>
      <c r="D6705" s="13">
        <f t="shared" si="1"/>
        <v>31</v>
      </c>
      <c r="E6705" s="13">
        <f t="shared" si="2"/>
        <v>12</v>
      </c>
    </row>
    <row r="6706">
      <c r="A6706" s="4" t="s">
        <v>7352</v>
      </c>
      <c r="B6706" s="16"/>
      <c r="C6706" s="12">
        <f>IFERROR(__xludf.DUMMYFUNCTION("""COMPUTED_VALUE"""),44651.51184027777)</f>
        <v>44651.51184</v>
      </c>
      <c r="D6706" s="13">
        <f t="shared" si="1"/>
        <v>31</v>
      </c>
      <c r="E6706" s="13">
        <f t="shared" si="2"/>
        <v>12</v>
      </c>
    </row>
    <row r="6707">
      <c r="A6707" s="4" t="s">
        <v>7353</v>
      </c>
      <c r="B6707" s="16"/>
      <c r="C6707" s="12">
        <f>IFERROR(__xludf.DUMMYFUNCTION("""COMPUTED_VALUE"""),44651.51136574074)</f>
        <v>44651.51137</v>
      </c>
      <c r="D6707" s="13">
        <f t="shared" si="1"/>
        <v>31</v>
      </c>
      <c r="E6707" s="13">
        <f t="shared" si="2"/>
        <v>12</v>
      </c>
    </row>
    <row r="6708">
      <c r="A6708" s="4" t="s">
        <v>7354</v>
      </c>
      <c r="B6708" s="16"/>
      <c r="C6708" s="12">
        <f>IFERROR(__xludf.DUMMYFUNCTION("""COMPUTED_VALUE"""),44651.51060185185)</f>
        <v>44651.5106</v>
      </c>
      <c r="D6708" s="13">
        <f t="shared" si="1"/>
        <v>31</v>
      </c>
      <c r="E6708" s="13">
        <f t="shared" si="2"/>
        <v>12</v>
      </c>
    </row>
    <row r="6709">
      <c r="A6709" s="4" t="s">
        <v>7355</v>
      </c>
      <c r="B6709" s="16"/>
      <c r="C6709" s="12">
        <f>IFERROR(__xludf.DUMMYFUNCTION("""COMPUTED_VALUE"""),44651.510150462964)</f>
        <v>44651.51015</v>
      </c>
      <c r="D6709" s="13">
        <f t="shared" si="1"/>
        <v>31</v>
      </c>
      <c r="E6709" s="13">
        <f t="shared" si="2"/>
        <v>12</v>
      </c>
    </row>
    <row r="6710">
      <c r="A6710" s="4" t="s">
        <v>7356</v>
      </c>
      <c r="B6710" s="16"/>
      <c r="C6710" s="12">
        <f>IFERROR(__xludf.DUMMYFUNCTION("""COMPUTED_VALUE"""),44651.50943287037)</f>
        <v>44651.50943</v>
      </c>
      <c r="D6710" s="13">
        <f t="shared" si="1"/>
        <v>31</v>
      </c>
      <c r="E6710" s="13">
        <f t="shared" si="2"/>
        <v>12</v>
      </c>
    </row>
    <row r="6711">
      <c r="A6711" s="4" t="s">
        <v>7357</v>
      </c>
      <c r="B6711" s="16"/>
      <c r="C6711" s="12">
        <f>IFERROR(__xludf.DUMMYFUNCTION("""COMPUTED_VALUE"""),44651.50840277778)</f>
        <v>44651.5084</v>
      </c>
      <c r="D6711" s="13">
        <f t="shared" si="1"/>
        <v>31</v>
      </c>
      <c r="E6711" s="13">
        <f t="shared" si="2"/>
        <v>12</v>
      </c>
    </row>
    <row r="6712">
      <c r="A6712" s="4" t="s">
        <v>7358</v>
      </c>
      <c r="B6712" s="16"/>
      <c r="C6712" s="12">
        <f>IFERROR(__xludf.DUMMYFUNCTION("""COMPUTED_VALUE"""),44651.50788194444)</f>
        <v>44651.50788</v>
      </c>
      <c r="D6712" s="13">
        <f t="shared" si="1"/>
        <v>31</v>
      </c>
      <c r="E6712" s="13">
        <f t="shared" si="2"/>
        <v>12</v>
      </c>
    </row>
    <row r="6713">
      <c r="A6713" s="4" t="s">
        <v>7359</v>
      </c>
      <c r="B6713" s="16"/>
      <c r="C6713" s="12">
        <f>IFERROR(__xludf.DUMMYFUNCTION("""COMPUTED_VALUE"""),44651.50734953704)</f>
        <v>44651.50735</v>
      </c>
      <c r="D6713" s="13">
        <f t="shared" si="1"/>
        <v>31</v>
      </c>
      <c r="E6713" s="13">
        <f t="shared" si="2"/>
        <v>12</v>
      </c>
    </row>
    <row r="6714">
      <c r="A6714" s="4" t="s">
        <v>7360</v>
      </c>
      <c r="B6714" s="16"/>
      <c r="C6714" s="12">
        <f>IFERROR(__xludf.DUMMYFUNCTION("""COMPUTED_VALUE"""),44651.50696759259)</f>
        <v>44651.50697</v>
      </c>
      <c r="D6714" s="13">
        <f t="shared" si="1"/>
        <v>31</v>
      </c>
      <c r="E6714" s="13">
        <f t="shared" si="2"/>
        <v>12</v>
      </c>
    </row>
    <row r="6715">
      <c r="A6715" s="4" t="s">
        <v>7361</v>
      </c>
      <c r="B6715" s="16"/>
      <c r="C6715" s="12">
        <f>IFERROR(__xludf.DUMMYFUNCTION("""COMPUTED_VALUE"""),44651.50657407407)</f>
        <v>44651.50657</v>
      </c>
      <c r="D6715" s="13">
        <f t="shared" si="1"/>
        <v>31</v>
      </c>
      <c r="E6715" s="13">
        <f t="shared" si="2"/>
        <v>12</v>
      </c>
    </row>
    <row r="6716">
      <c r="A6716" s="4" t="s">
        <v>7362</v>
      </c>
      <c r="B6716" s="16"/>
      <c r="C6716" s="12">
        <f>IFERROR(__xludf.DUMMYFUNCTION("""COMPUTED_VALUE"""),44651.50619212963)</f>
        <v>44651.50619</v>
      </c>
      <c r="D6716" s="13">
        <f t="shared" si="1"/>
        <v>31</v>
      </c>
      <c r="E6716" s="13">
        <f t="shared" si="2"/>
        <v>12</v>
      </c>
    </row>
    <row r="6717">
      <c r="A6717" s="4" t="s">
        <v>7363</v>
      </c>
      <c r="B6717" s="16"/>
      <c r="C6717" s="12">
        <f>IFERROR(__xludf.DUMMYFUNCTION("""COMPUTED_VALUE"""),44651.50581018518)</f>
        <v>44651.50581</v>
      </c>
      <c r="D6717" s="13">
        <f t="shared" si="1"/>
        <v>31</v>
      </c>
      <c r="E6717" s="13">
        <f t="shared" si="2"/>
        <v>12</v>
      </c>
    </row>
    <row r="6718">
      <c r="A6718" s="4" t="s">
        <v>7364</v>
      </c>
      <c r="B6718" s="16"/>
      <c r="C6718" s="12">
        <f>IFERROR(__xludf.DUMMYFUNCTION("""COMPUTED_VALUE"""),44651.50535879629)</f>
        <v>44651.50536</v>
      </c>
      <c r="D6718" s="13">
        <f t="shared" si="1"/>
        <v>31</v>
      </c>
      <c r="E6718" s="13">
        <f t="shared" si="2"/>
        <v>12</v>
      </c>
    </row>
    <row r="6719">
      <c r="A6719" s="4" t="s">
        <v>7365</v>
      </c>
      <c r="B6719" s="16"/>
      <c r="C6719" s="12">
        <f>IFERROR(__xludf.DUMMYFUNCTION("""COMPUTED_VALUE"""),44651.505277777775)</f>
        <v>44651.50528</v>
      </c>
      <c r="D6719" s="13">
        <f t="shared" si="1"/>
        <v>31</v>
      </c>
      <c r="E6719" s="13">
        <f t="shared" si="2"/>
        <v>12</v>
      </c>
    </row>
    <row r="6720">
      <c r="A6720" s="4" t="s">
        <v>7366</v>
      </c>
      <c r="B6720" s="16"/>
      <c r="C6720" s="12">
        <f>IFERROR(__xludf.DUMMYFUNCTION("""COMPUTED_VALUE"""),44651.50497685185)</f>
        <v>44651.50498</v>
      </c>
      <c r="D6720" s="13">
        <f t="shared" si="1"/>
        <v>31</v>
      </c>
      <c r="E6720" s="13">
        <f t="shared" si="2"/>
        <v>12</v>
      </c>
    </row>
    <row r="6721">
      <c r="A6721" s="4" t="s">
        <v>7367</v>
      </c>
      <c r="B6721" s="16"/>
      <c r="C6721" s="12">
        <f>IFERROR(__xludf.DUMMYFUNCTION("""COMPUTED_VALUE"""),44651.50438657407)</f>
        <v>44651.50439</v>
      </c>
      <c r="D6721" s="13">
        <f t="shared" si="1"/>
        <v>31</v>
      </c>
      <c r="E6721" s="13">
        <f t="shared" si="2"/>
        <v>12</v>
      </c>
    </row>
    <row r="6722">
      <c r="A6722" s="4" t="s">
        <v>7368</v>
      </c>
      <c r="B6722" s="16"/>
      <c r="C6722" s="12">
        <f>IFERROR(__xludf.DUMMYFUNCTION("""COMPUTED_VALUE"""),44651.50399305555)</f>
        <v>44651.50399</v>
      </c>
      <c r="D6722" s="13">
        <f t="shared" si="1"/>
        <v>31</v>
      </c>
      <c r="E6722" s="13">
        <f t="shared" si="2"/>
        <v>12</v>
      </c>
    </row>
    <row r="6723">
      <c r="A6723" s="4" t="s">
        <v>7369</v>
      </c>
      <c r="B6723" s="16"/>
      <c r="C6723" s="12">
        <f>IFERROR(__xludf.DUMMYFUNCTION("""COMPUTED_VALUE"""),44651.50336805555)</f>
        <v>44651.50337</v>
      </c>
      <c r="D6723" s="13">
        <f t="shared" si="1"/>
        <v>31</v>
      </c>
      <c r="E6723" s="13">
        <f t="shared" si="2"/>
        <v>12</v>
      </c>
    </row>
    <row r="6724">
      <c r="A6724" s="4" t="s">
        <v>7370</v>
      </c>
      <c r="B6724" s="16"/>
      <c r="C6724" s="12">
        <f>IFERROR(__xludf.DUMMYFUNCTION("""COMPUTED_VALUE"""),44651.50282407407)</f>
        <v>44651.50282</v>
      </c>
      <c r="D6724" s="13">
        <f t="shared" si="1"/>
        <v>31</v>
      </c>
      <c r="E6724" s="13">
        <f t="shared" si="2"/>
        <v>12</v>
      </c>
    </row>
    <row r="6725">
      <c r="A6725" s="4" t="s">
        <v>7371</v>
      </c>
      <c r="B6725" s="16"/>
      <c r="C6725" s="12">
        <f>IFERROR(__xludf.DUMMYFUNCTION("""COMPUTED_VALUE"""),44651.50228009259)</f>
        <v>44651.50228</v>
      </c>
      <c r="D6725" s="13">
        <f t="shared" si="1"/>
        <v>31</v>
      </c>
      <c r="E6725" s="13">
        <f t="shared" si="2"/>
        <v>12</v>
      </c>
    </row>
    <row r="6726">
      <c r="A6726" s="4" t="s">
        <v>7372</v>
      </c>
      <c r="B6726" s="16"/>
      <c r="C6726" s="12">
        <f>IFERROR(__xludf.DUMMYFUNCTION("""COMPUTED_VALUE"""),44651.50189814815)</f>
        <v>44651.5019</v>
      </c>
      <c r="D6726" s="13">
        <f t="shared" si="1"/>
        <v>31</v>
      </c>
      <c r="E6726" s="13">
        <f t="shared" si="2"/>
        <v>12</v>
      </c>
    </row>
    <row r="6727">
      <c r="A6727" s="4" t="s">
        <v>7373</v>
      </c>
      <c r="B6727" s="16"/>
      <c r="C6727" s="12">
        <f>IFERROR(__xludf.DUMMYFUNCTION("""COMPUTED_VALUE"""),44651.5015162037)</f>
        <v>44651.50152</v>
      </c>
      <c r="D6727" s="13">
        <f t="shared" si="1"/>
        <v>31</v>
      </c>
      <c r="E6727" s="13">
        <f t="shared" si="2"/>
        <v>12</v>
      </c>
    </row>
    <row r="6728">
      <c r="A6728" s="4" t="s">
        <v>7374</v>
      </c>
      <c r="B6728" s="16"/>
      <c r="C6728" s="12">
        <f>IFERROR(__xludf.DUMMYFUNCTION("""COMPUTED_VALUE"""),44651.50108796296)</f>
        <v>44651.50109</v>
      </c>
      <c r="D6728" s="13">
        <f t="shared" si="1"/>
        <v>31</v>
      </c>
      <c r="E6728" s="13">
        <f t="shared" si="2"/>
        <v>12</v>
      </c>
    </row>
    <row r="6729">
      <c r="A6729" s="4" t="s">
        <v>7375</v>
      </c>
      <c r="B6729" s="16"/>
      <c r="C6729" s="12">
        <f>IFERROR(__xludf.DUMMYFUNCTION("""COMPUTED_VALUE"""),44651.50065972222)</f>
        <v>44651.50066</v>
      </c>
      <c r="D6729" s="13">
        <f t="shared" si="1"/>
        <v>31</v>
      </c>
      <c r="E6729" s="13">
        <f t="shared" si="2"/>
        <v>12</v>
      </c>
    </row>
    <row r="6730">
      <c r="A6730" s="4" t="s">
        <v>7376</v>
      </c>
      <c r="B6730" s="16"/>
      <c r="C6730" s="12">
        <f>IFERROR(__xludf.DUMMYFUNCTION("""COMPUTED_VALUE"""),44651.500625)</f>
        <v>44651.50063</v>
      </c>
      <c r="D6730" s="13">
        <f t="shared" si="1"/>
        <v>31</v>
      </c>
      <c r="E6730" s="13">
        <f t="shared" si="2"/>
        <v>12</v>
      </c>
    </row>
    <row r="6731">
      <c r="A6731" s="4" t="s">
        <v>7377</v>
      </c>
      <c r="B6731" s="16"/>
      <c r="C6731" s="12">
        <f>IFERROR(__xludf.DUMMYFUNCTION("""COMPUTED_VALUE"""),44651.50048611111)</f>
        <v>44651.50049</v>
      </c>
      <c r="D6731" s="13">
        <f t="shared" si="1"/>
        <v>31</v>
      </c>
      <c r="E6731" s="13">
        <f t="shared" si="2"/>
        <v>12</v>
      </c>
    </row>
    <row r="6732">
      <c r="A6732" s="4" t="s">
        <v>7378</v>
      </c>
      <c r="B6732" s="16"/>
      <c r="C6732" s="12">
        <f>IFERROR(__xludf.DUMMYFUNCTION("""COMPUTED_VALUE"""),44651.50001157407)</f>
        <v>44651.50001</v>
      </c>
      <c r="D6732" s="13">
        <f t="shared" si="1"/>
        <v>31</v>
      </c>
      <c r="E6732" s="13">
        <f t="shared" si="2"/>
        <v>12</v>
      </c>
    </row>
    <row r="6733">
      <c r="A6733" s="4" t="s">
        <v>7379</v>
      </c>
      <c r="B6733" s="16"/>
      <c r="C6733" s="12">
        <f>IFERROR(__xludf.DUMMYFUNCTION("""COMPUTED_VALUE"""),44651.499131944445)</f>
        <v>44651.49913</v>
      </c>
      <c r="D6733" s="13">
        <f t="shared" si="1"/>
        <v>31</v>
      </c>
      <c r="E6733" s="13">
        <f t="shared" si="2"/>
        <v>11</v>
      </c>
    </row>
    <row r="6734">
      <c r="A6734" s="4" t="s">
        <v>7380</v>
      </c>
      <c r="B6734" s="16"/>
      <c r="C6734" s="12">
        <f>IFERROR(__xludf.DUMMYFUNCTION("""COMPUTED_VALUE"""),44651.499027777776)</f>
        <v>44651.49903</v>
      </c>
      <c r="D6734" s="13">
        <f t="shared" si="1"/>
        <v>31</v>
      </c>
      <c r="E6734" s="13">
        <f t="shared" si="2"/>
        <v>11</v>
      </c>
    </row>
    <row r="6735">
      <c r="A6735" s="4" t="s">
        <v>7381</v>
      </c>
      <c r="B6735" s="16"/>
      <c r="C6735" s="12">
        <f>IFERROR(__xludf.DUMMYFUNCTION("""COMPUTED_VALUE"""),44651.498506944445)</f>
        <v>44651.49851</v>
      </c>
      <c r="D6735" s="13">
        <f t="shared" si="1"/>
        <v>31</v>
      </c>
      <c r="E6735" s="13">
        <f t="shared" si="2"/>
        <v>11</v>
      </c>
    </row>
    <row r="6736">
      <c r="A6736" s="4" t="s">
        <v>7382</v>
      </c>
      <c r="B6736" s="16"/>
      <c r="C6736" s="12">
        <f>IFERROR(__xludf.DUMMYFUNCTION("""COMPUTED_VALUE"""),44651.498136574075)</f>
        <v>44651.49814</v>
      </c>
      <c r="D6736" s="13">
        <f t="shared" si="1"/>
        <v>31</v>
      </c>
      <c r="E6736" s="13">
        <f t="shared" si="2"/>
        <v>11</v>
      </c>
    </row>
    <row r="6737">
      <c r="A6737" s="4" t="s">
        <v>7383</v>
      </c>
      <c r="B6737" s="16"/>
      <c r="C6737" s="12">
        <f>IFERROR(__xludf.DUMMYFUNCTION("""COMPUTED_VALUE"""),44651.4977662037)</f>
        <v>44651.49777</v>
      </c>
      <c r="D6737" s="13">
        <f t="shared" si="1"/>
        <v>31</v>
      </c>
      <c r="E6737" s="13">
        <f t="shared" si="2"/>
        <v>11</v>
      </c>
    </row>
    <row r="6738">
      <c r="A6738" s="4" t="s">
        <v>7384</v>
      </c>
      <c r="B6738" s="16"/>
      <c r="C6738" s="12">
        <f>IFERROR(__xludf.DUMMYFUNCTION("""COMPUTED_VALUE"""),44651.49738425926)</f>
        <v>44651.49738</v>
      </c>
      <c r="D6738" s="13">
        <f t="shared" si="1"/>
        <v>31</v>
      </c>
      <c r="E6738" s="13">
        <f t="shared" si="2"/>
        <v>11</v>
      </c>
    </row>
    <row r="6739">
      <c r="A6739" s="4" t="s">
        <v>7385</v>
      </c>
      <c r="B6739" s="16"/>
      <c r="C6739" s="12">
        <f>IFERROR(__xludf.DUMMYFUNCTION("""COMPUTED_VALUE"""),44651.496979166666)</f>
        <v>44651.49698</v>
      </c>
      <c r="D6739" s="13">
        <f t="shared" si="1"/>
        <v>31</v>
      </c>
      <c r="E6739" s="13">
        <f t="shared" si="2"/>
        <v>11</v>
      </c>
    </row>
    <row r="6740">
      <c r="A6740" s="4" t="s">
        <v>7386</v>
      </c>
      <c r="B6740" s="16"/>
      <c r="C6740" s="12">
        <f>IFERROR(__xludf.DUMMYFUNCTION("""COMPUTED_VALUE"""),44651.49659722222)</f>
        <v>44651.4966</v>
      </c>
      <c r="D6740" s="13">
        <f t="shared" si="1"/>
        <v>31</v>
      </c>
      <c r="E6740" s="13">
        <f t="shared" si="2"/>
        <v>11</v>
      </c>
    </row>
    <row r="6741">
      <c r="A6741" s="4" t="s">
        <v>7387</v>
      </c>
      <c r="B6741" s="16"/>
      <c r="C6741" s="12">
        <f>IFERROR(__xludf.DUMMYFUNCTION("""COMPUTED_VALUE"""),44651.496157407404)</f>
        <v>44651.49616</v>
      </c>
      <c r="D6741" s="13">
        <f t="shared" si="1"/>
        <v>31</v>
      </c>
      <c r="E6741" s="13">
        <f t="shared" si="2"/>
        <v>11</v>
      </c>
    </row>
    <row r="6742">
      <c r="A6742" s="4" t="s">
        <v>7388</v>
      </c>
      <c r="B6742" s="16"/>
      <c r="C6742" s="12">
        <f>IFERROR(__xludf.DUMMYFUNCTION("""COMPUTED_VALUE"""),44651.49577546296)</f>
        <v>44651.49578</v>
      </c>
      <c r="D6742" s="13">
        <f t="shared" si="1"/>
        <v>31</v>
      </c>
      <c r="E6742" s="13">
        <f t="shared" si="2"/>
        <v>11</v>
      </c>
    </row>
    <row r="6743">
      <c r="A6743" s="4" t="s">
        <v>7389</v>
      </c>
      <c r="B6743" s="16"/>
      <c r="C6743" s="12">
        <f>IFERROR(__xludf.DUMMYFUNCTION("""COMPUTED_VALUE"""),44651.49538194444)</f>
        <v>44651.49538</v>
      </c>
      <c r="D6743" s="13">
        <f t="shared" si="1"/>
        <v>31</v>
      </c>
      <c r="E6743" s="13">
        <f t="shared" si="2"/>
        <v>11</v>
      </c>
    </row>
    <row r="6744">
      <c r="A6744" s="4" t="s">
        <v>7390</v>
      </c>
      <c r="B6744" s="16"/>
      <c r="C6744" s="12">
        <f>IFERROR(__xludf.DUMMYFUNCTION("""COMPUTED_VALUE"""),44651.49491898148)</f>
        <v>44651.49492</v>
      </c>
      <c r="D6744" s="13">
        <f t="shared" si="1"/>
        <v>31</v>
      </c>
      <c r="E6744" s="13">
        <f t="shared" si="2"/>
        <v>11</v>
      </c>
    </row>
    <row r="6745">
      <c r="A6745" s="4" t="s">
        <v>7391</v>
      </c>
      <c r="B6745" s="16"/>
      <c r="C6745" s="12">
        <f>IFERROR(__xludf.DUMMYFUNCTION("""COMPUTED_VALUE"""),44651.49444444444)</f>
        <v>44651.49444</v>
      </c>
      <c r="D6745" s="13">
        <f t="shared" si="1"/>
        <v>31</v>
      </c>
      <c r="E6745" s="13">
        <f t="shared" si="2"/>
        <v>11</v>
      </c>
    </row>
    <row r="6746">
      <c r="A6746" s="4" t="s">
        <v>7392</v>
      </c>
      <c r="B6746" s="16"/>
      <c r="C6746" s="12">
        <f>IFERROR(__xludf.DUMMYFUNCTION("""COMPUTED_VALUE"""),44651.49395833333)</f>
        <v>44651.49396</v>
      </c>
      <c r="D6746" s="13">
        <f t="shared" si="1"/>
        <v>31</v>
      </c>
      <c r="E6746" s="13">
        <f t="shared" si="2"/>
        <v>11</v>
      </c>
    </row>
    <row r="6747">
      <c r="A6747" s="4" t="s">
        <v>7393</v>
      </c>
      <c r="B6747" s="16"/>
      <c r="C6747" s="12">
        <f>IFERROR(__xludf.DUMMYFUNCTION("""COMPUTED_VALUE"""),44651.49356481481)</f>
        <v>44651.49356</v>
      </c>
      <c r="D6747" s="13">
        <f t="shared" si="1"/>
        <v>31</v>
      </c>
      <c r="E6747" s="13">
        <f t="shared" si="2"/>
        <v>11</v>
      </c>
    </row>
    <row r="6748">
      <c r="A6748" s="4" t="s">
        <v>7394</v>
      </c>
      <c r="B6748" s="16"/>
      <c r="C6748" s="12">
        <f>IFERROR(__xludf.DUMMYFUNCTION("""COMPUTED_VALUE"""),44651.49318287037)</f>
        <v>44651.49318</v>
      </c>
      <c r="D6748" s="13">
        <f t="shared" si="1"/>
        <v>31</v>
      </c>
      <c r="E6748" s="13">
        <f t="shared" si="2"/>
        <v>11</v>
      </c>
    </row>
    <row r="6749">
      <c r="A6749" s="4" t="s">
        <v>7395</v>
      </c>
      <c r="B6749" s="16"/>
      <c r="C6749" s="12">
        <f>IFERROR(__xludf.DUMMYFUNCTION("""COMPUTED_VALUE"""),44651.492754629624)</f>
        <v>44651.49275</v>
      </c>
      <c r="D6749" s="13">
        <f t="shared" si="1"/>
        <v>31</v>
      </c>
      <c r="E6749" s="13">
        <f t="shared" si="2"/>
        <v>11</v>
      </c>
    </row>
    <row r="6750">
      <c r="A6750" s="4" t="s">
        <v>7396</v>
      </c>
      <c r="B6750" s="16"/>
      <c r="C6750" s="12">
        <f>IFERROR(__xludf.DUMMYFUNCTION("""COMPUTED_VALUE"""),44651.49236111111)</f>
        <v>44651.49236</v>
      </c>
      <c r="D6750" s="13">
        <f t="shared" si="1"/>
        <v>31</v>
      </c>
      <c r="E6750" s="13">
        <f t="shared" si="2"/>
        <v>11</v>
      </c>
    </row>
    <row r="6751">
      <c r="A6751" s="4" t="s">
        <v>7397</v>
      </c>
      <c r="B6751" s="16"/>
      <c r="C6751" s="12">
        <f>IFERROR(__xludf.DUMMYFUNCTION("""COMPUTED_VALUE"""),44651.49199074074)</f>
        <v>44651.49199</v>
      </c>
      <c r="D6751" s="13">
        <f t="shared" si="1"/>
        <v>31</v>
      </c>
      <c r="E6751" s="13">
        <f t="shared" si="2"/>
        <v>11</v>
      </c>
    </row>
    <row r="6752">
      <c r="A6752" s="4" t="s">
        <v>7398</v>
      </c>
      <c r="B6752" s="16"/>
      <c r="C6752" s="12">
        <f>IFERROR(__xludf.DUMMYFUNCTION("""COMPUTED_VALUE"""),44651.49159722222)</f>
        <v>44651.4916</v>
      </c>
      <c r="D6752" s="13">
        <f t="shared" si="1"/>
        <v>31</v>
      </c>
      <c r="E6752" s="13">
        <f t="shared" si="2"/>
        <v>11</v>
      </c>
    </row>
    <row r="6753">
      <c r="A6753" s="4" t="s">
        <v>7399</v>
      </c>
      <c r="B6753" s="16"/>
      <c r="C6753" s="12">
        <f>IFERROR(__xludf.DUMMYFUNCTION("""COMPUTED_VALUE"""),44651.491122685184)</f>
        <v>44651.49112</v>
      </c>
      <c r="D6753" s="13">
        <f t="shared" si="1"/>
        <v>31</v>
      </c>
      <c r="E6753" s="13">
        <f t="shared" si="2"/>
        <v>11</v>
      </c>
    </row>
    <row r="6754">
      <c r="A6754" s="4" t="s">
        <v>7400</v>
      </c>
      <c r="B6754" s="16"/>
      <c r="C6754" s="12">
        <f>IFERROR(__xludf.DUMMYFUNCTION("""COMPUTED_VALUE"""),44651.49071759259)</f>
        <v>44651.49072</v>
      </c>
      <c r="D6754" s="13">
        <f t="shared" si="1"/>
        <v>31</v>
      </c>
      <c r="E6754" s="13">
        <f t="shared" si="2"/>
        <v>11</v>
      </c>
    </row>
    <row r="6755">
      <c r="A6755" s="4" t="s">
        <v>7401</v>
      </c>
      <c r="B6755" s="16"/>
      <c r="C6755" s="12">
        <f>IFERROR(__xludf.DUMMYFUNCTION("""COMPUTED_VALUE"""),44651.490173611106)</f>
        <v>44651.49017</v>
      </c>
      <c r="D6755" s="13">
        <f t="shared" si="1"/>
        <v>31</v>
      </c>
      <c r="E6755" s="13">
        <f t="shared" si="2"/>
        <v>11</v>
      </c>
    </row>
    <row r="6756">
      <c r="A6756" s="4" t="s">
        <v>7402</v>
      </c>
      <c r="B6756" s="16"/>
      <c r="C6756" s="12">
        <f>IFERROR(__xludf.DUMMYFUNCTION("""COMPUTED_VALUE"""),44651.48978009259)</f>
        <v>44651.48978</v>
      </c>
      <c r="D6756" s="13">
        <f t="shared" si="1"/>
        <v>31</v>
      </c>
      <c r="E6756" s="13">
        <f t="shared" si="2"/>
        <v>11</v>
      </c>
    </row>
    <row r="6757">
      <c r="A6757" s="4" t="s">
        <v>7403</v>
      </c>
      <c r="B6757" s="16"/>
      <c r="C6757" s="12">
        <f>IFERROR(__xludf.DUMMYFUNCTION("""COMPUTED_VALUE"""),44651.48940972222)</f>
        <v>44651.48941</v>
      </c>
      <c r="D6757" s="13">
        <f t="shared" si="1"/>
        <v>31</v>
      </c>
      <c r="E6757" s="13">
        <f t="shared" si="2"/>
        <v>11</v>
      </c>
    </row>
    <row r="6758">
      <c r="A6758" s="4" t="s">
        <v>7404</v>
      </c>
      <c r="B6758" s="16"/>
      <c r="C6758" s="12">
        <f>IFERROR(__xludf.DUMMYFUNCTION("""COMPUTED_VALUE"""),44651.48894675926)</f>
        <v>44651.48895</v>
      </c>
      <c r="D6758" s="13">
        <f t="shared" si="1"/>
        <v>31</v>
      </c>
      <c r="E6758" s="13">
        <f t="shared" si="2"/>
        <v>11</v>
      </c>
    </row>
    <row r="6759">
      <c r="A6759" s="4" t="s">
        <v>7405</v>
      </c>
      <c r="B6759" s="16"/>
      <c r="C6759" s="12">
        <f>IFERROR(__xludf.DUMMYFUNCTION("""COMPUTED_VALUE"""),44651.48831018518)</f>
        <v>44651.48831</v>
      </c>
      <c r="D6759" s="13">
        <f t="shared" si="1"/>
        <v>31</v>
      </c>
      <c r="E6759" s="13">
        <f t="shared" si="2"/>
        <v>11</v>
      </c>
    </row>
    <row r="6760">
      <c r="A6760" s="4" t="s">
        <v>7406</v>
      </c>
      <c r="B6760" s="16"/>
      <c r="C6760" s="12">
        <f>IFERROR(__xludf.DUMMYFUNCTION("""COMPUTED_VALUE"""),44651.4877662037)</f>
        <v>44651.48777</v>
      </c>
      <c r="D6760" s="13">
        <f t="shared" si="1"/>
        <v>31</v>
      </c>
      <c r="E6760" s="13">
        <f t="shared" si="2"/>
        <v>11</v>
      </c>
    </row>
    <row r="6761">
      <c r="A6761" s="4" t="s">
        <v>7406</v>
      </c>
      <c r="B6761" s="16"/>
      <c r="C6761" s="12">
        <f>IFERROR(__xludf.DUMMYFUNCTION("""COMPUTED_VALUE"""),44651.4877662037)</f>
        <v>44651.48777</v>
      </c>
      <c r="D6761" s="13">
        <f t="shared" si="1"/>
        <v>31</v>
      </c>
      <c r="E6761" s="13">
        <f t="shared" si="2"/>
        <v>11</v>
      </c>
    </row>
    <row r="6762">
      <c r="A6762" s="4" t="s">
        <v>7407</v>
      </c>
      <c r="B6762" s="4" t="s">
        <v>7408</v>
      </c>
      <c r="C6762" s="12">
        <f>IFERROR(__xludf.DUMMYFUNCTION("""COMPUTED_VALUE"""),44651.48523148148)</f>
        <v>44651.48523</v>
      </c>
      <c r="D6762" s="13">
        <f t="shared" si="1"/>
        <v>31</v>
      </c>
      <c r="E6762" s="13">
        <f t="shared" si="2"/>
        <v>11</v>
      </c>
    </row>
    <row r="6763">
      <c r="A6763" s="4" t="s">
        <v>7409</v>
      </c>
      <c r="B6763" s="16"/>
      <c r="C6763" s="12">
        <f>IFERROR(__xludf.DUMMYFUNCTION("""COMPUTED_VALUE"""),44651.48480324074)</f>
        <v>44651.4848</v>
      </c>
      <c r="D6763" s="13">
        <f t="shared" si="1"/>
        <v>31</v>
      </c>
      <c r="E6763" s="13">
        <f t="shared" si="2"/>
        <v>11</v>
      </c>
    </row>
    <row r="6764">
      <c r="A6764" s="4" t="s">
        <v>7410</v>
      </c>
      <c r="B6764" s="4" t="s">
        <v>7408</v>
      </c>
      <c r="C6764" s="12">
        <f>IFERROR(__xludf.DUMMYFUNCTION("""COMPUTED_VALUE"""),44651.483518518515)</f>
        <v>44651.48352</v>
      </c>
      <c r="D6764" s="13">
        <f t="shared" si="1"/>
        <v>31</v>
      </c>
      <c r="E6764" s="13">
        <f t="shared" si="2"/>
        <v>11</v>
      </c>
    </row>
    <row r="6765">
      <c r="A6765" s="4" t="s">
        <v>7411</v>
      </c>
      <c r="B6765" s="16"/>
      <c r="C6765" s="12">
        <f>IFERROR(__xludf.DUMMYFUNCTION("""COMPUTED_VALUE"""),44651.48190972222)</f>
        <v>44651.48191</v>
      </c>
      <c r="D6765" s="13">
        <f t="shared" si="1"/>
        <v>31</v>
      </c>
      <c r="E6765" s="13">
        <f t="shared" si="2"/>
        <v>11</v>
      </c>
    </row>
    <row r="6766">
      <c r="A6766" s="4" t="s">
        <v>7412</v>
      </c>
      <c r="B6766" s="16"/>
      <c r="C6766" s="12">
        <f>IFERROR(__xludf.DUMMYFUNCTION("""COMPUTED_VALUE"""),44651.47770833333)</f>
        <v>44651.47771</v>
      </c>
      <c r="D6766" s="13">
        <f t="shared" si="1"/>
        <v>31</v>
      </c>
      <c r="E6766" s="13">
        <f t="shared" si="2"/>
        <v>11</v>
      </c>
    </row>
    <row r="6767">
      <c r="A6767" s="4" t="s">
        <v>7412</v>
      </c>
      <c r="B6767" s="16"/>
      <c r="C6767" s="12">
        <f>IFERROR(__xludf.DUMMYFUNCTION("""COMPUTED_VALUE"""),44651.47770833333)</f>
        <v>44651.47771</v>
      </c>
      <c r="D6767" s="13">
        <f t="shared" si="1"/>
        <v>31</v>
      </c>
      <c r="E6767" s="13">
        <f t="shared" si="2"/>
        <v>11</v>
      </c>
    </row>
    <row r="6768">
      <c r="A6768" s="4" t="s">
        <v>7413</v>
      </c>
      <c r="B6768" s="16"/>
      <c r="C6768" s="12">
        <f>IFERROR(__xludf.DUMMYFUNCTION("""COMPUTED_VALUE"""),44651.47699074074)</f>
        <v>44651.47699</v>
      </c>
      <c r="D6768" s="13">
        <f t="shared" si="1"/>
        <v>31</v>
      </c>
      <c r="E6768" s="13">
        <f t="shared" si="2"/>
        <v>11</v>
      </c>
    </row>
    <row r="6769">
      <c r="A6769" s="4" t="s">
        <v>7414</v>
      </c>
      <c r="B6769" s="16"/>
      <c r="C6769" s="12">
        <f>IFERROR(__xludf.DUMMYFUNCTION("""COMPUTED_VALUE"""),44651.47697916666)</f>
        <v>44651.47698</v>
      </c>
      <c r="D6769" s="13">
        <f t="shared" si="1"/>
        <v>31</v>
      </c>
      <c r="E6769" s="13">
        <f t="shared" si="2"/>
        <v>11</v>
      </c>
    </row>
    <row r="6770">
      <c r="A6770" s="4" t="s">
        <v>7415</v>
      </c>
      <c r="B6770" s="16"/>
      <c r="C6770" s="12">
        <f>IFERROR(__xludf.DUMMYFUNCTION("""COMPUTED_VALUE"""),44651.47096064815)</f>
        <v>44651.47096</v>
      </c>
      <c r="D6770" s="13">
        <f t="shared" si="1"/>
        <v>31</v>
      </c>
      <c r="E6770" s="13">
        <f t="shared" si="2"/>
        <v>11</v>
      </c>
    </row>
    <row r="6771">
      <c r="A6771" s="4" t="s">
        <v>7416</v>
      </c>
      <c r="B6771" s="16"/>
      <c r="C6771" s="12">
        <f>IFERROR(__xludf.DUMMYFUNCTION("""COMPUTED_VALUE"""),44651.45552083333)</f>
        <v>44651.45552</v>
      </c>
      <c r="D6771" s="13">
        <f t="shared" si="1"/>
        <v>31</v>
      </c>
      <c r="E6771" s="13">
        <f t="shared" si="2"/>
        <v>10</v>
      </c>
    </row>
    <row r="6772">
      <c r="A6772" s="4" t="s">
        <v>7417</v>
      </c>
      <c r="B6772" s="16"/>
      <c r="C6772" s="12">
        <f>IFERROR(__xludf.DUMMYFUNCTION("""COMPUTED_VALUE"""),44651.45251157407)</f>
        <v>44651.45251</v>
      </c>
      <c r="D6772" s="13">
        <f t="shared" si="1"/>
        <v>31</v>
      </c>
      <c r="E6772" s="13">
        <f t="shared" si="2"/>
        <v>10</v>
      </c>
    </row>
    <row r="6773">
      <c r="A6773" s="4" t="s">
        <v>7418</v>
      </c>
      <c r="B6773" s="16"/>
      <c r="C6773" s="12">
        <f>IFERROR(__xludf.DUMMYFUNCTION("""COMPUTED_VALUE"""),44651.44736111111)</f>
        <v>44651.44736</v>
      </c>
      <c r="D6773" s="13">
        <f t="shared" si="1"/>
        <v>31</v>
      </c>
      <c r="E6773" s="13">
        <f t="shared" si="2"/>
        <v>10</v>
      </c>
    </row>
    <row r="6774">
      <c r="A6774" s="4" t="s">
        <v>7419</v>
      </c>
      <c r="B6774" s="16"/>
      <c r="C6774" s="12">
        <f>IFERROR(__xludf.DUMMYFUNCTION("""COMPUTED_VALUE"""),44651.44734953703)</f>
        <v>44651.44735</v>
      </c>
      <c r="D6774" s="13">
        <f t="shared" si="1"/>
        <v>31</v>
      </c>
      <c r="E6774" s="13">
        <f t="shared" si="2"/>
        <v>10</v>
      </c>
    </row>
    <row r="6775">
      <c r="A6775" s="4" t="s">
        <v>7420</v>
      </c>
      <c r="B6775" s="16"/>
      <c r="C6775" s="12">
        <f>IFERROR(__xludf.DUMMYFUNCTION("""COMPUTED_VALUE"""),44651.4468287037)</f>
        <v>44651.44683</v>
      </c>
      <c r="D6775" s="13">
        <f t="shared" si="1"/>
        <v>31</v>
      </c>
      <c r="E6775" s="13">
        <f t="shared" si="2"/>
        <v>10</v>
      </c>
    </row>
    <row r="6776">
      <c r="A6776" s="4" t="s">
        <v>7421</v>
      </c>
      <c r="B6776" s="16"/>
      <c r="C6776" s="12">
        <f>IFERROR(__xludf.DUMMYFUNCTION("""COMPUTED_VALUE"""),44651.446817129625)</f>
        <v>44651.44682</v>
      </c>
      <c r="D6776" s="13">
        <f t="shared" si="1"/>
        <v>31</v>
      </c>
      <c r="E6776" s="13">
        <f t="shared" si="2"/>
        <v>10</v>
      </c>
    </row>
    <row r="6777">
      <c r="A6777" s="4" t="s">
        <v>7422</v>
      </c>
      <c r="B6777" s="16"/>
      <c r="C6777" s="12">
        <f>IFERROR(__xludf.DUMMYFUNCTION("""COMPUTED_VALUE"""),44651.445925925924)</f>
        <v>44651.44593</v>
      </c>
      <c r="D6777" s="13">
        <f t="shared" si="1"/>
        <v>31</v>
      </c>
      <c r="E6777" s="13">
        <f t="shared" si="2"/>
        <v>10</v>
      </c>
    </row>
    <row r="6778">
      <c r="A6778" s="4" t="s">
        <v>7423</v>
      </c>
      <c r="B6778" s="16"/>
      <c r="C6778" s="12">
        <f>IFERROR(__xludf.DUMMYFUNCTION("""COMPUTED_VALUE"""),44651.44561342592)</f>
        <v>44651.44561</v>
      </c>
      <c r="D6778" s="13">
        <f t="shared" si="1"/>
        <v>31</v>
      </c>
      <c r="E6778" s="13">
        <f t="shared" si="2"/>
        <v>10</v>
      </c>
    </row>
    <row r="6779">
      <c r="A6779" s="4" t="s">
        <v>7424</v>
      </c>
      <c r="B6779" s="16"/>
      <c r="C6779" s="12">
        <f>IFERROR(__xludf.DUMMYFUNCTION("""COMPUTED_VALUE"""),44651.44560185185)</f>
        <v>44651.4456</v>
      </c>
      <c r="D6779" s="13">
        <f t="shared" si="1"/>
        <v>31</v>
      </c>
      <c r="E6779" s="13">
        <f t="shared" si="2"/>
        <v>10</v>
      </c>
    </row>
    <row r="6780">
      <c r="A6780" s="4" t="s">
        <v>7425</v>
      </c>
      <c r="B6780" s="16"/>
      <c r="C6780" s="12">
        <f>IFERROR(__xludf.DUMMYFUNCTION("""COMPUTED_VALUE"""),44651.44384259259)</f>
        <v>44651.44384</v>
      </c>
      <c r="D6780" s="13">
        <f t="shared" si="1"/>
        <v>31</v>
      </c>
      <c r="E6780" s="13">
        <f t="shared" si="2"/>
        <v>10</v>
      </c>
    </row>
    <row r="6781">
      <c r="A6781" s="4" t="s">
        <v>7426</v>
      </c>
      <c r="B6781" s="16"/>
      <c r="C6781" s="12">
        <f>IFERROR(__xludf.DUMMYFUNCTION("""COMPUTED_VALUE"""),44651.44040509259)</f>
        <v>44651.44041</v>
      </c>
      <c r="D6781" s="13">
        <f t="shared" si="1"/>
        <v>31</v>
      </c>
      <c r="E6781" s="13">
        <f t="shared" si="2"/>
        <v>10</v>
      </c>
    </row>
    <row r="6782">
      <c r="A6782" s="4" t="s">
        <v>7427</v>
      </c>
      <c r="B6782" s="16"/>
      <c r="C6782" s="12">
        <f>IFERROR(__xludf.DUMMYFUNCTION("""COMPUTED_VALUE"""),44651.42962962963)</f>
        <v>44651.42963</v>
      </c>
      <c r="D6782" s="13">
        <f t="shared" si="1"/>
        <v>31</v>
      </c>
      <c r="E6782" s="13">
        <f t="shared" si="2"/>
        <v>10</v>
      </c>
    </row>
    <row r="6783">
      <c r="A6783" s="4" t="s">
        <v>7427</v>
      </c>
      <c r="B6783" s="16"/>
      <c r="C6783" s="12">
        <f>IFERROR(__xludf.DUMMYFUNCTION("""COMPUTED_VALUE"""),44651.42962962963)</f>
        <v>44651.42963</v>
      </c>
      <c r="D6783" s="13">
        <f t="shared" si="1"/>
        <v>31</v>
      </c>
      <c r="E6783" s="13">
        <f t="shared" si="2"/>
        <v>10</v>
      </c>
    </row>
    <row r="6784">
      <c r="A6784" s="4" t="s">
        <v>7428</v>
      </c>
      <c r="B6784" s="16"/>
      <c r="C6784" s="12">
        <f>IFERROR(__xludf.DUMMYFUNCTION("""COMPUTED_VALUE"""),44651.428668981476)</f>
        <v>44651.42867</v>
      </c>
      <c r="D6784" s="13">
        <f t="shared" si="1"/>
        <v>31</v>
      </c>
      <c r="E6784" s="13">
        <f t="shared" si="2"/>
        <v>10</v>
      </c>
    </row>
    <row r="6785">
      <c r="A6785" s="4" t="s">
        <v>7429</v>
      </c>
      <c r="B6785" s="16"/>
      <c r="C6785" s="12">
        <f>IFERROR(__xludf.DUMMYFUNCTION("""COMPUTED_VALUE"""),44651.42864583333)</f>
        <v>44651.42865</v>
      </c>
      <c r="D6785" s="13">
        <f t="shared" si="1"/>
        <v>31</v>
      </c>
      <c r="E6785" s="13">
        <f t="shared" si="2"/>
        <v>10</v>
      </c>
    </row>
    <row r="6786">
      <c r="A6786" s="4" t="s">
        <v>7430</v>
      </c>
      <c r="B6786" s="16"/>
      <c r="C6786" s="12">
        <f>IFERROR(__xludf.DUMMYFUNCTION("""COMPUTED_VALUE"""),44651.426527777774)</f>
        <v>44651.42653</v>
      </c>
      <c r="D6786" s="13">
        <f t="shared" si="1"/>
        <v>31</v>
      </c>
      <c r="E6786" s="13">
        <f t="shared" si="2"/>
        <v>10</v>
      </c>
    </row>
    <row r="6787">
      <c r="A6787" s="4" t="s">
        <v>7430</v>
      </c>
      <c r="B6787" s="16"/>
      <c r="C6787" s="12">
        <f>IFERROR(__xludf.DUMMYFUNCTION("""COMPUTED_VALUE"""),44651.426527777774)</f>
        <v>44651.42653</v>
      </c>
      <c r="D6787" s="13">
        <f t="shared" si="1"/>
        <v>31</v>
      </c>
      <c r="E6787" s="13">
        <f t="shared" si="2"/>
        <v>10</v>
      </c>
    </row>
    <row r="6788">
      <c r="A6788" s="4" t="s">
        <v>7431</v>
      </c>
      <c r="B6788" s="16"/>
      <c r="C6788" s="12">
        <f>IFERROR(__xludf.DUMMYFUNCTION("""COMPUTED_VALUE"""),44651.42611111111)</f>
        <v>44651.42611</v>
      </c>
      <c r="D6788" s="13">
        <f t="shared" si="1"/>
        <v>31</v>
      </c>
      <c r="E6788" s="13">
        <f t="shared" si="2"/>
        <v>10</v>
      </c>
    </row>
    <row r="6789">
      <c r="A6789" s="4" t="s">
        <v>7432</v>
      </c>
      <c r="B6789" s="16"/>
      <c r="C6789" s="12">
        <f>IFERROR(__xludf.DUMMYFUNCTION("""COMPUTED_VALUE"""),44651.42576388889)</f>
        <v>44651.42576</v>
      </c>
      <c r="D6789" s="13">
        <f t="shared" si="1"/>
        <v>31</v>
      </c>
      <c r="E6789" s="13">
        <f t="shared" si="2"/>
        <v>10</v>
      </c>
    </row>
    <row r="6790">
      <c r="A6790" s="4" t="s">
        <v>7433</v>
      </c>
      <c r="B6790" s="16"/>
      <c r="C6790" s="12">
        <f>IFERROR(__xludf.DUMMYFUNCTION("""COMPUTED_VALUE"""),44651.425671296296)</f>
        <v>44651.42567</v>
      </c>
      <c r="D6790" s="13">
        <f t="shared" si="1"/>
        <v>31</v>
      </c>
      <c r="E6790" s="13">
        <f t="shared" si="2"/>
        <v>10</v>
      </c>
    </row>
    <row r="6791">
      <c r="A6791" s="4" t="s">
        <v>7434</v>
      </c>
      <c r="B6791" s="16"/>
      <c r="C6791" s="12">
        <f>IFERROR(__xludf.DUMMYFUNCTION("""COMPUTED_VALUE"""),44651.42538194444)</f>
        <v>44651.42538</v>
      </c>
      <c r="D6791" s="13">
        <f t="shared" si="1"/>
        <v>31</v>
      </c>
      <c r="E6791" s="13">
        <f t="shared" si="2"/>
        <v>10</v>
      </c>
    </row>
    <row r="6792">
      <c r="A6792" s="4" t="s">
        <v>7435</v>
      </c>
      <c r="B6792" s="16"/>
      <c r="C6792" s="12">
        <f>IFERROR(__xludf.DUMMYFUNCTION("""COMPUTED_VALUE"""),44651.42503472222)</f>
        <v>44651.42503</v>
      </c>
      <c r="D6792" s="13">
        <f t="shared" si="1"/>
        <v>31</v>
      </c>
      <c r="E6792" s="13">
        <f t="shared" si="2"/>
        <v>10</v>
      </c>
    </row>
    <row r="6793">
      <c r="A6793" s="4" t="s">
        <v>7436</v>
      </c>
      <c r="B6793" s="16"/>
      <c r="C6793" s="12">
        <f>IFERROR(__xludf.DUMMYFUNCTION("""COMPUTED_VALUE"""),44651.424988425926)</f>
        <v>44651.42499</v>
      </c>
      <c r="D6793" s="13">
        <f t="shared" si="1"/>
        <v>31</v>
      </c>
      <c r="E6793" s="13">
        <f t="shared" si="2"/>
        <v>10</v>
      </c>
    </row>
    <row r="6794">
      <c r="A6794" s="4" t="s">
        <v>7437</v>
      </c>
      <c r="B6794" s="16"/>
      <c r="C6794" s="12">
        <f>IFERROR(__xludf.DUMMYFUNCTION("""COMPUTED_VALUE"""),44651.42466435185)</f>
        <v>44651.42466</v>
      </c>
      <c r="D6794" s="13">
        <f t="shared" si="1"/>
        <v>31</v>
      </c>
      <c r="E6794" s="13">
        <f t="shared" si="2"/>
        <v>10</v>
      </c>
    </row>
    <row r="6795">
      <c r="A6795" s="4" t="s">
        <v>7438</v>
      </c>
      <c r="B6795" s="16"/>
      <c r="C6795" s="12">
        <f>IFERROR(__xludf.DUMMYFUNCTION("""COMPUTED_VALUE"""),44651.424479166664)</f>
        <v>44651.42448</v>
      </c>
      <c r="D6795" s="13">
        <f t="shared" si="1"/>
        <v>31</v>
      </c>
      <c r="E6795" s="13">
        <f t="shared" si="2"/>
        <v>10</v>
      </c>
    </row>
    <row r="6796">
      <c r="A6796" s="4" t="s">
        <v>7439</v>
      </c>
      <c r="B6796" s="16"/>
      <c r="C6796" s="12">
        <f>IFERROR(__xludf.DUMMYFUNCTION("""COMPUTED_VALUE"""),44651.4242824074)</f>
        <v>44651.42428</v>
      </c>
      <c r="D6796" s="13">
        <f t="shared" si="1"/>
        <v>31</v>
      </c>
      <c r="E6796" s="13">
        <f t="shared" si="2"/>
        <v>10</v>
      </c>
    </row>
    <row r="6797">
      <c r="A6797" s="4" t="s">
        <v>7440</v>
      </c>
      <c r="B6797" s="16"/>
      <c r="C6797" s="12">
        <f>IFERROR(__xludf.DUMMYFUNCTION("""COMPUTED_VALUE"""),44651.42393518518)</f>
        <v>44651.42394</v>
      </c>
      <c r="D6797" s="13">
        <f t="shared" si="1"/>
        <v>31</v>
      </c>
      <c r="E6797" s="13">
        <f t="shared" si="2"/>
        <v>10</v>
      </c>
    </row>
    <row r="6798">
      <c r="A6798" s="4" t="s">
        <v>7441</v>
      </c>
      <c r="B6798" s="16"/>
      <c r="C6798" s="12">
        <f>IFERROR(__xludf.DUMMYFUNCTION("""COMPUTED_VALUE"""),44651.42356481481)</f>
        <v>44651.42356</v>
      </c>
      <c r="D6798" s="13">
        <f t="shared" si="1"/>
        <v>31</v>
      </c>
      <c r="E6798" s="13">
        <f t="shared" si="2"/>
        <v>10</v>
      </c>
    </row>
    <row r="6799">
      <c r="A6799" s="4" t="s">
        <v>7441</v>
      </c>
      <c r="B6799" s="16"/>
      <c r="C6799" s="12">
        <f>IFERROR(__xludf.DUMMYFUNCTION("""COMPUTED_VALUE"""),44651.42356481481)</f>
        <v>44651.42356</v>
      </c>
      <c r="D6799" s="13">
        <f t="shared" si="1"/>
        <v>31</v>
      </c>
      <c r="E6799" s="13">
        <f t="shared" si="2"/>
        <v>10</v>
      </c>
    </row>
    <row r="6800">
      <c r="A6800" s="4" t="s">
        <v>7442</v>
      </c>
      <c r="B6800" s="16"/>
      <c r="C6800" s="12">
        <f>IFERROR(__xludf.DUMMYFUNCTION("""COMPUTED_VALUE"""),44651.423125)</f>
        <v>44651.42313</v>
      </c>
      <c r="D6800" s="13">
        <f t="shared" si="1"/>
        <v>31</v>
      </c>
      <c r="E6800" s="13">
        <f t="shared" si="2"/>
        <v>10</v>
      </c>
    </row>
    <row r="6801">
      <c r="A6801" s="4" t="s">
        <v>7443</v>
      </c>
      <c r="B6801" s="16"/>
      <c r="C6801" s="12">
        <f>IFERROR(__xludf.DUMMYFUNCTION("""COMPUTED_VALUE"""),44651.42290509259)</f>
        <v>44651.42291</v>
      </c>
      <c r="D6801" s="13">
        <f t="shared" si="1"/>
        <v>31</v>
      </c>
      <c r="E6801" s="13">
        <f t="shared" si="2"/>
        <v>10</v>
      </c>
    </row>
    <row r="6802">
      <c r="A6802" s="4" t="s">
        <v>7444</v>
      </c>
      <c r="B6802" s="16"/>
      <c r="C6802" s="12">
        <f>IFERROR(__xludf.DUMMYFUNCTION("""COMPUTED_VALUE"""),44651.422743055555)</f>
        <v>44651.42274</v>
      </c>
      <c r="D6802" s="13">
        <f t="shared" si="1"/>
        <v>31</v>
      </c>
      <c r="E6802" s="13">
        <f t="shared" si="2"/>
        <v>10</v>
      </c>
    </row>
    <row r="6803">
      <c r="A6803" s="4" t="s">
        <v>7445</v>
      </c>
      <c r="B6803" s="16"/>
      <c r="C6803" s="12">
        <f>IFERROR(__xludf.DUMMYFUNCTION("""COMPUTED_VALUE"""),44651.42239583333)</f>
        <v>44651.4224</v>
      </c>
      <c r="D6803" s="13">
        <f t="shared" si="1"/>
        <v>31</v>
      </c>
      <c r="E6803" s="13">
        <f t="shared" si="2"/>
        <v>10</v>
      </c>
    </row>
    <row r="6804">
      <c r="A6804" s="4" t="s">
        <v>7446</v>
      </c>
      <c r="B6804" s="16"/>
      <c r="C6804" s="12">
        <f>IFERROR(__xludf.DUMMYFUNCTION("""COMPUTED_VALUE"""),44651.42234953703)</f>
        <v>44651.42235</v>
      </c>
      <c r="D6804" s="13">
        <f t="shared" si="1"/>
        <v>31</v>
      </c>
      <c r="E6804" s="13">
        <f t="shared" si="2"/>
        <v>10</v>
      </c>
    </row>
    <row r="6805">
      <c r="A6805" s="4" t="s">
        <v>7447</v>
      </c>
      <c r="B6805" s="16"/>
      <c r="C6805" s="12">
        <f>IFERROR(__xludf.DUMMYFUNCTION("""COMPUTED_VALUE"""),44651.42203703703)</f>
        <v>44651.42204</v>
      </c>
      <c r="D6805" s="13">
        <f t="shared" si="1"/>
        <v>31</v>
      </c>
      <c r="E6805" s="13">
        <f t="shared" si="2"/>
        <v>10</v>
      </c>
    </row>
    <row r="6806">
      <c r="A6806" s="4" t="s">
        <v>7448</v>
      </c>
      <c r="B6806" s="16"/>
      <c r="C6806" s="12">
        <f>IFERROR(__xludf.DUMMYFUNCTION("""COMPUTED_VALUE"""),44651.42197916666)</f>
        <v>44651.42198</v>
      </c>
      <c r="D6806" s="13">
        <f t="shared" si="1"/>
        <v>31</v>
      </c>
      <c r="E6806" s="13">
        <f t="shared" si="2"/>
        <v>10</v>
      </c>
    </row>
    <row r="6807">
      <c r="A6807" s="4" t="s">
        <v>7449</v>
      </c>
      <c r="B6807" s="16"/>
      <c r="C6807" s="12">
        <f>IFERROR(__xludf.DUMMYFUNCTION("""COMPUTED_VALUE"""),44651.42165509259)</f>
        <v>44651.42166</v>
      </c>
      <c r="D6807" s="13">
        <f t="shared" si="1"/>
        <v>31</v>
      </c>
      <c r="E6807" s="13">
        <f t="shared" si="2"/>
        <v>10</v>
      </c>
    </row>
    <row r="6808">
      <c r="A6808" s="4" t="s">
        <v>7450</v>
      </c>
      <c r="B6808" s="16"/>
      <c r="C6808" s="12">
        <f>IFERROR(__xludf.DUMMYFUNCTION("""COMPUTED_VALUE"""),44651.42129629629)</f>
        <v>44651.4213</v>
      </c>
      <c r="D6808" s="13">
        <f t="shared" si="1"/>
        <v>31</v>
      </c>
      <c r="E6808" s="13">
        <f t="shared" si="2"/>
        <v>10</v>
      </c>
    </row>
    <row r="6809">
      <c r="A6809" s="4" t="s">
        <v>7451</v>
      </c>
      <c r="B6809" s="16"/>
      <c r="C6809" s="12">
        <f>IFERROR(__xludf.DUMMYFUNCTION("""COMPUTED_VALUE"""),44651.42091435185)</f>
        <v>44651.42091</v>
      </c>
      <c r="D6809" s="13">
        <f t="shared" si="1"/>
        <v>31</v>
      </c>
      <c r="E6809" s="13">
        <f t="shared" si="2"/>
        <v>10</v>
      </c>
    </row>
    <row r="6810">
      <c r="A6810" s="4" t="s">
        <v>7451</v>
      </c>
      <c r="B6810" s="16"/>
      <c r="C6810" s="12">
        <f>IFERROR(__xludf.DUMMYFUNCTION("""COMPUTED_VALUE"""),44651.42091435185)</f>
        <v>44651.42091</v>
      </c>
      <c r="D6810" s="13">
        <f t="shared" si="1"/>
        <v>31</v>
      </c>
      <c r="E6810" s="13">
        <f t="shared" si="2"/>
        <v>10</v>
      </c>
    </row>
    <row r="6811">
      <c r="A6811" s="4" t="s">
        <v>7452</v>
      </c>
      <c r="B6811" s="16"/>
      <c r="C6811" s="12">
        <f>IFERROR(__xludf.DUMMYFUNCTION("""COMPUTED_VALUE"""),44651.42050925926)</f>
        <v>44651.42051</v>
      </c>
      <c r="D6811" s="13">
        <f t="shared" si="1"/>
        <v>31</v>
      </c>
      <c r="E6811" s="13">
        <f t="shared" si="2"/>
        <v>10</v>
      </c>
    </row>
    <row r="6812">
      <c r="A6812" s="4" t="s">
        <v>7453</v>
      </c>
      <c r="B6812" s="16"/>
      <c r="C6812" s="12">
        <f>IFERROR(__xludf.DUMMYFUNCTION("""COMPUTED_VALUE"""),44651.420127314814)</f>
        <v>44651.42013</v>
      </c>
      <c r="D6812" s="13">
        <f t="shared" si="1"/>
        <v>31</v>
      </c>
      <c r="E6812" s="13">
        <f t="shared" si="2"/>
        <v>10</v>
      </c>
    </row>
    <row r="6813">
      <c r="A6813" s="4" t="s">
        <v>7453</v>
      </c>
      <c r="B6813" s="16"/>
      <c r="C6813" s="12">
        <f>IFERROR(__xludf.DUMMYFUNCTION("""COMPUTED_VALUE"""),44651.420127314814)</f>
        <v>44651.42013</v>
      </c>
      <c r="D6813" s="13">
        <f t="shared" si="1"/>
        <v>31</v>
      </c>
      <c r="E6813" s="13">
        <f t="shared" si="2"/>
        <v>10</v>
      </c>
    </row>
    <row r="6814">
      <c r="A6814" s="4" t="s">
        <v>7454</v>
      </c>
      <c r="B6814" s="16"/>
      <c r="C6814" s="12">
        <f>IFERROR(__xludf.DUMMYFUNCTION("""COMPUTED_VALUE"""),44651.41961805555)</f>
        <v>44651.41962</v>
      </c>
      <c r="D6814" s="13">
        <f t="shared" si="1"/>
        <v>31</v>
      </c>
      <c r="E6814" s="13">
        <f t="shared" si="2"/>
        <v>10</v>
      </c>
    </row>
    <row r="6815">
      <c r="A6815" s="4" t="s">
        <v>7455</v>
      </c>
      <c r="B6815" s="16"/>
      <c r="C6815" s="12">
        <f>IFERROR(__xludf.DUMMYFUNCTION("""COMPUTED_VALUE"""),44651.41956018518)</f>
        <v>44651.41956</v>
      </c>
      <c r="D6815" s="13">
        <f t="shared" si="1"/>
        <v>31</v>
      </c>
      <c r="E6815" s="13">
        <f t="shared" si="2"/>
        <v>10</v>
      </c>
    </row>
    <row r="6816">
      <c r="A6816" s="4" t="s">
        <v>7456</v>
      </c>
      <c r="B6816" s="16"/>
      <c r="C6816" s="12">
        <f>IFERROR(__xludf.DUMMYFUNCTION("""COMPUTED_VALUE"""),44651.41924768518)</f>
        <v>44651.41925</v>
      </c>
      <c r="D6816" s="13">
        <f t="shared" si="1"/>
        <v>31</v>
      </c>
      <c r="E6816" s="13">
        <f t="shared" si="2"/>
        <v>10</v>
      </c>
    </row>
    <row r="6817">
      <c r="A6817" s="4" t="s">
        <v>7457</v>
      </c>
      <c r="B6817" s="16"/>
      <c r="C6817" s="12">
        <f>IFERROR(__xludf.DUMMYFUNCTION("""COMPUTED_VALUE"""),44651.418969907405)</f>
        <v>44651.41897</v>
      </c>
      <c r="D6817" s="13">
        <f t="shared" si="1"/>
        <v>31</v>
      </c>
      <c r="E6817" s="13">
        <f t="shared" si="2"/>
        <v>10</v>
      </c>
    </row>
    <row r="6818">
      <c r="A6818" s="4" t="s">
        <v>7458</v>
      </c>
      <c r="B6818" s="16"/>
      <c r="C6818" s="12">
        <f>IFERROR(__xludf.DUMMYFUNCTION("""COMPUTED_VALUE"""),44651.418761574074)</f>
        <v>44651.41876</v>
      </c>
      <c r="D6818" s="13">
        <f t="shared" si="1"/>
        <v>31</v>
      </c>
      <c r="E6818" s="13">
        <f t="shared" si="2"/>
        <v>10</v>
      </c>
    </row>
    <row r="6819">
      <c r="A6819" s="4" t="s">
        <v>7459</v>
      </c>
      <c r="B6819" s="16"/>
      <c r="C6819" s="12">
        <f>IFERROR(__xludf.DUMMYFUNCTION("""COMPUTED_VALUE"""),44651.418391203704)</f>
        <v>44651.41839</v>
      </c>
      <c r="D6819" s="13">
        <f t="shared" si="1"/>
        <v>31</v>
      </c>
      <c r="E6819" s="13">
        <f t="shared" si="2"/>
        <v>10</v>
      </c>
    </row>
    <row r="6820">
      <c r="A6820" s="4" t="s">
        <v>7459</v>
      </c>
      <c r="B6820" s="16"/>
      <c r="C6820" s="12">
        <f>IFERROR(__xludf.DUMMYFUNCTION("""COMPUTED_VALUE"""),44651.418391203704)</f>
        <v>44651.41839</v>
      </c>
      <c r="D6820" s="13">
        <f t="shared" si="1"/>
        <v>31</v>
      </c>
      <c r="E6820" s="13">
        <f t="shared" si="2"/>
        <v>10</v>
      </c>
    </row>
    <row r="6821">
      <c r="A6821" s="4" t="s">
        <v>7460</v>
      </c>
      <c r="B6821" s="16"/>
      <c r="C6821" s="12">
        <f>IFERROR(__xludf.DUMMYFUNCTION("""COMPUTED_VALUE"""),44651.41788194444)</f>
        <v>44651.41788</v>
      </c>
      <c r="D6821" s="13">
        <f t="shared" si="1"/>
        <v>31</v>
      </c>
      <c r="E6821" s="13">
        <f t="shared" si="2"/>
        <v>10</v>
      </c>
    </row>
    <row r="6822">
      <c r="A6822" s="4" t="s">
        <v>7460</v>
      </c>
      <c r="B6822" s="16"/>
      <c r="C6822" s="12">
        <f>IFERROR(__xludf.DUMMYFUNCTION("""COMPUTED_VALUE"""),44651.41788194444)</f>
        <v>44651.41788</v>
      </c>
      <c r="D6822" s="13">
        <f t="shared" si="1"/>
        <v>31</v>
      </c>
      <c r="E6822" s="13">
        <f t="shared" si="2"/>
        <v>10</v>
      </c>
    </row>
    <row r="6823">
      <c r="A6823" s="4" t="s">
        <v>7461</v>
      </c>
      <c r="B6823" s="16"/>
      <c r="C6823" s="12">
        <f>IFERROR(__xludf.DUMMYFUNCTION("""COMPUTED_VALUE"""),44651.417395833334)</f>
        <v>44651.4174</v>
      </c>
      <c r="D6823" s="13">
        <f t="shared" si="1"/>
        <v>31</v>
      </c>
      <c r="E6823" s="13">
        <f t="shared" si="2"/>
        <v>10</v>
      </c>
    </row>
    <row r="6824">
      <c r="A6824" s="4" t="s">
        <v>7461</v>
      </c>
      <c r="B6824" s="16"/>
      <c r="C6824" s="12">
        <f>IFERROR(__xludf.DUMMYFUNCTION("""COMPUTED_VALUE"""),44651.417395833334)</f>
        <v>44651.4174</v>
      </c>
      <c r="D6824" s="13">
        <f t="shared" si="1"/>
        <v>31</v>
      </c>
      <c r="E6824" s="13">
        <f t="shared" si="2"/>
        <v>10</v>
      </c>
    </row>
    <row r="6825">
      <c r="A6825" s="4" t="s">
        <v>7462</v>
      </c>
      <c r="B6825" s="16"/>
      <c r="C6825" s="12">
        <f>IFERROR(__xludf.DUMMYFUNCTION("""COMPUTED_VALUE"""),44651.41701388889)</f>
        <v>44651.41701</v>
      </c>
      <c r="D6825" s="13">
        <f t="shared" si="1"/>
        <v>31</v>
      </c>
      <c r="E6825" s="13">
        <f t="shared" si="2"/>
        <v>10</v>
      </c>
    </row>
    <row r="6826">
      <c r="A6826" s="4" t="s">
        <v>7462</v>
      </c>
      <c r="B6826" s="16"/>
      <c r="C6826" s="12">
        <f>IFERROR(__xludf.DUMMYFUNCTION("""COMPUTED_VALUE"""),44651.41701388889)</f>
        <v>44651.41701</v>
      </c>
      <c r="D6826" s="13">
        <f t="shared" si="1"/>
        <v>31</v>
      </c>
      <c r="E6826" s="13">
        <f t="shared" si="2"/>
        <v>10</v>
      </c>
    </row>
    <row r="6827">
      <c r="A6827" s="4" t="s">
        <v>7463</v>
      </c>
      <c r="B6827" s="16"/>
      <c r="C6827" s="12">
        <f>IFERROR(__xludf.DUMMYFUNCTION("""COMPUTED_VALUE"""),44651.41658564815)</f>
        <v>44651.41659</v>
      </c>
      <c r="D6827" s="13">
        <f t="shared" si="1"/>
        <v>31</v>
      </c>
      <c r="E6827" s="13">
        <f t="shared" si="2"/>
        <v>9</v>
      </c>
    </row>
    <row r="6828">
      <c r="A6828" s="4" t="s">
        <v>7463</v>
      </c>
      <c r="B6828" s="16"/>
      <c r="C6828" s="12">
        <f>IFERROR(__xludf.DUMMYFUNCTION("""COMPUTED_VALUE"""),44651.41658564815)</f>
        <v>44651.41659</v>
      </c>
      <c r="D6828" s="13">
        <f t="shared" si="1"/>
        <v>31</v>
      </c>
      <c r="E6828" s="13">
        <f t="shared" si="2"/>
        <v>9</v>
      </c>
    </row>
    <row r="6829">
      <c r="A6829" s="4" t="s">
        <v>7464</v>
      </c>
      <c r="B6829" s="16"/>
      <c r="C6829" s="12">
        <f>IFERROR(__xludf.DUMMYFUNCTION("""COMPUTED_VALUE"""),44651.416134259256)</f>
        <v>44651.41613</v>
      </c>
      <c r="D6829" s="13">
        <f t="shared" si="1"/>
        <v>31</v>
      </c>
      <c r="E6829" s="13">
        <f t="shared" si="2"/>
        <v>9</v>
      </c>
    </row>
    <row r="6830">
      <c r="A6830" s="4" t="s">
        <v>7465</v>
      </c>
      <c r="B6830" s="16"/>
      <c r="C6830" s="12">
        <f>IFERROR(__xludf.DUMMYFUNCTION("""COMPUTED_VALUE"""),44651.41578703703)</f>
        <v>44651.41579</v>
      </c>
      <c r="D6830" s="13">
        <f t="shared" si="1"/>
        <v>31</v>
      </c>
      <c r="E6830" s="13">
        <f t="shared" si="2"/>
        <v>9</v>
      </c>
    </row>
    <row r="6831">
      <c r="A6831" s="4" t="s">
        <v>7466</v>
      </c>
      <c r="B6831" s="16"/>
      <c r="C6831" s="12">
        <f>IFERROR(__xludf.DUMMYFUNCTION("""COMPUTED_VALUE"""),44651.41543981481)</f>
        <v>44651.41544</v>
      </c>
      <c r="D6831" s="13">
        <f t="shared" si="1"/>
        <v>31</v>
      </c>
      <c r="E6831" s="13">
        <f t="shared" si="2"/>
        <v>9</v>
      </c>
    </row>
    <row r="6832">
      <c r="A6832" s="4" t="s">
        <v>7467</v>
      </c>
      <c r="B6832" s="16"/>
      <c r="C6832" s="12">
        <f>IFERROR(__xludf.DUMMYFUNCTION("""COMPUTED_VALUE"""),44651.41509259259)</f>
        <v>44651.41509</v>
      </c>
      <c r="D6832" s="13">
        <f t="shared" si="1"/>
        <v>31</v>
      </c>
      <c r="E6832" s="13">
        <f t="shared" si="2"/>
        <v>9</v>
      </c>
    </row>
    <row r="6833">
      <c r="A6833" s="4" t="s">
        <v>7468</v>
      </c>
      <c r="B6833" s="16"/>
      <c r="C6833" s="12">
        <f>IFERROR(__xludf.DUMMYFUNCTION("""COMPUTED_VALUE"""),44651.41474537037)</f>
        <v>44651.41475</v>
      </c>
      <c r="D6833" s="13">
        <f t="shared" si="1"/>
        <v>31</v>
      </c>
      <c r="E6833" s="13">
        <f t="shared" si="2"/>
        <v>9</v>
      </c>
    </row>
    <row r="6834">
      <c r="A6834" s="4" t="s">
        <v>7469</v>
      </c>
      <c r="B6834" s="16"/>
      <c r="C6834" s="12">
        <f>IFERROR(__xludf.DUMMYFUNCTION("""COMPUTED_VALUE"""),44651.41439814815)</f>
        <v>44651.4144</v>
      </c>
      <c r="D6834" s="13">
        <f t="shared" si="1"/>
        <v>31</v>
      </c>
      <c r="E6834" s="13">
        <f t="shared" si="2"/>
        <v>9</v>
      </c>
    </row>
    <row r="6835">
      <c r="A6835" s="4" t="s">
        <v>7470</v>
      </c>
      <c r="B6835" s="16"/>
      <c r="C6835" s="12">
        <f>IFERROR(__xludf.DUMMYFUNCTION("""COMPUTED_VALUE"""),44651.41405092592)</f>
        <v>44651.41405</v>
      </c>
      <c r="D6835" s="13">
        <f t="shared" si="1"/>
        <v>31</v>
      </c>
      <c r="E6835" s="13">
        <f t="shared" si="2"/>
        <v>9</v>
      </c>
    </row>
    <row r="6836">
      <c r="A6836" s="4" t="s">
        <v>7471</v>
      </c>
      <c r="B6836" s="16"/>
      <c r="C6836" s="12">
        <f>IFERROR(__xludf.DUMMYFUNCTION("""COMPUTED_VALUE"""),44651.4137037037)</f>
        <v>44651.4137</v>
      </c>
      <c r="D6836" s="13">
        <f t="shared" si="1"/>
        <v>31</v>
      </c>
      <c r="E6836" s="13">
        <f t="shared" si="2"/>
        <v>9</v>
      </c>
    </row>
    <row r="6837">
      <c r="A6837" s="4" t="s">
        <v>7472</v>
      </c>
      <c r="B6837" s="16"/>
      <c r="C6837" s="12">
        <f>IFERROR(__xludf.DUMMYFUNCTION("""COMPUTED_VALUE"""),44651.41335648148)</f>
        <v>44651.41336</v>
      </c>
      <c r="D6837" s="13">
        <f t="shared" si="1"/>
        <v>31</v>
      </c>
      <c r="E6837" s="13">
        <f t="shared" si="2"/>
        <v>9</v>
      </c>
    </row>
    <row r="6838">
      <c r="A6838" s="4" t="s">
        <v>7473</v>
      </c>
      <c r="B6838" s="16"/>
      <c r="C6838" s="12">
        <f>IFERROR(__xludf.DUMMYFUNCTION("""COMPUTED_VALUE"""),44651.41300925926)</f>
        <v>44651.41301</v>
      </c>
      <c r="D6838" s="13">
        <f t="shared" si="1"/>
        <v>31</v>
      </c>
      <c r="E6838" s="13">
        <f t="shared" si="2"/>
        <v>9</v>
      </c>
    </row>
    <row r="6839">
      <c r="A6839" s="4" t="s">
        <v>7474</v>
      </c>
      <c r="B6839" s="16"/>
      <c r="C6839" s="12">
        <f>IFERROR(__xludf.DUMMYFUNCTION("""COMPUTED_VALUE"""),44651.41266203704)</f>
        <v>44651.41266</v>
      </c>
      <c r="D6839" s="13">
        <f t="shared" si="1"/>
        <v>31</v>
      </c>
      <c r="E6839" s="13">
        <f t="shared" si="2"/>
        <v>9</v>
      </c>
    </row>
    <row r="6840">
      <c r="A6840" s="4" t="s">
        <v>7475</v>
      </c>
      <c r="B6840" s="16"/>
      <c r="C6840" s="12">
        <f>IFERROR(__xludf.DUMMYFUNCTION("""COMPUTED_VALUE"""),44651.41230324074)</f>
        <v>44651.4123</v>
      </c>
      <c r="D6840" s="13">
        <f t="shared" si="1"/>
        <v>31</v>
      </c>
      <c r="E6840" s="13">
        <f t="shared" si="2"/>
        <v>9</v>
      </c>
    </row>
    <row r="6841">
      <c r="A6841" s="4" t="s">
        <v>7475</v>
      </c>
      <c r="B6841" s="16"/>
      <c r="C6841" s="12">
        <f>IFERROR(__xludf.DUMMYFUNCTION("""COMPUTED_VALUE"""),44651.41230324074)</f>
        <v>44651.4123</v>
      </c>
      <c r="D6841" s="13">
        <f t="shared" si="1"/>
        <v>31</v>
      </c>
      <c r="E6841" s="13">
        <f t="shared" si="2"/>
        <v>9</v>
      </c>
    </row>
    <row r="6842">
      <c r="A6842" s="4" t="s">
        <v>7476</v>
      </c>
      <c r="B6842" s="16"/>
      <c r="C6842" s="12">
        <f>IFERROR(__xludf.DUMMYFUNCTION("""COMPUTED_VALUE"""),44651.41179398148)</f>
        <v>44651.41179</v>
      </c>
      <c r="D6842" s="13">
        <f t="shared" si="1"/>
        <v>31</v>
      </c>
      <c r="E6842" s="13">
        <f t="shared" si="2"/>
        <v>9</v>
      </c>
    </row>
    <row r="6843">
      <c r="A6843" s="4" t="s">
        <v>7477</v>
      </c>
      <c r="B6843" s="16"/>
      <c r="C6843" s="12">
        <f>IFERROR(__xludf.DUMMYFUNCTION("""COMPUTED_VALUE"""),44651.41143518518)</f>
        <v>44651.41144</v>
      </c>
      <c r="D6843" s="13">
        <f t="shared" si="1"/>
        <v>31</v>
      </c>
      <c r="E6843" s="13">
        <f t="shared" si="2"/>
        <v>9</v>
      </c>
    </row>
    <row r="6844">
      <c r="A6844" s="4" t="s">
        <v>7477</v>
      </c>
      <c r="B6844" s="16"/>
      <c r="C6844" s="12">
        <f>IFERROR(__xludf.DUMMYFUNCTION("""COMPUTED_VALUE"""),44651.41143518518)</f>
        <v>44651.41144</v>
      </c>
      <c r="D6844" s="13">
        <f t="shared" si="1"/>
        <v>31</v>
      </c>
      <c r="E6844" s="13">
        <f t="shared" si="2"/>
        <v>9</v>
      </c>
    </row>
    <row r="6845">
      <c r="A6845" s="4" t="s">
        <v>7478</v>
      </c>
      <c r="B6845" s="16"/>
      <c r="C6845" s="12">
        <f>IFERROR(__xludf.DUMMYFUNCTION("""COMPUTED_VALUE"""),44651.41092592592)</f>
        <v>44651.41093</v>
      </c>
      <c r="D6845" s="13">
        <f t="shared" si="1"/>
        <v>31</v>
      </c>
      <c r="E6845" s="13">
        <f t="shared" si="2"/>
        <v>9</v>
      </c>
    </row>
    <row r="6846">
      <c r="A6846" s="4" t="s">
        <v>7478</v>
      </c>
      <c r="B6846" s="16"/>
      <c r="C6846" s="12">
        <f>IFERROR(__xludf.DUMMYFUNCTION("""COMPUTED_VALUE"""),44651.41092592592)</f>
        <v>44651.41093</v>
      </c>
      <c r="D6846" s="13">
        <f t="shared" si="1"/>
        <v>31</v>
      </c>
      <c r="E6846" s="13">
        <f t="shared" si="2"/>
        <v>9</v>
      </c>
    </row>
    <row r="6847">
      <c r="A6847" s="4" t="s">
        <v>7479</v>
      </c>
      <c r="B6847" s="16"/>
      <c r="C6847" s="12">
        <f>IFERROR(__xludf.DUMMYFUNCTION("""COMPUTED_VALUE"""),44651.41043981481)</f>
        <v>44651.41044</v>
      </c>
      <c r="D6847" s="13">
        <f t="shared" si="1"/>
        <v>31</v>
      </c>
      <c r="E6847" s="13">
        <f t="shared" si="2"/>
        <v>9</v>
      </c>
    </row>
    <row r="6848">
      <c r="A6848" s="4" t="s">
        <v>7480</v>
      </c>
      <c r="B6848" s="16"/>
      <c r="C6848" s="12">
        <f>IFERROR(__xludf.DUMMYFUNCTION("""COMPUTED_VALUE"""),44651.41009259259)</f>
        <v>44651.41009</v>
      </c>
      <c r="D6848" s="13">
        <f t="shared" si="1"/>
        <v>31</v>
      </c>
      <c r="E6848" s="13">
        <f t="shared" si="2"/>
        <v>9</v>
      </c>
    </row>
    <row r="6849">
      <c r="A6849" s="4" t="s">
        <v>7481</v>
      </c>
      <c r="B6849" s="16"/>
      <c r="C6849" s="12">
        <f>IFERROR(__xludf.DUMMYFUNCTION("""COMPUTED_VALUE"""),44651.40971064814)</f>
        <v>44651.40971</v>
      </c>
      <c r="D6849" s="13">
        <f t="shared" si="1"/>
        <v>31</v>
      </c>
      <c r="E6849" s="13">
        <f t="shared" si="2"/>
        <v>9</v>
      </c>
    </row>
    <row r="6850">
      <c r="A6850" s="4" t="s">
        <v>7481</v>
      </c>
      <c r="B6850" s="16"/>
      <c r="C6850" s="12">
        <f>IFERROR(__xludf.DUMMYFUNCTION("""COMPUTED_VALUE"""),44651.40971064814)</f>
        <v>44651.40971</v>
      </c>
      <c r="D6850" s="13">
        <f t="shared" si="1"/>
        <v>31</v>
      </c>
      <c r="E6850" s="13">
        <f t="shared" si="2"/>
        <v>9</v>
      </c>
    </row>
    <row r="6851">
      <c r="A6851" s="4" t="s">
        <v>7482</v>
      </c>
      <c r="B6851" s="16"/>
      <c r="C6851" s="12">
        <f>IFERROR(__xludf.DUMMYFUNCTION("""COMPUTED_VALUE"""),44651.409317129626)</f>
        <v>44651.40932</v>
      </c>
      <c r="D6851" s="13">
        <f t="shared" si="1"/>
        <v>31</v>
      </c>
      <c r="E6851" s="13">
        <f t="shared" si="2"/>
        <v>9</v>
      </c>
    </row>
    <row r="6852">
      <c r="A6852" s="4" t="s">
        <v>7483</v>
      </c>
      <c r="B6852" s="16"/>
      <c r="C6852" s="12">
        <f>IFERROR(__xludf.DUMMYFUNCTION("""COMPUTED_VALUE"""),44651.40894675926)</f>
        <v>44651.40895</v>
      </c>
      <c r="D6852" s="13">
        <f t="shared" si="1"/>
        <v>31</v>
      </c>
      <c r="E6852" s="13">
        <f t="shared" si="2"/>
        <v>9</v>
      </c>
    </row>
    <row r="6853">
      <c r="A6853" s="4" t="s">
        <v>7483</v>
      </c>
      <c r="B6853" s="16"/>
      <c r="C6853" s="12">
        <f>IFERROR(__xludf.DUMMYFUNCTION("""COMPUTED_VALUE"""),44651.40894675926)</f>
        <v>44651.40895</v>
      </c>
      <c r="D6853" s="13">
        <f t="shared" si="1"/>
        <v>31</v>
      </c>
      <c r="E6853" s="13">
        <f t="shared" si="2"/>
        <v>9</v>
      </c>
    </row>
    <row r="6854">
      <c r="A6854" s="4" t="s">
        <v>7484</v>
      </c>
      <c r="B6854" s="16"/>
      <c r="C6854" s="12">
        <f>IFERROR(__xludf.DUMMYFUNCTION("""COMPUTED_VALUE"""),44651.40850694444)</f>
        <v>44651.40851</v>
      </c>
      <c r="D6854" s="13">
        <f t="shared" si="1"/>
        <v>31</v>
      </c>
      <c r="E6854" s="13">
        <f t="shared" si="2"/>
        <v>9</v>
      </c>
    </row>
    <row r="6855">
      <c r="A6855" s="4" t="s">
        <v>7485</v>
      </c>
      <c r="B6855" s="16"/>
      <c r="C6855" s="12">
        <f>IFERROR(__xludf.DUMMYFUNCTION("""COMPUTED_VALUE"""),44651.40813657407)</f>
        <v>44651.40814</v>
      </c>
      <c r="D6855" s="13">
        <f t="shared" si="1"/>
        <v>31</v>
      </c>
      <c r="E6855" s="13">
        <f t="shared" si="2"/>
        <v>9</v>
      </c>
    </row>
    <row r="6856">
      <c r="A6856" s="4" t="s">
        <v>7485</v>
      </c>
      <c r="B6856" s="16"/>
      <c r="C6856" s="12">
        <f>IFERROR(__xludf.DUMMYFUNCTION("""COMPUTED_VALUE"""),44651.40813657407)</f>
        <v>44651.40814</v>
      </c>
      <c r="D6856" s="13">
        <f t="shared" si="1"/>
        <v>31</v>
      </c>
      <c r="E6856" s="13">
        <f t="shared" si="2"/>
        <v>9</v>
      </c>
    </row>
    <row r="6857">
      <c r="A6857" s="4" t="s">
        <v>7486</v>
      </c>
      <c r="B6857" s="16"/>
      <c r="C6857" s="12">
        <f>IFERROR(__xludf.DUMMYFUNCTION("""COMPUTED_VALUE"""),44651.40756944444)</f>
        <v>44651.40757</v>
      </c>
      <c r="D6857" s="13">
        <f t="shared" si="1"/>
        <v>31</v>
      </c>
      <c r="E6857" s="13">
        <f t="shared" si="2"/>
        <v>9</v>
      </c>
    </row>
    <row r="6858">
      <c r="A6858" s="4" t="s">
        <v>7487</v>
      </c>
      <c r="B6858" s="16"/>
      <c r="C6858" s="12">
        <f>IFERROR(__xludf.DUMMYFUNCTION("""COMPUTED_VALUE"""),44651.40753472222)</f>
        <v>44651.40753</v>
      </c>
      <c r="D6858" s="13">
        <f t="shared" si="1"/>
        <v>31</v>
      </c>
      <c r="E6858" s="13">
        <f t="shared" si="2"/>
        <v>9</v>
      </c>
    </row>
    <row r="6859">
      <c r="A6859" s="4" t="s">
        <v>7488</v>
      </c>
      <c r="B6859" s="16"/>
      <c r="C6859" s="12">
        <f>IFERROR(__xludf.DUMMYFUNCTION("""COMPUTED_VALUE"""),44651.40716435185)</f>
        <v>44651.40716</v>
      </c>
      <c r="D6859" s="13">
        <f t="shared" si="1"/>
        <v>31</v>
      </c>
      <c r="E6859" s="13">
        <f t="shared" si="2"/>
        <v>9</v>
      </c>
    </row>
    <row r="6860">
      <c r="A6860" s="4" t="s">
        <v>7489</v>
      </c>
      <c r="B6860" s="16"/>
      <c r="C6860" s="12">
        <f>IFERROR(__xludf.DUMMYFUNCTION("""COMPUTED_VALUE"""),44651.406817129624)</f>
        <v>44651.40682</v>
      </c>
      <c r="D6860" s="13">
        <f t="shared" si="1"/>
        <v>31</v>
      </c>
      <c r="E6860" s="13">
        <f t="shared" si="2"/>
        <v>9</v>
      </c>
    </row>
    <row r="6861">
      <c r="A6861" s="4" t="s">
        <v>7490</v>
      </c>
      <c r="B6861" s="16"/>
      <c r="C6861" s="12">
        <f>IFERROR(__xludf.DUMMYFUNCTION("""COMPUTED_VALUE"""),44651.40646990741)</f>
        <v>44651.40647</v>
      </c>
      <c r="D6861" s="13">
        <f t="shared" si="1"/>
        <v>31</v>
      </c>
      <c r="E6861" s="13">
        <f t="shared" si="2"/>
        <v>9</v>
      </c>
    </row>
    <row r="6862">
      <c r="A6862" s="4" t="s">
        <v>7491</v>
      </c>
      <c r="B6862" s="16"/>
      <c r="C6862" s="12">
        <f>IFERROR(__xludf.DUMMYFUNCTION("""COMPUTED_VALUE"""),44651.406122685185)</f>
        <v>44651.40612</v>
      </c>
      <c r="D6862" s="13">
        <f t="shared" si="1"/>
        <v>31</v>
      </c>
      <c r="E6862" s="13">
        <f t="shared" si="2"/>
        <v>9</v>
      </c>
    </row>
    <row r="6863">
      <c r="A6863" s="4" t="s">
        <v>7492</v>
      </c>
      <c r="B6863" s="16"/>
      <c r="C6863" s="12">
        <f>IFERROR(__xludf.DUMMYFUNCTION("""COMPUTED_VALUE"""),44651.40577546296)</f>
        <v>44651.40578</v>
      </c>
      <c r="D6863" s="13">
        <f t="shared" si="1"/>
        <v>31</v>
      </c>
      <c r="E6863" s="13">
        <f t="shared" si="2"/>
        <v>9</v>
      </c>
    </row>
    <row r="6864">
      <c r="A6864" s="4" t="s">
        <v>7493</v>
      </c>
      <c r="B6864" s="16"/>
      <c r="C6864" s="12">
        <f>IFERROR(__xludf.DUMMYFUNCTION("""COMPUTED_VALUE"""),44651.40542824074)</f>
        <v>44651.40543</v>
      </c>
      <c r="D6864" s="13">
        <f t="shared" si="1"/>
        <v>31</v>
      </c>
      <c r="E6864" s="13">
        <f t="shared" si="2"/>
        <v>9</v>
      </c>
    </row>
    <row r="6865">
      <c r="A6865" s="4" t="s">
        <v>7494</v>
      </c>
      <c r="B6865" s="16"/>
      <c r="C6865" s="12">
        <f>IFERROR(__xludf.DUMMYFUNCTION("""COMPUTED_VALUE"""),44651.405081018514)</f>
        <v>44651.40508</v>
      </c>
      <c r="D6865" s="13">
        <f t="shared" si="1"/>
        <v>31</v>
      </c>
      <c r="E6865" s="13">
        <f t="shared" si="2"/>
        <v>9</v>
      </c>
    </row>
    <row r="6866">
      <c r="A6866" s="4" t="s">
        <v>7495</v>
      </c>
      <c r="B6866" s="16"/>
      <c r="C6866" s="12">
        <f>IFERROR(__xludf.DUMMYFUNCTION("""COMPUTED_VALUE"""),44651.40473379629)</f>
        <v>44651.40473</v>
      </c>
      <c r="D6866" s="13">
        <f t="shared" si="1"/>
        <v>31</v>
      </c>
      <c r="E6866" s="13">
        <f t="shared" si="2"/>
        <v>9</v>
      </c>
    </row>
    <row r="6867">
      <c r="A6867" s="4" t="s">
        <v>7496</v>
      </c>
      <c r="B6867" s="16"/>
      <c r="C6867" s="12">
        <f>IFERROR(__xludf.DUMMYFUNCTION("""COMPUTED_VALUE"""),44651.40457175926)</f>
        <v>44651.40457</v>
      </c>
      <c r="D6867" s="13">
        <f t="shared" si="1"/>
        <v>31</v>
      </c>
      <c r="E6867" s="13">
        <f t="shared" si="2"/>
        <v>9</v>
      </c>
    </row>
    <row r="6868">
      <c r="A6868" s="4" t="s">
        <v>7497</v>
      </c>
      <c r="B6868" s="16"/>
      <c r="C6868" s="12">
        <f>IFERROR(__xludf.DUMMYFUNCTION("""COMPUTED_VALUE"""),44651.40436342592)</f>
        <v>44651.40436</v>
      </c>
      <c r="D6868" s="13">
        <f t="shared" si="1"/>
        <v>31</v>
      </c>
      <c r="E6868" s="13">
        <f t="shared" si="2"/>
        <v>9</v>
      </c>
    </row>
    <row r="6869">
      <c r="A6869" s="4" t="s">
        <v>7498</v>
      </c>
      <c r="B6869" s="16"/>
      <c r="C6869" s="12">
        <f>IFERROR(__xludf.DUMMYFUNCTION("""COMPUTED_VALUE"""),44651.4040162037)</f>
        <v>44651.40402</v>
      </c>
      <c r="D6869" s="13">
        <f t="shared" si="1"/>
        <v>31</v>
      </c>
      <c r="E6869" s="13">
        <f t="shared" si="2"/>
        <v>9</v>
      </c>
    </row>
    <row r="6870">
      <c r="A6870" s="4" t="s">
        <v>7499</v>
      </c>
      <c r="B6870" s="16"/>
      <c r="C6870" s="12">
        <f>IFERROR(__xludf.DUMMYFUNCTION("""COMPUTED_VALUE"""),44651.40386574074)</f>
        <v>44651.40387</v>
      </c>
      <c r="D6870" s="13">
        <f t="shared" si="1"/>
        <v>31</v>
      </c>
      <c r="E6870" s="13">
        <f t="shared" si="2"/>
        <v>9</v>
      </c>
    </row>
    <row r="6871">
      <c r="A6871" s="4" t="s">
        <v>7500</v>
      </c>
      <c r="B6871" s="16"/>
      <c r="C6871" s="12">
        <f>IFERROR(__xludf.DUMMYFUNCTION("""COMPUTED_VALUE"""),44651.403657407405)</f>
        <v>44651.40366</v>
      </c>
      <c r="D6871" s="13">
        <f t="shared" si="1"/>
        <v>31</v>
      </c>
      <c r="E6871" s="13">
        <f t="shared" si="2"/>
        <v>9</v>
      </c>
    </row>
    <row r="6872">
      <c r="A6872" s="4" t="s">
        <v>7501</v>
      </c>
      <c r="B6872" s="16"/>
      <c r="C6872" s="12">
        <f>IFERROR(__xludf.DUMMYFUNCTION("""COMPUTED_VALUE"""),44651.403449074074)</f>
        <v>44651.40345</v>
      </c>
      <c r="D6872" s="13">
        <f t="shared" si="1"/>
        <v>31</v>
      </c>
      <c r="E6872" s="13">
        <f t="shared" si="2"/>
        <v>9</v>
      </c>
    </row>
    <row r="6873">
      <c r="A6873" s="4" t="s">
        <v>7502</v>
      </c>
      <c r="B6873" s="16"/>
      <c r="C6873" s="12">
        <f>IFERROR(__xludf.DUMMYFUNCTION("""COMPUTED_VALUE"""),44651.40327546296)</f>
        <v>44651.40328</v>
      </c>
      <c r="D6873" s="13">
        <f t="shared" si="1"/>
        <v>31</v>
      </c>
      <c r="E6873" s="13">
        <f t="shared" si="2"/>
        <v>9</v>
      </c>
    </row>
    <row r="6874">
      <c r="A6874" s="4" t="s">
        <v>7503</v>
      </c>
      <c r="B6874" s="16"/>
      <c r="C6874" s="12">
        <f>IFERROR(__xludf.DUMMYFUNCTION("""COMPUTED_VALUE"""),44651.40299768518)</f>
        <v>44651.403</v>
      </c>
      <c r="D6874" s="13">
        <f t="shared" si="1"/>
        <v>31</v>
      </c>
      <c r="E6874" s="13">
        <f t="shared" si="2"/>
        <v>9</v>
      </c>
    </row>
    <row r="6875">
      <c r="A6875" s="4" t="s">
        <v>7504</v>
      </c>
      <c r="B6875" s="16"/>
      <c r="C6875" s="12">
        <f>IFERROR(__xludf.DUMMYFUNCTION("""COMPUTED_VALUE"""),44651.40282407407)</f>
        <v>44651.40282</v>
      </c>
      <c r="D6875" s="13">
        <f t="shared" si="1"/>
        <v>31</v>
      </c>
      <c r="E6875" s="13">
        <f t="shared" si="2"/>
        <v>9</v>
      </c>
    </row>
    <row r="6876">
      <c r="A6876" s="4" t="s">
        <v>7505</v>
      </c>
      <c r="B6876" s="16"/>
      <c r="C6876" s="12">
        <f>IFERROR(__xludf.DUMMYFUNCTION("""COMPUTED_VALUE"""),44651.40247685185)</f>
        <v>44651.40248</v>
      </c>
      <c r="D6876" s="13">
        <f t="shared" si="1"/>
        <v>31</v>
      </c>
      <c r="E6876" s="13">
        <f t="shared" si="2"/>
        <v>9</v>
      </c>
    </row>
    <row r="6877">
      <c r="A6877" s="4" t="s">
        <v>7506</v>
      </c>
      <c r="B6877" s="16"/>
      <c r="C6877" s="12">
        <f>IFERROR(__xludf.DUMMYFUNCTION("""COMPUTED_VALUE"""),44651.40210648148)</f>
        <v>44651.40211</v>
      </c>
      <c r="D6877" s="13">
        <f t="shared" si="1"/>
        <v>31</v>
      </c>
      <c r="E6877" s="13">
        <f t="shared" si="2"/>
        <v>9</v>
      </c>
    </row>
    <row r="6878">
      <c r="A6878" s="4" t="s">
        <v>7506</v>
      </c>
      <c r="B6878" s="16"/>
      <c r="C6878" s="12">
        <f>IFERROR(__xludf.DUMMYFUNCTION("""COMPUTED_VALUE"""),44651.40210648148)</f>
        <v>44651.40211</v>
      </c>
      <c r="D6878" s="13">
        <f t="shared" si="1"/>
        <v>31</v>
      </c>
      <c r="E6878" s="13">
        <f t="shared" si="2"/>
        <v>9</v>
      </c>
    </row>
    <row r="6879">
      <c r="A6879" s="4" t="s">
        <v>7507</v>
      </c>
      <c r="B6879" s="16"/>
      <c r="C6879" s="12">
        <f>IFERROR(__xludf.DUMMYFUNCTION("""COMPUTED_VALUE"""),44651.40196759259)</f>
        <v>44651.40197</v>
      </c>
      <c r="D6879" s="13">
        <f t="shared" si="1"/>
        <v>31</v>
      </c>
      <c r="E6879" s="13">
        <f t="shared" si="2"/>
        <v>9</v>
      </c>
    </row>
    <row r="6880">
      <c r="A6880" s="4" t="s">
        <v>7508</v>
      </c>
      <c r="B6880" s="16"/>
      <c r="C6880" s="12">
        <f>IFERROR(__xludf.DUMMYFUNCTION("""COMPUTED_VALUE"""),44651.401921296296)</f>
        <v>44651.40192</v>
      </c>
      <c r="D6880" s="13">
        <f t="shared" si="1"/>
        <v>31</v>
      </c>
      <c r="E6880" s="13">
        <f t="shared" si="2"/>
        <v>9</v>
      </c>
    </row>
    <row r="6881">
      <c r="A6881" s="4" t="s">
        <v>7509</v>
      </c>
      <c r="B6881" s="16"/>
      <c r="C6881" s="12">
        <f>IFERROR(__xludf.DUMMYFUNCTION("""COMPUTED_VALUE"""),44651.40185185185)</f>
        <v>44651.40185</v>
      </c>
      <c r="D6881" s="13">
        <f t="shared" si="1"/>
        <v>31</v>
      </c>
      <c r="E6881" s="13">
        <f t="shared" si="2"/>
        <v>9</v>
      </c>
    </row>
    <row r="6882">
      <c r="A6882" s="4" t="s">
        <v>7510</v>
      </c>
      <c r="B6882" s="16"/>
      <c r="C6882" s="12">
        <f>IFERROR(__xludf.DUMMYFUNCTION("""COMPUTED_VALUE"""),44651.40171296296)</f>
        <v>44651.40171</v>
      </c>
      <c r="D6882" s="13">
        <f t="shared" si="1"/>
        <v>31</v>
      </c>
      <c r="E6882" s="13">
        <f t="shared" si="2"/>
        <v>9</v>
      </c>
    </row>
    <row r="6883">
      <c r="A6883" s="4" t="s">
        <v>7510</v>
      </c>
      <c r="B6883" s="16"/>
      <c r="C6883" s="12">
        <f>IFERROR(__xludf.DUMMYFUNCTION("""COMPUTED_VALUE"""),44651.40171296296)</f>
        <v>44651.40171</v>
      </c>
      <c r="D6883" s="13">
        <f t="shared" si="1"/>
        <v>31</v>
      </c>
      <c r="E6883" s="13">
        <f t="shared" si="2"/>
        <v>9</v>
      </c>
    </row>
    <row r="6884">
      <c r="A6884" s="4" t="s">
        <v>7511</v>
      </c>
      <c r="B6884" s="16"/>
      <c r="C6884" s="12">
        <f>IFERROR(__xludf.DUMMYFUNCTION("""COMPUTED_VALUE"""),44651.4011574074)</f>
        <v>44651.40116</v>
      </c>
      <c r="D6884" s="13">
        <f t="shared" si="1"/>
        <v>31</v>
      </c>
      <c r="E6884" s="13">
        <f t="shared" si="2"/>
        <v>9</v>
      </c>
    </row>
    <row r="6885">
      <c r="A6885" s="4" t="s">
        <v>7511</v>
      </c>
      <c r="B6885" s="16"/>
      <c r="C6885" s="12">
        <f>IFERROR(__xludf.DUMMYFUNCTION("""COMPUTED_VALUE"""),44651.4011574074)</f>
        <v>44651.40116</v>
      </c>
      <c r="D6885" s="13">
        <f t="shared" si="1"/>
        <v>31</v>
      </c>
      <c r="E6885" s="13">
        <f t="shared" si="2"/>
        <v>9</v>
      </c>
    </row>
    <row r="6886">
      <c r="A6886" s="4" t="s">
        <v>7512</v>
      </c>
      <c r="B6886" s="16"/>
      <c r="C6886" s="12">
        <f>IFERROR(__xludf.DUMMYFUNCTION("""COMPUTED_VALUE"""),44651.39637731481)</f>
        <v>44651.39638</v>
      </c>
      <c r="D6886" s="13">
        <f t="shared" si="1"/>
        <v>31</v>
      </c>
      <c r="E6886" s="13">
        <f t="shared" si="2"/>
        <v>9</v>
      </c>
    </row>
    <row r="6887">
      <c r="A6887" s="4" t="s">
        <v>7512</v>
      </c>
      <c r="B6887" s="16"/>
      <c r="C6887" s="12">
        <f>IFERROR(__xludf.DUMMYFUNCTION("""COMPUTED_VALUE"""),44651.39637731481)</f>
        <v>44651.39638</v>
      </c>
      <c r="D6887" s="13">
        <f t="shared" si="1"/>
        <v>31</v>
      </c>
      <c r="E6887" s="13">
        <f t="shared" si="2"/>
        <v>9</v>
      </c>
    </row>
    <row r="6888">
      <c r="A6888" s="4" t="s">
        <v>7513</v>
      </c>
      <c r="B6888" s="16"/>
      <c r="C6888" s="12">
        <f>IFERROR(__xludf.DUMMYFUNCTION("""COMPUTED_VALUE"""),44651.394803240735)</f>
        <v>44651.3948</v>
      </c>
      <c r="D6888" s="13">
        <f t="shared" si="1"/>
        <v>31</v>
      </c>
      <c r="E6888" s="13">
        <f t="shared" si="2"/>
        <v>9</v>
      </c>
    </row>
    <row r="6889">
      <c r="A6889" s="4" t="s">
        <v>7513</v>
      </c>
      <c r="B6889" s="16"/>
      <c r="C6889" s="12">
        <f>IFERROR(__xludf.DUMMYFUNCTION("""COMPUTED_VALUE"""),44651.394803240735)</f>
        <v>44651.3948</v>
      </c>
      <c r="D6889" s="13">
        <f t="shared" si="1"/>
        <v>31</v>
      </c>
      <c r="E6889" s="13">
        <f t="shared" si="2"/>
        <v>9</v>
      </c>
    </row>
    <row r="6890">
      <c r="A6890" s="4" t="s">
        <v>7514</v>
      </c>
      <c r="B6890" s="16"/>
      <c r="C6890" s="12">
        <f>IFERROR(__xludf.DUMMYFUNCTION("""COMPUTED_VALUE"""),44651.38938657407)</f>
        <v>44651.38939</v>
      </c>
      <c r="D6890" s="13">
        <f t="shared" si="1"/>
        <v>31</v>
      </c>
      <c r="E6890" s="13">
        <f t="shared" si="2"/>
        <v>9</v>
      </c>
    </row>
    <row r="6891">
      <c r="A6891" s="4" t="s">
        <v>7515</v>
      </c>
      <c r="B6891" s="16"/>
      <c r="C6891" s="12">
        <f>IFERROR(__xludf.DUMMYFUNCTION("""COMPUTED_VALUE"""),44651.389375)</f>
        <v>44651.38938</v>
      </c>
      <c r="D6891" s="13">
        <f t="shared" si="1"/>
        <v>31</v>
      </c>
      <c r="E6891" s="13">
        <f t="shared" si="2"/>
        <v>9</v>
      </c>
    </row>
    <row r="6892">
      <c r="A6892" s="4" t="s">
        <v>7516</v>
      </c>
      <c r="B6892" s="16"/>
      <c r="C6892" s="12">
        <f>IFERROR(__xludf.DUMMYFUNCTION("""COMPUTED_VALUE"""),44651.38810185185)</f>
        <v>44651.3881</v>
      </c>
      <c r="D6892" s="13">
        <f t="shared" si="1"/>
        <v>31</v>
      </c>
      <c r="E6892" s="13">
        <f t="shared" si="2"/>
        <v>9</v>
      </c>
    </row>
    <row r="6893">
      <c r="A6893" s="4" t="s">
        <v>7516</v>
      </c>
      <c r="B6893" s="16"/>
      <c r="C6893" s="12">
        <f>IFERROR(__xludf.DUMMYFUNCTION("""COMPUTED_VALUE"""),44651.38810185185)</f>
        <v>44651.3881</v>
      </c>
      <c r="D6893" s="13">
        <f t="shared" si="1"/>
        <v>31</v>
      </c>
      <c r="E6893" s="13">
        <f t="shared" si="2"/>
        <v>9</v>
      </c>
    </row>
    <row r="6894">
      <c r="A6894" s="4" t="s">
        <v>7517</v>
      </c>
      <c r="B6894" s="16"/>
      <c r="C6894" s="12">
        <f>IFERROR(__xludf.DUMMYFUNCTION("""COMPUTED_VALUE"""),44651.387604166666)</f>
        <v>44651.3876</v>
      </c>
      <c r="D6894" s="13">
        <f t="shared" si="1"/>
        <v>31</v>
      </c>
      <c r="E6894" s="13">
        <f t="shared" si="2"/>
        <v>9</v>
      </c>
    </row>
    <row r="6895">
      <c r="A6895" s="4" t="s">
        <v>7518</v>
      </c>
      <c r="B6895" s="16"/>
      <c r="C6895" s="12">
        <f>IFERROR(__xludf.DUMMYFUNCTION("""COMPUTED_VALUE"""),44651.38722222222)</f>
        <v>44651.38722</v>
      </c>
      <c r="D6895" s="13">
        <f t="shared" si="1"/>
        <v>31</v>
      </c>
      <c r="E6895" s="13">
        <f t="shared" si="2"/>
        <v>9</v>
      </c>
    </row>
    <row r="6896">
      <c r="A6896" s="4" t="s">
        <v>7518</v>
      </c>
      <c r="B6896" s="16"/>
      <c r="C6896" s="12">
        <f>IFERROR(__xludf.DUMMYFUNCTION("""COMPUTED_VALUE"""),44651.38722222222)</f>
        <v>44651.38722</v>
      </c>
      <c r="D6896" s="13">
        <f t="shared" si="1"/>
        <v>31</v>
      </c>
      <c r="E6896" s="13">
        <f t="shared" si="2"/>
        <v>9</v>
      </c>
    </row>
    <row r="6897">
      <c r="A6897" s="4" t="s">
        <v>7519</v>
      </c>
      <c r="B6897" s="16"/>
      <c r="C6897" s="12">
        <f>IFERROR(__xludf.DUMMYFUNCTION("""COMPUTED_VALUE"""),44651.38254629629)</f>
        <v>44651.38255</v>
      </c>
      <c r="D6897" s="13">
        <f t="shared" si="1"/>
        <v>31</v>
      </c>
      <c r="E6897" s="13">
        <f t="shared" si="2"/>
        <v>9</v>
      </c>
    </row>
    <row r="6898">
      <c r="A6898" s="4" t="s">
        <v>7520</v>
      </c>
      <c r="B6898" s="16"/>
      <c r="C6898" s="12">
        <f>IFERROR(__xludf.DUMMYFUNCTION("""COMPUTED_VALUE"""),44651.37931712963)</f>
        <v>44651.37932</v>
      </c>
      <c r="D6898" s="13">
        <f t="shared" si="1"/>
        <v>31</v>
      </c>
      <c r="E6898" s="13">
        <f t="shared" si="2"/>
        <v>9</v>
      </c>
    </row>
    <row r="6899">
      <c r="A6899" s="4" t="s">
        <v>7521</v>
      </c>
      <c r="B6899" s="16"/>
      <c r="C6899" s="12">
        <f>IFERROR(__xludf.DUMMYFUNCTION("""COMPUTED_VALUE"""),44651.35986111111)</f>
        <v>44651.35986</v>
      </c>
      <c r="D6899" s="13">
        <f t="shared" si="1"/>
        <v>31</v>
      </c>
      <c r="E6899" s="13">
        <f t="shared" si="2"/>
        <v>8</v>
      </c>
    </row>
    <row r="6900">
      <c r="A6900" s="4" t="s">
        <v>7522</v>
      </c>
      <c r="B6900" s="16"/>
      <c r="C6900" s="12">
        <f>IFERROR(__xludf.DUMMYFUNCTION("""COMPUTED_VALUE"""),44651.35844907407)</f>
        <v>44651.35845</v>
      </c>
      <c r="D6900" s="13">
        <f t="shared" si="1"/>
        <v>31</v>
      </c>
      <c r="E6900" s="13">
        <f t="shared" si="2"/>
        <v>8</v>
      </c>
    </row>
    <row r="6901">
      <c r="A6901" s="4" t="s">
        <v>7522</v>
      </c>
      <c r="B6901" s="16"/>
      <c r="C6901" s="12">
        <f>IFERROR(__xludf.DUMMYFUNCTION("""COMPUTED_VALUE"""),44651.35844907407)</f>
        <v>44651.35845</v>
      </c>
      <c r="D6901" s="13">
        <f t="shared" si="1"/>
        <v>31</v>
      </c>
      <c r="E6901" s="13">
        <f t="shared" si="2"/>
        <v>8</v>
      </c>
    </row>
    <row r="6902">
      <c r="A6902" s="4" t="s">
        <v>7523</v>
      </c>
      <c r="B6902" s="16"/>
      <c r="C6902" s="12">
        <f>IFERROR(__xludf.DUMMYFUNCTION("""COMPUTED_VALUE"""),44651.35528935185)</f>
        <v>44651.35529</v>
      </c>
      <c r="D6902" s="13">
        <f t="shared" si="1"/>
        <v>31</v>
      </c>
      <c r="E6902" s="13">
        <f t="shared" si="2"/>
        <v>8</v>
      </c>
    </row>
    <row r="6903">
      <c r="A6903" s="4" t="s">
        <v>7523</v>
      </c>
      <c r="B6903" s="16"/>
      <c r="C6903" s="12">
        <f>IFERROR(__xludf.DUMMYFUNCTION("""COMPUTED_VALUE"""),44651.35528935185)</f>
        <v>44651.35529</v>
      </c>
      <c r="D6903" s="13">
        <f t="shared" si="1"/>
        <v>31</v>
      </c>
      <c r="E6903" s="13">
        <f t="shared" si="2"/>
        <v>8</v>
      </c>
    </row>
    <row r="6904">
      <c r="A6904" s="4" t="s">
        <v>7524</v>
      </c>
      <c r="B6904" s="16"/>
      <c r="C6904" s="12">
        <f>IFERROR(__xludf.DUMMYFUNCTION("""COMPUTED_VALUE"""),44651.35478009259)</f>
        <v>44651.35478</v>
      </c>
      <c r="D6904" s="13">
        <f t="shared" si="1"/>
        <v>31</v>
      </c>
      <c r="E6904" s="13">
        <f t="shared" si="2"/>
        <v>8</v>
      </c>
    </row>
    <row r="6905">
      <c r="A6905" s="4" t="s">
        <v>7524</v>
      </c>
      <c r="B6905" s="16"/>
      <c r="C6905" s="12">
        <f>IFERROR(__xludf.DUMMYFUNCTION("""COMPUTED_VALUE"""),44651.35478009259)</f>
        <v>44651.35478</v>
      </c>
      <c r="D6905" s="13">
        <f t="shared" si="1"/>
        <v>31</v>
      </c>
      <c r="E6905" s="13">
        <f t="shared" si="2"/>
        <v>8</v>
      </c>
    </row>
    <row r="6906">
      <c r="A6906" s="4" t="s">
        <v>7525</v>
      </c>
      <c r="B6906" s="16"/>
      <c r="C6906" s="12">
        <f>IFERROR(__xludf.DUMMYFUNCTION("""COMPUTED_VALUE"""),44651.35438657407)</f>
        <v>44651.35439</v>
      </c>
      <c r="D6906" s="13">
        <f t="shared" si="1"/>
        <v>31</v>
      </c>
      <c r="E6906" s="13">
        <f t="shared" si="2"/>
        <v>8</v>
      </c>
    </row>
    <row r="6907">
      <c r="A6907" s="4" t="s">
        <v>7525</v>
      </c>
      <c r="B6907" s="16"/>
      <c r="C6907" s="12">
        <f>IFERROR(__xludf.DUMMYFUNCTION("""COMPUTED_VALUE"""),44651.35438657407)</f>
        <v>44651.35439</v>
      </c>
      <c r="D6907" s="13">
        <f t="shared" si="1"/>
        <v>31</v>
      </c>
      <c r="E6907" s="13">
        <f t="shared" si="2"/>
        <v>8</v>
      </c>
    </row>
    <row r="6908">
      <c r="A6908" s="4" t="s">
        <v>7526</v>
      </c>
      <c r="B6908" s="16"/>
      <c r="C6908" s="12">
        <f>IFERROR(__xludf.DUMMYFUNCTION("""COMPUTED_VALUE"""),44651.35384259259)</f>
        <v>44651.35384</v>
      </c>
      <c r="D6908" s="13">
        <f t="shared" si="1"/>
        <v>31</v>
      </c>
      <c r="E6908" s="13">
        <f t="shared" si="2"/>
        <v>8</v>
      </c>
    </row>
    <row r="6909">
      <c r="A6909" s="4" t="s">
        <v>7527</v>
      </c>
      <c r="B6909" s="16"/>
      <c r="C6909" s="12">
        <f>IFERROR(__xludf.DUMMYFUNCTION("""COMPUTED_VALUE"""),44651.353634259256)</f>
        <v>44651.35363</v>
      </c>
      <c r="D6909" s="13">
        <f t="shared" si="1"/>
        <v>31</v>
      </c>
      <c r="E6909" s="13">
        <f t="shared" si="2"/>
        <v>8</v>
      </c>
    </row>
    <row r="6910">
      <c r="A6910" s="4" t="s">
        <v>7528</v>
      </c>
      <c r="B6910" s="16"/>
      <c r="C6910" s="12">
        <f>IFERROR(__xludf.DUMMYFUNCTION("""COMPUTED_VALUE"""),44651.35346064815)</f>
        <v>44651.35346</v>
      </c>
      <c r="D6910" s="13">
        <f t="shared" si="1"/>
        <v>31</v>
      </c>
      <c r="E6910" s="13">
        <f t="shared" si="2"/>
        <v>8</v>
      </c>
    </row>
    <row r="6911">
      <c r="A6911" s="4" t="s">
        <v>7529</v>
      </c>
      <c r="B6911" s="16"/>
      <c r="C6911" s="12">
        <f>IFERROR(__xludf.DUMMYFUNCTION("""COMPUTED_VALUE"""),44651.353113425925)</f>
        <v>44651.35311</v>
      </c>
      <c r="D6911" s="13">
        <f t="shared" si="1"/>
        <v>31</v>
      </c>
      <c r="E6911" s="13">
        <f t="shared" si="2"/>
        <v>8</v>
      </c>
    </row>
    <row r="6912">
      <c r="A6912" s="4" t="s">
        <v>7530</v>
      </c>
      <c r="B6912" s="16"/>
      <c r="C6912" s="12">
        <f>IFERROR(__xludf.DUMMYFUNCTION("""COMPUTED_VALUE"""),44651.35293981481)</f>
        <v>44651.35294</v>
      </c>
      <c r="D6912" s="13">
        <f t="shared" si="1"/>
        <v>31</v>
      </c>
      <c r="E6912" s="13">
        <f t="shared" si="2"/>
        <v>8</v>
      </c>
    </row>
    <row r="6913">
      <c r="A6913" s="4" t="s">
        <v>7531</v>
      </c>
      <c r="B6913" s="16"/>
      <c r="C6913" s="12">
        <f>IFERROR(__xludf.DUMMYFUNCTION("""COMPUTED_VALUE"""),44651.3527199074)</f>
        <v>44651.35272</v>
      </c>
      <c r="D6913" s="13">
        <f t="shared" si="1"/>
        <v>31</v>
      </c>
      <c r="E6913" s="13">
        <f t="shared" si="2"/>
        <v>8</v>
      </c>
    </row>
    <row r="6914">
      <c r="A6914" s="4" t="s">
        <v>7532</v>
      </c>
      <c r="B6914" s="16"/>
      <c r="C6914" s="12">
        <f>IFERROR(__xludf.DUMMYFUNCTION("""COMPUTED_VALUE"""),44651.35241898148)</f>
        <v>44651.35242</v>
      </c>
      <c r="D6914" s="13">
        <f t="shared" si="1"/>
        <v>31</v>
      </c>
      <c r="E6914" s="13">
        <f t="shared" si="2"/>
        <v>8</v>
      </c>
    </row>
    <row r="6915">
      <c r="A6915" s="4" t="s">
        <v>7533</v>
      </c>
      <c r="B6915" s="16"/>
      <c r="C6915" s="12">
        <f>IFERROR(__xludf.DUMMYFUNCTION("""COMPUTED_VALUE"""),44651.3521875)</f>
        <v>44651.35219</v>
      </c>
      <c r="D6915" s="13">
        <f t="shared" si="1"/>
        <v>31</v>
      </c>
      <c r="E6915" s="13">
        <f t="shared" si="2"/>
        <v>8</v>
      </c>
    </row>
    <row r="6916">
      <c r="A6916" s="4" t="s">
        <v>7534</v>
      </c>
      <c r="B6916" s="16"/>
      <c r="C6916" s="12">
        <f>IFERROR(__xludf.DUMMYFUNCTION("""COMPUTED_VALUE"""),44651.35199074074)</f>
        <v>44651.35199</v>
      </c>
      <c r="D6916" s="13">
        <f t="shared" si="1"/>
        <v>31</v>
      </c>
      <c r="E6916" s="13">
        <f t="shared" si="2"/>
        <v>8</v>
      </c>
    </row>
    <row r="6917">
      <c r="A6917" s="4" t="s">
        <v>7535</v>
      </c>
      <c r="B6917" s="16"/>
      <c r="C6917" s="12">
        <f>IFERROR(__xludf.DUMMYFUNCTION("""COMPUTED_VALUE"""),44651.35179398148)</f>
        <v>44651.35179</v>
      </c>
      <c r="D6917" s="13">
        <f t="shared" si="1"/>
        <v>31</v>
      </c>
      <c r="E6917" s="13">
        <f t="shared" si="2"/>
        <v>8</v>
      </c>
    </row>
    <row r="6918">
      <c r="A6918" s="4" t="s">
        <v>7536</v>
      </c>
      <c r="B6918" s="16"/>
      <c r="C6918" s="12">
        <f>IFERROR(__xludf.DUMMYFUNCTION("""COMPUTED_VALUE"""),44651.35160879629)</f>
        <v>44651.35161</v>
      </c>
      <c r="D6918" s="13">
        <f t="shared" si="1"/>
        <v>31</v>
      </c>
      <c r="E6918" s="13">
        <f t="shared" si="2"/>
        <v>8</v>
      </c>
    </row>
    <row r="6919">
      <c r="A6919" s="4" t="s">
        <v>7537</v>
      </c>
      <c r="B6919" s="16"/>
      <c r="C6919" s="12">
        <f>IFERROR(__xludf.DUMMYFUNCTION("""COMPUTED_VALUE"""),44651.35126157407)</f>
        <v>44651.35126</v>
      </c>
      <c r="D6919" s="13">
        <f t="shared" si="1"/>
        <v>31</v>
      </c>
      <c r="E6919" s="13">
        <f t="shared" si="2"/>
        <v>8</v>
      </c>
    </row>
    <row r="6920">
      <c r="A6920" s="4" t="s">
        <v>7538</v>
      </c>
      <c r="B6920" s="16"/>
      <c r="C6920" s="12">
        <f>IFERROR(__xludf.DUMMYFUNCTION("""COMPUTED_VALUE"""),44651.35121527778)</f>
        <v>44651.35122</v>
      </c>
      <c r="D6920" s="13">
        <f t="shared" si="1"/>
        <v>31</v>
      </c>
      <c r="E6920" s="13">
        <f t="shared" si="2"/>
        <v>8</v>
      </c>
    </row>
    <row r="6921">
      <c r="A6921" s="4" t="s">
        <v>7539</v>
      </c>
      <c r="B6921" s="16"/>
      <c r="C6921" s="12">
        <f>IFERROR(__xludf.DUMMYFUNCTION("""COMPUTED_VALUE"""),44651.35068287037)</f>
        <v>44651.35068</v>
      </c>
      <c r="D6921" s="13">
        <f t="shared" si="1"/>
        <v>31</v>
      </c>
      <c r="E6921" s="13">
        <f t="shared" si="2"/>
        <v>8</v>
      </c>
    </row>
    <row r="6922">
      <c r="A6922" s="4" t="s">
        <v>7539</v>
      </c>
      <c r="B6922" s="16"/>
      <c r="C6922" s="12">
        <f>IFERROR(__xludf.DUMMYFUNCTION("""COMPUTED_VALUE"""),44651.35068287037)</f>
        <v>44651.35068</v>
      </c>
      <c r="D6922" s="13">
        <f t="shared" si="1"/>
        <v>31</v>
      </c>
      <c r="E6922" s="13">
        <f t="shared" si="2"/>
        <v>8</v>
      </c>
    </row>
    <row r="6923">
      <c r="A6923" s="4" t="s">
        <v>7540</v>
      </c>
      <c r="B6923" s="16"/>
      <c r="C6923" s="12">
        <f>IFERROR(__xludf.DUMMYFUNCTION("""COMPUTED_VALUE"""),44651.35025462963)</f>
        <v>44651.35025</v>
      </c>
      <c r="D6923" s="13">
        <f t="shared" si="1"/>
        <v>31</v>
      </c>
      <c r="E6923" s="13">
        <f t="shared" si="2"/>
        <v>8</v>
      </c>
    </row>
    <row r="6924">
      <c r="A6924" s="4" t="s">
        <v>7541</v>
      </c>
      <c r="B6924" s="16"/>
      <c r="C6924" s="12">
        <f>IFERROR(__xludf.DUMMYFUNCTION("""COMPUTED_VALUE"""),44651.35013888888)</f>
        <v>44651.35014</v>
      </c>
      <c r="D6924" s="13">
        <f t="shared" si="1"/>
        <v>31</v>
      </c>
      <c r="E6924" s="13">
        <f t="shared" si="2"/>
        <v>8</v>
      </c>
    </row>
    <row r="6925">
      <c r="A6925" s="4" t="s">
        <v>7542</v>
      </c>
      <c r="B6925" s="16"/>
      <c r="C6925" s="12">
        <f>IFERROR(__xludf.DUMMYFUNCTION("""COMPUTED_VALUE"""),44651.34982638888)</f>
        <v>44651.34983</v>
      </c>
      <c r="D6925" s="13">
        <f t="shared" si="1"/>
        <v>31</v>
      </c>
      <c r="E6925" s="13">
        <f t="shared" si="2"/>
        <v>8</v>
      </c>
    </row>
    <row r="6926">
      <c r="A6926" s="4" t="s">
        <v>7543</v>
      </c>
      <c r="B6926" s="16"/>
      <c r="C6926" s="12">
        <f>IFERROR(__xludf.DUMMYFUNCTION("""COMPUTED_VALUE"""),44651.349756944444)</f>
        <v>44651.34976</v>
      </c>
      <c r="D6926" s="13">
        <f t="shared" si="1"/>
        <v>31</v>
      </c>
      <c r="E6926" s="13">
        <f t="shared" si="2"/>
        <v>8</v>
      </c>
    </row>
    <row r="6927">
      <c r="A6927" s="4" t="s">
        <v>7544</v>
      </c>
      <c r="B6927" s="16"/>
      <c r="C6927" s="12">
        <f>IFERROR(__xludf.DUMMYFUNCTION("""COMPUTED_VALUE"""),44651.349386574075)</f>
        <v>44651.34939</v>
      </c>
      <c r="D6927" s="13">
        <f t="shared" si="1"/>
        <v>31</v>
      </c>
      <c r="E6927" s="13">
        <f t="shared" si="2"/>
        <v>8</v>
      </c>
    </row>
    <row r="6928">
      <c r="A6928" s="4" t="s">
        <v>7544</v>
      </c>
      <c r="B6928" s="16"/>
      <c r="C6928" s="12">
        <f>IFERROR(__xludf.DUMMYFUNCTION("""COMPUTED_VALUE"""),44651.349386574075)</f>
        <v>44651.34939</v>
      </c>
      <c r="D6928" s="13">
        <f t="shared" si="1"/>
        <v>31</v>
      </c>
      <c r="E6928" s="13">
        <f t="shared" si="2"/>
        <v>8</v>
      </c>
    </row>
    <row r="6929">
      <c r="A6929" s="4" t="s">
        <v>7545</v>
      </c>
      <c r="B6929" s="16"/>
      <c r="C6929" s="12">
        <f>IFERROR(__xludf.DUMMYFUNCTION("""COMPUTED_VALUE"""),44651.34894675926)</f>
        <v>44651.34895</v>
      </c>
      <c r="D6929" s="13">
        <f t="shared" si="1"/>
        <v>31</v>
      </c>
      <c r="E6929" s="13">
        <f t="shared" si="2"/>
        <v>8</v>
      </c>
    </row>
    <row r="6930">
      <c r="A6930" s="4" t="s">
        <v>7546</v>
      </c>
      <c r="B6930" s="16"/>
      <c r="C6930" s="12">
        <f>IFERROR(__xludf.DUMMYFUNCTION("""COMPUTED_VALUE"""),44651.34858796296)</f>
        <v>44651.34859</v>
      </c>
      <c r="D6930" s="13">
        <f t="shared" si="1"/>
        <v>31</v>
      </c>
      <c r="E6930" s="13">
        <f t="shared" si="2"/>
        <v>8</v>
      </c>
    </row>
    <row r="6931">
      <c r="A6931" s="4" t="s">
        <v>7546</v>
      </c>
      <c r="B6931" s="16"/>
      <c r="C6931" s="12">
        <f>IFERROR(__xludf.DUMMYFUNCTION("""COMPUTED_VALUE"""),44651.34858796296)</f>
        <v>44651.34859</v>
      </c>
      <c r="D6931" s="13">
        <f t="shared" si="1"/>
        <v>31</v>
      </c>
      <c r="E6931" s="13">
        <f t="shared" si="2"/>
        <v>8</v>
      </c>
    </row>
    <row r="6932">
      <c r="A6932" s="4" t="s">
        <v>7547</v>
      </c>
      <c r="B6932" s="16"/>
      <c r="C6932" s="12">
        <f>IFERROR(__xludf.DUMMYFUNCTION("""COMPUTED_VALUE"""),44651.345358796294)</f>
        <v>44651.34536</v>
      </c>
      <c r="D6932" s="13">
        <f t="shared" si="1"/>
        <v>31</v>
      </c>
      <c r="E6932" s="13">
        <f t="shared" si="2"/>
        <v>8</v>
      </c>
    </row>
    <row r="6933">
      <c r="A6933" s="4" t="s">
        <v>7548</v>
      </c>
      <c r="B6933" s="16"/>
      <c r="C6933" s="12">
        <f>IFERROR(__xludf.DUMMYFUNCTION("""COMPUTED_VALUE"""),44651.34480324074)</f>
        <v>44651.3448</v>
      </c>
      <c r="D6933" s="13">
        <f t="shared" si="1"/>
        <v>31</v>
      </c>
      <c r="E6933" s="13">
        <f t="shared" si="2"/>
        <v>8</v>
      </c>
    </row>
    <row r="6934">
      <c r="A6934" s="4" t="s">
        <v>7549</v>
      </c>
      <c r="B6934" s="16"/>
      <c r="C6934" s="12">
        <f>IFERROR(__xludf.DUMMYFUNCTION("""COMPUTED_VALUE"""),44651.34410879629)</f>
        <v>44651.34411</v>
      </c>
      <c r="D6934" s="13">
        <f t="shared" si="1"/>
        <v>31</v>
      </c>
      <c r="E6934" s="13">
        <f t="shared" si="2"/>
        <v>8</v>
      </c>
    </row>
    <row r="6935">
      <c r="A6935" s="4" t="s">
        <v>7550</v>
      </c>
      <c r="B6935" s="16"/>
      <c r="C6935" s="12">
        <f>IFERROR(__xludf.DUMMYFUNCTION("""COMPUTED_VALUE"""),44651.342939814815)</f>
        <v>44651.34294</v>
      </c>
      <c r="D6935" s="13">
        <f t="shared" si="1"/>
        <v>31</v>
      </c>
      <c r="E6935" s="13">
        <f t="shared" si="2"/>
        <v>8</v>
      </c>
    </row>
    <row r="6936">
      <c r="A6936" s="4" t="s">
        <v>7551</v>
      </c>
      <c r="B6936" s="16"/>
      <c r="C6936" s="12">
        <f>IFERROR(__xludf.DUMMYFUNCTION("""COMPUTED_VALUE"""),44651.342152777775)</f>
        <v>44651.34215</v>
      </c>
      <c r="D6936" s="13">
        <f t="shared" si="1"/>
        <v>31</v>
      </c>
      <c r="E6936" s="13">
        <f t="shared" si="2"/>
        <v>8</v>
      </c>
    </row>
    <row r="6937">
      <c r="A6937" s="4" t="s">
        <v>7552</v>
      </c>
      <c r="B6937" s="16"/>
      <c r="C6937" s="12">
        <f>IFERROR(__xludf.DUMMYFUNCTION("""COMPUTED_VALUE"""),44651.34179398148)</f>
        <v>44651.34179</v>
      </c>
      <c r="D6937" s="13">
        <f t="shared" si="1"/>
        <v>31</v>
      </c>
      <c r="E6937" s="13">
        <f t="shared" si="2"/>
        <v>8</v>
      </c>
    </row>
    <row r="6938">
      <c r="A6938" s="4" t="s">
        <v>7553</v>
      </c>
      <c r="B6938" s="16"/>
      <c r="C6938" s="12">
        <f>IFERROR(__xludf.DUMMYFUNCTION("""COMPUTED_VALUE"""),44651.34135416667)</f>
        <v>44651.34135</v>
      </c>
      <c r="D6938" s="13">
        <f t="shared" si="1"/>
        <v>31</v>
      </c>
      <c r="E6938" s="13">
        <f t="shared" si="2"/>
        <v>8</v>
      </c>
    </row>
    <row r="6939">
      <c r="A6939" s="4" t="s">
        <v>7554</v>
      </c>
      <c r="B6939" s="16"/>
      <c r="C6939" s="12">
        <f>IFERROR(__xludf.DUMMYFUNCTION("""COMPUTED_VALUE"""),44651.339270833334)</f>
        <v>44651.33927</v>
      </c>
      <c r="D6939" s="13">
        <f t="shared" si="1"/>
        <v>31</v>
      </c>
      <c r="E6939" s="13">
        <f t="shared" si="2"/>
        <v>8</v>
      </c>
    </row>
    <row r="6940">
      <c r="A6940" s="4" t="s">
        <v>7555</v>
      </c>
      <c r="B6940" s="16"/>
      <c r="C6940" s="12">
        <f>IFERROR(__xludf.DUMMYFUNCTION("""COMPUTED_VALUE"""),44651.33883101852)</f>
        <v>44651.33883</v>
      </c>
      <c r="D6940" s="13">
        <f t="shared" si="1"/>
        <v>31</v>
      </c>
      <c r="E6940" s="13">
        <f t="shared" si="2"/>
        <v>8</v>
      </c>
    </row>
    <row r="6941">
      <c r="A6941" s="4" t="s">
        <v>7556</v>
      </c>
      <c r="B6941" s="16"/>
      <c r="C6941" s="12">
        <f>IFERROR(__xludf.DUMMYFUNCTION("""COMPUTED_VALUE"""),44651.33741898148)</f>
        <v>44651.33742</v>
      </c>
      <c r="D6941" s="13">
        <f t="shared" si="1"/>
        <v>31</v>
      </c>
      <c r="E6941" s="13">
        <f t="shared" si="2"/>
        <v>8</v>
      </c>
    </row>
    <row r="6942">
      <c r="A6942" s="4" t="s">
        <v>7557</v>
      </c>
      <c r="B6942" s="16"/>
      <c r="C6942" s="12">
        <f>IFERROR(__xludf.DUMMYFUNCTION("""COMPUTED_VALUE"""),44651.336493055554)</f>
        <v>44651.33649</v>
      </c>
      <c r="D6942" s="13">
        <f t="shared" si="1"/>
        <v>31</v>
      </c>
      <c r="E6942" s="13">
        <f t="shared" si="2"/>
        <v>8</v>
      </c>
    </row>
    <row r="6943">
      <c r="A6943" s="4" t="s">
        <v>7558</v>
      </c>
      <c r="B6943" s="16"/>
      <c r="C6943" s="12">
        <f>IFERROR(__xludf.DUMMYFUNCTION("""COMPUTED_VALUE"""),44651.33609953703)</f>
        <v>44651.3361</v>
      </c>
      <c r="D6943" s="13">
        <f t="shared" si="1"/>
        <v>31</v>
      </c>
      <c r="E6943" s="13">
        <f t="shared" si="2"/>
        <v>8</v>
      </c>
    </row>
    <row r="6944">
      <c r="A6944" s="4" t="s">
        <v>7559</v>
      </c>
      <c r="B6944" s="16"/>
      <c r="C6944" s="12">
        <f>IFERROR(__xludf.DUMMYFUNCTION("""COMPUTED_VALUE"""),44651.33553240741)</f>
        <v>44651.33553</v>
      </c>
      <c r="D6944" s="13">
        <f t="shared" si="1"/>
        <v>31</v>
      </c>
      <c r="E6944" s="13">
        <f t="shared" si="2"/>
        <v>8</v>
      </c>
    </row>
    <row r="6945">
      <c r="A6945" s="4" t="s">
        <v>7560</v>
      </c>
      <c r="B6945" s="16"/>
      <c r="C6945" s="12">
        <f>IFERROR(__xludf.DUMMYFUNCTION("""COMPUTED_VALUE"""),44651.33436342592)</f>
        <v>44651.33436</v>
      </c>
      <c r="D6945" s="13">
        <f t="shared" si="1"/>
        <v>31</v>
      </c>
      <c r="E6945" s="13">
        <f t="shared" si="2"/>
        <v>8</v>
      </c>
    </row>
    <row r="6946">
      <c r="A6946" s="4" t="s">
        <v>7561</v>
      </c>
      <c r="B6946" s="16"/>
      <c r="C6946" s="12">
        <f>IFERROR(__xludf.DUMMYFUNCTION("""COMPUTED_VALUE"""),44651.33331018518)</f>
        <v>44651.33331</v>
      </c>
      <c r="D6946" s="13">
        <f t="shared" si="1"/>
        <v>31</v>
      </c>
      <c r="E6946" s="13">
        <f t="shared" si="2"/>
        <v>7</v>
      </c>
    </row>
    <row r="6947">
      <c r="A6947" s="4" t="s">
        <v>7562</v>
      </c>
      <c r="B6947" s="16"/>
      <c r="C6947" s="12">
        <f>IFERROR(__xludf.DUMMYFUNCTION("""COMPUTED_VALUE"""),44651.33327546296)</f>
        <v>44651.33328</v>
      </c>
      <c r="D6947" s="13">
        <f t="shared" si="1"/>
        <v>31</v>
      </c>
      <c r="E6947" s="13">
        <f t="shared" si="2"/>
        <v>7</v>
      </c>
    </row>
    <row r="6948">
      <c r="A6948" s="4" t="s">
        <v>7563</v>
      </c>
      <c r="B6948" s="16"/>
      <c r="C6948" s="12">
        <f>IFERROR(__xludf.DUMMYFUNCTION("""COMPUTED_VALUE"""),44651.33265046296)</f>
        <v>44651.33265</v>
      </c>
      <c r="D6948" s="13">
        <f t="shared" si="1"/>
        <v>31</v>
      </c>
      <c r="E6948" s="13">
        <f t="shared" si="2"/>
        <v>7</v>
      </c>
    </row>
    <row r="6949">
      <c r="A6949" s="4" t="s">
        <v>7563</v>
      </c>
      <c r="B6949" s="16"/>
      <c r="C6949" s="12">
        <f>IFERROR(__xludf.DUMMYFUNCTION("""COMPUTED_VALUE"""),44651.33265046296)</f>
        <v>44651.33265</v>
      </c>
      <c r="D6949" s="13">
        <f t="shared" si="1"/>
        <v>31</v>
      </c>
      <c r="E6949" s="13">
        <f t="shared" si="2"/>
        <v>7</v>
      </c>
    </row>
    <row r="6950">
      <c r="A6950" s="4" t="s">
        <v>7564</v>
      </c>
      <c r="B6950" s="16"/>
      <c r="C6950" s="12">
        <f>IFERROR(__xludf.DUMMYFUNCTION("""COMPUTED_VALUE"""),44651.331932870366)</f>
        <v>44651.33193</v>
      </c>
      <c r="D6950" s="13">
        <f t="shared" si="1"/>
        <v>31</v>
      </c>
      <c r="E6950" s="13">
        <f t="shared" si="2"/>
        <v>7</v>
      </c>
    </row>
    <row r="6951">
      <c r="A6951" s="4" t="s">
        <v>7564</v>
      </c>
      <c r="B6951" s="16"/>
      <c r="C6951" s="12">
        <f>IFERROR(__xludf.DUMMYFUNCTION("""COMPUTED_VALUE"""),44651.331932870366)</f>
        <v>44651.33193</v>
      </c>
      <c r="D6951" s="13">
        <f t="shared" si="1"/>
        <v>31</v>
      </c>
      <c r="E6951" s="13">
        <f t="shared" si="2"/>
        <v>7</v>
      </c>
    </row>
    <row r="6952">
      <c r="A6952" s="4" t="s">
        <v>7565</v>
      </c>
      <c r="B6952" s="16"/>
      <c r="C6952" s="12">
        <f>IFERROR(__xludf.DUMMYFUNCTION("""COMPUTED_VALUE"""),44651.33153935185)</f>
        <v>44651.33154</v>
      </c>
      <c r="D6952" s="13">
        <f t="shared" si="1"/>
        <v>31</v>
      </c>
      <c r="E6952" s="13">
        <f t="shared" si="2"/>
        <v>7</v>
      </c>
    </row>
    <row r="6953">
      <c r="A6953" s="4" t="s">
        <v>7565</v>
      </c>
      <c r="B6953" s="16"/>
      <c r="C6953" s="12">
        <f>IFERROR(__xludf.DUMMYFUNCTION("""COMPUTED_VALUE"""),44651.33153935185)</f>
        <v>44651.33154</v>
      </c>
      <c r="D6953" s="13">
        <f t="shared" si="1"/>
        <v>31</v>
      </c>
      <c r="E6953" s="13">
        <f t="shared" si="2"/>
        <v>7</v>
      </c>
    </row>
    <row r="6954">
      <c r="A6954" s="4" t="s">
        <v>7566</v>
      </c>
      <c r="B6954" s="16"/>
      <c r="C6954" s="12">
        <f>IFERROR(__xludf.DUMMYFUNCTION("""COMPUTED_VALUE"""),44651.33112268518)</f>
        <v>44651.33112</v>
      </c>
      <c r="D6954" s="13">
        <f t="shared" si="1"/>
        <v>31</v>
      </c>
      <c r="E6954" s="13">
        <f t="shared" si="2"/>
        <v>7</v>
      </c>
    </row>
    <row r="6955">
      <c r="A6955" s="4" t="s">
        <v>7567</v>
      </c>
      <c r="B6955" s="16"/>
      <c r="C6955" s="12">
        <f>IFERROR(__xludf.DUMMYFUNCTION("""COMPUTED_VALUE"""),44651.33111111111)</f>
        <v>44651.33111</v>
      </c>
      <c r="D6955" s="13">
        <f t="shared" si="1"/>
        <v>31</v>
      </c>
      <c r="E6955" s="13">
        <f t="shared" si="2"/>
        <v>7</v>
      </c>
    </row>
    <row r="6956">
      <c r="A6956" s="4" t="s">
        <v>7568</v>
      </c>
      <c r="B6956" s="16"/>
      <c r="C6956" s="12">
        <f>IFERROR(__xludf.DUMMYFUNCTION("""COMPUTED_VALUE"""),44651.29567129629)</f>
        <v>44651.29567</v>
      </c>
      <c r="D6956" s="13">
        <f t="shared" si="1"/>
        <v>31</v>
      </c>
      <c r="E6956" s="13">
        <f t="shared" si="2"/>
        <v>7</v>
      </c>
    </row>
    <row r="6957">
      <c r="A6957" s="4" t="s">
        <v>7569</v>
      </c>
      <c r="B6957" s="16"/>
      <c r="C6957" s="12">
        <f>IFERROR(__xludf.DUMMYFUNCTION("""COMPUTED_VALUE"""),44651.26071759259)</f>
        <v>44651.26072</v>
      </c>
      <c r="D6957" s="13">
        <f t="shared" si="1"/>
        <v>31</v>
      </c>
      <c r="E6957" s="13">
        <f t="shared" si="2"/>
        <v>6</v>
      </c>
    </row>
    <row r="6958">
      <c r="A6958" s="4" t="s">
        <v>7570</v>
      </c>
      <c r="B6958" s="16"/>
      <c r="C6958" s="12">
        <f>IFERROR(__xludf.DUMMYFUNCTION("""COMPUTED_VALUE"""),44651.25111111111)</f>
        <v>44651.25111</v>
      </c>
      <c r="D6958" s="13">
        <f t="shared" si="1"/>
        <v>31</v>
      </c>
      <c r="E6958" s="13">
        <f t="shared" si="2"/>
        <v>6</v>
      </c>
    </row>
    <row r="6959">
      <c r="A6959" s="4" t="s">
        <v>7571</v>
      </c>
      <c r="B6959" s="16"/>
      <c r="C6959" s="12">
        <f>IFERROR(__xludf.DUMMYFUNCTION("""COMPUTED_VALUE"""),44651.21873842592)</f>
        <v>44651.21874</v>
      </c>
      <c r="D6959" s="13">
        <f t="shared" si="1"/>
        <v>31</v>
      </c>
      <c r="E6959" s="13">
        <f t="shared" si="2"/>
        <v>5</v>
      </c>
    </row>
    <row r="6960">
      <c r="A6960" s="4" t="s">
        <v>7572</v>
      </c>
      <c r="B6960" s="16"/>
      <c r="C6960" s="12">
        <f>IFERROR(__xludf.DUMMYFUNCTION("""COMPUTED_VALUE"""),44651.189259259256)</f>
        <v>44651.18926</v>
      </c>
      <c r="D6960" s="13">
        <f t="shared" si="1"/>
        <v>31</v>
      </c>
      <c r="E6960" s="13">
        <f t="shared" si="2"/>
        <v>4</v>
      </c>
    </row>
    <row r="6961">
      <c r="A6961" s="4" t="s">
        <v>7573</v>
      </c>
      <c r="B6961" s="16"/>
      <c r="C6961" s="12">
        <f>IFERROR(__xludf.DUMMYFUNCTION("""COMPUTED_VALUE"""),44651.03634259259)</f>
        <v>44651.03634</v>
      </c>
      <c r="D6961" s="13">
        <f t="shared" si="1"/>
        <v>31</v>
      </c>
      <c r="E6961" s="13">
        <f t="shared" si="2"/>
        <v>0</v>
      </c>
    </row>
    <row r="6962">
      <c r="A6962" s="4" t="s">
        <v>7574</v>
      </c>
      <c r="B6962" s="16"/>
      <c r="C6962" s="12">
        <f>IFERROR(__xludf.DUMMYFUNCTION("""COMPUTED_VALUE"""),44651.03596064814)</f>
        <v>44651.03596</v>
      </c>
      <c r="D6962" s="13">
        <f t="shared" si="1"/>
        <v>31</v>
      </c>
      <c r="E6962" s="13">
        <f t="shared" si="2"/>
        <v>0</v>
      </c>
    </row>
    <row r="6963">
      <c r="A6963" s="4" t="s">
        <v>7575</v>
      </c>
      <c r="B6963" s="16"/>
      <c r="C6963" s="12">
        <f>IFERROR(__xludf.DUMMYFUNCTION("""COMPUTED_VALUE"""),44651.035416666666)</f>
        <v>44651.03542</v>
      </c>
      <c r="D6963" s="13">
        <f t="shared" si="1"/>
        <v>31</v>
      </c>
      <c r="E6963" s="13">
        <f t="shared" si="2"/>
        <v>0</v>
      </c>
    </row>
    <row r="6964">
      <c r="A6964" s="4" t="s">
        <v>7576</v>
      </c>
      <c r="B6964" s="16"/>
      <c r="C6964" s="12">
        <f>IFERROR(__xludf.DUMMYFUNCTION("""COMPUTED_VALUE"""),44651.03528935185)</f>
        <v>44651.03529</v>
      </c>
      <c r="D6964" s="13">
        <f t="shared" si="1"/>
        <v>31</v>
      </c>
      <c r="E6964" s="13">
        <f t="shared" si="2"/>
        <v>0</v>
      </c>
    </row>
    <row r="6965">
      <c r="A6965" s="4" t="s">
        <v>7577</v>
      </c>
      <c r="B6965" s="16"/>
      <c r="C6965" s="12">
        <f>IFERROR(__xludf.DUMMYFUNCTION("""COMPUTED_VALUE"""),44651.00626157407)</f>
        <v>44651.00626</v>
      </c>
      <c r="D6965" s="13">
        <f t="shared" si="1"/>
        <v>31</v>
      </c>
      <c r="E6965" s="13">
        <f t="shared" si="2"/>
        <v>0</v>
      </c>
    </row>
    <row r="6966">
      <c r="A6966" s="4" t="s">
        <v>7578</v>
      </c>
      <c r="B6966" s="16"/>
      <c r="C6966" s="12">
        <f>IFERROR(__xludf.DUMMYFUNCTION("""COMPUTED_VALUE"""),44650.96090277778)</f>
        <v>44650.9609</v>
      </c>
      <c r="D6966" s="13">
        <f t="shared" si="1"/>
        <v>30</v>
      </c>
      <c r="E6966" s="13">
        <f t="shared" si="2"/>
        <v>23</v>
      </c>
    </row>
    <row r="6967">
      <c r="A6967" s="4" t="s">
        <v>7579</v>
      </c>
      <c r="B6967" s="16"/>
      <c r="C6967" s="12">
        <f>IFERROR(__xludf.DUMMYFUNCTION("""COMPUTED_VALUE"""),44650.93053240741)</f>
        <v>44650.93053</v>
      </c>
      <c r="D6967" s="13">
        <f t="shared" si="1"/>
        <v>30</v>
      </c>
      <c r="E6967" s="13">
        <f t="shared" si="2"/>
        <v>22</v>
      </c>
    </row>
    <row r="6968">
      <c r="A6968" s="4" t="s">
        <v>7580</v>
      </c>
      <c r="B6968" s="16"/>
      <c r="C6968" s="12">
        <f>IFERROR(__xludf.DUMMYFUNCTION("""COMPUTED_VALUE"""),44650.93034722222)</f>
        <v>44650.93035</v>
      </c>
      <c r="D6968" s="13">
        <f t="shared" si="1"/>
        <v>30</v>
      </c>
      <c r="E6968" s="13">
        <f t="shared" si="2"/>
        <v>22</v>
      </c>
    </row>
    <row r="6969">
      <c r="A6969" s="4" t="s">
        <v>7581</v>
      </c>
      <c r="B6969" s="16"/>
      <c r="C6969" s="12">
        <f>IFERROR(__xludf.DUMMYFUNCTION("""COMPUTED_VALUE"""),44650.92873842592)</f>
        <v>44650.92874</v>
      </c>
      <c r="D6969" s="13">
        <f t="shared" si="1"/>
        <v>30</v>
      </c>
      <c r="E6969" s="13">
        <f t="shared" si="2"/>
        <v>22</v>
      </c>
    </row>
    <row r="6970">
      <c r="A6970" s="4" t="s">
        <v>7582</v>
      </c>
      <c r="B6970" s="16"/>
      <c r="C6970" s="12">
        <f>IFERROR(__xludf.DUMMYFUNCTION("""COMPUTED_VALUE"""),44650.9287037037)</f>
        <v>44650.9287</v>
      </c>
      <c r="D6970" s="13">
        <f t="shared" si="1"/>
        <v>30</v>
      </c>
      <c r="E6970" s="13">
        <f t="shared" si="2"/>
        <v>22</v>
      </c>
    </row>
    <row r="6971">
      <c r="A6971" s="4" t="s">
        <v>7583</v>
      </c>
      <c r="B6971" s="16"/>
      <c r="C6971" s="12">
        <f>IFERROR(__xludf.DUMMYFUNCTION("""COMPUTED_VALUE"""),44650.92869212963)</f>
        <v>44650.92869</v>
      </c>
      <c r="D6971" s="13">
        <f t="shared" si="1"/>
        <v>30</v>
      </c>
      <c r="E6971" s="13">
        <f t="shared" si="2"/>
        <v>22</v>
      </c>
    </row>
    <row r="6972">
      <c r="A6972" s="4" t="s">
        <v>7584</v>
      </c>
      <c r="B6972" s="16"/>
      <c r="C6972" s="12">
        <f>IFERROR(__xludf.DUMMYFUNCTION("""COMPUTED_VALUE"""),44650.92868055555)</f>
        <v>44650.92868</v>
      </c>
      <c r="D6972" s="13">
        <f t="shared" si="1"/>
        <v>30</v>
      </c>
      <c r="E6972" s="13">
        <f t="shared" si="2"/>
        <v>22</v>
      </c>
    </row>
    <row r="6973">
      <c r="A6973" s="4" t="s">
        <v>7585</v>
      </c>
      <c r="B6973" s="16"/>
      <c r="C6973" s="12">
        <f>IFERROR(__xludf.DUMMYFUNCTION("""COMPUTED_VALUE"""),44650.928668981476)</f>
        <v>44650.92867</v>
      </c>
      <c r="D6973" s="13">
        <f t="shared" si="1"/>
        <v>30</v>
      </c>
      <c r="E6973" s="13">
        <f t="shared" si="2"/>
        <v>22</v>
      </c>
    </row>
    <row r="6974">
      <c r="A6974" s="4" t="s">
        <v>7586</v>
      </c>
      <c r="B6974" s="16"/>
      <c r="C6974" s="12">
        <f>IFERROR(__xludf.DUMMYFUNCTION("""COMPUTED_VALUE"""),44650.92864583333)</f>
        <v>44650.92865</v>
      </c>
      <c r="D6974" s="13">
        <f t="shared" si="1"/>
        <v>30</v>
      </c>
      <c r="E6974" s="13">
        <f t="shared" si="2"/>
        <v>22</v>
      </c>
    </row>
    <row r="6975">
      <c r="A6975" s="4" t="s">
        <v>7587</v>
      </c>
      <c r="B6975" s="16"/>
      <c r="C6975" s="12">
        <f>IFERROR(__xludf.DUMMYFUNCTION("""COMPUTED_VALUE"""),44650.92858796296)</f>
        <v>44650.92859</v>
      </c>
      <c r="D6975" s="13">
        <f t="shared" si="1"/>
        <v>30</v>
      </c>
      <c r="E6975" s="13">
        <f t="shared" si="2"/>
        <v>22</v>
      </c>
    </row>
    <row r="6976">
      <c r="A6976" s="4" t="s">
        <v>7588</v>
      </c>
      <c r="B6976" s="16"/>
      <c r="C6976" s="12">
        <f>IFERROR(__xludf.DUMMYFUNCTION("""COMPUTED_VALUE"""),44650.928576388884)</f>
        <v>44650.92858</v>
      </c>
      <c r="D6976" s="13">
        <f t="shared" si="1"/>
        <v>30</v>
      </c>
      <c r="E6976" s="13">
        <f t="shared" si="2"/>
        <v>22</v>
      </c>
    </row>
    <row r="6977">
      <c r="A6977" s="4" t="s">
        <v>7589</v>
      </c>
      <c r="B6977" s="16"/>
      <c r="C6977" s="12">
        <f>IFERROR(__xludf.DUMMYFUNCTION("""COMPUTED_VALUE"""),44650.928564814814)</f>
        <v>44650.92856</v>
      </c>
      <c r="D6977" s="13">
        <f t="shared" si="1"/>
        <v>30</v>
      </c>
      <c r="E6977" s="13">
        <f t="shared" si="2"/>
        <v>22</v>
      </c>
    </row>
    <row r="6978">
      <c r="A6978" s="4" t="s">
        <v>7590</v>
      </c>
      <c r="B6978" s="16"/>
      <c r="C6978" s="12">
        <f>IFERROR(__xludf.DUMMYFUNCTION("""COMPUTED_VALUE"""),44650.92854166666)</f>
        <v>44650.92854</v>
      </c>
      <c r="D6978" s="13">
        <f t="shared" si="1"/>
        <v>30</v>
      </c>
      <c r="E6978" s="13">
        <f t="shared" si="2"/>
        <v>22</v>
      </c>
    </row>
    <row r="6979">
      <c r="A6979" s="4" t="s">
        <v>7591</v>
      </c>
      <c r="B6979" s="16"/>
      <c r="C6979" s="12">
        <f>IFERROR(__xludf.DUMMYFUNCTION("""COMPUTED_VALUE"""),44650.92847222222)</f>
        <v>44650.92847</v>
      </c>
      <c r="D6979" s="13">
        <f t="shared" si="1"/>
        <v>30</v>
      </c>
      <c r="E6979" s="13">
        <f t="shared" si="2"/>
        <v>22</v>
      </c>
    </row>
    <row r="6980">
      <c r="A6980" s="4" t="s">
        <v>7592</v>
      </c>
      <c r="B6980" s="16"/>
      <c r="C6980" s="12">
        <f>IFERROR(__xludf.DUMMYFUNCTION("""COMPUTED_VALUE"""),44650.91027777777)</f>
        <v>44650.91028</v>
      </c>
      <c r="D6980" s="13">
        <f t="shared" si="1"/>
        <v>30</v>
      </c>
      <c r="E6980" s="13">
        <f t="shared" si="2"/>
        <v>21</v>
      </c>
    </row>
    <row r="6981">
      <c r="A6981" s="4" t="s">
        <v>7593</v>
      </c>
      <c r="B6981" s="16"/>
      <c r="C6981" s="12">
        <f>IFERROR(__xludf.DUMMYFUNCTION("""COMPUTED_VALUE"""),44650.900613425925)</f>
        <v>44650.90061</v>
      </c>
      <c r="D6981" s="13">
        <f t="shared" si="1"/>
        <v>30</v>
      </c>
      <c r="E6981" s="13">
        <f t="shared" si="2"/>
        <v>21</v>
      </c>
    </row>
    <row r="6982">
      <c r="A6982" s="4" t="s">
        <v>7594</v>
      </c>
      <c r="B6982" s="16"/>
      <c r="C6982" s="12">
        <f>IFERROR(__xludf.DUMMYFUNCTION("""COMPUTED_VALUE"""),44650.879479166666)</f>
        <v>44650.87948</v>
      </c>
      <c r="D6982" s="13">
        <f t="shared" si="1"/>
        <v>30</v>
      </c>
      <c r="E6982" s="13">
        <f t="shared" si="2"/>
        <v>21</v>
      </c>
    </row>
    <row r="6983">
      <c r="A6983" s="4" t="s">
        <v>7595</v>
      </c>
      <c r="B6983" s="16"/>
      <c r="C6983" s="12">
        <f>IFERROR(__xludf.DUMMYFUNCTION("""COMPUTED_VALUE"""),44650.87011574074)</f>
        <v>44650.87012</v>
      </c>
      <c r="D6983" s="13">
        <f t="shared" si="1"/>
        <v>30</v>
      </c>
      <c r="E6983" s="13">
        <f t="shared" si="2"/>
        <v>20</v>
      </c>
    </row>
    <row r="6984">
      <c r="A6984" s="4" t="s">
        <v>7596</v>
      </c>
      <c r="B6984" s="16"/>
      <c r="C6984" s="12">
        <f>IFERROR(__xludf.DUMMYFUNCTION("""COMPUTED_VALUE"""),44650.85607638889)</f>
        <v>44650.85608</v>
      </c>
      <c r="D6984" s="13">
        <f t="shared" si="1"/>
        <v>30</v>
      </c>
      <c r="E6984" s="13">
        <f t="shared" si="2"/>
        <v>20</v>
      </c>
    </row>
    <row r="6985">
      <c r="A6985" s="4" t="s">
        <v>7597</v>
      </c>
      <c r="B6985" s="16"/>
      <c r="C6985" s="12">
        <f>IFERROR(__xludf.DUMMYFUNCTION("""COMPUTED_VALUE"""),44650.83672453703)</f>
        <v>44650.83672</v>
      </c>
      <c r="D6985" s="13">
        <f t="shared" si="1"/>
        <v>30</v>
      </c>
      <c r="E6985" s="13">
        <f t="shared" si="2"/>
        <v>20</v>
      </c>
    </row>
    <row r="6986">
      <c r="A6986" s="4" t="s">
        <v>7598</v>
      </c>
      <c r="B6986" s="16"/>
      <c r="C6986" s="12">
        <f>IFERROR(__xludf.DUMMYFUNCTION("""COMPUTED_VALUE"""),44650.83447916667)</f>
        <v>44650.83448</v>
      </c>
      <c r="D6986" s="13">
        <f t="shared" si="1"/>
        <v>30</v>
      </c>
      <c r="E6986" s="13">
        <f t="shared" si="2"/>
        <v>20</v>
      </c>
    </row>
    <row r="6987">
      <c r="A6987" s="4" t="s">
        <v>7599</v>
      </c>
      <c r="B6987" s="16"/>
      <c r="C6987" s="12">
        <f>IFERROR(__xludf.DUMMYFUNCTION("""COMPUTED_VALUE"""),44650.83398148148)</f>
        <v>44650.83398</v>
      </c>
      <c r="D6987" s="13">
        <f t="shared" si="1"/>
        <v>30</v>
      </c>
      <c r="E6987" s="13">
        <f t="shared" si="2"/>
        <v>20</v>
      </c>
    </row>
    <row r="6988">
      <c r="A6988" s="4" t="s">
        <v>7600</v>
      </c>
      <c r="B6988" s="16"/>
      <c r="C6988" s="12">
        <f>IFERROR(__xludf.DUMMYFUNCTION("""COMPUTED_VALUE"""),44650.827002314814)</f>
        <v>44650.827</v>
      </c>
      <c r="D6988" s="13">
        <f t="shared" si="1"/>
        <v>30</v>
      </c>
      <c r="E6988" s="13">
        <f t="shared" si="2"/>
        <v>19</v>
      </c>
    </row>
    <row r="6989">
      <c r="A6989" s="4" t="s">
        <v>7601</v>
      </c>
      <c r="B6989" s="16"/>
      <c r="C6989" s="12">
        <f>IFERROR(__xludf.DUMMYFUNCTION("""COMPUTED_VALUE"""),44650.67663194444)</f>
        <v>44650.67663</v>
      </c>
      <c r="D6989" s="13">
        <f t="shared" si="1"/>
        <v>30</v>
      </c>
      <c r="E6989" s="13">
        <f t="shared" si="2"/>
        <v>16</v>
      </c>
    </row>
    <row r="6990">
      <c r="A6990" s="4" t="s">
        <v>7602</v>
      </c>
      <c r="B6990" s="16"/>
      <c r="C6990" s="12">
        <f>IFERROR(__xludf.DUMMYFUNCTION("""COMPUTED_VALUE"""),44650.66063657407)</f>
        <v>44650.66064</v>
      </c>
      <c r="D6990" s="13">
        <f t="shared" si="1"/>
        <v>30</v>
      </c>
      <c r="E6990" s="13">
        <f t="shared" si="2"/>
        <v>15</v>
      </c>
    </row>
    <row r="6991">
      <c r="A6991" s="4" t="s">
        <v>7603</v>
      </c>
      <c r="B6991" s="16"/>
      <c r="C6991" s="12">
        <f>IFERROR(__xludf.DUMMYFUNCTION("""COMPUTED_VALUE"""),44650.659374999996)</f>
        <v>44650.65938</v>
      </c>
      <c r="D6991" s="13">
        <f t="shared" si="1"/>
        <v>30</v>
      </c>
      <c r="E6991" s="13">
        <f t="shared" si="2"/>
        <v>15</v>
      </c>
    </row>
    <row r="6992">
      <c r="A6992" s="4" t="s">
        <v>7604</v>
      </c>
      <c r="B6992" s="16"/>
      <c r="C6992" s="12">
        <f>IFERROR(__xludf.DUMMYFUNCTION("""COMPUTED_VALUE"""),44650.536203703705)</f>
        <v>44650.5362</v>
      </c>
      <c r="D6992" s="13">
        <f t="shared" si="1"/>
        <v>30</v>
      </c>
      <c r="E6992" s="13">
        <f t="shared" si="2"/>
        <v>12</v>
      </c>
    </row>
    <row r="6993">
      <c r="A6993" s="4" t="s">
        <v>7605</v>
      </c>
      <c r="B6993" s="16"/>
      <c r="C6993" s="12">
        <f>IFERROR(__xludf.DUMMYFUNCTION("""COMPUTED_VALUE"""),44650.53497685185)</f>
        <v>44650.53498</v>
      </c>
      <c r="D6993" s="13">
        <f t="shared" si="1"/>
        <v>30</v>
      </c>
      <c r="E6993" s="13">
        <f t="shared" si="2"/>
        <v>12</v>
      </c>
    </row>
    <row r="6994">
      <c r="A6994" s="4" t="s">
        <v>7606</v>
      </c>
      <c r="B6994" s="16"/>
      <c r="C6994" s="12">
        <f>IFERROR(__xludf.DUMMYFUNCTION("""COMPUTED_VALUE"""),44650.39199074074)</f>
        <v>44650.39199</v>
      </c>
      <c r="D6994" s="13">
        <f t="shared" si="1"/>
        <v>30</v>
      </c>
      <c r="E6994" s="13">
        <f t="shared" si="2"/>
        <v>9</v>
      </c>
    </row>
    <row r="6995">
      <c r="A6995" s="4" t="s">
        <v>7607</v>
      </c>
      <c r="B6995" s="16"/>
      <c r="C6995" s="12">
        <f>IFERROR(__xludf.DUMMYFUNCTION("""COMPUTED_VALUE"""),44650.38891203704)</f>
        <v>44650.38891</v>
      </c>
      <c r="D6995" s="13">
        <f t="shared" si="1"/>
        <v>30</v>
      </c>
      <c r="E6995" s="13">
        <f t="shared" si="2"/>
        <v>9</v>
      </c>
    </row>
    <row r="6996">
      <c r="A6996" s="4" t="s">
        <v>7608</v>
      </c>
      <c r="B6996" s="16"/>
      <c r="C6996" s="12">
        <f>IFERROR(__xludf.DUMMYFUNCTION("""COMPUTED_VALUE"""),44650.36629629629)</f>
        <v>44650.3663</v>
      </c>
      <c r="D6996" s="13">
        <f t="shared" si="1"/>
        <v>30</v>
      </c>
      <c r="E6996" s="13">
        <f t="shared" si="2"/>
        <v>8</v>
      </c>
    </row>
    <row r="6997">
      <c r="A6997" s="4" t="s">
        <v>7609</v>
      </c>
      <c r="B6997" s="16"/>
      <c r="C6997" s="12">
        <f>IFERROR(__xludf.DUMMYFUNCTION("""COMPUTED_VALUE"""),44650.291446759256)</f>
        <v>44650.29145</v>
      </c>
      <c r="D6997" s="13">
        <f t="shared" si="1"/>
        <v>30</v>
      </c>
      <c r="E6997" s="13">
        <f t="shared" si="2"/>
        <v>6</v>
      </c>
    </row>
    <row r="6998">
      <c r="A6998" s="4" t="s">
        <v>7610</v>
      </c>
      <c r="B6998" s="16"/>
      <c r="C6998" s="12">
        <f>IFERROR(__xludf.DUMMYFUNCTION("""COMPUTED_VALUE"""),44649.988715277774)</f>
        <v>44649.98872</v>
      </c>
      <c r="D6998" s="13">
        <f t="shared" si="1"/>
        <v>29</v>
      </c>
      <c r="E6998" s="13">
        <f t="shared" si="2"/>
        <v>23</v>
      </c>
    </row>
    <row r="6999">
      <c r="A6999" s="4" t="s">
        <v>7611</v>
      </c>
      <c r="B6999" s="16"/>
      <c r="C6999" s="12">
        <f>IFERROR(__xludf.DUMMYFUNCTION("""COMPUTED_VALUE"""),44649.93537037037)</f>
        <v>44649.93537</v>
      </c>
      <c r="D6999" s="13">
        <f t="shared" si="1"/>
        <v>29</v>
      </c>
      <c r="E6999" s="13">
        <f t="shared" si="2"/>
        <v>22</v>
      </c>
    </row>
    <row r="7000">
      <c r="A7000" s="4" t="s">
        <v>7612</v>
      </c>
      <c r="B7000" s="16"/>
      <c r="C7000" s="12">
        <f>IFERROR(__xludf.DUMMYFUNCTION("""COMPUTED_VALUE"""),44649.9193287037)</f>
        <v>44649.91933</v>
      </c>
      <c r="D7000" s="13">
        <f t="shared" si="1"/>
        <v>29</v>
      </c>
      <c r="E7000" s="13">
        <f t="shared" si="2"/>
        <v>22</v>
      </c>
    </row>
    <row r="7001">
      <c r="A7001" s="4" t="s">
        <v>7613</v>
      </c>
      <c r="B7001" s="16"/>
      <c r="C7001" s="12">
        <f>IFERROR(__xludf.DUMMYFUNCTION("""COMPUTED_VALUE"""),44649.9190625)</f>
        <v>44649.91906</v>
      </c>
      <c r="D7001" s="13">
        <f t="shared" si="1"/>
        <v>29</v>
      </c>
      <c r="E7001" s="13">
        <f t="shared" si="2"/>
        <v>22</v>
      </c>
    </row>
    <row r="7002">
      <c r="A7002" s="4" t="s">
        <v>7614</v>
      </c>
      <c r="B7002" s="16"/>
      <c r="C7002" s="12">
        <f>IFERROR(__xludf.DUMMYFUNCTION("""COMPUTED_VALUE"""),44649.917233796295)</f>
        <v>44649.91723</v>
      </c>
      <c r="D7002" s="13">
        <f t="shared" si="1"/>
        <v>29</v>
      </c>
      <c r="E7002" s="13">
        <f t="shared" si="2"/>
        <v>22</v>
      </c>
    </row>
    <row r="7003">
      <c r="A7003" s="4" t="s">
        <v>7615</v>
      </c>
      <c r="B7003" s="16"/>
      <c r="C7003" s="12">
        <f>IFERROR(__xludf.DUMMYFUNCTION("""COMPUTED_VALUE"""),44649.91572916666)</f>
        <v>44649.91573</v>
      </c>
      <c r="D7003" s="13">
        <f t="shared" si="1"/>
        <v>29</v>
      </c>
      <c r="E7003" s="13">
        <f t="shared" si="2"/>
        <v>21</v>
      </c>
    </row>
    <row r="7004">
      <c r="A7004" s="4" t="s">
        <v>7616</v>
      </c>
      <c r="B7004" s="16"/>
      <c r="C7004" s="12">
        <f>IFERROR(__xludf.DUMMYFUNCTION("""COMPUTED_VALUE"""),44649.91285879629)</f>
        <v>44649.91286</v>
      </c>
      <c r="D7004" s="13">
        <f t="shared" si="1"/>
        <v>29</v>
      </c>
      <c r="E7004" s="13">
        <f t="shared" si="2"/>
        <v>21</v>
      </c>
    </row>
    <row r="7005">
      <c r="A7005" s="4" t="s">
        <v>7617</v>
      </c>
      <c r="B7005" s="16"/>
      <c r="C7005" s="12">
        <f>IFERROR(__xludf.DUMMYFUNCTION("""COMPUTED_VALUE"""),44649.729583333334)</f>
        <v>44649.72958</v>
      </c>
      <c r="D7005" s="13">
        <f t="shared" si="1"/>
        <v>29</v>
      </c>
      <c r="E7005" s="13">
        <f t="shared" si="2"/>
        <v>17</v>
      </c>
    </row>
    <row r="7006">
      <c r="A7006" s="4" t="s">
        <v>7618</v>
      </c>
      <c r="B7006" s="16"/>
      <c r="C7006" s="12">
        <f>IFERROR(__xludf.DUMMYFUNCTION("""COMPUTED_VALUE"""),44649.72393518518)</f>
        <v>44649.72394</v>
      </c>
      <c r="D7006" s="13">
        <f t="shared" si="1"/>
        <v>29</v>
      </c>
      <c r="E7006" s="13">
        <f t="shared" si="2"/>
        <v>17</v>
      </c>
    </row>
    <row r="7007">
      <c r="A7007" s="4" t="s">
        <v>7619</v>
      </c>
      <c r="B7007" s="16"/>
      <c r="C7007" s="12">
        <f>IFERROR(__xludf.DUMMYFUNCTION("""COMPUTED_VALUE"""),44649.55254629629)</f>
        <v>44649.55255</v>
      </c>
      <c r="D7007" s="13">
        <f t="shared" si="1"/>
        <v>29</v>
      </c>
      <c r="E7007" s="13">
        <f t="shared" si="2"/>
        <v>13</v>
      </c>
    </row>
    <row r="7008">
      <c r="A7008" s="4" t="s">
        <v>7620</v>
      </c>
      <c r="B7008" s="16"/>
      <c r="C7008" s="12">
        <f>IFERROR(__xludf.DUMMYFUNCTION("""COMPUTED_VALUE"""),44649.43641203704)</f>
        <v>44649.43641</v>
      </c>
      <c r="D7008" s="13">
        <f t="shared" si="1"/>
        <v>29</v>
      </c>
      <c r="E7008" s="13">
        <f t="shared" si="2"/>
        <v>10</v>
      </c>
    </row>
    <row r="7009">
      <c r="A7009" s="4" t="s">
        <v>7621</v>
      </c>
      <c r="B7009" s="16"/>
      <c r="C7009" s="12">
        <f>IFERROR(__xludf.DUMMYFUNCTION("""COMPUTED_VALUE"""),44649.42047453704)</f>
        <v>44649.42047</v>
      </c>
      <c r="D7009" s="13">
        <f t="shared" si="1"/>
        <v>29</v>
      </c>
      <c r="E7009" s="13">
        <f t="shared" si="2"/>
        <v>10</v>
      </c>
    </row>
    <row r="7010">
      <c r="A7010" s="4" t="s">
        <v>7622</v>
      </c>
      <c r="B7010" s="16"/>
      <c r="C7010" s="12">
        <f>IFERROR(__xludf.DUMMYFUNCTION("""COMPUTED_VALUE"""),44649.386678240735)</f>
        <v>44649.38668</v>
      </c>
      <c r="D7010" s="13">
        <f t="shared" si="1"/>
        <v>29</v>
      </c>
      <c r="E7010" s="13">
        <f t="shared" si="2"/>
        <v>9</v>
      </c>
    </row>
    <row r="7011">
      <c r="A7011" s="4" t="s">
        <v>7623</v>
      </c>
      <c r="B7011" s="16"/>
      <c r="C7011" s="12">
        <f>IFERROR(__xludf.DUMMYFUNCTION("""COMPUTED_VALUE"""),44649.26908564814)</f>
        <v>44649.26909</v>
      </c>
      <c r="D7011" s="13">
        <f t="shared" si="1"/>
        <v>29</v>
      </c>
      <c r="E7011" s="13">
        <f t="shared" si="2"/>
        <v>6</v>
      </c>
    </row>
    <row r="7012">
      <c r="A7012" s="4" t="s">
        <v>7624</v>
      </c>
      <c r="B7012" s="16"/>
      <c r="C7012" s="12">
        <f>IFERROR(__xludf.DUMMYFUNCTION("""COMPUTED_VALUE"""),44648.79866898148)</f>
        <v>44648.79867</v>
      </c>
      <c r="D7012" s="13">
        <f t="shared" si="1"/>
        <v>28</v>
      </c>
      <c r="E7012" s="13">
        <f t="shared" si="2"/>
        <v>19</v>
      </c>
    </row>
    <row r="7013">
      <c r="A7013" s="4" t="s">
        <v>7625</v>
      </c>
      <c r="B7013" s="16"/>
      <c r="C7013" s="12">
        <f>IFERROR(__xludf.DUMMYFUNCTION("""COMPUTED_VALUE"""),44648.76231481481)</f>
        <v>44648.76231</v>
      </c>
      <c r="D7013" s="13">
        <f t="shared" si="1"/>
        <v>28</v>
      </c>
      <c r="E7013" s="13">
        <f t="shared" si="2"/>
        <v>18</v>
      </c>
    </row>
    <row r="7014">
      <c r="A7014" s="4" t="s">
        <v>7626</v>
      </c>
      <c r="B7014" s="16"/>
      <c r="C7014" s="12">
        <f>IFERROR(__xludf.DUMMYFUNCTION("""COMPUTED_VALUE"""),44648.74322916666)</f>
        <v>44648.74323</v>
      </c>
      <c r="D7014" s="13">
        <f t="shared" si="1"/>
        <v>28</v>
      </c>
      <c r="E7014" s="13">
        <f t="shared" si="2"/>
        <v>17</v>
      </c>
    </row>
    <row r="7015">
      <c r="A7015" s="4" t="s">
        <v>7627</v>
      </c>
      <c r="B7015" s="16"/>
      <c r="C7015" s="12">
        <f>IFERROR(__xludf.DUMMYFUNCTION("""COMPUTED_VALUE"""),44648.638032407405)</f>
        <v>44648.63803</v>
      </c>
      <c r="D7015" s="13">
        <f t="shared" si="1"/>
        <v>28</v>
      </c>
      <c r="E7015" s="13">
        <f t="shared" si="2"/>
        <v>15</v>
      </c>
    </row>
    <row r="7016">
      <c r="A7016" s="4" t="s">
        <v>7628</v>
      </c>
      <c r="B7016" s="16"/>
      <c r="C7016" s="12">
        <f>IFERROR(__xludf.DUMMYFUNCTION("""COMPUTED_VALUE"""),44648.635254629626)</f>
        <v>44648.63525</v>
      </c>
      <c r="D7016" s="13">
        <f t="shared" si="1"/>
        <v>28</v>
      </c>
      <c r="E7016" s="13">
        <f t="shared" si="2"/>
        <v>15</v>
      </c>
    </row>
    <row r="7017">
      <c r="A7017" s="4" t="s">
        <v>7629</v>
      </c>
      <c r="B7017" s="16"/>
      <c r="C7017" s="12">
        <f>IFERROR(__xludf.DUMMYFUNCTION("""COMPUTED_VALUE"""),44648.591469907406)</f>
        <v>44648.59147</v>
      </c>
      <c r="D7017" s="13">
        <f t="shared" si="1"/>
        <v>28</v>
      </c>
      <c r="E7017" s="13">
        <f t="shared" si="2"/>
        <v>14</v>
      </c>
    </row>
    <row r="7018">
      <c r="A7018" s="4" t="s">
        <v>7630</v>
      </c>
      <c r="B7018" s="16"/>
      <c r="C7018" s="12">
        <f>IFERROR(__xludf.DUMMYFUNCTION("""COMPUTED_VALUE"""),44648.5717824074)</f>
        <v>44648.57178</v>
      </c>
      <c r="D7018" s="13">
        <f t="shared" si="1"/>
        <v>28</v>
      </c>
      <c r="E7018" s="13">
        <f t="shared" si="2"/>
        <v>13</v>
      </c>
    </row>
    <row r="7019">
      <c r="A7019" s="4" t="s">
        <v>7631</v>
      </c>
      <c r="B7019" s="16"/>
      <c r="C7019" s="12">
        <f>IFERROR(__xludf.DUMMYFUNCTION("""COMPUTED_VALUE"""),44648.56197916666)</f>
        <v>44648.56198</v>
      </c>
      <c r="D7019" s="13">
        <f t="shared" si="1"/>
        <v>28</v>
      </c>
      <c r="E7019" s="13">
        <f t="shared" si="2"/>
        <v>13</v>
      </c>
    </row>
    <row r="7020">
      <c r="A7020" s="4" t="s">
        <v>7632</v>
      </c>
      <c r="B7020" s="16"/>
      <c r="C7020" s="12">
        <f>IFERROR(__xludf.DUMMYFUNCTION("""COMPUTED_VALUE"""),44648.560023148144)</f>
        <v>44648.56002</v>
      </c>
      <c r="D7020" s="13">
        <f t="shared" si="1"/>
        <v>28</v>
      </c>
      <c r="E7020" s="13">
        <f t="shared" si="2"/>
        <v>13</v>
      </c>
    </row>
    <row r="7021">
      <c r="A7021" s="4" t="s">
        <v>7633</v>
      </c>
      <c r="B7021" s="16"/>
      <c r="C7021" s="12">
        <f>IFERROR(__xludf.DUMMYFUNCTION("""COMPUTED_VALUE"""),44648.538726851846)</f>
        <v>44648.53873</v>
      </c>
      <c r="D7021" s="13">
        <f t="shared" si="1"/>
        <v>28</v>
      </c>
      <c r="E7021" s="13">
        <f t="shared" si="2"/>
        <v>12</v>
      </c>
    </row>
    <row r="7022">
      <c r="A7022" s="4" t="s">
        <v>7634</v>
      </c>
      <c r="B7022" s="16"/>
      <c r="C7022" s="12">
        <f>IFERROR(__xludf.DUMMYFUNCTION("""COMPUTED_VALUE"""),44648.53631944444)</f>
        <v>44648.53632</v>
      </c>
      <c r="D7022" s="13">
        <f t="shared" si="1"/>
        <v>28</v>
      </c>
      <c r="E7022" s="13">
        <f t="shared" si="2"/>
        <v>12</v>
      </c>
    </row>
    <row r="7023">
      <c r="A7023" s="4" t="s">
        <v>7635</v>
      </c>
      <c r="B7023" s="16"/>
      <c r="C7023" s="12">
        <f>IFERROR(__xludf.DUMMYFUNCTION("""COMPUTED_VALUE"""),44648.53361111111)</f>
        <v>44648.53361</v>
      </c>
      <c r="D7023" s="13">
        <f t="shared" si="1"/>
        <v>28</v>
      </c>
      <c r="E7023" s="13">
        <f t="shared" si="2"/>
        <v>12</v>
      </c>
    </row>
    <row r="7024">
      <c r="A7024" s="4" t="s">
        <v>7636</v>
      </c>
      <c r="B7024" s="16"/>
      <c r="C7024" s="12">
        <f>IFERROR(__xludf.DUMMYFUNCTION("""COMPUTED_VALUE"""),44648.48329861111)</f>
        <v>44648.4833</v>
      </c>
      <c r="D7024" s="13">
        <f t="shared" si="1"/>
        <v>28</v>
      </c>
      <c r="E7024" s="13">
        <f t="shared" si="2"/>
        <v>11</v>
      </c>
    </row>
    <row r="7025">
      <c r="A7025" s="4" t="s">
        <v>7637</v>
      </c>
      <c r="B7025" s="16"/>
      <c r="C7025" s="12">
        <f>IFERROR(__xludf.DUMMYFUNCTION("""COMPUTED_VALUE"""),44648.47952546296)</f>
        <v>44648.47953</v>
      </c>
      <c r="D7025" s="13">
        <f t="shared" si="1"/>
        <v>28</v>
      </c>
      <c r="E7025" s="13">
        <f t="shared" si="2"/>
        <v>11</v>
      </c>
    </row>
    <row r="7026">
      <c r="A7026" s="4" t="s">
        <v>7638</v>
      </c>
      <c r="B7026" s="16"/>
      <c r="C7026" s="12">
        <f>IFERROR(__xludf.DUMMYFUNCTION("""COMPUTED_VALUE"""),44648.47940972222)</f>
        <v>44648.47941</v>
      </c>
      <c r="D7026" s="13">
        <f t="shared" si="1"/>
        <v>28</v>
      </c>
      <c r="E7026" s="13">
        <f t="shared" si="2"/>
        <v>11</v>
      </c>
    </row>
    <row r="7027">
      <c r="A7027" s="4" t="s">
        <v>7639</v>
      </c>
      <c r="B7027" s="16"/>
      <c r="C7027" s="12">
        <f>IFERROR(__xludf.DUMMYFUNCTION("""COMPUTED_VALUE"""),44648.40243055555)</f>
        <v>44648.40243</v>
      </c>
      <c r="D7027" s="13">
        <f t="shared" si="1"/>
        <v>28</v>
      </c>
      <c r="E7027" s="13">
        <f t="shared" si="2"/>
        <v>9</v>
      </c>
    </row>
    <row r="7028">
      <c r="A7028" s="4" t="s">
        <v>7640</v>
      </c>
      <c r="B7028" s="16"/>
      <c r="C7028" s="12">
        <f>IFERROR(__xludf.DUMMYFUNCTION("""COMPUTED_VALUE"""),44648.40241898148)</f>
        <v>44648.40242</v>
      </c>
      <c r="D7028" s="13">
        <f t="shared" si="1"/>
        <v>28</v>
      </c>
      <c r="E7028" s="13">
        <f t="shared" si="2"/>
        <v>9</v>
      </c>
    </row>
    <row r="7029">
      <c r="A7029" s="4" t="s">
        <v>7641</v>
      </c>
      <c r="B7029" s="16"/>
      <c r="C7029" s="12">
        <f>IFERROR(__xludf.DUMMYFUNCTION("""COMPUTED_VALUE"""),44648.39871527778)</f>
        <v>44648.39872</v>
      </c>
      <c r="D7029" s="13">
        <f t="shared" si="1"/>
        <v>28</v>
      </c>
      <c r="E7029" s="13">
        <f t="shared" si="2"/>
        <v>9</v>
      </c>
    </row>
    <row r="7030">
      <c r="A7030" s="4" t="s">
        <v>7642</v>
      </c>
      <c r="B7030" s="16"/>
      <c r="C7030" s="12">
        <f>IFERROR(__xludf.DUMMYFUNCTION("""COMPUTED_VALUE"""),44648.3224537037)</f>
        <v>44648.32245</v>
      </c>
      <c r="D7030" s="13">
        <f t="shared" si="1"/>
        <v>28</v>
      </c>
      <c r="E7030" s="13">
        <f t="shared" si="2"/>
        <v>7</v>
      </c>
    </row>
    <row r="7031">
      <c r="A7031" s="4" t="s">
        <v>7643</v>
      </c>
      <c r="B7031" s="16"/>
      <c r="C7031" s="12">
        <f>IFERROR(__xludf.DUMMYFUNCTION("""COMPUTED_VALUE"""),44648.084768518514)</f>
        <v>44648.08477</v>
      </c>
      <c r="D7031" s="13">
        <f t="shared" si="1"/>
        <v>28</v>
      </c>
      <c r="E7031" s="13">
        <f t="shared" si="2"/>
        <v>2</v>
      </c>
    </row>
    <row r="7032">
      <c r="A7032" s="4" t="s">
        <v>7644</v>
      </c>
      <c r="B7032" s="16"/>
      <c r="C7032" s="12">
        <f>IFERROR(__xludf.DUMMYFUNCTION("""COMPUTED_VALUE"""),44648.08425925926)</f>
        <v>44648.08426</v>
      </c>
      <c r="D7032" s="13">
        <f t="shared" si="1"/>
        <v>28</v>
      </c>
      <c r="E7032" s="13">
        <f t="shared" si="2"/>
        <v>2</v>
      </c>
    </row>
    <row r="7033">
      <c r="A7033" s="4" t="s">
        <v>7645</v>
      </c>
      <c r="B7033" s="16"/>
      <c r="C7033" s="12">
        <f>IFERROR(__xludf.DUMMYFUNCTION("""COMPUTED_VALUE"""),44647.95482638889)</f>
        <v>44647.95483</v>
      </c>
      <c r="D7033" s="13">
        <f t="shared" si="1"/>
        <v>27</v>
      </c>
      <c r="E7033" s="13">
        <f t="shared" si="2"/>
        <v>22</v>
      </c>
    </row>
    <row r="7034">
      <c r="A7034" s="4" t="s">
        <v>7646</v>
      </c>
      <c r="B7034" s="16"/>
      <c r="C7034" s="12">
        <f>IFERROR(__xludf.DUMMYFUNCTION("""COMPUTED_VALUE"""),44647.94265046296)</f>
        <v>44647.94265</v>
      </c>
      <c r="D7034" s="13">
        <f t="shared" si="1"/>
        <v>27</v>
      </c>
      <c r="E7034" s="13">
        <f t="shared" si="2"/>
        <v>22</v>
      </c>
    </row>
    <row r="7035">
      <c r="A7035" s="4" t="s">
        <v>7647</v>
      </c>
      <c r="B7035" s="16"/>
      <c r="C7035" s="12">
        <f>IFERROR(__xludf.DUMMYFUNCTION("""COMPUTED_VALUE"""),44647.899571759255)</f>
        <v>44647.89957</v>
      </c>
      <c r="D7035" s="13">
        <f t="shared" si="1"/>
        <v>27</v>
      </c>
      <c r="E7035" s="13">
        <f t="shared" si="2"/>
        <v>21</v>
      </c>
    </row>
    <row r="7036">
      <c r="A7036" s="4" t="s">
        <v>7648</v>
      </c>
      <c r="B7036" s="16"/>
      <c r="C7036" s="12">
        <f>IFERROR(__xludf.DUMMYFUNCTION("""COMPUTED_VALUE"""),44647.87486111111)</f>
        <v>44647.87486</v>
      </c>
      <c r="D7036" s="13">
        <f t="shared" si="1"/>
        <v>27</v>
      </c>
      <c r="E7036" s="13">
        <f t="shared" si="2"/>
        <v>20</v>
      </c>
    </row>
    <row r="7037">
      <c r="A7037" s="4" t="s">
        <v>7649</v>
      </c>
      <c r="B7037" s="16"/>
      <c r="C7037" s="12">
        <f>IFERROR(__xludf.DUMMYFUNCTION("""COMPUTED_VALUE"""),44647.76747685185)</f>
        <v>44647.76748</v>
      </c>
      <c r="D7037" s="13">
        <f t="shared" si="1"/>
        <v>27</v>
      </c>
      <c r="E7037" s="13">
        <f t="shared" si="2"/>
        <v>18</v>
      </c>
    </row>
    <row r="7038">
      <c r="A7038" s="4" t="s">
        <v>7650</v>
      </c>
      <c r="B7038" s="16"/>
      <c r="C7038" s="12">
        <f>IFERROR(__xludf.DUMMYFUNCTION("""COMPUTED_VALUE"""),44647.74303240741)</f>
        <v>44647.74303</v>
      </c>
      <c r="D7038" s="13">
        <f t="shared" si="1"/>
        <v>27</v>
      </c>
      <c r="E7038" s="13">
        <f t="shared" si="2"/>
        <v>17</v>
      </c>
    </row>
    <row r="7039">
      <c r="A7039" s="4" t="s">
        <v>7651</v>
      </c>
      <c r="B7039" s="16"/>
      <c r="C7039" s="12">
        <f>IFERROR(__xludf.DUMMYFUNCTION("""COMPUTED_VALUE"""),44647.742581018516)</f>
        <v>44647.74258</v>
      </c>
      <c r="D7039" s="13">
        <f t="shared" si="1"/>
        <v>27</v>
      </c>
      <c r="E7039" s="13">
        <f t="shared" si="2"/>
        <v>17</v>
      </c>
    </row>
    <row r="7040">
      <c r="A7040" s="4" t="s">
        <v>7652</v>
      </c>
      <c r="B7040" s="16"/>
      <c r="C7040" s="12">
        <f>IFERROR(__xludf.DUMMYFUNCTION("""COMPUTED_VALUE"""),44647.7418287037)</f>
        <v>44647.74183</v>
      </c>
      <c r="D7040" s="13">
        <f t="shared" si="1"/>
        <v>27</v>
      </c>
      <c r="E7040" s="13">
        <f t="shared" si="2"/>
        <v>17</v>
      </c>
    </row>
    <row r="7041">
      <c r="A7041" s="4" t="s">
        <v>7653</v>
      </c>
      <c r="B7041" s="16"/>
      <c r="C7041" s="12">
        <f>IFERROR(__xludf.DUMMYFUNCTION("""COMPUTED_VALUE"""),44647.59638888889)</f>
        <v>44647.59639</v>
      </c>
      <c r="D7041" s="13">
        <f t="shared" si="1"/>
        <v>27</v>
      </c>
      <c r="E7041" s="13">
        <f t="shared" si="2"/>
        <v>14</v>
      </c>
    </row>
    <row r="7042">
      <c r="A7042" s="4" t="s">
        <v>7654</v>
      </c>
      <c r="B7042" s="16"/>
      <c r="C7042" s="12">
        <f>IFERROR(__xludf.DUMMYFUNCTION("""COMPUTED_VALUE"""),44647.593414351846)</f>
        <v>44647.59341</v>
      </c>
      <c r="D7042" s="13">
        <f t="shared" si="1"/>
        <v>27</v>
      </c>
      <c r="E7042" s="13">
        <f t="shared" si="2"/>
        <v>14</v>
      </c>
    </row>
    <row r="7043">
      <c r="A7043" s="4" t="s">
        <v>7655</v>
      </c>
      <c r="B7043" s="16"/>
      <c r="C7043" s="12">
        <f>IFERROR(__xludf.DUMMYFUNCTION("""COMPUTED_VALUE"""),44647.52818287037)</f>
        <v>44647.52818</v>
      </c>
      <c r="D7043" s="13">
        <f t="shared" si="1"/>
        <v>27</v>
      </c>
      <c r="E7043" s="13">
        <f t="shared" si="2"/>
        <v>12</v>
      </c>
    </row>
    <row r="7044">
      <c r="A7044" s="4" t="s">
        <v>7656</v>
      </c>
      <c r="B7044" s="16"/>
      <c r="C7044" s="12">
        <f>IFERROR(__xludf.DUMMYFUNCTION("""COMPUTED_VALUE"""),44647.49216435185)</f>
        <v>44647.49216</v>
      </c>
      <c r="D7044" s="13">
        <f t="shared" si="1"/>
        <v>27</v>
      </c>
      <c r="E7044" s="13">
        <f t="shared" si="2"/>
        <v>11</v>
      </c>
    </row>
    <row r="7045">
      <c r="A7045" s="4" t="s">
        <v>7657</v>
      </c>
      <c r="B7045" s="16"/>
      <c r="C7045" s="12">
        <f>IFERROR(__xludf.DUMMYFUNCTION("""COMPUTED_VALUE"""),44647.47282407407)</f>
        <v>44647.47282</v>
      </c>
      <c r="D7045" s="13">
        <f t="shared" si="1"/>
        <v>27</v>
      </c>
      <c r="E7045" s="13">
        <f t="shared" si="2"/>
        <v>11</v>
      </c>
    </row>
    <row r="7046">
      <c r="A7046" s="4" t="s">
        <v>7658</v>
      </c>
      <c r="B7046" s="16"/>
      <c r="C7046" s="12">
        <f>IFERROR(__xludf.DUMMYFUNCTION("""COMPUTED_VALUE"""),44647.468125)</f>
        <v>44647.46813</v>
      </c>
      <c r="D7046" s="13">
        <f t="shared" si="1"/>
        <v>27</v>
      </c>
      <c r="E7046" s="13">
        <f t="shared" si="2"/>
        <v>11</v>
      </c>
    </row>
    <row r="7047">
      <c r="A7047" s="4" t="s">
        <v>7659</v>
      </c>
      <c r="B7047" s="16"/>
      <c r="C7047" s="12">
        <f>IFERROR(__xludf.DUMMYFUNCTION("""COMPUTED_VALUE"""),44647.46016203704)</f>
        <v>44647.46016</v>
      </c>
      <c r="D7047" s="13">
        <f t="shared" si="1"/>
        <v>27</v>
      </c>
      <c r="E7047" s="13">
        <f t="shared" si="2"/>
        <v>11</v>
      </c>
    </row>
    <row r="7048">
      <c r="A7048" s="4" t="s">
        <v>7660</v>
      </c>
      <c r="B7048" s="16"/>
      <c r="C7048" s="12">
        <f>IFERROR(__xludf.DUMMYFUNCTION("""COMPUTED_VALUE"""),44647.45784722222)</f>
        <v>44647.45785</v>
      </c>
      <c r="D7048" s="13">
        <f t="shared" si="1"/>
        <v>27</v>
      </c>
      <c r="E7048" s="13">
        <f t="shared" si="2"/>
        <v>10</v>
      </c>
    </row>
    <row r="7049">
      <c r="A7049" s="4" t="s">
        <v>7661</v>
      </c>
      <c r="B7049" s="16"/>
      <c r="C7049" s="12">
        <f>IFERROR(__xludf.DUMMYFUNCTION("""COMPUTED_VALUE"""),44647.41631944444)</f>
        <v>44647.41632</v>
      </c>
      <c r="D7049" s="13">
        <f t="shared" si="1"/>
        <v>27</v>
      </c>
      <c r="E7049" s="13">
        <f t="shared" si="2"/>
        <v>9</v>
      </c>
    </row>
    <row r="7050">
      <c r="A7050" s="4" t="s">
        <v>7662</v>
      </c>
      <c r="B7050" s="16"/>
      <c r="C7050" s="12">
        <f>IFERROR(__xludf.DUMMYFUNCTION("""COMPUTED_VALUE"""),44647.41190972222)</f>
        <v>44647.41191</v>
      </c>
      <c r="D7050" s="13">
        <f t="shared" si="1"/>
        <v>27</v>
      </c>
      <c r="E7050" s="13">
        <f t="shared" si="2"/>
        <v>9</v>
      </c>
    </row>
    <row r="7051">
      <c r="A7051" s="4" t="s">
        <v>7663</v>
      </c>
      <c r="B7051" s="16"/>
      <c r="C7051" s="12">
        <f>IFERROR(__xludf.DUMMYFUNCTION("""COMPUTED_VALUE"""),44647.39236111111)</f>
        <v>44647.39236</v>
      </c>
      <c r="D7051" s="13">
        <f t="shared" si="1"/>
        <v>27</v>
      </c>
      <c r="E7051" s="13">
        <f t="shared" si="2"/>
        <v>9</v>
      </c>
    </row>
    <row r="7052">
      <c r="A7052" s="4" t="s">
        <v>7664</v>
      </c>
      <c r="B7052" s="16"/>
      <c r="C7052" s="12">
        <f>IFERROR(__xludf.DUMMYFUNCTION("""COMPUTED_VALUE"""),44647.37552083333)</f>
        <v>44647.37552</v>
      </c>
      <c r="D7052" s="13">
        <f t="shared" si="1"/>
        <v>27</v>
      </c>
      <c r="E7052" s="13">
        <f t="shared" si="2"/>
        <v>9</v>
      </c>
    </row>
    <row r="7053">
      <c r="A7053" s="4" t="s">
        <v>7665</v>
      </c>
      <c r="B7053" s="16"/>
      <c r="C7053" s="12">
        <f>IFERROR(__xludf.DUMMYFUNCTION("""COMPUTED_VALUE"""),44647.34100694444)</f>
        <v>44647.34101</v>
      </c>
      <c r="D7053" s="13">
        <f t="shared" si="1"/>
        <v>27</v>
      </c>
      <c r="E7053" s="13">
        <f t="shared" si="2"/>
        <v>8</v>
      </c>
    </row>
    <row r="7054">
      <c r="A7054" s="4" t="s">
        <v>7666</v>
      </c>
      <c r="B7054" s="16"/>
      <c r="C7054" s="12">
        <f>IFERROR(__xludf.DUMMYFUNCTION("""COMPUTED_VALUE"""),44647.33534722222)</f>
        <v>44647.33535</v>
      </c>
      <c r="D7054" s="13">
        <f t="shared" si="1"/>
        <v>27</v>
      </c>
      <c r="E7054" s="13">
        <f t="shared" si="2"/>
        <v>8</v>
      </c>
    </row>
    <row r="7055">
      <c r="A7055" s="4" t="s">
        <v>7667</v>
      </c>
      <c r="B7055" s="16"/>
      <c r="C7055" s="12">
        <f>IFERROR(__xludf.DUMMYFUNCTION("""COMPUTED_VALUE"""),44647.32282407407)</f>
        <v>44647.32282</v>
      </c>
      <c r="D7055" s="13">
        <f t="shared" si="1"/>
        <v>27</v>
      </c>
      <c r="E7055" s="13">
        <f t="shared" si="2"/>
        <v>7</v>
      </c>
    </row>
    <row r="7056">
      <c r="A7056" s="4" t="s">
        <v>7668</v>
      </c>
      <c r="B7056" s="16"/>
      <c r="C7056" s="12">
        <f>IFERROR(__xludf.DUMMYFUNCTION("""COMPUTED_VALUE"""),44647.11855324074)</f>
        <v>44647.11855</v>
      </c>
      <c r="D7056" s="13">
        <f t="shared" si="1"/>
        <v>27</v>
      </c>
      <c r="E7056" s="13">
        <f t="shared" si="2"/>
        <v>2</v>
      </c>
    </row>
    <row r="7057">
      <c r="A7057" s="4" t="s">
        <v>7669</v>
      </c>
      <c r="B7057" s="16"/>
      <c r="C7057" s="12">
        <f>IFERROR(__xludf.DUMMYFUNCTION("""COMPUTED_VALUE"""),44646.733773148146)</f>
        <v>44646.73377</v>
      </c>
      <c r="D7057" s="13">
        <f t="shared" si="1"/>
        <v>26</v>
      </c>
      <c r="E7057" s="13">
        <f t="shared" si="2"/>
        <v>17</v>
      </c>
    </row>
    <row r="7058">
      <c r="A7058" s="4" t="s">
        <v>7670</v>
      </c>
      <c r="B7058" s="16"/>
      <c r="C7058" s="12">
        <f>IFERROR(__xludf.DUMMYFUNCTION("""COMPUTED_VALUE"""),44646.732361111106)</f>
        <v>44646.73236</v>
      </c>
      <c r="D7058" s="13">
        <f t="shared" si="1"/>
        <v>26</v>
      </c>
      <c r="E7058" s="13">
        <f t="shared" si="2"/>
        <v>17</v>
      </c>
    </row>
    <row r="7059">
      <c r="A7059" s="4" t="s">
        <v>7671</v>
      </c>
      <c r="B7059" s="16"/>
      <c r="C7059" s="12">
        <f>IFERROR(__xludf.DUMMYFUNCTION("""COMPUTED_VALUE"""),44646.72414351851)</f>
        <v>44646.72414</v>
      </c>
      <c r="D7059" s="13">
        <f t="shared" si="1"/>
        <v>26</v>
      </c>
      <c r="E7059" s="13">
        <f t="shared" si="2"/>
        <v>17</v>
      </c>
    </row>
    <row r="7060">
      <c r="A7060" s="4" t="s">
        <v>7672</v>
      </c>
      <c r="B7060" s="16"/>
      <c r="C7060" s="12">
        <f>IFERROR(__xludf.DUMMYFUNCTION("""COMPUTED_VALUE"""),44646.71394675926)</f>
        <v>44646.71395</v>
      </c>
      <c r="D7060" s="13">
        <f t="shared" si="1"/>
        <v>26</v>
      </c>
      <c r="E7060" s="13">
        <f t="shared" si="2"/>
        <v>17</v>
      </c>
    </row>
    <row r="7061">
      <c r="A7061" s="4" t="s">
        <v>7673</v>
      </c>
      <c r="B7061" s="16"/>
      <c r="C7061" s="12">
        <f>IFERROR(__xludf.DUMMYFUNCTION("""COMPUTED_VALUE"""),44646.712800925925)</f>
        <v>44646.7128</v>
      </c>
      <c r="D7061" s="13">
        <f t="shared" si="1"/>
        <v>26</v>
      </c>
      <c r="E7061" s="13">
        <f t="shared" si="2"/>
        <v>17</v>
      </c>
    </row>
    <row r="7062">
      <c r="A7062" s="4" t="s">
        <v>7674</v>
      </c>
      <c r="B7062" s="16"/>
      <c r="C7062" s="12">
        <f>IFERROR(__xludf.DUMMYFUNCTION("""COMPUTED_VALUE"""),44646.666562499995)</f>
        <v>44646.66656</v>
      </c>
      <c r="D7062" s="13">
        <f t="shared" si="1"/>
        <v>26</v>
      </c>
      <c r="E7062" s="13">
        <f t="shared" si="2"/>
        <v>15</v>
      </c>
    </row>
    <row r="7063">
      <c r="A7063" s="4" t="s">
        <v>7675</v>
      </c>
      <c r="B7063" s="16"/>
      <c r="C7063" s="12">
        <f>IFERROR(__xludf.DUMMYFUNCTION("""COMPUTED_VALUE"""),44646.60915509259)</f>
        <v>44646.60916</v>
      </c>
      <c r="D7063" s="13">
        <f t="shared" si="1"/>
        <v>26</v>
      </c>
      <c r="E7063" s="13">
        <f t="shared" si="2"/>
        <v>14</v>
      </c>
    </row>
    <row r="7064">
      <c r="A7064" s="4" t="s">
        <v>7676</v>
      </c>
      <c r="B7064" s="16"/>
      <c r="C7064" s="12">
        <f>IFERROR(__xludf.DUMMYFUNCTION("""COMPUTED_VALUE"""),44646.59372685185)</f>
        <v>44646.59373</v>
      </c>
      <c r="D7064" s="13">
        <f t="shared" si="1"/>
        <v>26</v>
      </c>
      <c r="E7064" s="13">
        <f t="shared" si="2"/>
        <v>14</v>
      </c>
    </row>
    <row r="7065">
      <c r="A7065" s="4" t="s">
        <v>7677</v>
      </c>
      <c r="B7065" s="16"/>
      <c r="C7065" s="12">
        <f>IFERROR(__xludf.DUMMYFUNCTION("""COMPUTED_VALUE"""),44646.55137731481)</f>
        <v>44646.55138</v>
      </c>
      <c r="D7065" s="13">
        <f t="shared" si="1"/>
        <v>26</v>
      </c>
      <c r="E7065" s="13">
        <f t="shared" si="2"/>
        <v>13</v>
      </c>
    </row>
    <row r="7066">
      <c r="A7066" s="4" t="s">
        <v>7678</v>
      </c>
      <c r="B7066" s="16"/>
      <c r="C7066" s="12">
        <f>IFERROR(__xludf.DUMMYFUNCTION("""COMPUTED_VALUE"""),44646.54976851852)</f>
        <v>44646.54977</v>
      </c>
      <c r="D7066" s="13">
        <f t="shared" si="1"/>
        <v>26</v>
      </c>
      <c r="E7066" s="13">
        <f t="shared" si="2"/>
        <v>13</v>
      </c>
    </row>
    <row r="7067">
      <c r="A7067" s="4" t="s">
        <v>7679</v>
      </c>
      <c r="B7067" s="16"/>
      <c r="C7067" s="12">
        <f>IFERROR(__xludf.DUMMYFUNCTION("""COMPUTED_VALUE"""),44646.54778935185)</f>
        <v>44646.54779</v>
      </c>
      <c r="D7067" s="13">
        <f t="shared" si="1"/>
        <v>26</v>
      </c>
      <c r="E7067" s="13">
        <f t="shared" si="2"/>
        <v>13</v>
      </c>
    </row>
    <row r="7068">
      <c r="A7068" s="4" t="s">
        <v>7680</v>
      </c>
      <c r="B7068" s="16"/>
      <c r="C7068" s="12">
        <f>IFERROR(__xludf.DUMMYFUNCTION("""COMPUTED_VALUE"""),44646.50634259259)</f>
        <v>44646.50634</v>
      </c>
      <c r="D7068" s="13">
        <f t="shared" si="1"/>
        <v>26</v>
      </c>
      <c r="E7068" s="13">
        <f t="shared" si="2"/>
        <v>12</v>
      </c>
    </row>
    <row r="7069">
      <c r="A7069" s="4" t="s">
        <v>7681</v>
      </c>
      <c r="B7069" s="16"/>
      <c r="C7069" s="12">
        <f>IFERROR(__xludf.DUMMYFUNCTION("""COMPUTED_VALUE"""),44646.46840277778)</f>
        <v>44646.4684</v>
      </c>
      <c r="D7069" s="13">
        <f t="shared" si="1"/>
        <v>26</v>
      </c>
      <c r="E7069" s="13">
        <f t="shared" si="2"/>
        <v>11</v>
      </c>
    </row>
    <row r="7070">
      <c r="A7070" s="4" t="s">
        <v>7682</v>
      </c>
      <c r="B7070" s="16"/>
      <c r="C7070" s="12">
        <f>IFERROR(__xludf.DUMMYFUNCTION("""COMPUTED_VALUE"""),44646.461493055554)</f>
        <v>44646.46149</v>
      </c>
      <c r="D7070" s="13">
        <f t="shared" si="1"/>
        <v>26</v>
      </c>
      <c r="E7070" s="13">
        <f t="shared" si="2"/>
        <v>11</v>
      </c>
    </row>
    <row r="7071">
      <c r="A7071" s="4" t="s">
        <v>7683</v>
      </c>
      <c r="B7071" s="16"/>
      <c r="C7071" s="12">
        <f>IFERROR(__xludf.DUMMYFUNCTION("""COMPUTED_VALUE"""),44646.438125)</f>
        <v>44646.43813</v>
      </c>
      <c r="D7071" s="13">
        <f t="shared" si="1"/>
        <v>26</v>
      </c>
      <c r="E7071" s="13">
        <f t="shared" si="2"/>
        <v>10</v>
      </c>
    </row>
    <row r="7072">
      <c r="A7072" s="4" t="s">
        <v>7684</v>
      </c>
      <c r="B7072" s="16"/>
      <c r="C7072" s="12">
        <f>IFERROR(__xludf.DUMMYFUNCTION("""COMPUTED_VALUE"""),44646.434594907405)</f>
        <v>44646.43459</v>
      </c>
      <c r="D7072" s="13">
        <f t="shared" si="1"/>
        <v>26</v>
      </c>
      <c r="E7072" s="13">
        <f t="shared" si="2"/>
        <v>10</v>
      </c>
    </row>
    <row r="7073">
      <c r="A7073" s="4" t="s">
        <v>7685</v>
      </c>
      <c r="B7073" s="16"/>
      <c r="C7073" s="12">
        <f>IFERROR(__xludf.DUMMYFUNCTION("""COMPUTED_VALUE"""),44646.423171296294)</f>
        <v>44646.42317</v>
      </c>
      <c r="D7073" s="13">
        <f t="shared" si="1"/>
        <v>26</v>
      </c>
      <c r="E7073" s="13">
        <f t="shared" si="2"/>
        <v>10</v>
      </c>
    </row>
    <row r="7074">
      <c r="A7074" s="4" t="s">
        <v>7686</v>
      </c>
      <c r="B7074" s="16"/>
      <c r="C7074" s="12">
        <f>IFERROR(__xludf.DUMMYFUNCTION("""COMPUTED_VALUE"""),44646.414988425924)</f>
        <v>44646.41499</v>
      </c>
      <c r="D7074" s="13">
        <f t="shared" si="1"/>
        <v>26</v>
      </c>
      <c r="E7074" s="13">
        <f t="shared" si="2"/>
        <v>9</v>
      </c>
    </row>
    <row r="7075">
      <c r="A7075" s="4" t="s">
        <v>7687</v>
      </c>
      <c r="B7075" s="16"/>
      <c r="C7075" s="12">
        <f>IFERROR(__xludf.DUMMYFUNCTION("""COMPUTED_VALUE"""),44646.38358796296)</f>
        <v>44646.38359</v>
      </c>
      <c r="D7075" s="13">
        <f t="shared" si="1"/>
        <v>26</v>
      </c>
      <c r="E7075" s="13">
        <f t="shared" si="2"/>
        <v>9</v>
      </c>
    </row>
    <row r="7076">
      <c r="A7076" s="4" t="s">
        <v>7688</v>
      </c>
      <c r="B7076" s="16"/>
      <c r="C7076" s="12">
        <f>IFERROR(__xludf.DUMMYFUNCTION("""COMPUTED_VALUE"""),44646.38356481481)</f>
        <v>44646.38356</v>
      </c>
      <c r="D7076" s="13">
        <f t="shared" si="1"/>
        <v>26</v>
      </c>
      <c r="E7076" s="13">
        <f t="shared" si="2"/>
        <v>9</v>
      </c>
    </row>
    <row r="7077">
      <c r="A7077" s="4" t="s">
        <v>7689</v>
      </c>
      <c r="B7077" s="16"/>
      <c r="C7077" s="12">
        <f>IFERROR(__xludf.DUMMYFUNCTION("""COMPUTED_VALUE"""),44646.38354166666)</f>
        <v>44646.38354</v>
      </c>
      <c r="D7077" s="13">
        <f t="shared" si="1"/>
        <v>26</v>
      </c>
      <c r="E7077" s="13">
        <f t="shared" si="2"/>
        <v>9</v>
      </c>
    </row>
    <row r="7078">
      <c r="A7078" s="4" t="s">
        <v>7690</v>
      </c>
      <c r="B7078" s="16"/>
      <c r="C7078" s="12">
        <f>IFERROR(__xludf.DUMMYFUNCTION("""COMPUTED_VALUE"""),44646.37385416666)</f>
        <v>44646.37385</v>
      </c>
      <c r="D7078" s="13">
        <f t="shared" si="1"/>
        <v>26</v>
      </c>
      <c r="E7078" s="13">
        <f t="shared" si="2"/>
        <v>8</v>
      </c>
    </row>
    <row r="7079">
      <c r="A7079" s="4" t="s">
        <v>7691</v>
      </c>
      <c r="B7079" s="16"/>
      <c r="C7079" s="12">
        <f>IFERROR(__xludf.DUMMYFUNCTION("""COMPUTED_VALUE"""),44646.37243055555)</f>
        <v>44646.37243</v>
      </c>
      <c r="D7079" s="13">
        <f t="shared" si="1"/>
        <v>26</v>
      </c>
      <c r="E7079" s="13">
        <f t="shared" si="2"/>
        <v>8</v>
      </c>
    </row>
    <row r="7080">
      <c r="A7080" s="4" t="s">
        <v>7692</v>
      </c>
      <c r="B7080" s="16"/>
      <c r="C7080" s="12">
        <f>IFERROR(__xludf.DUMMYFUNCTION("""COMPUTED_VALUE"""),44646.31134259259)</f>
        <v>44646.31134</v>
      </c>
      <c r="D7080" s="13">
        <f t="shared" si="1"/>
        <v>26</v>
      </c>
      <c r="E7080" s="13">
        <f t="shared" si="2"/>
        <v>7</v>
      </c>
    </row>
    <row r="7081">
      <c r="A7081" s="4" t="s">
        <v>7693</v>
      </c>
      <c r="B7081" s="16"/>
      <c r="C7081" s="12">
        <f>IFERROR(__xludf.DUMMYFUNCTION("""COMPUTED_VALUE"""),44646.31083333333)</f>
        <v>44646.31083</v>
      </c>
      <c r="D7081" s="13">
        <f t="shared" si="1"/>
        <v>26</v>
      </c>
      <c r="E7081" s="13">
        <f t="shared" si="2"/>
        <v>7</v>
      </c>
    </row>
    <row r="7082">
      <c r="A7082" s="4" t="s">
        <v>7694</v>
      </c>
      <c r="B7082" s="16"/>
      <c r="C7082" s="12">
        <f>IFERROR(__xludf.DUMMYFUNCTION("""COMPUTED_VALUE"""),44646.294861111106)</f>
        <v>44646.29486</v>
      </c>
      <c r="D7082" s="13">
        <f t="shared" si="1"/>
        <v>26</v>
      </c>
      <c r="E7082" s="13">
        <f t="shared" si="2"/>
        <v>7</v>
      </c>
    </row>
    <row r="7083">
      <c r="A7083" s="4" t="s">
        <v>7695</v>
      </c>
      <c r="B7083" s="16"/>
      <c r="C7083" s="12">
        <f>IFERROR(__xludf.DUMMYFUNCTION("""COMPUTED_VALUE"""),44646.28193287037)</f>
        <v>44646.28193</v>
      </c>
      <c r="D7083" s="13">
        <f t="shared" si="1"/>
        <v>26</v>
      </c>
      <c r="E7083" s="13">
        <f t="shared" si="2"/>
        <v>6</v>
      </c>
    </row>
    <row r="7084">
      <c r="A7084" s="4" t="s">
        <v>7696</v>
      </c>
      <c r="B7084" s="16"/>
      <c r="C7084" s="12">
        <f>IFERROR(__xludf.DUMMYFUNCTION("""COMPUTED_VALUE"""),44646.246412037035)</f>
        <v>44646.24641</v>
      </c>
      <c r="D7084" s="13">
        <f t="shared" si="1"/>
        <v>26</v>
      </c>
      <c r="E7084" s="13">
        <f t="shared" si="2"/>
        <v>5</v>
      </c>
    </row>
    <row r="7085">
      <c r="A7085" s="4" t="s">
        <v>7697</v>
      </c>
      <c r="B7085" s="16"/>
      <c r="C7085" s="12">
        <f>IFERROR(__xludf.DUMMYFUNCTION("""COMPUTED_VALUE"""),44646.16282407407)</f>
        <v>44646.16282</v>
      </c>
      <c r="D7085" s="13">
        <f t="shared" si="1"/>
        <v>26</v>
      </c>
      <c r="E7085" s="13">
        <f t="shared" si="2"/>
        <v>3</v>
      </c>
    </row>
    <row r="7086">
      <c r="A7086" s="4" t="s">
        <v>7698</v>
      </c>
      <c r="B7086" s="16"/>
      <c r="C7086" s="12">
        <f>IFERROR(__xludf.DUMMYFUNCTION("""COMPUTED_VALUE"""),44646.0747337963)</f>
        <v>44646.07473</v>
      </c>
      <c r="D7086" s="13">
        <f t="shared" si="1"/>
        <v>26</v>
      </c>
      <c r="E7086" s="13">
        <f t="shared" si="2"/>
        <v>1</v>
      </c>
    </row>
    <row r="7087">
      <c r="A7087" s="4" t="s">
        <v>7699</v>
      </c>
      <c r="B7087" s="16"/>
      <c r="C7087" s="12">
        <f>IFERROR(__xludf.DUMMYFUNCTION("""COMPUTED_VALUE"""),44646.03152777778)</f>
        <v>44646.03153</v>
      </c>
      <c r="D7087" s="13">
        <f t="shared" si="1"/>
        <v>26</v>
      </c>
      <c r="E7087" s="13">
        <f t="shared" si="2"/>
        <v>0</v>
      </c>
    </row>
    <row r="7088">
      <c r="A7088" s="4" t="s">
        <v>7700</v>
      </c>
      <c r="B7088" s="16"/>
      <c r="C7088" s="12">
        <f>IFERROR(__xludf.DUMMYFUNCTION("""COMPUTED_VALUE"""),44646.0312037037)</f>
        <v>44646.0312</v>
      </c>
      <c r="D7088" s="13">
        <f t="shared" si="1"/>
        <v>26</v>
      </c>
      <c r="E7088" s="13">
        <f t="shared" si="2"/>
        <v>0</v>
      </c>
    </row>
    <row r="7089">
      <c r="A7089" s="4" t="s">
        <v>7701</v>
      </c>
      <c r="B7089" s="16"/>
      <c r="C7089" s="12">
        <f>IFERROR(__xludf.DUMMYFUNCTION("""COMPUTED_VALUE"""),44646.02929398148)</f>
        <v>44646.02929</v>
      </c>
      <c r="D7089" s="13">
        <f t="shared" si="1"/>
        <v>26</v>
      </c>
      <c r="E7089" s="13">
        <f t="shared" si="2"/>
        <v>0</v>
      </c>
    </row>
    <row r="7090">
      <c r="A7090" s="4" t="s">
        <v>7702</v>
      </c>
      <c r="B7090" s="16"/>
      <c r="C7090" s="12">
        <f>IFERROR(__xludf.DUMMYFUNCTION("""COMPUTED_VALUE"""),44646.02072916667)</f>
        <v>44646.02073</v>
      </c>
      <c r="D7090" s="13">
        <f t="shared" si="1"/>
        <v>26</v>
      </c>
      <c r="E7090" s="13">
        <f t="shared" si="2"/>
        <v>0</v>
      </c>
    </row>
    <row r="7091">
      <c r="A7091" s="4" t="s">
        <v>7703</v>
      </c>
      <c r="B7091" s="16"/>
      <c r="C7091" s="12">
        <f>IFERROR(__xludf.DUMMYFUNCTION("""COMPUTED_VALUE"""),44646.0030324074)</f>
        <v>44646.00303</v>
      </c>
      <c r="D7091" s="13">
        <f t="shared" si="1"/>
        <v>26</v>
      </c>
      <c r="E7091" s="13">
        <f t="shared" si="2"/>
        <v>0</v>
      </c>
    </row>
    <row r="7092">
      <c r="A7092" s="4" t="s">
        <v>7704</v>
      </c>
      <c r="B7092" s="16"/>
      <c r="C7092" s="12">
        <f>IFERROR(__xludf.DUMMYFUNCTION("""COMPUTED_VALUE"""),44646.00125)</f>
        <v>44646.00125</v>
      </c>
      <c r="D7092" s="13">
        <f t="shared" si="1"/>
        <v>26</v>
      </c>
      <c r="E7092" s="13">
        <f t="shared" si="2"/>
        <v>0</v>
      </c>
    </row>
    <row r="7093">
      <c r="A7093" s="4" t="s">
        <v>7705</v>
      </c>
      <c r="B7093" s="16"/>
      <c r="C7093" s="12">
        <f>IFERROR(__xludf.DUMMYFUNCTION("""COMPUTED_VALUE"""),44645.97416666667)</f>
        <v>44645.97417</v>
      </c>
      <c r="D7093" s="13">
        <f t="shared" si="1"/>
        <v>25</v>
      </c>
      <c r="E7093" s="13">
        <f t="shared" si="2"/>
        <v>23</v>
      </c>
    </row>
    <row r="7094">
      <c r="A7094" s="4" t="s">
        <v>7706</v>
      </c>
      <c r="B7094" s="16"/>
      <c r="C7094" s="12">
        <f>IFERROR(__xludf.DUMMYFUNCTION("""COMPUTED_VALUE"""),44645.95165509259)</f>
        <v>44645.95166</v>
      </c>
      <c r="D7094" s="13">
        <f t="shared" si="1"/>
        <v>25</v>
      </c>
      <c r="E7094" s="13">
        <f t="shared" si="2"/>
        <v>22</v>
      </c>
    </row>
    <row r="7095">
      <c r="A7095" s="4" t="s">
        <v>7707</v>
      </c>
      <c r="B7095" s="16"/>
      <c r="C7095" s="12">
        <f>IFERROR(__xludf.DUMMYFUNCTION("""COMPUTED_VALUE"""),44645.94972222222)</f>
        <v>44645.94972</v>
      </c>
      <c r="D7095" s="13">
        <f t="shared" si="1"/>
        <v>25</v>
      </c>
      <c r="E7095" s="13">
        <f t="shared" si="2"/>
        <v>22</v>
      </c>
    </row>
    <row r="7096">
      <c r="A7096" s="4" t="s">
        <v>7708</v>
      </c>
      <c r="B7096" s="16"/>
      <c r="C7096" s="12">
        <f>IFERROR(__xludf.DUMMYFUNCTION("""COMPUTED_VALUE"""),44645.90263888889)</f>
        <v>44645.90264</v>
      </c>
      <c r="D7096" s="13">
        <f t="shared" si="1"/>
        <v>25</v>
      </c>
      <c r="E7096" s="13">
        <f t="shared" si="2"/>
        <v>21</v>
      </c>
    </row>
    <row r="7097">
      <c r="A7097" s="4" t="s">
        <v>7709</v>
      </c>
      <c r="B7097" s="16"/>
      <c r="C7097" s="12">
        <f>IFERROR(__xludf.DUMMYFUNCTION("""COMPUTED_VALUE"""),44645.85612268518)</f>
        <v>44645.85612</v>
      </c>
      <c r="D7097" s="13">
        <f t="shared" si="1"/>
        <v>25</v>
      </c>
      <c r="E7097" s="13">
        <f t="shared" si="2"/>
        <v>20</v>
      </c>
    </row>
    <row r="7098">
      <c r="A7098" s="4" t="s">
        <v>7710</v>
      </c>
      <c r="B7098" s="16"/>
      <c r="C7098" s="12">
        <f>IFERROR(__xludf.DUMMYFUNCTION("""COMPUTED_VALUE"""),44645.85104166666)</f>
        <v>44645.85104</v>
      </c>
      <c r="D7098" s="13">
        <f t="shared" si="1"/>
        <v>25</v>
      </c>
      <c r="E7098" s="13">
        <f t="shared" si="2"/>
        <v>20</v>
      </c>
    </row>
    <row r="7099">
      <c r="A7099" s="4" t="s">
        <v>7711</v>
      </c>
      <c r="B7099" s="16"/>
      <c r="C7099" s="12">
        <f>IFERROR(__xludf.DUMMYFUNCTION("""COMPUTED_VALUE"""),44645.8455324074)</f>
        <v>44645.84553</v>
      </c>
      <c r="D7099" s="13">
        <f t="shared" si="1"/>
        <v>25</v>
      </c>
      <c r="E7099" s="13">
        <f t="shared" si="2"/>
        <v>20</v>
      </c>
    </row>
    <row r="7100">
      <c r="A7100" s="4" t="s">
        <v>7712</v>
      </c>
      <c r="B7100" s="16"/>
      <c r="C7100" s="12">
        <f>IFERROR(__xludf.DUMMYFUNCTION("""COMPUTED_VALUE"""),44645.84175925926)</f>
        <v>44645.84176</v>
      </c>
      <c r="D7100" s="13">
        <f t="shared" si="1"/>
        <v>25</v>
      </c>
      <c r="E7100" s="13">
        <f t="shared" si="2"/>
        <v>20</v>
      </c>
    </row>
    <row r="7101">
      <c r="A7101" s="4" t="s">
        <v>7713</v>
      </c>
      <c r="B7101" s="16"/>
      <c r="C7101" s="12">
        <f>IFERROR(__xludf.DUMMYFUNCTION("""COMPUTED_VALUE"""),44645.836446759255)</f>
        <v>44645.83645</v>
      </c>
      <c r="D7101" s="13">
        <f t="shared" si="1"/>
        <v>25</v>
      </c>
      <c r="E7101" s="13">
        <f t="shared" si="2"/>
        <v>20</v>
      </c>
    </row>
    <row r="7102">
      <c r="A7102" s="4" t="s">
        <v>7714</v>
      </c>
      <c r="B7102" s="16"/>
      <c r="C7102" s="12">
        <f>IFERROR(__xludf.DUMMYFUNCTION("""COMPUTED_VALUE"""),44645.832615740735)</f>
        <v>44645.83262</v>
      </c>
      <c r="D7102" s="13">
        <f t="shared" si="1"/>
        <v>25</v>
      </c>
      <c r="E7102" s="13">
        <f t="shared" si="2"/>
        <v>19</v>
      </c>
    </row>
    <row r="7103">
      <c r="A7103" s="4" t="s">
        <v>7715</v>
      </c>
      <c r="B7103" s="16"/>
      <c r="C7103" s="12">
        <f>IFERROR(__xludf.DUMMYFUNCTION("""COMPUTED_VALUE"""),44645.83259259259)</f>
        <v>44645.83259</v>
      </c>
      <c r="D7103" s="13">
        <f t="shared" si="1"/>
        <v>25</v>
      </c>
      <c r="E7103" s="13">
        <f t="shared" si="2"/>
        <v>19</v>
      </c>
    </row>
    <row r="7104">
      <c r="A7104" s="4" t="s">
        <v>7716</v>
      </c>
      <c r="B7104" s="16"/>
      <c r="C7104" s="12">
        <f>IFERROR(__xludf.DUMMYFUNCTION("""COMPUTED_VALUE"""),44645.83131944444)</f>
        <v>44645.83132</v>
      </c>
      <c r="D7104" s="13">
        <f t="shared" si="1"/>
        <v>25</v>
      </c>
      <c r="E7104" s="13">
        <f t="shared" si="2"/>
        <v>19</v>
      </c>
    </row>
    <row r="7105">
      <c r="A7105" s="4" t="s">
        <v>7717</v>
      </c>
      <c r="B7105" s="16"/>
      <c r="C7105" s="12">
        <f>IFERROR(__xludf.DUMMYFUNCTION("""COMPUTED_VALUE"""),44645.82709490741)</f>
        <v>44645.82709</v>
      </c>
      <c r="D7105" s="13">
        <f t="shared" si="1"/>
        <v>25</v>
      </c>
      <c r="E7105" s="13">
        <f t="shared" si="2"/>
        <v>19</v>
      </c>
    </row>
    <row r="7106">
      <c r="A7106" s="4" t="s">
        <v>7718</v>
      </c>
      <c r="B7106" s="16"/>
      <c r="C7106" s="12">
        <f>IFERROR(__xludf.DUMMYFUNCTION("""COMPUTED_VALUE"""),44645.799259259256)</f>
        <v>44645.79926</v>
      </c>
      <c r="D7106" s="13">
        <f t="shared" si="1"/>
        <v>25</v>
      </c>
      <c r="E7106" s="13">
        <f t="shared" si="2"/>
        <v>19</v>
      </c>
    </row>
    <row r="7107">
      <c r="A7107" s="4" t="s">
        <v>7719</v>
      </c>
      <c r="B7107" s="16"/>
      <c r="C7107" s="12">
        <f>IFERROR(__xludf.DUMMYFUNCTION("""COMPUTED_VALUE"""),44645.78569444444)</f>
        <v>44645.78569</v>
      </c>
      <c r="D7107" s="13">
        <f t="shared" si="1"/>
        <v>25</v>
      </c>
      <c r="E7107" s="13">
        <f t="shared" si="2"/>
        <v>18</v>
      </c>
    </row>
    <row r="7108">
      <c r="A7108" s="4" t="s">
        <v>7720</v>
      </c>
      <c r="B7108" s="16"/>
      <c r="C7108" s="12">
        <f>IFERROR(__xludf.DUMMYFUNCTION("""COMPUTED_VALUE"""),44645.777557870366)</f>
        <v>44645.77756</v>
      </c>
      <c r="D7108" s="13">
        <f t="shared" si="1"/>
        <v>25</v>
      </c>
      <c r="E7108" s="13">
        <f t="shared" si="2"/>
        <v>18</v>
      </c>
    </row>
    <row r="7109">
      <c r="A7109" s="4" t="s">
        <v>7721</v>
      </c>
      <c r="B7109" s="16"/>
      <c r="C7109" s="12">
        <f>IFERROR(__xludf.DUMMYFUNCTION("""COMPUTED_VALUE"""),44645.76747685185)</f>
        <v>44645.76748</v>
      </c>
      <c r="D7109" s="13">
        <f t="shared" si="1"/>
        <v>25</v>
      </c>
      <c r="E7109" s="13">
        <f t="shared" si="2"/>
        <v>18</v>
      </c>
    </row>
    <row r="7110">
      <c r="A7110" s="4" t="s">
        <v>7722</v>
      </c>
      <c r="B7110" s="16"/>
      <c r="C7110" s="12">
        <f>IFERROR(__xludf.DUMMYFUNCTION("""COMPUTED_VALUE"""),44645.76243055555)</f>
        <v>44645.76243</v>
      </c>
      <c r="D7110" s="13">
        <f t="shared" si="1"/>
        <v>25</v>
      </c>
      <c r="E7110" s="13">
        <f t="shared" si="2"/>
        <v>18</v>
      </c>
    </row>
    <row r="7111">
      <c r="A7111" s="4" t="s">
        <v>7723</v>
      </c>
      <c r="B7111" s="16"/>
      <c r="C7111" s="12">
        <f>IFERROR(__xludf.DUMMYFUNCTION("""COMPUTED_VALUE"""),44645.76077546296)</f>
        <v>44645.76078</v>
      </c>
      <c r="D7111" s="13">
        <f t="shared" si="1"/>
        <v>25</v>
      </c>
      <c r="E7111" s="13">
        <f t="shared" si="2"/>
        <v>18</v>
      </c>
    </row>
    <row r="7112">
      <c r="A7112" s="4" t="s">
        <v>7724</v>
      </c>
      <c r="B7112" s="16"/>
      <c r="C7112" s="12">
        <f>IFERROR(__xludf.DUMMYFUNCTION("""COMPUTED_VALUE"""),44645.756701388884)</f>
        <v>44645.7567</v>
      </c>
      <c r="D7112" s="13">
        <f t="shared" si="1"/>
        <v>25</v>
      </c>
      <c r="E7112" s="13">
        <f t="shared" si="2"/>
        <v>18</v>
      </c>
    </row>
    <row r="7113">
      <c r="A7113" s="4" t="s">
        <v>7725</v>
      </c>
      <c r="B7113" s="16"/>
      <c r="C7113" s="12">
        <f>IFERROR(__xludf.DUMMYFUNCTION("""COMPUTED_VALUE"""),44645.75625)</f>
        <v>44645.75625</v>
      </c>
      <c r="D7113" s="13">
        <f t="shared" si="1"/>
        <v>25</v>
      </c>
      <c r="E7113" s="13">
        <f t="shared" si="2"/>
        <v>18</v>
      </c>
    </row>
    <row r="7114">
      <c r="A7114" s="4" t="s">
        <v>7726</v>
      </c>
      <c r="B7114" s="16"/>
      <c r="C7114" s="12">
        <f>IFERROR(__xludf.DUMMYFUNCTION("""COMPUTED_VALUE"""),44645.72414351851)</f>
        <v>44645.72414</v>
      </c>
      <c r="D7114" s="13">
        <f t="shared" si="1"/>
        <v>25</v>
      </c>
      <c r="E7114" s="13">
        <f t="shared" si="2"/>
        <v>17</v>
      </c>
    </row>
    <row r="7115">
      <c r="A7115" s="4" t="s">
        <v>7727</v>
      </c>
      <c r="B7115" s="16"/>
      <c r="C7115" s="12">
        <f>IFERROR(__xludf.DUMMYFUNCTION("""COMPUTED_VALUE"""),44645.718935185185)</f>
        <v>44645.71894</v>
      </c>
      <c r="D7115" s="13">
        <f t="shared" si="1"/>
        <v>25</v>
      </c>
      <c r="E7115" s="13">
        <f t="shared" si="2"/>
        <v>17</v>
      </c>
    </row>
    <row r="7116">
      <c r="A7116" s="4" t="s">
        <v>7728</v>
      </c>
      <c r="B7116" s="16"/>
      <c r="C7116" s="12">
        <f>IFERROR(__xludf.DUMMYFUNCTION("""COMPUTED_VALUE"""),44645.71498842593)</f>
        <v>44645.71499</v>
      </c>
      <c r="D7116" s="13">
        <f t="shared" si="1"/>
        <v>25</v>
      </c>
      <c r="E7116" s="13">
        <f t="shared" si="2"/>
        <v>17</v>
      </c>
    </row>
    <row r="7117">
      <c r="A7117" s="4" t="s">
        <v>7729</v>
      </c>
      <c r="B7117" s="16"/>
      <c r="C7117" s="12">
        <f>IFERROR(__xludf.DUMMYFUNCTION("""COMPUTED_VALUE"""),44645.71394675926)</f>
        <v>44645.71395</v>
      </c>
      <c r="D7117" s="13">
        <f t="shared" si="1"/>
        <v>25</v>
      </c>
      <c r="E7117" s="13">
        <f t="shared" si="2"/>
        <v>17</v>
      </c>
    </row>
    <row r="7118">
      <c r="A7118" s="4" t="s">
        <v>7730</v>
      </c>
      <c r="B7118" s="16"/>
      <c r="C7118" s="12">
        <f>IFERROR(__xludf.DUMMYFUNCTION("""COMPUTED_VALUE"""),44645.70545138889)</f>
        <v>44645.70545</v>
      </c>
      <c r="D7118" s="13">
        <f t="shared" si="1"/>
        <v>25</v>
      </c>
      <c r="E7118" s="13">
        <f t="shared" si="2"/>
        <v>16</v>
      </c>
    </row>
    <row r="7119">
      <c r="A7119" s="4" t="s">
        <v>7731</v>
      </c>
      <c r="B7119" s="16"/>
      <c r="C7119" s="12">
        <f>IFERROR(__xludf.DUMMYFUNCTION("""COMPUTED_VALUE"""),44645.694560185184)</f>
        <v>44645.69456</v>
      </c>
      <c r="D7119" s="13">
        <f t="shared" si="1"/>
        <v>25</v>
      </c>
      <c r="E7119" s="13">
        <f t="shared" si="2"/>
        <v>16</v>
      </c>
    </row>
    <row r="7120">
      <c r="A7120" s="4" t="s">
        <v>7732</v>
      </c>
      <c r="B7120" s="16"/>
      <c r="C7120" s="12">
        <f>IFERROR(__xludf.DUMMYFUNCTION("""COMPUTED_VALUE"""),44645.68504629629)</f>
        <v>44645.68505</v>
      </c>
      <c r="D7120" s="13">
        <f t="shared" si="1"/>
        <v>25</v>
      </c>
      <c r="E7120" s="13">
        <f t="shared" si="2"/>
        <v>16</v>
      </c>
    </row>
    <row r="7121">
      <c r="A7121" s="4" t="s">
        <v>7733</v>
      </c>
      <c r="B7121" s="16"/>
      <c r="C7121" s="12">
        <f>IFERROR(__xludf.DUMMYFUNCTION("""COMPUTED_VALUE"""),44645.681805555556)</f>
        <v>44645.68181</v>
      </c>
      <c r="D7121" s="13">
        <f t="shared" si="1"/>
        <v>25</v>
      </c>
      <c r="E7121" s="13">
        <f t="shared" si="2"/>
        <v>16</v>
      </c>
    </row>
    <row r="7122">
      <c r="A7122" s="4" t="s">
        <v>7734</v>
      </c>
      <c r="B7122" s="16"/>
      <c r="C7122" s="12">
        <f>IFERROR(__xludf.DUMMYFUNCTION("""COMPUTED_VALUE"""),44645.68104166666)</f>
        <v>44645.68104</v>
      </c>
      <c r="D7122" s="13">
        <f t="shared" si="1"/>
        <v>25</v>
      </c>
      <c r="E7122" s="13">
        <f t="shared" si="2"/>
        <v>16</v>
      </c>
    </row>
    <row r="7123">
      <c r="A7123" s="4" t="s">
        <v>7735</v>
      </c>
      <c r="B7123" s="16"/>
      <c r="C7123" s="12">
        <f>IFERROR(__xludf.DUMMYFUNCTION("""COMPUTED_VALUE"""),44645.680243055554)</f>
        <v>44645.68024</v>
      </c>
      <c r="D7123" s="13">
        <f t="shared" si="1"/>
        <v>25</v>
      </c>
      <c r="E7123" s="13">
        <f t="shared" si="2"/>
        <v>16</v>
      </c>
    </row>
    <row r="7124">
      <c r="A7124" s="4" t="s">
        <v>7736</v>
      </c>
      <c r="B7124" s="16"/>
      <c r="C7124" s="12">
        <f>IFERROR(__xludf.DUMMYFUNCTION("""COMPUTED_VALUE"""),44645.679247685184)</f>
        <v>44645.67925</v>
      </c>
      <c r="D7124" s="13">
        <f t="shared" si="1"/>
        <v>25</v>
      </c>
      <c r="E7124" s="13">
        <f t="shared" si="2"/>
        <v>16</v>
      </c>
    </row>
    <row r="7125">
      <c r="A7125" s="4" t="s">
        <v>7737</v>
      </c>
      <c r="B7125" s="16"/>
      <c r="C7125" s="12">
        <f>IFERROR(__xludf.DUMMYFUNCTION("""COMPUTED_VALUE"""),44645.648634259254)</f>
        <v>44645.64863</v>
      </c>
      <c r="D7125" s="13">
        <f t="shared" si="1"/>
        <v>25</v>
      </c>
      <c r="E7125" s="13">
        <f t="shared" si="2"/>
        <v>15</v>
      </c>
    </row>
    <row r="7126">
      <c r="A7126" s="4" t="s">
        <v>7738</v>
      </c>
      <c r="B7126" s="16"/>
      <c r="C7126" s="12">
        <f>IFERROR(__xludf.DUMMYFUNCTION("""COMPUTED_VALUE"""),44645.64222222222)</f>
        <v>44645.64222</v>
      </c>
      <c r="D7126" s="13">
        <f t="shared" si="1"/>
        <v>25</v>
      </c>
      <c r="E7126" s="13">
        <f t="shared" si="2"/>
        <v>15</v>
      </c>
    </row>
    <row r="7127">
      <c r="A7127" s="4" t="s">
        <v>7739</v>
      </c>
      <c r="B7127" s="16"/>
      <c r="C7127" s="12">
        <f>IFERROR(__xludf.DUMMYFUNCTION("""COMPUTED_VALUE"""),44645.62461805555)</f>
        <v>44645.62462</v>
      </c>
      <c r="D7127" s="13">
        <f t="shared" si="1"/>
        <v>25</v>
      </c>
      <c r="E7127" s="13">
        <f t="shared" si="2"/>
        <v>14</v>
      </c>
    </row>
    <row r="7128">
      <c r="A7128" s="4" t="s">
        <v>7740</v>
      </c>
      <c r="B7128" s="16"/>
      <c r="C7128" s="12">
        <f>IFERROR(__xludf.DUMMYFUNCTION("""COMPUTED_VALUE"""),44645.617326388885)</f>
        <v>44645.61733</v>
      </c>
      <c r="D7128" s="13">
        <f t="shared" si="1"/>
        <v>25</v>
      </c>
      <c r="E7128" s="13">
        <f t="shared" si="2"/>
        <v>14</v>
      </c>
    </row>
    <row r="7129">
      <c r="A7129" s="4" t="s">
        <v>7741</v>
      </c>
      <c r="B7129" s="16"/>
      <c r="C7129" s="12">
        <f>IFERROR(__xludf.DUMMYFUNCTION("""COMPUTED_VALUE"""),44645.608125)</f>
        <v>44645.60813</v>
      </c>
      <c r="D7129" s="13">
        <f t="shared" si="1"/>
        <v>25</v>
      </c>
      <c r="E7129" s="13">
        <f t="shared" si="2"/>
        <v>14</v>
      </c>
    </row>
    <row r="7130">
      <c r="A7130" s="4" t="s">
        <v>7742</v>
      </c>
      <c r="B7130" s="16"/>
      <c r="C7130" s="12">
        <f>IFERROR(__xludf.DUMMYFUNCTION("""COMPUTED_VALUE"""),44645.60255787037)</f>
        <v>44645.60256</v>
      </c>
      <c r="D7130" s="13">
        <f t="shared" si="1"/>
        <v>25</v>
      </c>
      <c r="E7130" s="13">
        <f t="shared" si="2"/>
        <v>14</v>
      </c>
    </row>
    <row r="7131">
      <c r="A7131" s="4" t="s">
        <v>7743</v>
      </c>
      <c r="B7131" s="16"/>
      <c r="C7131" s="12">
        <f>IFERROR(__xludf.DUMMYFUNCTION("""COMPUTED_VALUE"""),44645.58810185185)</f>
        <v>44645.5881</v>
      </c>
      <c r="D7131" s="13">
        <f t="shared" si="1"/>
        <v>25</v>
      </c>
      <c r="E7131" s="13">
        <f t="shared" si="2"/>
        <v>14</v>
      </c>
    </row>
    <row r="7132">
      <c r="A7132" s="4" t="s">
        <v>7744</v>
      </c>
      <c r="B7132" s="16"/>
      <c r="C7132" s="12">
        <f>IFERROR(__xludf.DUMMYFUNCTION("""COMPUTED_VALUE"""),44645.58702546296)</f>
        <v>44645.58703</v>
      </c>
      <c r="D7132" s="13">
        <f t="shared" si="1"/>
        <v>25</v>
      </c>
      <c r="E7132" s="13">
        <f t="shared" si="2"/>
        <v>14</v>
      </c>
    </row>
    <row r="7133">
      <c r="A7133" s="4" t="s">
        <v>7745</v>
      </c>
      <c r="B7133" s="16"/>
      <c r="C7133" s="12">
        <f>IFERROR(__xludf.DUMMYFUNCTION("""COMPUTED_VALUE"""),44645.58653935185)</f>
        <v>44645.58654</v>
      </c>
      <c r="D7133" s="13">
        <f t="shared" si="1"/>
        <v>25</v>
      </c>
      <c r="E7133" s="13">
        <f t="shared" si="2"/>
        <v>14</v>
      </c>
    </row>
    <row r="7134">
      <c r="A7134" s="4" t="s">
        <v>7746</v>
      </c>
      <c r="B7134" s="16"/>
      <c r="C7134" s="12">
        <f>IFERROR(__xludf.DUMMYFUNCTION("""COMPUTED_VALUE"""),44645.580983796295)</f>
        <v>44645.58098</v>
      </c>
      <c r="D7134" s="13">
        <f t="shared" si="1"/>
        <v>25</v>
      </c>
      <c r="E7134" s="13">
        <f t="shared" si="2"/>
        <v>13</v>
      </c>
    </row>
    <row r="7135">
      <c r="A7135" s="4" t="s">
        <v>7747</v>
      </c>
      <c r="B7135" s="16"/>
      <c r="C7135" s="12">
        <f>IFERROR(__xludf.DUMMYFUNCTION("""COMPUTED_VALUE"""),44645.5778125)</f>
        <v>44645.57781</v>
      </c>
      <c r="D7135" s="13">
        <f t="shared" si="1"/>
        <v>25</v>
      </c>
      <c r="E7135" s="13">
        <f t="shared" si="2"/>
        <v>13</v>
      </c>
    </row>
    <row r="7136">
      <c r="A7136" s="4" t="s">
        <v>7748</v>
      </c>
      <c r="B7136" s="16"/>
      <c r="C7136" s="12">
        <f>IFERROR(__xludf.DUMMYFUNCTION("""COMPUTED_VALUE"""),44645.56621527777)</f>
        <v>44645.56622</v>
      </c>
      <c r="D7136" s="13">
        <f t="shared" si="1"/>
        <v>25</v>
      </c>
      <c r="E7136" s="13">
        <f t="shared" si="2"/>
        <v>13</v>
      </c>
    </row>
    <row r="7137">
      <c r="A7137" s="4" t="s">
        <v>7749</v>
      </c>
      <c r="B7137" s="16"/>
      <c r="C7137" s="12">
        <f>IFERROR(__xludf.DUMMYFUNCTION("""COMPUTED_VALUE"""),44645.565937499996)</f>
        <v>44645.56594</v>
      </c>
      <c r="D7137" s="13">
        <f t="shared" si="1"/>
        <v>25</v>
      </c>
      <c r="E7137" s="13">
        <f t="shared" si="2"/>
        <v>13</v>
      </c>
    </row>
    <row r="7138">
      <c r="A7138" s="4" t="s">
        <v>7750</v>
      </c>
      <c r="B7138" s="16"/>
      <c r="C7138" s="12">
        <f>IFERROR(__xludf.DUMMYFUNCTION("""COMPUTED_VALUE"""),44645.5658449074)</f>
        <v>44645.56584</v>
      </c>
      <c r="D7138" s="13">
        <f t="shared" si="1"/>
        <v>25</v>
      </c>
      <c r="E7138" s="13">
        <f t="shared" si="2"/>
        <v>13</v>
      </c>
    </row>
    <row r="7139">
      <c r="A7139" s="4" t="s">
        <v>7751</v>
      </c>
      <c r="B7139" s="16"/>
      <c r="C7139" s="12">
        <f>IFERROR(__xludf.DUMMYFUNCTION("""COMPUTED_VALUE"""),44645.56524305556)</f>
        <v>44645.56524</v>
      </c>
      <c r="D7139" s="13">
        <f t="shared" si="1"/>
        <v>25</v>
      </c>
      <c r="E7139" s="13">
        <f t="shared" si="2"/>
        <v>13</v>
      </c>
    </row>
    <row r="7140">
      <c r="A7140" s="4" t="s">
        <v>7752</v>
      </c>
      <c r="B7140" s="16"/>
      <c r="C7140" s="12">
        <f>IFERROR(__xludf.DUMMYFUNCTION("""COMPUTED_VALUE"""),44645.565150462964)</f>
        <v>44645.56515</v>
      </c>
      <c r="D7140" s="13">
        <f t="shared" si="1"/>
        <v>25</v>
      </c>
      <c r="E7140" s="13">
        <f t="shared" si="2"/>
        <v>13</v>
      </c>
    </row>
    <row r="7141">
      <c r="A7141" s="4" t="s">
        <v>7753</v>
      </c>
      <c r="B7141" s="16"/>
      <c r="C7141" s="12">
        <f>IFERROR(__xludf.DUMMYFUNCTION("""COMPUTED_VALUE"""),44645.56502314815)</f>
        <v>44645.56502</v>
      </c>
      <c r="D7141" s="13">
        <f t="shared" si="1"/>
        <v>25</v>
      </c>
      <c r="E7141" s="13">
        <f t="shared" si="2"/>
        <v>13</v>
      </c>
    </row>
    <row r="7142">
      <c r="A7142" s="4" t="s">
        <v>7754</v>
      </c>
      <c r="B7142" s="16"/>
      <c r="C7142" s="12">
        <f>IFERROR(__xludf.DUMMYFUNCTION("""COMPUTED_VALUE"""),44645.56480324074)</f>
        <v>44645.5648</v>
      </c>
      <c r="D7142" s="13">
        <f t="shared" si="1"/>
        <v>25</v>
      </c>
      <c r="E7142" s="13">
        <f t="shared" si="2"/>
        <v>13</v>
      </c>
    </row>
    <row r="7143">
      <c r="A7143" s="4" t="s">
        <v>7755</v>
      </c>
      <c r="B7143" s="16"/>
      <c r="C7143" s="12">
        <f>IFERROR(__xludf.DUMMYFUNCTION("""COMPUTED_VALUE"""),44645.52814814814)</f>
        <v>44645.52815</v>
      </c>
      <c r="D7143" s="13">
        <f t="shared" si="1"/>
        <v>25</v>
      </c>
      <c r="E7143" s="13">
        <f t="shared" si="2"/>
        <v>12</v>
      </c>
    </row>
    <row r="7144">
      <c r="A7144" s="4" t="s">
        <v>7756</v>
      </c>
      <c r="B7144" s="16"/>
      <c r="C7144" s="12">
        <f>IFERROR(__xludf.DUMMYFUNCTION("""COMPUTED_VALUE"""),44645.527928240735)</f>
        <v>44645.52793</v>
      </c>
      <c r="D7144" s="13">
        <f t="shared" si="1"/>
        <v>25</v>
      </c>
      <c r="E7144" s="13">
        <f t="shared" si="2"/>
        <v>12</v>
      </c>
    </row>
    <row r="7145">
      <c r="A7145" s="4" t="s">
        <v>7757</v>
      </c>
      <c r="B7145" s="16"/>
      <c r="C7145" s="12">
        <f>IFERROR(__xludf.DUMMYFUNCTION("""COMPUTED_VALUE"""),44645.52192129629)</f>
        <v>44645.52192</v>
      </c>
      <c r="D7145" s="13">
        <f t="shared" si="1"/>
        <v>25</v>
      </c>
      <c r="E7145" s="13">
        <f t="shared" si="2"/>
        <v>12</v>
      </c>
    </row>
    <row r="7146">
      <c r="A7146" s="4" t="s">
        <v>7758</v>
      </c>
      <c r="B7146" s="16"/>
      <c r="C7146" s="12">
        <f>IFERROR(__xludf.DUMMYFUNCTION("""COMPUTED_VALUE"""),44645.51047453703)</f>
        <v>44645.51047</v>
      </c>
      <c r="D7146" s="13">
        <f t="shared" si="1"/>
        <v>25</v>
      </c>
      <c r="E7146" s="13">
        <f t="shared" si="2"/>
        <v>12</v>
      </c>
    </row>
    <row r="7147">
      <c r="A7147" s="4" t="s">
        <v>7759</v>
      </c>
      <c r="B7147" s="16"/>
      <c r="C7147" s="12">
        <f>IFERROR(__xludf.DUMMYFUNCTION("""COMPUTED_VALUE"""),44645.506006944444)</f>
        <v>44645.50601</v>
      </c>
      <c r="D7147" s="13">
        <f t="shared" si="1"/>
        <v>25</v>
      </c>
      <c r="E7147" s="13">
        <f t="shared" si="2"/>
        <v>12</v>
      </c>
    </row>
    <row r="7148">
      <c r="A7148" s="4" t="s">
        <v>7760</v>
      </c>
      <c r="B7148" s="16"/>
      <c r="C7148" s="12">
        <f>IFERROR(__xludf.DUMMYFUNCTION("""COMPUTED_VALUE"""),44645.5046875)</f>
        <v>44645.50469</v>
      </c>
      <c r="D7148" s="13">
        <f t="shared" si="1"/>
        <v>25</v>
      </c>
      <c r="E7148" s="13">
        <f t="shared" si="2"/>
        <v>12</v>
      </c>
    </row>
    <row r="7149">
      <c r="A7149" s="4" t="s">
        <v>7761</v>
      </c>
      <c r="B7149" s="16"/>
      <c r="C7149" s="12">
        <f>IFERROR(__xludf.DUMMYFUNCTION("""COMPUTED_VALUE"""),44645.50020833333)</f>
        <v>44645.50021</v>
      </c>
      <c r="D7149" s="13">
        <f t="shared" si="1"/>
        <v>25</v>
      </c>
      <c r="E7149" s="13">
        <f t="shared" si="2"/>
        <v>12</v>
      </c>
    </row>
    <row r="7150">
      <c r="A7150" s="4" t="s">
        <v>7762</v>
      </c>
      <c r="B7150" s="16"/>
      <c r="C7150" s="12">
        <f>IFERROR(__xludf.DUMMYFUNCTION("""COMPUTED_VALUE"""),44645.492442129624)</f>
        <v>44645.49244</v>
      </c>
      <c r="D7150" s="13">
        <f t="shared" si="1"/>
        <v>25</v>
      </c>
      <c r="E7150" s="13">
        <f t="shared" si="2"/>
        <v>11</v>
      </c>
    </row>
    <row r="7151">
      <c r="A7151" s="4" t="s">
        <v>7763</v>
      </c>
      <c r="B7151" s="16"/>
      <c r="C7151" s="12">
        <f>IFERROR(__xludf.DUMMYFUNCTION("""COMPUTED_VALUE"""),44645.48759259259)</f>
        <v>44645.48759</v>
      </c>
      <c r="D7151" s="13">
        <f t="shared" si="1"/>
        <v>25</v>
      </c>
      <c r="E7151" s="13">
        <f t="shared" si="2"/>
        <v>11</v>
      </c>
    </row>
    <row r="7152">
      <c r="A7152" s="4" t="s">
        <v>7764</v>
      </c>
      <c r="B7152" s="16"/>
      <c r="C7152" s="12">
        <f>IFERROR(__xludf.DUMMYFUNCTION("""COMPUTED_VALUE"""),44645.48621527778)</f>
        <v>44645.48622</v>
      </c>
      <c r="D7152" s="13">
        <f t="shared" si="1"/>
        <v>25</v>
      </c>
      <c r="E7152" s="13">
        <f t="shared" si="2"/>
        <v>11</v>
      </c>
    </row>
    <row r="7153">
      <c r="A7153" s="4" t="s">
        <v>7765</v>
      </c>
      <c r="B7153" s="16"/>
      <c r="C7153" s="12">
        <f>IFERROR(__xludf.DUMMYFUNCTION("""COMPUTED_VALUE"""),44645.4827662037)</f>
        <v>44645.48277</v>
      </c>
      <c r="D7153" s="13">
        <f t="shared" si="1"/>
        <v>25</v>
      </c>
      <c r="E7153" s="13">
        <f t="shared" si="2"/>
        <v>11</v>
      </c>
    </row>
    <row r="7154">
      <c r="A7154" s="4" t="s">
        <v>7766</v>
      </c>
      <c r="B7154" s="16"/>
      <c r="C7154" s="12">
        <f>IFERROR(__xludf.DUMMYFUNCTION("""COMPUTED_VALUE"""),44645.47578703704)</f>
        <v>44645.47579</v>
      </c>
      <c r="D7154" s="13">
        <f t="shared" si="1"/>
        <v>25</v>
      </c>
      <c r="E7154" s="13">
        <f t="shared" si="2"/>
        <v>11</v>
      </c>
    </row>
    <row r="7155">
      <c r="A7155" s="4" t="s">
        <v>7767</v>
      </c>
      <c r="B7155" s="16"/>
      <c r="C7155" s="12">
        <f>IFERROR(__xludf.DUMMYFUNCTION("""COMPUTED_VALUE"""),44645.468773148146)</f>
        <v>44645.46877</v>
      </c>
      <c r="D7155" s="13">
        <f t="shared" si="1"/>
        <v>25</v>
      </c>
      <c r="E7155" s="13">
        <f t="shared" si="2"/>
        <v>11</v>
      </c>
    </row>
    <row r="7156">
      <c r="A7156" s="4" t="s">
        <v>7768</v>
      </c>
      <c r="B7156" s="16"/>
      <c r="C7156" s="12">
        <f>IFERROR(__xludf.DUMMYFUNCTION("""COMPUTED_VALUE"""),44645.46622685185)</f>
        <v>44645.46623</v>
      </c>
      <c r="D7156" s="13">
        <f t="shared" si="1"/>
        <v>25</v>
      </c>
      <c r="E7156" s="13">
        <f t="shared" si="2"/>
        <v>11</v>
      </c>
    </row>
    <row r="7157">
      <c r="A7157" s="4" t="s">
        <v>7769</v>
      </c>
      <c r="B7157" s="16"/>
      <c r="C7157" s="12">
        <f>IFERROR(__xludf.DUMMYFUNCTION("""COMPUTED_VALUE"""),44645.452835648146)</f>
        <v>44645.45284</v>
      </c>
      <c r="D7157" s="13">
        <f t="shared" si="1"/>
        <v>25</v>
      </c>
      <c r="E7157" s="13">
        <f t="shared" si="2"/>
        <v>10</v>
      </c>
    </row>
    <row r="7158">
      <c r="A7158" s="4" t="s">
        <v>7770</v>
      </c>
      <c r="B7158" s="16"/>
      <c r="C7158" s="12">
        <f>IFERROR(__xludf.DUMMYFUNCTION("""COMPUTED_VALUE"""),44645.44390046296)</f>
        <v>44645.4439</v>
      </c>
      <c r="D7158" s="13">
        <f t="shared" si="1"/>
        <v>25</v>
      </c>
      <c r="E7158" s="13">
        <f t="shared" si="2"/>
        <v>10</v>
      </c>
    </row>
    <row r="7159">
      <c r="A7159" s="4" t="s">
        <v>7771</v>
      </c>
      <c r="B7159" s="16"/>
      <c r="C7159" s="12">
        <f>IFERROR(__xludf.DUMMYFUNCTION("""COMPUTED_VALUE"""),44645.43969907407)</f>
        <v>44645.4397</v>
      </c>
      <c r="D7159" s="13">
        <f t="shared" si="1"/>
        <v>25</v>
      </c>
      <c r="E7159" s="13">
        <f t="shared" si="2"/>
        <v>10</v>
      </c>
    </row>
    <row r="7160">
      <c r="A7160" s="4" t="s">
        <v>7772</v>
      </c>
      <c r="B7160" s="16"/>
      <c r="C7160" s="12">
        <f>IFERROR(__xludf.DUMMYFUNCTION("""COMPUTED_VALUE"""),44645.42216435185)</f>
        <v>44645.42216</v>
      </c>
      <c r="D7160" s="13">
        <f t="shared" si="1"/>
        <v>25</v>
      </c>
      <c r="E7160" s="13">
        <f t="shared" si="2"/>
        <v>10</v>
      </c>
    </row>
    <row r="7161">
      <c r="A7161" s="4" t="s">
        <v>7773</v>
      </c>
      <c r="B7161" s="16"/>
      <c r="C7161" s="12">
        <f>IFERROR(__xludf.DUMMYFUNCTION("""COMPUTED_VALUE"""),44645.421585648146)</f>
        <v>44645.42159</v>
      </c>
      <c r="D7161" s="13">
        <f t="shared" si="1"/>
        <v>25</v>
      </c>
      <c r="E7161" s="13">
        <f t="shared" si="2"/>
        <v>10</v>
      </c>
    </row>
    <row r="7162">
      <c r="A7162" s="4" t="s">
        <v>7774</v>
      </c>
      <c r="B7162" s="16"/>
      <c r="C7162" s="12">
        <f>IFERROR(__xludf.DUMMYFUNCTION("""COMPUTED_VALUE"""),44645.416249999995)</f>
        <v>44645.41625</v>
      </c>
      <c r="D7162" s="13">
        <f t="shared" si="1"/>
        <v>25</v>
      </c>
      <c r="E7162" s="13">
        <f t="shared" si="2"/>
        <v>9</v>
      </c>
    </row>
    <row r="7163">
      <c r="A7163" s="4" t="s">
        <v>7775</v>
      </c>
      <c r="B7163" s="16"/>
      <c r="C7163" s="12">
        <f>IFERROR(__xludf.DUMMYFUNCTION("""COMPUTED_VALUE"""),44645.414247685185)</f>
        <v>44645.41425</v>
      </c>
      <c r="D7163" s="13">
        <f t="shared" si="1"/>
        <v>25</v>
      </c>
      <c r="E7163" s="13">
        <f t="shared" si="2"/>
        <v>9</v>
      </c>
    </row>
    <row r="7164">
      <c r="A7164" s="4" t="s">
        <v>7776</v>
      </c>
      <c r="B7164" s="16"/>
      <c r="C7164" s="12">
        <f>IFERROR(__xludf.DUMMYFUNCTION("""COMPUTED_VALUE"""),44645.40993055555)</f>
        <v>44645.40993</v>
      </c>
      <c r="D7164" s="13">
        <f t="shared" si="1"/>
        <v>25</v>
      </c>
      <c r="E7164" s="13">
        <f t="shared" si="2"/>
        <v>9</v>
      </c>
    </row>
    <row r="7165">
      <c r="A7165" s="4" t="s">
        <v>7777</v>
      </c>
      <c r="B7165" s="16"/>
      <c r="C7165" s="12">
        <f>IFERROR(__xludf.DUMMYFUNCTION("""COMPUTED_VALUE"""),44645.4037037037)</f>
        <v>44645.4037</v>
      </c>
      <c r="D7165" s="13">
        <f t="shared" si="1"/>
        <v>25</v>
      </c>
      <c r="E7165" s="13">
        <f t="shared" si="2"/>
        <v>9</v>
      </c>
    </row>
    <row r="7166">
      <c r="A7166" s="4" t="s">
        <v>7778</v>
      </c>
      <c r="B7166" s="16"/>
      <c r="C7166" s="12">
        <f>IFERROR(__xludf.DUMMYFUNCTION("""COMPUTED_VALUE"""),44645.3936574074)</f>
        <v>44645.39366</v>
      </c>
      <c r="D7166" s="13">
        <f t="shared" si="1"/>
        <v>25</v>
      </c>
      <c r="E7166" s="13">
        <f t="shared" si="2"/>
        <v>9</v>
      </c>
    </row>
    <row r="7167">
      <c r="A7167" s="4" t="s">
        <v>7779</v>
      </c>
      <c r="B7167" s="16"/>
      <c r="C7167" s="12">
        <f>IFERROR(__xludf.DUMMYFUNCTION("""COMPUTED_VALUE"""),44645.38071759259)</f>
        <v>44645.38072</v>
      </c>
      <c r="D7167" s="13">
        <f t="shared" si="1"/>
        <v>25</v>
      </c>
      <c r="E7167" s="13">
        <f t="shared" si="2"/>
        <v>9</v>
      </c>
    </row>
    <row r="7168">
      <c r="A7168" s="4" t="s">
        <v>7780</v>
      </c>
      <c r="B7168" s="16"/>
      <c r="C7168" s="12">
        <f>IFERROR(__xludf.DUMMYFUNCTION("""COMPUTED_VALUE"""),44645.356898148144)</f>
        <v>44645.3569</v>
      </c>
      <c r="D7168" s="13">
        <f t="shared" si="1"/>
        <v>25</v>
      </c>
      <c r="E7168" s="13">
        <f t="shared" si="2"/>
        <v>8</v>
      </c>
    </row>
    <row r="7169">
      <c r="A7169" s="4" t="s">
        <v>7781</v>
      </c>
      <c r="B7169" s="16"/>
      <c r="C7169" s="12">
        <f>IFERROR(__xludf.DUMMYFUNCTION("""COMPUTED_VALUE"""),44645.348090277774)</f>
        <v>44645.34809</v>
      </c>
      <c r="D7169" s="13">
        <f t="shared" si="1"/>
        <v>25</v>
      </c>
      <c r="E7169" s="13">
        <f t="shared" si="2"/>
        <v>8</v>
      </c>
    </row>
    <row r="7170">
      <c r="A7170" s="4" t="s">
        <v>7782</v>
      </c>
      <c r="B7170" s="16"/>
      <c r="C7170" s="12">
        <f>IFERROR(__xludf.DUMMYFUNCTION("""COMPUTED_VALUE"""),44645.34762731481)</f>
        <v>44645.34763</v>
      </c>
      <c r="D7170" s="13">
        <f t="shared" si="1"/>
        <v>25</v>
      </c>
      <c r="E7170" s="13">
        <f t="shared" si="2"/>
        <v>8</v>
      </c>
    </row>
    <row r="7171">
      <c r="A7171" s="4" t="s">
        <v>7783</v>
      </c>
      <c r="B7171" s="16"/>
      <c r="C7171" s="12">
        <f>IFERROR(__xludf.DUMMYFUNCTION("""COMPUTED_VALUE"""),44645.33420138888)</f>
        <v>44645.3342</v>
      </c>
      <c r="D7171" s="13">
        <f t="shared" si="1"/>
        <v>25</v>
      </c>
      <c r="E7171" s="13">
        <f t="shared" si="2"/>
        <v>8</v>
      </c>
    </row>
    <row r="7172">
      <c r="A7172" s="4" t="s">
        <v>7784</v>
      </c>
      <c r="B7172" s="16"/>
      <c r="C7172" s="12">
        <f>IFERROR(__xludf.DUMMYFUNCTION("""COMPUTED_VALUE"""),44645.33299768518)</f>
        <v>44645.333</v>
      </c>
      <c r="D7172" s="13">
        <f t="shared" si="1"/>
        <v>25</v>
      </c>
      <c r="E7172" s="13">
        <f t="shared" si="2"/>
        <v>7</v>
      </c>
    </row>
    <row r="7173">
      <c r="A7173" s="4" t="s">
        <v>7785</v>
      </c>
      <c r="B7173" s="16"/>
      <c r="C7173" s="12">
        <f>IFERROR(__xludf.DUMMYFUNCTION("""COMPUTED_VALUE"""),44645.324594907404)</f>
        <v>44645.32459</v>
      </c>
      <c r="D7173" s="13">
        <f t="shared" si="1"/>
        <v>25</v>
      </c>
      <c r="E7173" s="13">
        <f t="shared" si="2"/>
        <v>7</v>
      </c>
    </row>
    <row r="7174">
      <c r="A7174" s="4" t="s">
        <v>7786</v>
      </c>
      <c r="B7174" s="16"/>
      <c r="C7174" s="12">
        <f>IFERROR(__xludf.DUMMYFUNCTION("""COMPUTED_VALUE"""),44645.28974537037)</f>
        <v>44645.28975</v>
      </c>
      <c r="D7174" s="13">
        <f t="shared" si="1"/>
        <v>25</v>
      </c>
      <c r="E7174" s="13">
        <f t="shared" si="2"/>
        <v>6</v>
      </c>
    </row>
    <row r="7175">
      <c r="A7175" s="4" t="s">
        <v>7787</v>
      </c>
      <c r="B7175" s="16"/>
      <c r="C7175" s="12">
        <f>IFERROR(__xludf.DUMMYFUNCTION("""COMPUTED_VALUE"""),44645.1766087963)</f>
        <v>44645.17661</v>
      </c>
      <c r="D7175" s="13">
        <f t="shared" si="1"/>
        <v>25</v>
      </c>
      <c r="E7175" s="13">
        <f t="shared" si="2"/>
        <v>4</v>
      </c>
    </row>
    <row r="7176">
      <c r="A7176" s="4" t="s">
        <v>7788</v>
      </c>
      <c r="B7176" s="16"/>
      <c r="C7176" s="12">
        <f>IFERROR(__xludf.DUMMYFUNCTION("""COMPUTED_VALUE"""),44645.17631944444)</f>
        <v>44645.17632</v>
      </c>
      <c r="D7176" s="13">
        <f t="shared" si="1"/>
        <v>25</v>
      </c>
      <c r="E7176" s="13">
        <f t="shared" si="2"/>
        <v>4</v>
      </c>
    </row>
    <row r="7177">
      <c r="A7177" s="4" t="s">
        <v>7789</v>
      </c>
      <c r="B7177" s="16"/>
      <c r="C7177" s="12">
        <f>IFERROR(__xludf.DUMMYFUNCTION("""COMPUTED_VALUE"""),44645.13018518518)</f>
        <v>44645.13019</v>
      </c>
      <c r="D7177" s="13">
        <f t="shared" si="1"/>
        <v>25</v>
      </c>
      <c r="E7177" s="13">
        <f t="shared" si="2"/>
        <v>3</v>
      </c>
    </row>
    <row r="7178">
      <c r="A7178" s="4" t="s">
        <v>7790</v>
      </c>
      <c r="B7178" s="16"/>
      <c r="C7178" s="12">
        <f>IFERROR(__xludf.DUMMYFUNCTION("""COMPUTED_VALUE"""),44645.12774305556)</f>
        <v>44645.12774</v>
      </c>
      <c r="D7178" s="13">
        <f t="shared" si="1"/>
        <v>25</v>
      </c>
      <c r="E7178" s="13">
        <f t="shared" si="2"/>
        <v>3</v>
      </c>
    </row>
    <row r="7179">
      <c r="A7179" s="4" t="s">
        <v>7791</v>
      </c>
      <c r="B7179" s="16"/>
      <c r="C7179" s="12">
        <f>IFERROR(__xludf.DUMMYFUNCTION("""COMPUTED_VALUE"""),44645.08248842592)</f>
        <v>44645.08249</v>
      </c>
      <c r="D7179" s="13">
        <f t="shared" si="1"/>
        <v>25</v>
      </c>
      <c r="E7179" s="13">
        <f t="shared" si="2"/>
        <v>1</v>
      </c>
    </row>
    <row r="7180">
      <c r="A7180" s="4" t="s">
        <v>7792</v>
      </c>
      <c r="B7180" s="16"/>
      <c r="C7180" s="12">
        <f>IFERROR(__xludf.DUMMYFUNCTION("""COMPUTED_VALUE"""),44645.037048611106)</f>
        <v>44645.03705</v>
      </c>
      <c r="D7180" s="13">
        <f t="shared" si="1"/>
        <v>25</v>
      </c>
      <c r="E7180" s="13">
        <f t="shared" si="2"/>
        <v>0</v>
      </c>
    </row>
    <row r="7181">
      <c r="A7181" s="4" t="s">
        <v>7793</v>
      </c>
      <c r="B7181" s="16"/>
      <c r="C7181" s="12">
        <f>IFERROR(__xludf.DUMMYFUNCTION("""COMPUTED_VALUE"""),44645.03010416666)</f>
        <v>44645.0301</v>
      </c>
      <c r="D7181" s="13">
        <f t="shared" si="1"/>
        <v>25</v>
      </c>
      <c r="E7181" s="13">
        <f t="shared" si="2"/>
        <v>0</v>
      </c>
    </row>
    <row r="7182">
      <c r="A7182" s="4" t="s">
        <v>7794</v>
      </c>
      <c r="B7182" s="16"/>
      <c r="C7182" s="12">
        <f>IFERROR(__xludf.DUMMYFUNCTION("""COMPUTED_VALUE"""),44645.026238425926)</f>
        <v>44645.02624</v>
      </c>
      <c r="D7182" s="13">
        <f t="shared" si="1"/>
        <v>25</v>
      </c>
      <c r="E7182" s="13">
        <f t="shared" si="2"/>
        <v>0</v>
      </c>
    </row>
    <row r="7183">
      <c r="A7183" s="4" t="s">
        <v>7795</v>
      </c>
      <c r="B7183" s="16"/>
      <c r="C7183" s="12">
        <f>IFERROR(__xludf.DUMMYFUNCTION("""COMPUTED_VALUE"""),44645.014826388884)</f>
        <v>44645.01483</v>
      </c>
      <c r="D7183" s="13">
        <f t="shared" si="1"/>
        <v>25</v>
      </c>
      <c r="E7183" s="13">
        <f t="shared" si="2"/>
        <v>0</v>
      </c>
    </row>
    <row r="7184">
      <c r="A7184" s="4" t="s">
        <v>7796</v>
      </c>
      <c r="B7184" s="16"/>
      <c r="C7184" s="12">
        <f>IFERROR(__xludf.DUMMYFUNCTION("""COMPUTED_VALUE"""),44645.00803240741)</f>
        <v>44645.00803</v>
      </c>
      <c r="D7184" s="13">
        <f t="shared" si="1"/>
        <v>25</v>
      </c>
      <c r="E7184" s="13">
        <f t="shared" si="2"/>
        <v>0</v>
      </c>
    </row>
    <row r="7185">
      <c r="A7185" s="4" t="s">
        <v>7797</v>
      </c>
      <c r="B7185" s="16"/>
      <c r="C7185" s="12">
        <f>IFERROR(__xludf.DUMMYFUNCTION("""COMPUTED_VALUE"""),44644.97516203704)</f>
        <v>44644.97516</v>
      </c>
      <c r="D7185" s="13">
        <f t="shared" si="1"/>
        <v>24</v>
      </c>
      <c r="E7185" s="13">
        <f t="shared" si="2"/>
        <v>23</v>
      </c>
    </row>
    <row r="7186">
      <c r="A7186" s="4" t="s">
        <v>7798</v>
      </c>
      <c r="B7186" s="16"/>
      <c r="C7186" s="12">
        <f>IFERROR(__xludf.DUMMYFUNCTION("""COMPUTED_VALUE"""),44644.96607638889)</f>
        <v>44644.96608</v>
      </c>
      <c r="D7186" s="13">
        <f t="shared" si="1"/>
        <v>24</v>
      </c>
      <c r="E7186" s="13">
        <f t="shared" si="2"/>
        <v>23</v>
      </c>
    </row>
    <row r="7187">
      <c r="A7187" s="4" t="s">
        <v>7799</v>
      </c>
      <c r="B7187" s="16"/>
      <c r="C7187" s="12">
        <f>IFERROR(__xludf.DUMMYFUNCTION("""COMPUTED_VALUE"""),44644.958715277775)</f>
        <v>44644.95872</v>
      </c>
      <c r="D7187" s="13">
        <f t="shared" si="1"/>
        <v>24</v>
      </c>
      <c r="E7187" s="13">
        <f t="shared" si="2"/>
        <v>23</v>
      </c>
    </row>
    <row r="7188">
      <c r="A7188" s="4" t="s">
        <v>7800</v>
      </c>
      <c r="B7188" s="16"/>
      <c r="C7188" s="12">
        <f>IFERROR(__xludf.DUMMYFUNCTION("""COMPUTED_VALUE"""),44644.95086805555)</f>
        <v>44644.95087</v>
      </c>
      <c r="D7188" s="13">
        <f t="shared" si="1"/>
        <v>24</v>
      </c>
      <c r="E7188" s="13">
        <f t="shared" si="2"/>
        <v>22</v>
      </c>
    </row>
    <row r="7189">
      <c r="A7189" s="4" t="s">
        <v>7801</v>
      </c>
      <c r="B7189" s="16"/>
      <c r="C7189" s="12">
        <f>IFERROR(__xludf.DUMMYFUNCTION("""COMPUTED_VALUE"""),44644.95055555555)</f>
        <v>44644.95056</v>
      </c>
      <c r="D7189" s="13">
        <f t="shared" si="1"/>
        <v>24</v>
      </c>
      <c r="E7189" s="13">
        <f t="shared" si="2"/>
        <v>22</v>
      </c>
    </row>
    <row r="7190">
      <c r="A7190" s="4" t="s">
        <v>7802</v>
      </c>
      <c r="B7190" s="16"/>
      <c r="C7190" s="12">
        <f>IFERROR(__xludf.DUMMYFUNCTION("""COMPUTED_VALUE"""),44644.95054398148)</f>
        <v>44644.95054</v>
      </c>
      <c r="D7190" s="13">
        <f t="shared" si="1"/>
        <v>24</v>
      </c>
      <c r="E7190" s="13">
        <f t="shared" si="2"/>
        <v>22</v>
      </c>
    </row>
    <row r="7191">
      <c r="A7191" s="4" t="s">
        <v>7803</v>
      </c>
      <c r="B7191" s="16"/>
      <c r="C7191" s="12">
        <f>IFERROR(__xludf.DUMMYFUNCTION("""COMPUTED_VALUE"""),44644.93657407407)</f>
        <v>44644.93657</v>
      </c>
      <c r="D7191" s="13">
        <f t="shared" si="1"/>
        <v>24</v>
      </c>
      <c r="E7191" s="13">
        <f t="shared" si="2"/>
        <v>22</v>
      </c>
    </row>
    <row r="7192">
      <c r="A7192" s="4" t="s">
        <v>7804</v>
      </c>
      <c r="B7192" s="16"/>
      <c r="C7192" s="12">
        <f>IFERROR(__xludf.DUMMYFUNCTION("""COMPUTED_VALUE"""),44644.93383101852)</f>
        <v>44644.93383</v>
      </c>
      <c r="D7192" s="13">
        <f t="shared" si="1"/>
        <v>24</v>
      </c>
      <c r="E7192" s="13">
        <f t="shared" si="2"/>
        <v>22</v>
      </c>
    </row>
    <row r="7193">
      <c r="A7193" s="4" t="s">
        <v>7805</v>
      </c>
      <c r="B7193" s="16"/>
      <c r="C7193" s="12">
        <f>IFERROR(__xludf.DUMMYFUNCTION("""COMPUTED_VALUE"""),44644.93304398148)</f>
        <v>44644.93304</v>
      </c>
      <c r="D7193" s="13">
        <f t="shared" si="1"/>
        <v>24</v>
      </c>
      <c r="E7193" s="13">
        <f t="shared" si="2"/>
        <v>22</v>
      </c>
    </row>
    <row r="7194">
      <c r="A7194" s="4" t="s">
        <v>7806</v>
      </c>
      <c r="B7194" s="16"/>
      <c r="C7194" s="12">
        <f>IFERROR(__xludf.DUMMYFUNCTION("""COMPUTED_VALUE"""),44644.92357638889)</f>
        <v>44644.92358</v>
      </c>
      <c r="D7194" s="13">
        <f t="shared" si="1"/>
        <v>24</v>
      </c>
      <c r="E7194" s="13">
        <f t="shared" si="2"/>
        <v>22</v>
      </c>
    </row>
    <row r="7195">
      <c r="A7195" s="4" t="s">
        <v>7807</v>
      </c>
      <c r="B7195" s="16"/>
      <c r="C7195" s="12">
        <f>IFERROR(__xludf.DUMMYFUNCTION("""COMPUTED_VALUE"""),44644.91407407407)</f>
        <v>44644.91407</v>
      </c>
      <c r="D7195" s="13">
        <f t="shared" si="1"/>
        <v>24</v>
      </c>
      <c r="E7195" s="13">
        <f t="shared" si="2"/>
        <v>21</v>
      </c>
    </row>
    <row r="7196">
      <c r="A7196" s="4" t="s">
        <v>7808</v>
      </c>
      <c r="B7196" s="16"/>
      <c r="C7196" s="12">
        <f>IFERROR(__xludf.DUMMYFUNCTION("""COMPUTED_VALUE"""),44644.91233796296)</f>
        <v>44644.91234</v>
      </c>
      <c r="D7196" s="13">
        <f t="shared" si="1"/>
        <v>24</v>
      </c>
      <c r="E7196" s="13">
        <f t="shared" si="2"/>
        <v>21</v>
      </c>
    </row>
    <row r="7197">
      <c r="A7197" s="4" t="s">
        <v>7809</v>
      </c>
      <c r="B7197" s="16"/>
      <c r="C7197" s="12">
        <f>IFERROR(__xludf.DUMMYFUNCTION("""COMPUTED_VALUE"""),44644.90798611111)</f>
        <v>44644.90799</v>
      </c>
      <c r="D7197" s="13">
        <f t="shared" si="1"/>
        <v>24</v>
      </c>
      <c r="E7197" s="13">
        <f t="shared" si="2"/>
        <v>21</v>
      </c>
    </row>
    <row r="7198">
      <c r="A7198" s="4" t="s">
        <v>7810</v>
      </c>
      <c r="B7198" s="16"/>
      <c r="C7198" s="12">
        <f>IFERROR(__xludf.DUMMYFUNCTION("""COMPUTED_VALUE"""),44644.90608796296)</f>
        <v>44644.90609</v>
      </c>
      <c r="D7198" s="13">
        <f t="shared" si="1"/>
        <v>24</v>
      </c>
      <c r="E7198" s="13">
        <f t="shared" si="2"/>
        <v>21</v>
      </c>
    </row>
    <row r="7199">
      <c r="A7199" s="4" t="s">
        <v>7811</v>
      </c>
      <c r="B7199" s="16"/>
      <c r="C7199" s="12">
        <f>IFERROR(__xludf.DUMMYFUNCTION("""COMPUTED_VALUE"""),44644.90462962963)</f>
        <v>44644.90463</v>
      </c>
      <c r="D7199" s="13">
        <f t="shared" si="1"/>
        <v>24</v>
      </c>
      <c r="E7199" s="13">
        <f t="shared" si="2"/>
        <v>21</v>
      </c>
    </row>
    <row r="7200">
      <c r="A7200" s="4" t="s">
        <v>7812</v>
      </c>
      <c r="B7200" s="16"/>
      <c r="C7200" s="12">
        <f>IFERROR(__xludf.DUMMYFUNCTION("""COMPUTED_VALUE"""),44644.898831018516)</f>
        <v>44644.89883</v>
      </c>
      <c r="D7200" s="13">
        <f t="shared" si="1"/>
        <v>24</v>
      </c>
      <c r="E7200" s="13">
        <f t="shared" si="2"/>
        <v>21</v>
      </c>
    </row>
    <row r="7201">
      <c r="A7201" s="4" t="s">
        <v>7813</v>
      </c>
      <c r="B7201" s="16"/>
      <c r="C7201" s="12">
        <f>IFERROR(__xludf.DUMMYFUNCTION("""COMPUTED_VALUE"""),44644.896793981476)</f>
        <v>44644.89679</v>
      </c>
      <c r="D7201" s="13">
        <f t="shared" si="1"/>
        <v>24</v>
      </c>
      <c r="E7201" s="13">
        <f t="shared" si="2"/>
        <v>21</v>
      </c>
    </row>
    <row r="7202">
      <c r="A7202" s="4" t="s">
        <v>7814</v>
      </c>
      <c r="B7202" s="16"/>
      <c r="C7202" s="12">
        <f>IFERROR(__xludf.DUMMYFUNCTION("""COMPUTED_VALUE"""),44644.896469907406)</f>
        <v>44644.89647</v>
      </c>
      <c r="D7202" s="13">
        <f t="shared" si="1"/>
        <v>24</v>
      </c>
      <c r="E7202" s="13">
        <f t="shared" si="2"/>
        <v>21</v>
      </c>
    </row>
    <row r="7203">
      <c r="A7203" s="4" t="s">
        <v>7815</v>
      </c>
      <c r="B7203" s="16"/>
      <c r="C7203" s="12">
        <f>IFERROR(__xludf.DUMMYFUNCTION("""COMPUTED_VALUE"""),44644.87600694444)</f>
        <v>44644.87601</v>
      </c>
      <c r="D7203" s="13">
        <f t="shared" si="1"/>
        <v>24</v>
      </c>
      <c r="E7203" s="13">
        <f t="shared" si="2"/>
        <v>21</v>
      </c>
    </row>
    <row r="7204">
      <c r="A7204" s="4" t="s">
        <v>7816</v>
      </c>
      <c r="B7204" s="16"/>
      <c r="C7204" s="12">
        <f>IFERROR(__xludf.DUMMYFUNCTION("""COMPUTED_VALUE"""),44644.87591435185)</f>
        <v>44644.87591</v>
      </c>
      <c r="D7204" s="13">
        <f t="shared" si="1"/>
        <v>24</v>
      </c>
      <c r="E7204" s="13">
        <f t="shared" si="2"/>
        <v>21</v>
      </c>
    </row>
    <row r="7205">
      <c r="A7205" s="4" t="s">
        <v>7817</v>
      </c>
      <c r="B7205" s="16"/>
      <c r="C7205" s="12">
        <f>IFERROR(__xludf.DUMMYFUNCTION("""COMPUTED_VALUE"""),44644.86381944444)</f>
        <v>44644.86382</v>
      </c>
      <c r="D7205" s="13">
        <f t="shared" si="1"/>
        <v>24</v>
      </c>
      <c r="E7205" s="13">
        <f t="shared" si="2"/>
        <v>20</v>
      </c>
    </row>
    <row r="7206">
      <c r="A7206" s="4" t="s">
        <v>7818</v>
      </c>
      <c r="B7206" s="16"/>
      <c r="C7206" s="12">
        <f>IFERROR(__xludf.DUMMYFUNCTION("""COMPUTED_VALUE"""),44644.839594907404)</f>
        <v>44644.83959</v>
      </c>
      <c r="D7206" s="13">
        <f t="shared" si="1"/>
        <v>24</v>
      </c>
      <c r="E7206" s="13">
        <f t="shared" si="2"/>
        <v>20</v>
      </c>
    </row>
    <row r="7207">
      <c r="A7207" s="4" t="s">
        <v>7819</v>
      </c>
      <c r="B7207" s="16"/>
      <c r="C7207" s="12">
        <f>IFERROR(__xludf.DUMMYFUNCTION("""COMPUTED_VALUE"""),44644.83944444444)</f>
        <v>44644.83944</v>
      </c>
      <c r="D7207" s="13">
        <f t="shared" si="1"/>
        <v>24</v>
      </c>
      <c r="E7207" s="13">
        <f t="shared" si="2"/>
        <v>20</v>
      </c>
    </row>
    <row r="7208">
      <c r="A7208" s="4" t="s">
        <v>7820</v>
      </c>
      <c r="B7208" s="16"/>
      <c r="C7208" s="12">
        <f>IFERROR(__xludf.DUMMYFUNCTION("""COMPUTED_VALUE"""),44644.83217592593)</f>
        <v>44644.83218</v>
      </c>
      <c r="D7208" s="13">
        <f t="shared" si="1"/>
        <v>24</v>
      </c>
      <c r="E7208" s="13">
        <f t="shared" si="2"/>
        <v>19</v>
      </c>
    </row>
    <row r="7209">
      <c r="A7209" s="4" t="s">
        <v>7821</v>
      </c>
      <c r="B7209" s="16"/>
      <c r="C7209" s="12">
        <f>IFERROR(__xludf.DUMMYFUNCTION("""COMPUTED_VALUE"""),44644.831921296296)</f>
        <v>44644.83192</v>
      </c>
      <c r="D7209" s="13">
        <f t="shared" si="1"/>
        <v>24</v>
      </c>
      <c r="E7209" s="13">
        <f t="shared" si="2"/>
        <v>19</v>
      </c>
    </row>
    <row r="7210">
      <c r="A7210" s="4" t="s">
        <v>7822</v>
      </c>
      <c r="B7210" s="16"/>
      <c r="C7210" s="12">
        <f>IFERROR(__xludf.DUMMYFUNCTION("""COMPUTED_VALUE"""),44644.83150462963)</f>
        <v>44644.8315</v>
      </c>
      <c r="D7210" s="13">
        <f t="shared" si="1"/>
        <v>24</v>
      </c>
      <c r="E7210" s="13">
        <f t="shared" si="2"/>
        <v>19</v>
      </c>
    </row>
    <row r="7211">
      <c r="A7211" s="4" t="s">
        <v>7823</v>
      </c>
      <c r="B7211" s="16"/>
      <c r="C7211" s="12">
        <f>IFERROR(__xludf.DUMMYFUNCTION("""COMPUTED_VALUE"""),44644.82907407407)</f>
        <v>44644.82907</v>
      </c>
      <c r="D7211" s="13">
        <f t="shared" si="1"/>
        <v>24</v>
      </c>
      <c r="E7211" s="13">
        <f t="shared" si="2"/>
        <v>19</v>
      </c>
    </row>
    <row r="7212">
      <c r="A7212" s="4" t="s">
        <v>7824</v>
      </c>
      <c r="B7212" s="16"/>
      <c r="C7212" s="12">
        <f>IFERROR(__xludf.DUMMYFUNCTION("""COMPUTED_VALUE"""),44644.826689814814)</f>
        <v>44644.82669</v>
      </c>
      <c r="D7212" s="13">
        <f t="shared" si="1"/>
        <v>24</v>
      </c>
      <c r="E7212" s="13">
        <f t="shared" si="2"/>
        <v>19</v>
      </c>
    </row>
    <row r="7213">
      <c r="A7213" s="4" t="s">
        <v>7825</v>
      </c>
      <c r="B7213" s="16"/>
      <c r="C7213" s="12">
        <f>IFERROR(__xludf.DUMMYFUNCTION("""COMPUTED_VALUE"""),44644.81491898148)</f>
        <v>44644.81492</v>
      </c>
      <c r="D7213" s="13">
        <f t="shared" si="1"/>
        <v>24</v>
      </c>
      <c r="E7213" s="13">
        <f t="shared" si="2"/>
        <v>19</v>
      </c>
    </row>
    <row r="7214">
      <c r="A7214" s="4" t="s">
        <v>7826</v>
      </c>
      <c r="B7214" s="16"/>
      <c r="C7214" s="12">
        <f>IFERROR(__xludf.DUMMYFUNCTION("""COMPUTED_VALUE"""),44644.81398148148)</f>
        <v>44644.81398</v>
      </c>
      <c r="D7214" s="13">
        <f t="shared" si="1"/>
        <v>24</v>
      </c>
      <c r="E7214" s="13">
        <f t="shared" si="2"/>
        <v>19</v>
      </c>
    </row>
    <row r="7215">
      <c r="A7215" s="4" t="s">
        <v>7827</v>
      </c>
      <c r="B7215" s="16"/>
      <c r="C7215" s="12">
        <f>IFERROR(__xludf.DUMMYFUNCTION("""COMPUTED_VALUE"""),44644.81082175926)</f>
        <v>44644.81082</v>
      </c>
      <c r="D7215" s="13">
        <f t="shared" si="1"/>
        <v>24</v>
      </c>
      <c r="E7215" s="13">
        <f t="shared" si="2"/>
        <v>19</v>
      </c>
    </row>
    <row r="7216">
      <c r="A7216" s="4" t="s">
        <v>7828</v>
      </c>
      <c r="B7216" s="16"/>
      <c r="C7216" s="12">
        <f>IFERROR(__xludf.DUMMYFUNCTION("""COMPUTED_VALUE"""),44644.80929398148)</f>
        <v>44644.80929</v>
      </c>
      <c r="D7216" s="13">
        <f t="shared" si="1"/>
        <v>24</v>
      </c>
      <c r="E7216" s="13">
        <f t="shared" si="2"/>
        <v>19</v>
      </c>
    </row>
    <row r="7217">
      <c r="A7217" s="4" t="s">
        <v>7829</v>
      </c>
      <c r="B7217" s="16"/>
      <c r="C7217" s="12">
        <f>IFERROR(__xludf.DUMMYFUNCTION("""COMPUTED_VALUE"""),44644.80392361111)</f>
        <v>44644.80392</v>
      </c>
      <c r="D7217" s="13">
        <f t="shared" si="1"/>
        <v>24</v>
      </c>
      <c r="E7217" s="13">
        <f t="shared" si="2"/>
        <v>19</v>
      </c>
    </row>
    <row r="7218">
      <c r="A7218" s="4" t="s">
        <v>7830</v>
      </c>
      <c r="B7218" s="16"/>
      <c r="C7218" s="12">
        <f>IFERROR(__xludf.DUMMYFUNCTION("""COMPUTED_VALUE"""),44644.80334490741)</f>
        <v>44644.80334</v>
      </c>
      <c r="D7218" s="13">
        <f t="shared" si="1"/>
        <v>24</v>
      </c>
      <c r="E7218" s="13">
        <f t="shared" si="2"/>
        <v>19</v>
      </c>
    </row>
    <row r="7219">
      <c r="A7219" s="4" t="s">
        <v>7831</v>
      </c>
      <c r="B7219" s="16"/>
      <c r="C7219" s="12">
        <f>IFERROR(__xludf.DUMMYFUNCTION("""COMPUTED_VALUE"""),44644.76210648148)</f>
        <v>44644.76211</v>
      </c>
      <c r="D7219" s="13">
        <f t="shared" si="1"/>
        <v>24</v>
      </c>
      <c r="E7219" s="13">
        <f t="shared" si="2"/>
        <v>18</v>
      </c>
    </row>
    <row r="7220">
      <c r="A7220" s="4" t="s">
        <v>7832</v>
      </c>
      <c r="B7220" s="16"/>
      <c r="C7220" s="12">
        <f>IFERROR(__xludf.DUMMYFUNCTION("""COMPUTED_VALUE"""),44644.750821759255)</f>
        <v>44644.75082</v>
      </c>
      <c r="D7220" s="13">
        <f t="shared" si="1"/>
        <v>24</v>
      </c>
      <c r="E7220" s="13">
        <f t="shared" si="2"/>
        <v>18</v>
      </c>
    </row>
    <row r="7221">
      <c r="A7221" s="4" t="s">
        <v>7833</v>
      </c>
      <c r="B7221" s="16"/>
      <c r="C7221" s="12">
        <f>IFERROR(__xludf.DUMMYFUNCTION("""COMPUTED_VALUE"""),44644.740752314814)</f>
        <v>44644.74075</v>
      </c>
      <c r="D7221" s="13">
        <f t="shared" si="1"/>
        <v>24</v>
      </c>
      <c r="E7221" s="13">
        <f t="shared" si="2"/>
        <v>17</v>
      </c>
    </row>
    <row r="7222">
      <c r="A7222" s="4" t="s">
        <v>7834</v>
      </c>
      <c r="B7222" s="16"/>
      <c r="C7222" s="12">
        <f>IFERROR(__xludf.DUMMYFUNCTION("""COMPUTED_VALUE"""),44644.73641203703)</f>
        <v>44644.73641</v>
      </c>
      <c r="D7222" s="13">
        <f t="shared" si="1"/>
        <v>24</v>
      </c>
      <c r="E7222" s="13">
        <f t="shared" si="2"/>
        <v>17</v>
      </c>
    </row>
    <row r="7223">
      <c r="A7223" s="4" t="s">
        <v>7835</v>
      </c>
      <c r="B7223" s="16"/>
      <c r="C7223" s="12">
        <f>IFERROR(__xludf.DUMMYFUNCTION("""COMPUTED_VALUE"""),44644.727754629625)</f>
        <v>44644.72775</v>
      </c>
      <c r="D7223" s="13">
        <f t="shared" si="1"/>
        <v>24</v>
      </c>
      <c r="E7223" s="13">
        <f t="shared" si="2"/>
        <v>17</v>
      </c>
    </row>
    <row r="7224">
      <c r="A7224" s="4" t="s">
        <v>7836</v>
      </c>
      <c r="B7224" s="16"/>
      <c r="C7224" s="12">
        <f>IFERROR(__xludf.DUMMYFUNCTION("""COMPUTED_VALUE"""),44644.72179398148)</f>
        <v>44644.72179</v>
      </c>
      <c r="D7224" s="13">
        <f t="shared" si="1"/>
        <v>24</v>
      </c>
      <c r="E7224" s="13">
        <f t="shared" si="2"/>
        <v>17</v>
      </c>
    </row>
    <row r="7225">
      <c r="A7225" s="4" t="s">
        <v>7837</v>
      </c>
      <c r="B7225" s="16"/>
      <c r="C7225" s="12">
        <f>IFERROR(__xludf.DUMMYFUNCTION("""COMPUTED_VALUE"""),44644.716215277775)</f>
        <v>44644.71622</v>
      </c>
      <c r="D7225" s="13">
        <f t="shared" si="1"/>
        <v>24</v>
      </c>
      <c r="E7225" s="13">
        <f t="shared" si="2"/>
        <v>17</v>
      </c>
    </row>
    <row r="7226">
      <c r="A7226" s="4" t="s">
        <v>7838</v>
      </c>
      <c r="B7226" s="16"/>
      <c r="C7226" s="12">
        <f>IFERROR(__xludf.DUMMYFUNCTION("""COMPUTED_VALUE"""),44644.71518518518)</f>
        <v>44644.71519</v>
      </c>
      <c r="D7226" s="13">
        <f t="shared" si="1"/>
        <v>24</v>
      </c>
      <c r="E7226" s="13">
        <f t="shared" si="2"/>
        <v>17</v>
      </c>
    </row>
    <row r="7227">
      <c r="A7227" s="4" t="s">
        <v>7839</v>
      </c>
      <c r="B7227" s="16"/>
      <c r="C7227" s="12">
        <f>IFERROR(__xludf.DUMMYFUNCTION("""COMPUTED_VALUE"""),44644.71177083333)</f>
        <v>44644.71177</v>
      </c>
      <c r="D7227" s="13">
        <f t="shared" si="1"/>
        <v>24</v>
      </c>
      <c r="E7227" s="13">
        <f t="shared" si="2"/>
        <v>17</v>
      </c>
    </row>
    <row r="7228">
      <c r="A7228" s="4" t="s">
        <v>7840</v>
      </c>
      <c r="B7228" s="16"/>
      <c r="C7228" s="12">
        <f>IFERROR(__xludf.DUMMYFUNCTION("""COMPUTED_VALUE"""),44644.70453703703)</f>
        <v>44644.70454</v>
      </c>
      <c r="D7228" s="13">
        <f t="shared" si="1"/>
        <v>24</v>
      </c>
      <c r="E7228" s="13">
        <f t="shared" si="2"/>
        <v>16</v>
      </c>
    </row>
    <row r="7229">
      <c r="A7229" s="4" t="s">
        <v>7841</v>
      </c>
      <c r="B7229" s="16"/>
      <c r="C7229" s="12">
        <f>IFERROR(__xludf.DUMMYFUNCTION("""COMPUTED_VALUE"""),44644.70296296296)</f>
        <v>44644.70296</v>
      </c>
      <c r="D7229" s="13">
        <f t="shared" si="1"/>
        <v>24</v>
      </c>
      <c r="E7229" s="13">
        <f t="shared" si="2"/>
        <v>16</v>
      </c>
    </row>
    <row r="7230">
      <c r="A7230" s="4" t="s">
        <v>7842</v>
      </c>
      <c r="B7230" s="16"/>
      <c r="C7230" s="12">
        <f>IFERROR(__xludf.DUMMYFUNCTION("""COMPUTED_VALUE"""),44644.70236111111)</f>
        <v>44644.70236</v>
      </c>
      <c r="D7230" s="13">
        <f t="shared" si="1"/>
        <v>24</v>
      </c>
      <c r="E7230" s="13">
        <f t="shared" si="2"/>
        <v>16</v>
      </c>
    </row>
    <row r="7231">
      <c r="A7231" s="4" t="s">
        <v>7843</v>
      </c>
      <c r="B7231" s="16"/>
      <c r="C7231" s="12">
        <f>IFERROR(__xludf.DUMMYFUNCTION("""COMPUTED_VALUE"""),44644.70034722222)</f>
        <v>44644.70035</v>
      </c>
      <c r="D7231" s="13">
        <f t="shared" si="1"/>
        <v>24</v>
      </c>
      <c r="E7231" s="13">
        <f t="shared" si="2"/>
        <v>16</v>
      </c>
    </row>
    <row r="7232">
      <c r="A7232" s="4" t="s">
        <v>7844</v>
      </c>
      <c r="B7232" s="16"/>
      <c r="C7232" s="12">
        <f>IFERROR(__xludf.DUMMYFUNCTION("""COMPUTED_VALUE"""),44644.69527777778)</f>
        <v>44644.69528</v>
      </c>
      <c r="D7232" s="13">
        <f t="shared" si="1"/>
        <v>24</v>
      </c>
      <c r="E7232" s="13">
        <f t="shared" si="2"/>
        <v>16</v>
      </c>
    </row>
    <row r="7233">
      <c r="A7233" s="4" t="s">
        <v>7845</v>
      </c>
      <c r="B7233" s="16"/>
      <c r="C7233" s="12">
        <f>IFERROR(__xludf.DUMMYFUNCTION("""COMPUTED_VALUE"""),44644.68804398148)</f>
        <v>44644.68804</v>
      </c>
      <c r="D7233" s="13">
        <f t="shared" si="1"/>
        <v>24</v>
      </c>
      <c r="E7233" s="13">
        <f t="shared" si="2"/>
        <v>16</v>
      </c>
    </row>
    <row r="7234">
      <c r="A7234" s="4" t="s">
        <v>7846</v>
      </c>
      <c r="B7234" s="16"/>
      <c r="C7234" s="12">
        <f>IFERROR(__xludf.DUMMYFUNCTION("""COMPUTED_VALUE"""),44644.684016203704)</f>
        <v>44644.68402</v>
      </c>
      <c r="D7234" s="13">
        <f t="shared" si="1"/>
        <v>24</v>
      </c>
      <c r="E7234" s="13">
        <f t="shared" si="2"/>
        <v>16</v>
      </c>
    </row>
    <row r="7235">
      <c r="A7235" s="4" t="s">
        <v>7847</v>
      </c>
      <c r="B7235" s="16"/>
      <c r="C7235" s="12">
        <f>IFERROR(__xludf.DUMMYFUNCTION("""COMPUTED_VALUE"""),44644.67826388888)</f>
        <v>44644.67826</v>
      </c>
      <c r="D7235" s="13">
        <f t="shared" si="1"/>
        <v>24</v>
      </c>
      <c r="E7235" s="13">
        <f t="shared" si="2"/>
        <v>16</v>
      </c>
    </row>
    <row r="7236">
      <c r="A7236" s="4" t="s">
        <v>7848</v>
      </c>
      <c r="B7236" s="16"/>
      <c r="C7236" s="12">
        <f>IFERROR(__xludf.DUMMYFUNCTION("""COMPUTED_VALUE"""),44644.667499999996)</f>
        <v>44644.6675</v>
      </c>
      <c r="D7236" s="13">
        <f t="shared" si="1"/>
        <v>24</v>
      </c>
      <c r="E7236" s="13">
        <f t="shared" si="2"/>
        <v>16</v>
      </c>
    </row>
    <row r="7237">
      <c r="A7237" s="4" t="s">
        <v>7849</v>
      </c>
      <c r="B7237" s="16"/>
      <c r="C7237" s="12">
        <f>IFERROR(__xludf.DUMMYFUNCTION("""COMPUTED_VALUE"""),44644.66677083333)</f>
        <v>44644.66677</v>
      </c>
      <c r="D7237" s="13">
        <f t="shared" si="1"/>
        <v>24</v>
      </c>
      <c r="E7237" s="13">
        <f t="shared" si="2"/>
        <v>16</v>
      </c>
    </row>
    <row r="7238">
      <c r="A7238" s="4" t="s">
        <v>7850</v>
      </c>
      <c r="B7238" s="16"/>
      <c r="C7238" s="12">
        <f>IFERROR(__xludf.DUMMYFUNCTION("""COMPUTED_VALUE"""),44644.664872685185)</f>
        <v>44644.66487</v>
      </c>
      <c r="D7238" s="13">
        <f t="shared" si="1"/>
        <v>24</v>
      </c>
      <c r="E7238" s="13">
        <f t="shared" si="2"/>
        <v>15</v>
      </c>
    </row>
    <row r="7239">
      <c r="A7239" s="4" t="s">
        <v>7851</v>
      </c>
      <c r="B7239" s="16"/>
      <c r="C7239" s="12">
        <f>IFERROR(__xludf.DUMMYFUNCTION("""COMPUTED_VALUE"""),44644.66324074074)</f>
        <v>44644.66324</v>
      </c>
      <c r="D7239" s="13">
        <f t="shared" si="1"/>
        <v>24</v>
      </c>
      <c r="E7239" s="13">
        <f t="shared" si="2"/>
        <v>15</v>
      </c>
    </row>
    <row r="7240">
      <c r="A7240" s="4" t="s">
        <v>7852</v>
      </c>
      <c r="B7240" s="16"/>
      <c r="C7240" s="12">
        <f>IFERROR(__xludf.DUMMYFUNCTION("""COMPUTED_VALUE"""),44644.660532407404)</f>
        <v>44644.66053</v>
      </c>
      <c r="D7240" s="13">
        <f t="shared" si="1"/>
        <v>24</v>
      </c>
      <c r="E7240" s="13">
        <f t="shared" si="2"/>
        <v>15</v>
      </c>
    </row>
    <row r="7241">
      <c r="A7241" s="4" t="s">
        <v>7853</v>
      </c>
      <c r="B7241" s="16"/>
      <c r="C7241" s="12">
        <f>IFERROR(__xludf.DUMMYFUNCTION("""COMPUTED_VALUE"""),44644.658113425925)</f>
        <v>44644.65811</v>
      </c>
      <c r="D7241" s="13">
        <f t="shared" si="1"/>
        <v>24</v>
      </c>
      <c r="E7241" s="13">
        <f t="shared" si="2"/>
        <v>15</v>
      </c>
    </row>
    <row r="7242">
      <c r="A7242" s="4" t="s">
        <v>7854</v>
      </c>
      <c r="B7242" s="16"/>
      <c r="C7242" s="12">
        <f>IFERROR(__xludf.DUMMYFUNCTION("""COMPUTED_VALUE"""),44644.65761574074)</f>
        <v>44644.65762</v>
      </c>
      <c r="D7242" s="13">
        <f t="shared" si="1"/>
        <v>24</v>
      </c>
      <c r="E7242" s="13">
        <f t="shared" si="2"/>
        <v>15</v>
      </c>
    </row>
    <row r="7243">
      <c r="A7243" s="4" t="s">
        <v>7855</v>
      </c>
      <c r="B7243" s="16"/>
      <c r="C7243" s="12">
        <f>IFERROR(__xludf.DUMMYFUNCTION("""COMPUTED_VALUE"""),44644.65673611111)</f>
        <v>44644.65674</v>
      </c>
      <c r="D7243" s="13">
        <f t="shared" si="1"/>
        <v>24</v>
      </c>
      <c r="E7243" s="13">
        <f t="shared" si="2"/>
        <v>15</v>
      </c>
    </row>
    <row r="7244">
      <c r="A7244" s="4" t="s">
        <v>7856</v>
      </c>
      <c r="B7244" s="16"/>
      <c r="C7244" s="12">
        <f>IFERROR(__xludf.DUMMYFUNCTION("""COMPUTED_VALUE"""),44644.65537037037)</f>
        <v>44644.65537</v>
      </c>
      <c r="D7244" s="13">
        <f t="shared" si="1"/>
        <v>24</v>
      </c>
      <c r="E7244" s="13">
        <f t="shared" si="2"/>
        <v>15</v>
      </c>
    </row>
    <row r="7245">
      <c r="A7245" s="4" t="s">
        <v>7857</v>
      </c>
      <c r="B7245" s="16"/>
      <c r="C7245" s="12">
        <f>IFERROR(__xludf.DUMMYFUNCTION("""COMPUTED_VALUE"""),44644.64709490741)</f>
        <v>44644.64709</v>
      </c>
      <c r="D7245" s="13">
        <f t="shared" si="1"/>
        <v>24</v>
      </c>
      <c r="E7245" s="13">
        <f t="shared" si="2"/>
        <v>15</v>
      </c>
    </row>
    <row r="7246">
      <c r="A7246" s="4" t="s">
        <v>7858</v>
      </c>
      <c r="B7246" s="16"/>
      <c r="C7246" s="12">
        <f>IFERROR(__xludf.DUMMYFUNCTION("""COMPUTED_VALUE"""),44644.640810185185)</f>
        <v>44644.64081</v>
      </c>
      <c r="D7246" s="13">
        <f t="shared" si="1"/>
        <v>24</v>
      </c>
      <c r="E7246" s="13">
        <f t="shared" si="2"/>
        <v>15</v>
      </c>
    </row>
    <row r="7247">
      <c r="A7247" s="4" t="s">
        <v>7859</v>
      </c>
      <c r="B7247" s="16"/>
      <c r="C7247" s="12">
        <f>IFERROR(__xludf.DUMMYFUNCTION("""COMPUTED_VALUE"""),44644.64047453704)</f>
        <v>44644.64047</v>
      </c>
      <c r="D7247" s="13">
        <f t="shared" si="1"/>
        <v>24</v>
      </c>
      <c r="E7247" s="13">
        <f t="shared" si="2"/>
        <v>15</v>
      </c>
    </row>
    <row r="7248">
      <c r="A7248" s="4" t="s">
        <v>7860</v>
      </c>
      <c r="B7248" s="16"/>
      <c r="C7248" s="12">
        <f>IFERROR(__xludf.DUMMYFUNCTION("""COMPUTED_VALUE"""),44644.61010416666)</f>
        <v>44644.6101</v>
      </c>
      <c r="D7248" s="13">
        <f t="shared" si="1"/>
        <v>24</v>
      </c>
      <c r="E7248" s="13">
        <f t="shared" si="2"/>
        <v>14</v>
      </c>
    </row>
    <row r="7249">
      <c r="A7249" s="4" t="s">
        <v>7861</v>
      </c>
      <c r="B7249" s="16"/>
      <c r="C7249" s="12">
        <f>IFERROR(__xludf.DUMMYFUNCTION("""COMPUTED_VALUE"""),44644.58208333333)</f>
        <v>44644.58208</v>
      </c>
      <c r="D7249" s="13">
        <f t="shared" si="1"/>
        <v>24</v>
      </c>
      <c r="E7249" s="13">
        <f t="shared" si="2"/>
        <v>13</v>
      </c>
    </row>
    <row r="7250">
      <c r="A7250" s="4" t="s">
        <v>7862</v>
      </c>
      <c r="B7250" s="16"/>
      <c r="C7250" s="12">
        <f>IFERROR(__xludf.DUMMYFUNCTION("""COMPUTED_VALUE"""),44644.58017361111)</f>
        <v>44644.58017</v>
      </c>
      <c r="D7250" s="13">
        <f t="shared" si="1"/>
        <v>24</v>
      </c>
      <c r="E7250" s="13">
        <f t="shared" si="2"/>
        <v>13</v>
      </c>
    </row>
    <row r="7251">
      <c r="A7251" s="4" t="s">
        <v>7863</v>
      </c>
      <c r="B7251" s="16"/>
      <c r="C7251" s="12">
        <f>IFERROR(__xludf.DUMMYFUNCTION("""COMPUTED_VALUE"""),44644.576585648145)</f>
        <v>44644.57659</v>
      </c>
      <c r="D7251" s="13">
        <f t="shared" si="1"/>
        <v>24</v>
      </c>
      <c r="E7251" s="13">
        <f t="shared" si="2"/>
        <v>13</v>
      </c>
    </row>
    <row r="7252">
      <c r="A7252" s="4" t="s">
        <v>7864</v>
      </c>
      <c r="B7252" s="16"/>
      <c r="C7252" s="12">
        <f>IFERROR(__xludf.DUMMYFUNCTION("""COMPUTED_VALUE"""),44644.57418981481)</f>
        <v>44644.57419</v>
      </c>
      <c r="D7252" s="13">
        <f t="shared" si="1"/>
        <v>24</v>
      </c>
      <c r="E7252" s="13">
        <f t="shared" si="2"/>
        <v>13</v>
      </c>
    </row>
    <row r="7253">
      <c r="A7253" s="4" t="s">
        <v>7865</v>
      </c>
      <c r="B7253" s="16"/>
      <c r="C7253" s="12">
        <f>IFERROR(__xludf.DUMMYFUNCTION("""COMPUTED_VALUE"""),44644.57390046296)</f>
        <v>44644.5739</v>
      </c>
      <c r="D7253" s="13">
        <f t="shared" si="1"/>
        <v>24</v>
      </c>
      <c r="E7253" s="13">
        <f t="shared" si="2"/>
        <v>13</v>
      </c>
    </row>
    <row r="7254">
      <c r="A7254" s="4" t="s">
        <v>7866</v>
      </c>
      <c r="B7254" s="16"/>
      <c r="C7254" s="12">
        <f>IFERROR(__xludf.DUMMYFUNCTION("""COMPUTED_VALUE"""),44644.570752314816)</f>
        <v>44644.57075</v>
      </c>
      <c r="D7254" s="13">
        <f t="shared" si="1"/>
        <v>24</v>
      </c>
      <c r="E7254" s="13">
        <f t="shared" si="2"/>
        <v>13</v>
      </c>
    </row>
    <row r="7255">
      <c r="A7255" s="4" t="s">
        <v>7867</v>
      </c>
      <c r="B7255" s="16"/>
      <c r="C7255" s="12">
        <f>IFERROR(__xludf.DUMMYFUNCTION("""COMPUTED_VALUE"""),44644.56791666667)</f>
        <v>44644.56792</v>
      </c>
      <c r="D7255" s="13">
        <f t="shared" si="1"/>
        <v>24</v>
      </c>
      <c r="E7255" s="13">
        <f t="shared" si="2"/>
        <v>13</v>
      </c>
    </row>
    <row r="7256">
      <c r="A7256" s="4" t="s">
        <v>7868</v>
      </c>
      <c r="B7256" s="16"/>
      <c r="C7256" s="12">
        <f>IFERROR(__xludf.DUMMYFUNCTION("""COMPUTED_VALUE"""),44644.53293981481)</f>
        <v>44644.53294</v>
      </c>
      <c r="D7256" s="13">
        <f t="shared" si="1"/>
        <v>24</v>
      </c>
      <c r="E7256" s="13">
        <f t="shared" si="2"/>
        <v>12</v>
      </c>
    </row>
    <row r="7257">
      <c r="A7257" s="4" t="s">
        <v>7869</v>
      </c>
      <c r="B7257" s="16"/>
      <c r="C7257" s="12">
        <f>IFERROR(__xludf.DUMMYFUNCTION("""COMPUTED_VALUE"""),44644.50403935185)</f>
        <v>44644.50404</v>
      </c>
      <c r="D7257" s="13">
        <f t="shared" si="1"/>
        <v>24</v>
      </c>
      <c r="E7257" s="13">
        <f t="shared" si="2"/>
        <v>12</v>
      </c>
    </row>
    <row r="7258">
      <c r="A7258" s="4" t="s">
        <v>7870</v>
      </c>
      <c r="B7258" s="16"/>
      <c r="C7258" s="12">
        <f>IFERROR(__xludf.DUMMYFUNCTION("""COMPUTED_VALUE"""),44644.48752314815)</f>
        <v>44644.48752</v>
      </c>
      <c r="D7258" s="13">
        <f t="shared" si="1"/>
        <v>24</v>
      </c>
      <c r="E7258" s="13">
        <f t="shared" si="2"/>
        <v>11</v>
      </c>
    </row>
    <row r="7259">
      <c r="A7259" s="4" t="s">
        <v>7871</v>
      </c>
      <c r="B7259" s="16"/>
      <c r="C7259" s="12">
        <f>IFERROR(__xludf.DUMMYFUNCTION("""COMPUTED_VALUE"""),44644.48422453704)</f>
        <v>44644.48422</v>
      </c>
      <c r="D7259" s="13">
        <f t="shared" si="1"/>
        <v>24</v>
      </c>
      <c r="E7259" s="13">
        <f t="shared" si="2"/>
        <v>11</v>
      </c>
    </row>
    <row r="7260">
      <c r="A7260" s="4" t="s">
        <v>7872</v>
      </c>
      <c r="B7260" s="16"/>
      <c r="C7260" s="12">
        <f>IFERROR(__xludf.DUMMYFUNCTION("""COMPUTED_VALUE"""),44644.48327546296)</f>
        <v>44644.48328</v>
      </c>
      <c r="D7260" s="13">
        <f t="shared" si="1"/>
        <v>24</v>
      </c>
      <c r="E7260" s="13">
        <f t="shared" si="2"/>
        <v>11</v>
      </c>
    </row>
    <row r="7261">
      <c r="A7261" s="4" t="s">
        <v>7873</v>
      </c>
      <c r="B7261" s="16"/>
      <c r="C7261" s="12">
        <f>IFERROR(__xludf.DUMMYFUNCTION("""COMPUTED_VALUE"""),44644.482835648145)</f>
        <v>44644.48284</v>
      </c>
      <c r="D7261" s="13">
        <f t="shared" si="1"/>
        <v>24</v>
      </c>
      <c r="E7261" s="13">
        <f t="shared" si="2"/>
        <v>11</v>
      </c>
    </row>
    <row r="7262">
      <c r="A7262" s="4" t="s">
        <v>7874</v>
      </c>
      <c r="B7262" s="16"/>
      <c r="C7262" s="12">
        <f>IFERROR(__xludf.DUMMYFUNCTION("""COMPUTED_VALUE"""),44644.46973379629)</f>
        <v>44644.46973</v>
      </c>
      <c r="D7262" s="13">
        <f t="shared" si="1"/>
        <v>24</v>
      </c>
      <c r="E7262" s="13">
        <f t="shared" si="2"/>
        <v>11</v>
      </c>
    </row>
    <row r="7263">
      <c r="A7263" s="4" t="s">
        <v>7875</v>
      </c>
      <c r="B7263" s="16"/>
      <c r="C7263" s="12">
        <f>IFERROR(__xludf.DUMMYFUNCTION("""COMPUTED_VALUE"""),44644.46236111111)</f>
        <v>44644.46236</v>
      </c>
      <c r="D7263" s="13">
        <f t="shared" si="1"/>
        <v>24</v>
      </c>
      <c r="E7263" s="13">
        <f t="shared" si="2"/>
        <v>11</v>
      </c>
    </row>
    <row r="7264">
      <c r="A7264" s="4" t="s">
        <v>7876</v>
      </c>
      <c r="B7264" s="16"/>
      <c r="C7264" s="12">
        <f>IFERROR(__xludf.DUMMYFUNCTION("""COMPUTED_VALUE"""),44644.45612268518)</f>
        <v>44644.45612</v>
      </c>
      <c r="D7264" s="13">
        <f t="shared" si="1"/>
        <v>24</v>
      </c>
      <c r="E7264" s="13">
        <f t="shared" si="2"/>
        <v>10</v>
      </c>
    </row>
    <row r="7265">
      <c r="A7265" s="4" t="s">
        <v>7877</v>
      </c>
      <c r="B7265" s="16"/>
      <c r="C7265" s="12">
        <f>IFERROR(__xludf.DUMMYFUNCTION("""COMPUTED_VALUE"""),44644.43219907407)</f>
        <v>44644.4322</v>
      </c>
      <c r="D7265" s="13">
        <f t="shared" si="1"/>
        <v>24</v>
      </c>
      <c r="E7265" s="13">
        <f t="shared" si="2"/>
        <v>10</v>
      </c>
    </row>
    <row r="7266">
      <c r="A7266" s="4" t="s">
        <v>7878</v>
      </c>
      <c r="B7266" s="16"/>
      <c r="C7266" s="12">
        <f>IFERROR(__xludf.DUMMYFUNCTION("""COMPUTED_VALUE"""),44644.429872685185)</f>
        <v>44644.42987</v>
      </c>
      <c r="D7266" s="13">
        <f t="shared" si="1"/>
        <v>24</v>
      </c>
      <c r="E7266" s="13">
        <f t="shared" si="2"/>
        <v>10</v>
      </c>
    </row>
    <row r="7267">
      <c r="A7267" s="4" t="s">
        <v>7879</v>
      </c>
      <c r="B7267" s="16"/>
      <c r="C7267" s="12">
        <f>IFERROR(__xludf.DUMMYFUNCTION("""COMPUTED_VALUE"""),44644.42517361111)</f>
        <v>44644.42517</v>
      </c>
      <c r="D7267" s="13">
        <f t="shared" si="1"/>
        <v>24</v>
      </c>
      <c r="E7267" s="13">
        <f t="shared" si="2"/>
        <v>10</v>
      </c>
    </row>
    <row r="7268">
      <c r="A7268" s="4" t="s">
        <v>7880</v>
      </c>
      <c r="B7268" s="16"/>
      <c r="C7268" s="12">
        <f>IFERROR(__xludf.DUMMYFUNCTION("""COMPUTED_VALUE"""),44644.423692129625)</f>
        <v>44644.42369</v>
      </c>
      <c r="D7268" s="13">
        <f t="shared" si="1"/>
        <v>24</v>
      </c>
      <c r="E7268" s="13">
        <f t="shared" si="2"/>
        <v>10</v>
      </c>
    </row>
    <row r="7269">
      <c r="A7269" s="4" t="s">
        <v>7881</v>
      </c>
      <c r="B7269" s="16"/>
      <c r="C7269" s="12">
        <f>IFERROR(__xludf.DUMMYFUNCTION("""COMPUTED_VALUE"""),44644.41652777777)</f>
        <v>44644.41653</v>
      </c>
      <c r="D7269" s="13">
        <f t="shared" si="1"/>
        <v>24</v>
      </c>
      <c r="E7269" s="13">
        <f t="shared" si="2"/>
        <v>9</v>
      </c>
    </row>
    <row r="7270">
      <c r="A7270" s="4" t="s">
        <v>7882</v>
      </c>
      <c r="B7270" s="16"/>
      <c r="C7270" s="12">
        <f>IFERROR(__xludf.DUMMYFUNCTION("""COMPUTED_VALUE"""),44644.35775462963)</f>
        <v>44644.35775</v>
      </c>
      <c r="D7270" s="13">
        <f t="shared" si="1"/>
        <v>24</v>
      </c>
      <c r="E7270" s="13">
        <f t="shared" si="2"/>
        <v>8</v>
      </c>
    </row>
    <row r="7271">
      <c r="A7271" s="4" t="s">
        <v>7883</v>
      </c>
      <c r="B7271" s="16"/>
      <c r="C7271" s="12">
        <f>IFERROR(__xludf.DUMMYFUNCTION("""COMPUTED_VALUE"""),44644.35179398148)</f>
        <v>44644.35179</v>
      </c>
      <c r="D7271" s="13">
        <f t="shared" si="1"/>
        <v>24</v>
      </c>
      <c r="E7271" s="13">
        <f t="shared" si="2"/>
        <v>8</v>
      </c>
    </row>
    <row r="7272">
      <c r="A7272" s="4" t="s">
        <v>7884</v>
      </c>
      <c r="B7272" s="16"/>
      <c r="C7272" s="12">
        <f>IFERROR(__xludf.DUMMYFUNCTION("""COMPUTED_VALUE"""),44644.35040509259)</f>
        <v>44644.35041</v>
      </c>
      <c r="D7272" s="13">
        <f t="shared" si="1"/>
        <v>24</v>
      </c>
      <c r="E7272" s="13">
        <f t="shared" si="2"/>
        <v>8</v>
      </c>
    </row>
    <row r="7273">
      <c r="A7273" s="4" t="s">
        <v>7885</v>
      </c>
      <c r="B7273" s="16"/>
      <c r="C7273" s="12">
        <f>IFERROR(__xludf.DUMMYFUNCTION("""COMPUTED_VALUE"""),44644.34738425926)</f>
        <v>44644.34738</v>
      </c>
      <c r="D7273" s="13">
        <f t="shared" si="1"/>
        <v>24</v>
      </c>
      <c r="E7273" s="13">
        <f t="shared" si="2"/>
        <v>8</v>
      </c>
    </row>
    <row r="7274">
      <c r="A7274" s="4" t="s">
        <v>7886</v>
      </c>
      <c r="B7274" s="16"/>
      <c r="C7274" s="12">
        <f>IFERROR(__xludf.DUMMYFUNCTION("""COMPUTED_VALUE"""),44644.347233796296)</f>
        <v>44644.34723</v>
      </c>
      <c r="D7274" s="13">
        <f t="shared" si="1"/>
        <v>24</v>
      </c>
      <c r="E7274" s="13">
        <f t="shared" si="2"/>
        <v>8</v>
      </c>
    </row>
    <row r="7275">
      <c r="A7275" s="4" t="s">
        <v>7887</v>
      </c>
      <c r="B7275" s="16"/>
      <c r="C7275" s="12">
        <f>IFERROR(__xludf.DUMMYFUNCTION("""COMPUTED_VALUE"""),44644.283738425926)</f>
        <v>44644.28374</v>
      </c>
      <c r="D7275" s="13">
        <f t="shared" si="1"/>
        <v>24</v>
      </c>
      <c r="E7275" s="13">
        <f t="shared" si="2"/>
        <v>6</v>
      </c>
    </row>
    <row r="7276">
      <c r="A7276" s="4" t="s">
        <v>7888</v>
      </c>
      <c r="B7276" s="16"/>
      <c r="C7276" s="12">
        <f>IFERROR(__xludf.DUMMYFUNCTION("""COMPUTED_VALUE"""),44644.24743055555)</f>
        <v>44644.24743</v>
      </c>
      <c r="D7276" s="13">
        <f t="shared" si="1"/>
        <v>24</v>
      </c>
      <c r="E7276" s="13">
        <f t="shared" si="2"/>
        <v>5</v>
      </c>
    </row>
    <row r="7277">
      <c r="A7277" s="4" t="s">
        <v>7889</v>
      </c>
      <c r="B7277" s="16"/>
      <c r="C7277" s="12">
        <f>IFERROR(__xludf.DUMMYFUNCTION("""COMPUTED_VALUE"""),44644.19168981481)</f>
        <v>44644.19169</v>
      </c>
      <c r="D7277" s="13">
        <f t="shared" si="1"/>
        <v>24</v>
      </c>
      <c r="E7277" s="13">
        <f t="shared" si="2"/>
        <v>4</v>
      </c>
    </row>
    <row r="7278">
      <c r="A7278" s="4" t="s">
        <v>7890</v>
      </c>
      <c r="B7278" s="16"/>
      <c r="C7278" s="12">
        <f>IFERROR(__xludf.DUMMYFUNCTION("""COMPUTED_VALUE"""),44644.170648148145)</f>
        <v>44644.17065</v>
      </c>
      <c r="D7278" s="13">
        <f t="shared" si="1"/>
        <v>24</v>
      </c>
      <c r="E7278" s="13">
        <f t="shared" si="2"/>
        <v>4</v>
      </c>
    </row>
    <row r="7279">
      <c r="A7279" s="4" t="s">
        <v>7891</v>
      </c>
      <c r="B7279" s="16"/>
      <c r="C7279" s="12">
        <f>IFERROR(__xludf.DUMMYFUNCTION("""COMPUTED_VALUE"""),44644.149733796294)</f>
        <v>44644.14973</v>
      </c>
      <c r="D7279" s="13">
        <f t="shared" si="1"/>
        <v>24</v>
      </c>
      <c r="E7279" s="13">
        <f t="shared" si="2"/>
        <v>3</v>
      </c>
    </row>
    <row r="7280">
      <c r="A7280" s="4" t="s">
        <v>7892</v>
      </c>
      <c r="B7280" s="16"/>
      <c r="C7280" s="12">
        <f>IFERROR(__xludf.DUMMYFUNCTION("""COMPUTED_VALUE"""),44644.031388888885)</f>
        <v>44644.03139</v>
      </c>
      <c r="D7280" s="13">
        <f t="shared" si="1"/>
        <v>24</v>
      </c>
      <c r="E7280" s="13">
        <f t="shared" si="2"/>
        <v>0</v>
      </c>
    </row>
    <row r="7281">
      <c r="A7281" s="4" t="s">
        <v>7893</v>
      </c>
      <c r="B7281" s="16"/>
      <c r="C7281" s="12">
        <f>IFERROR(__xludf.DUMMYFUNCTION("""COMPUTED_VALUE"""),44644.03108796296)</f>
        <v>44644.03109</v>
      </c>
      <c r="D7281" s="13">
        <f t="shared" si="1"/>
        <v>24</v>
      </c>
      <c r="E7281" s="13">
        <f t="shared" si="2"/>
        <v>0</v>
      </c>
    </row>
    <row r="7282">
      <c r="A7282" s="4" t="s">
        <v>7894</v>
      </c>
      <c r="B7282" s="16"/>
      <c r="C7282" s="12">
        <f>IFERROR(__xludf.DUMMYFUNCTION("""COMPUTED_VALUE"""),44644.029502314814)</f>
        <v>44644.0295</v>
      </c>
      <c r="D7282" s="13">
        <f t="shared" si="1"/>
        <v>24</v>
      </c>
      <c r="E7282" s="13">
        <f t="shared" si="2"/>
        <v>0</v>
      </c>
    </row>
    <row r="7283">
      <c r="A7283" s="4" t="s">
        <v>7895</v>
      </c>
      <c r="B7283" s="16"/>
      <c r="C7283" s="12">
        <f>IFERROR(__xludf.DUMMYFUNCTION("""COMPUTED_VALUE"""),44644.02748842593)</f>
        <v>44644.02749</v>
      </c>
      <c r="D7283" s="13">
        <f t="shared" si="1"/>
        <v>24</v>
      </c>
      <c r="E7283" s="13">
        <f t="shared" si="2"/>
        <v>0</v>
      </c>
    </row>
    <row r="7284">
      <c r="A7284" s="4" t="s">
        <v>7896</v>
      </c>
      <c r="B7284" s="16"/>
      <c r="C7284" s="12">
        <f>IFERROR(__xludf.DUMMYFUNCTION("""COMPUTED_VALUE"""),44644.02743055555)</f>
        <v>44644.02743</v>
      </c>
      <c r="D7284" s="13">
        <f t="shared" si="1"/>
        <v>24</v>
      </c>
      <c r="E7284" s="13">
        <f t="shared" si="2"/>
        <v>0</v>
      </c>
    </row>
    <row r="7285">
      <c r="A7285" s="4" t="s">
        <v>7897</v>
      </c>
      <c r="B7285" s="16"/>
      <c r="C7285" s="12">
        <f>IFERROR(__xludf.DUMMYFUNCTION("""COMPUTED_VALUE"""),44644.02328703704)</f>
        <v>44644.02329</v>
      </c>
      <c r="D7285" s="13">
        <f t="shared" si="1"/>
        <v>24</v>
      </c>
      <c r="E7285" s="13">
        <f t="shared" si="2"/>
        <v>0</v>
      </c>
    </row>
    <row r="7286">
      <c r="A7286" s="4" t="s">
        <v>7898</v>
      </c>
      <c r="B7286" s="16"/>
      <c r="C7286" s="12">
        <f>IFERROR(__xludf.DUMMYFUNCTION("""COMPUTED_VALUE"""),44644.002812499995)</f>
        <v>44644.00281</v>
      </c>
      <c r="D7286" s="13">
        <f t="shared" si="1"/>
        <v>24</v>
      </c>
      <c r="E7286" s="13">
        <f t="shared" si="2"/>
        <v>0</v>
      </c>
    </row>
    <row r="7287">
      <c r="A7287" s="4" t="s">
        <v>7899</v>
      </c>
      <c r="B7287" s="16"/>
      <c r="C7287" s="12">
        <f>IFERROR(__xludf.DUMMYFUNCTION("""COMPUTED_VALUE"""),44643.947754629626)</f>
        <v>44643.94775</v>
      </c>
      <c r="D7287" s="13">
        <f t="shared" si="1"/>
        <v>23</v>
      </c>
      <c r="E7287" s="13">
        <f t="shared" si="2"/>
        <v>22</v>
      </c>
    </row>
    <row r="7288">
      <c r="A7288" s="4" t="s">
        <v>7900</v>
      </c>
      <c r="B7288" s="16"/>
      <c r="C7288" s="12">
        <f>IFERROR(__xludf.DUMMYFUNCTION("""COMPUTED_VALUE"""),44643.9462037037)</f>
        <v>44643.9462</v>
      </c>
      <c r="D7288" s="13">
        <f t="shared" si="1"/>
        <v>23</v>
      </c>
      <c r="E7288" s="13">
        <f t="shared" si="2"/>
        <v>22</v>
      </c>
    </row>
    <row r="7289">
      <c r="A7289" s="4" t="s">
        <v>7901</v>
      </c>
      <c r="B7289" s="16"/>
      <c r="C7289" s="12">
        <f>IFERROR(__xludf.DUMMYFUNCTION("""COMPUTED_VALUE"""),44643.91223379629)</f>
        <v>44643.91223</v>
      </c>
      <c r="D7289" s="13">
        <f t="shared" si="1"/>
        <v>23</v>
      </c>
      <c r="E7289" s="13">
        <f t="shared" si="2"/>
        <v>21</v>
      </c>
    </row>
    <row r="7290">
      <c r="A7290" s="4" t="s">
        <v>7902</v>
      </c>
      <c r="B7290" s="16"/>
      <c r="C7290" s="12">
        <f>IFERROR(__xludf.DUMMYFUNCTION("""COMPUTED_VALUE"""),44643.86784722222)</f>
        <v>44643.86785</v>
      </c>
      <c r="D7290" s="13">
        <f t="shared" si="1"/>
        <v>23</v>
      </c>
      <c r="E7290" s="13">
        <f t="shared" si="2"/>
        <v>20</v>
      </c>
    </row>
    <row r="7291">
      <c r="A7291" s="4" t="s">
        <v>7903</v>
      </c>
      <c r="B7291" s="16"/>
      <c r="C7291" s="12">
        <f>IFERROR(__xludf.DUMMYFUNCTION("""COMPUTED_VALUE"""),44643.85383101852)</f>
        <v>44643.85383</v>
      </c>
      <c r="D7291" s="13">
        <f t="shared" si="1"/>
        <v>23</v>
      </c>
      <c r="E7291" s="13">
        <f t="shared" si="2"/>
        <v>20</v>
      </c>
    </row>
    <row r="7292">
      <c r="A7292" s="4" t="s">
        <v>7904</v>
      </c>
      <c r="B7292" s="16"/>
      <c r="C7292" s="12">
        <f>IFERROR(__xludf.DUMMYFUNCTION("""COMPUTED_VALUE"""),44643.85177083333)</f>
        <v>44643.85177</v>
      </c>
      <c r="D7292" s="13">
        <f t="shared" si="1"/>
        <v>23</v>
      </c>
      <c r="E7292" s="13">
        <f t="shared" si="2"/>
        <v>20</v>
      </c>
    </row>
    <row r="7293">
      <c r="A7293" s="4" t="s">
        <v>7905</v>
      </c>
      <c r="B7293" s="16"/>
      <c r="C7293" s="12">
        <f>IFERROR(__xludf.DUMMYFUNCTION("""COMPUTED_VALUE"""),44643.84715277777)</f>
        <v>44643.84715</v>
      </c>
      <c r="D7293" s="13">
        <f t="shared" si="1"/>
        <v>23</v>
      </c>
      <c r="E7293" s="13">
        <f t="shared" si="2"/>
        <v>20</v>
      </c>
    </row>
    <row r="7294">
      <c r="A7294" s="4" t="s">
        <v>7906</v>
      </c>
      <c r="B7294" s="16"/>
      <c r="C7294" s="12">
        <f>IFERROR(__xludf.DUMMYFUNCTION("""COMPUTED_VALUE"""),44643.81864583333)</f>
        <v>44643.81865</v>
      </c>
      <c r="D7294" s="13">
        <f t="shared" si="1"/>
        <v>23</v>
      </c>
      <c r="E7294" s="13">
        <f t="shared" si="2"/>
        <v>19</v>
      </c>
    </row>
    <row r="7295">
      <c r="A7295" s="4" t="s">
        <v>7907</v>
      </c>
      <c r="B7295" s="16"/>
      <c r="C7295" s="12">
        <f>IFERROR(__xludf.DUMMYFUNCTION("""COMPUTED_VALUE"""),44643.81762731481)</f>
        <v>44643.81763</v>
      </c>
      <c r="D7295" s="13">
        <f t="shared" si="1"/>
        <v>23</v>
      </c>
      <c r="E7295" s="13">
        <f t="shared" si="2"/>
        <v>19</v>
      </c>
    </row>
    <row r="7296">
      <c r="A7296" s="4" t="s">
        <v>7908</v>
      </c>
      <c r="B7296" s="16"/>
      <c r="C7296" s="12">
        <f>IFERROR(__xludf.DUMMYFUNCTION("""COMPUTED_VALUE"""),44643.81049768518)</f>
        <v>44643.8105</v>
      </c>
      <c r="D7296" s="13">
        <f t="shared" si="1"/>
        <v>23</v>
      </c>
      <c r="E7296" s="13">
        <f t="shared" si="2"/>
        <v>19</v>
      </c>
    </row>
    <row r="7297">
      <c r="A7297" s="4" t="s">
        <v>7909</v>
      </c>
      <c r="B7297" s="16"/>
      <c r="C7297" s="12">
        <f>IFERROR(__xludf.DUMMYFUNCTION("""COMPUTED_VALUE"""),44643.80628472222)</f>
        <v>44643.80628</v>
      </c>
      <c r="D7297" s="13">
        <f t="shared" si="1"/>
        <v>23</v>
      </c>
      <c r="E7297" s="13">
        <f t="shared" si="2"/>
        <v>19</v>
      </c>
    </row>
    <row r="7298">
      <c r="A7298" s="4" t="s">
        <v>7910</v>
      </c>
      <c r="B7298" s="16"/>
      <c r="C7298" s="12">
        <f>IFERROR(__xludf.DUMMYFUNCTION("""COMPUTED_VALUE"""),44643.8058449074)</f>
        <v>44643.80584</v>
      </c>
      <c r="D7298" s="13">
        <f t="shared" si="1"/>
        <v>23</v>
      </c>
      <c r="E7298" s="13">
        <f t="shared" si="2"/>
        <v>19</v>
      </c>
    </row>
    <row r="7299">
      <c r="A7299" s="4" t="s">
        <v>7911</v>
      </c>
      <c r="B7299" s="16"/>
      <c r="C7299" s="12">
        <f>IFERROR(__xludf.DUMMYFUNCTION("""COMPUTED_VALUE"""),44643.786041666666)</f>
        <v>44643.78604</v>
      </c>
      <c r="D7299" s="13">
        <f t="shared" si="1"/>
        <v>23</v>
      </c>
      <c r="E7299" s="13">
        <f t="shared" si="2"/>
        <v>18</v>
      </c>
    </row>
    <row r="7300">
      <c r="A7300" s="4" t="s">
        <v>7912</v>
      </c>
      <c r="B7300" s="16"/>
      <c r="C7300" s="12">
        <f>IFERROR(__xludf.DUMMYFUNCTION("""COMPUTED_VALUE"""),44643.78554398148)</f>
        <v>44643.78554</v>
      </c>
      <c r="D7300" s="13">
        <f t="shared" si="1"/>
        <v>23</v>
      </c>
      <c r="E7300" s="13">
        <f t="shared" si="2"/>
        <v>18</v>
      </c>
    </row>
    <row r="7301">
      <c r="A7301" s="4" t="s">
        <v>7913</v>
      </c>
      <c r="B7301" s="16"/>
      <c r="C7301" s="12">
        <f>IFERROR(__xludf.DUMMYFUNCTION("""COMPUTED_VALUE"""),44643.778912037036)</f>
        <v>44643.77891</v>
      </c>
      <c r="D7301" s="13">
        <f t="shared" si="1"/>
        <v>23</v>
      </c>
      <c r="E7301" s="13">
        <f t="shared" si="2"/>
        <v>18</v>
      </c>
    </row>
    <row r="7302">
      <c r="A7302" s="4" t="s">
        <v>7914</v>
      </c>
      <c r="B7302" s="16"/>
      <c r="C7302" s="12">
        <f>IFERROR(__xludf.DUMMYFUNCTION("""COMPUTED_VALUE"""),44643.76866898148)</f>
        <v>44643.76867</v>
      </c>
      <c r="D7302" s="13">
        <f t="shared" si="1"/>
        <v>23</v>
      </c>
      <c r="E7302" s="13">
        <f t="shared" si="2"/>
        <v>18</v>
      </c>
    </row>
    <row r="7303">
      <c r="A7303" s="4" t="s">
        <v>7915</v>
      </c>
      <c r="B7303" s="16"/>
      <c r="C7303" s="12">
        <f>IFERROR(__xludf.DUMMYFUNCTION("""COMPUTED_VALUE"""),44643.76143518518)</f>
        <v>44643.76144</v>
      </c>
      <c r="D7303" s="13">
        <f t="shared" si="1"/>
        <v>23</v>
      </c>
      <c r="E7303" s="13">
        <f t="shared" si="2"/>
        <v>18</v>
      </c>
    </row>
    <row r="7304">
      <c r="A7304" s="4" t="s">
        <v>7916</v>
      </c>
      <c r="B7304" s="16"/>
      <c r="C7304" s="12">
        <f>IFERROR(__xludf.DUMMYFUNCTION("""COMPUTED_VALUE"""),44643.7571875)</f>
        <v>44643.75719</v>
      </c>
      <c r="D7304" s="13">
        <f t="shared" si="1"/>
        <v>23</v>
      </c>
      <c r="E7304" s="13">
        <f t="shared" si="2"/>
        <v>18</v>
      </c>
    </row>
    <row r="7305">
      <c r="A7305" s="4" t="s">
        <v>7917</v>
      </c>
      <c r="B7305" s="16"/>
      <c r="C7305" s="12">
        <f>IFERROR(__xludf.DUMMYFUNCTION("""COMPUTED_VALUE"""),44643.744259259256)</f>
        <v>44643.74426</v>
      </c>
      <c r="D7305" s="13">
        <f t="shared" si="1"/>
        <v>23</v>
      </c>
      <c r="E7305" s="13">
        <f t="shared" si="2"/>
        <v>17</v>
      </c>
    </row>
    <row r="7306">
      <c r="A7306" s="4" t="s">
        <v>7918</v>
      </c>
      <c r="B7306" s="16"/>
      <c r="C7306" s="12">
        <f>IFERROR(__xludf.DUMMYFUNCTION("""COMPUTED_VALUE"""),44643.7365162037)</f>
        <v>44643.73652</v>
      </c>
      <c r="D7306" s="13">
        <f t="shared" si="1"/>
        <v>23</v>
      </c>
      <c r="E7306" s="13">
        <f t="shared" si="2"/>
        <v>17</v>
      </c>
    </row>
    <row r="7307">
      <c r="A7307" s="4" t="s">
        <v>7919</v>
      </c>
      <c r="B7307" s="16"/>
      <c r="C7307" s="12">
        <f>IFERROR(__xludf.DUMMYFUNCTION("""COMPUTED_VALUE"""),44643.72597222222)</f>
        <v>44643.72597</v>
      </c>
      <c r="D7307" s="13">
        <f t="shared" si="1"/>
        <v>23</v>
      </c>
      <c r="E7307" s="13">
        <f t="shared" si="2"/>
        <v>17</v>
      </c>
    </row>
    <row r="7308">
      <c r="A7308" s="4" t="s">
        <v>7920</v>
      </c>
      <c r="B7308" s="16"/>
      <c r="C7308" s="12">
        <f>IFERROR(__xludf.DUMMYFUNCTION("""COMPUTED_VALUE"""),44643.70909722222)</f>
        <v>44643.7091</v>
      </c>
      <c r="D7308" s="13">
        <f t="shared" si="1"/>
        <v>23</v>
      </c>
      <c r="E7308" s="13">
        <f t="shared" si="2"/>
        <v>17</v>
      </c>
    </row>
    <row r="7309">
      <c r="A7309" s="4" t="s">
        <v>7921</v>
      </c>
      <c r="B7309" s="16"/>
      <c r="C7309" s="12">
        <f>IFERROR(__xludf.DUMMYFUNCTION("""COMPUTED_VALUE"""),44643.70866898148)</f>
        <v>44643.70867</v>
      </c>
      <c r="D7309" s="13">
        <f t="shared" si="1"/>
        <v>23</v>
      </c>
      <c r="E7309" s="13">
        <f t="shared" si="2"/>
        <v>17</v>
      </c>
    </row>
    <row r="7310">
      <c r="A7310" s="4" t="s">
        <v>7922</v>
      </c>
      <c r="B7310" s="16"/>
      <c r="C7310" s="12">
        <f>IFERROR(__xludf.DUMMYFUNCTION("""COMPUTED_VALUE"""),44643.6883912037)</f>
        <v>44643.68839</v>
      </c>
      <c r="D7310" s="13">
        <f t="shared" si="1"/>
        <v>23</v>
      </c>
      <c r="E7310" s="13">
        <f t="shared" si="2"/>
        <v>16</v>
      </c>
    </row>
    <row r="7311">
      <c r="A7311" s="4" t="s">
        <v>7923</v>
      </c>
      <c r="B7311" s="16"/>
      <c r="C7311" s="12">
        <f>IFERROR(__xludf.DUMMYFUNCTION("""COMPUTED_VALUE"""),44643.68238425926)</f>
        <v>44643.68238</v>
      </c>
      <c r="D7311" s="13">
        <f t="shared" si="1"/>
        <v>23</v>
      </c>
      <c r="E7311" s="13">
        <f t="shared" si="2"/>
        <v>16</v>
      </c>
    </row>
    <row r="7312">
      <c r="A7312" s="4" t="s">
        <v>7924</v>
      </c>
      <c r="B7312" s="16"/>
      <c r="C7312" s="12">
        <f>IFERROR(__xludf.DUMMYFUNCTION("""COMPUTED_VALUE"""),44643.67806712963)</f>
        <v>44643.67807</v>
      </c>
      <c r="D7312" s="13">
        <f t="shared" si="1"/>
        <v>23</v>
      </c>
      <c r="E7312" s="13">
        <f t="shared" si="2"/>
        <v>16</v>
      </c>
    </row>
    <row r="7313">
      <c r="A7313" s="4" t="s">
        <v>7925</v>
      </c>
      <c r="B7313" s="16"/>
      <c r="C7313" s="12">
        <f>IFERROR(__xludf.DUMMYFUNCTION("""COMPUTED_VALUE"""),44643.67539351852)</f>
        <v>44643.67539</v>
      </c>
      <c r="D7313" s="13">
        <f t="shared" si="1"/>
        <v>23</v>
      </c>
      <c r="E7313" s="13">
        <f t="shared" si="2"/>
        <v>16</v>
      </c>
    </row>
    <row r="7314">
      <c r="A7314" s="4" t="s">
        <v>7926</v>
      </c>
      <c r="B7314" s="16"/>
      <c r="C7314" s="12">
        <f>IFERROR(__xludf.DUMMYFUNCTION("""COMPUTED_VALUE"""),44643.64978009259)</f>
        <v>44643.64978</v>
      </c>
      <c r="D7314" s="13">
        <f t="shared" si="1"/>
        <v>23</v>
      </c>
      <c r="E7314" s="13">
        <f t="shared" si="2"/>
        <v>15</v>
      </c>
    </row>
    <row r="7315">
      <c r="A7315" s="4" t="s">
        <v>7927</v>
      </c>
      <c r="B7315" s="16"/>
      <c r="C7315" s="12">
        <f>IFERROR(__xludf.DUMMYFUNCTION("""COMPUTED_VALUE"""),44643.644745370366)</f>
        <v>44643.64475</v>
      </c>
      <c r="D7315" s="13">
        <f t="shared" si="1"/>
        <v>23</v>
      </c>
      <c r="E7315" s="13">
        <f t="shared" si="2"/>
        <v>15</v>
      </c>
    </row>
    <row r="7316">
      <c r="A7316" s="4" t="s">
        <v>7928</v>
      </c>
      <c r="B7316" s="16"/>
      <c r="C7316" s="12">
        <f>IFERROR(__xludf.DUMMYFUNCTION("""COMPUTED_VALUE"""),44643.626562499994)</f>
        <v>44643.62656</v>
      </c>
      <c r="D7316" s="13">
        <f t="shared" si="1"/>
        <v>23</v>
      </c>
      <c r="E7316" s="13">
        <f t="shared" si="2"/>
        <v>15</v>
      </c>
    </row>
    <row r="7317">
      <c r="A7317" s="4" t="s">
        <v>7929</v>
      </c>
      <c r="B7317" s="16"/>
      <c r="C7317" s="12">
        <f>IFERROR(__xludf.DUMMYFUNCTION("""COMPUTED_VALUE"""),44643.62324074074)</f>
        <v>44643.62324</v>
      </c>
      <c r="D7317" s="13">
        <f t="shared" si="1"/>
        <v>23</v>
      </c>
      <c r="E7317" s="13">
        <f t="shared" si="2"/>
        <v>14</v>
      </c>
    </row>
    <row r="7318">
      <c r="A7318" s="4" t="s">
        <v>7930</v>
      </c>
      <c r="B7318" s="16"/>
      <c r="C7318" s="12">
        <f>IFERROR(__xludf.DUMMYFUNCTION("""COMPUTED_VALUE"""),44643.597719907404)</f>
        <v>44643.59772</v>
      </c>
      <c r="D7318" s="13">
        <f t="shared" si="1"/>
        <v>23</v>
      </c>
      <c r="E7318" s="13">
        <f t="shared" si="2"/>
        <v>14</v>
      </c>
    </row>
    <row r="7319">
      <c r="A7319" s="4" t="s">
        <v>7931</v>
      </c>
      <c r="B7319" s="16"/>
      <c r="C7319" s="12">
        <f>IFERROR(__xludf.DUMMYFUNCTION("""COMPUTED_VALUE"""),44643.59547453703)</f>
        <v>44643.59547</v>
      </c>
      <c r="D7319" s="13">
        <f t="shared" si="1"/>
        <v>23</v>
      </c>
      <c r="E7319" s="13">
        <f t="shared" si="2"/>
        <v>14</v>
      </c>
    </row>
    <row r="7320">
      <c r="A7320" s="4" t="s">
        <v>7932</v>
      </c>
      <c r="B7320" s="16"/>
      <c r="C7320" s="12">
        <f>IFERROR(__xludf.DUMMYFUNCTION("""COMPUTED_VALUE"""),44643.59403935185)</f>
        <v>44643.59404</v>
      </c>
      <c r="D7320" s="13">
        <f t="shared" si="1"/>
        <v>23</v>
      </c>
      <c r="E7320" s="13">
        <f t="shared" si="2"/>
        <v>14</v>
      </c>
    </row>
    <row r="7321">
      <c r="A7321" s="4" t="s">
        <v>7933</v>
      </c>
      <c r="B7321" s="16"/>
      <c r="C7321" s="12">
        <f>IFERROR(__xludf.DUMMYFUNCTION("""COMPUTED_VALUE"""),44643.59070601851)</f>
        <v>44643.59071</v>
      </c>
      <c r="D7321" s="13">
        <f t="shared" si="1"/>
        <v>23</v>
      </c>
      <c r="E7321" s="13">
        <f t="shared" si="2"/>
        <v>14</v>
      </c>
    </row>
    <row r="7322">
      <c r="A7322" s="4" t="s">
        <v>7934</v>
      </c>
      <c r="B7322" s="16"/>
      <c r="C7322" s="12">
        <f>IFERROR(__xludf.DUMMYFUNCTION("""COMPUTED_VALUE"""),44643.5890162037)</f>
        <v>44643.58902</v>
      </c>
      <c r="D7322" s="13">
        <f t="shared" si="1"/>
        <v>23</v>
      </c>
      <c r="E7322" s="13">
        <f t="shared" si="2"/>
        <v>14</v>
      </c>
    </row>
    <row r="7323">
      <c r="A7323" s="4" t="s">
        <v>7935</v>
      </c>
      <c r="B7323" s="16"/>
      <c r="C7323" s="12">
        <f>IFERROR(__xludf.DUMMYFUNCTION("""COMPUTED_VALUE"""),44643.587858796294)</f>
        <v>44643.58786</v>
      </c>
      <c r="D7323" s="13">
        <f t="shared" si="1"/>
        <v>23</v>
      </c>
      <c r="E7323" s="13">
        <f t="shared" si="2"/>
        <v>14</v>
      </c>
    </row>
    <row r="7324">
      <c r="A7324" s="4" t="s">
        <v>7936</v>
      </c>
      <c r="B7324" s="16"/>
      <c r="C7324" s="12">
        <f>IFERROR(__xludf.DUMMYFUNCTION("""COMPUTED_VALUE"""),44643.58684027778)</f>
        <v>44643.58684</v>
      </c>
      <c r="D7324" s="13">
        <f t="shared" si="1"/>
        <v>23</v>
      </c>
      <c r="E7324" s="13">
        <f t="shared" si="2"/>
        <v>14</v>
      </c>
    </row>
    <row r="7325">
      <c r="A7325" s="4" t="s">
        <v>7937</v>
      </c>
      <c r="B7325" s="16"/>
      <c r="C7325" s="12">
        <f>IFERROR(__xludf.DUMMYFUNCTION("""COMPUTED_VALUE"""),44643.563055555554)</f>
        <v>44643.56306</v>
      </c>
      <c r="D7325" s="13">
        <f t="shared" si="1"/>
        <v>23</v>
      </c>
      <c r="E7325" s="13">
        <f t="shared" si="2"/>
        <v>13</v>
      </c>
    </row>
    <row r="7326">
      <c r="A7326" s="4" t="s">
        <v>7938</v>
      </c>
      <c r="B7326" s="16"/>
      <c r="C7326" s="12">
        <f>IFERROR(__xludf.DUMMYFUNCTION("""COMPUTED_VALUE"""),44643.55564814815)</f>
        <v>44643.55565</v>
      </c>
      <c r="D7326" s="13">
        <f t="shared" si="1"/>
        <v>23</v>
      </c>
      <c r="E7326" s="13">
        <f t="shared" si="2"/>
        <v>13</v>
      </c>
    </row>
    <row r="7327">
      <c r="A7327" s="4" t="s">
        <v>7939</v>
      </c>
      <c r="B7327" s="16"/>
      <c r="C7327" s="12">
        <f>IFERROR(__xludf.DUMMYFUNCTION("""COMPUTED_VALUE"""),44643.55395833333)</f>
        <v>44643.55396</v>
      </c>
      <c r="D7327" s="13">
        <f t="shared" si="1"/>
        <v>23</v>
      </c>
      <c r="E7327" s="13">
        <f t="shared" si="2"/>
        <v>13</v>
      </c>
    </row>
    <row r="7328">
      <c r="A7328" s="4" t="s">
        <v>7940</v>
      </c>
      <c r="B7328" s="16"/>
      <c r="C7328" s="12">
        <f>IFERROR(__xludf.DUMMYFUNCTION("""COMPUTED_VALUE"""),44643.55106481481)</f>
        <v>44643.55106</v>
      </c>
      <c r="D7328" s="13">
        <f t="shared" si="1"/>
        <v>23</v>
      </c>
      <c r="E7328" s="13">
        <f t="shared" si="2"/>
        <v>13</v>
      </c>
    </row>
    <row r="7329">
      <c r="A7329" s="4" t="s">
        <v>7941</v>
      </c>
      <c r="B7329" s="16"/>
      <c r="C7329" s="12">
        <f>IFERROR(__xludf.DUMMYFUNCTION("""COMPUTED_VALUE"""),44643.53881944444)</f>
        <v>44643.53882</v>
      </c>
      <c r="D7329" s="13">
        <f t="shared" si="1"/>
        <v>23</v>
      </c>
      <c r="E7329" s="13">
        <f t="shared" si="2"/>
        <v>12</v>
      </c>
    </row>
    <row r="7330">
      <c r="A7330" s="4" t="s">
        <v>7942</v>
      </c>
      <c r="B7330" s="16"/>
      <c r="C7330" s="12">
        <f>IFERROR(__xludf.DUMMYFUNCTION("""COMPUTED_VALUE"""),44643.52769675926)</f>
        <v>44643.5277</v>
      </c>
      <c r="D7330" s="13">
        <f t="shared" si="1"/>
        <v>23</v>
      </c>
      <c r="E7330" s="13">
        <f t="shared" si="2"/>
        <v>12</v>
      </c>
    </row>
    <row r="7331">
      <c r="A7331" s="4" t="s">
        <v>7943</v>
      </c>
      <c r="B7331" s="16"/>
      <c r="C7331" s="12">
        <f>IFERROR(__xludf.DUMMYFUNCTION("""COMPUTED_VALUE"""),44643.52285879629)</f>
        <v>44643.52286</v>
      </c>
      <c r="D7331" s="13">
        <f t="shared" si="1"/>
        <v>23</v>
      </c>
      <c r="E7331" s="13">
        <f t="shared" si="2"/>
        <v>12</v>
      </c>
    </row>
    <row r="7332">
      <c r="A7332" s="4" t="s">
        <v>7944</v>
      </c>
      <c r="B7332" s="16"/>
      <c r="C7332" s="12">
        <f>IFERROR(__xludf.DUMMYFUNCTION("""COMPUTED_VALUE"""),44643.52141203704)</f>
        <v>44643.52141</v>
      </c>
      <c r="D7332" s="13">
        <f t="shared" si="1"/>
        <v>23</v>
      </c>
      <c r="E7332" s="13">
        <f t="shared" si="2"/>
        <v>12</v>
      </c>
    </row>
    <row r="7333">
      <c r="A7333" s="4" t="s">
        <v>7945</v>
      </c>
      <c r="B7333" s="16"/>
      <c r="C7333" s="12">
        <f>IFERROR(__xludf.DUMMYFUNCTION("""COMPUTED_VALUE"""),44643.52068287037)</f>
        <v>44643.52068</v>
      </c>
      <c r="D7333" s="13">
        <f t="shared" si="1"/>
        <v>23</v>
      </c>
      <c r="E7333" s="13">
        <f t="shared" si="2"/>
        <v>12</v>
      </c>
    </row>
    <row r="7334">
      <c r="A7334" s="4" t="s">
        <v>7946</v>
      </c>
      <c r="B7334" s="16"/>
      <c r="C7334" s="12">
        <f>IFERROR(__xludf.DUMMYFUNCTION("""COMPUTED_VALUE"""),44643.51290509259)</f>
        <v>44643.51291</v>
      </c>
      <c r="D7334" s="13">
        <f t="shared" si="1"/>
        <v>23</v>
      </c>
      <c r="E7334" s="13">
        <f t="shared" si="2"/>
        <v>12</v>
      </c>
    </row>
    <row r="7335">
      <c r="A7335" s="4" t="s">
        <v>7947</v>
      </c>
      <c r="B7335" s="16"/>
      <c r="C7335" s="12">
        <f>IFERROR(__xludf.DUMMYFUNCTION("""COMPUTED_VALUE"""),44643.508576388886)</f>
        <v>44643.50858</v>
      </c>
      <c r="D7335" s="13">
        <f t="shared" si="1"/>
        <v>23</v>
      </c>
      <c r="E7335" s="13">
        <f t="shared" si="2"/>
        <v>12</v>
      </c>
    </row>
    <row r="7336">
      <c r="A7336" s="4" t="s">
        <v>7948</v>
      </c>
      <c r="B7336" s="16"/>
      <c r="C7336" s="12">
        <f>IFERROR(__xludf.DUMMYFUNCTION("""COMPUTED_VALUE"""),44643.50471064814)</f>
        <v>44643.50471</v>
      </c>
      <c r="D7336" s="13">
        <f t="shared" si="1"/>
        <v>23</v>
      </c>
      <c r="E7336" s="13">
        <f t="shared" si="2"/>
        <v>12</v>
      </c>
    </row>
    <row r="7337">
      <c r="A7337" s="4" t="s">
        <v>7949</v>
      </c>
      <c r="B7337" s="16"/>
      <c r="C7337" s="12">
        <f>IFERROR(__xludf.DUMMYFUNCTION("""COMPUTED_VALUE"""),44643.4852662037)</f>
        <v>44643.48527</v>
      </c>
      <c r="D7337" s="13">
        <f t="shared" si="1"/>
        <v>23</v>
      </c>
      <c r="E7337" s="13">
        <f t="shared" si="2"/>
        <v>11</v>
      </c>
    </row>
    <row r="7338">
      <c r="A7338" s="4" t="s">
        <v>7950</v>
      </c>
      <c r="B7338" s="16"/>
      <c r="C7338" s="12">
        <f>IFERROR(__xludf.DUMMYFUNCTION("""COMPUTED_VALUE"""),44643.48349537037)</f>
        <v>44643.4835</v>
      </c>
      <c r="D7338" s="13">
        <f t="shared" si="1"/>
        <v>23</v>
      </c>
      <c r="E7338" s="13">
        <f t="shared" si="2"/>
        <v>11</v>
      </c>
    </row>
    <row r="7339">
      <c r="A7339" s="4" t="s">
        <v>7951</v>
      </c>
      <c r="B7339" s="16"/>
      <c r="C7339" s="12">
        <f>IFERROR(__xludf.DUMMYFUNCTION("""COMPUTED_VALUE"""),44643.4678125)</f>
        <v>44643.46781</v>
      </c>
      <c r="D7339" s="13">
        <f t="shared" si="1"/>
        <v>23</v>
      </c>
      <c r="E7339" s="13">
        <f t="shared" si="2"/>
        <v>11</v>
      </c>
    </row>
    <row r="7340">
      <c r="A7340" s="4" t="s">
        <v>7952</v>
      </c>
      <c r="B7340" s="16"/>
      <c r="C7340" s="12">
        <f>IFERROR(__xludf.DUMMYFUNCTION("""COMPUTED_VALUE"""),44643.43314814814)</f>
        <v>44643.43315</v>
      </c>
      <c r="D7340" s="13">
        <f t="shared" si="1"/>
        <v>23</v>
      </c>
      <c r="E7340" s="13">
        <f t="shared" si="2"/>
        <v>10</v>
      </c>
    </row>
    <row r="7341">
      <c r="A7341" s="4" t="s">
        <v>7953</v>
      </c>
      <c r="B7341" s="16"/>
      <c r="C7341" s="12">
        <f>IFERROR(__xludf.DUMMYFUNCTION("""COMPUTED_VALUE"""),44643.43306712963)</f>
        <v>44643.43307</v>
      </c>
      <c r="D7341" s="13">
        <f t="shared" si="1"/>
        <v>23</v>
      </c>
      <c r="E7341" s="13">
        <f t="shared" si="2"/>
        <v>10</v>
      </c>
    </row>
    <row r="7342">
      <c r="A7342" s="4" t="s">
        <v>7954</v>
      </c>
      <c r="B7342" s="16"/>
      <c r="C7342" s="12">
        <f>IFERROR(__xludf.DUMMYFUNCTION("""COMPUTED_VALUE"""),44643.43304398148)</f>
        <v>44643.43304</v>
      </c>
      <c r="D7342" s="13">
        <f t="shared" si="1"/>
        <v>23</v>
      </c>
      <c r="E7342" s="13">
        <f t="shared" si="2"/>
        <v>10</v>
      </c>
    </row>
    <row r="7343">
      <c r="A7343" s="4" t="s">
        <v>7955</v>
      </c>
      <c r="B7343" s="16"/>
      <c r="C7343" s="12">
        <f>IFERROR(__xludf.DUMMYFUNCTION("""COMPUTED_VALUE"""),44643.4330324074)</f>
        <v>44643.43303</v>
      </c>
      <c r="D7343" s="13">
        <f t="shared" si="1"/>
        <v>23</v>
      </c>
      <c r="E7343" s="13">
        <f t="shared" si="2"/>
        <v>10</v>
      </c>
    </row>
    <row r="7344">
      <c r="A7344" s="4" t="s">
        <v>7956</v>
      </c>
      <c r="B7344" s="16"/>
      <c r="C7344" s="12">
        <f>IFERROR(__xludf.DUMMYFUNCTION("""COMPUTED_VALUE"""),44643.42916666666)</f>
        <v>44643.42917</v>
      </c>
      <c r="D7344" s="13">
        <f t="shared" si="1"/>
        <v>23</v>
      </c>
      <c r="E7344" s="13">
        <f t="shared" si="2"/>
        <v>10</v>
      </c>
    </row>
    <row r="7345">
      <c r="A7345" s="4" t="s">
        <v>7957</v>
      </c>
      <c r="B7345" s="16"/>
      <c r="C7345" s="12">
        <f>IFERROR(__xludf.DUMMYFUNCTION("""COMPUTED_VALUE"""),44643.40646990741)</f>
        <v>44643.40647</v>
      </c>
      <c r="D7345" s="13">
        <f t="shared" si="1"/>
        <v>23</v>
      </c>
      <c r="E7345" s="13">
        <f t="shared" si="2"/>
        <v>9</v>
      </c>
    </row>
    <row r="7346">
      <c r="A7346" s="4" t="s">
        <v>7958</v>
      </c>
      <c r="B7346" s="16"/>
      <c r="C7346" s="12">
        <f>IFERROR(__xludf.DUMMYFUNCTION("""COMPUTED_VALUE"""),44643.40429398148)</f>
        <v>44643.40429</v>
      </c>
      <c r="D7346" s="13">
        <f t="shared" si="1"/>
        <v>23</v>
      </c>
      <c r="E7346" s="13">
        <f t="shared" si="2"/>
        <v>9</v>
      </c>
    </row>
    <row r="7347">
      <c r="A7347" s="4" t="s">
        <v>7959</v>
      </c>
      <c r="B7347" s="16"/>
      <c r="C7347" s="12">
        <f>IFERROR(__xludf.DUMMYFUNCTION("""COMPUTED_VALUE"""),44643.378182870365)</f>
        <v>44643.37818</v>
      </c>
      <c r="D7347" s="13">
        <f t="shared" si="1"/>
        <v>23</v>
      </c>
      <c r="E7347" s="13">
        <f t="shared" si="2"/>
        <v>9</v>
      </c>
    </row>
    <row r="7348">
      <c r="A7348" s="4" t="s">
        <v>7960</v>
      </c>
      <c r="B7348" s="16"/>
      <c r="C7348" s="12">
        <f>IFERROR(__xludf.DUMMYFUNCTION("""COMPUTED_VALUE"""),44643.36971064815)</f>
        <v>44643.36971</v>
      </c>
      <c r="D7348" s="13">
        <f t="shared" si="1"/>
        <v>23</v>
      </c>
      <c r="E7348" s="13">
        <f t="shared" si="2"/>
        <v>8</v>
      </c>
    </row>
    <row r="7349">
      <c r="A7349" s="4" t="s">
        <v>7961</v>
      </c>
      <c r="B7349" s="16"/>
      <c r="C7349" s="12">
        <f>IFERROR(__xludf.DUMMYFUNCTION("""COMPUTED_VALUE"""),44643.368113425924)</f>
        <v>44643.36811</v>
      </c>
      <c r="D7349" s="13">
        <f t="shared" si="1"/>
        <v>23</v>
      </c>
      <c r="E7349" s="13">
        <f t="shared" si="2"/>
        <v>8</v>
      </c>
    </row>
    <row r="7350">
      <c r="A7350" s="4" t="s">
        <v>7962</v>
      </c>
      <c r="B7350" s="16"/>
      <c r="C7350" s="12">
        <f>IFERROR(__xludf.DUMMYFUNCTION("""COMPUTED_VALUE"""),44643.364016203705)</f>
        <v>44643.36402</v>
      </c>
      <c r="D7350" s="13">
        <f t="shared" si="1"/>
        <v>23</v>
      </c>
      <c r="E7350" s="13">
        <f t="shared" si="2"/>
        <v>8</v>
      </c>
    </row>
    <row r="7351">
      <c r="A7351" s="4" t="s">
        <v>7963</v>
      </c>
      <c r="B7351" s="16"/>
      <c r="C7351" s="12">
        <f>IFERROR(__xludf.DUMMYFUNCTION("""COMPUTED_VALUE"""),44643.35114583333)</f>
        <v>44643.35115</v>
      </c>
      <c r="D7351" s="13">
        <f t="shared" si="1"/>
        <v>23</v>
      </c>
      <c r="E7351" s="13">
        <f t="shared" si="2"/>
        <v>8</v>
      </c>
    </row>
    <row r="7352">
      <c r="A7352" s="4" t="s">
        <v>7964</v>
      </c>
      <c r="B7352" s="16"/>
      <c r="C7352" s="12">
        <f>IFERROR(__xludf.DUMMYFUNCTION("""COMPUTED_VALUE"""),44643.34116898148)</f>
        <v>44643.34117</v>
      </c>
      <c r="D7352" s="13">
        <f t="shared" si="1"/>
        <v>23</v>
      </c>
      <c r="E7352" s="13">
        <f t="shared" si="2"/>
        <v>8</v>
      </c>
    </row>
    <row r="7353">
      <c r="A7353" s="4" t="s">
        <v>7965</v>
      </c>
      <c r="B7353" s="16"/>
      <c r="C7353" s="12">
        <f>IFERROR(__xludf.DUMMYFUNCTION("""COMPUTED_VALUE"""),44643.33574074074)</f>
        <v>44643.33574</v>
      </c>
      <c r="D7353" s="13">
        <f t="shared" si="1"/>
        <v>23</v>
      </c>
      <c r="E7353" s="13">
        <f t="shared" si="2"/>
        <v>8</v>
      </c>
    </row>
    <row r="7354">
      <c r="A7354" s="4" t="s">
        <v>7966</v>
      </c>
      <c r="B7354" s="16"/>
      <c r="C7354" s="12">
        <f>IFERROR(__xludf.DUMMYFUNCTION("""COMPUTED_VALUE"""),44643.3180787037)</f>
        <v>44643.31808</v>
      </c>
      <c r="D7354" s="13">
        <f t="shared" si="1"/>
        <v>23</v>
      </c>
      <c r="E7354" s="13">
        <f t="shared" si="2"/>
        <v>7</v>
      </c>
    </row>
    <row r="7355">
      <c r="A7355" s="4" t="s">
        <v>7967</v>
      </c>
      <c r="B7355" s="16"/>
      <c r="C7355" s="12">
        <f>IFERROR(__xludf.DUMMYFUNCTION("""COMPUTED_VALUE"""),44643.24503472222)</f>
        <v>44643.24503</v>
      </c>
      <c r="D7355" s="13">
        <f t="shared" si="1"/>
        <v>23</v>
      </c>
      <c r="E7355" s="13">
        <f t="shared" si="2"/>
        <v>5</v>
      </c>
    </row>
    <row r="7356">
      <c r="A7356" s="4" t="s">
        <v>7968</v>
      </c>
      <c r="B7356" s="16"/>
      <c r="C7356" s="12">
        <f>IFERROR(__xludf.DUMMYFUNCTION("""COMPUTED_VALUE"""),44643.24383101852)</f>
        <v>44643.24383</v>
      </c>
      <c r="D7356" s="13">
        <f t="shared" si="1"/>
        <v>23</v>
      </c>
      <c r="E7356" s="13">
        <f t="shared" si="2"/>
        <v>5</v>
      </c>
    </row>
    <row r="7357">
      <c r="A7357" s="4" t="s">
        <v>7969</v>
      </c>
      <c r="B7357" s="16"/>
      <c r="C7357" s="12">
        <f>IFERROR(__xludf.DUMMYFUNCTION("""COMPUTED_VALUE"""),44643.222187499996)</f>
        <v>44643.22219</v>
      </c>
      <c r="D7357" s="13">
        <f t="shared" si="1"/>
        <v>23</v>
      </c>
      <c r="E7357" s="13">
        <f t="shared" si="2"/>
        <v>5</v>
      </c>
    </row>
    <row r="7358">
      <c r="A7358" s="4" t="s">
        <v>7970</v>
      </c>
      <c r="B7358" s="16"/>
      <c r="C7358" s="12">
        <f>IFERROR(__xludf.DUMMYFUNCTION("""COMPUTED_VALUE"""),44643.109143518515)</f>
        <v>44643.10914</v>
      </c>
      <c r="D7358" s="13">
        <f t="shared" si="1"/>
        <v>23</v>
      </c>
      <c r="E7358" s="13">
        <f t="shared" si="2"/>
        <v>2</v>
      </c>
    </row>
    <row r="7359">
      <c r="A7359" s="4" t="s">
        <v>7971</v>
      </c>
      <c r="B7359" s="16"/>
      <c r="C7359" s="12">
        <f>IFERROR(__xludf.DUMMYFUNCTION("""COMPUTED_VALUE"""),44643.09484953703)</f>
        <v>44643.09485</v>
      </c>
      <c r="D7359" s="13">
        <f t="shared" si="1"/>
        <v>23</v>
      </c>
      <c r="E7359" s="13">
        <f t="shared" si="2"/>
        <v>2</v>
      </c>
    </row>
    <row r="7360">
      <c r="A7360" s="4" t="s">
        <v>7972</v>
      </c>
      <c r="B7360" s="16"/>
      <c r="C7360" s="12">
        <f>IFERROR(__xludf.DUMMYFUNCTION("""COMPUTED_VALUE"""),44643.09116898148)</f>
        <v>44643.09117</v>
      </c>
      <c r="D7360" s="13">
        <f t="shared" si="1"/>
        <v>23</v>
      </c>
      <c r="E7360" s="13">
        <f t="shared" si="2"/>
        <v>2</v>
      </c>
    </row>
    <row r="7361">
      <c r="A7361" s="4" t="s">
        <v>7973</v>
      </c>
      <c r="B7361" s="16"/>
      <c r="C7361" s="12">
        <f>IFERROR(__xludf.DUMMYFUNCTION("""COMPUTED_VALUE"""),44643.08982638889)</f>
        <v>44643.08983</v>
      </c>
      <c r="D7361" s="13">
        <f t="shared" si="1"/>
        <v>23</v>
      </c>
      <c r="E7361" s="13">
        <f t="shared" si="2"/>
        <v>2</v>
      </c>
    </row>
    <row r="7362">
      <c r="A7362" s="4" t="s">
        <v>7974</v>
      </c>
      <c r="B7362" s="16"/>
      <c r="C7362" s="12">
        <f>IFERROR(__xludf.DUMMYFUNCTION("""COMPUTED_VALUE"""),44643.08971064814)</f>
        <v>44643.08971</v>
      </c>
      <c r="D7362" s="13">
        <f t="shared" si="1"/>
        <v>23</v>
      </c>
      <c r="E7362" s="13">
        <f t="shared" si="2"/>
        <v>2</v>
      </c>
    </row>
    <row r="7363">
      <c r="A7363" s="4" t="s">
        <v>7975</v>
      </c>
      <c r="B7363" s="16"/>
      <c r="C7363" s="12">
        <f>IFERROR(__xludf.DUMMYFUNCTION("""COMPUTED_VALUE"""),44643.028715277775)</f>
        <v>44643.02872</v>
      </c>
      <c r="D7363" s="13">
        <f t="shared" si="1"/>
        <v>23</v>
      </c>
      <c r="E7363" s="13">
        <f t="shared" si="2"/>
        <v>0</v>
      </c>
    </row>
    <row r="7364">
      <c r="A7364" s="4" t="s">
        <v>7976</v>
      </c>
      <c r="B7364" s="16"/>
      <c r="C7364" s="12">
        <f>IFERROR(__xludf.DUMMYFUNCTION("""COMPUTED_VALUE"""),44643.016504629624)</f>
        <v>44643.0165</v>
      </c>
      <c r="D7364" s="13">
        <f t="shared" si="1"/>
        <v>23</v>
      </c>
      <c r="E7364" s="13">
        <f t="shared" si="2"/>
        <v>0</v>
      </c>
    </row>
    <row r="7365">
      <c r="A7365" s="4" t="s">
        <v>7977</v>
      </c>
      <c r="B7365" s="16"/>
      <c r="C7365" s="12">
        <f>IFERROR(__xludf.DUMMYFUNCTION("""COMPUTED_VALUE"""),44643.016180555554)</f>
        <v>44643.01618</v>
      </c>
      <c r="D7365" s="13">
        <f t="shared" si="1"/>
        <v>23</v>
      </c>
      <c r="E7365" s="13">
        <f t="shared" si="2"/>
        <v>0</v>
      </c>
    </row>
    <row r="7366">
      <c r="A7366" s="4" t="s">
        <v>7978</v>
      </c>
      <c r="B7366" s="16"/>
      <c r="C7366" s="12">
        <f>IFERROR(__xludf.DUMMYFUNCTION("""COMPUTED_VALUE"""),44643.01175925926)</f>
        <v>44643.01176</v>
      </c>
      <c r="D7366" s="13">
        <f t="shared" si="1"/>
        <v>23</v>
      </c>
      <c r="E7366" s="13">
        <f t="shared" si="2"/>
        <v>0</v>
      </c>
    </row>
    <row r="7367">
      <c r="A7367" s="4" t="s">
        <v>7979</v>
      </c>
      <c r="B7367" s="16"/>
      <c r="C7367" s="12">
        <f>IFERROR(__xludf.DUMMYFUNCTION("""COMPUTED_VALUE"""),44643.005219907405)</f>
        <v>44643.00522</v>
      </c>
      <c r="D7367" s="13">
        <f t="shared" si="1"/>
        <v>23</v>
      </c>
      <c r="E7367" s="13">
        <f t="shared" si="2"/>
        <v>0</v>
      </c>
    </row>
    <row r="7368">
      <c r="A7368" s="4" t="s">
        <v>7980</v>
      </c>
      <c r="B7368" s="16"/>
      <c r="C7368" s="12">
        <f>IFERROR(__xludf.DUMMYFUNCTION("""COMPUTED_VALUE"""),44642.98503472222)</f>
        <v>44642.98503</v>
      </c>
      <c r="D7368" s="13">
        <f t="shared" si="1"/>
        <v>22</v>
      </c>
      <c r="E7368" s="13">
        <f t="shared" si="2"/>
        <v>23</v>
      </c>
    </row>
    <row r="7369">
      <c r="A7369" s="4" t="s">
        <v>7981</v>
      </c>
      <c r="B7369" s="16"/>
      <c r="C7369" s="12">
        <f>IFERROR(__xludf.DUMMYFUNCTION("""COMPUTED_VALUE"""),44642.98502314815)</f>
        <v>44642.98502</v>
      </c>
      <c r="D7369" s="13">
        <f t="shared" si="1"/>
        <v>22</v>
      </c>
      <c r="E7369" s="13">
        <f t="shared" si="2"/>
        <v>23</v>
      </c>
    </row>
    <row r="7370">
      <c r="A7370" s="4" t="s">
        <v>7982</v>
      </c>
      <c r="B7370" s="16"/>
      <c r="C7370" s="12">
        <f>IFERROR(__xludf.DUMMYFUNCTION("""COMPUTED_VALUE"""),44642.981840277775)</f>
        <v>44642.98184</v>
      </c>
      <c r="D7370" s="13">
        <f t="shared" si="1"/>
        <v>22</v>
      </c>
      <c r="E7370" s="13">
        <f t="shared" si="2"/>
        <v>23</v>
      </c>
    </row>
    <row r="7371">
      <c r="A7371" s="4" t="s">
        <v>7983</v>
      </c>
      <c r="B7371" s="16"/>
      <c r="C7371" s="12">
        <f>IFERROR(__xludf.DUMMYFUNCTION("""COMPUTED_VALUE"""),44642.97027777778)</f>
        <v>44642.97028</v>
      </c>
      <c r="D7371" s="13">
        <f t="shared" si="1"/>
        <v>22</v>
      </c>
      <c r="E7371" s="13">
        <f t="shared" si="2"/>
        <v>23</v>
      </c>
    </row>
    <row r="7372">
      <c r="A7372" s="4" t="s">
        <v>7984</v>
      </c>
      <c r="B7372" s="16"/>
      <c r="C7372" s="12">
        <f>IFERROR(__xludf.DUMMYFUNCTION("""COMPUTED_VALUE"""),44642.96)</f>
        <v>44642.96</v>
      </c>
      <c r="D7372" s="13">
        <f t="shared" si="1"/>
        <v>22</v>
      </c>
      <c r="E7372" s="13">
        <f t="shared" si="2"/>
        <v>23</v>
      </c>
    </row>
    <row r="7373">
      <c r="A7373" s="4" t="s">
        <v>7985</v>
      </c>
      <c r="B7373" s="16"/>
      <c r="C7373" s="12">
        <f>IFERROR(__xludf.DUMMYFUNCTION("""COMPUTED_VALUE"""),44642.95571759259)</f>
        <v>44642.95572</v>
      </c>
      <c r="D7373" s="13">
        <f t="shared" si="1"/>
        <v>22</v>
      </c>
      <c r="E7373" s="13">
        <f t="shared" si="2"/>
        <v>22</v>
      </c>
    </row>
    <row r="7374">
      <c r="A7374" s="4" t="s">
        <v>7986</v>
      </c>
      <c r="B7374" s="16"/>
      <c r="C7374" s="12">
        <f>IFERROR(__xludf.DUMMYFUNCTION("""COMPUTED_VALUE"""),44642.95130787037)</f>
        <v>44642.95131</v>
      </c>
      <c r="D7374" s="13">
        <f t="shared" si="1"/>
        <v>22</v>
      </c>
      <c r="E7374" s="13">
        <f t="shared" si="2"/>
        <v>22</v>
      </c>
    </row>
    <row r="7375">
      <c r="A7375" s="4" t="s">
        <v>7987</v>
      </c>
      <c r="B7375" s="16"/>
      <c r="C7375" s="12">
        <f>IFERROR(__xludf.DUMMYFUNCTION("""COMPUTED_VALUE"""),44642.9415625)</f>
        <v>44642.94156</v>
      </c>
      <c r="D7375" s="13">
        <f t="shared" si="1"/>
        <v>22</v>
      </c>
      <c r="E7375" s="13">
        <f t="shared" si="2"/>
        <v>22</v>
      </c>
    </row>
    <row r="7376">
      <c r="A7376" s="4" t="s">
        <v>7988</v>
      </c>
      <c r="B7376" s="16"/>
      <c r="C7376" s="12">
        <f>IFERROR(__xludf.DUMMYFUNCTION("""COMPUTED_VALUE"""),44642.9296412037)</f>
        <v>44642.92964</v>
      </c>
      <c r="D7376" s="13">
        <f t="shared" si="1"/>
        <v>22</v>
      </c>
      <c r="E7376" s="13">
        <f t="shared" si="2"/>
        <v>22</v>
      </c>
    </row>
    <row r="7377">
      <c r="A7377" s="4" t="s">
        <v>7989</v>
      </c>
      <c r="B7377" s="16"/>
      <c r="C7377" s="12">
        <f>IFERROR(__xludf.DUMMYFUNCTION("""COMPUTED_VALUE"""),44642.910162037035)</f>
        <v>44642.91016</v>
      </c>
      <c r="D7377" s="13">
        <f t="shared" si="1"/>
        <v>22</v>
      </c>
      <c r="E7377" s="13">
        <f t="shared" si="2"/>
        <v>21</v>
      </c>
    </row>
    <row r="7378">
      <c r="A7378" s="4" t="s">
        <v>7990</v>
      </c>
      <c r="B7378" s="16"/>
      <c r="C7378" s="12">
        <f>IFERROR(__xludf.DUMMYFUNCTION("""COMPUTED_VALUE"""),44642.90409722222)</f>
        <v>44642.9041</v>
      </c>
      <c r="D7378" s="13">
        <f t="shared" si="1"/>
        <v>22</v>
      </c>
      <c r="E7378" s="13">
        <f t="shared" si="2"/>
        <v>21</v>
      </c>
    </row>
    <row r="7379">
      <c r="A7379" s="4" t="s">
        <v>7991</v>
      </c>
      <c r="B7379" s="16"/>
      <c r="C7379" s="12">
        <f>IFERROR(__xludf.DUMMYFUNCTION("""COMPUTED_VALUE"""),44642.89572916667)</f>
        <v>44642.89573</v>
      </c>
      <c r="D7379" s="13">
        <f t="shared" si="1"/>
        <v>22</v>
      </c>
      <c r="E7379" s="13">
        <f t="shared" si="2"/>
        <v>21</v>
      </c>
    </row>
    <row r="7380">
      <c r="A7380" s="4" t="s">
        <v>7992</v>
      </c>
      <c r="B7380" s="16"/>
      <c r="C7380" s="12">
        <f>IFERROR(__xludf.DUMMYFUNCTION("""COMPUTED_VALUE"""),44642.89115740741)</f>
        <v>44642.89116</v>
      </c>
      <c r="D7380" s="13">
        <f t="shared" si="1"/>
        <v>22</v>
      </c>
      <c r="E7380" s="13">
        <f t="shared" si="2"/>
        <v>21</v>
      </c>
    </row>
    <row r="7381">
      <c r="A7381" s="4" t="s">
        <v>7993</v>
      </c>
      <c r="B7381" s="16"/>
      <c r="C7381" s="12">
        <f>IFERROR(__xludf.DUMMYFUNCTION("""COMPUTED_VALUE"""),44642.88358796296)</f>
        <v>44642.88359</v>
      </c>
      <c r="D7381" s="13">
        <f t="shared" si="1"/>
        <v>22</v>
      </c>
      <c r="E7381" s="13">
        <f t="shared" si="2"/>
        <v>21</v>
      </c>
    </row>
    <row r="7382">
      <c r="A7382" s="4" t="s">
        <v>7994</v>
      </c>
      <c r="B7382" s="16"/>
      <c r="C7382" s="12">
        <f>IFERROR(__xludf.DUMMYFUNCTION("""COMPUTED_VALUE"""),44642.881701388884)</f>
        <v>44642.8817</v>
      </c>
      <c r="D7382" s="13">
        <f t="shared" si="1"/>
        <v>22</v>
      </c>
      <c r="E7382" s="13">
        <f t="shared" si="2"/>
        <v>21</v>
      </c>
    </row>
    <row r="7383">
      <c r="A7383" s="4" t="s">
        <v>7995</v>
      </c>
      <c r="B7383" s="16"/>
      <c r="C7383" s="12">
        <f>IFERROR(__xludf.DUMMYFUNCTION("""COMPUTED_VALUE"""),44642.837800925925)</f>
        <v>44642.8378</v>
      </c>
      <c r="D7383" s="13">
        <f t="shared" si="1"/>
        <v>22</v>
      </c>
      <c r="E7383" s="13">
        <f t="shared" si="2"/>
        <v>20</v>
      </c>
    </row>
    <row r="7384">
      <c r="A7384" s="4" t="s">
        <v>7996</v>
      </c>
      <c r="B7384" s="16"/>
      <c r="C7384" s="12">
        <f>IFERROR(__xludf.DUMMYFUNCTION("""COMPUTED_VALUE"""),44642.83700231481)</f>
        <v>44642.837</v>
      </c>
      <c r="D7384" s="13">
        <f t="shared" si="1"/>
        <v>22</v>
      </c>
      <c r="E7384" s="13">
        <f t="shared" si="2"/>
        <v>20</v>
      </c>
    </row>
    <row r="7385">
      <c r="A7385" s="4" t="s">
        <v>7997</v>
      </c>
      <c r="B7385" s="16"/>
      <c r="C7385" s="12">
        <f>IFERROR(__xludf.DUMMYFUNCTION("""COMPUTED_VALUE"""),44642.80042824074)</f>
        <v>44642.80043</v>
      </c>
      <c r="D7385" s="13">
        <f t="shared" si="1"/>
        <v>22</v>
      </c>
      <c r="E7385" s="13">
        <f t="shared" si="2"/>
        <v>19</v>
      </c>
    </row>
    <row r="7386">
      <c r="A7386" s="4" t="s">
        <v>7998</v>
      </c>
      <c r="B7386" s="16"/>
      <c r="C7386" s="12">
        <f>IFERROR(__xludf.DUMMYFUNCTION("""COMPUTED_VALUE"""),44642.798993055556)</f>
        <v>44642.79899</v>
      </c>
      <c r="D7386" s="13">
        <f t="shared" si="1"/>
        <v>22</v>
      </c>
      <c r="E7386" s="13">
        <f t="shared" si="2"/>
        <v>19</v>
      </c>
    </row>
    <row r="7387">
      <c r="A7387" s="4" t="s">
        <v>7999</v>
      </c>
      <c r="B7387" s="16"/>
      <c r="C7387" s="12">
        <f>IFERROR(__xludf.DUMMYFUNCTION("""COMPUTED_VALUE"""),44642.793032407404)</f>
        <v>44642.79303</v>
      </c>
      <c r="D7387" s="13">
        <f t="shared" si="1"/>
        <v>22</v>
      </c>
      <c r="E7387" s="13">
        <f t="shared" si="2"/>
        <v>19</v>
      </c>
    </row>
    <row r="7388">
      <c r="A7388" s="4" t="s">
        <v>8000</v>
      </c>
      <c r="B7388" s="16"/>
      <c r="C7388" s="12">
        <f>IFERROR(__xludf.DUMMYFUNCTION("""COMPUTED_VALUE"""),44642.761678240735)</f>
        <v>44642.76168</v>
      </c>
      <c r="D7388" s="13">
        <f t="shared" si="1"/>
        <v>22</v>
      </c>
      <c r="E7388" s="13">
        <f t="shared" si="2"/>
        <v>18</v>
      </c>
    </row>
    <row r="7389">
      <c r="A7389" s="4" t="s">
        <v>8001</v>
      </c>
      <c r="B7389" s="16"/>
      <c r="C7389" s="12">
        <f>IFERROR(__xludf.DUMMYFUNCTION("""COMPUTED_VALUE"""),44642.73560185185)</f>
        <v>44642.7356</v>
      </c>
      <c r="D7389" s="13">
        <f t="shared" si="1"/>
        <v>22</v>
      </c>
      <c r="E7389" s="13">
        <f t="shared" si="2"/>
        <v>17</v>
      </c>
    </row>
    <row r="7390">
      <c r="A7390" s="4" t="s">
        <v>8002</v>
      </c>
      <c r="B7390" s="16"/>
      <c r="C7390" s="12">
        <f>IFERROR(__xludf.DUMMYFUNCTION("""COMPUTED_VALUE"""),44642.7327662037)</f>
        <v>44642.73277</v>
      </c>
      <c r="D7390" s="13">
        <f t="shared" si="1"/>
        <v>22</v>
      </c>
      <c r="E7390" s="13">
        <f t="shared" si="2"/>
        <v>17</v>
      </c>
    </row>
    <row r="7391">
      <c r="A7391" s="4" t="s">
        <v>8003</v>
      </c>
      <c r="B7391" s="16"/>
      <c r="C7391" s="12">
        <f>IFERROR(__xludf.DUMMYFUNCTION("""COMPUTED_VALUE"""),44642.723912037036)</f>
        <v>44642.72391</v>
      </c>
      <c r="D7391" s="13">
        <f t="shared" si="1"/>
        <v>22</v>
      </c>
      <c r="E7391" s="13">
        <f t="shared" si="2"/>
        <v>17</v>
      </c>
    </row>
    <row r="7392">
      <c r="A7392" s="4" t="s">
        <v>8004</v>
      </c>
      <c r="B7392" s="16"/>
      <c r="C7392" s="12">
        <f>IFERROR(__xludf.DUMMYFUNCTION("""COMPUTED_VALUE"""),44642.68851851852)</f>
        <v>44642.68852</v>
      </c>
      <c r="D7392" s="13">
        <f t="shared" si="1"/>
        <v>22</v>
      </c>
      <c r="E7392" s="13">
        <f t="shared" si="2"/>
        <v>16</v>
      </c>
    </row>
    <row r="7393">
      <c r="A7393" s="4" t="s">
        <v>8005</v>
      </c>
      <c r="B7393" s="16"/>
      <c r="C7393" s="12">
        <f>IFERROR(__xludf.DUMMYFUNCTION("""COMPUTED_VALUE"""),44642.66981481481)</f>
        <v>44642.66981</v>
      </c>
      <c r="D7393" s="13">
        <f t="shared" si="1"/>
        <v>22</v>
      </c>
      <c r="E7393" s="13">
        <f t="shared" si="2"/>
        <v>16</v>
      </c>
    </row>
    <row r="7394">
      <c r="A7394" s="4" t="s">
        <v>8006</v>
      </c>
      <c r="B7394" s="16"/>
      <c r="C7394" s="12">
        <f>IFERROR(__xludf.DUMMYFUNCTION("""COMPUTED_VALUE"""),44642.66061342592)</f>
        <v>44642.66061</v>
      </c>
      <c r="D7394" s="13">
        <f t="shared" si="1"/>
        <v>22</v>
      </c>
      <c r="E7394" s="13">
        <f t="shared" si="2"/>
        <v>15</v>
      </c>
    </row>
    <row r="7395">
      <c r="A7395" s="4" t="s">
        <v>8007</v>
      </c>
      <c r="B7395" s="16"/>
      <c r="C7395" s="12">
        <f>IFERROR(__xludf.DUMMYFUNCTION("""COMPUTED_VALUE"""),44642.657326388886)</f>
        <v>44642.65733</v>
      </c>
      <c r="D7395" s="13">
        <f t="shared" si="1"/>
        <v>22</v>
      </c>
      <c r="E7395" s="13">
        <f t="shared" si="2"/>
        <v>15</v>
      </c>
    </row>
    <row r="7396">
      <c r="A7396" s="4" t="s">
        <v>8008</v>
      </c>
      <c r="B7396" s="16"/>
      <c r="C7396" s="12">
        <f>IFERROR(__xludf.DUMMYFUNCTION("""COMPUTED_VALUE"""),44642.63577546296)</f>
        <v>44642.63578</v>
      </c>
      <c r="D7396" s="13">
        <f t="shared" si="1"/>
        <v>22</v>
      </c>
      <c r="E7396" s="13">
        <f t="shared" si="2"/>
        <v>15</v>
      </c>
    </row>
    <row r="7397">
      <c r="A7397" s="4" t="s">
        <v>8009</v>
      </c>
      <c r="B7397" s="16"/>
      <c r="C7397" s="12">
        <f>IFERROR(__xludf.DUMMYFUNCTION("""COMPUTED_VALUE"""),44642.635624999995)</f>
        <v>44642.63563</v>
      </c>
      <c r="D7397" s="13">
        <f t="shared" si="1"/>
        <v>22</v>
      </c>
      <c r="E7397" s="13">
        <f t="shared" si="2"/>
        <v>15</v>
      </c>
    </row>
    <row r="7398">
      <c r="A7398" s="4" t="s">
        <v>8010</v>
      </c>
      <c r="B7398" s="16"/>
      <c r="C7398" s="12">
        <f>IFERROR(__xludf.DUMMYFUNCTION("""COMPUTED_VALUE"""),44642.63385416666)</f>
        <v>44642.63385</v>
      </c>
      <c r="D7398" s="13">
        <f t="shared" si="1"/>
        <v>22</v>
      </c>
      <c r="E7398" s="13">
        <f t="shared" si="2"/>
        <v>15</v>
      </c>
    </row>
    <row r="7399">
      <c r="A7399" s="4" t="s">
        <v>8011</v>
      </c>
      <c r="B7399" s="16"/>
      <c r="C7399" s="12">
        <f>IFERROR(__xludf.DUMMYFUNCTION("""COMPUTED_VALUE"""),44642.6158912037)</f>
        <v>44642.61589</v>
      </c>
      <c r="D7399" s="13">
        <f t="shared" si="1"/>
        <v>22</v>
      </c>
      <c r="E7399" s="13">
        <f t="shared" si="2"/>
        <v>14</v>
      </c>
    </row>
    <row r="7400">
      <c r="A7400" s="4" t="s">
        <v>8012</v>
      </c>
      <c r="B7400" s="16"/>
      <c r="C7400" s="12">
        <f>IFERROR(__xludf.DUMMYFUNCTION("""COMPUTED_VALUE"""),44642.61228009259)</f>
        <v>44642.61228</v>
      </c>
      <c r="D7400" s="13">
        <f t="shared" si="1"/>
        <v>22</v>
      </c>
      <c r="E7400" s="13">
        <f t="shared" si="2"/>
        <v>14</v>
      </c>
    </row>
    <row r="7401">
      <c r="A7401" s="4" t="s">
        <v>8013</v>
      </c>
      <c r="B7401" s="16"/>
      <c r="C7401" s="12">
        <f>IFERROR(__xludf.DUMMYFUNCTION("""COMPUTED_VALUE"""),44642.578518518516)</f>
        <v>44642.57852</v>
      </c>
      <c r="D7401" s="13">
        <f t="shared" si="1"/>
        <v>22</v>
      </c>
      <c r="E7401" s="13">
        <f t="shared" si="2"/>
        <v>13</v>
      </c>
    </row>
    <row r="7402">
      <c r="A7402" s="4" t="s">
        <v>8014</v>
      </c>
      <c r="B7402" s="16"/>
      <c r="C7402" s="12">
        <f>IFERROR(__xludf.DUMMYFUNCTION("""COMPUTED_VALUE"""),44642.5777662037)</f>
        <v>44642.57777</v>
      </c>
      <c r="D7402" s="13">
        <f t="shared" si="1"/>
        <v>22</v>
      </c>
      <c r="E7402" s="13">
        <f t="shared" si="2"/>
        <v>13</v>
      </c>
    </row>
    <row r="7403">
      <c r="A7403" s="4" t="s">
        <v>8015</v>
      </c>
      <c r="B7403" s="16"/>
      <c r="C7403" s="12">
        <f>IFERROR(__xludf.DUMMYFUNCTION("""COMPUTED_VALUE"""),44642.562696759254)</f>
        <v>44642.5627</v>
      </c>
      <c r="D7403" s="13">
        <f t="shared" si="1"/>
        <v>22</v>
      </c>
      <c r="E7403" s="13">
        <f t="shared" si="2"/>
        <v>13</v>
      </c>
    </row>
    <row r="7404">
      <c r="A7404" s="4" t="s">
        <v>8016</v>
      </c>
      <c r="B7404" s="16"/>
      <c r="C7404" s="12">
        <f>IFERROR(__xludf.DUMMYFUNCTION("""COMPUTED_VALUE"""),44642.55892361111)</f>
        <v>44642.55892</v>
      </c>
      <c r="D7404" s="13">
        <f t="shared" si="1"/>
        <v>22</v>
      </c>
      <c r="E7404" s="13">
        <f t="shared" si="2"/>
        <v>13</v>
      </c>
    </row>
    <row r="7405">
      <c r="A7405" s="4" t="s">
        <v>8017</v>
      </c>
      <c r="B7405" s="16"/>
      <c r="C7405" s="12">
        <f>IFERROR(__xludf.DUMMYFUNCTION("""COMPUTED_VALUE"""),44642.556504629625)</f>
        <v>44642.5565</v>
      </c>
      <c r="D7405" s="13">
        <f t="shared" si="1"/>
        <v>22</v>
      </c>
      <c r="E7405" s="13">
        <f t="shared" si="2"/>
        <v>13</v>
      </c>
    </row>
    <row r="7406">
      <c r="A7406" s="4" t="s">
        <v>8018</v>
      </c>
      <c r="B7406" s="16"/>
      <c r="C7406" s="12">
        <f>IFERROR(__xludf.DUMMYFUNCTION("""COMPUTED_VALUE"""),44642.52458333333)</f>
        <v>44642.52458</v>
      </c>
      <c r="D7406" s="13">
        <f t="shared" si="1"/>
        <v>22</v>
      </c>
      <c r="E7406" s="13">
        <f t="shared" si="2"/>
        <v>12</v>
      </c>
    </row>
    <row r="7407">
      <c r="A7407" s="4" t="s">
        <v>8019</v>
      </c>
      <c r="B7407" s="16"/>
      <c r="C7407" s="12">
        <f>IFERROR(__xludf.DUMMYFUNCTION("""COMPUTED_VALUE"""),44642.513506944444)</f>
        <v>44642.51351</v>
      </c>
      <c r="D7407" s="13">
        <f t="shared" si="1"/>
        <v>22</v>
      </c>
      <c r="E7407" s="13">
        <f t="shared" si="2"/>
        <v>12</v>
      </c>
    </row>
    <row r="7408">
      <c r="A7408" s="4" t="s">
        <v>8020</v>
      </c>
      <c r="B7408" s="16"/>
      <c r="C7408" s="12">
        <f>IFERROR(__xludf.DUMMYFUNCTION("""COMPUTED_VALUE"""),44642.48701388889)</f>
        <v>44642.48701</v>
      </c>
      <c r="D7408" s="13">
        <f t="shared" si="1"/>
        <v>22</v>
      </c>
      <c r="E7408" s="13">
        <f t="shared" si="2"/>
        <v>11</v>
      </c>
    </row>
    <row r="7409">
      <c r="A7409" s="4" t="s">
        <v>8021</v>
      </c>
      <c r="B7409" s="16"/>
      <c r="C7409" s="12">
        <f>IFERROR(__xludf.DUMMYFUNCTION("""COMPUTED_VALUE"""),44642.48244212963)</f>
        <v>44642.48244</v>
      </c>
      <c r="D7409" s="13">
        <f t="shared" si="1"/>
        <v>22</v>
      </c>
      <c r="E7409" s="13">
        <f t="shared" si="2"/>
        <v>11</v>
      </c>
    </row>
    <row r="7410">
      <c r="A7410" s="4" t="s">
        <v>8022</v>
      </c>
      <c r="B7410" s="16"/>
      <c r="C7410" s="12">
        <f>IFERROR(__xludf.DUMMYFUNCTION("""COMPUTED_VALUE"""),44642.48190972222)</f>
        <v>44642.48191</v>
      </c>
      <c r="D7410" s="13">
        <f t="shared" si="1"/>
        <v>22</v>
      </c>
      <c r="E7410" s="13">
        <f t="shared" si="2"/>
        <v>11</v>
      </c>
    </row>
    <row r="7411">
      <c r="A7411" s="4" t="s">
        <v>8023</v>
      </c>
      <c r="B7411" s="16"/>
      <c r="C7411" s="12">
        <f>IFERROR(__xludf.DUMMYFUNCTION("""COMPUTED_VALUE"""),44642.46319444444)</f>
        <v>44642.46319</v>
      </c>
      <c r="D7411" s="13">
        <f t="shared" si="1"/>
        <v>22</v>
      </c>
      <c r="E7411" s="13">
        <f t="shared" si="2"/>
        <v>11</v>
      </c>
    </row>
    <row r="7412">
      <c r="A7412" s="4" t="s">
        <v>8024</v>
      </c>
      <c r="B7412" s="16"/>
      <c r="C7412" s="12">
        <f>IFERROR(__xludf.DUMMYFUNCTION("""COMPUTED_VALUE"""),44642.45003472222)</f>
        <v>44642.45003</v>
      </c>
      <c r="D7412" s="13">
        <f t="shared" si="1"/>
        <v>22</v>
      </c>
      <c r="E7412" s="13">
        <f t="shared" si="2"/>
        <v>10</v>
      </c>
    </row>
    <row r="7413">
      <c r="A7413" s="4" t="s">
        <v>8025</v>
      </c>
      <c r="B7413" s="16"/>
      <c r="C7413" s="12">
        <f>IFERROR(__xludf.DUMMYFUNCTION("""COMPUTED_VALUE"""),44642.44013888889)</f>
        <v>44642.44014</v>
      </c>
      <c r="D7413" s="13">
        <f t="shared" si="1"/>
        <v>22</v>
      </c>
      <c r="E7413" s="13">
        <f t="shared" si="2"/>
        <v>10</v>
      </c>
    </row>
    <row r="7414">
      <c r="A7414" s="4" t="s">
        <v>8026</v>
      </c>
      <c r="B7414" s="16"/>
      <c r="C7414" s="12">
        <f>IFERROR(__xludf.DUMMYFUNCTION("""COMPUTED_VALUE"""),44642.41259259259)</f>
        <v>44642.41259</v>
      </c>
      <c r="D7414" s="13">
        <f t="shared" si="1"/>
        <v>22</v>
      </c>
      <c r="E7414" s="13">
        <f t="shared" si="2"/>
        <v>9</v>
      </c>
    </row>
    <row r="7415">
      <c r="A7415" s="4" t="s">
        <v>8027</v>
      </c>
      <c r="B7415" s="16"/>
      <c r="C7415" s="12">
        <f>IFERROR(__xludf.DUMMYFUNCTION("""COMPUTED_VALUE"""),44642.38677083333)</f>
        <v>44642.38677</v>
      </c>
      <c r="D7415" s="13">
        <f t="shared" si="1"/>
        <v>22</v>
      </c>
      <c r="E7415" s="13">
        <f t="shared" si="2"/>
        <v>9</v>
      </c>
    </row>
    <row r="7416">
      <c r="A7416" s="4" t="s">
        <v>8028</v>
      </c>
      <c r="B7416" s="16"/>
      <c r="C7416" s="12">
        <f>IFERROR(__xludf.DUMMYFUNCTION("""COMPUTED_VALUE"""),44642.37960648148)</f>
        <v>44642.37961</v>
      </c>
      <c r="D7416" s="13">
        <f t="shared" si="1"/>
        <v>22</v>
      </c>
      <c r="E7416" s="13">
        <f t="shared" si="2"/>
        <v>9</v>
      </c>
    </row>
    <row r="7417">
      <c r="A7417" s="4" t="s">
        <v>8029</v>
      </c>
      <c r="B7417" s="16"/>
      <c r="C7417" s="12">
        <f>IFERROR(__xludf.DUMMYFUNCTION("""COMPUTED_VALUE"""),44642.37327546296)</f>
        <v>44642.37328</v>
      </c>
      <c r="D7417" s="13">
        <f t="shared" si="1"/>
        <v>22</v>
      </c>
      <c r="E7417" s="13">
        <f t="shared" si="2"/>
        <v>8</v>
      </c>
    </row>
    <row r="7418">
      <c r="A7418" s="4" t="s">
        <v>8030</v>
      </c>
      <c r="B7418" s="16"/>
      <c r="C7418" s="12">
        <f>IFERROR(__xludf.DUMMYFUNCTION("""COMPUTED_VALUE"""),44642.3590625)</f>
        <v>44642.35906</v>
      </c>
      <c r="D7418" s="13">
        <f t="shared" si="1"/>
        <v>22</v>
      </c>
      <c r="E7418" s="13">
        <f t="shared" si="2"/>
        <v>8</v>
      </c>
    </row>
    <row r="7419">
      <c r="A7419" s="4" t="s">
        <v>8031</v>
      </c>
      <c r="B7419" s="16"/>
      <c r="C7419" s="12">
        <f>IFERROR(__xludf.DUMMYFUNCTION("""COMPUTED_VALUE"""),44642.34497685185)</f>
        <v>44642.34498</v>
      </c>
      <c r="D7419" s="13">
        <f t="shared" si="1"/>
        <v>22</v>
      </c>
      <c r="E7419" s="13">
        <f t="shared" si="2"/>
        <v>8</v>
      </c>
    </row>
    <row r="7420">
      <c r="A7420" s="4" t="s">
        <v>8032</v>
      </c>
      <c r="B7420" s="16"/>
      <c r="C7420" s="12">
        <f>IFERROR(__xludf.DUMMYFUNCTION("""COMPUTED_VALUE"""),44642.34238425926)</f>
        <v>44642.34238</v>
      </c>
      <c r="D7420" s="13">
        <f t="shared" si="1"/>
        <v>22</v>
      </c>
      <c r="E7420" s="13">
        <f t="shared" si="2"/>
        <v>8</v>
      </c>
    </row>
    <row r="7421">
      <c r="A7421" s="4" t="s">
        <v>8033</v>
      </c>
      <c r="B7421" s="16"/>
      <c r="C7421" s="12">
        <f>IFERROR(__xludf.DUMMYFUNCTION("""COMPUTED_VALUE"""),44642.33784722222)</f>
        <v>44642.33785</v>
      </c>
      <c r="D7421" s="13">
        <f t="shared" si="1"/>
        <v>22</v>
      </c>
      <c r="E7421" s="13">
        <f t="shared" si="2"/>
        <v>8</v>
      </c>
    </row>
    <row r="7422">
      <c r="A7422" s="4" t="s">
        <v>8034</v>
      </c>
      <c r="B7422" s="16"/>
      <c r="C7422" s="12">
        <f>IFERROR(__xludf.DUMMYFUNCTION("""COMPUTED_VALUE"""),44642.329560185186)</f>
        <v>44642.32956</v>
      </c>
      <c r="D7422" s="13">
        <f t="shared" si="1"/>
        <v>22</v>
      </c>
      <c r="E7422" s="13">
        <f t="shared" si="2"/>
        <v>7</v>
      </c>
    </row>
    <row r="7423">
      <c r="A7423" s="4" t="s">
        <v>8035</v>
      </c>
      <c r="B7423" s="16"/>
      <c r="C7423" s="12">
        <f>IFERROR(__xludf.DUMMYFUNCTION("""COMPUTED_VALUE"""),44642.28655092592)</f>
        <v>44642.28655</v>
      </c>
      <c r="D7423" s="13">
        <f t="shared" si="1"/>
        <v>22</v>
      </c>
      <c r="E7423" s="13">
        <f t="shared" si="2"/>
        <v>6</v>
      </c>
    </row>
    <row r="7424">
      <c r="A7424" s="4" t="s">
        <v>8036</v>
      </c>
      <c r="B7424" s="16"/>
      <c r="C7424" s="12">
        <f>IFERROR(__xludf.DUMMYFUNCTION("""COMPUTED_VALUE"""),44642.263194444444)</f>
        <v>44642.26319</v>
      </c>
      <c r="D7424" s="13">
        <f t="shared" si="1"/>
        <v>22</v>
      </c>
      <c r="E7424" s="13">
        <f t="shared" si="2"/>
        <v>6</v>
      </c>
    </row>
    <row r="7425">
      <c r="A7425" s="4" t="s">
        <v>8037</v>
      </c>
      <c r="B7425" s="16"/>
      <c r="C7425" s="12">
        <f>IFERROR(__xludf.DUMMYFUNCTION("""COMPUTED_VALUE"""),44642.19349537037)</f>
        <v>44642.1935</v>
      </c>
      <c r="D7425" s="13">
        <f t="shared" si="1"/>
        <v>22</v>
      </c>
      <c r="E7425" s="13">
        <f t="shared" si="2"/>
        <v>4</v>
      </c>
    </row>
    <row r="7426">
      <c r="A7426" s="4" t="s">
        <v>8038</v>
      </c>
      <c r="B7426" s="16"/>
      <c r="C7426" s="12">
        <f>IFERROR(__xludf.DUMMYFUNCTION("""COMPUTED_VALUE"""),44642.19177083333)</f>
        <v>44642.19177</v>
      </c>
      <c r="D7426" s="13">
        <f t="shared" si="1"/>
        <v>22</v>
      </c>
      <c r="E7426" s="13">
        <f t="shared" si="2"/>
        <v>4</v>
      </c>
    </row>
    <row r="7427">
      <c r="A7427" s="4" t="s">
        <v>8039</v>
      </c>
      <c r="B7427" s="16"/>
      <c r="C7427" s="12">
        <f>IFERROR(__xludf.DUMMYFUNCTION("""COMPUTED_VALUE"""),44642.121157407404)</f>
        <v>44642.12116</v>
      </c>
      <c r="D7427" s="13">
        <f t="shared" si="1"/>
        <v>22</v>
      </c>
      <c r="E7427" s="13">
        <f t="shared" si="2"/>
        <v>2</v>
      </c>
    </row>
    <row r="7428">
      <c r="A7428" s="4" t="s">
        <v>8040</v>
      </c>
      <c r="B7428" s="16"/>
      <c r="C7428" s="12">
        <f>IFERROR(__xludf.DUMMYFUNCTION("""COMPUTED_VALUE"""),44642.10561342593)</f>
        <v>44642.10561</v>
      </c>
      <c r="D7428" s="13">
        <f t="shared" si="1"/>
        <v>22</v>
      </c>
      <c r="E7428" s="13">
        <f t="shared" si="2"/>
        <v>2</v>
      </c>
    </row>
    <row r="7429">
      <c r="A7429" s="4" t="s">
        <v>8041</v>
      </c>
      <c r="B7429" s="16"/>
      <c r="C7429" s="12">
        <f>IFERROR(__xludf.DUMMYFUNCTION("""COMPUTED_VALUE"""),44642.09983796296)</f>
        <v>44642.09984</v>
      </c>
      <c r="D7429" s="13">
        <f t="shared" si="1"/>
        <v>22</v>
      </c>
      <c r="E7429" s="13">
        <f t="shared" si="2"/>
        <v>2</v>
      </c>
    </row>
    <row r="7430">
      <c r="A7430" s="4" t="s">
        <v>8042</v>
      </c>
      <c r="B7430" s="16"/>
      <c r="C7430" s="12">
        <f>IFERROR(__xludf.DUMMYFUNCTION("""COMPUTED_VALUE"""),44642.09769675926)</f>
        <v>44642.0977</v>
      </c>
      <c r="D7430" s="13">
        <f t="shared" si="1"/>
        <v>22</v>
      </c>
      <c r="E7430" s="13">
        <f t="shared" si="2"/>
        <v>2</v>
      </c>
    </row>
    <row r="7431">
      <c r="A7431" s="4" t="s">
        <v>8043</v>
      </c>
      <c r="B7431" s="16"/>
      <c r="C7431" s="12">
        <f>IFERROR(__xludf.DUMMYFUNCTION("""COMPUTED_VALUE"""),44642.0877662037)</f>
        <v>44642.08777</v>
      </c>
      <c r="D7431" s="13">
        <f t="shared" si="1"/>
        <v>22</v>
      </c>
      <c r="E7431" s="13">
        <f t="shared" si="2"/>
        <v>2</v>
      </c>
    </row>
    <row r="7432">
      <c r="A7432" s="4" t="s">
        <v>8044</v>
      </c>
      <c r="B7432" s="16"/>
      <c r="C7432" s="12">
        <f>IFERROR(__xludf.DUMMYFUNCTION("""COMPUTED_VALUE"""),44642.0540625)</f>
        <v>44642.05406</v>
      </c>
      <c r="D7432" s="13">
        <f t="shared" si="1"/>
        <v>22</v>
      </c>
      <c r="E7432" s="13">
        <f t="shared" si="2"/>
        <v>1</v>
      </c>
    </row>
    <row r="7433">
      <c r="A7433" s="4" t="s">
        <v>8045</v>
      </c>
      <c r="B7433" s="16"/>
      <c r="C7433" s="12">
        <f>IFERROR(__xludf.DUMMYFUNCTION("""COMPUTED_VALUE"""),44642.04871527778)</f>
        <v>44642.04872</v>
      </c>
      <c r="D7433" s="13">
        <f t="shared" si="1"/>
        <v>22</v>
      </c>
      <c r="E7433" s="13">
        <f t="shared" si="2"/>
        <v>1</v>
      </c>
    </row>
    <row r="7434">
      <c r="A7434" s="4" t="s">
        <v>8046</v>
      </c>
      <c r="B7434" s="16"/>
      <c r="C7434" s="12">
        <f>IFERROR(__xludf.DUMMYFUNCTION("""COMPUTED_VALUE"""),44642.04537037037)</f>
        <v>44642.04537</v>
      </c>
      <c r="D7434" s="13">
        <f t="shared" si="1"/>
        <v>22</v>
      </c>
      <c r="E7434" s="13">
        <f t="shared" si="2"/>
        <v>1</v>
      </c>
    </row>
    <row r="7435">
      <c r="A7435" s="4" t="s">
        <v>8047</v>
      </c>
      <c r="B7435" s="16"/>
      <c r="C7435" s="12">
        <f>IFERROR(__xludf.DUMMYFUNCTION("""COMPUTED_VALUE"""),44642.044710648144)</f>
        <v>44642.04471</v>
      </c>
      <c r="D7435" s="13">
        <f t="shared" si="1"/>
        <v>22</v>
      </c>
      <c r="E7435" s="13">
        <f t="shared" si="2"/>
        <v>1</v>
      </c>
    </row>
    <row r="7436">
      <c r="A7436" s="4" t="s">
        <v>8048</v>
      </c>
      <c r="B7436" s="16"/>
      <c r="C7436" s="12">
        <f>IFERROR(__xludf.DUMMYFUNCTION("""COMPUTED_VALUE"""),44642.03376157407)</f>
        <v>44642.03376</v>
      </c>
      <c r="D7436" s="13">
        <f t="shared" si="1"/>
        <v>22</v>
      </c>
      <c r="E7436" s="13">
        <f t="shared" si="2"/>
        <v>0</v>
      </c>
    </row>
    <row r="7437">
      <c r="A7437" s="4" t="s">
        <v>8049</v>
      </c>
      <c r="B7437" s="16"/>
      <c r="C7437" s="12">
        <f>IFERROR(__xludf.DUMMYFUNCTION("""COMPUTED_VALUE"""),44642.03362268518)</f>
        <v>44642.03362</v>
      </c>
      <c r="D7437" s="13">
        <f t="shared" si="1"/>
        <v>22</v>
      </c>
      <c r="E7437" s="13">
        <f t="shared" si="2"/>
        <v>0</v>
      </c>
    </row>
    <row r="7438">
      <c r="A7438" s="4" t="s">
        <v>8050</v>
      </c>
      <c r="B7438" s="16"/>
      <c r="C7438" s="12">
        <f>IFERROR(__xludf.DUMMYFUNCTION("""COMPUTED_VALUE"""),44641.995057870365)</f>
        <v>44641.99506</v>
      </c>
      <c r="D7438" s="13">
        <f t="shared" si="1"/>
        <v>21</v>
      </c>
      <c r="E7438" s="13">
        <f t="shared" si="2"/>
        <v>23</v>
      </c>
    </row>
    <row r="7439">
      <c r="A7439" s="4" t="s">
        <v>8051</v>
      </c>
      <c r="B7439" s="16"/>
      <c r="C7439" s="12">
        <f>IFERROR(__xludf.DUMMYFUNCTION("""COMPUTED_VALUE"""),44641.984988425924)</f>
        <v>44641.98499</v>
      </c>
      <c r="D7439" s="13">
        <f t="shared" si="1"/>
        <v>21</v>
      </c>
      <c r="E7439" s="13">
        <f t="shared" si="2"/>
        <v>23</v>
      </c>
    </row>
    <row r="7440">
      <c r="A7440" s="4" t="s">
        <v>8052</v>
      </c>
      <c r="B7440" s="16"/>
      <c r="C7440" s="12">
        <f>IFERROR(__xludf.DUMMYFUNCTION("""COMPUTED_VALUE"""),44641.97237268518)</f>
        <v>44641.97237</v>
      </c>
      <c r="D7440" s="13">
        <f t="shared" si="1"/>
        <v>21</v>
      </c>
      <c r="E7440" s="13">
        <f t="shared" si="2"/>
        <v>23</v>
      </c>
    </row>
    <row r="7441">
      <c r="A7441" s="4" t="s">
        <v>8053</v>
      </c>
      <c r="B7441" s="16"/>
      <c r="C7441" s="12">
        <f>IFERROR(__xludf.DUMMYFUNCTION("""COMPUTED_VALUE"""),44641.96871527778)</f>
        <v>44641.96872</v>
      </c>
      <c r="D7441" s="13">
        <f t="shared" si="1"/>
        <v>21</v>
      </c>
      <c r="E7441" s="13">
        <f t="shared" si="2"/>
        <v>23</v>
      </c>
    </row>
    <row r="7442">
      <c r="A7442" s="4" t="s">
        <v>8054</v>
      </c>
      <c r="B7442" s="16"/>
      <c r="C7442" s="12">
        <f>IFERROR(__xludf.DUMMYFUNCTION("""COMPUTED_VALUE"""),44641.9684375)</f>
        <v>44641.96844</v>
      </c>
      <c r="D7442" s="13">
        <f t="shared" si="1"/>
        <v>21</v>
      </c>
      <c r="E7442" s="13">
        <f t="shared" si="2"/>
        <v>23</v>
      </c>
    </row>
    <row r="7443">
      <c r="A7443" s="4" t="s">
        <v>8055</v>
      </c>
      <c r="B7443" s="16"/>
      <c r="C7443" s="12">
        <f>IFERROR(__xludf.DUMMYFUNCTION("""COMPUTED_VALUE"""),44641.967939814815)</f>
        <v>44641.96794</v>
      </c>
      <c r="D7443" s="13">
        <f t="shared" si="1"/>
        <v>21</v>
      </c>
      <c r="E7443" s="13">
        <f t="shared" si="2"/>
        <v>23</v>
      </c>
    </row>
    <row r="7444">
      <c r="A7444" s="4" t="s">
        <v>8056</v>
      </c>
      <c r="B7444" s="16"/>
      <c r="C7444" s="12">
        <f>IFERROR(__xludf.DUMMYFUNCTION("""COMPUTED_VALUE"""),44641.91278935185)</f>
        <v>44641.91279</v>
      </c>
      <c r="D7444" s="13">
        <f t="shared" si="1"/>
        <v>21</v>
      </c>
      <c r="E7444" s="13">
        <f t="shared" si="2"/>
        <v>21</v>
      </c>
    </row>
    <row r="7445">
      <c r="A7445" s="4" t="s">
        <v>8057</v>
      </c>
      <c r="B7445" s="16"/>
      <c r="C7445" s="12">
        <f>IFERROR(__xludf.DUMMYFUNCTION("""COMPUTED_VALUE"""),44641.91019675926)</f>
        <v>44641.9102</v>
      </c>
      <c r="D7445" s="13">
        <f t="shared" si="1"/>
        <v>21</v>
      </c>
      <c r="E7445" s="13">
        <f t="shared" si="2"/>
        <v>21</v>
      </c>
    </row>
    <row r="7446">
      <c r="A7446" s="4" t="s">
        <v>8058</v>
      </c>
      <c r="B7446" s="16"/>
      <c r="C7446" s="12">
        <f>IFERROR(__xludf.DUMMYFUNCTION("""COMPUTED_VALUE"""),44641.910115740735)</f>
        <v>44641.91012</v>
      </c>
      <c r="D7446" s="13">
        <f t="shared" si="1"/>
        <v>21</v>
      </c>
      <c r="E7446" s="13">
        <f t="shared" si="2"/>
        <v>21</v>
      </c>
    </row>
    <row r="7447">
      <c r="A7447" s="4" t="s">
        <v>8059</v>
      </c>
      <c r="B7447" s="16"/>
      <c r="C7447" s="12">
        <f>IFERROR(__xludf.DUMMYFUNCTION("""COMPUTED_VALUE"""),44641.90954861111)</f>
        <v>44641.90955</v>
      </c>
      <c r="D7447" s="13">
        <f t="shared" si="1"/>
        <v>21</v>
      </c>
      <c r="E7447" s="13">
        <f t="shared" si="2"/>
        <v>21</v>
      </c>
    </row>
    <row r="7448">
      <c r="A7448" s="4" t="s">
        <v>8060</v>
      </c>
      <c r="B7448" s="16"/>
      <c r="C7448" s="12">
        <f>IFERROR(__xludf.DUMMYFUNCTION("""COMPUTED_VALUE"""),44641.90915509259)</f>
        <v>44641.90916</v>
      </c>
      <c r="D7448" s="13">
        <f t="shared" si="1"/>
        <v>21</v>
      </c>
      <c r="E7448" s="13">
        <f t="shared" si="2"/>
        <v>21</v>
      </c>
    </row>
    <row r="7449">
      <c r="A7449" s="4" t="s">
        <v>8061</v>
      </c>
      <c r="B7449" s="16"/>
      <c r="C7449" s="12">
        <f>IFERROR(__xludf.DUMMYFUNCTION("""COMPUTED_VALUE"""),44641.90747685185)</f>
        <v>44641.90748</v>
      </c>
      <c r="D7449" s="13">
        <f t="shared" si="1"/>
        <v>21</v>
      </c>
      <c r="E7449" s="13">
        <f t="shared" si="2"/>
        <v>21</v>
      </c>
    </row>
    <row r="7450">
      <c r="A7450" s="4" t="s">
        <v>8062</v>
      </c>
      <c r="B7450" s="16"/>
      <c r="C7450" s="12">
        <f>IFERROR(__xludf.DUMMYFUNCTION("""COMPUTED_VALUE"""),44641.906689814816)</f>
        <v>44641.90669</v>
      </c>
      <c r="D7450" s="13">
        <f t="shared" si="1"/>
        <v>21</v>
      </c>
      <c r="E7450" s="13">
        <f t="shared" si="2"/>
        <v>21</v>
      </c>
    </row>
    <row r="7451">
      <c r="A7451" s="4" t="s">
        <v>8063</v>
      </c>
      <c r="B7451" s="16"/>
      <c r="C7451" s="12">
        <f>IFERROR(__xludf.DUMMYFUNCTION("""COMPUTED_VALUE"""),44641.9028587963)</f>
        <v>44641.90286</v>
      </c>
      <c r="D7451" s="13">
        <f t="shared" si="1"/>
        <v>21</v>
      </c>
      <c r="E7451" s="13">
        <f t="shared" si="2"/>
        <v>21</v>
      </c>
    </row>
    <row r="7452">
      <c r="A7452" s="4" t="s">
        <v>8064</v>
      </c>
      <c r="B7452" s="16"/>
      <c r="C7452" s="12">
        <f>IFERROR(__xludf.DUMMYFUNCTION("""COMPUTED_VALUE"""),44641.90113425926)</f>
        <v>44641.90113</v>
      </c>
      <c r="D7452" s="13">
        <f t="shared" si="1"/>
        <v>21</v>
      </c>
      <c r="E7452" s="13">
        <f t="shared" si="2"/>
        <v>21</v>
      </c>
    </row>
    <row r="7453">
      <c r="A7453" s="4" t="s">
        <v>8065</v>
      </c>
      <c r="B7453" s="16"/>
      <c r="C7453" s="12">
        <f>IFERROR(__xludf.DUMMYFUNCTION("""COMPUTED_VALUE"""),44641.90085648148)</f>
        <v>44641.90086</v>
      </c>
      <c r="D7453" s="13">
        <f t="shared" si="1"/>
        <v>21</v>
      </c>
      <c r="E7453" s="13">
        <f t="shared" si="2"/>
        <v>21</v>
      </c>
    </row>
    <row r="7454">
      <c r="A7454" s="4" t="s">
        <v>8066</v>
      </c>
      <c r="B7454" s="16"/>
      <c r="C7454" s="12">
        <f>IFERROR(__xludf.DUMMYFUNCTION("""COMPUTED_VALUE"""),44641.90070601852)</f>
        <v>44641.90071</v>
      </c>
      <c r="D7454" s="13">
        <f t="shared" si="1"/>
        <v>21</v>
      </c>
      <c r="E7454" s="13">
        <f t="shared" si="2"/>
        <v>21</v>
      </c>
    </row>
    <row r="7455">
      <c r="A7455" s="4" t="s">
        <v>8067</v>
      </c>
      <c r="B7455" s="16"/>
      <c r="C7455" s="12">
        <f>IFERROR(__xludf.DUMMYFUNCTION("""COMPUTED_VALUE"""),44641.89350694444)</f>
        <v>44641.89351</v>
      </c>
      <c r="D7455" s="13">
        <f t="shared" si="1"/>
        <v>21</v>
      </c>
      <c r="E7455" s="13">
        <f t="shared" si="2"/>
        <v>21</v>
      </c>
    </row>
    <row r="7456">
      <c r="A7456" s="4" t="s">
        <v>8068</v>
      </c>
      <c r="B7456" s="16"/>
      <c r="C7456" s="12">
        <f>IFERROR(__xludf.DUMMYFUNCTION("""COMPUTED_VALUE"""),44641.89219907407)</f>
        <v>44641.8922</v>
      </c>
      <c r="D7456" s="13">
        <f t="shared" si="1"/>
        <v>21</v>
      </c>
      <c r="E7456" s="13">
        <f t="shared" si="2"/>
        <v>21</v>
      </c>
    </row>
    <row r="7457">
      <c r="A7457" s="4" t="s">
        <v>8069</v>
      </c>
      <c r="B7457" s="16"/>
      <c r="C7457" s="12">
        <f>IFERROR(__xludf.DUMMYFUNCTION("""COMPUTED_VALUE"""),44641.889513888884)</f>
        <v>44641.88951</v>
      </c>
      <c r="D7457" s="13">
        <f t="shared" si="1"/>
        <v>21</v>
      </c>
      <c r="E7457" s="13">
        <f t="shared" si="2"/>
        <v>21</v>
      </c>
    </row>
    <row r="7458">
      <c r="A7458" s="4" t="s">
        <v>8070</v>
      </c>
      <c r="B7458" s="16"/>
      <c r="C7458" s="12">
        <f>IFERROR(__xludf.DUMMYFUNCTION("""COMPUTED_VALUE"""),44641.88532407407)</f>
        <v>44641.88532</v>
      </c>
      <c r="D7458" s="13">
        <f t="shared" si="1"/>
        <v>21</v>
      </c>
      <c r="E7458" s="13">
        <f t="shared" si="2"/>
        <v>21</v>
      </c>
    </row>
    <row r="7459">
      <c r="A7459" s="4" t="s">
        <v>8071</v>
      </c>
      <c r="B7459" s="16"/>
      <c r="C7459" s="12">
        <f>IFERROR(__xludf.DUMMYFUNCTION("""COMPUTED_VALUE"""),44641.87862268518)</f>
        <v>44641.87862</v>
      </c>
      <c r="D7459" s="13">
        <f t="shared" si="1"/>
        <v>21</v>
      </c>
      <c r="E7459" s="13">
        <f t="shared" si="2"/>
        <v>21</v>
      </c>
    </row>
    <row r="7460">
      <c r="A7460" s="4" t="s">
        <v>8072</v>
      </c>
      <c r="B7460" s="16"/>
      <c r="C7460" s="12">
        <f>IFERROR(__xludf.DUMMYFUNCTION("""COMPUTED_VALUE"""),44641.87856481481)</f>
        <v>44641.87856</v>
      </c>
      <c r="D7460" s="13">
        <f t="shared" si="1"/>
        <v>21</v>
      </c>
      <c r="E7460" s="13">
        <f t="shared" si="2"/>
        <v>21</v>
      </c>
    </row>
    <row r="7461">
      <c r="A7461" s="4" t="s">
        <v>8073</v>
      </c>
      <c r="B7461" s="16"/>
      <c r="C7461" s="12">
        <f>IFERROR(__xludf.DUMMYFUNCTION("""COMPUTED_VALUE"""),44641.87568287037)</f>
        <v>44641.87568</v>
      </c>
      <c r="D7461" s="13">
        <f t="shared" si="1"/>
        <v>21</v>
      </c>
      <c r="E7461" s="13">
        <f t="shared" si="2"/>
        <v>21</v>
      </c>
    </row>
    <row r="7462">
      <c r="A7462" s="4" t="s">
        <v>8074</v>
      </c>
      <c r="B7462" s="16"/>
      <c r="C7462" s="12">
        <f>IFERROR(__xludf.DUMMYFUNCTION("""COMPUTED_VALUE"""),44641.874513888884)</f>
        <v>44641.87451</v>
      </c>
      <c r="D7462" s="13">
        <f t="shared" si="1"/>
        <v>21</v>
      </c>
      <c r="E7462" s="13">
        <f t="shared" si="2"/>
        <v>20</v>
      </c>
    </row>
    <row r="7463">
      <c r="A7463" s="4" t="s">
        <v>8075</v>
      </c>
      <c r="B7463" s="16"/>
      <c r="C7463" s="12">
        <f>IFERROR(__xludf.DUMMYFUNCTION("""COMPUTED_VALUE"""),44641.87140046296)</f>
        <v>44641.8714</v>
      </c>
      <c r="D7463" s="13">
        <f t="shared" si="1"/>
        <v>21</v>
      </c>
      <c r="E7463" s="13">
        <f t="shared" si="2"/>
        <v>20</v>
      </c>
    </row>
    <row r="7464">
      <c r="A7464" s="4" t="s">
        <v>8076</v>
      </c>
      <c r="B7464" s="16"/>
      <c r="C7464" s="12">
        <f>IFERROR(__xludf.DUMMYFUNCTION("""COMPUTED_VALUE"""),44641.86233796296)</f>
        <v>44641.86234</v>
      </c>
      <c r="D7464" s="13">
        <f t="shared" si="1"/>
        <v>21</v>
      </c>
      <c r="E7464" s="13">
        <f t="shared" si="2"/>
        <v>20</v>
      </c>
    </row>
    <row r="7465">
      <c r="A7465" s="4" t="s">
        <v>8077</v>
      </c>
      <c r="B7465" s="16"/>
      <c r="C7465" s="12">
        <f>IFERROR(__xludf.DUMMYFUNCTION("""COMPUTED_VALUE"""),44641.84060185185)</f>
        <v>44641.8406</v>
      </c>
      <c r="D7465" s="13">
        <f t="shared" si="1"/>
        <v>21</v>
      </c>
      <c r="E7465" s="13">
        <f t="shared" si="2"/>
        <v>20</v>
      </c>
    </row>
    <row r="7466">
      <c r="A7466" s="4" t="s">
        <v>8078</v>
      </c>
      <c r="B7466" s="16"/>
      <c r="C7466" s="12">
        <f>IFERROR(__xludf.DUMMYFUNCTION("""COMPUTED_VALUE"""),44641.828946759255)</f>
        <v>44641.82895</v>
      </c>
      <c r="D7466" s="13">
        <f t="shared" si="1"/>
        <v>21</v>
      </c>
      <c r="E7466" s="13">
        <f t="shared" si="2"/>
        <v>19</v>
      </c>
    </row>
    <row r="7467">
      <c r="A7467" s="4" t="s">
        <v>8079</v>
      </c>
      <c r="B7467" s="16"/>
      <c r="C7467" s="12">
        <f>IFERROR(__xludf.DUMMYFUNCTION("""COMPUTED_VALUE"""),44641.82163194444)</f>
        <v>44641.82163</v>
      </c>
      <c r="D7467" s="13">
        <f t="shared" si="1"/>
        <v>21</v>
      </c>
      <c r="E7467" s="13">
        <f t="shared" si="2"/>
        <v>19</v>
      </c>
    </row>
    <row r="7468">
      <c r="A7468" s="4" t="s">
        <v>8080</v>
      </c>
      <c r="B7468" s="16"/>
      <c r="C7468" s="12">
        <f>IFERROR(__xludf.DUMMYFUNCTION("""COMPUTED_VALUE"""),44641.82094907407)</f>
        <v>44641.82095</v>
      </c>
      <c r="D7468" s="13">
        <f t="shared" si="1"/>
        <v>21</v>
      </c>
      <c r="E7468" s="13">
        <f t="shared" si="2"/>
        <v>19</v>
      </c>
    </row>
    <row r="7469">
      <c r="A7469" s="4" t="s">
        <v>8081</v>
      </c>
      <c r="B7469" s="16"/>
      <c r="C7469" s="12">
        <f>IFERROR(__xludf.DUMMYFUNCTION("""COMPUTED_VALUE"""),44641.815937499996)</f>
        <v>44641.81594</v>
      </c>
      <c r="D7469" s="13">
        <f t="shared" si="1"/>
        <v>21</v>
      </c>
      <c r="E7469" s="13">
        <f t="shared" si="2"/>
        <v>19</v>
      </c>
    </row>
    <row r="7470">
      <c r="A7470" s="4" t="s">
        <v>8082</v>
      </c>
      <c r="B7470" s="16"/>
      <c r="C7470" s="12">
        <f>IFERROR(__xludf.DUMMYFUNCTION("""COMPUTED_VALUE"""),44641.81434027778)</f>
        <v>44641.81434</v>
      </c>
      <c r="D7470" s="13">
        <f t="shared" si="1"/>
        <v>21</v>
      </c>
      <c r="E7470" s="13">
        <f t="shared" si="2"/>
        <v>19</v>
      </c>
    </row>
    <row r="7471">
      <c r="A7471" s="4" t="s">
        <v>8083</v>
      </c>
      <c r="B7471" s="16"/>
      <c r="C7471" s="12">
        <f>IFERROR(__xludf.DUMMYFUNCTION("""COMPUTED_VALUE"""),44641.81386574074)</f>
        <v>44641.81387</v>
      </c>
      <c r="D7471" s="13">
        <f t="shared" si="1"/>
        <v>21</v>
      </c>
      <c r="E7471" s="13">
        <f t="shared" si="2"/>
        <v>19</v>
      </c>
    </row>
    <row r="7472">
      <c r="A7472" s="4" t="s">
        <v>8084</v>
      </c>
      <c r="B7472" s="16"/>
      <c r="C7472" s="12">
        <f>IFERROR(__xludf.DUMMYFUNCTION("""COMPUTED_VALUE"""),44641.81040509259)</f>
        <v>44641.81041</v>
      </c>
      <c r="D7472" s="13">
        <f t="shared" si="1"/>
        <v>21</v>
      </c>
      <c r="E7472" s="13">
        <f t="shared" si="2"/>
        <v>19</v>
      </c>
    </row>
    <row r="7473">
      <c r="A7473" s="4" t="s">
        <v>8085</v>
      </c>
      <c r="B7473" s="16"/>
      <c r="C7473" s="12">
        <f>IFERROR(__xludf.DUMMYFUNCTION("""COMPUTED_VALUE"""),44641.80664351852)</f>
        <v>44641.80664</v>
      </c>
      <c r="D7473" s="13">
        <f t="shared" si="1"/>
        <v>21</v>
      </c>
      <c r="E7473" s="13">
        <f t="shared" si="2"/>
        <v>19</v>
      </c>
    </row>
    <row r="7474">
      <c r="A7474" s="4" t="s">
        <v>8086</v>
      </c>
      <c r="B7474" s="16"/>
      <c r="C7474" s="12">
        <f>IFERROR(__xludf.DUMMYFUNCTION("""COMPUTED_VALUE"""),44641.806435185186)</f>
        <v>44641.80644</v>
      </c>
      <c r="D7474" s="13">
        <f t="shared" si="1"/>
        <v>21</v>
      </c>
      <c r="E7474" s="13">
        <f t="shared" si="2"/>
        <v>19</v>
      </c>
    </row>
    <row r="7475">
      <c r="A7475" s="4" t="s">
        <v>8087</v>
      </c>
      <c r="B7475" s="16"/>
      <c r="C7475" s="12">
        <f>IFERROR(__xludf.DUMMYFUNCTION("""COMPUTED_VALUE"""),44641.78613425926)</f>
        <v>44641.78613</v>
      </c>
      <c r="D7475" s="13">
        <f t="shared" si="1"/>
        <v>21</v>
      </c>
      <c r="E7475" s="13">
        <f t="shared" si="2"/>
        <v>18</v>
      </c>
    </row>
    <row r="7476">
      <c r="A7476" s="4" t="s">
        <v>8088</v>
      </c>
      <c r="B7476" s="16"/>
      <c r="C7476" s="12">
        <f>IFERROR(__xludf.DUMMYFUNCTION("""COMPUTED_VALUE"""),44641.75409722222)</f>
        <v>44641.7541</v>
      </c>
      <c r="D7476" s="13">
        <f t="shared" si="1"/>
        <v>21</v>
      </c>
      <c r="E7476" s="13">
        <f t="shared" si="2"/>
        <v>18</v>
      </c>
    </row>
    <row r="7477">
      <c r="A7477" s="4" t="s">
        <v>8089</v>
      </c>
      <c r="B7477" s="16"/>
      <c r="C7477" s="12">
        <f>IFERROR(__xludf.DUMMYFUNCTION("""COMPUTED_VALUE"""),44641.752812499995)</f>
        <v>44641.75281</v>
      </c>
      <c r="D7477" s="13">
        <f t="shared" si="1"/>
        <v>21</v>
      </c>
      <c r="E7477" s="13">
        <f t="shared" si="2"/>
        <v>18</v>
      </c>
    </row>
    <row r="7478">
      <c r="A7478" s="4" t="s">
        <v>8090</v>
      </c>
      <c r="B7478" s="16"/>
      <c r="C7478" s="12">
        <f>IFERROR(__xludf.DUMMYFUNCTION("""COMPUTED_VALUE"""),44641.751562499994)</f>
        <v>44641.75156</v>
      </c>
      <c r="D7478" s="13">
        <f t="shared" si="1"/>
        <v>21</v>
      </c>
      <c r="E7478" s="13">
        <f t="shared" si="2"/>
        <v>18</v>
      </c>
    </row>
    <row r="7479">
      <c r="A7479" s="4" t="s">
        <v>8091</v>
      </c>
      <c r="B7479" s="16"/>
      <c r="C7479" s="12">
        <f>IFERROR(__xludf.DUMMYFUNCTION("""COMPUTED_VALUE"""),44641.737395833334)</f>
        <v>44641.7374</v>
      </c>
      <c r="D7479" s="13">
        <f t="shared" si="1"/>
        <v>21</v>
      </c>
      <c r="E7479" s="13">
        <f t="shared" si="2"/>
        <v>17</v>
      </c>
    </row>
    <row r="7480">
      <c r="A7480" s="4" t="s">
        <v>8092</v>
      </c>
      <c r="B7480" s="16"/>
      <c r="C7480" s="12">
        <f>IFERROR(__xludf.DUMMYFUNCTION("""COMPUTED_VALUE"""),44641.736874999995)</f>
        <v>44641.73688</v>
      </c>
      <c r="D7480" s="13">
        <f t="shared" si="1"/>
        <v>21</v>
      </c>
      <c r="E7480" s="13">
        <f t="shared" si="2"/>
        <v>17</v>
      </c>
    </row>
    <row r="7481">
      <c r="A7481" s="4" t="s">
        <v>8093</v>
      </c>
      <c r="B7481" s="16"/>
      <c r="C7481" s="12">
        <f>IFERROR(__xludf.DUMMYFUNCTION("""COMPUTED_VALUE"""),44641.73653935185)</f>
        <v>44641.73654</v>
      </c>
      <c r="D7481" s="13">
        <f t="shared" si="1"/>
        <v>21</v>
      </c>
      <c r="E7481" s="13">
        <f t="shared" si="2"/>
        <v>17</v>
      </c>
    </row>
    <row r="7482">
      <c r="A7482" s="4" t="s">
        <v>8094</v>
      </c>
      <c r="B7482" s="16"/>
      <c r="C7482" s="12">
        <f>IFERROR(__xludf.DUMMYFUNCTION("""COMPUTED_VALUE"""),44641.73627314815)</f>
        <v>44641.73627</v>
      </c>
      <c r="D7482" s="13">
        <f t="shared" si="1"/>
        <v>21</v>
      </c>
      <c r="E7482" s="13">
        <f t="shared" si="2"/>
        <v>17</v>
      </c>
    </row>
    <row r="7483">
      <c r="A7483" s="4" t="s">
        <v>8095</v>
      </c>
      <c r="B7483" s="16"/>
      <c r="C7483" s="12">
        <f>IFERROR(__xludf.DUMMYFUNCTION("""COMPUTED_VALUE"""),44641.73238425926)</f>
        <v>44641.73238</v>
      </c>
      <c r="D7483" s="13">
        <f t="shared" si="1"/>
        <v>21</v>
      </c>
      <c r="E7483" s="13">
        <f t="shared" si="2"/>
        <v>17</v>
      </c>
    </row>
    <row r="7484">
      <c r="A7484" s="4" t="s">
        <v>8096</v>
      </c>
      <c r="B7484" s="16"/>
      <c r="C7484" s="12">
        <f>IFERROR(__xludf.DUMMYFUNCTION("""COMPUTED_VALUE"""),44641.72710648148)</f>
        <v>44641.72711</v>
      </c>
      <c r="D7484" s="13">
        <f t="shared" si="1"/>
        <v>21</v>
      </c>
      <c r="E7484" s="13">
        <f t="shared" si="2"/>
        <v>17</v>
      </c>
    </row>
    <row r="7485">
      <c r="A7485" s="4" t="s">
        <v>8097</v>
      </c>
      <c r="B7485" s="16"/>
      <c r="C7485" s="12">
        <f>IFERROR(__xludf.DUMMYFUNCTION("""COMPUTED_VALUE"""),44641.61861111111)</f>
        <v>44641.61861</v>
      </c>
      <c r="D7485" s="13">
        <f t="shared" si="1"/>
        <v>21</v>
      </c>
      <c r="E7485" s="13">
        <f t="shared" si="2"/>
        <v>14</v>
      </c>
    </row>
    <row r="7486">
      <c r="A7486" s="4" t="s">
        <v>8098</v>
      </c>
      <c r="B7486" s="16"/>
      <c r="C7486" s="12">
        <f>IFERROR(__xludf.DUMMYFUNCTION("""COMPUTED_VALUE"""),44641.566157407404)</f>
        <v>44641.56616</v>
      </c>
      <c r="D7486" s="13">
        <f t="shared" si="1"/>
        <v>21</v>
      </c>
      <c r="E7486" s="13">
        <f t="shared" si="2"/>
        <v>13</v>
      </c>
    </row>
    <row r="7487">
      <c r="A7487" s="4" t="s">
        <v>8099</v>
      </c>
      <c r="B7487" s="16"/>
      <c r="C7487" s="12">
        <f>IFERROR(__xludf.DUMMYFUNCTION("""COMPUTED_VALUE"""),44641.562164351846)</f>
        <v>44641.56216</v>
      </c>
      <c r="D7487" s="13">
        <f t="shared" si="1"/>
        <v>21</v>
      </c>
      <c r="E7487" s="13">
        <f t="shared" si="2"/>
        <v>13</v>
      </c>
    </row>
    <row r="7488">
      <c r="A7488" s="4" t="s">
        <v>8100</v>
      </c>
      <c r="B7488" s="16"/>
      <c r="C7488" s="12">
        <f>IFERROR(__xludf.DUMMYFUNCTION("""COMPUTED_VALUE"""),44641.53229166666)</f>
        <v>44641.53229</v>
      </c>
      <c r="D7488" s="13">
        <f t="shared" si="1"/>
        <v>21</v>
      </c>
      <c r="E7488" s="13">
        <f t="shared" si="2"/>
        <v>12</v>
      </c>
    </row>
    <row r="7489">
      <c r="A7489" s="4" t="s">
        <v>8101</v>
      </c>
      <c r="B7489" s="16"/>
      <c r="C7489" s="12">
        <f>IFERROR(__xludf.DUMMYFUNCTION("""COMPUTED_VALUE"""),44641.53210648148)</f>
        <v>44641.53211</v>
      </c>
      <c r="D7489" s="13">
        <f t="shared" si="1"/>
        <v>21</v>
      </c>
      <c r="E7489" s="13">
        <f t="shared" si="2"/>
        <v>12</v>
      </c>
    </row>
    <row r="7490">
      <c r="A7490" s="4" t="s">
        <v>8102</v>
      </c>
      <c r="B7490" s="16"/>
      <c r="C7490" s="12">
        <f>IFERROR(__xludf.DUMMYFUNCTION("""COMPUTED_VALUE"""),44641.51991898148)</f>
        <v>44641.51992</v>
      </c>
      <c r="D7490" s="13">
        <f t="shared" si="1"/>
        <v>21</v>
      </c>
      <c r="E7490" s="13">
        <f t="shared" si="2"/>
        <v>12</v>
      </c>
    </row>
    <row r="7491">
      <c r="A7491" s="4" t="s">
        <v>8103</v>
      </c>
      <c r="B7491" s="16"/>
      <c r="C7491" s="12">
        <f>IFERROR(__xludf.DUMMYFUNCTION("""COMPUTED_VALUE"""),44641.50709490741)</f>
        <v>44641.50709</v>
      </c>
      <c r="D7491" s="13">
        <f t="shared" si="1"/>
        <v>21</v>
      </c>
      <c r="E7491" s="13">
        <f t="shared" si="2"/>
        <v>12</v>
      </c>
    </row>
    <row r="7492">
      <c r="A7492" s="4" t="s">
        <v>8104</v>
      </c>
      <c r="B7492" s="16"/>
      <c r="C7492" s="12">
        <f>IFERROR(__xludf.DUMMYFUNCTION("""COMPUTED_VALUE"""),44641.50672453704)</f>
        <v>44641.50672</v>
      </c>
      <c r="D7492" s="13">
        <f t="shared" si="1"/>
        <v>21</v>
      </c>
      <c r="E7492" s="13">
        <f t="shared" si="2"/>
        <v>12</v>
      </c>
    </row>
    <row r="7493">
      <c r="A7493" s="4" t="s">
        <v>8105</v>
      </c>
      <c r="B7493" s="16"/>
      <c r="C7493" s="12">
        <f>IFERROR(__xludf.DUMMYFUNCTION("""COMPUTED_VALUE"""),44641.49502314815)</f>
        <v>44641.49502</v>
      </c>
      <c r="D7493" s="13">
        <f t="shared" si="1"/>
        <v>21</v>
      </c>
      <c r="E7493" s="13">
        <f t="shared" si="2"/>
        <v>11</v>
      </c>
    </row>
    <row r="7494">
      <c r="A7494" s="4" t="s">
        <v>8106</v>
      </c>
      <c r="B7494" s="16"/>
      <c r="C7494" s="12">
        <f>IFERROR(__xludf.DUMMYFUNCTION("""COMPUTED_VALUE"""),44641.49486111111)</f>
        <v>44641.49486</v>
      </c>
      <c r="D7494" s="13">
        <f t="shared" si="1"/>
        <v>21</v>
      </c>
      <c r="E7494" s="13">
        <f t="shared" si="2"/>
        <v>11</v>
      </c>
    </row>
    <row r="7495">
      <c r="A7495" s="4" t="s">
        <v>8107</v>
      </c>
      <c r="B7495" s="16"/>
      <c r="C7495" s="12">
        <f>IFERROR(__xludf.DUMMYFUNCTION("""COMPUTED_VALUE"""),44641.48601851852)</f>
        <v>44641.48602</v>
      </c>
      <c r="D7495" s="13">
        <f t="shared" si="1"/>
        <v>21</v>
      </c>
      <c r="E7495" s="13">
        <f t="shared" si="2"/>
        <v>11</v>
      </c>
    </row>
    <row r="7496">
      <c r="A7496" s="4" t="s">
        <v>8108</v>
      </c>
      <c r="B7496" s="16"/>
      <c r="C7496" s="12">
        <f>IFERROR(__xludf.DUMMYFUNCTION("""COMPUTED_VALUE"""),44641.48523148148)</f>
        <v>44641.48523</v>
      </c>
      <c r="D7496" s="13">
        <f t="shared" si="1"/>
        <v>21</v>
      </c>
      <c r="E7496" s="13">
        <f t="shared" si="2"/>
        <v>11</v>
      </c>
    </row>
    <row r="7497">
      <c r="A7497" s="4" t="s">
        <v>8109</v>
      </c>
      <c r="B7497" s="16"/>
      <c r="C7497" s="12">
        <f>IFERROR(__xludf.DUMMYFUNCTION("""COMPUTED_VALUE"""),44641.48024305555)</f>
        <v>44641.48024</v>
      </c>
      <c r="D7497" s="13">
        <f t="shared" si="1"/>
        <v>21</v>
      </c>
      <c r="E7497" s="13">
        <f t="shared" si="2"/>
        <v>11</v>
      </c>
    </row>
    <row r="7498">
      <c r="A7498" s="4" t="s">
        <v>8110</v>
      </c>
      <c r="B7498" s="16"/>
      <c r="C7498" s="12">
        <f>IFERROR(__xludf.DUMMYFUNCTION("""COMPUTED_VALUE"""),44641.47814814815)</f>
        <v>44641.47815</v>
      </c>
      <c r="D7498" s="13">
        <f t="shared" si="1"/>
        <v>21</v>
      </c>
      <c r="E7498" s="13">
        <f t="shared" si="2"/>
        <v>11</v>
      </c>
    </row>
    <row r="7499">
      <c r="A7499" s="4" t="s">
        <v>8111</v>
      </c>
      <c r="B7499" s="16"/>
      <c r="C7499" s="12">
        <f>IFERROR(__xludf.DUMMYFUNCTION("""COMPUTED_VALUE"""),44641.458148148144)</f>
        <v>44641.45815</v>
      </c>
      <c r="D7499" s="13">
        <f t="shared" si="1"/>
        <v>21</v>
      </c>
      <c r="E7499" s="13">
        <f t="shared" si="2"/>
        <v>10</v>
      </c>
    </row>
    <row r="7500">
      <c r="A7500" s="4" t="s">
        <v>8112</v>
      </c>
      <c r="B7500" s="16"/>
      <c r="C7500" s="12">
        <f>IFERROR(__xludf.DUMMYFUNCTION("""COMPUTED_VALUE"""),44641.456192129626)</f>
        <v>44641.45619</v>
      </c>
      <c r="D7500" s="13">
        <f t="shared" si="1"/>
        <v>21</v>
      </c>
      <c r="E7500" s="13">
        <f t="shared" si="2"/>
        <v>10</v>
      </c>
    </row>
    <row r="7501">
      <c r="A7501" s="4" t="s">
        <v>8113</v>
      </c>
      <c r="B7501" s="16"/>
      <c r="C7501" s="12">
        <f>IFERROR(__xludf.DUMMYFUNCTION("""COMPUTED_VALUE"""),44641.43283564815)</f>
        <v>44641.43284</v>
      </c>
      <c r="D7501" s="13">
        <f t="shared" si="1"/>
        <v>21</v>
      </c>
      <c r="E7501" s="13">
        <f t="shared" si="2"/>
        <v>10</v>
      </c>
    </row>
    <row r="7502">
      <c r="A7502" s="4" t="s">
        <v>8114</v>
      </c>
      <c r="B7502" s="16"/>
      <c r="C7502" s="12">
        <f>IFERROR(__xludf.DUMMYFUNCTION("""COMPUTED_VALUE"""),44641.42978009259)</f>
        <v>44641.42978</v>
      </c>
      <c r="D7502" s="13">
        <f t="shared" si="1"/>
        <v>21</v>
      </c>
      <c r="E7502" s="13">
        <f t="shared" si="2"/>
        <v>10</v>
      </c>
    </row>
    <row r="7503">
      <c r="A7503" s="4" t="s">
        <v>8115</v>
      </c>
      <c r="B7503" s="16"/>
      <c r="C7503" s="12">
        <f>IFERROR(__xludf.DUMMYFUNCTION("""COMPUTED_VALUE"""),44641.42829861111)</f>
        <v>44641.4283</v>
      </c>
      <c r="D7503" s="13">
        <f t="shared" si="1"/>
        <v>21</v>
      </c>
      <c r="E7503" s="13">
        <f t="shared" si="2"/>
        <v>10</v>
      </c>
    </row>
    <row r="7504">
      <c r="A7504" s="4" t="s">
        <v>8116</v>
      </c>
      <c r="B7504" s="16"/>
      <c r="C7504" s="12">
        <f>IFERROR(__xludf.DUMMYFUNCTION("""COMPUTED_VALUE"""),44641.411273148144)</f>
        <v>44641.41127</v>
      </c>
      <c r="D7504" s="13">
        <f t="shared" si="1"/>
        <v>21</v>
      </c>
      <c r="E7504" s="13">
        <f t="shared" si="2"/>
        <v>9</v>
      </c>
    </row>
    <row r="7505">
      <c r="A7505" s="4" t="s">
        <v>8117</v>
      </c>
      <c r="B7505" s="16"/>
      <c r="C7505" s="12">
        <f>IFERROR(__xludf.DUMMYFUNCTION("""COMPUTED_VALUE"""),44641.40412037037)</f>
        <v>44641.40412</v>
      </c>
      <c r="D7505" s="13">
        <f t="shared" si="1"/>
        <v>21</v>
      </c>
      <c r="E7505" s="13">
        <f t="shared" si="2"/>
        <v>9</v>
      </c>
    </row>
    <row r="7506">
      <c r="A7506" s="4" t="s">
        <v>8118</v>
      </c>
      <c r="B7506" s="16"/>
      <c r="C7506" s="12">
        <f>IFERROR(__xludf.DUMMYFUNCTION("""COMPUTED_VALUE"""),44641.36846064815)</f>
        <v>44641.36846</v>
      </c>
      <c r="D7506" s="13">
        <f t="shared" si="1"/>
        <v>21</v>
      </c>
      <c r="E7506" s="13">
        <f t="shared" si="2"/>
        <v>8</v>
      </c>
    </row>
    <row r="7507">
      <c r="A7507" s="4" t="s">
        <v>8119</v>
      </c>
      <c r="B7507" s="16"/>
      <c r="C7507" s="12">
        <f>IFERROR(__xludf.DUMMYFUNCTION("""COMPUTED_VALUE"""),44641.368055555555)</f>
        <v>44641.36806</v>
      </c>
      <c r="D7507" s="13">
        <f t="shared" si="1"/>
        <v>21</v>
      </c>
      <c r="E7507" s="13">
        <f t="shared" si="2"/>
        <v>8</v>
      </c>
    </row>
    <row r="7508">
      <c r="A7508" s="4" t="s">
        <v>8120</v>
      </c>
      <c r="B7508" s="16"/>
      <c r="C7508" s="12">
        <f>IFERROR(__xludf.DUMMYFUNCTION("""COMPUTED_VALUE"""),44641.33833333333)</f>
        <v>44641.33833</v>
      </c>
      <c r="D7508" s="13">
        <f t="shared" si="1"/>
        <v>21</v>
      </c>
      <c r="E7508" s="13">
        <f t="shared" si="2"/>
        <v>8</v>
      </c>
    </row>
    <row r="7509">
      <c r="A7509" s="4" t="s">
        <v>8121</v>
      </c>
      <c r="B7509" s="16"/>
      <c r="C7509" s="12">
        <f>IFERROR(__xludf.DUMMYFUNCTION("""COMPUTED_VALUE"""),44641.32817129629)</f>
        <v>44641.32817</v>
      </c>
      <c r="D7509" s="13">
        <f t="shared" si="1"/>
        <v>21</v>
      </c>
      <c r="E7509" s="13">
        <f t="shared" si="2"/>
        <v>7</v>
      </c>
    </row>
    <row r="7510">
      <c r="A7510" s="4" t="s">
        <v>8122</v>
      </c>
      <c r="B7510" s="16"/>
      <c r="C7510" s="12">
        <f>IFERROR(__xludf.DUMMYFUNCTION("""COMPUTED_VALUE"""),44641.326840277776)</f>
        <v>44641.32684</v>
      </c>
      <c r="D7510" s="13">
        <f t="shared" si="1"/>
        <v>21</v>
      </c>
      <c r="E7510" s="13">
        <f t="shared" si="2"/>
        <v>7</v>
      </c>
    </row>
    <row r="7511">
      <c r="A7511" s="4" t="s">
        <v>8123</v>
      </c>
      <c r="B7511" s="16"/>
      <c r="C7511" s="12">
        <f>IFERROR(__xludf.DUMMYFUNCTION("""COMPUTED_VALUE"""),44641.32314814815)</f>
        <v>44641.32315</v>
      </c>
      <c r="D7511" s="13">
        <f t="shared" si="1"/>
        <v>21</v>
      </c>
      <c r="E7511" s="13">
        <f t="shared" si="2"/>
        <v>7</v>
      </c>
    </row>
    <row r="7512">
      <c r="A7512" s="4" t="s">
        <v>8124</v>
      </c>
      <c r="B7512" s="16"/>
      <c r="C7512" s="12">
        <f>IFERROR(__xludf.DUMMYFUNCTION("""COMPUTED_VALUE"""),44641.30280092592)</f>
        <v>44641.3028</v>
      </c>
      <c r="D7512" s="13">
        <f t="shared" si="1"/>
        <v>21</v>
      </c>
      <c r="E7512" s="13">
        <f t="shared" si="2"/>
        <v>7</v>
      </c>
    </row>
    <row r="7513">
      <c r="A7513" s="4" t="s">
        <v>8125</v>
      </c>
      <c r="B7513" s="16"/>
      <c r="C7513" s="12">
        <f>IFERROR(__xludf.DUMMYFUNCTION("""COMPUTED_VALUE"""),44641.301782407405)</f>
        <v>44641.30178</v>
      </c>
      <c r="D7513" s="13">
        <f t="shared" si="1"/>
        <v>21</v>
      </c>
      <c r="E7513" s="13">
        <f t="shared" si="2"/>
        <v>7</v>
      </c>
    </row>
    <row r="7514">
      <c r="A7514" s="4" t="s">
        <v>8126</v>
      </c>
      <c r="B7514" s="16"/>
      <c r="C7514" s="12">
        <f>IFERROR(__xludf.DUMMYFUNCTION("""COMPUTED_VALUE"""),44641.29679398148)</f>
        <v>44641.29679</v>
      </c>
      <c r="D7514" s="13">
        <f t="shared" si="1"/>
        <v>21</v>
      </c>
      <c r="E7514" s="13">
        <f t="shared" si="2"/>
        <v>7</v>
      </c>
    </row>
    <row r="7515">
      <c r="A7515" s="4" t="s">
        <v>8127</v>
      </c>
      <c r="B7515" s="16"/>
      <c r="C7515" s="12">
        <f>IFERROR(__xludf.DUMMYFUNCTION("""COMPUTED_VALUE"""),44641.29616898148)</f>
        <v>44641.29617</v>
      </c>
      <c r="D7515" s="13">
        <f t="shared" si="1"/>
        <v>21</v>
      </c>
      <c r="E7515" s="13">
        <f t="shared" si="2"/>
        <v>7</v>
      </c>
    </row>
    <row r="7516">
      <c r="A7516" s="4" t="s">
        <v>8128</v>
      </c>
      <c r="B7516" s="16"/>
      <c r="C7516" s="12">
        <f>IFERROR(__xludf.DUMMYFUNCTION("""COMPUTED_VALUE"""),44641.29363425926)</f>
        <v>44641.29363</v>
      </c>
      <c r="D7516" s="13">
        <f t="shared" si="1"/>
        <v>21</v>
      </c>
      <c r="E7516" s="13">
        <f t="shared" si="2"/>
        <v>7</v>
      </c>
    </row>
    <row r="7517">
      <c r="A7517" s="4" t="s">
        <v>8129</v>
      </c>
      <c r="B7517" s="16"/>
      <c r="C7517" s="12">
        <f>IFERROR(__xludf.DUMMYFUNCTION("""COMPUTED_VALUE"""),44641.29177083333)</f>
        <v>44641.29177</v>
      </c>
      <c r="D7517" s="13">
        <f t="shared" si="1"/>
        <v>21</v>
      </c>
      <c r="E7517" s="13">
        <f t="shared" si="2"/>
        <v>7</v>
      </c>
    </row>
    <row r="7518">
      <c r="A7518" s="4" t="s">
        <v>8130</v>
      </c>
      <c r="B7518" s="16"/>
      <c r="C7518" s="12">
        <f>IFERROR(__xludf.DUMMYFUNCTION("""COMPUTED_VALUE"""),44641.29074074074)</f>
        <v>44641.29074</v>
      </c>
      <c r="D7518" s="13">
        <f t="shared" si="1"/>
        <v>21</v>
      </c>
      <c r="E7518" s="13">
        <f t="shared" si="2"/>
        <v>6</v>
      </c>
    </row>
    <row r="7519">
      <c r="A7519" s="4" t="s">
        <v>8131</v>
      </c>
      <c r="B7519" s="16"/>
      <c r="C7519" s="12">
        <f>IFERROR(__xludf.DUMMYFUNCTION("""COMPUTED_VALUE"""),44641.266921296294)</f>
        <v>44641.26692</v>
      </c>
      <c r="D7519" s="13">
        <f t="shared" si="1"/>
        <v>21</v>
      </c>
      <c r="E7519" s="13">
        <f t="shared" si="2"/>
        <v>6</v>
      </c>
    </row>
    <row r="7520">
      <c r="A7520" s="4" t="s">
        <v>8132</v>
      </c>
      <c r="B7520" s="16"/>
      <c r="C7520" s="12">
        <f>IFERROR(__xludf.DUMMYFUNCTION("""COMPUTED_VALUE"""),44641.26075231481)</f>
        <v>44641.26075</v>
      </c>
      <c r="D7520" s="13">
        <f t="shared" si="1"/>
        <v>21</v>
      </c>
      <c r="E7520" s="13">
        <f t="shared" si="2"/>
        <v>6</v>
      </c>
    </row>
    <row r="7521">
      <c r="A7521" s="4" t="s">
        <v>8133</v>
      </c>
      <c r="B7521" s="16"/>
      <c r="C7521" s="12">
        <f>IFERROR(__xludf.DUMMYFUNCTION("""COMPUTED_VALUE"""),44641.14078703703)</f>
        <v>44641.14079</v>
      </c>
      <c r="D7521" s="13">
        <f t="shared" si="1"/>
        <v>21</v>
      </c>
      <c r="E7521" s="13">
        <f t="shared" si="2"/>
        <v>3</v>
      </c>
    </row>
    <row r="7522">
      <c r="A7522" s="4" t="s">
        <v>8134</v>
      </c>
      <c r="B7522" s="16"/>
      <c r="C7522" s="12">
        <f>IFERROR(__xludf.DUMMYFUNCTION("""COMPUTED_VALUE"""),44641.140069444446)</f>
        <v>44641.14007</v>
      </c>
      <c r="D7522" s="13">
        <f t="shared" si="1"/>
        <v>21</v>
      </c>
      <c r="E7522" s="13">
        <f t="shared" si="2"/>
        <v>3</v>
      </c>
    </row>
    <row r="7523">
      <c r="A7523" s="4" t="s">
        <v>8135</v>
      </c>
      <c r="B7523" s="16"/>
      <c r="C7523" s="12">
        <f>IFERROR(__xludf.DUMMYFUNCTION("""COMPUTED_VALUE"""),44641.13251157407)</f>
        <v>44641.13251</v>
      </c>
      <c r="D7523" s="13">
        <f t="shared" si="1"/>
        <v>21</v>
      </c>
      <c r="E7523" s="13">
        <f t="shared" si="2"/>
        <v>3</v>
      </c>
    </row>
    <row r="7524">
      <c r="A7524" s="4" t="s">
        <v>8136</v>
      </c>
      <c r="B7524" s="16"/>
      <c r="C7524" s="12">
        <f>IFERROR(__xludf.DUMMYFUNCTION("""COMPUTED_VALUE"""),44641.12174768518)</f>
        <v>44641.12175</v>
      </c>
      <c r="D7524" s="13">
        <f t="shared" si="1"/>
        <v>21</v>
      </c>
      <c r="E7524" s="13">
        <f t="shared" si="2"/>
        <v>2</v>
      </c>
    </row>
    <row r="7525">
      <c r="A7525" s="4" t="s">
        <v>8137</v>
      </c>
      <c r="B7525" s="16"/>
      <c r="C7525" s="12">
        <f>IFERROR(__xludf.DUMMYFUNCTION("""COMPUTED_VALUE"""),44641.1099537037)</f>
        <v>44641.10995</v>
      </c>
      <c r="D7525" s="13">
        <f t="shared" si="1"/>
        <v>21</v>
      </c>
      <c r="E7525" s="13">
        <f t="shared" si="2"/>
        <v>2</v>
      </c>
    </row>
    <row r="7526">
      <c r="A7526" s="4" t="s">
        <v>8138</v>
      </c>
      <c r="B7526" s="16"/>
      <c r="C7526" s="12">
        <f>IFERROR(__xludf.DUMMYFUNCTION("""COMPUTED_VALUE"""),44641.090104166666)</f>
        <v>44641.0901</v>
      </c>
      <c r="D7526" s="13">
        <f t="shared" si="1"/>
        <v>21</v>
      </c>
      <c r="E7526" s="13">
        <f t="shared" si="2"/>
        <v>2</v>
      </c>
    </row>
    <row r="7527">
      <c r="A7527" s="4" t="s">
        <v>8139</v>
      </c>
      <c r="B7527" s="16"/>
      <c r="C7527" s="12">
        <f>IFERROR(__xludf.DUMMYFUNCTION("""COMPUTED_VALUE"""),44641.04649305555)</f>
        <v>44641.04649</v>
      </c>
      <c r="D7527" s="13">
        <f t="shared" si="1"/>
        <v>21</v>
      </c>
      <c r="E7527" s="13">
        <f t="shared" si="2"/>
        <v>1</v>
      </c>
    </row>
    <row r="7528">
      <c r="A7528" s="4" t="s">
        <v>8140</v>
      </c>
      <c r="B7528" s="16"/>
      <c r="C7528" s="12">
        <f>IFERROR(__xludf.DUMMYFUNCTION("""COMPUTED_VALUE"""),44641.031064814815)</f>
        <v>44641.03106</v>
      </c>
      <c r="D7528" s="13">
        <f t="shared" si="1"/>
        <v>21</v>
      </c>
      <c r="E7528" s="13">
        <f t="shared" si="2"/>
        <v>0</v>
      </c>
    </row>
    <row r="7529">
      <c r="A7529" s="4" t="s">
        <v>8141</v>
      </c>
      <c r="B7529" s="16"/>
      <c r="C7529" s="12">
        <f>IFERROR(__xludf.DUMMYFUNCTION("""COMPUTED_VALUE"""),44641.024201388886)</f>
        <v>44641.0242</v>
      </c>
      <c r="D7529" s="13">
        <f t="shared" si="1"/>
        <v>21</v>
      </c>
      <c r="E7529" s="13">
        <f t="shared" si="2"/>
        <v>0</v>
      </c>
    </row>
    <row r="7530">
      <c r="A7530" s="4" t="s">
        <v>8142</v>
      </c>
      <c r="B7530" s="16"/>
      <c r="C7530" s="12">
        <f>IFERROR(__xludf.DUMMYFUNCTION("""COMPUTED_VALUE"""),44641.02239583333)</f>
        <v>44641.0224</v>
      </c>
      <c r="D7530" s="13">
        <f t="shared" si="1"/>
        <v>21</v>
      </c>
      <c r="E7530" s="13">
        <f t="shared" si="2"/>
        <v>0</v>
      </c>
    </row>
    <row r="7531">
      <c r="A7531" s="4" t="s">
        <v>8143</v>
      </c>
      <c r="B7531" s="16"/>
      <c r="C7531" s="12">
        <f>IFERROR(__xludf.DUMMYFUNCTION("""COMPUTED_VALUE"""),44641.01962962963)</f>
        <v>44641.01963</v>
      </c>
      <c r="D7531" s="13">
        <f t="shared" si="1"/>
        <v>21</v>
      </c>
      <c r="E7531" s="13">
        <f t="shared" si="2"/>
        <v>0</v>
      </c>
    </row>
    <row r="7532">
      <c r="A7532" s="4" t="s">
        <v>8144</v>
      </c>
      <c r="B7532" s="16"/>
      <c r="C7532" s="12">
        <f>IFERROR(__xludf.DUMMYFUNCTION("""COMPUTED_VALUE"""),44640.98179398148)</f>
        <v>44640.98179</v>
      </c>
      <c r="D7532" s="13">
        <f t="shared" si="1"/>
        <v>20</v>
      </c>
      <c r="E7532" s="13">
        <f t="shared" si="2"/>
        <v>23</v>
      </c>
    </row>
    <row r="7533">
      <c r="A7533" s="4" t="s">
        <v>8145</v>
      </c>
      <c r="B7533" s="16"/>
      <c r="C7533" s="12">
        <f>IFERROR(__xludf.DUMMYFUNCTION("""COMPUTED_VALUE"""),44640.981678240736)</f>
        <v>44640.98168</v>
      </c>
      <c r="D7533" s="13">
        <f t="shared" si="1"/>
        <v>20</v>
      </c>
      <c r="E7533" s="13">
        <f t="shared" si="2"/>
        <v>23</v>
      </c>
    </row>
    <row r="7534">
      <c r="A7534" s="4" t="s">
        <v>8146</v>
      </c>
      <c r="B7534" s="16"/>
      <c r="C7534" s="12">
        <f>IFERROR(__xludf.DUMMYFUNCTION("""COMPUTED_VALUE"""),44640.96677083333)</f>
        <v>44640.96677</v>
      </c>
      <c r="D7534" s="13">
        <f t="shared" si="1"/>
        <v>20</v>
      </c>
      <c r="E7534" s="13">
        <f t="shared" si="2"/>
        <v>23</v>
      </c>
    </row>
    <row r="7535">
      <c r="A7535" s="4" t="s">
        <v>8147</v>
      </c>
      <c r="B7535" s="16"/>
      <c r="C7535" s="12">
        <f>IFERROR(__xludf.DUMMYFUNCTION("""COMPUTED_VALUE"""),44640.94302083333)</f>
        <v>44640.94302</v>
      </c>
      <c r="D7535" s="13">
        <f t="shared" si="1"/>
        <v>20</v>
      </c>
      <c r="E7535" s="13">
        <f t="shared" si="2"/>
        <v>22</v>
      </c>
    </row>
    <row r="7536">
      <c r="A7536" s="4" t="s">
        <v>8148</v>
      </c>
      <c r="B7536" s="16"/>
      <c r="C7536" s="12">
        <f>IFERROR(__xludf.DUMMYFUNCTION("""COMPUTED_VALUE"""),44640.9425462963)</f>
        <v>44640.94255</v>
      </c>
      <c r="D7536" s="13">
        <f t="shared" si="1"/>
        <v>20</v>
      </c>
      <c r="E7536" s="13">
        <f t="shared" si="2"/>
        <v>22</v>
      </c>
    </row>
    <row r="7537">
      <c r="A7537" s="4" t="s">
        <v>8149</v>
      </c>
      <c r="B7537" s="16"/>
      <c r="C7537" s="12">
        <f>IFERROR(__xludf.DUMMYFUNCTION("""COMPUTED_VALUE"""),44640.93421296296)</f>
        <v>44640.93421</v>
      </c>
      <c r="D7537" s="13">
        <f t="shared" si="1"/>
        <v>20</v>
      </c>
      <c r="E7537" s="13">
        <f t="shared" si="2"/>
        <v>22</v>
      </c>
    </row>
    <row r="7538">
      <c r="A7538" s="4" t="s">
        <v>8150</v>
      </c>
      <c r="B7538" s="16"/>
      <c r="C7538" s="12">
        <f>IFERROR(__xludf.DUMMYFUNCTION("""COMPUTED_VALUE"""),44640.905960648146)</f>
        <v>44640.90596</v>
      </c>
      <c r="D7538" s="13">
        <f t="shared" si="1"/>
        <v>20</v>
      </c>
      <c r="E7538" s="13">
        <f t="shared" si="2"/>
        <v>21</v>
      </c>
    </row>
    <row r="7539">
      <c r="A7539" s="4" t="s">
        <v>8151</v>
      </c>
      <c r="B7539" s="16"/>
      <c r="C7539" s="12">
        <f>IFERROR(__xludf.DUMMYFUNCTION("""COMPUTED_VALUE"""),44640.89907407407)</f>
        <v>44640.89907</v>
      </c>
      <c r="D7539" s="13">
        <f t="shared" si="1"/>
        <v>20</v>
      </c>
      <c r="E7539" s="13">
        <f t="shared" si="2"/>
        <v>21</v>
      </c>
    </row>
    <row r="7540">
      <c r="A7540" s="4" t="s">
        <v>8152</v>
      </c>
      <c r="B7540" s="16"/>
      <c r="C7540" s="12">
        <f>IFERROR(__xludf.DUMMYFUNCTION("""COMPUTED_VALUE"""),44640.89025462963)</f>
        <v>44640.89025</v>
      </c>
      <c r="D7540" s="13">
        <f t="shared" si="1"/>
        <v>20</v>
      </c>
      <c r="E7540" s="13">
        <f t="shared" si="2"/>
        <v>21</v>
      </c>
    </row>
    <row r="7541">
      <c r="A7541" s="4" t="s">
        <v>8153</v>
      </c>
      <c r="B7541" s="16"/>
      <c r="C7541" s="12">
        <f>IFERROR(__xludf.DUMMYFUNCTION("""COMPUTED_VALUE"""),44640.88731481481)</f>
        <v>44640.88731</v>
      </c>
      <c r="D7541" s="13">
        <f t="shared" si="1"/>
        <v>20</v>
      </c>
      <c r="E7541" s="13">
        <f t="shared" si="2"/>
        <v>21</v>
      </c>
    </row>
    <row r="7542">
      <c r="A7542" s="4" t="s">
        <v>8154</v>
      </c>
      <c r="B7542" s="16"/>
      <c r="C7542" s="12">
        <f>IFERROR(__xludf.DUMMYFUNCTION("""COMPUTED_VALUE"""),44640.880532407406)</f>
        <v>44640.88053</v>
      </c>
      <c r="D7542" s="13">
        <f t="shared" si="1"/>
        <v>20</v>
      </c>
      <c r="E7542" s="13">
        <f t="shared" si="2"/>
        <v>21</v>
      </c>
    </row>
    <row r="7543">
      <c r="A7543" s="4" t="s">
        <v>8155</v>
      </c>
      <c r="B7543" s="16"/>
      <c r="C7543" s="12">
        <f>IFERROR(__xludf.DUMMYFUNCTION("""COMPUTED_VALUE"""),44640.87609953703)</f>
        <v>44640.8761</v>
      </c>
      <c r="D7543" s="13">
        <f t="shared" si="1"/>
        <v>20</v>
      </c>
      <c r="E7543" s="13">
        <f t="shared" si="2"/>
        <v>21</v>
      </c>
    </row>
    <row r="7544">
      <c r="A7544" s="4" t="s">
        <v>8156</v>
      </c>
      <c r="B7544" s="16"/>
      <c r="C7544" s="12">
        <f>IFERROR(__xludf.DUMMYFUNCTION("""COMPUTED_VALUE"""),44640.871620370366)</f>
        <v>44640.87162</v>
      </c>
      <c r="D7544" s="13">
        <f t="shared" si="1"/>
        <v>20</v>
      </c>
      <c r="E7544" s="13">
        <f t="shared" si="2"/>
        <v>20</v>
      </c>
    </row>
    <row r="7545">
      <c r="A7545" s="4" t="s">
        <v>8157</v>
      </c>
      <c r="B7545" s="16"/>
      <c r="C7545" s="12">
        <f>IFERROR(__xludf.DUMMYFUNCTION("""COMPUTED_VALUE"""),44640.87118055555)</f>
        <v>44640.87118</v>
      </c>
      <c r="D7545" s="13">
        <f t="shared" si="1"/>
        <v>20</v>
      </c>
      <c r="E7545" s="13">
        <f t="shared" si="2"/>
        <v>20</v>
      </c>
    </row>
    <row r="7546">
      <c r="A7546" s="4" t="s">
        <v>8158</v>
      </c>
      <c r="B7546" s="16"/>
      <c r="C7546" s="12">
        <f>IFERROR(__xludf.DUMMYFUNCTION("""COMPUTED_VALUE"""),44640.867314814815)</f>
        <v>44640.86731</v>
      </c>
      <c r="D7546" s="13">
        <f t="shared" si="1"/>
        <v>20</v>
      </c>
      <c r="E7546" s="13">
        <f t="shared" si="2"/>
        <v>20</v>
      </c>
    </row>
    <row r="7547">
      <c r="A7547" s="4" t="s">
        <v>8159</v>
      </c>
      <c r="B7547" s="16"/>
      <c r="C7547" s="12">
        <f>IFERROR(__xludf.DUMMYFUNCTION("""COMPUTED_VALUE"""),44640.866875)</f>
        <v>44640.86688</v>
      </c>
      <c r="D7547" s="13">
        <f t="shared" si="1"/>
        <v>20</v>
      </c>
      <c r="E7547" s="13">
        <f t="shared" si="2"/>
        <v>20</v>
      </c>
    </row>
    <row r="7548">
      <c r="A7548" s="4" t="s">
        <v>8160</v>
      </c>
      <c r="B7548" s="16"/>
      <c r="C7548" s="12">
        <f>IFERROR(__xludf.DUMMYFUNCTION("""COMPUTED_VALUE"""),44640.8653125)</f>
        <v>44640.86531</v>
      </c>
      <c r="D7548" s="13">
        <f t="shared" si="1"/>
        <v>20</v>
      </c>
      <c r="E7548" s="13">
        <f t="shared" si="2"/>
        <v>20</v>
      </c>
    </row>
    <row r="7549">
      <c r="A7549" s="4" t="s">
        <v>8161</v>
      </c>
      <c r="B7549" s="16"/>
      <c r="C7549" s="12">
        <f>IFERROR(__xludf.DUMMYFUNCTION("""COMPUTED_VALUE"""),44640.862349537034)</f>
        <v>44640.86235</v>
      </c>
      <c r="D7549" s="13">
        <f t="shared" si="1"/>
        <v>20</v>
      </c>
      <c r="E7549" s="13">
        <f t="shared" si="2"/>
        <v>20</v>
      </c>
    </row>
    <row r="7550">
      <c r="A7550" s="4" t="s">
        <v>8162</v>
      </c>
      <c r="B7550" s="16"/>
      <c r="C7550" s="12">
        <f>IFERROR(__xludf.DUMMYFUNCTION("""COMPUTED_VALUE"""),44640.85677083333)</f>
        <v>44640.85677</v>
      </c>
      <c r="D7550" s="13">
        <f t="shared" si="1"/>
        <v>20</v>
      </c>
      <c r="E7550" s="13">
        <f t="shared" si="2"/>
        <v>20</v>
      </c>
    </row>
    <row r="7551">
      <c r="A7551" s="4" t="s">
        <v>8163</v>
      </c>
      <c r="B7551" s="16"/>
      <c r="C7551" s="12">
        <f>IFERROR(__xludf.DUMMYFUNCTION("""COMPUTED_VALUE"""),44640.85550925926)</f>
        <v>44640.85551</v>
      </c>
      <c r="D7551" s="13">
        <f t="shared" si="1"/>
        <v>20</v>
      </c>
      <c r="E7551" s="13">
        <f t="shared" si="2"/>
        <v>20</v>
      </c>
    </row>
    <row r="7552">
      <c r="A7552" s="4" t="s">
        <v>8164</v>
      </c>
      <c r="B7552" s="16"/>
      <c r="C7552" s="12">
        <f>IFERROR(__xludf.DUMMYFUNCTION("""COMPUTED_VALUE"""),44640.85239583333)</f>
        <v>44640.8524</v>
      </c>
      <c r="D7552" s="13">
        <f t="shared" si="1"/>
        <v>20</v>
      </c>
      <c r="E7552" s="13">
        <f t="shared" si="2"/>
        <v>20</v>
      </c>
    </row>
    <row r="7553">
      <c r="A7553" s="4" t="s">
        <v>8165</v>
      </c>
      <c r="B7553" s="16"/>
      <c r="C7553" s="12">
        <f>IFERROR(__xludf.DUMMYFUNCTION("""COMPUTED_VALUE"""),44640.84943287037)</f>
        <v>44640.84943</v>
      </c>
      <c r="D7553" s="13">
        <f t="shared" si="1"/>
        <v>20</v>
      </c>
      <c r="E7553" s="13">
        <f t="shared" si="2"/>
        <v>20</v>
      </c>
    </row>
    <row r="7554">
      <c r="A7554" s="4" t="s">
        <v>8166</v>
      </c>
      <c r="B7554" s="16"/>
      <c r="C7554" s="12">
        <f>IFERROR(__xludf.DUMMYFUNCTION("""COMPUTED_VALUE"""),44640.846192129626)</f>
        <v>44640.84619</v>
      </c>
      <c r="D7554" s="13">
        <f t="shared" si="1"/>
        <v>20</v>
      </c>
      <c r="E7554" s="13">
        <f t="shared" si="2"/>
        <v>20</v>
      </c>
    </row>
    <row r="7555">
      <c r="A7555" s="4" t="s">
        <v>8167</v>
      </c>
      <c r="B7555" s="16"/>
      <c r="C7555" s="12">
        <f>IFERROR(__xludf.DUMMYFUNCTION("""COMPUTED_VALUE"""),44640.84516203703)</f>
        <v>44640.84516</v>
      </c>
      <c r="D7555" s="13">
        <f t="shared" si="1"/>
        <v>20</v>
      </c>
      <c r="E7555" s="13">
        <f t="shared" si="2"/>
        <v>20</v>
      </c>
    </row>
    <row r="7556">
      <c r="A7556" s="4" t="s">
        <v>8168</v>
      </c>
      <c r="B7556" s="16"/>
      <c r="C7556" s="12">
        <f>IFERROR(__xludf.DUMMYFUNCTION("""COMPUTED_VALUE"""),44640.84233796296)</f>
        <v>44640.84234</v>
      </c>
      <c r="D7556" s="13">
        <f t="shared" si="1"/>
        <v>20</v>
      </c>
      <c r="E7556" s="13">
        <f t="shared" si="2"/>
        <v>20</v>
      </c>
    </row>
    <row r="7557">
      <c r="A7557" s="4" t="s">
        <v>8169</v>
      </c>
      <c r="B7557" s="16"/>
      <c r="C7557" s="12">
        <f>IFERROR(__xludf.DUMMYFUNCTION("""COMPUTED_VALUE"""),44640.84193287037)</f>
        <v>44640.84193</v>
      </c>
      <c r="D7557" s="13">
        <f t="shared" si="1"/>
        <v>20</v>
      </c>
      <c r="E7557" s="13">
        <f t="shared" si="2"/>
        <v>20</v>
      </c>
    </row>
    <row r="7558">
      <c r="A7558" s="4" t="s">
        <v>8170</v>
      </c>
      <c r="B7558" s="16"/>
      <c r="C7558" s="12">
        <f>IFERROR(__xludf.DUMMYFUNCTION("""COMPUTED_VALUE"""),44640.83635416666)</f>
        <v>44640.83635</v>
      </c>
      <c r="D7558" s="13">
        <f t="shared" si="1"/>
        <v>20</v>
      </c>
      <c r="E7558" s="13">
        <f t="shared" si="2"/>
        <v>20</v>
      </c>
    </row>
    <row r="7559">
      <c r="A7559" s="4" t="s">
        <v>8171</v>
      </c>
      <c r="B7559" s="16"/>
      <c r="C7559" s="12">
        <f>IFERROR(__xludf.DUMMYFUNCTION("""COMPUTED_VALUE"""),44640.835868055554)</f>
        <v>44640.83587</v>
      </c>
      <c r="D7559" s="13">
        <f t="shared" si="1"/>
        <v>20</v>
      </c>
      <c r="E7559" s="13">
        <f t="shared" si="2"/>
        <v>20</v>
      </c>
    </row>
    <row r="7560">
      <c r="A7560" s="4" t="s">
        <v>8172</v>
      </c>
      <c r="B7560" s="16"/>
      <c r="C7560" s="12">
        <f>IFERROR(__xludf.DUMMYFUNCTION("""COMPUTED_VALUE"""),44640.83577546296)</f>
        <v>44640.83578</v>
      </c>
      <c r="D7560" s="13">
        <f t="shared" si="1"/>
        <v>20</v>
      </c>
      <c r="E7560" s="13">
        <f t="shared" si="2"/>
        <v>20</v>
      </c>
    </row>
    <row r="7561">
      <c r="A7561" s="4" t="s">
        <v>8173</v>
      </c>
      <c r="B7561" s="16"/>
      <c r="C7561" s="12">
        <f>IFERROR(__xludf.DUMMYFUNCTION("""COMPUTED_VALUE"""),44640.817199074074)</f>
        <v>44640.8172</v>
      </c>
      <c r="D7561" s="13">
        <f t="shared" si="1"/>
        <v>20</v>
      </c>
      <c r="E7561" s="13">
        <f t="shared" si="2"/>
        <v>19</v>
      </c>
    </row>
    <row r="7562">
      <c r="A7562" s="4" t="s">
        <v>8174</v>
      </c>
      <c r="B7562" s="16"/>
      <c r="C7562" s="12">
        <f>IFERROR(__xludf.DUMMYFUNCTION("""COMPUTED_VALUE"""),44640.80155092592)</f>
        <v>44640.80155</v>
      </c>
      <c r="D7562" s="13">
        <f t="shared" si="1"/>
        <v>20</v>
      </c>
      <c r="E7562" s="13">
        <f t="shared" si="2"/>
        <v>19</v>
      </c>
    </row>
    <row r="7563">
      <c r="A7563" s="4" t="s">
        <v>8175</v>
      </c>
      <c r="B7563" s="16"/>
      <c r="C7563" s="12">
        <f>IFERROR(__xludf.DUMMYFUNCTION("""COMPUTED_VALUE"""),44640.800624999996)</f>
        <v>44640.80063</v>
      </c>
      <c r="D7563" s="13">
        <f t="shared" si="1"/>
        <v>20</v>
      </c>
      <c r="E7563" s="13">
        <f t="shared" si="2"/>
        <v>19</v>
      </c>
    </row>
    <row r="7564">
      <c r="A7564" s="4" t="s">
        <v>8176</v>
      </c>
      <c r="B7564" s="16"/>
      <c r="C7564" s="12">
        <f>IFERROR(__xludf.DUMMYFUNCTION("""COMPUTED_VALUE"""),44640.75520833333)</f>
        <v>44640.75521</v>
      </c>
      <c r="D7564" s="13">
        <f t="shared" si="1"/>
        <v>20</v>
      </c>
      <c r="E7564" s="13">
        <f t="shared" si="2"/>
        <v>18</v>
      </c>
    </row>
    <row r="7565">
      <c r="A7565" s="4" t="s">
        <v>8177</v>
      </c>
      <c r="B7565" s="16"/>
      <c r="C7565" s="12">
        <f>IFERROR(__xludf.DUMMYFUNCTION("""COMPUTED_VALUE"""),44640.722407407404)</f>
        <v>44640.72241</v>
      </c>
      <c r="D7565" s="13">
        <f t="shared" si="1"/>
        <v>20</v>
      </c>
      <c r="E7565" s="13">
        <f t="shared" si="2"/>
        <v>17</v>
      </c>
    </row>
    <row r="7566">
      <c r="A7566" s="4" t="s">
        <v>8178</v>
      </c>
      <c r="B7566" s="16"/>
      <c r="C7566" s="12">
        <f>IFERROR(__xludf.DUMMYFUNCTION("""COMPUTED_VALUE"""),44640.710960648146)</f>
        <v>44640.71096</v>
      </c>
      <c r="D7566" s="13">
        <f t="shared" si="1"/>
        <v>20</v>
      </c>
      <c r="E7566" s="13">
        <f t="shared" si="2"/>
        <v>17</v>
      </c>
    </row>
    <row r="7567">
      <c r="A7567" s="4" t="s">
        <v>8179</v>
      </c>
      <c r="B7567" s="16"/>
      <c r="C7567" s="12">
        <f>IFERROR(__xludf.DUMMYFUNCTION("""COMPUTED_VALUE"""),44640.708657407406)</f>
        <v>44640.70866</v>
      </c>
      <c r="D7567" s="13">
        <f t="shared" si="1"/>
        <v>20</v>
      </c>
      <c r="E7567" s="13">
        <f t="shared" si="2"/>
        <v>17</v>
      </c>
    </row>
    <row r="7568">
      <c r="A7568" s="4" t="s">
        <v>8180</v>
      </c>
      <c r="B7568" s="16"/>
      <c r="C7568" s="12">
        <f>IFERROR(__xludf.DUMMYFUNCTION("""COMPUTED_VALUE"""),44640.66192129629)</f>
        <v>44640.66192</v>
      </c>
      <c r="D7568" s="13">
        <f t="shared" si="1"/>
        <v>20</v>
      </c>
      <c r="E7568" s="13">
        <f t="shared" si="2"/>
        <v>15</v>
      </c>
    </row>
    <row r="7569">
      <c r="A7569" s="4" t="s">
        <v>8181</v>
      </c>
      <c r="B7569" s="16"/>
      <c r="C7569" s="12">
        <f>IFERROR(__xludf.DUMMYFUNCTION("""COMPUTED_VALUE"""),44640.660902777774)</f>
        <v>44640.6609</v>
      </c>
      <c r="D7569" s="13">
        <f t="shared" si="1"/>
        <v>20</v>
      </c>
      <c r="E7569" s="13">
        <f t="shared" si="2"/>
        <v>15</v>
      </c>
    </row>
    <row r="7570">
      <c r="A7570" s="4" t="s">
        <v>8182</v>
      </c>
      <c r="B7570" s="16"/>
      <c r="C7570" s="12">
        <f>IFERROR(__xludf.DUMMYFUNCTION("""COMPUTED_VALUE"""),44640.639293981476)</f>
        <v>44640.63929</v>
      </c>
      <c r="D7570" s="13">
        <f t="shared" si="1"/>
        <v>20</v>
      </c>
      <c r="E7570" s="13">
        <f t="shared" si="2"/>
        <v>15</v>
      </c>
    </row>
    <row r="7571">
      <c r="A7571" s="4" t="s">
        <v>8183</v>
      </c>
      <c r="B7571" s="16"/>
      <c r="C7571" s="12">
        <f>IFERROR(__xludf.DUMMYFUNCTION("""COMPUTED_VALUE"""),44640.63603009259)</f>
        <v>44640.63603</v>
      </c>
      <c r="D7571" s="13">
        <f t="shared" si="1"/>
        <v>20</v>
      </c>
      <c r="E7571" s="13">
        <f t="shared" si="2"/>
        <v>15</v>
      </c>
    </row>
    <row r="7572">
      <c r="A7572" s="4" t="s">
        <v>8184</v>
      </c>
      <c r="B7572" s="16"/>
      <c r="C7572" s="12">
        <f>IFERROR(__xludf.DUMMYFUNCTION("""COMPUTED_VALUE"""),44640.63173611111)</f>
        <v>44640.63174</v>
      </c>
      <c r="D7572" s="13">
        <f t="shared" si="1"/>
        <v>20</v>
      </c>
      <c r="E7572" s="13">
        <f t="shared" si="2"/>
        <v>15</v>
      </c>
    </row>
    <row r="7573">
      <c r="A7573" s="4" t="s">
        <v>8185</v>
      </c>
      <c r="B7573" s="16"/>
      <c r="C7573" s="12">
        <f>IFERROR(__xludf.DUMMYFUNCTION("""COMPUTED_VALUE"""),44640.62788194444)</f>
        <v>44640.62788</v>
      </c>
      <c r="D7573" s="13">
        <f t="shared" si="1"/>
        <v>20</v>
      </c>
      <c r="E7573" s="13">
        <f t="shared" si="2"/>
        <v>15</v>
      </c>
    </row>
    <row r="7574">
      <c r="A7574" s="4" t="s">
        <v>8186</v>
      </c>
      <c r="B7574" s="16"/>
      <c r="C7574" s="12">
        <f>IFERROR(__xludf.DUMMYFUNCTION("""COMPUTED_VALUE"""),44640.62724537037)</f>
        <v>44640.62725</v>
      </c>
      <c r="D7574" s="13">
        <f t="shared" si="1"/>
        <v>20</v>
      </c>
      <c r="E7574" s="13">
        <f t="shared" si="2"/>
        <v>15</v>
      </c>
    </row>
    <row r="7575">
      <c r="A7575" s="4" t="s">
        <v>8187</v>
      </c>
      <c r="B7575" s="16"/>
      <c r="C7575" s="12">
        <f>IFERROR(__xludf.DUMMYFUNCTION("""COMPUTED_VALUE"""),44640.60848379629)</f>
        <v>44640.60848</v>
      </c>
      <c r="D7575" s="13">
        <f t="shared" si="1"/>
        <v>20</v>
      </c>
      <c r="E7575" s="13">
        <f t="shared" si="2"/>
        <v>14</v>
      </c>
    </row>
    <row r="7576">
      <c r="A7576" s="4" t="s">
        <v>8188</v>
      </c>
      <c r="B7576" s="16"/>
      <c r="C7576" s="12">
        <f>IFERROR(__xludf.DUMMYFUNCTION("""COMPUTED_VALUE"""),44640.60829861111)</f>
        <v>44640.6083</v>
      </c>
      <c r="D7576" s="13">
        <f t="shared" si="1"/>
        <v>20</v>
      </c>
      <c r="E7576" s="13">
        <f t="shared" si="2"/>
        <v>14</v>
      </c>
    </row>
    <row r="7577">
      <c r="A7577" s="4" t="s">
        <v>8189</v>
      </c>
      <c r="B7577" s="16"/>
      <c r="C7577" s="12">
        <f>IFERROR(__xludf.DUMMYFUNCTION("""COMPUTED_VALUE"""),44640.58902777777)</f>
        <v>44640.58903</v>
      </c>
      <c r="D7577" s="13">
        <f t="shared" si="1"/>
        <v>20</v>
      </c>
      <c r="E7577" s="13">
        <f t="shared" si="2"/>
        <v>14</v>
      </c>
    </row>
    <row r="7578">
      <c r="A7578" s="4" t="s">
        <v>8190</v>
      </c>
      <c r="B7578" s="16"/>
      <c r="C7578" s="12">
        <f>IFERROR(__xludf.DUMMYFUNCTION("""COMPUTED_VALUE"""),44640.57247685185)</f>
        <v>44640.57248</v>
      </c>
      <c r="D7578" s="13">
        <f t="shared" si="1"/>
        <v>20</v>
      </c>
      <c r="E7578" s="13">
        <f t="shared" si="2"/>
        <v>13</v>
      </c>
    </row>
    <row r="7579">
      <c r="A7579" s="4" t="s">
        <v>8191</v>
      </c>
      <c r="B7579" s="16"/>
      <c r="C7579" s="12">
        <f>IFERROR(__xludf.DUMMYFUNCTION("""COMPUTED_VALUE"""),44640.55741898148)</f>
        <v>44640.55742</v>
      </c>
      <c r="D7579" s="13">
        <f t="shared" si="1"/>
        <v>20</v>
      </c>
      <c r="E7579" s="13">
        <f t="shared" si="2"/>
        <v>13</v>
      </c>
    </row>
    <row r="7580">
      <c r="A7580" s="4" t="s">
        <v>8192</v>
      </c>
      <c r="B7580" s="16"/>
      <c r="C7580" s="12">
        <f>IFERROR(__xludf.DUMMYFUNCTION("""COMPUTED_VALUE"""),44640.52340277778)</f>
        <v>44640.5234</v>
      </c>
      <c r="D7580" s="13">
        <f t="shared" si="1"/>
        <v>20</v>
      </c>
      <c r="E7580" s="13">
        <f t="shared" si="2"/>
        <v>12</v>
      </c>
    </row>
    <row r="7581">
      <c r="A7581" s="4" t="s">
        <v>8193</v>
      </c>
      <c r="B7581" s="16"/>
      <c r="C7581" s="12">
        <f>IFERROR(__xludf.DUMMYFUNCTION("""COMPUTED_VALUE"""),44640.51546296296)</f>
        <v>44640.51546</v>
      </c>
      <c r="D7581" s="13">
        <f t="shared" si="1"/>
        <v>20</v>
      </c>
      <c r="E7581" s="13">
        <f t="shared" si="2"/>
        <v>12</v>
      </c>
    </row>
    <row r="7582">
      <c r="A7582" s="4" t="s">
        <v>8194</v>
      </c>
      <c r="B7582" s="16"/>
      <c r="C7582" s="12">
        <f>IFERROR(__xludf.DUMMYFUNCTION("""COMPUTED_VALUE"""),44640.50719907407)</f>
        <v>44640.5072</v>
      </c>
      <c r="D7582" s="13">
        <f t="shared" si="1"/>
        <v>20</v>
      </c>
      <c r="E7582" s="13">
        <f t="shared" si="2"/>
        <v>12</v>
      </c>
    </row>
    <row r="7583">
      <c r="A7583" s="4" t="s">
        <v>8195</v>
      </c>
      <c r="B7583" s="16"/>
      <c r="C7583" s="12">
        <f>IFERROR(__xludf.DUMMYFUNCTION("""COMPUTED_VALUE"""),44640.48585648148)</f>
        <v>44640.48586</v>
      </c>
      <c r="D7583" s="13">
        <f t="shared" si="1"/>
        <v>20</v>
      </c>
      <c r="E7583" s="13">
        <f t="shared" si="2"/>
        <v>11</v>
      </c>
    </row>
    <row r="7584">
      <c r="A7584" s="4" t="s">
        <v>8196</v>
      </c>
      <c r="B7584" s="16"/>
      <c r="C7584" s="12">
        <f>IFERROR(__xludf.DUMMYFUNCTION("""COMPUTED_VALUE"""),44640.441296296296)</f>
        <v>44640.4413</v>
      </c>
      <c r="D7584" s="13">
        <f t="shared" si="1"/>
        <v>20</v>
      </c>
      <c r="E7584" s="13">
        <f t="shared" si="2"/>
        <v>10</v>
      </c>
    </row>
    <row r="7585">
      <c r="A7585" s="4" t="s">
        <v>8197</v>
      </c>
      <c r="B7585" s="16"/>
      <c r="C7585" s="12">
        <f>IFERROR(__xludf.DUMMYFUNCTION("""COMPUTED_VALUE"""),44640.43137731481)</f>
        <v>44640.43138</v>
      </c>
      <c r="D7585" s="13">
        <f t="shared" si="1"/>
        <v>20</v>
      </c>
      <c r="E7585" s="13">
        <f t="shared" si="2"/>
        <v>10</v>
      </c>
    </row>
    <row r="7586">
      <c r="A7586" s="4" t="s">
        <v>8198</v>
      </c>
      <c r="B7586" s="16"/>
      <c r="C7586" s="12">
        <f>IFERROR(__xludf.DUMMYFUNCTION("""COMPUTED_VALUE"""),44640.41841435185)</f>
        <v>44640.41841</v>
      </c>
      <c r="D7586" s="13">
        <f t="shared" si="1"/>
        <v>20</v>
      </c>
      <c r="E7586" s="13">
        <f t="shared" si="2"/>
        <v>10</v>
      </c>
    </row>
    <row r="7587">
      <c r="A7587" s="4" t="s">
        <v>8199</v>
      </c>
      <c r="B7587" s="16"/>
      <c r="C7587" s="12">
        <f>IFERROR(__xludf.DUMMYFUNCTION("""COMPUTED_VALUE"""),44640.404548611106)</f>
        <v>44640.40455</v>
      </c>
      <c r="D7587" s="13">
        <f t="shared" si="1"/>
        <v>20</v>
      </c>
      <c r="E7587" s="13">
        <f t="shared" si="2"/>
        <v>9</v>
      </c>
    </row>
    <row r="7588">
      <c r="A7588" s="4" t="s">
        <v>8200</v>
      </c>
      <c r="B7588" s="16"/>
      <c r="C7588" s="12">
        <f>IFERROR(__xludf.DUMMYFUNCTION("""COMPUTED_VALUE"""),44640.39003472222)</f>
        <v>44640.39003</v>
      </c>
      <c r="D7588" s="13">
        <f t="shared" si="1"/>
        <v>20</v>
      </c>
      <c r="E7588" s="13">
        <f t="shared" si="2"/>
        <v>9</v>
      </c>
    </row>
    <row r="7589">
      <c r="A7589" s="4" t="s">
        <v>8201</v>
      </c>
      <c r="B7589" s="16"/>
      <c r="C7589" s="12">
        <f>IFERROR(__xludf.DUMMYFUNCTION("""COMPUTED_VALUE"""),44640.379375)</f>
        <v>44640.37938</v>
      </c>
      <c r="D7589" s="13">
        <f t="shared" si="1"/>
        <v>20</v>
      </c>
      <c r="E7589" s="13">
        <f t="shared" si="2"/>
        <v>9</v>
      </c>
    </row>
    <row r="7590">
      <c r="A7590" s="4" t="s">
        <v>8202</v>
      </c>
      <c r="B7590" s="16"/>
      <c r="C7590" s="12">
        <f>IFERROR(__xludf.DUMMYFUNCTION("""COMPUTED_VALUE"""),44640.37517361111)</f>
        <v>44640.37517</v>
      </c>
      <c r="D7590" s="13">
        <f t="shared" si="1"/>
        <v>20</v>
      </c>
      <c r="E7590" s="13">
        <f t="shared" si="2"/>
        <v>9</v>
      </c>
    </row>
    <row r="7591">
      <c r="A7591" s="4" t="s">
        <v>8203</v>
      </c>
      <c r="B7591" s="16"/>
      <c r="C7591" s="12">
        <f>IFERROR(__xludf.DUMMYFUNCTION("""COMPUTED_VALUE"""),44640.375)</f>
        <v>44640.375</v>
      </c>
      <c r="D7591" s="13">
        <f t="shared" si="1"/>
        <v>20</v>
      </c>
      <c r="E7591" s="13">
        <f t="shared" si="2"/>
        <v>9</v>
      </c>
    </row>
    <row r="7592">
      <c r="A7592" s="4" t="s">
        <v>8204</v>
      </c>
      <c r="B7592" s="16"/>
      <c r="C7592" s="12">
        <f>IFERROR(__xludf.DUMMYFUNCTION("""COMPUTED_VALUE"""),44640.36537037037)</f>
        <v>44640.36537</v>
      </c>
      <c r="D7592" s="13">
        <f t="shared" si="1"/>
        <v>20</v>
      </c>
      <c r="E7592" s="13">
        <f t="shared" si="2"/>
        <v>8</v>
      </c>
    </row>
    <row r="7593">
      <c r="A7593" s="4" t="s">
        <v>8205</v>
      </c>
      <c r="B7593" s="16"/>
      <c r="C7593" s="12">
        <f>IFERROR(__xludf.DUMMYFUNCTION("""COMPUTED_VALUE"""),44640.36226851852)</f>
        <v>44640.36227</v>
      </c>
      <c r="D7593" s="13">
        <f t="shared" si="1"/>
        <v>20</v>
      </c>
      <c r="E7593" s="13">
        <f t="shared" si="2"/>
        <v>8</v>
      </c>
    </row>
    <row r="7594">
      <c r="A7594" s="4" t="s">
        <v>8206</v>
      </c>
      <c r="B7594" s="16"/>
      <c r="C7594" s="12">
        <f>IFERROR(__xludf.DUMMYFUNCTION("""COMPUTED_VALUE"""),44640.348032407404)</f>
        <v>44640.34803</v>
      </c>
      <c r="D7594" s="13">
        <f t="shared" si="1"/>
        <v>20</v>
      </c>
      <c r="E7594" s="13">
        <f t="shared" si="2"/>
        <v>8</v>
      </c>
    </row>
    <row r="7595">
      <c r="A7595" s="4" t="s">
        <v>8207</v>
      </c>
      <c r="B7595" s="16"/>
      <c r="C7595" s="12">
        <f>IFERROR(__xludf.DUMMYFUNCTION("""COMPUTED_VALUE"""),44640.33494212963)</f>
        <v>44640.33494</v>
      </c>
      <c r="D7595" s="13">
        <f t="shared" si="1"/>
        <v>20</v>
      </c>
      <c r="E7595" s="13">
        <f t="shared" si="2"/>
        <v>8</v>
      </c>
    </row>
    <row r="7596">
      <c r="A7596" s="4" t="s">
        <v>8208</v>
      </c>
      <c r="B7596" s="16"/>
      <c r="C7596" s="12">
        <f>IFERROR(__xludf.DUMMYFUNCTION("""COMPUTED_VALUE"""),44640.3325462963)</f>
        <v>44640.33255</v>
      </c>
      <c r="D7596" s="13">
        <f t="shared" si="1"/>
        <v>20</v>
      </c>
      <c r="E7596" s="13">
        <f t="shared" si="2"/>
        <v>7</v>
      </c>
    </row>
    <row r="7597">
      <c r="A7597" s="4" t="s">
        <v>8209</v>
      </c>
      <c r="B7597" s="16"/>
      <c r="C7597" s="12">
        <f>IFERROR(__xludf.DUMMYFUNCTION("""COMPUTED_VALUE"""),44640.32571759259)</f>
        <v>44640.32572</v>
      </c>
      <c r="D7597" s="13">
        <f t="shared" si="1"/>
        <v>20</v>
      </c>
      <c r="E7597" s="13">
        <f t="shared" si="2"/>
        <v>7</v>
      </c>
    </row>
    <row r="7598">
      <c r="A7598" s="4" t="s">
        <v>8210</v>
      </c>
      <c r="B7598" s="16"/>
      <c r="C7598" s="12">
        <f>IFERROR(__xludf.DUMMYFUNCTION("""COMPUTED_VALUE"""),44640.32488425926)</f>
        <v>44640.32488</v>
      </c>
      <c r="D7598" s="13">
        <f t="shared" si="1"/>
        <v>20</v>
      </c>
      <c r="E7598" s="13">
        <f t="shared" si="2"/>
        <v>7</v>
      </c>
    </row>
    <row r="7599">
      <c r="A7599" s="4" t="s">
        <v>8211</v>
      </c>
      <c r="B7599" s="16"/>
      <c r="C7599" s="12">
        <f>IFERROR(__xludf.DUMMYFUNCTION("""COMPUTED_VALUE"""),44640.32457175926)</f>
        <v>44640.32457</v>
      </c>
      <c r="D7599" s="13">
        <f t="shared" si="1"/>
        <v>20</v>
      </c>
      <c r="E7599" s="13">
        <f t="shared" si="2"/>
        <v>7</v>
      </c>
    </row>
    <row r="7600">
      <c r="A7600" s="4" t="s">
        <v>8212</v>
      </c>
      <c r="B7600" s="16"/>
      <c r="C7600" s="12">
        <f>IFERROR(__xludf.DUMMYFUNCTION("""COMPUTED_VALUE"""),44640.280185185184)</f>
        <v>44640.28019</v>
      </c>
      <c r="D7600" s="13">
        <f t="shared" si="1"/>
        <v>20</v>
      </c>
      <c r="E7600" s="13">
        <f t="shared" si="2"/>
        <v>6</v>
      </c>
    </row>
    <row r="7601">
      <c r="A7601" s="4" t="s">
        <v>8213</v>
      </c>
      <c r="B7601" s="16"/>
      <c r="C7601" s="12">
        <f>IFERROR(__xludf.DUMMYFUNCTION("""COMPUTED_VALUE"""),44640.27815972222)</f>
        <v>44640.27816</v>
      </c>
      <c r="D7601" s="13">
        <f t="shared" si="1"/>
        <v>20</v>
      </c>
      <c r="E7601" s="13">
        <f t="shared" si="2"/>
        <v>6</v>
      </c>
    </row>
    <row r="7602">
      <c r="A7602" s="4" t="s">
        <v>8214</v>
      </c>
      <c r="B7602" s="16"/>
      <c r="C7602" s="12">
        <f>IFERROR(__xludf.DUMMYFUNCTION("""COMPUTED_VALUE"""),44640.23202546296)</f>
        <v>44640.23203</v>
      </c>
      <c r="D7602" s="13">
        <f t="shared" si="1"/>
        <v>20</v>
      </c>
      <c r="E7602" s="13">
        <f t="shared" si="2"/>
        <v>5</v>
      </c>
    </row>
    <row r="7603">
      <c r="A7603" s="4" t="s">
        <v>8215</v>
      </c>
      <c r="B7603" s="16"/>
      <c r="C7603" s="12">
        <f>IFERROR(__xludf.DUMMYFUNCTION("""COMPUTED_VALUE"""),44640.163726851846)</f>
        <v>44640.16373</v>
      </c>
      <c r="D7603" s="13">
        <f t="shared" si="1"/>
        <v>20</v>
      </c>
      <c r="E7603" s="13">
        <f t="shared" si="2"/>
        <v>3</v>
      </c>
    </row>
    <row r="7604">
      <c r="A7604" s="4" t="s">
        <v>8216</v>
      </c>
      <c r="B7604" s="16"/>
      <c r="C7604" s="12">
        <f>IFERROR(__xludf.DUMMYFUNCTION("""COMPUTED_VALUE"""),44640.160057870366)</f>
        <v>44640.16006</v>
      </c>
      <c r="D7604" s="13">
        <f t="shared" si="1"/>
        <v>20</v>
      </c>
      <c r="E7604" s="13">
        <f t="shared" si="2"/>
        <v>3</v>
      </c>
    </row>
    <row r="7605">
      <c r="A7605" s="4" t="s">
        <v>8217</v>
      </c>
      <c r="B7605" s="16"/>
      <c r="C7605" s="12">
        <f>IFERROR(__xludf.DUMMYFUNCTION("""COMPUTED_VALUE"""),44640.14466435185)</f>
        <v>44640.14466</v>
      </c>
      <c r="D7605" s="13">
        <f t="shared" si="1"/>
        <v>20</v>
      </c>
      <c r="E7605" s="13">
        <f t="shared" si="2"/>
        <v>3</v>
      </c>
    </row>
    <row r="7606">
      <c r="A7606" s="4" t="s">
        <v>8218</v>
      </c>
      <c r="B7606" s="16"/>
      <c r="C7606" s="12">
        <f>IFERROR(__xludf.DUMMYFUNCTION("""COMPUTED_VALUE"""),44640.14090277778)</f>
        <v>44640.1409</v>
      </c>
      <c r="D7606" s="13">
        <f t="shared" si="1"/>
        <v>20</v>
      </c>
      <c r="E7606" s="13">
        <f t="shared" si="2"/>
        <v>3</v>
      </c>
    </row>
    <row r="7607">
      <c r="A7607" s="4" t="s">
        <v>8219</v>
      </c>
      <c r="B7607" s="16"/>
      <c r="C7607" s="12">
        <f>IFERROR(__xludf.DUMMYFUNCTION("""COMPUTED_VALUE"""),44640.140648148146)</f>
        <v>44640.14065</v>
      </c>
      <c r="D7607" s="13">
        <f t="shared" si="1"/>
        <v>20</v>
      </c>
      <c r="E7607" s="13">
        <f t="shared" si="2"/>
        <v>3</v>
      </c>
    </row>
    <row r="7608">
      <c r="A7608" s="4" t="s">
        <v>8220</v>
      </c>
      <c r="B7608" s="16"/>
      <c r="C7608" s="12">
        <f>IFERROR(__xludf.DUMMYFUNCTION("""COMPUTED_VALUE"""),44640.138460648144)</f>
        <v>44640.13846</v>
      </c>
      <c r="D7608" s="13">
        <f t="shared" si="1"/>
        <v>20</v>
      </c>
      <c r="E7608" s="13">
        <f t="shared" si="2"/>
        <v>3</v>
      </c>
    </row>
    <row r="7609">
      <c r="A7609" s="4" t="s">
        <v>8221</v>
      </c>
      <c r="B7609" s="16"/>
      <c r="C7609" s="12">
        <f>IFERROR(__xludf.DUMMYFUNCTION("""COMPUTED_VALUE"""),44640.13254629629)</f>
        <v>44640.13255</v>
      </c>
      <c r="D7609" s="13">
        <f t="shared" si="1"/>
        <v>20</v>
      </c>
      <c r="E7609" s="13">
        <f t="shared" si="2"/>
        <v>3</v>
      </c>
    </row>
    <row r="7610">
      <c r="A7610" s="4" t="s">
        <v>8222</v>
      </c>
      <c r="B7610" s="16"/>
      <c r="C7610" s="12">
        <f>IFERROR(__xludf.DUMMYFUNCTION("""COMPUTED_VALUE"""),44640.12553240741)</f>
        <v>44640.12553</v>
      </c>
      <c r="D7610" s="13">
        <f t="shared" si="1"/>
        <v>20</v>
      </c>
      <c r="E7610" s="13">
        <f t="shared" si="2"/>
        <v>3</v>
      </c>
    </row>
    <row r="7611">
      <c r="A7611" s="4" t="s">
        <v>8223</v>
      </c>
      <c r="B7611" s="16"/>
      <c r="C7611" s="12">
        <f>IFERROR(__xludf.DUMMYFUNCTION("""COMPUTED_VALUE"""),44640.121041666665)</f>
        <v>44640.12104</v>
      </c>
      <c r="D7611" s="13">
        <f t="shared" si="1"/>
        <v>20</v>
      </c>
      <c r="E7611" s="13">
        <f t="shared" si="2"/>
        <v>2</v>
      </c>
    </row>
    <row r="7612">
      <c r="A7612" s="4" t="s">
        <v>8224</v>
      </c>
      <c r="B7612" s="16"/>
      <c r="C7612" s="12">
        <f>IFERROR(__xludf.DUMMYFUNCTION("""COMPUTED_VALUE"""),44640.110810185186)</f>
        <v>44640.11081</v>
      </c>
      <c r="D7612" s="13">
        <f t="shared" si="1"/>
        <v>20</v>
      </c>
      <c r="E7612" s="13">
        <f t="shared" si="2"/>
        <v>2</v>
      </c>
    </row>
    <row r="7613">
      <c r="A7613" s="4" t="s">
        <v>8225</v>
      </c>
      <c r="B7613" s="16"/>
      <c r="C7613" s="12">
        <f>IFERROR(__xludf.DUMMYFUNCTION("""COMPUTED_VALUE"""),44640.063263888886)</f>
        <v>44640.06326</v>
      </c>
      <c r="D7613" s="13">
        <f t="shared" si="1"/>
        <v>20</v>
      </c>
      <c r="E7613" s="13">
        <f t="shared" si="2"/>
        <v>1</v>
      </c>
    </row>
    <row r="7614">
      <c r="A7614" s="4" t="s">
        <v>8226</v>
      </c>
      <c r="B7614" s="16"/>
      <c r="C7614" s="12">
        <f>IFERROR(__xludf.DUMMYFUNCTION("""COMPUTED_VALUE"""),44640.001817129625)</f>
        <v>44640.00182</v>
      </c>
      <c r="D7614" s="13">
        <f t="shared" si="1"/>
        <v>20</v>
      </c>
      <c r="E7614" s="13">
        <f t="shared" si="2"/>
        <v>0</v>
      </c>
    </row>
    <row r="7615">
      <c r="A7615" s="4" t="s">
        <v>8227</v>
      </c>
      <c r="B7615" s="16"/>
      <c r="C7615" s="12">
        <f>IFERROR(__xludf.DUMMYFUNCTION("""COMPUTED_VALUE"""),44639.9777662037)</f>
        <v>44639.97777</v>
      </c>
      <c r="D7615" s="13">
        <f t="shared" si="1"/>
        <v>19</v>
      </c>
      <c r="E7615" s="13">
        <f t="shared" si="2"/>
        <v>23</v>
      </c>
    </row>
    <row r="7616">
      <c r="A7616" s="4" t="s">
        <v>8228</v>
      </c>
      <c r="B7616" s="16"/>
      <c r="C7616" s="12">
        <f>IFERROR(__xludf.DUMMYFUNCTION("""COMPUTED_VALUE"""),44639.9734375)</f>
        <v>44639.97344</v>
      </c>
      <c r="D7616" s="13">
        <f t="shared" si="1"/>
        <v>19</v>
      </c>
      <c r="E7616" s="13">
        <f t="shared" si="2"/>
        <v>23</v>
      </c>
    </row>
    <row r="7617">
      <c r="A7617" s="4" t="s">
        <v>8229</v>
      </c>
      <c r="B7617" s="16"/>
      <c r="C7617" s="12">
        <f>IFERROR(__xludf.DUMMYFUNCTION("""COMPUTED_VALUE"""),44639.971666666665)</f>
        <v>44639.97167</v>
      </c>
      <c r="D7617" s="13">
        <f t="shared" si="1"/>
        <v>19</v>
      </c>
      <c r="E7617" s="13">
        <f t="shared" si="2"/>
        <v>23</v>
      </c>
    </row>
    <row r="7618">
      <c r="A7618" s="4" t="s">
        <v>8230</v>
      </c>
      <c r="B7618" s="16"/>
      <c r="C7618" s="12">
        <f>IFERROR(__xludf.DUMMYFUNCTION("""COMPUTED_VALUE"""),44639.97027777778)</f>
        <v>44639.97028</v>
      </c>
      <c r="D7618" s="13">
        <f t="shared" si="1"/>
        <v>19</v>
      </c>
      <c r="E7618" s="13">
        <f t="shared" si="2"/>
        <v>23</v>
      </c>
    </row>
    <row r="7619">
      <c r="A7619" s="4" t="s">
        <v>8231</v>
      </c>
      <c r="B7619" s="16"/>
      <c r="C7619" s="12">
        <f>IFERROR(__xludf.DUMMYFUNCTION("""COMPUTED_VALUE"""),44639.9643287037)</f>
        <v>44639.96433</v>
      </c>
      <c r="D7619" s="13">
        <f t="shared" si="1"/>
        <v>19</v>
      </c>
      <c r="E7619" s="13">
        <f t="shared" si="2"/>
        <v>23</v>
      </c>
    </row>
    <row r="7620">
      <c r="A7620" s="4" t="s">
        <v>8232</v>
      </c>
      <c r="B7620" s="16"/>
      <c r="C7620" s="12">
        <f>IFERROR(__xludf.DUMMYFUNCTION("""COMPUTED_VALUE"""),44639.9437037037)</f>
        <v>44639.9437</v>
      </c>
      <c r="D7620" s="13">
        <f t="shared" si="1"/>
        <v>19</v>
      </c>
      <c r="E7620" s="13">
        <f t="shared" si="2"/>
        <v>22</v>
      </c>
    </row>
    <row r="7621">
      <c r="A7621" s="4" t="s">
        <v>8233</v>
      </c>
      <c r="B7621" s="16"/>
      <c r="C7621" s="12">
        <f>IFERROR(__xludf.DUMMYFUNCTION("""COMPUTED_VALUE"""),44639.92324074074)</f>
        <v>44639.92324</v>
      </c>
      <c r="D7621" s="13">
        <f t="shared" si="1"/>
        <v>19</v>
      </c>
      <c r="E7621" s="13">
        <f t="shared" si="2"/>
        <v>22</v>
      </c>
    </row>
    <row r="7622">
      <c r="A7622" s="4" t="s">
        <v>8234</v>
      </c>
      <c r="B7622" s="16"/>
      <c r="C7622" s="12">
        <f>IFERROR(__xludf.DUMMYFUNCTION("""COMPUTED_VALUE"""),44639.91083333333)</f>
        <v>44639.91083</v>
      </c>
      <c r="D7622" s="13">
        <f t="shared" si="1"/>
        <v>19</v>
      </c>
      <c r="E7622" s="13">
        <f t="shared" si="2"/>
        <v>21</v>
      </c>
    </row>
    <row r="7623">
      <c r="A7623" s="4" t="s">
        <v>8235</v>
      </c>
      <c r="B7623" s="16"/>
      <c r="C7623" s="12">
        <f>IFERROR(__xludf.DUMMYFUNCTION("""COMPUTED_VALUE"""),44639.89134259259)</f>
        <v>44639.89134</v>
      </c>
      <c r="D7623" s="13">
        <f t="shared" si="1"/>
        <v>19</v>
      </c>
      <c r="E7623" s="13">
        <f t="shared" si="2"/>
        <v>21</v>
      </c>
    </row>
    <row r="7624">
      <c r="A7624" s="4" t="s">
        <v>8236</v>
      </c>
      <c r="B7624" s="16"/>
      <c r="C7624" s="12">
        <f>IFERROR(__xludf.DUMMYFUNCTION("""COMPUTED_VALUE"""),44639.879166666666)</f>
        <v>44639.87917</v>
      </c>
      <c r="D7624" s="13">
        <f t="shared" si="1"/>
        <v>19</v>
      </c>
      <c r="E7624" s="13">
        <f t="shared" si="2"/>
        <v>21</v>
      </c>
    </row>
    <row r="7625">
      <c r="A7625" s="4" t="s">
        <v>8237</v>
      </c>
      <c r="B7625" s="16"/>
      <c r="C7625" s="12">
        <f>IFERROR(__xludf.DUMMYFUNCTION("""COMPUTED_VALUE"""),44639.87878472222)</f>
        <v>44639.87878</v>
      </c>
      <c r="D7625" s="13">
        <f t="shared" si="1"/>
        <v>19</v>
      </c>
      <c r="E7625" s="13">
        <f t="shared" si="2"/>
        <v>21</v>
      </c>
    </row>
    <row r="7626">
      <c r="A7626" s="4" t="s">
        <v>8238</v>
      </c>
      <c r="B7626" s="16"/>
      <c r="C7626" s="12">
        <f>IFERROR(__xludf.DUMMYFUNCTION("""COMPUTED_VALUE"""),44639.83909722222)</f>
        <v>44639.8391</v>
      </c>
      <c r="D7626" s="13">
        <f t="shared" si="1"/>
        <v>19</v>
      </c>
      <c r="E7626" s="13">
        <f t="shared" si="2"/>
        <v>20</v>
      </c>
    </row>
    <row r="7627">
      <c r="A7627" s="4" t="s">
        <v>8239</v>
      </c>
      <c r="B7627" s="16"/>
      <c r="C7627" s="12">
        <f>IFERROR(__xludf.DUMMYFUNCTION("""COMPUTED_VALUE"""),44639.83725694444)</f>
        <v>44639.83726</v>
      </c>
      <c r="D7627" s="13">
        <f t="shared" si="1"/>
        <v>19</v>
      </c>
      <c r="E7627" s="13">
        <f t="shared" si="2"/>
        <v>20</v>
      </c>
    </row>
    <row r="7628">
      <c r="A7628" s="4" t="s">
        <v>8240</v>
      </c>
      <c r="B7628" s="16"/>
      <c r="C7628" s="12">
        <f>IFERROR(__xludf.DUMMYFUNCTION("""COMPUTED_VALUE"""),44639.82384259259)</f>
        <v>44639.82384</v>
      </c>
      <c r="D7628" s="13">
        <f t="shared" si="1"/>
        <v>19</v>
      </c>
      <c r="E7628" s="13">
        <f t="shared" si="2"/>
        <v>19</v>
      </c>
    </row>
    <row r="7629">
      <c r="A7629" s="4" t="s">
        <v>8241</v>
      </c>
      <c r="B7629" s="16"/>
      <c r="C7629" s="12">
        <f>IFERROR(__xludf.DUMMYFUNCTION("""COMPUTED_VALUE"""),44639.81392361111)</f>
        <v>44639.81392</v>
      </c>
      <c r="D7629" s="13">
        <f t="shared" si="1"/>
        <v>19</v>
      </c>
      <c r="E7629" s="13">
        <f t="shared" si="2"/>
        <v>19</v>
      </c>
    </row>
    <row r="7630">
      <c r="A7630" s="4" t="s">
        <v>8242</v>
      </c>
      <c r="B7630" s="16"/>
      <c r="C7630" s="12">
        <f>IFERROR(__xludf.DUMMYFUNCTION("""COMPUTED_VALUE"""),44639.81188657407)</f>
        <v>44639.81189</v>
      </c>
      <c r="D7630" s="13">
        <f t="shared" si="1"/>
        <v>19</v>
      </c>
      <c r="E7630" s="13">
        <f t="shared" si="2"/>
        <v>19</v>
      </c>
    </row>
    <row r="7631">
      <c r="A7631" s="4" t="s">
        <v>8243</v>
      </c>
      <c r="B7631" s="16"/>
      <c r="C7631" s="12">
        <f>IFERROR(__xludf.DUMMYFUNCTION("""COMPUTED_VALUE"""),44639.77410879629)</f>
        <v>44639.77411</v>
      </c>
      <c r="D7631" s="13">
        <f t="shared" si="1"/>
        <v>19</v>
      </c>
      <c r="E7631" s="13">
        <f t="shared" si="2"/>
        <v>18</v>
      </c>
    </row>
    <row r="7632">
      <c r="A7632" s="4" t="s">
        <v>8244</v>
      </c>
      <c r="B7632" s="16"/>
      <c r="C7632" s="12">
        <f>IFERROR(__xludf.DUMMYFUNCTION("""COMPUTED_VALUE"""),44639.75815972222)</f>
        <v>44639.75816</v>
      </c>
      <c r="D7632" s="13">
        <f t="shared" si="1"/>
        <v>19</v>
      </c>
      <c r="E7632" s="13">
        <f t="shared" si="2"/>
        <v>18</v>
      </c>
    </row>
    <row r="7633">
      <c r="A7633" s="4" t="s">
        <v>8245</v>
      </c>
      <c r="B7633" s="16"/>
      <c r="C7633" s="12">
        <f>IFERROR(__xludf.DUMMYFUNCTION("""COMPUTED_VALUE"""),44639.75135416666)</f>
        <v>44639.75135</v>
      </c>
      <c r="D7633" s="13">
        <f t="shared" si="1"/>
        <v>19</v>
      </c>
      <c r="E7633" s="13">
        <f t="shared" si="2"/>
        <v>18</v>
      </c>
    </row>
    <row r="7634">
      <c r="A7634" s="4" t="s">
        <v>8246</v>
      </c>
      <c r="B7634" s="16"/>
      <c r="C7634" s="12">
        <f>IFERROR(__xludf.DUMMYFUNCTION("""COMPUTED_VALUE"""),44639.74549768518)</f>
        <v>44639.7455</v>
      </c>
      <c r="D7634" s="13">
        <f t="shared" si="1"/>
        <v>19</v>
      </c>
      <c r="E7634" s="13">
        <f t="shared" si="2"/>
        <v>17</v>
      </c>
    </row>
    <row r="7635">
      <c r="A7635" s="4" t="s">
        <v>8247</v>
      </c>
      <c r="B7635" s="16"/>
      <c r="C7635" s="12">
        <f>IFERROR(__xludf.DUMMYFUNCTION("""COMPUTED_VALUE"""),44639.73930555555)</f>
        <v>44639.73931</v>
      </c>
      <c r="D7635" s="13">
        <f t="shared" si="1"/>
        <v>19</v>
      </c>
      <c r="E7635" s="13">
        <f t="shared" si="2"/>
        <v>17</v>
      </c>
    </row>
    <row r="7636">
      <c r="A7636" s="4" t="s">
        <v>8248</v>
      </c>
      <c r="B7636" s="16"/>
      <c r="C7636" s="12">
        <f>IFERROR(__xludf.DUMMYFUNCTION("""COMPUTED_VALUE"""),44639.73893518518)</f>
        <v>44639.73894</v>
      </c>
      <c r="D7636" s="13">
        <f t="shared" si="1"/>
        <v>19</v>
      </c>
      <c r="E7636" s="13">
        <f t="shared" si="2"/>
        <v>17</v>
      </c>
    </row>
    <row r="7637">
      <c r="A7637" s="4" t="s">
        <v>8249</v>
      </c>
      <c r="B7637" s="16"/>
      <c r="C7637" s="12">
        <f>IFERROR(__xludf.DUMMYFUNCTION("""COMPUTED_VALUE"""),44639.71671296296)</f>
        <v>44639.71671</v>
      </c>
      <c r="D7637" s="13">
        <f t="shared" si="1"/>
        <v>19</v>
      </c>
      <c r="E7637" s="13">
        <f t="shared" si="2"/>
        <v>17</v>
      </c>
    </row>
    <row r="7638">
      <c r="A7638" s="4" t="s">
        <v>8250</v>
      </c>
      <c r="B7638" s="16"/>
      <c r="C7638" s="12">
        <f>IFERROR(__xludf.DUMMYFUNCTION("""COMPUTED_VALUE"""),44639.7165625)</f>
        <v>44639.71656</v>
      </c>
      <c r="D7638" s="13">
        <f t="shared" si="1"/>
        <v>19</v>
      </c>
      <c r="E7638" s="13">
        <f t="shared" si="2"/>
        <v>17</v>
      </c>
    </row>
    <row r="7639">
      <c r="A7639" s="4" t="s">
        <v>8251</v>
      </c>
      <c r="B7639" s="16"/>
      <c r="C7639" s="12">
        <f>IFERROR(__xludf.DUMMYFUNCTION("""COMPUTED_VALUE"""),44639.70930555555)</f>
        <v>44639.70931</v>
      </c>
      <c r="D7639" s="13">
        <f t="shared" si="1"/>
        <v>19</v>
      </c>
      <c r="E7639" s="13">
        <f t="shared" si="2"/>
        <v>17</v>
      </c>
    </row>
    <row r="7640">
      <c r="A7640" s="4" t="s">
        <v>8252</v>
      </c>
      <c r="B7640" s="16"/>
      <c r="C7640" s="12">
        <f>IFERROR(__xludf.DUMMYFUNCTION("""COMPUTED_VALUE"""),44639.698749999996)</f>
        <v>44639.69875</v>
      </c>
      <c r="D7640" s="13">
        <f t="shared" si="1"/>
        <v>19</v>
      </c>
      <c r="E7640" s="13">
        <f t="shared" si="2"/>
        <v>16</v>
      </c>
    </row>
    <row r="7641">
      <c r="A7641" s="4" t="s">
        <v>8253</v>
      </c>
      <c r="B7641" s="16"/>
      <c r="C7641" s="12">
        <f>IFERROR(__xludf.DUMMYFUNCTION("""COMPUTED_VALUE"""),44639.677893518514)</f>
        <v>44639.67789</v>
      </c>
      <c r="D7641" s="13">
        <f t="shared" si="1"/>
        <v>19</v>
      </c>
      <c r="E7641" s="13">
        <f t="shared" si="2"/>
        <v>16</v>
      </c>
    </row>
    <row r="7642">
      <c r="A7642" s="4" t="s">
        <v>8254</v>
      </c>
      <c r="B7642" s="16"/>
      <c r="C7642" s="12">
        <f>IFERROR(__xludf.DUMMYFUNCTION("""COMPUTED_VALUE"""),44639.646643518514)</f>
        <v>44639.64664</v>
      </c>
      <c r="D7642" s="13">
        <f t="shared" si="1"/>
        <v>19</v>
      </c>
      <c r="E7642" s="13">
        <f t="shared" si="2"/>
        <v>15</v>
      </c>
    </row>
    <row r="7643">
      <c r="A7643" s="4" t="s">
        <v>8255</v>
      </c>
      <c r="B7643" s="16"/>
      <c r="C7643" s="12">
        <f>IFERROR(__xludf.DUMMYFUNCTION("""COMPUTED_VALUE"""),44639.64262731481)</f>
        <v>44639.64263</v>
      </c>
      <c r="D7643" s="13">
        <f t="shared" si="1"/>
        <v>19</v>
      </c>
      <c r="E7643" s="13">
        <f t="shared" si="2"/>
        <v>15</v>
      </c>
    </row>
    <row r="7644">
      <c r="A7644" s="4" t="s">
        <v>8256</v>
      </c>
      <c r="B7644" s="16"/>
      <c r="C7644" s="12">
        <f>IFERROR(__xludf.DUMMYFUNCTION("""COMPUTED_VALUE"""),44639.63875)</f>
        <v>44639.63875</v>
      </c>
      <c r="D7644" s="13">
        <f t="shared" si="1"/>
        <v>19</v>
      </c>
      <c r="E7644" s="13">
        <f t="shared" si="2"/>
        <v>15</v>
      </c>
    </row>
    <row r="7645">
      <c r="A7645" s="4" t="s">
        <v>8257</v>
      </c>
      <c r="B7645" s="16"/>
      <c r="C7645" s="12">
        <f>IFERROR(__xludf.DUMMYFUNCTION("""COMPUTED_VALUE"""),44639.63539351852)</f>
        <v>44639.63539</v>
      </c>
      <c r="D7645" s="13">
        <f t="shared" si="1"/>
        <v>19</v>
      </c>
      <c r="E7645" s="13">
        <f t="shared" si="2"/>
        <v>15</v>
      </c>
    </row>
    <row r="7646">
      <c r="A7646" s="4" t="s">
        <v>8258</v>
      </c>
      <c r="B7646" s="16"/>
      <c r="C7646" s="12">
        <f>IFERROR(__xludf.DUMMYFUNCTION("""COMPUTED_VALUE"""),44639.634733796294)</f>
        <v>44639.63473</v>
      </c>
      <c r="D7646" s="13">
        <f t="shared" si="1"/>
        <v>19</v>
      </c>
      <c r="E7646" s="13">
        <f t="shared" si="2"/>
        <v>15</v>
      </c>
    </row>
    <row r="7647">
      <c r="A7647" s="4" t="s">
        <v>8259</v>
      </c>
      <c r="B7647" s="16"/>
      <c r="C7647" s="12">
        <f>IFERROR(__xludf.DUMMYFUNCTION("""COMPUTED_VALUE"""),44639.5212037037)</f>
        <v>44639.5212</v>
      </c>
      <c r="D7647" s="13">
        <f t="shared" si="1"/>
        <v>19</v>
      </c>
      <c r="E7647" s="13">
        <f t="shared" si="2"/>
        <v>12</v>
      </c>
    </row>
    <row r="7648">
      <c r="A7648" s="4" t="s">
        <v>8260</v>
      </c>
      <c r="B7648" s="16"/>
      <c r="C7648" s="12">
        <f>IFERROR(__xludf.DUMMYFUNCTION("""COMPUTED_VALUE"""),44639.51994212963)</f>
        <v>44639.51994</v>
      </c>
      <c r="D7648" s="13">
        <f t="shared" si="1"/>
        <v>19</v>
      </c>
      <c r="E7648" s="13">
        <f t="shared" si="2"/>
        <v>12</v>
      </c>
    </row>
    <row r="7649">
      <c r="A7649" s="4" t="s">
        <v>8261</v>
      </c>
      <c r="B7649" s="16"/>
      <c r="C7649" s="12">
        <f>IFERROR(__xludf.DUMMYFUNCTION("""COMPUTED_VALUE"""),44639.51148148148)</f>
        <v>44639.51148</v>
      </c>
      <c r="D7649" s="13">
        <f t="shared" si="1"/>
        <v>19</v>
      </c>
      <c r="E7649" s="13">
        <f t="shared" si="2"/>
        <v>12</v>
      </c>
    </row>
    <row r="7650">
      <c r="A7650" s="4" t="s">
        <v>8262</v>
      </c>
      <c r="B7650" s="16"/>
      <c r="C7650" s="12">
        <f>IFERROR(__xludf.DUMMYFUNCTION("""COMPUTED_VALUE"""),44639.501979166664)</f>
        <v>44639.50198</v>
      </c>
      <c r="D7650" s="13">
        <f t="shared" si="1"/>
        <v>19</v>
      </c>
      <c r="E7650" s="13">
        <f t="shared" si="2"/>
        <v>12</v>
      </c>
    </row>
    <row r="7651">
      <c r="A7651" s="4" t="s">
        <v>8263</v>
      </c>
      <c r="B7651" s="16"/>
      <c r="C7651" s="12">
        <f>IFERROR(__xludf.DUMMYFUNCTION("""COMPUTED_VALUE"""),44639.50173611111)</f>
        <v>44639.50174</v>
      </c>
      <c r="D7651" s="13">
        <f t="shared" si="1"/>
        <v>19</v>
      </c>
      <c r="E7651" s="13">
        <f t="shared" si="2"/>
        <v>12</v>
      </c>
    </row>
    <row r="7652">
      <c r="A7652" s="4" t="s">
        <v>8264</v>
      </c>
      <c r="B7652" s="16"/>
      <c r="C7652" s="12">
        <f>IFERROR(__xludf.DUMMYFUNCTION("""COMPUTED_VALUE"""),44639.497037037036)</f>
        <v>44639.49704</v>
      </c>
      <c r="D7652" s="13">
        <f t="shared" si="1"/>
        <v>19</v>
      </c>
      <c r="E7652" s="13">
        <f t="shared" si="2"/>
        <v>11</v>
      </c>
    </row>
    <row r="7653">
      <c r="A7653" s="4" t="s">
        <v>8265</v>
      </c>
      <c r="B7653" s="16"/>
      <c r="C7653" s="12">
        <f>IFERROR(__xludf.DUMMYFUNCTION("""COMPUTED_VALUE"""),44639.49384259259)</f>
        <v>44639.49384</v>
      </c>
      <c r="D7653" s="13">
        <f t="shared" si="1"/>
        <v>19</v>
      </c>
      <c r="E7653" s="13">
        <f t="shared" si="2"/>
        <v>11</v>
      </c>
    </row>
    <row r="7654">
      <c r="A7654" s="4" t="s">
        <v>8266</v>
      </c>
      <c r="B7654" s="16"/>
      <c r="C7654" s="12">
        <f>IFERROR(__xludf.DUMMYFUNCTION("""COMPUTED_VALUE"""),44639.476701388885)</f>
        <v>44639.4767</v>
      </c>
      <c r="D7654" s="13">
        <f t="shared" si="1"/>
        <v>19</v>
      </c>
      <c r="E7654" s="13">
        <f t="shared" si="2"/>
        <v>11</v>
      </c>
    </row>
    <row r="7655">
      <c r="A7655" s="4" t="s">
        <v>8266</v>
      </c>
      <c r="B7655" s="16"/>
      <c r="C7655" s="12">
        <f>IFERROR(__xludf.DUMMYFUNCTION("""COMPUTED_VALUE"""),44639.476701388885)</f>
        <v>44639.4767</v>
      </c>
      <c r="D7655" s="13">
        <f t="shared" si="1"/>
        <v>19</v>
      </c>
      <c r="E7655" s="13">
        <f t="shared" si="2"/>
        <v>11</v>
      </c>
    </row>
    <row r="7656">
      <c r="A7656" s="4" t="s">
        <v>8267</v>
      </c>
      <c r="B7656" s="16"/>
      <c r="C7656" s="12">
        <f>IFERROR(__xludf.DUMMYFUNCTION("""COMPUTED_VALUE"""),44639.45136574074)</f>
        <v>44639.45137</v>
      </c>
      <c r="D7656" s="13">
        <f t="shared" si="1"/>
        <v>19</v>
      </c>
      <c r="E7656" s="13">
        <f t="shared" si="2"/>
        <v>10</v>
      </c>
    </row>
    <row r="7657">
      <c r="A7657" s="4" t="s">
        <v>8268</v>
      </c>
      <c r="B7657" s="16"/>
      <c r="C7657" s="12">
        <f>IFERROR(__xludf.DUMMYFUNCTION("""COMPUTED_VALUE"""),44639.451273148145)</f>
        <v>44639.45127</v>
      </c>
      <c r="D7657" s="13">
        <f t="shared" si="1"/>
        <v>19</v>
      </c>
      <c r="E7657" s="13">
        <f t="shared" si="2"/>
        <v>10</v>
      </c>
    </row>
    <row r="7658">
      <c r="A7658" s="4" t="s">
        <v>8269</v>
      </c>
      <c r="B7658" s="16"/>
      <c r="C7658" s="12">
        <f>IFERROR(__xludf.DUMMYFUNCTION("""COMPUTED_VALUE"""),44639.450474537036)</f>
        <v>44639.45047</v>
      </c>
      <c r="D7658" s="13">
        <f t="shared" si="1"/>
        <v>19</v>
      </c>
      <c r="E7658" s="13">
        <f t="shared" si="2"/>
        <v>10</v>
      </c>
    </row>
    <row r="7659">
      <c r="A7659" s="4" t="s">
        <v>8270</v>
      </c>
      <c r="B7659" s="16"/>
      <c r="C7659" s="12">
        <f>IFERROR(__xludf.DUMMYFUNCTION("""COMPUTED_VALUE"""),44639.4209375)</f>
        <v>44639.42094</v>
      </c>
      <c r="D7659" s="13">
        <f t="shared" si="1"/>
        <v>19</v>
      </c>
      <c r="E7659" s="13">
        <f t="shared" si="2"/>
        <v>10</v>
      </c>
    </row>
    <row r="7660">
      <c r="A7660" s="4" t="s">
        <v>8271</v>
      </c>
      <c r="B7660" s="16"/>
      <c r="C7660" s="12">
        <f>IFERROR(__xludf.DUMMYFUNCTION("""COMPUTED_VALUE"""),44639.42055555555)</f>
        <v>44639.42056</v>
      </c>
      <c r="D7660" s="13">
        <f t="shared" si="1"/>
        <v>19</v>
      </c>
      <c r="E7660" s="13">
        <f t="shared" si="2"/>
        <v>10</v>
      </c>
    </row>
    <row r="7661">
      <c r="A7661" s="4" t="s">
        <v>8272</v>
      </c>
      <c r="B7661" s="16"/>
      <c r="C7661" s="12">
        <f>IFERROR(__xludf.DUMMYFUNCTION("""COMPUTED_VALUE"""),44639.41795138889)</f>
        <v>44639.41795</v>
      </c>
      <c r="D7661" s="13">
        <f t="shared" si="1"/>
        <v>19</v>
      </c>
      <c r="E7661" s="13">
        <f t="shared" si="2"/>
        <v>10</v>
      </c>
    </row>
    <row r="7662">
      <c r="A7662" s="4" t="s">
        <v>8273</v>
      </c>
      <c r="B7662" s="16"/>
      <c r="C7662" s="12">
        <f>IFERROR(__xludf.DUMMYFUNCTION("""COMPUTED_VALUE"""),44639.40239583333)</f>
        <v>44639.4024</v>
      </c>
      <c r="D7662" s="13">
        <f t="shared" si="1"/>
        <v>19</v>
      </c>
      <c r="E7662" s="13">
        <f t="shared" si="2"/>
        <v>9</v>
      </c>
    </row>
    <row r="7663">
      <c r="A7663" s="4" t="s">
        <v>8274</v>
      </c>
      <c r="B7663" s="16"/>
      <c r="C7663" s="12">
        <f>IFERROR(__xludf.DUMMYFUNCTION("""COMPUTED_VALUE"""),44639.39229166666)</f>
        <v>44639.39229</v>
      </c>
      <c r="D7663" s="13">
        <f t="shared" si="1"/>
        <v>19</v>
      </c>
      <c r="E7663" s="13">
        <f t="shared" si="2"/>
        <v>9</v>
      </c>
    </row>
    <row r="7664">
      <c r="A7664" s="4" t="s">
        <v>8275</v>
      </c>
      <c r="B7664" s="16"/>
      <c r="C7664" s="12">
        <f>IFERROR(__xludf.DUMMYFUNCTION("""COMPUTED_VALUE"""),44639.39068287037)</f>
        <v>44639.39068</v>
      </c>
      <c r="D7664" s="13">
        <f t="shared" si="1"/>
        <v>19</v>
      </c>
      <c r="E7664" s="13">
        <f t="shared" si="2"/>
        <v>9</v>
      </c>
    </row>
    <row r="7665">
      <c r="A7665" s="4" t="s">
        <v>8276</v>
      </c>
      <c r="B7665" s="16"/>
      <c r="C7665" s="12">
        <f>IFERROR(__xludf.DUMMYFUNCTION("""COMPUTED_VALUE"""),44639.38979166666)</f>
        <v>44639.38979</v>
      </c>
      <c r="D7665" s="13">
        <f t="shared" si="1"/>
        <v>19</v>
      </c>
      <c r="E7665" s="13">
        <f t="shared" si="2"/>
        <v>9</v>
      </c>
    </row>
    <row r="7666">
      <c r="A7666" s="4" t="s">
        <v>8277</v>
      </c>
      <c r="B7666" s="16"/>
      <c r="C7666" s="12">
        <f>IFERROR(__xludf.DUMMYFUNCTION("""COMPUTED_VALUE"""),44639.38655092593)</f>
        <v>44639.38655</v>
      </c>
      <c r="D7666" s="13">
        <f t="shared" si="1"/>
        <v>19</v>
      </c>
      <c r="E7666" s="13">
        <f t="shared" si="2"/>
        <v>9</v>
      </c>
    </row>
    <row r="7667">
      <c r="A7667" s="4" t="s">
        <v>8278</v>
      </c>
      <c r="B7667" s="16"/>
      <c r="C7667" s="12">
        <f>IFERROR(__xludf.DUMMYFUNCTION("""COMPUTED_VALUE"""),44639.37670138889)</f>
        <v>44639.3767</v>
      </c>
      <c r="D7667" s="13">
        <f t="shared" si="1"/>
        <v>19</v>
      </c>
      <c r="E7667" s="13">
        <f t="shared" si="2"/>
        <v>9</v>
      </c>
    </row>
    <row r="7668">
      <c r="A7668" s="4" t="s">
        <v>8279</v>
      </c>
      <c r="B7668" s="16"/>
      <c r="C7668" s="12">
        <f>IFERROR(__xludf.DUMMYFUNCTION("""COMPUTED_VALUE"""),44639.354675925926)</f>
        <v>44639.35468</v>
      </c>
      <c r="D7668" s="13">
        <f t="shared" si="1"/>
        <v>19</v>
      </c>
      <c r="E7668" s="13">
        <f t="shared" si="2"/>
        <v>8</v>
      </c>
    </row>
    <row r="7669">
      <c r="A7669" s="4" t="s">
        <v>8280</v>
      </c>
      <c r="B7669" s="16"/>
      <c r="C7669" s="12">
        <f>IFERROR(__xludf.DUMMYFUNCTION("""COMPUTED_VALUE"""),44639.33256944444)</f>
        <v>44639.33257</v>
      </c>
      <c r="D7669" s="13">
        <f t="shared" si="1"/>
        <v>19</v>
      </c>
      <c r="E7669" s="13">
        <f t="shared" si="2"/>
        <v>7</v>
      </c>
    </row>
    <row r="7670">
      <c r="A7670" s="4" t="s">
        <v>8281</v>
      </c>
      <c r="B7670" s="16"/>
      <c r="C7670" s="12">
        <f>IFERROR(__xludf.DUMMYFUNCTION("""COMPUTED_VALUE"""),44639.33212962963)</f>
        <v>44639.33213</v>
      </c>
      <c r="D7670" s="13">
        <f t="shared" si="1"/>
        <v>19</v>
      </c>
      <c r="E7670" s="13">
        <f t="shared" si="2"/>
        <v>7</v>
      </c>
    </row>
    <row r="7671">
      <c r="A7671" s="4" t="s">
        <v>8282</v>
      </c>
      <c r="B7671" s="16"/>
      <c r="C7671" s="12">
        <f>IFERROR(__xludf.DUMMYFUNCTION("""COMPUTED_VALUE"""),44639.33065972222)</f>
        <v>44639.33066</v>
      </c>
      <c r="D7671" s="13">
        <f t="shared" si="1"/>
        <v>19</v>
      </c>
      <c r="E7671" s="13">
        <f t="shared" si="2"/>
        <v>7</v>
      </c>
    </row>
    <row r="7672">
      <c r="A7672" s="4" t="s">
        <v>8283</v>
      </c>
      <c r="B7672" s="16"/>
      <c r="C7672" s="12">
        <f>IFERROR(__xludf.DUMMYFUNCTION("""COMPUTED_VALUE"""),44639.32915509259)</f>
        <v>44639.32916</v>
      </c>
      <c r="D7672" s="13">
        <f t="shared" si="1"/>
        <v>19</v>
      </c>
      <c r="E7672" s="13">
        <f t="shared" si="2"/>
        <v>7</v>
      </c>
    </row>
    <row r="7673">
      <c r="A7673" s="4" t="s">
        <v>8284</v>
      </c>
      <c r="B7673" s="16"/>
      <c r="C7673" s="12">
        <f>IFERROR(__xludf.DUMMYFUNCTION("""COMPUTED_VALUE"""),44639.3290162037)</f>
        <v>44639.32902</v>
      </c>
      <c r="D7673" s="13">
        <f t="shared" si="1"/>
        <v>19</v>
      </c>
      <c r="E7673" s="13">
        <f t="shared" si="2"/>
        <v>7</v>
      </c>
    </row>
    <row r="7674">
      <c r="A7674" s="4" t="s">
        <v>8285</v>
      </c>
      <c r="B7674" s="16"/>
      <c r="C7674" s="12">
        <f>IFERROR(__xludf.DUMMYFUNCTION("""COMPUTED_VALUE"""),44639.31072916667)</f>
        <v>44639.31073</v>
      </c>
      <c r="D7674" s="13">
        <f t="shared" si="1"/>
        <v>19</v>
      </c>
      <c r="E7674" s="13">
        <f t="shared" si="2"/>
        <v>7</v>
      </c>
    </row>
    <row r="7675">
      <c r="A7675" s="4" t="s">
        <v>8286</v>
      </c>
      <c r="B7675" s="16"/>
      <c r="C7675" s="12">
        <f>IFERROR(__xludf.DUMMYFUNCTION("""COMPUTED_VALUE"""),44639.08453703704)</f>
        <v>44639.08454</v>
      </c>
      <c r="D7675" s="13">
        <f t="shared" si="1"/>
        <v>19</v>
      </c>
      <c r="E7675" s="13">
        <f t="shared" si="2"/>
        <v>2</v>
      </c>
    </row>
    <row r="7676">
      <c r="A7676" s="4" t="s">
        <v>8287</v>
      </c>
      <c r="B7676" s="16"/>
      <c r="C7676" s="12">
        <f>IFERROR(__xludf.DUMMYFUNCTION("""COMPUTED_VALUE"""),44639.0639699074)</f>
        <v>44639.06397</v>
      </c>
      <c r="D7676" s="13">
        <f t="shared" si="1"/>
        <v>19</v>
      </c>
      <c r="E7676" s="13">
        <f t="shared" si="2"/>
        <v>1</v>
      </c>
    </row>
    <row r="7677">
      <c r="A7677" s="4" t="s">
        <v>8288</v>
      </c>
      <c r="B7677" s="16"/>
      <c r="C7677" s="12">
        <f>IFERROR(__xludf.DUMMYFUNCTION("""COMPUTED_VALUE"""),44639.06278935185)</f>
        <v>44639.06279</v>
      </c>
      <c r="D7677" s="13">
        <f t="shared" si="1"/>
        <v>19</v>
      </c>
      <c r="E7677" s="13">
        <f t="shared" si="2"/>
        <v>1</v>
      </c>
    </row>
    <row r="7678">
      <c r="A7678" s="4" t="s">
        <v>8289</v>
      </c>
      <c r="B7678" s="16"/>
      <c r="C7678" s="12">
        <f>IFERROR(__xludf.DUMMYFUNCTION("""COMPUTED_VALUE"""),44639.06043981481)</f>
        <v>44639.06044</v>
      </c>
      <c r="D7678" s="13">
        <f t="shared" si="1"/>
        <v>19</v>
      </c>
      <c r="E7678" s="13">
        <f t="shared" si="2"/>
        <v>1</v>
      </c>
    </row>
    <row r="7679">
      <c r="A7679" s="4" t="s">
        <v>8290</v>
      </c>
      <c r="B7679" s="16"/>
      <c r="C7679" s="12">
        <f>IFERROR(__xludf.DUMMYFUNCTION("""COMPUTED_VALUE"""),44639.055185185185)</f>
        <v>44639.05519</v>
      </c>
      <c r="D7679" s="13">
        <f t="shared" si="1"/>
        <v>19</v>
      </c>
      <c r="E7679" s="13">
        <f t="shared" si="2"/>
        <v>1</v>
      </c>
    </row>
    <row r="7680">
      <c r="A7680" s="4" t="s">
        <v>8291</v>
      </c>
      <c r="B7680" s="16"/>
      <c r="C7680" s="12">
        <f>IFERROR(__xludf.DUMMYFUNCTION("""COMPUTED_VALUE"""),44639.054826388885)</f>
        <v>44639.05483</v>
      </c>
      <c r="D7680" s="13">
        <f t="shared" si="1"/>
        <v>19</v>
      </c>
      <c r="E7680" s="13">
        <f t="shared" si="2"/>
        <v>1</v>
      </c>
    </row>
    <row r="7681">
      <c r="A7681" s="4" t="s">
        <v>8292</v>
      </c>
      <c r="B7681" s="16"/>
      <c r="C7681" s="12">
        <f>IFERROR(__xludf.DUMMYFUNCTION("""COMPUTED_VALUE"""),44639.03724537037)</f>
        <v>44639.03725</v>
      </c>
      <c r="D7681" s="13">
        <f t="shared" si="1"/>
        <v>19</v>
      </c>
      <c r="E7681" s="13">
        <f t="shared" si="2"/>
        <v>0</v>
      </c>
    </row>
    <row r="7682">
      <c r="A7682" s="4" t="s">
        <v>8293</v>
      </c>
      <c r="B7682" s="16"/>
      <c r="C7682" s="12">
        <f>IFERROR(__xludf.DUMMYFUNCTION("""COMPUTED_VALUE"""),44639.029768518514)</f>
        <v>44639.02977</v>
      </c>
      <c r="D7682" s="13">
        <f t="shared" si="1"/>
        <v>19</v>
      </c>
      <c r="E7682" s="13">
        <f t="shared" si="2"/>
        <v>0</v>
      </c>
    </row>
    <row r="7683">
      <c r="A7683" s="4" t="s">
        <v>8294</v>
      </c>
      <c r="B7683" s="16"/>
      <c r="C7683" s="12">
        <f>IFERROR(__xludf.DUMMYFUNCTION("""COMPUTED_VALUE"""),44639.024050925924)</f>
        <v>44639.02405</v>
      </c>
      <c r="D7683" s="13">
        <f t="shared" si="1"/>
        <v>19</v>
      </c>
      <c r="E7683" s="13">
        <f t="shared" si="2"/>
        <v>0</v>
      </c>
    </row>
    <row r="7684">
      <c r="A7684" s="4" t="s">
        <v>8295</v>
      </c>
      <c r="B7684" s="16"/>
      <c r="C7684" s="12">
        <f>IFERROR(__xludf.DUMMYFUNCTION("""COMPUTED_VALUE"""),44638.982048611106)</f>
        <v>44638.98205</v>
      </c>
      <c r="D7684" s="13">
        <f t="shared" si="1"/>
        <v>18</v>
      </c>
      <c r="E7684" s="13">
        <f t="shared" si="2"/>
        <v>23</v>
      </c>
    </row>
    <row r="7685">
      <c r="A7685" s="4" t="s">
        <v>8296</v>
      </c>
      <c r="B7685" s="16"/>
      <c r="C7685" s="12">
        <f>IFERROR(__xludf.DUMMYFUNCTION("""COMPUTED_VALUE"""),44638.96302083333)</f>
        <v>44638.96302</v>
      </c>
      <c r="D7685" s="13">
        <f t="shared" si="1"/>
        <v>18</v>
      </c>
      <c r="E7685" s="13">
        <f t="shared" si="2"/>
        <v>23</v>
      </c>
    </row>
    <row r="7686">
      <c r="A7686" s="4" t="s">
        <v>8297</v>
      </c>
      <c r="B7686" s="16"/>
      <c r="C7686" s="12">
        <f>IFERROR(__xludf.DUMMYFUNCTION("""COMPUTED_VALUE"""),44638.96253472222)</f>
        <v>44638.96253</v>
      </c>
      <c r="D7686" s="13">
        <f t="shared" si="1"/>
        <v>18</v>
      </c>
      <c r="E7686" s="13">
        <f t="shared" si="2"/>
        <v>23</v>
      </c>
    </row>
    <row r="7687">
      <c r="A7687" s="4" t="s">
        <v>8298</v>
      </c>
      <c r="B7687" s="16"/>
      <c r="C7687" s="12">
        <f>IFERROR(__xludf.DUMMYFUNCTION("""COMPUTED_VALUE"""),44638.96046296296)</f>
        <v>44638.96046</v>
      </c>
      <c r="D7687" s="13">
        <f t="shared" si="1"/>
        <v>18</v>
      </c>
      <c r="E7687" s="13">
        <f t="shared" si="2"/>
        <v>23</v>
      </c>
    </row>
    <row r="7688">
      <c r="A7688" s="4" t="s">
        <v>8299</v>
      </c>
      <c r="B7688" s="16"/>
      <c r="C7688" s="12">
        <f>IFERROR(__xludf.DUMMYFUNCTION("""COMPUTED_VALUE"""),44638.95930555555)</f>
        <v>44638.95931</v>
      </c>
      <c r="D7688" s="13">
        <f t="shared" si="1"/>
        <v>18</v>
      </c>
      <c r="E7688" s="13">
        <f t="shared" si="2"/>
        <v>23</v>
      </c>
    </row>
    <row r="7689">
      <c r="A7689" s="4" t="s">
        <v>8300</v>
      </c>
      <c r="B7689" s="16"/>
      <c r="C7689" s="12">
        <f>IFERROR(__xludf.DUMMYFUNCTION("""COMPUTED_VALUE"""),44638.956620370365)</f>
        <v>44638.95662</v>
      </c>
      <c r="D7689" s="13">
        <f t="shared" si="1"/>
        <v>18</v>
      </c>
      <c r="E7689" s="13">
        <f t="shared" si="2"/>
        <v>22</v>
      </c>
    </row>
    <row r="7690">
      <c r="A7690" s="4" t="s">
        <v>8301</v>
      </c>
      <c r="B7690" s="16"/>
      <c r="C7690" s="12">
        <f>IFERROR(__xludf.DUMMYFUNCTION("""COMPUTED_VALUE"""),44638.91571759259)</f>
        <v>44638.91572</v>
      </c>
      <c r="D7690" s="13">
        <f t="shared" si="1"/>
        <v>18</v>
      </c>
      <c r="E7690" s="13">
        <f t="shared" si="2"/>
        <v>21</v>
      </c>
    </row>
    <row r="7691">
      <c r="A7691" s="4" t="s">
        <v>8302</v>
      </c>
      <c r="B7691" s="16"/>
      <c r="C7691" s="12">
        <f>IFERROR(__xludf.DUMMYFUNCTION("""COMPUTED_VALUE"""),44638.907638888886)</f>
        <v>44638.90764</v>
      </c>
      <c r="D7691" s="13">
        <f t="shared" si="1"/>
        <v>18</v>
      </c>
      <c r="E7691" s="13">
        <f t="shared" si="2"/>
        <v>21</v>
      </c>
    </row>
    <row r="7692">
      <c r="A7692" s="4" t="s">
        <v>8303</v>
      </c>
      <c r="B7692" s="16"/>
      <c r="C7692" s="12">
        <f>IFERROR(__xludf.DUMMYFUNCTION("""COMPUTED_VALUE"""),44638.90759259259)</f>
        <v>44638.90759</v>
      </c>
      <c r="D7692" s="13">
        <f t="shared" si="1"/>
        <v>18</v>
      </c>
      <c r="E7692" s="13">
        <f t="shared" si="2"/>
        <v>21</v>
      </c>
    </row>
    <row r="7693">
      <c r="A7693" s="4" t="s">
        <v>8304</v>
      </c>
      <c r="B7693" s="16"/>
      <c r="C7693" s="12">
        <f>IFERROR(__xludf.DUMMYFUNCTION("""COMPUTED_VALUE"""),44638.904502314814)</f>
        <v>44638.9045</v>
      </c>
      <c r="D7693" s="13">
        <f t="shared" si="1"/>
        <v>18</v>
      </c>
      <c r="E7693" s="13">
        <f t="shared" si="2"/>
        <v>21</v>
      </c>
    </row>
    <row r="7694">
      <c r="A7694" s="4" t="s">
        <v>8305</v>
      </c>
      <c r="B7694" s="16"/>
      <c r="C7694" s="12">
        <f>IFERROR(__xludf.DUMMYFUNCTION("""COMPUTED_VALUE"""),44638.90351851851)</f>
        <v>44638.90352</v>
      </c>
      <c r="D7694" s="13">
        <f t="shared" si="1"/>
        <v>18</v>
      </c>
      <c r="E7694" s="13">
        <f t="shared" si="2"/>
        <v>21</v>
      </c>
    </row>
    <row r="7695">
      <c r="A7695" s="4" t="s">
        <v>8306</v>
      </c>
      <c r="B7695" s="16"/>
      <c r="C7695" s="12">
        <f>IFERROR(__xludf.DUMMYFUNCTION("""COMPUTED_VALUE"""),44638.89884259259)</f>
        <v>44638.89884</v>
      </c>
      <c r="D7695" s="13">
        <f t="shared" si="1"/>
        <v>18</v>
      </c>
      <c r="E7695" s="13">
        <f t="shared" si="2"/>
        <v>21</v>
      </c>
    </row>
    <row r="7696">
      <c r="A7696" s="4" t="s">
        <v>8307</v>
      </c>
      <c r="B7696" s="16"/>
      <c r="C7696" s="12">
        <f>IFERROR(__xludf.DUMMYFUNCTION("""COMPUTED_VALUE"""),44638.8683449074)</f>
        <v>44638.86834</v>
      </c>
      <c r="D7696" s="13">
        <f t="shared" si="1"/>
        <v>18</v>
      </c>
      <c r="E7696" s="13">
        <f t="shared" si="2"/>
        <v>20</v>
      </c>
    </row>
    <row r="7697">
      <c r="A7697" s="4" t="s">
        <v>8308</v>
      </c>
      <c r="B7697" s="16"/>
      <c r="C7697" s="12">
        <f>IFERROR(__xludf.DUMMYFUNCTION("""COMPUTED_VALUE"""),44638.86813657407)</f>
        <v>44638.86814</v>
      </c>
      <c r="D7697" s="13">
        <f t="shared" si="1"/>
        <v>18</v>
      </c>
      <c r="E7697" s="13">
        <f t="shared" si="2"/>
        <v>20</v>
      </c>
    </row>
    <row r="7698">
      <c r="A7698" s="4" t="s">
        <v>8309</v>
      </c>
      <c r="B7698" s="16"/>
      <c r="C7698" s="12">
        <f>IFERROR(__xludf.DUMMYFUNCTION("""COMPUTED_VALUE"""),44638.86556712963)</f>
        <v>44638.86557</v>
      </c>
      <c r="D7698" s="13">
        <f t="shared" si="1"/>
        <v>18</v>
      </c>
      <c r="E7698" s="13">
        <f t="shared" si="2"/>
        <v>20</v>
      </c>
    </row>
    <row r="7699">
      <c r="A7699" s="4" t="s">
        <v>8310</v>
      </c>
      <c r="B7699" s="16"/>
      <c r="C7699" s="12">
        <f>IFERROR(__xludf.DUMMYFUNCTION("""COMPUTED_VALUE"""),44638.859456018516)</f>
        <v>44638.85946</v>
      </c>
      <c r="D7699" s="13">
        <f t="shared" si="1"/>
        <v>18</v>
      </c>
      <c r="E7699" s="13">
        <f t="shared" si="2"/>
        <v>20</v>
      </c>
    </row>
    <row r="7700">
      <c r="A7700" s="4" t="s">
        <v>8311</v>
      </c>
      <c r="B7700" s="16"/>
      <c r="C7700" s="12">
        <f>IFERROR(__xludf.DUMMYFUNCTION("""COMPUTED_VALUE"""),44638.855682870366)</f>
        <v>44638.85568</v>
      </c>
      <c r="D7700" s="13">
        <f t="shared" si="1"/>
        <v>18</v>
      </c>
      <c r="E7700" s="13">
        <f t="shared" si="2"/>
        <v>20</v>
      </c>
    </row>
    <row r="7701">
      <c r="A7701" s="4" t="s">
        <v>8312</v>
      </c>
      <c r="B7701" s="16"/>
      <c r="C7701" s="12">
        <f>IFERROR(__xludf.DUMMYFUNCTION("""COMPUTED_VALUE"""),44638.850648148145)</f>
        <v>44638.85065</v>
      </c>
      <c r="D7701" s="13">
        <f t="shared" si="1"/>
        <v>18</v>
      </c>
      <c r="E7701" s="13">
        <f t="shared" si="2"/>
        <v>20</v>
      </c>
    </row>
    <row r="7702">
      <c r="A7702" s="4" t="s">
        <v>8313</v>
      </c>
      <c r="B7702" s="16"/>
      <c r="C7702" s="12">
        <f>IFERROR(__xludf.DUMMYFUNCTION("""COMPUTED_VALUE"""),44638.837743055556)</f>
        <v>44638.83774</v>
      </c>
      <c r="D7702" s="13">
        <f t="shared" si="1"/>
        <v>18</v>
      </c>
      <c r="E7702" s="13">
        <f t="shared" si="2"/>
        <v>20</v>
      </c>
    </row>
    <row r="7703">
      <c r="A7703" s="4" t="s">
        <v>8314</v>
      </c>
      <c r="B7703" s="16"/>
      <c r="C7703" s="12">
        <f>IFERROR(__xludf.DUMMYFUNCTION("""COMPUTED_VALUE"""),44638.8346412037)</f>
        <v>44638.83464</v>
      </c>
      <c r="D7703" s="13">
        <f t="shared" si="1"/>
        <v>18</v>
      </c>
      <c r="E7703" s="13">
        <f t="shared" si="2"/>
        <v>20</v>
      </c>
    </row>
    <row r="7704">
      <c r="A7704" s="4" t="s">
        <v>8315</v>
      </c>
      <c r="B7704" s="16"/>
      <c r="C7704" s="12">
        <f>IFERROR(__xludf.DUMMYFUNCTION("""COMPUTED_VALUE"""),44638.829930555556)</f>
        <v>44638.82993</v>
      </c>
      <c r="D7704" s="13">
        <f t="shared" si="1"/>
        <v>18</v>
      </c>
      <c r="E7704" s="13">
        <f t="shared" si="2"/>
        <v>19</v>
      </c>
    </row>
    <row r="7705">
      <c r="A7705" s="4" t="s">
        <v>8316</v>
      </c>
      <c r="B7705" s="16"/>
      <c r="C7705" s="12">
        <f>IFERROR(__xludf.DUMMYFUNCTION("""COMPUTED_VALUE"""),44638.824537037035)</f>
        <v>44638.82454</v>
      </c>
      <c r="D7705" s="13">
        <f t="shared" si="1"/>
        <v>18</v>
      </c>
      <c r="E7705" s="13">
        <f t="shared" si="2"/>
        <v>19</v>
      </c>
    </row>
    <row r="7706">
      <c r="A7706" s="4" t="s">
        <v>8317</v>
      </c>
      <c r="B7706" s="16"/>
      <c r="C7706" s="12">
        <f>IFERROR(__xludf.DUMMYFUNCTION("""COMPUTED_VALUE"""),44638.743796296294)</f>
        <v>44638.7438</v>
      </c>
      <c r="D7706" s="13">
        <f t="shared" si="1"/>
        <v>18</v>
      </c>
      <c r="E7706" s="13">
        <f t="shared" si="2"/>
        <v>17</v>
      </c>
    </row>
    <row r="7707">
      <c r="A7707" s="4" t="s">
        <v>8318</v>
      </c>
      <c r="B7707" s="16"/>
      <c r="C7707" s="12">
        <f>IFERROR(__xludf.DUMMYFUNCTION("""COMPUTED_VALUE"""),44638.69180555555)</f>
        <v>44638.69181</v>
      </c>
      <c r="D7707" s="13">
        <f t="shared" si="1"/>
        <v>18</v>
      </c>
      <c r="E7707" s="13">
        <f t="shared" si="2"/>
        <v>16</v>
      </c>
    </row>
    <row r="7708">
      <c r="A7708" s="4" t="s">
        <v>8319</v>
      </c>
      <c r="B7708" s="16"/>
      <c r="C7708" s="12">
        <f>IFERROR(__xludf.DUMMYFUNCTION("""COMPUTED_VALUE"""),44638.63967592592)</f>
        <v>44638.63968</v>
      </c>
      <c r="D7708" s="13">
        <f t="shared" si="1"/>
        <v>18</v>
      </c>
      <c r="E7708" s="13">
        <f t="shared" si="2"/>
        <v>15</v>
      </c>
    </row>
    <row r="7709">
      <c r="A7709" s="4" t="s">
        <v>8320</v>
      </c>
      <c r="B7709" s="16"/>
      <c r="C7709" s="12">
        <f>IFERROR(__xludf.DUMMYFUNCTION("""COMPUTED_VALUE"""),44638.61108796296)</f>
        <v>44638.61109</v>
      </c>
      <c r="D7709" s="13">
        <f t="shared" si="1"/>
        <v>18</v>
      </c>
      <c r="E7709" s="13">
        <f t="shared" si="2"/>
        <v>14</v>
      </c>
    </row>
    <row r="7710">
      <c r="A7710" s="4" t="s">
        <v>8321</v>
      </c>
      <c r="B7710" s="16"/>
      <c r="C7710" s="12">
        <f>IFERROR(__xludf.DUMMYFUNCTION("""COMPUTED_VALUE"""),44638.609884259255)</f>
        <v>44638.60988</v>
      </c>
      <c r="D7710" s="13">
        <f t="shared" si="1"/>
        <v>18</v>
      </c>
      <c r="E7710" s="13">
        <f t="shared" si="2"/>
        <v>14</v>
      </c>
    </row>
    <row r="7711">
      <c r="A7711" s="4" t="s">
        <v>8322</v>
      </c>
      <c r="B7711" s="16"/>
      <c r="C7711" s="12">
        <f>IFERROR(__xludf.DUMMYFUNCTION("""COMPUTED_VALUE"""),44638.60770833333)</f>
        <v>44638.60771</v>
      </c>
      <c r="D7711" s="13">
        <f t="shared" si="1"/>
        <v>18</v>
      </c>
      <c r="E7711" s="13">
        <f t="shared" si="2"/>
        <v>14</v>
      </c>
    </row>
    <row r="7712">
      <c r="A7712" s="4" t="s">
        <v>8323</v>
      </c>
      <c r="B7712" s="16"/>
      <c r="C7712" s="12">
        <f>IFERROR(__xludf.DUMMYFUNCTION("""COMPUTED_VALUE"""),44638.604849537034)</f>
        <v>44638.60485</v>
      </c>
      <c r="D7712" s="13">
        <f t="shared" si="1"/>
        <v>18</v>
      </c>
      <c r="E7712" s="13">
        <f t="shared" si="2"/>
        <v>14</v>
      </c>
    </row>
    <row r="7713">
      <c r="A7713" s="4" t="s">
        <v>8324</v>
      </c>
      <c r="B7713" s="16"/>
      <c r="C7713" s="12">
        <f>IFERROR(__xludf.DUMMYFUNCTION("""COMPUTED_VALUE"""),44638.60116898148)</f>
        <v>44638.60117</v>
      </c>
      <c r="D7713" s="13">
        <f t="shared" si="1"/>
        <v>18</v>
      </c>
      <c r="E7713" s="13">
        <f t="shared" si="2"/>
        <v>14</v>
      </c>
    </row>
    <row r="7714">
      <c r="A7714" s="4" t="s">
        <v>8325</v>
      </c>
      <c r="B7714" s="16"/>
      <c r="C7714" s="12">
        <f>IFERROR(__xludf.DUMMYFUNCTION("""COMPUTED_VALUE"""),44638.60042824074)</f>
        <v>44638.60043</v>
      </c>
      <c r="D7714" s="13">
        <f t="shared" si="1"/>
        <v>18</v>
      </c>
      <c r="E7714" s="13">
        <f t="shared" si="2"/>
        <v>14</v>
      </c>
    </row>
    <row r="7715">
      <c r="A7715" s="4" t="s">
        <v>8326</v>
      </c>
      <c r="B7715" s="16"/>
      <c r="C7715" s="12">
        <f>IFERROR(__xludf.DUMMYFUNCTION("""COMPUTED_VALUE"""),44638.59581018518)</f>
        <v>44638.59581</v>
      </c>
      <c r="D7715" s="13">
        <f t="shared" si="1"/>
        <v>18</v>
      </c>
      <c r="E7715" s="13">
        <f t="shared" si="2"/>
        <v>14</v>
      </c>
    </row>
    <row r="7716">
      <c r="A7716" s="4" t="s">
        <v>8327</v>
      </c>
      <c r="B7716" s="16"/>
      <c r="C7716" s="12">
        <f>IFERROR(__xludf.DUMMYFUNCTION("""COMPUTED_VALUE"""),44638.58888888889)</f>
        <v>44638.58889</v>
      </c>
      <c r="D7716" s="13">
        <f t="shared" si="1"/>
        <v>18</v>
      </c>
      <c r="E7716" s="13">
        <f t="shared" si="2"/>
        <v>14</v>
      </c>
    </row>
    <row r="7717">
      <c r="A7717" s="4" t="s">
        <v>8328</v>
      </c>
      <c r="B7717" s="16"/>
      <c r="C7717" s="12">
        <f>IFERROR(__xludf.DUMMYFUNCTION("""COMPUTED_VALUE"""),44638.58831018518)</f>
        <v>44638.58831</v>
      </c>
      <c r="D7717" s="13">
        <f t="shared" si="1"/>
        <v>18</v>
      </c>
      <c r="E7717" s="13">
        <f t="shared" si="2"/>
        <v>14</v>
      </c>
    </row>
    <row r="7718">
      <c r="A7718" s="4" t="s">
        <v>8329</v>
      </c>
      <c r="B7718" s="16"/>
      <c r="C7718" s="12">
        <f>IFERROR(__xludf.DUMMYFUNCTION("""COMPUTED_VALUE"""),44638.57471064814)</f>
        <v>44638.57471</v>
      </c>
      <c r="D7718" s="13">
        <f t="shared" si="1"/>
        <v>18</v>
      </c>
      <c r="E7718" s="13">
        <f t="shared" si="2"/>
        <v>13</v>
      </c>
    </row>
    <row r="7719">
      <c r="A7719" s="4" t="s">
        <v>8330</v>
      </c>
      <c r="B7719" s="16"/>
      <c r="C7719" s="12">
        <f>IFERROR(__xludf.DUMMYFUNCTION("""COMPUTED_VALUE"""),44638.567407407405)</f>
        <v>44638.56741</v>
      </c>
      <c r="D7719" s="13">
        <f t="shared" si="1"/>
        <v>18</v>
      </c>
      <c r="E7719" s="13">
        <f t="shared" si="2"/>
        <v>13</v>
      </c>
    </row>
    <row r="7720">
      <c r="A7720" s="4" t="s">
        <v>8331</v>
      </c>
      <c r="B7720" s="16"/>
      <c r="C7720" s="12">
        <f>IFERROR(__xludf.DUMMYFUNCTION("""COMPUTED_VALUE"""),44638.56613425926)</f>
        <v>44638.56613</v>
      </c>
      <c r="D7720" s="13">
        <f t="shared" si="1"/>
        <v>18</v>
      </c>
      <c r="E7720" s="13">
        <f t="shared" si="2"/>
        <v>13</v>
      </c>
    </row>
    <row r="7721">
      <c r="A7721" s="4" t="s">
        <v>8332</v>
      </c>
      <c r="B7721" s="16"/>
      <c r="C7721" s="12">
        <f>IFERROR(__xludf.DUMMYFUNCTION("""COMPUTED_VALUE"""),44638.55805555555)</f>
        <v>44638.55806</v>
      </c>
      <c r="D7721" s="13">
        <f t="shared" si="1"/>
        <v>18</v>
      </c>
      <c r="E7721" s="13">
        <f t="shared" si="2"/>
        <v>13</v>
      </c>
    </row>
    <row r="7722">
      <c r="A7722" s="4" t="s">
        <v>8333</v>
      </c>
      <c r="B7722" s="16"/>
      <c r="C7722" s="12">
        <f>IFERROR(__xludf.DUMMYFUNCTION("""COMPUTED_VALUE"""),44638.54204861111)</f>
        <v>44638.54205</v>
      </c>
      <c r="D7722" s="13">
        <f t="shared" si="1"/>
        <v>18</v>
      </c>
      <c r="E7722" s="13">
        <f t="shared" si="2"/>
        <v>13</v>
      </c>
    </row>
    <row r="7723">
      <c r="A7723" s="4" t="s">
        <v>8334</v>
      </c>
      <c r="B7723" s="16"/>
      <c r="C7723" s="12">
        <f>IFERROR(__xludf.DUMMYFUNCTION("""COMPUTED_VALUE"""),44638.535891203705)</f>
        <v>44638.53589</v>
      </c>
      <c r="D7723" s="13">
        <f t="shared" si="1"/>
        <v>18</v>
      </c>
      <c r="E7723" s="13">
        <f t="shared" si="2"/>
        <v>12</v>
      </c>
    </row>
    <row r="7724">
      <c r="A7724" s="4" t="s">
        <v>8335</v>
      </c>
      <c r="B7724" s="16"/>
      <c r="C7724" s="12">
        <f>IFERROR(__xludf.DUMMYFUNCTION("""COMPUTED_VALUE"""),44638.535625)</f>
        <v>44638.53563</v>
      </c>
      <c r="D7724" s="13">
        <f t="shared" si="1"/>
        <v>18</v>
      </c>
      <c r="E7724" s="13">
        <f t="shared" si="2"/>
        <v>12</v>
      </c>
    </row>
    <row r="7725">
      <c r="A7725" s="4" t="s">
        <v>8336</v>
      </c>
      <c r="B7725" s="16"/>
      <c r="C7725" s="12">
        <f>IFERROR(__xludf.DUMMYFUNCTION("""COMPUTED_VALUE"""),44638.46434027777)</f>
        <v>44638.46434</v>
      </c>
      <c r="D7725" s="13">
        <f t="shared" si="1"/>
        <v>18</v>
      </c>
      <c r="E7725" s="13">
        <f t="shared" si="2"/>
        <v>11</v>
      </c>
    </row>
    <row r="7726">
      <c r="A7726" s="4" t="s">
        <v>8337</v>
      </c>
      <c r="B7726" s="16"/>
      <c r="C7726" s="12">
        <f>IFERROR(__xludf.DUMMYFUNCTION("""COMPUTED_VALUE"""),44638.462546296294)</f>
        <v>44638.46255</v>
      </c>
      <c r="D7726" s="13">
        <f t="shared" si="1"/>
        <v>18</v>
      </c>
      <c r="E7726" s="13">
        <f t="shared" si="2"/>
        <v>11</v>
      </c>
    </row>
    <row r="7727">
      <c r="A7727" s="4" t="s">
        <v>8338</v>
      </c>
      <c r="B7727" s="16"/>
      <c r="C7727" s="12">
        <f>IFERROR(__xludf.DUMMYFUNCTION("""COMPUTED_VALUE"""),44638.437685185185)</f>
        <v>44638.43769</v>
      </c>
      <c r="D7727" s="13">
        <f t="shared" si="1"/>
        <v>18</v>
      </c>
      <c r="E7727" s="13">
        <f t="shared" si="2"/>
        <v>10</v>
      </c>
    </row>
    <row r="7728">
      <c r="A7728" s="4" t="s">
        <v>8339</v>
      </c>
      <c r="B7728" s="16"/>
      <c r="C7728" s="12">
        <f>IFERROR(__xludf.DUMMYFUNCTION("""COMPUTED_VALUE"""),44638.43723379629)</f>
        <v>44638.43723</v>
      </c>
      <c r="D7728" s="13">
        <f t="shared" si="1"/>
        <v>18</v>
      </c>
      <c r="E7728" s="13">
        <f t="shared" si="2"/>
        <v>10</v>
      </c>
    </row>
    <row r="7729">
      <c r="A7729" s="4" t="s">
        <v>8340</v>
      </c>
      <c r="B7729" s="16"/>
      <c r="C7729" s="12">
        <f>IFERROR(__xludf.DUMMYFUNCTION("""COMPUTED_VALUE"""),44638.32643518518)</f>
        <v>44638.32644</v>
      </c>
      <c r="D7729" s="13">
        <f t="shared" si="1"/>
        <v>18</v>
      </c>
      <c r="E7729" s="13">
        <f t="shared" si="2"/>
        <v>7</v>
      </c>
    </row>
    <row r="7730">
      <c r="A7730" s="4" t="s">
        <v>8341</v>
      </c>
      <c r="B7730" s="16"/>
      <c r="C7730" s="12">
        <f>IFERROR(__xludf.DUMMYFUNCTION("""COMPUTED_VALUE"""),44638.32546296296)</f>
        <v>44638.32546</v>
      </c>
      <c r="D7730" s="13">
        <f t="shared" si="1"/>
        <v>18</v>
      </c>
      <c r="E7730" s="13">
        <f t="shared" si="2"/>
        <v>7</v>
      </c>
    </row>
    <row r="7731">
      <c r="A7731" s="4" t="s">
        <v>8342</v>
      </c>
      <c r="B7731" s="16"/>
      <c r="C7731" s="12">
        <f>IFERROR(__xludf.DUMMYFUNCTION("""COMPUTED_VALUE"""),44638.01372685185)</f>
        <v>44638.01373</v>
      </c>
      <c r="D7731" s="13">
        <f t="shared" si="1"/>
        <v>18</v>
      </c>
      <c r="E7731" s="13">
        <f t="shared" si="2"/>
        <v>0</v>
      </c>
    </row>
    <row r="7732">
      <c r="A7732" s="4" t="s">
        <v>8343</v>
      </c>
      <c r="B7732" s="16"/>
      <c r="C7732" s="12">
        <f>IFERROR(__xludf.DUMMYFUNCTION("""COMPUTED_VALUE"""),44637.99899305555)</f>
        <v>44637.99899</v>
      </c>
      <c r="D7732" s="13">
        <f t="shared" si="1"/>
        <v>17</v>
      </c>
      <c r="E7732" s="13">
        <f t="shared" si="2"/>
        <v>23</v>
      </c>
    </row>
    <row r="7733">
      <c r="A7733" s="4" t="s">
        <v>8344</v>
      </c>
      <c r="B7733" s="16"/>
      <c r="C7733" s="12">
        <f>IFERROR(__xludf.DUMMYFUNCTION("""COMPUTED_VALUE"""),44637.99648148148)</f>
        <v>44637.99648</v>
      </c>
      <c r="D7733" s="13">
        <f t="shared" si="1"/>
        <v>17</v>
      </c>
      <c r="E7733" s="13">
        <f t="shared" si="2"/>
        <v>23</v>
      </c>
    </row>
    <row r="7734">
      <c r="A7734" s="4" t="s">
        <v>8345</v>
      </c>
      <c r="B7734" s="16"/>
      <c r="C7734" s="12">
        <f>IFERROR(__xludf.DUMMYFUNCTION("""COMPUTED_VALUE"""),44637.98212962963)</f>
        <v>44637.98213</v>
      </c>
      <c r="D7734" s="13">
        <f t="shared" si="1"/>
        <v>17</v>
      </c>
      <c r="E7734" s="13">
        <f t="shared" si="2"/>
        <v>23</v>
      </c>
    </row>
    <row r="7735">
      <c r="A7735" s="4" t="s">
        <v>8346</v>
      </c>
      <c r="B7735" s="16"/>
      <c r="C7735" s="12">
        <f>IFERROR(__xludf.DUMMYFUNCTION("""COMPUTED_VALUE"""),44637.97731481481)</f>
        <v>44637.97731</v>
      </c>
      <c r="D7735" s="13">
        <f t="shared" si="1"/>
        <v>17</v>
      </c>
      <c r="E7735" s="13">
        <f t="shared" si="2"/>
        <v>23</v>
      </c>
    </row>
    <row r="7736">
      <c r="A7736" s="4" t="s">
        <v>8347</v>
      </c>
      <c r="B7736" s="16"/>
      <c r="C7736" s="12">
        <f>IFERROR(__xludf.DUMMYFUNCTION("""COMPUTED_VALUE"""),44637.97101851852)</f>
        <v>44637.97102</v>
      </c>
      <c r="D7736" s="13">
        <f t="shared" si="1"/>
        <v>17</v>
      </c>
      <c r="E7736" s="13">
        <f t="shared" si="2"/>
        <v>23</v>
      </c>
    </row>
    <row r="7737">
      <c r="A7737" s="4" t="s">
        <v>8348</v>
      </c>
      <c r="B7737" s="16"/>
      <c r="C7737" s="12">
        <f>IFERROR(__xludf.DUMMYFUNCTION("""COMPUTED_VALUE"""),44637.91140046296)</f>
        <v>44637.9114</v>
      </c>
      <c r="D7737" s="13">
        <f t="shared" si="1"/>
        <v>17</v>
      </c>
      <c r="E7737" s="13">
        <f t="shared" si="2"/>
        <v>21</v>
      </c>
    </row>
    <row r="7738">
      <c r="A7738" s="4" t="s">
        <v>8349</v>
      </c>
      <c r="B7738" s="16"/>
      <c r="C7738" s="12">
        <f>IFERROR(__xludf.DUMMYFUNCTION("""COMPUTED_VALUE"""),44637.88328703703)</f>
        <v>44637.88329</v>
      </c>
      <c r="D7738" s="13">
        <f t="shared" si="1"/>
        <v>17</v>
      </c>
      <c r="E7738" s="13">
        <f t="shared" si="2"/>
        <v>21</v>
      </c>
    </row>
    <row r="7739">
      <c r="A7739" s="4" t="s">
        <v>8350</v>
      </c>
      <c r="B7739" s="16"/>
      <c r="C7739" s="12">
        <f>IFERROR(__xludf.DUMMYFUNCTION("""COMPUTED_VALUE"""),44637.880011574074)</f>
        <v>44637.88001</v>
      </c>
      <c r="D7739" s="13">
        <f t="shared" si="1"/>
        <v>17</v>
      </c>
      <c r="E7739" s="13">
        <f t="shared" si="2"/>
        <v>21</v>
      </c>
    </row>
    <row r="7740">
      <c r="A7740" s="4" t="s">
        <v>8351</v>
      </c>
      <c r="B7740" s="16"/>
      <c r="C7740" s="12">
        <f>IFERROR(__xludf.DUMMYFUNCTION("""COMPUTED_VALUE"""),44637.87951388889)</f>
        <v>44637.87951</v>
      </c>
      <c r="D7740" s="13">
        <f t="shared" si="1"/>
        <v>17</v>
      </c>
      <c r="E7740" s="13">
        <f t="shared" si="2"/>
        <v>21</v>
      </c>
    </row>
    <row r="7741">
      <c r="A7741" s="4" t="s">
        <v>8352</v>
      </c>
      <c r="B7741" s="16"/>
      <c r="C7741" s="12">
        <f>IFERROR(__xludf.DUMMYFUNCTION("""COMPUTED_VALUE"""),44637.87857638889)</f>
        <v>44637.87858</v>
      </c>
      <c r="D7741" s="13">
        <f t="shared" si="1"/>
        <v>17</v>
      </c>
      <c r="E7741" s="13">
        <f t="shared" si="2"/>
        <v>21</v>
      </c>
    </row>
    <row r="7742">
      <c r="A7742" s="4" t="s">
        <v>8353</v>
      </c>
      <c r="B7742" s="16"/>
      <c r="C7742" s="12">
        <f>IFERROR(__xludf.DUMMYFUNCTION("""COMPUTED_VALUE"""),44637.878287037034)</f>
        <v>44637.87829</v>
      </c>
      <c r="D7742" s="13">
        <f t="shared" si="1"/>
        <v>17</v>
      </c>
      <c r="E7742" s="13">
        <f t="shared" si="2"/>
        <v>21</v>
      </c>
    </row>
    <row r="7743">
      <c r="A7743" s="4" t="s">
        <v>8354</v>
      </c>
      <c r="B7743" s="16"/>
      <c r="C7743" s="12">
        <f>IFERROR(__xludf.DUMMYFUNCTION("""COMPUTED_VALUE"""),44637.876562499994)</f>
        <v>44637.87656</v>
      </c>
      <c r="D7743" s="13">
        <f t="shared" si="1"/>
        <v>17</v>
      </c>
      <c r="E7743" s="13">
        <f t="shared" si="2"/>
        <v>21</v>
      </c>
    </row>
    <row r="7744">
      <c r="A7744" s="4" t="s">
        <v>8355</v>
      </c>
      <c r="B7744" s="16"/>
      <c r="C7744" s="12">
        <f>IFERROR(__xludf.DUMMYFUNCTION("""COMPUTED_VALUE"""),44637.87572916666)</f>
        <v>44637.87573</v>
      </c>
      <c r="D7744" s="13">
        <f t="shared" si="1"/>
        <v>17</v>
      </c>
      <c r="E7744" s="13">
        <f t="shared" si="2"/>
        <v>21</v>
      </c>
    </row>
    <row r="7745">
      <c r="A7745" s="4" t="s">
        <v>8356</v>
      </c>
      <c r="B7745" s="16"/>
      <c r="C7745" s="12">
        <f>IFERROR(__xludf.DUMMYFUNCTION("""COMPUTED_VALUE"""),44637.87454861111)</f>
        <v>44637.87455</v>
      </c>
      <c r="D7745" s="13">
        <f t="shared" si="1"/>
        <v>17</v>
      </c>
      <c r="E7745" s="13">
        <f t="shared" si="2"/>
        <v>20</v>
      </c>
    </row>
    <row r="7746">
      <c r="A7746" s="4" t="s">
        <v>8357</v>
      </c>
      <c r="B7746" s="16"/>
      <c r="C7746" s="12">
        <f>IFERROR(__xludf.DUMMYFUNCTION("""COMPUTED_VALUE"""),44637.87060185185)</f>
        <v>44637.8706</v>
      </c>
      <c r="D7746" s="13">
        <f t="shared" si="1"/>
        <v>17</v>
      </c>
      <c r="E7746" s="13">
        <f t="shared" si="2"/>
        <v>20</v>
      </c>
    </row>
    <row r="7747">
      <c r="A7747" s="4" t="s">
        <v>8358</v>
      </c>
      <c r="B7747" s="16"/>
      <c r="C7747" s="12">
        <f>IFERROR(__xludf.DUMMYFUNCTION("""COMPUTED_VALUE"""),44637.845925925925)</f>
        <v>44637.84593</v>
      </c>
      <c r="D7747" s="13">
        <f t="shared" si="1"/>
        <v>17</v>
      </c>
      <c r="E7747" s="13">
        <f t="shared" si="2"/>
        <v>20</v>
      </c>
    </row>
    <row r="7748">
      <c r="A7748" s="4" t="s">
        <v>8359</v>
      </c>
      <c r="B7748" s="16"/>
      <c r="C7748" s="12">
        <f>IFERROR(__xludf.DUMMYFUNCTION("""COMPUTED_VALUE"""),44637.8352662037)</f>
        <v>44637.83527</v>
      </c>
      <c r="D7748" s="13">
        <f t="shared" si="1"/>
        <v>17</v>
      </c>
      <c r="E7748" s="13">
        <f t="shared" si="2"/>
        <v>20</v>
      </c>
    </row>
    <row r="7749">
      <c r="A7749" s="4" t="s">
        <v>8360</v>
      </c>
      <c r="B7749" s="16"/>
      <c r="C7749" s="12">
        <f>IFERROR(__xludf.DUMMYFUNCTION("""COMPUTED_VALUE"""),44637.83400462963)</f>
        <v>44637.834</v>
      </c>
      <c r="D7749" s="13">
        <f t="shared" si="1"/>
        <v>17</v>
      </c>
      <c r="E7749" s="13">
        <f t="shared" si="2"/>
        <v>20</v>
      </c>
    </row>
    <row r="7750">
      <c r="A7750" s="4" t="s">
        <v>8361</v>
      </c>
      <c r="B7750" s="16"/>
      <c r="C7750" s="12">
        <f>IFERROR(__xludf.DUMMYFUNCTION("""COMPUTED_VALUE"""),44637.83008101852)</f>
        <v>44637.83008</v>
      </c>
      <c r="D7750" s="13">
        <f t="shared" si="1"/>
        <v>17</v>
      </c>
      <c r="E7750" s="13">
        <f t="shared" si="2"/>
        <v>19</v>
      </c>
    </row>
    <row r="7751">
      <c r="A7751" s="4" t="s">
        <v>8362</v>
      </c>
      <c r="B7751" s="16"/>
      <c r="C7751" s="12">
        <f>IFERROR(__xludf.DUMMYFUNCTION("""COMPUTED_VALUE"""),44637.81848379629)</f>
        <v>44637.81848</v>
      </c>
      <c r="D7751" s="13">
        <f t="shared" si="1"/>
        <v>17</v>
      </c>
      <c r="E7751" s="13">
        <f t="shared" si="2"/>
        <v>19</v>
      </c>
    </row>
    <row r="7752">
      <c r="A7752" s="4" t="s">
        <v>8363</v>
      </c>
      <c r="B7752" s="16"/>
      <c r="C7752" s="12">
        <f>IFERROR(__xludf.DUMMYFUNCTION("""COMPUTED_VALUE"""),44637.81650462963)</f>
        <v>44637.8165</v>
      </c>
      <c r="D7752" s="13">
        <f t="shared" si="1"/>
        <v>17</v>
      </c>
      <c r="E7752" s="13">
        <f t="shared" si="2"/>
        <v>19</v>
      </c>
    </row>
    <row r="7753">
      <c r="A7753" s="4" t="s">
        <v>8364</v>
      </c>
      <c r="B7753" s="16"/>
      <c r="C7753" s="12">
        <f>IFERROR(__xludf.DUMMYFUNCTION("""COMPUTED_VALUE"""),44637.81391203703)</f>
        <v>44637.81391</v>
      </c>
      <c r="D7753" s="13">
        <f t="shared" si="1"/>
        <v>17</v>
      </c>
      <c r="E7753" s="13">
        <f t="shared" si="2"/>
        <v>19</v>
      </c>
    </row>
    <row r="7754">
      <c r="A7754" s="4" t="s">
        <v>8365</v>
      </c>
      <c r="B7754" s="16"/>
      <c r="C7754" s="12">
        <f>IFERROR(__xludf.DUMMYFUNCTION("""COMPUTED_VALUE"""),44637.81302083333)</f>
        <v>44637.81302</v>
      </c>
      <c r="D7754" s="13">
        <f t="shared" si="1"/>
        <v>17</v>
      </c>
      <c r="E7754" s="13">
        <f t="shared" si="2"/>
        <v>19</v>
      </c>
    </row>
    <row r="7755">
      <c r="A7755" s="4" t="s">
        <v>8366</v>
      </c>
      <c r="B7755" s="16"/>
      <c r="C7755" s="12">
        <f>IFERROR(__xludf.DUMMYFUNCTION("""COMPUTED_VALUE"""),44637.79200231481)</f>
        <v>44637.792</v>
      </c>
      <c r="D7755" s="13">
        <f t="shared" si="1"/>
        <v>17</v>
      </c>
      <c r="E7755" s="13">
        <f t="shared" si="2"/>
        <v>19</v>
      </c>
    </row>
    <row r="7756">
      <c r="A7756" s="4" t="s">
        <v>8367</v>
      </c>
      <c r="B7756" s="16"/>
      <c r="C7756" s="12">
        <f>IFERROR(__xludf.DUMMYFUNCTION("""COMPUTED_VALUE"""),44637.78631944444)</f>
        <v>44637.78632</v>
      </c>
      <c r="D7756" s="13">
        <f t="shared" si="1"/>
        <v>17</v>
      </c>
      <c r="E7756" s="13">
        <f t="shared" si="2"/>
        <v>18</v>
      </c>
    </row>
    <row r="7757">
      <c r="A7757" s="4" t="s">
        <v>8368</v>
      </c>
      <c r="B7757" s="16"/>
      <c r="C7757" s="12">
        <f>IFERROR(__xludf.DUMMYFUNCTION("""COMPUTED_VALUE"""),44637.77548611111)</f>
        <v>44637.77549</v>
      </c>
      <c r="D7757" s="13">
        <f t="shared" si="1"/>
        <v>17</v>
      </c>
      <c r="E7757" s="13">
        <f t="shared" si="2"/>
        <v>18</v>
      </c>
    </row>
    <row r="7758">
      <c r="A7758" s="4" t="s">
        <v>8369</v>
      </c>
      <c r="B7758" s="16"/>
      <c r="C7758" s="12">
        <f>IFERROR(__xludf.DUMMYFUNCTION("""COMPUTED_VALUE"""),44637.76548611111)</f>
        <v>44637.76549</v>
      </c>
      <c r="D7758" s="13">
        <f t="shared" si="1"/>
        <v>17</v>
      </c>
      <c r="E7758" s="13">
        <f t="shared" si="2"/>
        <v>18</v>
      </c>
    </row>
    <row r="7759">
      <c r="A7759" s="4" t="s">
        <v>8370</v>
      </c>
      <c r="B7759" s="16"/>
      <c r="C7759" s="12">
        <f>IFERROR(__xludf.DUMMYFUNCTION("""COMPUTED_VALUE"""),44637.722395833334)</f>
        <v>44637.7224</v>
      </c>
      <c r="D7759" s="13">
        <f t="shared" si="1"/>
        <v>17</v>
      </c>
      <c r="E7759" s="13">
        <f t="shared" si="2"/>
        <v>17</v>
      </c>
    </row>
    <row r="7760">
      <c r="A7760" s="4" t="s">
        <v>8371</v>
      </c>
      <c r="B7760" s="16"/>
      <c r="C7760" s="12">
        <f>IFERROR(__xludf.DUMMYFUNCTION("""COMPUTED_VALUE"""),44637.707986111105)</f>
        <v>44637.70799</v>
      </c>
      <c r="D7760" s="13">
        <f t="shared" si="1"/>
        <v>17</v>
      </c>
      <c r="E7760" s="13">
        <f t="shared" si="2"/>
        <v>16</v>
      </c>
    </row>
    <row r="7761">
      <c r="A7761" s="4" t="s">
        <v>8372</v>
      </c>
      <c r="B7761" s="16"/>
      <c r="C7761" s="12">
        <f>IFERROR(__xludf.DUMMYFUNCTION("""COMPUTED_VALUE"""),44637.69126157407)</f>
        <v>44637.69126</v>
      </c>
      <c r="D7761" s="13">
        <f t="shared" si="1"/>
        <v>17</v>
      </c>
      <c r="E7761" s="13">
        <f t="shared" si="2"/>
        <v>16</v>
      </c>
    </row>
    <row r="7762">
      <c r="A7762" s="4" t="s">
        <v>8373</v>
      </c>
      <c r="B7762" s="16"/>
      <c r="C7762" s="12">
        <f>IFERROR(__xludf.DUMMYFUNCTION("""COMPUTED_VALUE"""),44637.6908449074)</f>
        <v>44637.69084</v>
      </c>
      <c r="D7762" s="13">
        <f t="shared" si="1"/>
        <v>17</v>
      </c>
      <c r="E7762" s="13">
        <f t="shared" si="2"/>
        <v>16</v>
      </c>
    </row>
    <row r="7763">
      <c r="A7763" s="4" t="s">
        <v>8374</v>
      </c>
      <c r="B7763" s="16"/>
      <c r="C7763" s="12">
        <f>IFERROR(__xludf.DUMMYFUNCTION("""COMPUTED_VALUE"""),44637.683124999996)</f>
        <v>44637.68313</v>
      </c>
      <c r="D7763" s="13">
        <f t="shared" si="1"/>
        <v>17</v>
      </c>
      <c r="E7763" s="13">
        <f t="shared" si="2"/>
        <v>16</v>
      </c>
    </row>
    <row r="7764">
      <c r="A7764" s="4" t="s">
        <v>8375</v>
      </c>
      <c r="B7764" s="16"/>
      <c r="C7764" s="12">
        <f>IFERROR(__xludf.DUMMYFUNCTION("""COMPUTED_VALUE"""),44637.67556712963)</f>
        <v>44637.67557</v>
      </c>
      <c r="D7764" s="13">
        <f t="shared" si="1"/>
        <v>17</v>
      </c>
      <c r="E7764" s="13">
        <f t="shared" si="2"/>
        <v>16</v>
      </c>
    </row>
    <row r="7765">
      <c r="A7765" s="4" t="s">
        <v>8376</v>
      </c>
      <c r="B7765" s="16"/>
      <c r="C7765" s="12">
        <f>IFERROR(__xludf.DUMMYFUNCTION("""COMPUTED_VALUE"""),44637.674108796295)</f>
        <v>44637.67411</v>
      </c>
      <c r="D7765" s="13">
        <f t="shared" si="1"/>
        <v>17</v>
      </c>
      <c r="E7765" s="13">
        <f t="shared" si="2"/>
        <v>16</v>
      </c>
    </row>
    <row r="7766">
      <c r="A7766" s="4" t="s">
        <v>8377</v>
      </c>
      <c r="B7766" s="16"/>
      <c r="C7766" s="12">
        <f>IFERROR(__xludf.DUMMYFUNCTION("""COMPUTED_VALUE"""),44637.6728125)</f>
        <v>44637.67281</v>
      </c>
      <c r="D7766" s="13">
        <f t="shared" si="1"/>
        <v>17</v>
      </c>
      <c r="E7766" s="13">
        <f t="shared" si="2"/>
        <v>16</v>
      </c>
    </row>
    <row r="7767">
      <c r="A7767" s="4" t="s">
        <v>8378</v>
      </c>
      <c r="B7767" s="16"/>
      <c r="C7767" s="12">
        <f>IFERROR(__xludf.DUMMYFUNCTION("""COMPUTED_VALUE"""),44637.64024305555)</f>
        <v>44637.64024</v>
      </c>
      <c r="D7767" s="13">
        <f t="shared" si="1"/>
        <v>17</v>
      </c>
      <c r="E7767" s="13">
        <f t="shared" si="2"/>
        <v>15</v>
      </c>
    </row>
    <row r="7768">
      <c r="A7768" s="4" t="s">
        <v>8379</v>
      </c>
      <c r="B7768" s="16"/>
      <c r="C7768" s="12">
        <f>IFERROR(__xludf.DUMMYFUNCTION("""COMPUTED_VALUE"""),44637.64011574074)</f>
        <v>44637.64012</v>
      </c>
      <c r="D7768" s="13">
        <f t="shared" si="1"/>
        <v>17</v>
      </c>
      <c r="E7768" s="13">
        <f t="shared" si="2"/>
        <v>15</v>
      </c>
    </row>
    <row r="7769">
      <c r="A7769" s="4" t="s">
        <v>8380</v>
      </c>
      <c r="B7769" s="16"/>
      <c r="C7769" s="12">
        <f>IFERROR(__xludf.DUMMYFUNCTION("""COMPUTED_VALUE"""),44637.62951388889)</f>
        <v>44637.62951</v>
      </c>
      <c r="D7769" s="13">
        <f t="shared" si="1"/>
        <v>17</v>
      </c>
      <c r="E7769" s="13">
        <f t="shared" si="2"/>
        <v>15</v>
      </c>
    </row>
    <row r="7770">
      <c r="A7770" s="4" t="s">
        <v>8381</v>
      </c>
      <c r="B7770" s="16"/>
      <c r="C7770" s="12">
        <f>IFERROR(__xludf.DUMMYFUNCTION("""COMPUTED_VALUE"""),44637.62700231481)</f>
        <v>44637.627</v>
      </c>
      <c r="D7770" s="13">
        <f t="shared" si="1"/>
        <v>17</v>
      </c>
      <c r="E7770" s="13">
        <f t="shared" si="2"/>
        <v>15</v>
      </c>
    </row>
    <row r="7771">
      <c r="A7771" s="4" t="s">
        <v>8382</v>
      </c>
      <c r="B7771" s="16"/>
      <c r="C7771" s="12">
        <f>IFERROR(__xludf.DUMMYFUNCTION("""COMPUTED_VALUE"""),44637.617060185185)</f>
        <v>44637.61706</v>
      </c>
      <c r="D7771" s="13">
        <f t="shared" si="1"/>
        <v>17</v>
      </c>
      <c r="E7771" s="13">
        <f t="shared" si="2"/>
        <v>14</v>
      </c>
    </row>
    <row r="7772">
      <c r="A7772" s="4" t="s">
        <v>8383</v>
      </c>
      <c r="B7772" s="16"/>
      <c r="C7772" s="12">
        <f>IFERROR(__xludf.DUMMYFUNCTION("""COMPUTED_VALUE"""),44637.61274305555)</f>
        <v>44637.61274</v>
      </c>
      <c r="D7772" s="13">
        <f t="shared" si="1"/>
        <v>17</v>
      </c>
      <c r="E7772" s="13">
        <f t="shared" si="2"/>
        <v>14</v>
      </c>
    </row>
    <row r="7773">
      <c r="A7773" s="4" t="s">
        <v>8384</v>
      </c>
      <c r="B7773" s="16"/>
      <c r="C7773" s="12">
        <f>IFERROR(__xludf.DUMMYFUNCTION("""COMPUTED_VALUE"""),44637.61133101852)</f>
        <v>44637.61133</v>
      </c>
      <c r="D7773" s="13">
        <f t="shared" si="1"/>
        <v>17</v>
      </c>
      <c r="E7773" s="13">
        <f t="shared" si="2"/>
        <v>14</v>
      </c>
    </row>
    <row r="7774">
      <c r="A7774" s="4" t="s">
        <v>8385</v>
      </c>
      <c r="B7774" s="16"/>
      <c r="C7774" s="12">
        <f>IFERROR(__xludf.DUMMYFUNCTION("""COMPUTED_VALUE"""),44637.61114583333)</f>
        <v>44637.61115</v>
      </c>
      <c r="D7774" s="13">
        <f t="shared" si="1"/>
        <v>17</v>
      </c>
      <c r="E7774" s="13">
        <f t="shared" si="2"/>
        <v>14</v>
      </c>
    </row>
    <row r="7775">
      <c r="A7775" s="4" t="s">
        <v>8386</v>
      </c>
      <c r="B7775" s="16"/>
      <c r="C7775" s="12">
        <f>IFERROR(__xludf.DUMMYFUNCTION("""COMPUTED_VALUE"""),44637.61099537037)</f>
        <v>44637.611</v>
      </c>
      <c r="D7775" s="13">
        <f t="shared" si="1"/>
        <v>17</v>
      </c>
      <c r="E7775" s="13">
        <f t="shared" si="2"/>
        <v>14</v>
      </c>
    </row>
    <row r="7776">
      <c r="A7776" s="4" t="s">
        <v>8387</v>
      </c>
      <c r="B7776" s="16"/>
      <c r="C7776" s="12">
        <f>IFERROR(__xludf.DUMMYFUNCTION("""COMPUTED_VALUE"""),44637.61077546296)</f>
        <v>44637.61078</v>
      </c>
      <c r="D7776" s="13">
        <f t="shared" si="1"/>
        <v>17</v>
      </c>
      <c r="E7776" s="13">
        <f t="shared" si="2"/>
        <v>14</v>
      </c>
    </row>
    <row r="7777">
      <c r="A7777" s="4" t="s">
        <v>8388</v>
      </c>
      <c r="B7777" s="16"/>
      <c r="C7777" s="12">
        <f>IFERROR(__xludf.DUMMYFUNCTION("""COMPUTED_VALUE"""),44637.61065972222)</f>
        <v>44637.61066</v>
      </c>
      <c r="D7777" s="13">
        <f t="shared" si="1"/>
        <v>17</v>
      </c>
      <c r="E7777" s="13">
        <f t="shared" si="2"/>
        <v>14</v>
      </c>
    </row>
    <row r="7778">
      <c r="A7778" s="4" t="s">
        <v>8389</v>
      </c>
      <c r="B7778" s="16"/>
      <c r="C7778" s="12">
        <f>IFERROR(__xludf.DUMMYFUNCTION("""COMPUTED_VALUE"""),44637.59193287037)</f>
        <v>44637.59193</v>
      </c>
      <c r="D7778" s="13">
        <f t="shared" si="1"/>
        <v>17</v>
      </c>
      <c r="E7778" s="13">
        <f t="shared" si="2"/>
        <v>14</v>
      </c>
    </row>
    <row r="7779">
      <c r="A7779" s="4" t="s">
        <v>8390</v>
      </c>
      <c r="B7779" s="16"/>
      <c r="C7779" s="12">
        <f>IFERROR(__xludf.DUMMYFUNCTION("""COMPUTED_VALUE"""),44637.58630787037)</f>
        <v>44637.58631</v>
      </c>
      <c r="D7779" s="13">
        <f t="shared" si="1"/>
        <v>17</v>
      </c>
      <c r="E7779" s="13">
        <f t="shared" si="2"/>
        <v>14</v>
      </c>
    </row>
    <row r="7780">
      <c r="A7780" s="4" t="s">
        <v>8391</v>
      </c>
      <c r="B7780" s="16"/>
      <c r="C7780" s="12">
        <f>IFERROR(__xludf.DUMMYFUNCTION("""COMPUTED_VALUE"""),44637.58012731481)</f>
        <v>44637.58013</v>
      </c>
      <c r="D7780" s="13">
        <f t="shared" si="1"/>
        <v>17</v>
      </c>
      <c r="E7780" s="13">
        <f t="shared" si="2"/>
        <v>13</v>
      </c>
    </row>
    <row r="7781">
      <c r="A7781" s="4" t="s">
        <v>8392</v>
      </c>
      <c r="B7781" s="16"/>
      <c r="C7781" s="12">
        <f>IFERROR(__xludf.DUMMYFUNCTION("""COMPUTED_VALUE"""),44637.570023148146)</f>
        <v>44637.57002</v>
      </c>
      <c r="D7781" s="13">
        <f t="shared" si="1"/>
        <v>17</v>
      </c>
      <c r="E7781" s="13">
        <f t="shared" si="2"/>
        <v>13</v>
      </c>
    </row>
    <row r="7782">
      <c r="A7782" s="4" t="s">
        <v>8393</v>
      </c>
      <c r="B7782" s="16"/>
      <c r="C7782" s="12">
        <f>IFERROR(__xludf.DUMMYFUNCTION("""COMPUTED_VALUE"""),44637.545011574075)</f>
        <v>44637.54501</v>
      </c>
      <c r="D7782" s="13">
        <f t="shared" si="1"/>
        <v>17</v>
      </c>
      <c r="E7782" s="13">
        <f t="shared" si="2"/>
        <v>13</v>
      </c>
    </row>
    <row r="7783">
      <c r="A7783" s="4" t="s">
        <v>8394</v>
      </c>
      <c r="B7783" s="16"/>
      <c r="C7783" s="12">
        <f>IFERROR(__xludf.DUMMYFUNCTION("""COMPUTED_VALUE"""),44637.540300925924)</f>
        <v>44637.5403</v>
      </c>
      <c r="D7783" s="13">
        <f t="shared" si="1"/>
        <v>17</v>
      </c>
      <c r="E7783" s="13">
        <f t="shared" si="2"/>
        <v>12</v>
      </c>
    </row>
    <row r="7784">
      <c r="A7784" s="4" t="s">
        <v>8395</v>
      </c>
      <c r="B7784" s="16"/>
      <c r="C7784" s="12">
        <f>IFERROR(__xludf.DUMMYFUNCTION("""COMPUTED_VALUE"""),44637.533368055556)</f>
        <v>44637.53337</v>
      </c>
      <c r="D7784" s="13">
        <f t="shared" si="1"/>
        <v>17</v>
      </c>
      <c r="E7784" s="13">
        <f t="shared" si="2"/>
        <v>12</v>
      </c>
    </row>
    <row r="7785">
      <c r="A7785" s="4" t="s">
        <v>8396</v>
      </c>
      <c r="B7785" s="16"/>
      <c r="C7785" s="12">
        <f>IFERROR(__xludf.DUMMYFUNCTION("""COMPUTED_VALUE"""),44637.52853009259)</f>
        <v>44637.52853</v>
      </c>
      <c r="D7785" s="13">
        <f t="shared" si="1"/>
        <v>17</v>
      </c>
      <c r="E7785" s="13">
        <f t="shared" si="2"/>
        <v>12</v>
      </c>
    </row>
    <row r="7786">
      <c r="A7786" s="4" t="s">
        <v>8397</v>
      </c>
      <c r="B7786" s="16"/>
      <c r="C7786" s="12">
        <f>IFERROR(__xludf.DUMMYFUNCTION("""COMPUTED_VALUE"""),44637.51900462963)</f>
        <v>44637.519</v>
      </c>
      <c r="D7786" s="13">
        <f t="shared" si="1"/>
        <v>17</v>
      </c>
      <c r="E7786" s="13">
        <f t="shared" si="2"/>
        <v>12</v>
      </c>
    </row>
    <row r="7787">
      <c r="A7787" s="4" t="s">
        <v>8398</v>
      </c>
      <c r="B7787" s="16"/>
      <c r="C7787" s="12">
        <f>IFERROR(__xludf.DUMMYFUNCTION("""COMPUTED_VALUE"""),44637.51866898148)</f>
        <v>44637.51867</v>
      </c>
      <c r="D7787" s="13">
        <f t="shared" si="1"/>
        <v>17</v>
      </c>
      <c r="E7787" s="13">
        <f t="shared" si="2"/>
        <v>12</v>
      </c>
    </row>
    <row r="7788">
      <c r="A7788" s="4" t="s">
        <v>8399</v>
      </c>
      <c r="B7788" s="16"/>
      <c r="C7788" s="12">
        <f>IFERROR(__xludf.DUMMYFUNCTION("""COMPUTED_VALUE"""),44637.51648148148)</f>
        <v>44637.51648</v>
      </c>
      <c r="D7788" s="13">
        <f t="shared" si="1"/>
        <v>17</v>
      </c>
      <c r="E7788" s="13">
        <f t="shared" si="2"/>
        <v>12</v>
      </c>
    </row>
    <row r="7789">
      <c r="A7789" s="4" t="s">
        <v>8400</v>
      </c>
      <c r="B7789" s="16"/>
      <c r="C7789" s="12">
        <f>IFERROR(__xludf.DUMMYFUNCTION("""COMPUTED_VALUE"""),44637.51524305555)</f>
        <v>44637.51524</v>
      </c>
      <c r="D7789" s="13">
        <f t="shared" si="1"/>
        <v>17</v>
      </c>
      <c r="E7789" s="13">
        <f t="shared" si="2"/>
        <v>12</v>
      </c>
    </row>
    <row r="7790">
      <c r="A7790" s="4" t="s">
        <v>8401</v>
      </c>
      <c r="B7790" s="16"/>
      <c r="C7790" s="12">
        <f>IFERROR(__xludf.DUMMYFUNCTION("""COMPUTED_VALUE"""),44637.513831018514)</f>
        <v>44637.51383</v>
      </c>
      <c r="D7790" s="13">
        <f t="shared" si="1"/>
        <v>17</v>
      </c>
      <c r="E7790" s="13">
        <f t="shared" si="2"/>
        <v>12</v>
      </c>
    </row>
    <row r="7791">
      <c r="A7791" s="4" t="s">
        <v>8402</v>
      </c>
      <c r="B7791" s="16"/>
      <c r="C7791" s="12">
        <f>IFERROR(__xludf.DUMMYFUNCTION("""COMPUTED_VALUE"""),44637.466527777775)</f>
        <v>44637.46653</v>
      </c>
      <c r="D7791" s="13">
        <f t="shared" si="1"/>
        <v>17</v>
      </c>
      <c r="E7791" s="13">
        <f t="shared" si="2"/>
        <v>11</v>
      </c>
    </row>
    <row r="7792">
      <c r="A7792" s="4" t="s">
        <v>8403</v>
      </c>
      <c r="B7792" s="16"/>
      <c r="C7792" s="12">
        <f>IFERROR(__xludf.DUMMYFUNCTION("""COMPUTED_VALUE"""),44637.46451388889)</f>
        <v>44637.46451</v>
      </c>
      <c r="D7792" s="13">
        <f t="shared" si="1"/>
        <v>17</v>
      </c>
      <c r="E7792" s="13">
        <f t="shared" si="2"/>
        <v>11</v>
      </c>
    </row>
    <row r="7793">
      <c r="A7793" s="4" t="s">
        <v>8404</v>
      </c>
      <c r="B7793" s="16"/>
      <c r="C7793" s="12">
        <f>IFERROR(__xludf.DUMMYFUNCTION("""COMPUTED_VALUE"""),44637.46402777777)</f>
        <v>44637.46403</v>
      </c>
      <c r="D7793" s="13">
        <f t="shared" si="1"/>
        <v>17</v>
      </c>
      <c r="E7793" s="13">
        <f t="shared" si="2"/>
        <v>11</v>
      </c>
    </row>
    <row r="7794">
      <c r="A7794" s="4" t="s">
        <v>8405</v>
      </c>
      <c r="B7794" s="16"/>
      <c r="C7794" s="12">
        <f>IFERROR(__xludf.DUMMYFUNCTION("""COMPUTED_VALUE"""),44637.4528125)</f>
        <v>44637.45281</v>
      </c>
      <c r="D7794" s="13">
        <f t="shared" si="1"/>
        <v>17</v>
      </c>
      <c r="E7794" s="13">
        <f t="shared" si="2"/>
        <v>10</v>
      </c>
    </row>
    <row r="7795">
      <c r="A7795" s="4" t="s">
        <v>8406</v>
      </c>
      <c r="B7795" s="16"/>
      <c r="C7795" s="12">
        <f>IFERROR(__xludf.DUMMYFUNCTION("""COMPUTED_VALUE"""),44637.44814814815)</f>
        <v>44637.44815</v>
      </c>
      <c r="D7795" s="13">
        <f t="shared" si="1"/>
        <v>17</v>
      </c>
      <c r="E7795" s="13">
        <f t="shared" si="2"/>
        <v>10</v>
      </c>
    </row>
    <row r="7796">
      <c r="A7796" s="4" t="s">
        <v>8407</v>
      </c>
      <c r="B7796" s="16"/>
      <c r="C7796" s="12">
        <f>IFERROR(__xludf.DUMMYFUNCTION("""COMPUTED_VALUE"""),44637.43761574074)</f>
        <v>44637.43762</v>
      </c>
      <c r="D7796" s="13">
        <f t="shared" si="1"/>
        <v>17</v>
      </c>
      <c r="E7796" s="13">
        <f t="shared" si="2"/>
        <v>10</v>
      </c>
    </row>
    <row r="7797">
      <c r="A7797" s="4" t="s">
        <v>8408</v>
      </c>
      <c r="B7797" s="16"/>
      <c r="C7797" s="12">
        <f>IFERROR(__xludf.DUMMYFUNCTION("""COMPUTED_VALUE"""),44637.43728009259)</f>
        <v>44637.43728</v>
      </c>
      <c r="D7797" s="13">
        <f t="shared" si="1"/>
        <v>17</v>
      </c>
      <c r="E7797" s="13">
        <f t="shared" si="2"/>
        <v>10</v>
      </c>
    </row>
    <row r="7798">
      <c r="A7798" s="4" t="s">
        <v>8409</v>
      </c>
      <c r="B7798" s="16"/>
      <c r="C7798" s="12">
        <f>IFERROR(__xludf.DUMMYFUNCTION("""COMPUTED_VALUE"""),44637.425578703704)</f>
        <v>44637.42558</v>
      </c>
      <c r="D7798" s="13">
        <f t="shared" si="1"/>
        <v>17</v>
      </c>
      <c r="E7798" s="13">
        <f t="shared" si="2"/>
        <v>10</v>
      </c>
    </row>
    <row r="7799">
      <c r="A7799" s="4" t="s">
        <v>8410</v>
      </c>
      <c r="B7799" s="16"/>
      <c r="C7799" s="12">
        <f>IFERROR(__xludf.DUMMYFUNCTION("""COMPUTED_VALUE"""),44637.414375)</f>
        <v>44637.41438</v>
      </c>
      <c r="D7799" s="13">
        <f t="shared" si="1"/>
        <v>17</v>
      </c>
      <c r="E7799" s="13">
        <f t="shared" si="2"/>
        <v>9</v>
      </c>
    </row>
    <row r="7800">
      <c r="A7800" s="4" t="s">
        <v>8411</v>
      </c>
      <c r="B7800" s="16"/>
      <c r="C7800" s="12">
        <f>IFERROR(__xludf.DUMMYFUNCTION("""COMPUTED_VALUE"""),44637.41237268518)</f>
        <v>44637.41237</v>
      </c>
      <c r="D7800" s="13">
        <f t="shared" si="1"/>
        <v>17</v>
      </c>
      <c r="E7800" s="13">
        <f t="shared" si="2"/>
        <v>9</v>
      </c>
    </row>
    <row r="7801">
      <c r="A7801" s="4" t="s">
        <v>8412</v>
      </c>
      <c r="B7801" s="16"/>
      <c r="C7801" s="12">
        <f>IFERROR(__xludf.DUMMYFUNCTION("""COMPUTED_VALUE"""),44637.4115625)</f>
        <v>44637.41156</v>
      </c>
      <c r="D7801" s="13">
        <f t="shared" si="1"/>
        <v>17</v>
      </c>
      <c r="E7801" s="13">
        <f t="shared" si="2"/>
        <v>9</v>
      </c>
    </row>
    <row r="7802">
      <c r="A7802" s="4" t="s">
        <v>8413</v>
      </c>
      <c r="B7802" s="16"/>
      <c r="C7802" s="12">
        <f>IFERROR(__xludf.DUMMYFUNCTION("""COMPUTED_VALUE"""),44637.40369212963)</f>
        <v>44637.40369</v>
      </c>
      <c r="D7802" s="13">
        <f t="shared" si="1"/>
        <v>17</v>
      </c>
      <c r="E7802" s="13">
        <f t="shared" si="2"/>
        <v>9</v>
      </c>
    </row>
    <row r="7803">
      <c r="A7803" s="4" t="s">
        <v>8414</v>
      </c>
      <c r="B7803" s="16"/>
      <c r="C7803" s="12">
        <f>IFERROR(__xludf.DUMMYFUNCTION("""COMPUTED_VALUE"""),44637.375196759254)</f>
        <v>44637.3752</v>
      </c>
      <c r="D7803" s="13">
        <f t="shared" si="1"/>
        <v>17</v>
      </c>
      <c r="E7803" s="13">
        <f t="shared" si="2"/>
        <v>9</v>
      </c>
    </row>
    <row r="7804">
      <c r="A7804" s="4" t="s">
        <v>8415</v>
      </c>
      <c r="B7804" s="16"/>
      <c r="C7804" s="12">
        <f>IFERROR(__xludf.DUMMYFUNCTION("""COMPUTED_VALUE"""),44637.37478009259)</f>
        <v>44637.37478</v>
      </c>
      <c r="D7804" s="13">
        <f t="shared" si="1"/>
        <v>17</v>
      </c>
      <c r="E7804" s="13">
        <f t="shared" si="2"/>
        <v>8</v>
      </c>
    </row>
    <row r="7805">
      <c r="A7805" s="4" t="s">
        <v>8416</v>
      </c>
      <c r="B7805" s="16"/>
      <c r="C7805" s="12">
        <f>IFERROR(__xludf.DUMMYFUNCTION("""COMPUTED_VALUE"""),44637.33078703703)</f>
        <v>44637.33079</v>
      </c>
      <c r="D7805" s="13">
        <f t="shared" si="1"/>
        <v>17</v>
      </c>
      <c r="E7805" s="13">
        <f t="shared" si="2"/>
        <v>7</v>
      </c>
    </row>
    <row r="7806">
      <c r="A7806" s="4" t="s">
        <v>8417</v>
      </c>
      <c r="B7806" s="16"/>
      <c r="C7806" s="12">
        <f>IFERROR(__xludf.DUMMYFUNCTION("""COMPUTED_VALUE"""),44637.32423611111)</f>
        <v>44637.32424</v>
      </c>
      <c r="D7806" s="13">
        <f t="shared" si="1"/>
        <v>17</v>
      </c>
      <c r="E7806" s="13">
        <f t="shared" si="2"/>
        <v>7</v>
      </c>
    </row>
    <row r="7807">
      <c r="A7807" s="4" t="s">
        <v>8418</v>
      </c>
      <c r="B7807" s="16"/>
      <c r="C7807" s="12">
        <f>IFERROR(__xludf.DUMMYFUNCTION("""COMPUTED_VALUE"""),44637.32277777777)</f>
        <v>44637.32278</v>
      </c>
      <c r="D7807" s="13">
        <f t="shared" si="1"/>
        <v>17</v>
      </c>
      <c r="E7807" s="13">
        <f t="shared" si="2"/>
        <v>7</v>
      </c>
    </row>
    <row r="7808">
      <c r="A7808" s="4" t="s">
        <v>8419</v>
      </c>
      <c r="B7808" s="16"/>
      <c r="C7808" s="12">
        <f>IFERROR(__xludf.DUMMYFUNCTION("""COMPUTED_VALUE"""),44637.320752314816)</f>
        <v>44637.32075</v>
      </c>
      <c r="D7808" s="13">
        <f t="shared" si="1"/>
        <v>17</v>
      </c>
      <c r="E7808" s="13">
        <f t="shared" si="2"/>
        <v>7</v>
      </c>
    </row>
    <row r="7809">
      <c r="A7809" s="4" t="s">
        <v>8420</v>
      </c>
      <c r="B7809" s="16"/>
      <c r="C7809" s="12">
        <f>IFERROR(__xludf.DUMMYFUNCTION("""COMPUTED_VALUE"""),44637.32040509259)</f>
        <v>44637.32041</v>
      </c>
      <c r="D7809" s="13">
        <f t="shared" si="1"/>
        <v>17</v>
      </c>
      <c r="E7809" s="13">
        <f t="shared" si="2"/>
        <v>7</v>
      </c>
    </row>
    <row r="7810">
      <c r="A7810" s="4" t="s">
        <v>8421</v>
      </c>
      <c r="B7810" s="16"/>
      <c r="C7810" s="12">
        <f>IFERROR(__xludf.DUMMYFUNCTION("""COMPUTED_VALUE"""),44637.30616898148)</f>
        <v>44637.30617</v>
      </c>
      <c r="D7810" s="13">
        <f t="shared" si="1"/>
        <v>17</v>
      </c>
      <c r="E7810" s="13">
        <f t="shared" si="2"/>
        <v>7</v>
      </c>
    </row>
    <row r="7811">
      <c r="A7811" s="4" t="s">
        <v>8422</v>
      </c>
      <c r="B7811" s="16"/>
      <c r="C7811" s="12">
        <f>IFERROR(__xludf.DUMMYFUNCTION("""COMPUTED_VALUE"""),44637.302511574075)</f>
        <v>44637.30251</v>
      </c>
      <c r="D7811" s="13">
        <f t="shared" si="1"/>
        <v>17</v>
      </c>
      <c r="E7811" s="13">
        <f t="shared" si="2"/>
        <v>7</v>
      </c>
    </row>
    <row r="7812">
      <c r="A7812" s="4" t="s">
        <v>8423</v>
      </c>
      <c r="B7812" s="16"/>
      <c r="C7812" s="12">
        <f>IFERROR(__xludf.DUMMYFUNCTION("""COMPUTED_VALUE"""),44637.2953125)</f>
        <v>44637.29531</v>
      </c>
      <c r="D7812" s="13">
        <f t="shared" si="1"/>
        <v>17</v>
      </c>
      <c r="E7812" s="13">
        <f t="shared" si="2"/>
        <v>7</v>
      </c>
    </row>
    <row r="7813">
      <c r="A7813" s="4" t="s">
        <v>8424</v>
      </c>
      <c r="B7813" s="16"/>
      <c r="C7813" s="12">
        <f>IFERROR(__xludf.DUMMYFUNCTION("""COMPUTED_VALUE"""),44637.26729166666)</f>
        <v>44637.26729</v>
      </c>
      <c r="D7813" s="13">
        <f t="shared" si="1"/>
        <v>17</v>
      </c>
      <c r="E7813" s="13">
        <f t="shared" si="2"/>
        <v>6</v>
      </c>
    </row>
    <row r="7814">
      <c r="A7814" s="4" t="s">
        <v>8425</v>
      </c>
      <c r="B7814" s="16"/>
      <c r="C7814" s="12">
        <f>IFERROR(__xludf.DUMMYFUNCTION("""COMPUTED_VALUE"""),44637.25944444444)</f>
        <v>44637.25944</v>
      </c>
      <c r="D7814" s="13">
        <f t="shared" si="1"/>
        <v>17</v>
      </c>
      <c r="E7814" s="13">
        <f t="shared" si="2"/>
        <v>6</v>
      </c>
    </row>
    <row r="7815">
      <c r="A7815" s="4" t="s">
        <v>8426</v>
      </c>
      <c r="B7815" s="16"/>
      <c r="C7815" s="12">
        <f>IFERROR(__xludf.DUMMYFUNCTION("""COMPUTED_VALUE"""),44637.239537037036)</f>
        <v>44637.23954</v>
      </c>
      <c r="D7815" s="13">
        <f t="shared" si="1"/>
        <v>17</v>
      </c>
      <c r="E7815" s="13">
        <f t="shared" si="2"/>
        <v>5</v>
      </c>
    </row>
    <row r="7816">
      <c r="A7816" s="4" t="s">
        <v>8427</v>
      </c>
      <c r="B7816" s="16"/>
      <c r="C7816" s="12">
        <f>IFERROR(__xludf.DUMMYFUNCTION("""COMPUTED_VALUE"""),44637.236493055556)</f>
        <v>44637.23649</v>
      </c>
      <c r="D7816" s="13">
        <f t="shared" si="1"/>
        <v>17</v>
      </c>
      <c r="E7816" s="13">
        <f t="shared" si="2"/>
        <v>5</v>
      </c>
    </row>
    <row r="7817">
      <c r="A7817" s="4" t="s">
        <v>8428</v>
      </c>
      <c r="B7817" s="16"/>
      <c r="C7817" s="12">
        <f>IFERROR(__xludf.DUMMYFUNCTION("""COMPUTED_VALUE"""),44637.06395833333)</f>
        <v>44637.06396</v>
      </c>
      <c r="D7817" s="13">
        <f t="shared" si="1"/>
        <v>17</v>
      </c>
      <c r="E7817" s="13">
        <f t="shared" si="2"/>
        <v>1</v>
      </c>
    </row>
    <row r="7818">
      <c r="A7818" s="4" t="s">
        <v>8429</v>
      </c>
      <c r="B7818" s="16"/>
      <c r="C7818" s="12">
        <f>IFERROR(__xludf.DUMMYFUNCTION("""COMPUTED_VALUE"""),44636.95631944444)</f>
        <v>44636.95632</v>
      </c>
      <c r="D7818" s="13">
        <f t="shared" si="1"/>
        <v>16</v>
      </c>
      <c r="E7818" s="13">
        <f t="shared" si="2"/>
        <v>22</v>
      </c>
    </row>
    <row r="7819">
      <c r="A7819" s="4" t="s">
        <v>8430</v>
      </c>
      <c r="B7819" s="16"/>
      <c r="C7819" s="12">
        <f>IFERROR(__xludf.DUMMYFUNCTION("""COMPUTED_VALUE"""),44636.95304398148)</f>
        <v>44636.95304</v>
      </c>
      <c r="D7819" s="13">
        <f t="shared" si="1"/>
        <v>16</v>
      </c>
      <c r="E7819" s="13">
        <f t="shared" si="2"/>
        <v>22</v>
      </c>
    </row>
    <row r="7820">
      <c r="A7820" s="4" t="s">
        <v>8431</v>
      </c>
      <c r="B7820" s="16"/>
      <c r="C7820" s="12">
        <f>IFERROR(__xludf.DUMMYFUNCTION("""COMPUTED_VALUE"""),44636.95145833333)</f>
        <v>44636.95146</v>
      </c>
      <c r="D7820" s="13">
        <f t="shared" si="1"/>
        <v>16</v>
      </c>
      <c r="E7820" s="13">
        <f t="shared" si="2"/>
        <v>22</v>
      </c>
    </row>
    <row r="7821">
      <c r="A7821" s="4" t="s">
        <v>8432</v>
      </c>
      <c r="B7821" s="16"/>
      <c r="C7821" s="12">
        <f>IFERROR(__xludf.DUMMYFUNCTION("""COMPUTED_VALUE"""),44636.95106481481)</f>
        <v>44636.95106</v>
      </c>
      <c r="D7821" s="13">
        <f t="shared" si="1"/>
        <v>16</v>
      </c>
      <c r="E7821" s="13">
        <f t="shared" si="2"/>
        <v>22</v>
      </c>
    </row>
    <row r="7822">
      <c r="A7822" s="4" t="s">
        <v>8433</v>
      </c>
      <c r="B7822" s="16"/>
      <c r="C7822" s="12">
        <f>IFERROR(__xludf.DUMMYFUNCTION("""COMPUTED_VALUE"""),44636.948229166665)</f>
        <v>44636.94823</v>
      </c>
      <c r="D7822" s="13">
        <f t="shared" si="1"/>
        <v>16</v>
      </c>
      <c r="E7822" s="13">
        <f t="shared" si="2"/>
        <v>22</v>
      </c>
    </row>
    <row r="7823">
      <c r="A7823" s="4" t="s">
        <v>8434</v>
      </c>
      <c r="B7823" s="16"/>
      <c r="C7823" s="12">
        <f>IFERROR(__xludf.DUMMYFUNCTION("""COMPUTED_VALUE"""),44636.94244212963)</f>
        <v>44636.94244</v>
      </c>
      <c r="D7823" s="13">
        <f t="shared" si="1"/>
        <v>16</v>
      </c>
      <c r="E7823" s="13">
        <f t="shared" si="2"/>
        <v>22</v>
      </c>
    </row>
    <row r="7824">
      <c r="A7824" s="4" t="s">
        <v>8435</v>
      </c>
      <c r="B7824" s="16"/>
      <c r="C7824" s="12">
        <f>IFERROR(__xludf.DUMMYFUNCTION("""COMPUTED_VALUE"""),44636.911574074074)</f>
        <v>44636.91157</v>
      </c>
      <c r="D7824" s="13">
        <f t="shared" si="1"/>
        <v>16</v>
      </c>
      <c r="E7824" s="13">
        <f t="shared" si="2"/>
        <v>21</v>
      </c>
    </row>
    <row r="7825">
      <c r="A7825" s="4" t="s">
        <v>8436</v>
      </c>
      <c r="B7825" s="16"/>
      <c r="C7825" s="12">
        <f>IFERROR(__xludf.DUMMYFUNCTION("""COMPUTED_VALUE"""),44636.899930555555)</f>
        <v>44636.89993</v>
      </c>
      <c r="D7825" s="13">
        <f t="shared" si="1"/>
        <v>16</v>
      </c>
      <c r="E7825" s="13">
        <f t="shared" si="2"/>
        <v>21</v>
      </c>
    </row>
    <row r="7826">
      <c r="A7826" s="4" t="s">
        <v>8437</v>
      </c>
      <c r="B7826" s="16"/>
      <c r="C7826" s="12">
        <f>IFERROR(__xludf.DUMMYFUNCTION("""COMPUTED_VALUE"""),44636.884930555556)</f>
        <v>44636.88493</v>
      </c>
      <c r="D7826" s="13">
        <f t="shared" si="1"/>
        <v>16</v>
      </c>
      <c r="E7826" s="13">
        <f t="shared" si="2"/>
        <v>21</v>
      </c>
    </row>
    <row r="7827">
      <c r="A7827" s="4" t="s">
        <v>8438</v>
      </c>
      <c r="B7827" s="16"/>
      <c r="C7827" s="12">
        <f>IFERROR(__xludf.DUMMYFUNCTION("""COMPUTED_VALUE"""),44636.85601851852)</f>
        <v>44636.85602</v>
      </c>
      <c r="D7827" s="13">
        <f t="shared" si="1"/>
        <v>16</v>
      </c>
      <c r="E7827" s="13">
        <f t="shared" si="2"/>
        <v>20</v>
      </c>
    </row>
    <row r="7828">
      <c r="A7828" s="4" t="s">
        <v>8439</v>
      </c>
      <c r="B7828" s="16"/>
      <c r="C7828" s="12">
        <f>IFERROR(__xludf.DUMMYFUNCTION("""COMPUTED_VALUE"""),44636.84657407407)</f>
        <v>44636.84657</v>
      </c>
      <c r="D7828" s="13">
        <f t="shared" si="1"/>
        <v>16</v>
      </c>
      <c r="E7828" s="13">
        <f t="shared" si="2"/>
        <v>20</v>
      </c>
    </row>
    <row r="7829">
      <c r="A7829" s="4" t="s">
        <v>8440</v>
      </c>
      <c r="B7829" s="16"/>
      <c r="C7829" s="12">
        <f>IFERROR(__xludf.DUMMYFUNCTION("""COMPUTED_VALUE"""),44636.84160879629)</f>
        <v>44636.84161</v>
      </c>
      <c r="D7829" s="13">
        <f t="shared" si="1"/>
        <v>16</v>
      </c>
      <c r="E7829" s="13">
        <f t="shared" si="2"/>
        <v>20</v>
      </c>
    </row>
    <row r="7830">
      <c r="A7830" s="4" t="s">
        <v>8441</v>
      </c>
      <c r="B7830" s="16"/>
      <c r="C7830" s="12">
        <f>IFERROR(__xludf.DUMMYFUNCTION("""COMPUTED_VALUE"""),44636.841261574074)</f>
        <v>44636.84126</v>
      </c>
      <c r="D7830" s="13">
        <f t="shared" si="1"/>
        <v>16</v>
      </c>
      <c r="E7830" s="13">
        <f t="shared" si="2"/>
        <v>20</v>
      </c>
    </row>
    <row r="7831">
      <c r="A7831" s="4" t="s">
        <v>8442</v>
      </c>
      <c r="B7831" s="16"/>
      <c r="C7831" s="12">
        <f>IFERROR(__xludf.DUMMYFUNCTION("""COMPUTED_VALUE"""),44636.83736111111)</f>
        <v>44636.83736</v>
      </c>
      <c r="D7831" s="13">
        <f t="shared" si="1"/>
        <v>16</v>
      </c>
      <c r="E7831" s="13">
        <f t="shared" si="2"/>
        <v>20</v>
      </c>
    </row>
    <row r="7832">
      <c r="A7832" s="4" t="s">
        <v>8443</v>
      </c>
      <c r="B7832" s="16"/>
      <c r="C7832" s="12">
        <f>IFERROR(__xludf.DUMMYFUNCTION("""COMPUTED_VALUE"""),44636.83563657407)</f>
        <v>44636.83564</v>
      </c>
      <c r="D7832" s="13">
        <f t="shared" si="1"/>
        <v>16</v>
      </c>
      <c r="E7832" s="13">
        <f t="shared" si="2"/>
        <v>20</v>
      </c>
    </row>
    <row r="7833">
      <c r="A7833" s="4" t="s">
        <v>8444</v>
      </c>
      <c r="B7833" s="16"/>
      <c r="C7833" s="12">
        <f>IFERROR(__xludf.DUMMYFUNCTION("""COMPUTED_VALUE"""),44636.831458333334)</f>
        <v>44636.83146</v>
      </c>
      <c r="D7833" s="13">
        <f t="shared" si="1"/>
        <v>16</v>
      </c>
      <c r="E7833" s="13">
        <f t="shared" si="2"/>
        <v>19</v>
      </c>
    </row>
    <row r="7834">
      <c r="A7834" s="4" t="s">
        <v>8445</v>
      </c>
      <c r="B7834" s="16"/>
      <c r="C7834" s="12">
        <f>IFERROR(__xludf.DUMMYFUNCTION("""COMPUTED_VALUE"""),44636.81817129629)</f>
        <v>44636.81817</v>
      </c>
      <c r="D7834" s="13">
        <f t="shared" si="1"/>
        <v>16</v>
      </c>
      <c r="E7834" s="13">
        <f t="shared" si="2"/>
        <v>19</v>
      </c>
    </row>
    <row r="7835">
      <c r="A7835" s="4" t="s">
        <v>8446</v>
      </c>
      <c r="B7835" s="16"/>
      <c r="C7835" s="12">
        <f>IFERROR(__xludf.DUMMYFUNCTION("""COMPUTED_VALUE"""),44636.81756944444)</f>
        <v>44636.81757</v>
      </c>
      <c r="D7835" s="13">
        <f t="shared" si="1"/>
        <v>16</v>
      </c>
      <c r="E7835" s="13">
        <f t="shared" si="2"/>
        <v>19</v>
      </c>
    </row>
    <row r="7836">
      <c r="A7836" s="4" t="s">
        <v>8447</v>
      </c>
      <c r="B7836" s="16"/>
      <c r="C7836" s="12">
        <f>IFERROR(__xludf.DUMMYFUNCTION("""COMPUTED_VALUE"""),44636.81585648148)</f>
        <v>44636.81586</v>
      </c>
      <c r="D7836" s="13">
        <f t="shared" si="1"/>
        <v>16</v>
      </c>
      <c r="E7836" s="13">
        <f t="shared" si="2"/>
        <v>19</v>
      </c>
    </row>
    <row r="7837">
      <c r="A7837" s="4" t="s">
        <v>8448</v>
      </c>
      <c r="B7837" s="16"/>
      <c r="C7837" s="12">
        <f>IFERROR(__xludf.DUMMYFUNCTION("""COMPUTED_VALUE"""),44636.813067129624)</f>
        <v>44636.81307</v>
      </c>
      <c r="D7837" s="13">
        <f t="shared" si="1"/>
        <v>16</v>
      </c>
      <c r="E7837" s="13">
        <f t="shared" si="2"/>
        <v>19</v>
      </c>
    </row>
    <row r="7838">
      <c r="A7838" s="4" t="s">
        <v>8449</v>
      </c>
      <c r="B7838" s="16"/>
      <c r="C7838" s="12">
        <f>IFERROR(__xludf.DUMMYFUNCTION("""COMPUTED_VALUE"""),44636.79736111111)</f>
        <v>44636.79736</v>
      </c>
      <c r="D7838" s="13">
        <f t="shared" si="1"/>
        <v>16</v>
      </c>
      <c r="E7838" s="13">
        <f t="shared" si="2"/>
        <v>19</v>
      </c>
    </row>
    <row r="7839">
      <c r="A7839" s="4" t="s">
        <v>8450</v>
      </c>
      <c r="B7839" s="16"/>
      <c r="C7839" s="12">
        <f>IFERROR(__xludf.DUMMYFUNCTION("""COMPUTED_VALUE"""),44636.796759259254)</f>
        <v>44636.79676</v>
      </c>
      <c r="D7839" s="13">
        <f t="shared" si="1"/>
        <v>16</v>
      </c>
      <c r="E7839" s="13">
        <f t="shared" si="2"/>
        <v>19</v>
      </c>
    </row>
    <row r="7840">
      <c r="A7840" s="4" t="s">
        <v>8451</v>
      </c>
      <c r="B7840" s="16"/>
      <c r="C7840" s="12">
        <f>IFERROR(__xludf.DUMMYFUNCTION("""COMPUTED_VALUE"""),44636.787731481476)</f>
        <v>44636.78773</v>
      </c>
      <c r="D7840" s="13">
        <f t="shared" si="1"/>
        <v>16</v>
      </c>
      <c r="E7840" s="13">
        <f t="shared" si="2"/>
        <v>18</v>
      </c>
    </row>
    <row r="7841">
      <c r="A7841" s="4" t="s">
        <v>8452</v>
      </c>
      <c r="B7841" s="16"/>
      <c r="C7841" s="12">
        <f>IFERROR(__xludf.DUMMYFUNCTION("""COMPUTED_VALUE"""),44636.7784375)</f>
        <v>44636.77844</v>
      </c>
      <c r="D7841" s="13">
        <f t="shared" si="1"/>
        <v>16</v>
      </c>
      <c r="E7841" s="13">
        <f t="shared" si="2"/>
        <v>18</v>
      </c>
    </row>
    <row r="7842">
      <c r="A7842" s="4" t="s">
        <v>8453</v>
      </c>
      <c r="B7842" s="16"/>
      <c r="C7842" s="12">
        <f>IFERROR(__xludf.DUMMYFUNCTION("""COMPUTED_VALUE"""),44636.77543981481)</f>
        <v>44636.77544</v>
      </c>
      <c r="D7842" s="13">
        <f t="shared" si="1"/>
        <v>16</v>
      </c>
      <c r="E7842" s="13">
        <f t="shared" si="2"/>
        <v>18</v>
      </c>
    </row>
    <row r="7843">
      <c r="A7843" s="4" t="s">
        <v>8454</v>
      </c>
      <c r="B7843" s="16"/>
      <c r="C7843" s="12">
        <f>IFERROR(__xludf.DUMMYFUNCTION("""COMPUTED_VALUE"""),44636.76427083333)</f>
        <v>44636.76427</v>
      </c>
      <c r="D7843" s="13">
        <f t="shared" si="1"/>
        <v>16</v>
      </c>
      <c r="E7843" s="13">
        <f t="shared" si="2"/>
        <v>18</v>
      </c>
    </row>
    <row r="7844">
      <c r="A7844" s="4" t="s">
        <v>8455</v>
      </c>
      <c r="B7844" s="16"/>
      <c r="C7844" s="12">
        <f>IFERROR(__xludf.DUMMYFUNCTION("""COMPUTED_VALUE"""),44636.73972222222)</f>
        <v>44636.73972</v>
      </c>
      <c r="D7844" s="13">
        <f t="shared" si="1"/>
        <v>16</v>
      </c>
      <c r="E7844" s="13">
        <f t="shared" si="2"/>
        <v>17</v>
      </c>
    </row>
    <row r="7845">
      <c r="A7845" s="4" t="s">
        <v>8456</v>
      </c>
      <c r="B7845" s="16"/>
      <c r="C7845" s="12">
        <f>IFERROR(__xludf.DUMMYFUNCTION("""COMPUTED_VALUE"""),44636.736979166664)</f>
        <v>44636.73698</v>
      </c>
      <c r="D7845" s="13">
        <f t="shared" si="1"/>
        <v>16</v>
      </c>
      <c r="E7845" s="13">
        <f t="shared" si="2"/>
        <v>17</v>
      </c>
    </row>
    <row r="7846">
      <c r="A7846" s="4" t="s">
        <v>8457</v>
      </c>
      <c r="B7846" s="16"/>
      <c r="C7846" s="12">
        <f>IFERROR(__xludf.DUMMYFUNCTION("""COMPUTED_VALUE"""),44636.73695601852)</f>
        <v>44636.73696</v>
      </c>
      <c r="D7846" s="13">
        <f t="shared" si="1"/>
        <v>16</v>
      </c>
      <c r="E7846" s="13">
        <f t="shared" si="2"/>
        <v>17</v>
      </c>
    </row>
    <row r="7847">
      <c r="A7847" s="4" t="s">
        <v>8458</v>
      </c>
      <c r="B7847" s="16"/>
      <c r="C7847" s="12">
        <f>IFERROR(__xludf.DUMMYFUNCTION("""COMPUTED_VALUE"""),44636.73505787037)</f>
        <v>44636.73506</v>
      </c>
      <c r="D7847" s="13">
        <f t="shared" si="1"/>
        <v>16</v>
      </c>
      <c r="E7847" s="13">
        <f t="shared" si="2"/>
        <v>17</v>
      </c>
    </row>
    <row r="7848">
      <c r="A7848" s="4" t="s">
        <v>8459</v>
      </c>
      <c r="B7848" s="16"/>
      <c r="C7848" s="12">
        <f>IFERROR(__xludf.DUMMYFUNCTION("""COMPUTED_VALUE"""),44636.71833333333)</f>
        <v>44636.71833</v>
      </c>
      <c r="D7848" s="13">
        <f t="shared" si="1"/>
        <v>16</v>
      </c>
      <c r="E7848" s="13">
        <f t="shared" si="2"/>
        <v>17</v>
      </c>
    </row>
    <row r="7849">
      <c r="A7849" s="4" t="s">
        <v>8460</v>
      </c>
      <c r="B7849" s="16"/>
      <c r="C7849" s="12">
        <f>IFERROR(__xludf.DUMMYFUNCTION("""COMPUTED_VALUE"""),44636.7099537037)</f>
        <v>44636.70995</v>
      </c>
      <c r="D7849" s="13">
        <f t="shared" si="1"/>
        <v>16</v>
      </c>
      <c r="E7849" s="13">
        <f t="shared" si="2"/>
        <v>17</v>
      </c>
    </row>
    <row r="7850">
      <c r="A7850" s="4" t="s">
        <v>8461</v>
      </c>
      <c r="B7850" s="16"/>
      <c r="C7850" s="12">
        <f>IFERROR(__xludf.DUMMYFUNCTION("""COMPUTED_VALUE"""),44636.6892824074)</f>
        <v>44636.68928</v>
      </c>
      <c r="D7850" s="13">
        <f t="shared" si="1"/>
        <v>16</v>
      </c>
      <c r="E7850" s="13">
        <f t="shared" si="2"/>
        <v>16</v>
      </c>
    </row>
    <row r="7851">
      <c r="A7851" s="4" t="s">
        <v>8462</v>
      </c>
      <c r="B7851" s="16"/>
      <c r="C7851" s="12">
        <f>IFERROR(__xludf.DUMMYFUNCTION("""COMPUTED_VALUE"""),44636.675312499996)</f>
        <v>44636.67531</v>
      </c>
      <c r="D7851" s="13">
        <f t="shared" si="1"/>
        <v>16</v>
      </c>
      <c r="E7851" s="13">
        <f t="shared" si="2"/>
        <v>16</v>
      </c>
    </row>
    <row r="7852">
      <c r="A7852" s="4" t="s">
        <v>8463</v>
      </c>
      <c r="B7852" s="16"/>
      <c r="C7852" s="12">
        <f>IFERROR(__xludf.DUMMYFUNCTION("""COMPUTED_VALUE"""),44636.67528935185)</f>
        <v>44636.67529</v>
      </c>
      <c r="D7852" s="13">
        <f t="shared" si="1"/>
        <v>16</v>
      </c>
      <c r="E7852" s="13">
        <f t="shared" si="2"/>
        <v>16</v>
      </c>
    </row>
    <row r="7853">
      <c r="A7853" s="4" t="s">
        <v>8464</v>
      </c>
      <c r="B7853" s="16"/>
      <c r="C7853" s="12">
        <f>IFERROR(__xludf.DUMMYFUNCTION("""COMPUTED_VALUE"""),44636.67377314815)</f>
        <v>44636.67377</v>
      </c>
      <c r="D7853" s="13">
        <f t="shared" si="1"/>
        <v>16</v>
      </c>
      <c r="E7853" s="13">
        <f t="shared" si="2"/>
        <v>16</v>
      </c>
    </row>
    <row r="7854">
      <c r="A7854" s="4" t="s">
        <v>8465</v>
      </c>
      <c r="B7854" s="16"/>
      <c r="C7854" s="12">
        <f>IFERROR(__xludf.DUMMYFUNCTION("""COMPUTED_VALUE"""),44636.67371527778)</f>
        <v>44636.67372</v>
      </c>
      <c r="D7854" s="13">
        <f t="shared" si="1"/>
        <v>16</v>
      </c>
      <c r="E7854" s="13">
        <f t="shared" si="2"/>
        <v>16</v>
      </c>
    </row>
    <row r="7855">
      <c r="A7855" s="4" t="s">
        <v>8466</v>
      </c>
      <c r="B7855" s="16"/>
      <c r="C7855" s="12">
        <f>IFERROR(__xludf.DUMMYFUNCTION("""COMPUTED_VALUE"""),44636.67313657407)</f>
        <v>44636.67314</v>
      </c>
      <c r="D7855" s="13">
        <f t="shared" si="1"/>
        <v>16</v>
      </c>
      <c r="E7855" s="13">
        <f t="shared" si="2"/>
        <v>16</v>
      </c>
    </row>
    <row r="7856">
      <c r="A7856" s="4" t="s">
        <v>8467</v>
      </c>
      <c r="B7856" s="16"/>
      <c r="C7856" s="12">
        <f>IFERROR(__xludf.DUMMYFUNCTION("""COMPUTED_VALUE"""),44636.673113425924)</f>
        <v>44636.67311</v>
      </c>
      <c r="D7856" s="13">
        <f t="shared" si="1"/>
        <v>16</v>
      </c>
      <c r="E7856" s="13">
        <f t="shared" si="2"/>
        <v>16</v>
      </c>
    </row>
    <row r="7857">
      <c r="A7857" s="4" t="s">
        <v>8468</v>
      </c>
      <c r="B7857" s="16"/>
      <c r="C7857" s="12">
        <f>IFERROR(__xludf.DUMMYFUNCTION("""COMPUTED_VALUE"""),44636.671759259254)</f>
        <v>44636.67176</v>
      </c>
      <c r="D7857" s="13">
        <f t="shared" si="1"/>
        <v>16</v>
      </c>
      <c r="E7857" s="13">
        <f t="shared" si="2"/>
        <v>16</v>
      </c>
    </row>
    <row r="7858">
      <c r="A7858" s="4" t="s">
        <v>8469</v>
      </c>
      <c r="B7858" s="16"/>
      <c r="C7858" s="12">
        <f>IFERROR(__xludf.DUMMYFUNCTION("""COMPUTED_VALUE"""),44636.67013888888)</f>
        <v>44636.67014</v>
      </c>
      <c r="D7858" s="13">
        <f t="shared" si="1"/>
        <v>16</v>
      </c>
      <c r="E7858" s="13">
        <f t="shared" si="2"/>
        <v>16</v>
      </c>
    </row>
    <row r="7859">
      <c r="A7859" s="4" t="s">
        <v>8470</v>
      </c>
      <c r="B7859" s="16"/>
      <c r="C7859" s="12">
        <f>IFERROR(__xludf.DUMMYFUNCTION("""COMPUTED_VALUE"""),44636.65908564815)</f>
        <v>44636.65909</v>
      </c>
      <c r="D7859" s="13">
        <f t="shared" si="1"/>
        <v>16</v>
      </c>
      <c r="E7859" s="13">
        <f t="shared" si="2"/>
        <v>15</v>
      </c>
    </row>
    <row r="7860">
      <c r="A7860" s="4" t="s">
        <v>8471</v>
      </c>
      <c r="B7860" s="16"/>
      <c r="C7860" s="12">
        <f>IFERROR(__xludf.DUMMYFUNCTION("""COMPUTED_VALUE"""),44636.65903935185)</f>
        <v>44636.65904</v>
      </c>
      <c r="D7860" s="13">
        <f t="shared" si="1"/>
        <v>16</v>
      </c>
      <c r="E7860" s="13">
        <f t="shared" si="2"/>
        <v>15</v>
      </c>
    </row>
    <row r="7861">
      <c r="A7861" s="4" t="s">
        <v>8472</v>
      </c>
      <c r="B7861" s="16"/>
      <c r="C7861" s="12">
        <f>IFERROR(__xludf.DUMMYFUNCTION("""COMPUTED_VALUE"""),44636.656701388885)</f>
        <v>44636.6567</v>
      </c>
      <c r="D7861" s="13">
        <f t="shared" si="1"/>
        <v>16</v>
      </c>
      <c r="E7861" s="13">
        <f t="shared" si="2"/>
        <v>15</v>
      </c>
    </row>
    <row r="7862">
      <c r="A7862" s="4" t="s">
        <v>8473</v>
      </c>
      <c r="B7862" s="16"/>
      <c r="C7862" s="12">
        <f>IFERROR(__xludf.DUMMYFUNCTION("""COMPUTED_VALUE"""),44636.656273148146)</f>
        <v>44636.65627</v>
      </c>
      <c r="D7862" s="13">
        <f t="shared" si="1"/>
        <v>16</v>
      </c>
      <c r="E7862" s="13">
        <f t="shared" si="2"/>
        <v>15</v>
      </c>
    </row>
    <row r="7863">
      <c r="A7863" s="4" t="s">
        <v>8474</v>
      </c>
      <c r="B7863" s="16"/>
      <c r="C7863" s="12">
        <f>IFERROR(__xludf.DUMMYFUNCTION("""COMPUTED_VALUE"""),44636.653391203705)</f>
        <v>44636.65339</v>
      </c>
      <c r="D7863" s="13">
        <f t="shared" si="1"/>
        <v>16</v>
      </c>
      <c r="E7863" s="13">
        <f t="shared" si="2"/>
        <v>15</v>
      </c>
    </row>
    <row r="7864">
      <c r="A7864" s="4" t="s">
        <v>8475</v>
      </c>
      <c r="B7864" s="16"/>
      <c r="C7864" s="12">
        <f>IFERROR(__xludf.DUMMYFUNCTION("""COMPUTED_VALUE"""),44636.631273148145)</f>
        <v>44636.63127</v>
      </c>
      <c r="D7864" s="13">
        <f t="shared" si="1"/>
        <v>16</v>
      </c>
      <c r="E7864" s="13">
        <f t="shared" si="2"/>
        <v>15</v>
      </c>
    </row>
    <row r="7865">
      <c r="A7865" s="4" t="s">
        <v>8476</v>
      </c>
      <c r="B7865" s="16"/>
      <c r="C7865" s="12">
        <f>IFERROR(__xludf.DUMMYFUNCTION("""COMPUTED_VALUE"""),44636.612974537034)</f>
        <v>44636.61297</v>
      </c>
      <c r="D7865" s="13">
        <f t="shared" si="1"/>
        <v>16</v>
      </c>
      <c r="E7865" s="13">
        <f t="shared" si="2"/>
        <v>14</v>
      </c>
    </row>
    <row r="7866">
      <c r="A7866" s="4" t="s">
        <v>8477</v>
      </c>
      <c r="B7866" s="16"/>
      <c r="C7866" s="12">
        <f>IFERROR(__xludf.DUMMYFUNCTION("""COMPUTED_VALUE"""),44636.61275462963)</f>
        <v>44636.61275</v>
      </c>
      <c r="D7866" s="13">
        <f t="shared" si="1"/>
        <v>16</v>
      </c>
      <c r="E7866" s="13">
        <f t="shared" si="2"/>
        <v>14</v>
      </c>
    </row>
    <row r="7867">
      <c r="A7867" s="4" t="s">
        <v>8478</v>
      </c>
      <c r="B7867" s="16"/>
      <c r="C7867" s="12">
        <f>IFERROR(__xludf.DUMMYFUNCTION("""COMPUTED_VALUE"""),44636.61103009259)</f>
        <v>44636.61103</v>
      </c>
      <c r="D7867" s="13">
        <f t="shared" si="1"/>
        <v>16</v>
      </c>
      <c r="E7867" s="13">
        <f t="shared" si="2"/>
        <v>14</v>
      </c>
    </row>
    <row r="7868">
      <c r="A7868" s="4" t="s">
        <v>8479</v>
      </c>
      <c r="B7868" s="16"/>
      <c r="C7868" s="12">
        <f>IFERROR(__xludf.DUMMYFUNCTION("""COMPUTED_VALUE"""),44636.610810185186)</f>
        <v>44636.61081</v>
      </c>
      <c r="D7868" s="13">
        <f t="shared" si="1"/>
        <v>16</v>
      </c>
      <c r="E7868" s="13">
        <f t="shared" si="2"/>
        <v>14</v>
      </c>
    </row>
    <row r="7869">
      <c r="A7869" s="4" t="s">
        <v>8480</v>
      </c>
      <c r="B7869" s="16"/>
      <c r="C7869" s="12">
        <f>IFERROR(__xludf.DUMMYFUNCTION("""COMPUTED_VALUE"""),44636.55143518518)</f>
        <v>44636.55144</v>
      </c>
      <c r="D7869" s="13">
        <f t="shared" si="1"/>
        <v>16</v>
      </c>
      <c r="E7869" s="13">
        <f t="shared" si="2"/>
        <v>13</v>
      </c>
    </row>
    <row r="7870">
      <c r="A7870" s="4" t="s">
        <v>8481</v>
      </c>
      <c r="B7870" s="16"/>
      <c r="C7870" s="12">
        <f>IFERROR(__xludf.DUMMYFUNCTION("""COMPUTED_VALUE"""),44636.53444444444)</f>
        <v>44636.53444</v>
      </c>
      <c r="D7870" s="13">
        <f t="shared" si="1"/>
        <v>16</v>
      </c>
      <c r="E7870" s="13">
        <f t="shared" si="2"/>
        <v>12</v>
      </c>
    </row>
    <row r="7871">
      <c r="A7871" s="4" t="s">
        <v>8482</v>
      </c>
      <c r="B7871" s="16"/>
      <c r="C7871" s="12">
        <f>IFERROR(__xludf.DUMMYFUNCTION("""COMPUTED_VALUE"""),44636.53260416666)</f>
        <v>44636.5326</v>
      </c>
      <c r="D7871" s="13">
        <f t="shared" si="1"/>
        <v>16</v>
      </c>
      <c r="E7871" s="13">
        <f t="shared" si="2"/>
        <v>12</v>
      </c>
    </row>
    <row r="7872">
      <c r="A7872" s="4" t="s">
        <v>8483</v>
      </c>
      <c r="B7872" s="16"/>
      <c r="C7872" s="12">
        <f>IFERROR(__xludf.DUMMYFUNCTION("""COMPUTED_VALUE"""),44636.491435185184)</f>
        <v>44636.49144</v>
      </c>
      <c r="D7872" s="13">
        <f t="shared" si="1"/>
        <v>16</v>
      </c>
      <c r="E7872" s="13">
        <f t="shared" si="2"/>
        <v>11</v>
      </c>
    </row>
    <row r="7873">
      <c r="A7873" s="4" t="s">
        <v>8484</v>
      </c>
      <c r="B7873" s="16"/>
      <c r="C7873" s="12">
        <f>IFERROR(__xludf.DUMMYFUNCTION("""COMPUTED_VALUE"""),44636.48153935185)</f>
        <v>44636.48154</v>
      </c>
      <c r="D7873" s="13">
        <f t="shared" si="1"/>
        <v>16</v>
      </c>
      <c r="E7873" s="13">
        <f t="shared" si="2"/>
        <v>11</v>
      </c>
    </row>
    <row r="7874">
      <c r="A7874" s="4" t="s">
        <v>8485</v>
      </c>
      <c r="B7874" s="16"/>
      <c r="C7874" s="12">
        <f>IFERROR(__xludf.DUMMYFUNCTION("""COMPUTED_VALUE"""),44636.47582175925)</f>
        <v>44636.47582</v>
      </c>
      <c r="D7874" s="13">
        <f t="shared" si="1"/>
        <v>16</v>
      </c>
      <c r="E7874" s="13">
        <f t="shared" si="2"/>
        <v>11</v>
      </c>
    </row>
    <row r="7875">
      <c r="A7875" s="4" t="s">
        <v>8486</v>
      </c>
      <c r="B7875" s="16"/>
      <c r="C7875" s="12">
        <f>IFERROR(__xludf.DUMMYFUNCTION("""COMPUTED_VALUE"""),44636.46199074074)</f>
        <v>44636.46199</v>
      </c>
      <c r="D7875" s="13">
        <f t="shared" si="1"/>
        <v>16</v>
      </c>
      <c r="E7875" s="13">
        <f t="shared" si="2"/>
        <v>11</v>
      </c>
    </row>
    <row r="7876">
      <c r="A7876" s="4" t="s">
        <v>8487</v>
      </c>
      <c r="B7876" s="16"/>
      <c r="C7876" s="12">
        <f>IFERROR(__xludf.DUMMYFUNCTION("""COMPUTED_VALUE"""),44636.45758101852)</f>
        <v>44636.45758</v>
      </c>
      <c r="D7876" s="13">
        <f t="shared" si="1"/>
        <v>16</v>
      </c>
      <c r="E7876" s="13">
        <f t="shared" si="2"/>
        <v>10</v>
      </c>
    </row>
    <row r="7877">
      <c r="A7877" s="4" t="s">
        <v>8488</v>
      </c>
      <c r="B7877" s="16"/>
      <c r="C7877" s="12">
        <f>IFERROR(__xludf.DUMMYFUNCTION("""COMPUTED_VALUE"""),44636.45748842592)</f>
        <v>44636.45749</v>
      </c>
      <c r="D7877" s="13">
        <f t="shared" si="1"/>
        <v>16</v>
      </c>
      <c r="E7877" s="13">
        <f t="shared" si="2"/>
        <v>10</v>
      </c>
    </row>
    <row r="7878">
      <c r="A7878" s="4" t="s">
        <v>8489</v>
      </c>
      <c r="B7878" s="16"/>
      <c r="C7878" s="12">
        <f>IFERROR(__xludf.DUMMYFUNCTION("""COMPUTED_VALUE"""),44636.45722222222)</f>
        <v>44636.45722</v>
      </c>
      <c r="D7878" s="13">
        <f t="shared" si="1"/>
        <v>16</v>
      </c>
      <c r="E7878" s="13">
        <f t="shared" si="2"/>
        <v>10</v>
      </c>
    </row>
    <row r="7879">
      <c r="A7879" s="4" t="s">
        <v>8490</v>
      </c>
      <c r="B7879" s="16"/>
      <c r="C7879" s="12">
        <f>IFERROR(__xludf.DUMMYFUNCTION("""COMPUTED_VALUE"""),44636.35644675926)</f>
        <v>44636.35645</v>
      </c>
      <c r="D7879" s="13">
        <f t="shared" si="1"/>
        <v>16</v>
      </c>
      <c r="E7879" s="13">
        <f t="shared" si="2"/>
        <v>8</v>
      </c>
    </row>
    <row r="7880">
      <c r="A7880" s="4" t="s">
        <v>8491</v>
      </c>
      <c r="B7880" s="16"/>
      <c r="C7880" s="12">
        <f>IFERROR(__xludf.DUMMYFUNCTION("""COMPUTED_VALUE"""),44636.334375)</f>
        <v>44636.33438</v>
      </c>
      <c r="D7880" s="13">
        <f t="shared" si="1"/>
        <v>16</v>
      </c>
      <c r="E7880" s="13">
        <f t="shared" si="2"/>
        <v>8</v>
      </c>
    </row>
    <row r="7881">
      <c r="A7881" s="4" t="s">
        <v>8492</v>
      </c>
      <c r="B7881" s="16"/>
      <c r="C7881" s="12">
        <f>IFERROR(__xludf.DUMMYFUNCTION("""COMPUTED_VALUE"""),44636.301678240736)</f>
        <v>44636.30168</v>
      </c>
      <c r="D7881" s="13">
        <f t="shared" si="1"/>
        <v>16</v>
      </c>
      <c r="E7881" s="13">
        <f t="shared" si="2"/>
        <v>7</v>
      </c>
    </row>
    <row r="7882">
      <c r="A7882" s="4" t="s">
        <v>8493</v>
      </c>
      <c r="B7882" s="16"/>
      <c r="C7882" s="12">
        <f>IFERROR(__xludf.DUMMYFUNCTION("""COMPUTED_VALUE"""),44636.09700231481)</f>
        <v>44636.097</v>
      </c>
      <c r="D7882" s="13">
        <f t="shared" si="1"/>
        <v>16</v>
      </c>
      <c r="E7882" s="13">
        <f t="shared" si="2"/>
        <v>2</v>
      </c>
    </row>
    <row r="7883">
      <c r="A7883" s="4" t="s">
        <v>8494</v>
      </c>
      <c r="B7883" s="16"/>
      <c r="C7883" s="12">
        <f>IFERROR(__xludf.DUMMYFUNCTION("""COMPUTED_VALUE"""),44636.06516203703)</f>
        <v>44636.06516</v>
      </c>
      <c r="D7883" s="13">
        <f t="shared" si="1"/>
        <v>16</v>
      </c>
      <c r="E7883" s="13">
        <f t="shared" si="2"/>
        <v>1</v>
      </c>
    </row>
    <row r="7884">
      <c r="A7884" s="4" t="s">
        <v>8495</v>
      </c>
      <c r="B7884" s="16"/>
      <c r="C7884" s="12">
        <f>IFERROR(__xludf.DUMMYFUNCTION("""COMPUTED_VALUE"""),44636.05923611111)</f>
        <v>44636.05924</v>
      </c>
      <c r="D7884" s="13">
        <f t="shared" si="1"/>
        <v>16</v>
      </c>
      <c r="E7884" s="13">
        <f t="shared" si="2"/>
        <v>1</v>
      </c>
    </row>
    <row r="7885">
      <c r="A7885" s="4" t="s">
        <v>8496</v>
      </c>
      <c r="B7885" s="16"/>
      <c r="C7885" s="12">
        <f>IFERROR(__xludf.DUMMYFUNCTION("""COMPUTED_VALUE"""),44636.05685185185)</f>
        <v>44636.05685</v>
      </c>
      <c r="D7885" s="13">
        <f t="shared" si="1"/>
        <v>16</v>
      </c>
      <c r="E7885" s="13">
        <f t="shared" si="2"/>
        <v>1</v>
      </c>
    </row>
    <row r="7886">
      <c r="A7886" s="4" t="s">
        <v>8497</v>
      </c>
      <c r="B7886" s="16"/>
      <c r="C7886" s="12">
        <f>IFERROR(__xludf.DUMMYFUNCTION("""COMPUTED_VALUE"""),44636.05667824074)</f>
        <v>44636.05668</v>
      </c>
      <c r="D7886" s="13">
        <f t="shared" si="1"/>
        <v>16</v>
      </c>
      <c r="E7886" s="13">
        <f t="shared" si="2"/>
        <v>1</v>
      </c>
    </row>
    <row r="7887">
      <c r="A7887" s="4" t="s">
        <v>8498</v>
      </c>
      <c r="B7887" s="16"/>
      <c r="C7887" s="12">
        <f>IFERROR(__xludf.DUMMYFUNCTION("""COMPUTED_VALUE"""),44636.05579861111)</f>
        <v>44636.0558</v>
      </c>
      <c r="D7887" s="13">
        <f t="shared" si="1"/>
        <v>16</v>
      </c>
      <c r="E7887" s="13">
        <f t="shared" si="2"/>
        <v>1</v>
      </c>
    </row>
    <row r="7888">
      <c r="A7888" s="4" t="s">
        <v>8499</v>
      </c>
      <c r="B7888" s="16"/>
      <c r="C7888" s="12">
        <f>IFERROR(__xludf.DUMMYFUNCTION("""COMPUTED_VALUE"""),44636.0475)</f>
        <v>44636.0475</v>
      </c>
      <c r="D7888" s="13">
        <f t="shared" si="1"/>
        <v>16</v>
      </c>
      <c r="E7888" s="13">
        <f t="shared" si="2"/>
        <v>1</v>
      </c>
    </row>
    <row r="7889">
      <c r="A7889" s="4" t="s">
        <v>8500</v>
      </c>
      <c r="B7889" s="16"/>
      <c r="C7889" s="12">
        <f>IFERROR(__xludf.DUMMYFUNCTION("""COMPUTED_VALUE"""),44636.04284722222)</f>
        <v>44636.04285</v>
      </c>
      <c r="D7889" s="13">
        <f t="shared" si="1"/>
        <v>16</v>
      </c>
      <c r="E7889" s="13">
        <f t="shared" si="2"/>
        <v>1</v>
      </c>
    </row>
    <row r="7890">
      <c r="A7890" s="4" t="s">
        <v>8501</v>
      </c>
      <c r="B7890" s="16"/>
      <c r="C7890" s="12">
        <f>IFERROR(__xludf.DUMMYFUNCTION("""COMPUTED_VALUE"""),44636.03960648148)</f>
        <v>44636.03961</v>
      </c>
      <c r="D7890" s="13">
        <f t="shared" si="1"/>
        <v>16</v>
      </c>
      <c r="E7890" s="13">
        <f t="shared" si="2"/>
        <v>0</v>
      </c>
    </row>
    <row r="7891">
      <c r="A7891" s="4" t="s">
        <v>8502</v>
      </c>
      <c r="B7891" s="16"/>
      <c r="C7891" s="12">
        <f>IFERROR(__xludf.DUMMYFUNCTION("""COMPUTED_VALUE"""),44636.033124999994)</f>
        <v>44636.03313</v>
      </c>
      <c r="D7891" s="13">
        <f t="shared" si="1"/>
        <v>16</v>
      </c>
      <c r="E7891" s="13">
        <f t="shared" si="2"/>
        <v>0</v>
      </c>
    </row>
    <row r="7892">
      <c r="A7892" s="4" t="s">
        <v>8503</v>
      </c>
      <c r="B7892" s="16"/>
      <c r="C7892" s="12">
        <f>IFERROR(__xludf.DUMMYFUNCTION("""COMPUTED_VALUE"""),44636.02819444444)</f>
        <v>44636.02819</v>
      </c>
      <c r="D7892" s="13">
        <f t="shared" si="1"/>
        <v>16</v>
      </c>
      <c r="E7892" s="13">
        <f t="shared" si="2"/>
        <v>0</v>
      </c>
    </row>
    <row r="7893">
      <c r="A7893" s="4" t="s">
        <v>8504</v>
      </c>
      <c r="B7893" s="16"/>
      <c r="C7893" s="12">
        <f>IFERROR(__xludf.DUMMYFUNCTION("""COMPUTED_VALUE"""),44636.027604166666)</f>
        <v>44636.0276</v>
      </c>
      <c r="D7893" s="13">
        <f t="shared" si="1"/>
        <v>16</v>
      </c>
      <c r="E7893" s="13">
        <f t="shared" si="2"/>
        <v>0</v>
      </c>
    </row>
    <row r="7894">
      <c r="A7894" s="4" t="s">
        <v>8505</v>
      </c>
      <c r="B7894" s="16"/>
      <c r="C7894" s="12">
        <f>IFERROR(__xludf.DUMMYFUNCTION("""COMPUTED_VALUE"""),44636.02408564815)</f>
        <v>44636.02409</v>
      </c>
      <c r="D7894" s="13">
        <f t="shared" si="1"/>
        <v>16</v>
      </c>
      <c r="E7894" s="13">
        <f t="shared" si="2"/>
        <v>0</v>
      </c>
    </row>
    <row r="7895">
      <c r="A7895" s="4" t="s">
        <v>8506</v>
      </c>
      <c r="B7895" s="16"/>
      <c r="C7895" s="12">
        <f>IFERROR(__xludf.DUMMYFUNCTION("""COMPUTED_VALUE"""),44635.955682870364)</f>
        <v>44635.95568</v>
      </c>
      <c r="D7895" s="13">
        <f t="shared" si="1"/>
        <v>15</v>
      </c>
      <c r="E7895" s="13">
        <f t="shared" si="2"/>
        <v>22</v>
      </c>
    </row>
    <row r="7896">
      <c r="A7896" s="4" t="s">
        <v>8507</v>
      </c>
      <c r="B7896" s="16"/>
      <c r="C7896" s="12">
        <f>IFERROR(__xludf.DUMMYFUNCTION("""COMPUTED_VALUE"""),44635.95170138888)</f>
        <v>44635.9517</v>
      </c>
      <c r="D7896" s="13">
        <f t="shared" si="1"/>
        <v>15</v>
      </c>
      <c r="E7896" s="13">
        <f t="shared" si="2"/>
        <v>22</v>
      </c>
    </row>
    <row r="7897">
      <c r="A7897" s="4" t="s">
        <v>8508</v>
      </c>
      <c r="B7897" s="16"/>
      <c r="C7897" s="12">
        <f>IFERROR(__xludf.DUMMYFUNCTION("""COMPUTED_VALUE"""),44635.93751157407)</f>
        <v>44635.93751</v>
      </c>
      <c r="D7897" s="13">
        <f t="shared" si="1"/>
        <v>15</v>
      </c>
      <c r="E7897" s="13">
        <f t="shared" si="2"/>
        <v>22</v>
      </c>
    </row>
    <row r="7898">
      <c r="A7898" s="4" t="s">
        <v>8509</v>
      </c>
      <c r="B7898" s="16"/>
      <c r="C7898" s="12">
        <f>IFERROR(__xludf.DUMMYFUNCTION("""COMPUTED_VALUE"""),44635.920543981476)</f>
        <v>44635.92054</v>
      </c>
      <c r="D7898" s="13">
        <f t="shared" si="1"/>
        <v>15</v>
      </c>
      <c r="E7898" s="13">
        <f t="shared" si="2"/>
        <v>22</v>
      </c>
    </row>
    <row r="7899">
      <c r="A7899" s="4" t="s">
        <v>8510</v>
      </c>
      <c r="B7899" s="16"/>
      <c r="C7899" s="12">
        <f>IFERROR(__xludf.DUMMYFUNCTION("""COMPUTED_VALUE"""),44635.9068287037)</f>
        <v>44635.90683</v>
      </c>
      <c r="D7899" s="13">
        <f t="shared" si="1"/>
        <v>15</v>
      </c>
      <c r="E7899" s="13">
        <f t="shared" si="2"/>
        <v>21</v>
      </c>
    </row>
    <row r="7900">
      <c r="A7900" s="4" t="s">
        <v>8511</v>
      </c>
      <c r="B7900" s="16"/>
      <c r="C7900" s="12">
        <f>IFERROR(__xludf.DUMMYFUNCTION("""COMPUTED_VALUE"""),44635.881898148145)</f>
        <v>44635.8819</v>
      </c>
      <c r="D7900" s="13">
        <f t="shared" si="1"/>
        <v>15</v>
      </c>
      <c r="E7900" s="13">
        <f t="shared" si="2"/>
        <v>21</v>
      </c>
    </row>
    <row r="7901">
      <c r="A7901" s="4" t="s">
        <v>8512</v>
      </c>
      <c r="B7901" s="16"/>
      <c r="C7901" s="12">
        <f>IFERROR(__xludf.DUMMYFUNCTION("""COMPUTED_VALUE"""),44635.868796296294)</f>
        <v>44635.8688</v>
      </c>
      <c r="D7901" s="13">
        <f t="shared" si="1"/>
        <v>15</v>
      </c>
      <c r="E7901" s="13">
        <f t="shared" si="2"/>
        <v>20</v>
      </c>
    </row>
    <row r="7902">
      <c r="A7902" s="4" t="s">
        <v>8513</v>
      </c>
      <c r="B7902" s="16"/>
      <c r="C7902" s="12">
        <f>IFERROR(__xludf.DUMMYFUNCTION("""COMPUTED_VALUE"""),44635.85811342592)</f>
        <v>44635.85811</v>
      </c>
      <c r="D7902" s="13">
        <f t="shared" si="1"/>
        <v>15</v>
      </c>
      <c r="E7902" s="13">
        <f t="shared" si="2"/>
        <v>20</v>
      </c>
    </row>
    <row r="7903">
      <c r="A7903" s="4" t="s">
        <v>8514</v>
      </c>
      <c r="B7903" s="16"/>
      <c r="C7903" s="12">
        <f>IFERROR(__xludf.DUMMYFUNCTION("""COMPUTED_VALUE"""),44635.84202546296)</f>
        <v>44635.84203</v>
      </c>
      <c r="D7903" s="13">
        <f t="shared" si="1"/>
        <v>15</v>
      </c>
      <c r="E7903" s="13">
        <f t="shared" si="2"/>
        <v>20</v>
      </c>
    </row>
    <row r="7904">
      <c r="A7904" s="4" t="s">
        <v>8515</v>
      </c>
      <c r="B7904" s="16"/>
      <c r="C7904" s="12">
        <f>IFERROR(__xludf.DUMMYFUNCTION("""COMPUTED_VALUE"""),44635.84099537037)</f>
        <v>44635.841</v>
      </c>
      <c r="D7904" s="13">
        <f t="shared" si="1"/>
        <v>15</v>
      </c>
      <c r="E7904" s="13">
        <f t="shared" si="2"/>
        <v>20</v>
      </c>
    </row>
    <row r="7905">
      <c r="A7905" s="4" t="s">
        <v>8516</v>
      </c>
      <c r="B7905" s="16"/>
      <c r="C7905" s="12">
        <f>IFERROR(__xludf.DUMMYFUNCTION("""COMPUTED_VALUE"""),44635.8365625)</f>
        <v>44635.83656</v>
      </c>
      <c r="D7905" s="13">
        <f t="shared" si="1"/>
        <v>15</v>
      </c>
      <c r="E7905" s="13">
        <f t="shared" si="2"/>
        <v>20</v>
      </c>
    </row>
    <row r="7906">
      <c r="A7906" s="4" t="s">
        <v>8517</v>
      </c>
      <c r="B7906" s="16"/>
      <c r="C7906" s="12">
        <f>IFERROR(__xludf.DUMMYFUNCTION("""COMPUTED_VALUE"""),44635.83364583333)</f>
        <v>44635.83365</v>
      </c>
      <c r="D7906" s="13">
        <f t="shared" si="1"/>
        <v>15</v>
      </c>
      <c r="E7906" s="13">
        <f t="shared" si="2"/>
        <v>20</v>
      </c>
    </row>
    <row r="7907">
      <c r="A7907" s="4" t="s">
        <v>8518</v>
      </c>
      <c r="B7907" s="16"/>
      <c r="C7907" s="12">
        <f>IFERROR(__xludf.DUMMYFUNCTION("""COMPUTED_VALUE"""),44635.794548611106)</f>
        <v>44635.79455</v>
      </c>
      <c r="D7907" s="13">
        <f t="shared" si="1"/>
        <v>15</v>
      </c>
      <c r="E7907" s="13">
        <f t="shared" si="2"/>
        <v>19</v>
      </c>
    </row>
    <row r="7908">
      <c r="A7908" s="4" t="s">
        <v>8519</v>
      </c>
      <c r="B7908" s="16"/>
      <c r="C7908" s="12">
        <f>IFERROR(__xludf.DUMMYFUNCTION("""COMPUTED_VALUE"""),44635.79356481481)</f>
        <v>44635.79356</v>
      </c>
      <c r="D7908" s="13">
        <f t="shared" si="1"/>
        <v>15</v>
      </c>
      <c r="E7908" s="13">
        <f t="shared" si="2"/>
        <v>19</v>
      </c>
    </row>
    <row r="7909">
      <c r="A7909" s="4" t="s">
        <v>8520</v>
      </c>
      <c r="B7909" s="16"/>
      <c r="C7909" s="12">
        <f>IFERROR(__xludf.DUMMYFUNCTION("""COMPUTED_VALUE"""),44635.78104166666)</f>
        <v>44635.78104</v>
      </c>
      <c r="D7909" s="13">
        <f t="shared" si="1"/>
        <v>15</v>
      </c>
      <c r="E7909" s="13">
        <f t="shared" si="2"/>
        <v>18</v>
      </c>
    </row>
    <row r="7910">
      <c r="A7910" s="4" t="s">
        <v>8521</v>
      </c>
      <c r="B7910" s="16"/>
      <c r="C7910" s="12">
        <f>IFERROR(__xludf.DUMMYFUNCTION("""COMPUTED_VALUE"""),44635.773680555554)</f>
        <v>44635.77368</v>
      </c>
      <c r="D7910" s="13">
        <f t="shared" si="1"/>
        <v>15</v>
      </c>
      <c r="E7910" s="13">
        <f t="shared" si="2"/>
        <v>18</v>
      </c>
    </row>
    <row r="7911">
      <c r="A7911" s="4" t="s">
        <v>8522</v>
      </c>
      <c r="B7911" s="16"/>
      <c r="C7911" s="12">
        <f>IFERROR(__xludf.DUMMYFUNCTION("""COMPUTED_VALUE"""),44635.77302083333)</f>
        <v>44635.77302</v>
      </c>
      <c r="D7911" s="13">
        <f t="shared" si="1"/>
        <v>15</v>
      </c>
      <c r="E7911" s="13">
        <f t="shared" si="2"/>
        <v>18</v>
      </c>
    </row>
    <row r="7912">
      <c r="A7912" s="4" t="s">
        <v>8523</v>
      </c>
      <c r="B7912" s="16"/>
      <c r="C7912" s="12">
        <f>IFERROR(__xludf.DUMMYFUNCTION("""COMPUTED_VALUE"""),44635.76913194444)</f>
        <v>44635.76913</v>
      </c>
      <c r="D7912" s="13">
        <f t="shared" si="1"/>
        <v>15</v>
      </c>
      <c r="E7912" s="13">
        <f t="shared" si="2"/>
        <v>18</v>
      </c>
    </row>
    <row r="7913">
      <c r="A7913" s="4" t="s">
        <v>8524</v>
      </c>
      <c r="B7913" s="16"/>
      <c r="C7913" s="12">
        <f>IFERROR(__xludf.DUMMYFUNCTION("""COMPUTED_VALUE"""),44635.72414351851)</f>
        <v>44635.72414</v>
      </c>
      <c r="D7913" s="13">
        <f t="shared" si="1"/>
        <v>15</v>
      </c>
      <c r="E7913" s="13">
        <f t="shared" si="2"/>
        <v>17</v>
      </c>
    </row>
    <row r="7914">
      <c r="A7914" s="4" t="s">
        <v>8525</v>
      </c>
      <c r="B7914" s="16"/>
      <c r="C7914" s="12">
        <f>IFERROR(__xludf.DUMMYFUNCTION("""COMPUTED_VALUE"""),44635.711504629624)</f>
        <v>44635.7115</v>
      </c>
      <c r="D7914" s="13">
        <f t="shared" si="1"/>
        <v>15</v>
      </c>
      <c r="E7914" s="13">
        <f t="shared" si="2"/>
        <v>17</v>
      </c>
    </row>
    <row r="7915">
      <c r="A7915" s="4" t="s">
        <v>8526</v>
      </c>
      <c r="B7915" s="16"/>
      <c r="C7915" s="12">
        <f>IFERROR(__xludf.DUMMYFUNCTION("""COMPUTED_VALUE"""),44635.7083912037)</f>
        <v>44635.70839</v>
      </c>
      <c r="D7915" s="13">
        <f t="shared" si="1"/>
        <v>15</v>
      </c>
      <c r="E7915" s="13">
        <f t="shared" si="2"/>
        <v>17</v>
      </c>
    </row>
    <row r="7916">
      <c r="A7916" s="4" t="s">
        <v>8527</v>
      </c>
      <c r="B7916" s="16"/>
      <c r="C7916" s="12">
        <f>IFERROR(__xludf.DUMMYFUNCTION("""COMPUTED_VALUE"""),44635.701273148145)</f>
        <v>44635.70127</v>
      </c>
      <c r="D7916" s="13">
        <f t="shared" si="1"/>
        <v>15</v>
      </c>
      <c r="E7916" s="13">
        <f t="shared" si="2"/>
        <v>16</v>
      </c>
    </row>
    <row r="7917">
      <c r="A7917" s="4" t="s">
        <v>8528</v>
      </c>
      <c r="B7917" s="16"/>
      <c r="C7917" s="12">
        <f>IFERROR(__xludf.DUMMYFUNCTION("""COMPUTED_VALUE"""),44635.698333333334)</f>
        <v>44635.69833</v>
      </c>
      <c r="D7917" s="13">
        <f t="shared" si="1"/>
        <v>15</v>
      </c>
      <c r="E7917" s="13">
        <f t="shared" si="2"/>
        <v>16</v>
      </c>
    </row>
    <row r="7918">
      <c r="A7918" s="4" t="s">
        <v>8529</v>
      </c>
      <c r="B7918" s="16"/>
      <c r="C7918" s="12">
        <f>IFERROR(__xludf.DUMMYFUNCTION("""COMPUTED_VALUE"""),44635.682442129626)</f>
        <v>44635.68244</v>
      </c>
      <c r="D7918" s="13">
        <f t="shared" si="1"/>
        <v>15</v>
      </c>
      <c r="E7918" s="13">
        <f t="shared" si="2"/>
        <v>16</v>
      </c>
    </row>
    <row r="7919">
      <c r="A7919" s="4" t="s">
        <v>8530</v>
      </c>
      <c r="B7919" s="16"/>
      <c r="C7919" s="12">
        <f>IFERROR(__xludf.DUMMYFUNCTION("""COMPUTED_VALUE"""),44635.6696412037)</f>
        <v>44635.66964</v>
      </c>
      <c r="D7919" s="13">
        <f t="shared" si="1"/>
        <v>15</v>
      </c>
      <c r="E7919" s="13">
        <f t="shared" si="2"/>
        <v>16</v>
      </c>
    </row>
    <row r="7920">
      <c r="A7920" s="4" t="s">
        <v>8531</v>
      </c>
      <c r="B7920" s="16"/>
      <c r="C7920" s="12">
        <f>IFERROR(__xludf.DUMMYFUNCTION("""COMPUTED_VALUE"""),44635.666921296295)</f>
        <v>44635.66692</v>
      </c>
      <c r="D7920" s="13">
        <f t="shared" si="1"/>
        <v>15</v>
      </c>
      <c r="E7920" s="13">
        <f t="shared" si="2"/>
        <v>16</v>
      </c>
    </row>
    <row r="7921">
      <c r="A7921" s="4" t="s">
        <v>8532</v>
      </c>
      <c r="B7921" s="16"/>
      <c r="C7921" s="12">
        <f>IFERROR(__xludf.DUMMYFUNCTION("""COMPUTED_VALUE"""),44635.665243055555)</f>
        <v>44635.66524</v>
      </c>
      <c r="D7921" s="13">
        <f t="shared" si="1"/>
        <v>15</v>
      </c>
      <c r="E7921" s="13">
        <f t="shared" si="2"/>
        <v>15</v>
      </c>
    </row>
    <row r="7922">
      <c r="A7922" s="4" t="s">
        <v>8533</v>
      </c>
      <c r="B7922" s="16"/>
      <c r="C7922" s="12">
        <f>IFERROR(__xludf.DUMMYFUNCTION("""COMPUTED_VALUE"""),44635.65246527777)</f>
        <v>44635.65247</v>
      </c>
      <c r="D7922" s="13">
        <f t="shared" si="1"/>
        <v>15</v>
      </c>
      <c r="E7922" s="13">
        <f t="shared" si="2"/>
        <v>15</v>
      </c>
    </row>
    <row r="7923">
      <c r="A7923" s="4" t="s">
        <v>8534</v>
      </c>
      <c r="B7923" s="16"/>
      <c r="C7923" s="12">
        <f>IFERROR(__xludf.DUMMYFUNCTION("""COMPUTED_VALUE"""),44635.65052083333)</f>
        <v>44635.65052</v>
      </c>
      <c r="D7923" s="13">
        <f t="shared" si="1"/>
        <v>15</v>
      </c>
      <c r="E7923" s="13">
        <f t="shared" si="2"/>
        <v>15</v>
      </c>
    </row>
    <row r="7924">
      <c r="A7924" s="4" t="s">
        <v>8535</v>
      </c>
      <c r="B7924" s="16"/>
      <c r="C7924" s="12">
        <f>IFERROR(__xludf.DUMMYFUNCTION("""COMPUTED_VALUE"""),44635.641863425924)</f>
        <v>44635.64186</v>
      </c>
      <c r="D7924" s="13">
        <f t="shared" si="1"/>
        <v>15</v>
      </c>
      <c r="E7924" s="13">
        <f t="shared" si="2"/>
        <v>15</v>
      </c>
    </row>
    <row r="7925">
      <c r="A7925" s="4" t="s">
        <v>8536</v>
      </c>
      <c r="B7925" s="16"/>
      <c r="C7925" s="12">
        <f>IFERROR(__xludf.DUMMYFUNCTION("""COMPUTED_VALUE"""),44635.63650462963)</f>
        <v>44635.6365</v>
      </c>
      <c r="D7925" s="13">
        <f t="shared" si="1"/>
        <v>15</v>
      </c>
      <c r="E7925" s="13">
        <f t="shared" si="2"/>
        <v>15</v>
      </c>
    </row>
    <row r="7926">
      <c r="A7926" s="4" t="s">
        <v>8537</v>
      </c>
      <c r="B7926" s="16"/>
      <c r="C7926" s="12">
        <f>IFERROR(__xludf.DUMMYFUNCTION("""COMPUTED_VALUE"""),44635.62908564814)</f>
        <v>44635.62909</v>
      </c>
      <c r="D7926" s="13">
        <f t="shared" si="1"/>
        <v>15</v>
      </c>
      <c r="E7926" s="13">
        <f t="shared" si="2"/>
        <v>15</v>
      </c>
    </row>
    <row r="7927">
      <c r="A7927" s="4" t="s">
        <v>8538</v>
      </c>
      <c r="B7927" s="16"/>
      <c r="C7927" s="12">
        <f>IFERROR(__xludf.DUMMYFUNCTION("""COMPUTED_VALUE"""),44635.628912037035)</f>
        <v>44635.62891</v>
      </c>
      <c r="D7927" s="13">
        <f t="shared" si="1"/>
        <v>15</v>
      </c>
      <c r="E7927" s="13">
        <f t="shared" si="2"/>
        <v>15</v>
      </c>
    </row>
    <row r="7928">
      <c r="A7928" s="4" t="s">
        <v>8539</v>
      </c>
      <c r="B7928" s="16"/>
      <c r="C7928" s="12">
        <f>IFERROR(__xludf.DUMMYFUNCTION("""COMPUTED_VALUE"""),44635.61903935185)</f>
        <v>44635.61904</v>
      </c>
      <c r="D7928" s="13">
        <f t="shared" si="1"/>
        <v>15</v>
      </c>
      <c r="E7928" s="13">
        <f t="shared" si="2"/>
        <v>14</v>
      </c>
    </row>
    <row r="7929">
      <c r="A7929" s="4" t="s">
        <v>8540</v>
      </c>
      <c r="B7929" s="16"/>
      <c r="C7929" s="12">
        <f>IFERROR(__xludf.DUMMYFUNCTION("""COMPUTED_VALUE"""),44635.607048611106)</f>
        <v>44635.60705</v>
      </c>
      <c r="D7929" s="13">
        <f t="shared" si="1"/>
        <v>15</v>
      </c>
      <c r="E7929" s="13">
        <f t="shared" si="2"/>
        <v>14</v>
      </c>
    </row>
    <row r="7930">
      <c r="A7930" s="4" t="s">
        <v>8541</v>
      </c>
      <c r="B7930" s="16"/>
      <c r="C7930" s="12">
        <f>IFERROR(__xludf.DUMMYFUNCTION("""COMPUTED_VALUE"""),44635.60225694444)</f>
        <v>44635.60226</v>
      </c>
      <c r="D7930" s="13">
        <f t="shared" si="1"/>
        <v>15</v>
      </c>
      <c r="E7930" s="13">
        <f t="shared" si="2"/>
        <v>14</v>
      </c>
    </row>
    <row r="7931">
      <c r="A7931" s="4" t="s">
        <v>8542</v>
      </c>
      <c r="B7931" s="16"/>
      <c r="C7931" s="12">
        <f>IFERROR(__xludf.DUMMYFUNCTION("""COMPUTED_VALUE"""),44635.60131944444)</f>
        <v>44635.60132</v>
      </c>
      <c r="D7931" s="13">
        <f t="shared" si="1"/>
        <v>15</v>
      </c>
      <c r="E7931" s="13">
        <f t="shared" si="2"/>
        <v>14</v>
      </c>
    </row>
    <row r="7932">
      <c r="A7932" s="4" t="s">
        <v>8543</v>
      </c>
      <c r="B7932" s="16"/>
      <c r="C7932" s="12">
        <f>IFERROR(__xludf.DUMMYFUNCTION("""COMPUTED_VALUE"""),44635.59675925926)</f>
        <v>44635.59676</v>
      </c>
      <c r="D7932" s="13">
        <f t="shared" si="1"/>
        <v>15</v>
      </c>
      <c r="E7932" s="13">
        <f t="shared" si="2"/>
        <v>14</v>
      </c>
    </row>
    <row r="7933">
      <c r="A7933" s="4" t="s">
        <v>8544</v>
      </c>
      <c r="B7933" s="16"/>
      <c r="C7933" s="12">
        <f>IFERROR(__xludf.DUMMYFUNCTION("""COMPUTED_VALUE"""),44635.59224537037)</f>
        <v>44635.59225</v>
      </c>
      <c r="D7933" s="13">
        <f t="shared" si="1"/>
        <v>15</v>
      </c>
      <c r="E7933" s="13">
        <f t="shared" si="2"/>
        <v>14</v>
      </c>
    </row>
    <row r="7934">
      <c r="A7934" s="4" t="s">
        <v>8545</v>
      </c>
      <c r="B7934" s="16"/>
      <c r="C7934" s="12">
        <f>IFERROR(__xludf.DUMMYFUNCTION("""COMPUTED_VALUE"""),44635.58454861111)</f>
        <v>44635.58455</v>
      </c>
      <c r="D7934" s="13">
        <f t="shared" si="1"/>
        <v>15</v>
      </c>
      <c r="E7934" s="13">
        <f t="shared" si="2"/>
        <v>14</v>
      </c>
    </row>
    <row r="7935">
      <c r="A7935" s="4" t="s">
        <v>8546</v>
      </c>
      <c r="B7935" s="16"/>
      <c r="C7935" s="12">
        <f>IFERROR(__xludf.DUMMYFUNCTION("""COMPUTED_VALUE"""),44635.564305555556)</f>
        <v>44635.56431</v>
      </c>
      <c r="D7935" s="13">
        <f t="shared" si="1"/>
        <v>15</v>
      </c>
      <c r="E7935" s="13">
        <f t="shared" si="2"/>
        <v>13</v>
      </c>
    </row>
    <row r="7936">
      <c r="A7936" s="4" t="s">
        <v>8547</v>
      </c>
      <c r="B7936" s="16"/>
      <c r="C7936" s="12">
        <f>IFERROR(__xludf.DUMMYFUNCTION("""COMPUTED_VALUE"""),44635.560844907406)</f>
        <v>44635.56084</v>
      </c>
      <c r="D7936" s="13">
        <f t="shared" si="1"/>
        <v>15</v>
      </c>
      <c r="E7936" s="13">
        <f t="shared" si="2"/>
        <v>13</v>
      </c>
    </row>
    <row r="7937">
      <c r="A7937" s="4" t="s">
        <v>8548</v>
      </c>
      <c r="B7937" s="16"/>
      <c r="C7937" s="12">
        <f>IFERROR(__xludf.DUMMYFUNCTION("""COMPUTED_VALUE"""),44635.54915509259)</f>
        <v>44635.54916</v>
      </c>
      <c r="D7937" s="13">
        <f t="shared" si="1"/>
        <v>15</v>
      </c>
      <c r="E7937" s="13">
        <f t="shared" si="2"/>
        <v>13</v>
      </c>
    </row>
    <row r="7938">
      <c r="A7938" s="4" t="s">
        <v>8549</v>
      </c>
      <c r="B7938" s="16"/>
      <c r="C7938" s="12">
        <f>IFERROR(__xludf.DUMMYFUNCTION("""COMPUTED_VALUE"""),44635.545219907406)</f>
        <v>44635.54522</v>
      </c>
      <c r="D7938" s="13">
        <f t="shared" si="1"/>
        <v>15</v>
      </c>
      <c r="E7938" s="13">
        <f t="shared" si="2"/>
        <v>13</v>
      </c>
    </row>
    <row r="7939">
      <c r="A7939" s="4" t="s">
        <v>8550</v>
      </c>
      <c r="B7939" s="16"/>
      <c r="C7939" s="12">
        <f>IFERROR(__xludf.DUMMYFUNCTION("""COMPUTED_VALUE"""),44635.533483796295)</f>
        <v>44635.53348</v>
      </c>
      <c r="D7939" s="13">
        <f t="shared" si="1"/>
        <v>15</v>
      </c>
      <c r="E7939" s="13">
        <f t="shared" si="2"/>
        <v>12</v>
      </c>
    </row>
    <row r="7940">
      <c r="A7940" s="4" t="s">
        <v>8551</v>
      </c>
      <c r="B7940" s="16"/>
      <c r="C7940" s="12">
        <f>IFERROR(__xludf.DUMMYFUNCTION("""COMPUTED_VALUE"""),44635.514826388884)</f>
        <v>44635.51483</v>
      </c>
      <c r="D7940" s="13">
        <f t="shared" si="1"/>
        <v>15</v>
      </c>
      <c r="E7940" s="13">
        <f t="shared" si="2"/>
        <v>12</v>
      </c>
    </row>
    <row r="7941">
      <c r="A7941" s="4" t="s">
        <v>8552</v>
      </c>
      <c r="B7941" s="16"/>
      <c r="C7941" s="12">
        <f>IFERROR(__xludf.DUMMYFUNCTION("""COMPUTED_VALUE"""),44635.51159722222)</f>
        <v>44635.5116</v>
      </c>
      <c r="D7941" s="13">
        <f t="shared" si="1"/>
        <v>15</v>
      </c>
      <c r="E7941" s="13">
        <f t="shared" si="2"/>
        <v>12</v>
      </c>
    </row>
    <row r="7942">
      <c r="A7942" s="4" t="s">
        <v>8553</v>
      </c>
      <c r="B7942" s="16"/>
      <c r="C7942" s="12">
        <f>IFERROR(__xludf.DUMMYFUNCTION("""COMPUTED_VALUE"""),44635.50491898148)</f>
        <v>44635.50492</v>
      </c>
      <c r="D7942" s="13">
        <f t="shared" si="1"/>
        <v>15</v>
      </c>
      <c r="E7942" s="13">
        <f t="shared" si="2"/>
        <v>12</v>
      </c>
    </row>
    <row r="7943">
      <c r="A7943" s="4" t="s">
        <v>8554</v>
      </c>
      <c r="B7943" s="16"/>
      <c r="C7943" s="12">
        <f>IFERROR(__xludf.DUMMYFUNCTION("""COMPUTED_VALUE"""),44635.502557870364)</f>
        <v>44635.50256</v>
      </c>
      <c r="D7943" s="13">
        <f t="shared" si="1"/>
        <v>15</v>
      </c>
      <c r="E7943" s="13">
        <f t="shared" si="2"/>
        <v>12</v>
      </c>
    </row>
    <row r="7944">
      <c r="A7944" s="4" t="s">
        <v>8555</v>
      </c>
      <c r="B7944" s="16"/>
      <c r="C7944" s="12">
        <f>IFERROR(__xludf.DUMMYFUNCTION("""COMPUTED_VALUE"""),44635.49909722222)</f>
        <v>44635.4991</v>
      </c>
      <c r="D7944" s="13">
        <f t="shared" si="1"/>
        <v>15</v>
      </c>
      <c r="E7944" s="13">
        <f t="shared" si="2"/>
        <v>11</v>
      </c>
    </row>
    <row r="7945">
      <c r="A7945" s="4" t="s">
        <v>8556</v>
      </c>
      <c r="B7945" s="16"/>
      <c r="C7945" s="12">
        <f>IFERROR(__xludf.DUMMYFUNCTION("""COMPUTED_VALUE"""),44635.48590277778)</f>
        <v>44635.4859</v>
      </c>
      <c r="D7945" s="13">
        <f t="shared" si="1"/>
        <v>15</v>
      </c>
      <c r="E7945" s="13">
        <f t="shared" si="2"/>
        <v>11</v>
      </c>
    </row>
    <row r="7946">
      <c r="A7946" s="4" t="s">
        <v>8557</v>
      </c>
      <c r="B7946" s="16"/>
      <c r="C7946" s="12">
        <f>IFERROR(__xludf.DUMMYFUNCTION("""COMPUTED_VALUE"""),44635.48542824074)</f>
        <v>44635.48543</v>
      </c>
      <c r="D7946" s="13">
        <f t="shared" si="1"/>
        <v>15</v>
      </c>
      <c r="E7946" s="13">
        <f t="shared" si="2"/>
        <v>11</v>
      </c>
    </row>
    <row r="7947">
      <c r="A7947" s="4" t="s">
        <v>8558</v>
      </c>
      <c r="B7947" s="16"/>
      <c r="C7947" s="12">
        <f>IFERROR(__xludf.DUMMYFUNCTION("""COMPUTED_VALUE"""),44635.48303240741)</f>
        <v>44635.48303</v>
      </c>
      <c r="D7947" s="13">
        <f t="shared" si="1"/>
        <v>15</v>
      </c>
      <c r="E7947" s="13">
        <f t="shared" si="2"/>
        <v>11</v>
      </c>
    </row>
    <row r="7948">
      <c r="A7948" s="4" t="s">
        <v>8559</v>
      </c>
      <c r="B7948" s="16"/>
      <c r="C7948" s="12">
        <f>IFERROR(__xludf.DUMMYFUNCTION("""COMPUTED_VALUE"""),44635.48040509259)</f>
        <v>44635.48041</v>
      </c>
      <c r="D7948" s="13">
        <f t="shared" si="1"/>
        <v>15</v>
      </c>
      <c r="E7948" s="13">
        <f t="shared" si="2"/>
        <v>11</v>
      </c>
    </row>
    <row r="7949">
      <c r="A7949" s="4" t="s">
        <v>8560</v>
      </c>
      <c r="B7949" s="16"/>
      <c r="C7949" s="12">
        <f>IFERROR(__xludf.DUMMYFUNCTION("""COMPUTED_VALUE"""),44635.4746412037)</f>
        <v>44635.47464</v>
      </c>
      <c r="D7949" s="13">
        <f t="shared" si="1"/>
        <v>15</v>
      </c>
      <c r="E7949" s="13">
        <f t="shared" si="2"/>
        <v>11</v>
      </c>
    </row>
    <row r="7950">
      <c r="A7950" s="4" t="s">
        <v>8561</v>
      </c>
      <c r="B7950" s="16"/>
      <c r="C7950" s="12">
        <f>IFERROR(__xludf.DUMMYFUNCTION("""COMPUTED_VALUE"""),44635.47416666667)</f>
        <v>44635.47417</v>
      </c>
      <c r="D7950" s="13">
        <f t="shared" si="1"/>
        <v>15</v>
      </c>
      <c r="E7950" s="13">
        <f t="shared" si="2"/>
        <v>11</v>
      </c>
    </row>
    <row r="7951">
      <c r="A7951" s="4" t="s">
        <v>8562</v>
      </c>
      <c r="B7951" s="16"/>
      <c r="C7951" s="12">
        <f>IFERROR(__xludf.DUMMYFUNCTION("""COMPUTED_VALUE"""),44635.44944444444)</f>
        <v>44635.44944</v>
      </c>
      <c r="D7951" s="13">
        <f t="shared" si="1"/>
        <v>15</v>
      </c>
      <c r="E7951" s="13">
        <f t="shared" si="2"/>
        <v>10</v>
      </c>
    </row>
    <row r="7952">
      <c r="A7952" s="4" t="s">
        <v>8563</v>
      </c>
      <c r="B7952" s="16"/>
      <c r="C7952" s="12">
        <f>IFERROR(__xludf.DUMMYFUNCTION("""COMPUTED_VALUE"""),44635.44809027777)</f>
        <v>44635.44809</v>
      </c>
      <c r="D7952" s="13">
        <f t="shared" si="1"/>
        <v>15</v>
      </c>
      <c r="E7952" s="13">
        <f t="shared" si="2"/>
        <v>10</v>
      </c>
    </row>
    <row r="7953">
      <c r="A7953" s="4" t="s">
        <v>8564</v>
      </c>
      <c r="B7953" s="16"/>
      <c r="C7953" s="12">
        <f>IFERROR(__xludf.DUMMYFUNCTION("""COMPUTED_VALUE"""),44635.442199074074)</f>
        <v>44635.4422</v>
      </c>
      <c r="D7953" s="13">
        <f t="shared" si="1"/>
        <v>15</v>
      </c>
      <c r="E7953" s="13">
        <f t="shared" si="2"/>
        <v>10</v>
      </c>
    </row>
    <row r="7954">
      <c r="A7954" s="4" t="s">
        <v>8565</v>
      </c>
      <c r="B7954" s="16"/>
      <c r="C7954" s="12">
        <f>IFERROR(__xludf.DUMMYFUNCTION("""COMPUTED_VALUE"""),44635.440150462964)</f>
        <v>44635.44015</v>
      </c>
      <c r="D7954" s="13">
        <f t="shared" si="1"/>
        <v>15</v>
      </c>
      <c r="E7954" s="13">
        <f t="shared" si="2"/>
        <v>10</v>
      </c>
    </row>
    <row r="7955">
      <c r="A7955" s="4" t="s">
        <v>8566</v>
      </c>
      <c r="B7955" s="16"/>
      <c r="C7955" s="12">
        <f>IFERROR(__xludf.DUMMYFUNCTION("""COMPUTED_VALUE"""),44635.43978009259)</f>
        <v>44635.43978</v>
      </c>
      <c r="D7955" s="13">
        <f t="shared" si="1"/>
        <v>15</v>
      </c>
      <c r="E7955" s="13">
        <f t="shared" si="2"/>
        <v>10</v>
      </c>
    </row>
    <row r="7956">
      <c r="A7956" s="4" t="s">
        <v>8567</v>
      </c>
      <c r="B7956" s="16"/>
      <c r="C7956" s="12">
        <f>IFERROR(__xludf.DUMMYFUNCTION("""COMPUTED_VALUE"""),44635.438634259255)</f>
        <v>44635.43863</v>
      </c>
      <c r="D7956" s="13">
        <f t="shared" si="1"/>
        <v>15</v>
      </c>
      <c r="E7956" s="13">
        <f t="shared" si="2"/>
        <v>10</v>
      </c>
    </row>
    <row r="7957">
      <c r="A7957" s="4" t="s">
        <v>8568</v>
      </c>
      <c r="B7957" s="16"/>
      <c r="C7957" s="12">
        <f>IFERROR(__xludf.DUMMYFUNCTION("""COMPUTED_VALUE"""),44635.422581018516)</f>
        <v>44635.42258</v>
      </c>
      <c r="D7957" s="13">
        <f t="shared" si="1"/>
        <v>15</v>
      </c>
      <c r="E7957" s="13">
        <f t="shared" si="2"/>
        <v>10</v>
      </c>
    </row>
    <row r="7958">
      <c r="A7958" s="4" t="s">
        <v>8569</v>
      </c>
      <c r="B7958" s="16"/>
      <c r="C7958" s="12">
        <f>IFERROR(__xludf.DUMMYFUNCTION("""COMPUTED_VALUE"""),44635.40075231481)</f>
        <v>44635.40075</v>
      </c>
      <c r="D7958" s="13">
        <f t="shared" si="1"/>
        <v>15</v>
      </c>
      <c r="E7958" s="13">
        <f t="shared" si="2"/>
        <v>9</v>
      </c>
    </row>
    <row r="7959">
      <c r="A7959" s="4" t="s">
        <v>8570</v>
      </c>
      <c r="B7959" s="16"/>
      <c r="C7959" s="12">
        <f>IFERROR(__xludf.DUMMYFUNCTION("""COMPUTED_VALUE"""),44635.400613425925)</f>
        <v>44635.40061</v>
      </c>
      <c r="D7959" s="13">
        <f t="shared" si="1"/>
        <v>15</v>
      </c>
      <c r="E7959" s="13">
        <f t="shared" si="2"/>
        <v>9</v>
      </c>
    </row>
    <row r="7960">
      <c r="A7960" s="4" t="s">
        <v>8571</v>
      </c>
      <c r="B7960" s="16"/>
      <c r="C7960" s="12">
        <f>IFERROR(__xludf.DUMMYFUNCTION("""COMPUTED_VALUE"""),44635.40045138889)</f>
        <v>44635.40045</v>
      </c>
      <c r="D7960" s="13">
        <f t="shared" si="1"/>
        <v>15</v>
      </c>
      <c r="E7960" s="13">
        <f t="shared" si="2"/>
        <v>9</v>
      </c>
    </row>
    <row r="7961">
      <c r="A7961" s="4" t="s">
        <v>8572</v>
      </c>
      <c r="B7961" s="16"/>
      <c r="C7961" s="12">
        <f>IFERROR(__xludf.DUMMYFUNCTION("""COMPUTED_VALUE"""),44635.399259259255)</f>
        <v>44635.39926</v>
      </c>
      <c r="D7961" s="13">
        <f t="shared" si="1"/>
        <v>15</v>
      </c>
      <c r="E7961" s="13">
        <f t="shared" si="2"/>
        <v>9</v>
      </c>
    </row>
    <row r="7962">
      <c r="A7962" s="4" t="s">
        <v>8573</v>
      </c>
      <c r="B7962" s="16"/>
      <c r="C7962" s="12">
        <f>IFERROR(__xludf.DUMMYFUNCTION("""COMPUTED_VALUE"""),44635.38927083333)</f>
        <v>44635.38927</v>
      </c>
      <c r="D7962" s="13">
        <f t="shared" si="1"/>
        <v>15</v>
      </c>
      <c r="E7962" s="13">
        <f t="shared" si="2"/>
        <v>9</v>
      </c>
    </row>
    <row r="7963">
      <c r="A7963" s="4" t="s">
        <v>8574</v>
      </c>
      <c r="B7963" s="16"/>
      <c r="C7963" s="12">
        <f>IFERROR(__xludf.DUMMYFUNCTION("""COMPUTED_VALUE"""),44635.381701388884)</f>
        <v>44635.3817</v>
      </c>
      <c r="D7963" s="13">
        <f t="shared" si="1"/>
        <v>15</v>
      </c>
      <c r="E7963" s="13">
        <f t="shared" si="2"/>
        <v>9</v>
      </c>
    </row>
    <row r="7964">
      <c r="A7964" s="4" t="s">
        <v>8575</v>
      </c>
      <c r="B7964" s="16"/>
      <c r="C7964" s="12">
        <f>IFERROR(__xludf.DUMMYFUNCTION("""COMPUTED_VALUE"""),44635.34265046296)</f>
        <v>44635.34265</v>
      </c>
      <c r="D7964" s="13">
        <f t="shared" si="1"/>
        <v>15</v>
      </c>
      <c r="E7964" s="13">
        <f t="shared" si="2"/>
        <v>8</v>
      </c>
    </row>
    <row r="7965">
      <c r="A7965" s="4" t="s">
        <v>8576</v>
      </c>
      <c r="B7965" s="16"/>
      <c r="C7965" s="12">
        <f>IFERROR(__xludf.DUMMYFUNCTION("""COMPUTED_VALUE"""),44635.321608796294)</f>
        <v>44635.32161</v>
      </c>
      <c r="D7965" s="13">
        <f t="shared" si="1"/>
        <v>15</v>
      </c>
      <c r="E7965" s="13">
        <f t="shared" si="2"/>
        <v>7</v>
      </c>
    </row>
    <row r="7966">
      <c r="A7966" s="4" t="s">
        <v>8577</v>
      </c>
      <c r="B7966" s="16"/>
      <c r="C7966" s="12">
        <f>IFERROR(__xludf.DUMMYFUNCTION("""COMPUTED_VALUE"""),44635.31050925926)</f>
        <v>44635.31051</v>
      </c>
      <c r="D7966" s="13">
        <f t="shared" si="1"/>
        <v>15</v>
      </c>
      <c r="E7966" s="13">
        <f t="shared" si="2"/>
        <v>7</v>
      </c>
    </row>
    <row r="7967">
      <c r="A7967" s="4" t="s">
        <v>8578</v>
      </c>
      <c r="B7967" s="16"/>
      <c r="C7967" s="12">
        <f>IFERROR(__xludf.DUMMYFUNCTION("""COMPUTED_VALUE"""),44635.29515046296)</f>
        <v>44635.29515</v>
      </c>
      <c r="D7967" s="13">
        <f t="shared" si="1"/>
        <v>15</v>
      </c>
      <c r="E7967" s="13">
        <f t="shared" si="2"/>
        <v>7</v>
      </c>
    </row>
    <row r="7968">
      <c r="A7968" s="4" t="s">
        <v>8579</v>
      </c>
      <c r="B7968" s="16"/>
      <c r="C7968" s="12">
        <f>IFERROR(__xludf.DUMMYFUNCTION("""COMPUTED_VALUE"""),44635.04804398148)</f>
        <v>44635.04804</v>
      </c>
      <c r="D7968" s="13">
        <f t="shared" si="1"/>
        <v>15</v>
      </c>
      <c r="E7968" s="13">
        <f t="shared" si="2"/>
        <v>1</v>
      </c>
    </row>
    <row r="7969">
      <c r="A7969" s="4" t="s">
        <v>8580</v>
      </c>
      <c r="B7969" s="16"/>
      <c r="C7969" s="12">
        <f>IFERROR(__xludf.DUMMYFUNCTION("""COMPUTED_VALUE"""),44635.0149537037)</f>
        <v>44635.01495</v>
      </c>
      <c r="D7969" s="13">
        <f t="shared" si="1"/>
        <v>15</v>
      </c>
      <c r="E7969" s="13">
        <f t="shared" si="2"/>
        <v>0</v>
      </c>
    </row>
    <row r="7970">
      <c r="A7970" s="4" t="s">
        <v>8581</v>
      </c>
      <c r="B7970" s="16"/>
      <c r="C7970" s="12">
        <f>IFERROR(__xludf.DUMMYFUNCTION("""COMPUTED_VALUE"""),44635.0062037037)</f>
        <v>44635.0062</v>
      </c>
      <c r="D7970" s="13">
        <f t="shared" si="1"/>
        <v>15</v>
      </c>
      <c r="E7970" s="13">
        <f t="shared" si="2"/>
        <v>0</v>
      </c>
    </row>
    <row r="7971">
      <c r="A7971" s="4" t="s">
        <v>8582</v>
      </c>
      <c r="B7971" s="16"/>
      <c r="C7971" s="12">
        <f>IFERROR(__xludf.DUMMYFUNCTION("""COMPUTED_VALUE"""),44635.004861111105)</f>
        <v>44635.00486</v>
      </c>
      <c r="D7971" s="13">
        <f t="shared" si="1"/>
        <v>15</v>
      </c>
      <c r="E7971" s="13">
        <f t="shared" si="2"/>
        <v>0</v>
      </c>
    </row>
    <row r="7972">
      <c r="A7972" s="4" t="s">
        <v>8583</v>
      </c>
      <c r="B7972" s="16"/>
      <c r="C7972" s="12">
        <f>IFERROR(__xludf.DUMMYFUNCTION("""COMPUTED_VALUE"""),44635.00256944444)</f>
        <v>44635.00257</v>
      </c>
      <c r="D7972" s="13">
        <f t="shared" si="1"/>
        <v>15</v>
      </c>
      <c r="E7972" s="13">
        <f t="shared" si="2"/>
        <v>0</v>
      </c>
    </row>
    <row r="7973">
      <c r="A7973" s="4" t="s">
        <v>8584</v>
      </c>
      <c r="B7973" s="16"/>
      <c r="C7973" s="12">
        <f>IFERROR(__xludf.DUMMYFUNCTION("""COMPUTED_VALUE"""),44634.99693287037)</f>
        <v>44634.99693</v>
      </c>
      <c r="D7973" s="13">
        <f t="shared" si="1"/>
        <v>14</v>
      </c>
      <c r="E7973" s="13">
        <f t="shared" si="2"/>
        <v>23</v>
      </c>
    </row>
    <row r="7974">
      <c r="A7974" s="4" t="s">
        <v>8585</v>
      </c>
      <c r="B7974" s="16"/>
      <c r="C7974" s="12">
        <f>IFERROR(__xludf.DUMMYFUNCTION("""COMPUTED_VALUE"""),44634.983877314815)</f>
        <v>44634.98388</v>
      </c>
      <c r="D7974" s="13">
        <f t="shared" si="1"/>
        <v>14</v>
      </c>
      <c r="E7974" s="13">
        <f t="shared" si="2"/>
        <v>23</v>
      </c>
    </row>
    <row r="7975">
      <c r="A7975" s="4" t="s">
        <v>8586</v>
      </c>
      <c r="B7975" s="16"/>
      <c r="C7975" s="12">
        <f>IFERROR(__xludf.DUMMYFUNCTION("""COMPUTED_VALUE"""),44634.970300925925)</f>
        <v>44634.9703</v>
      </c>
      <c r="D7975" s="13">
        <f t="shared" si="1"/>
        <v>14</v>
      </c>
      <c r="E7975" s="13">
        <f t="shared" si="2"/>
        <v>23</v>
      </c>
    </row>
    <row r="7976">
      <c r="A7976" s="4" t="s">
        <v>8587</v>
      </c>
      <c r="B7976" s="16"/>
      <c r="C7976" s="12">
        <f>IFERROR(__xludf.DUMMYFUNCTION("""COMPUTED_VALUE"""),44634.96616898148)</f>
        <v>44634.96617</v>
      </c>
      <c r="D7976" s="13">
        <f t="shared" si="1"/>
        <v>14</v>
      </c>
      <c r="E7976" s="13">
        <f t="shared" si="2"/>
        <v>23</v>
      </c>
    </row>
    <row r="7977">
      <c r="A7977" s="4" t="s">
        <v>8588</v>
      </c>
      <c r="B7977" s="16"/>
      <c r="C7977" s="12">
        <f>IFERROR(__xludf.DUMMYFUNCTION("""COMPUTED_VALUE"""),44634.9477199074)</f>
        <v>44634.94772</v>
      </c>
      <c r="D7977" s="13">
        <f t="shared" si="1"/>
        <v>14</v>
      </c>
      <c r="E7977" s="13">
        <f t="shared" si="2"/>
        <v>22</v>
      </c>
    </row>
    <row r="7978">
      <c r="A7978" s="4" t="s">
        <v>8589</v>
      </c>
      <c r="B7978" s="16"/>
      <c r="C7978" s="12">
        <f>IFERROR(__xludf.DUMMYFUNCTION("""COMPUTED_VALUE"""),44634.93423611111)</f>
        <v>44634.93424</v>
      </c>
      <c r="D7978" s="13">
        <f t="shared" si="1"/>
        <v>14</v>
      </c>
      <c r="E7978" s="13">
        <f t="shared" si="2"/>
        <v>22</v>
      </c>
    </row>
    <row r="7979">
      <c r="A7979" s="4" t="s">
        <v>8590</v>
      </c>
      <c r="B7979" s="16"/>
      <c r="C7979" s="12">
        <f>IFERROR(__xludf.DUMMYFUNCTION("""COMPUTED_VALUE"""),44634.88365740741)</f>
        <v>44634.88366</v>
      </c>
      <c r="D7979" s="13">
        <f t="shared" si="1"/>
        <v>14</v>
      </c>
      <c r="E7979" s="13">
        <f t="shared" si="2"/>
        <v>21</v>
      </c>
    </row>
    <row r="7980">
      <c r="A7980" s="4" t="s">
        <v>8591</v>
      </c>
      <c r="B7980" s="16"/>
      <c r="C7980" s="12">
        <f>IFERROR(__xludf.DUMMYFUNCTION("""COMPUTED_VALUE"""),44634.872673611106)</f>
        <v>44634.87267</v>
      </c>
      <c r="D7980" s="13">
        <f t="shared" si="1"/>
        <v>14</v>
      </c>
      <c r="E7980" s="13">
        <f t="shared" si="2"/>
        <v>20</v>
      </c>
    </row>
    <row r="7981">
      <c r="A7981" s="4" t="s">
        <v>8592</v>
      </c>
      <c r="B7981" s="16"/>
      <c r="C7981" s="12">
        <f>IFERROR(__xludf.DUMMYFUNCTION("""COMPUTED_VALUE"""),44634.86456018518)</f>
        <v>44634.86456</v>
      </c>
      <c r="D7981" s="13">
        <f t="shared" si="1"/>
        <v>14</v>
      </c>
      <c r="E7981" s="13">
        <f t="shared" si="2"/>
        <v>20</v>
      </c>
    </row>
    <row r="7982">
      <c r="A7982" s="4" t="s">
        <v>8593</v>
      </c>
      <c r="B7982" s="16"/>
      <c r="C7982" s="12">
        <f>IFERROR(__xludf.DUMMYFUNCTION("""COMPUTED_VALUE"""),44634.84186342592)</f>
        <v>44634.84186</v>
      </c>
      <c r="D7982" s="13">
        <f t="shared" si="1"/>
        <v>14</v>
      </c>
      <c r="E7982" s="13">
        <f t="shared" si="2"/>
        <v>20</v>
      </c>
    </row>
    <row r="7983">
      <c r="A7983" s="4" t="s">
        <v>8594</v>
      </c>
      <c r="B7983" s="16"/>
      <c r="C7983" s="12">
        <f>IFERROR(__xludf.DUMMYFUNCTION("""COMPUTED_VALUE"""),44634.75388888889)</f>
        <v>44634.75389</v>
      </c>
      <c r="D7983" s="13">
        <f t="shared" si="1"/>
        <v>14</v>
      </c>
      <c r="E7983" s="13">
        <f t="shared" si="2"/>
        <v>18</v>
      </c>
    </row>
    <row r="7984">
      <c r="A7984" s="4" t="s">
        <v>8595</v>
      </c>
      <c r="B7984" s="16"/>
      <c r="C7984" s="12">
        <f>IFERROR(__xludf.DUMMYFUNCTION("""COMPUTED_VALUE"""),44634.73243055555)</f>
        <v>44634.73243</v>
      </c>
      <c r="D7984" s="13">
        <f t="shared" si="1"/>
        <v>14</v>
      </c>
      <c r="E7984" s="13">
        <f t="shared" si="2"/>
        <v>17</v>
      </c>
    </row>
    <row r="7985">
      <c r="A7985" s="4" t="s">
        <v>8596</v>
      </c>
      <c r="B7985" s="16"/>
      <c r="C7985" s="12">
        <f>IFERROR(__xludf.DUMMYFUNCTION("""COMPUTED_VALUE"""),44634.72978009259)</f>
        <v>44634.72978</v>
      </c>
      <c r="D7985" s="13">
        <f t="shared" si="1"/>
        <v>14</v>
      </c>
      <c r="E7985" s="13">
        <f t="shared" si="2"/>
        <v>17</v>
      </c>
    </row>
    <row r="7986">
      <c r="A7986" s="4" t="s">
        <v>8597</v>
      </c>
      <c r="B7986" s="16"/>
      <c r="C7986" s="12">
        <f>IFERROR(__xludf.DUMMYFUNCTION("""COMPUTED_VALUE"""),44634.728900462964)</f>
        <v>44634.7289</v>
      </c>
      <c r="D7986" s="13">
        <f t="shared" si="1"/>
        <v>14</v>
      </c>
      <c r="E7986" s="13">
        <f t="shared" si="2"/>
        <v>17</v>
      </c>
    </row>
    <row r="7987">
      <c r="A7987" s="4" t="s">
        <v>8598</v>
      </c>
      <c r="B7987" s="16"/>
      <c r="C7987" s="12">
        <f>IFERROR(__xludf.DUMMYFUNCTION("""COMPUTED_VALUE"""),44634.7153125)</f>
        <v>44634.71531</v>
      </c>
      <c r="D7987" s="13">
        <f t="shared" si="1"/>
        <v>14</v>
      </c>
      <c r="E7987" s="13">
        <f t="shared" si="2"/>
        <v>17</v>
      </c>
    </row>
    <row r="7988">
      <c r="A7988" s="4" t="s">
        <v>8599</v>
      </c>
      <c r="B7988" s="16"/>
      <c r="C7988" s="12">
        <f>IFERROR(__xludf.DUMMYFUNCTION("""COMPUTED_VALUE"""),44634.71126157407)</f>
        <v>44634.71126</v>
      </c>
      <c r="D7988" s="13">
        <f t="shared" si="1"/>
        <v>14</v>
      </c>
      <c r="E7988" s="13">
        <f t="shared" si="2"/>
        <v>17</v>
      </c>
    </row>
    <row r="7989">
      <c r="A7989" s="4" t="s">
        <v>8600</v>
      </c>
      <c r="B7989" s="16"/>
      <c r="C7989" s="12">
        <f>IFERROR(__xludf.DUMMYFUNCTION("""COMPUTED_VALUE"""),44634.70685185185)</f>
        <v>44634.70685</v>
      </c>
      <c r="D7989" s="13">
        <f t="shared" si="1"/>
        <v>14</v>
      </c>
      <c r="E7989" s="13">
        <f t="shared" si="2"/>
        <v>16</v>
      </c>
    </row>
    <row r="7990">
      <c r="A7990" s="4" t="s">
        <v>8601</v>
      </c>
      <c r="B7990" s="16"/>
      <c r="C7990" s="12">
        <f>IFERROR(__xludf.DUMMYFUNCTION("""COMPUTED_VALUE"""),44634.698333333334)</f>
        <v>44634.69833</v>
      </c>
      <c r="D7990" s="13">
        <f t="shared" si="1"/>
        <v>14</v>
      </c>
      <c r="E7990" s="13">
        <f t="shared" si="2"/>
        <v>16</v>
      </c>
    </row>
    <row r="7991">
      <c r="A7991" s="4" t="s">
        <v>8602</v>
      </c>
      <c r="B7991" s="16"/>
      <c r="C7991" s="12">
        <f>IFERROR(__xludf.DUMMYFUNCTION("""COMPUTED_VALUE"""),44634.688692129625)</f>
        <v>44634.68869</v>
      </c>
      <c r="D7991" s="13">
        <f t="shared" si="1"/>
        <v>14</v>
      </c>
      <c r="E7991" s="13">
        <f t="shared" si="2"/>
        <v>16</v>
      </c>
    </row>
    <row r="7992">
      <c r="A7992" s="4" t="s">
        <v>8603</v>
      </c>
      <c r="B7992" s="16"/>
      <c r="C7992" s="12">
        <f>IFERROR(__xludf.DUMMYFUNCTION("""COMPUTED_VALUE"""),44634.66008101852)</f>
        <v>44634.66008</v>
      </c>
      <c r="D7992" s="13">
        <f t="shared" si="1"/>
        <v>14</v>
      </c>
      <c r="E7992" s="13">
        <f t="shared" si="2"/>
        <v>15</v>
      </c>
    </row>
    <row r="7993">
      <c r="A7993" s="4" t="s">
        <v>8604</v>
      </c>
      <c r="B7993" s="16"/>
      <c r="C7993" s="12">
        <f>IFERROR(__xludf.DUMMYFUNCTION("""COMPUTED_VALUE"""),44634.644282407404)</f>
        <v>44634.64428</v>
      </c>
      <c r="D7993" s="13">
        <f t="shared" si="1"/>
        <v>14</v>
      </c>
      <c r="E7993" s="13">
        <f t="shared" si="2"/>
        <v>15</v>
      </c>
    </row>
    <row r="7994">
      <c r="A7994" s="4" t="s">
        <v>8605</v>
      </c>
      <c r="B7994" s="16"/>
      <c r="C7994" s="12">
        <f>IFERROR(__xludf.DUMMYFUNCTION("""COMPUTED_VALUE"""),44634.6297337963)</f>
        <v>44634.62973</v>
      </c>
      <c r="D7994" s="13">
        <f t="shared" si="1"/>
        <v>14</v>
      </c>
      <c r="E7994" s="13">
        <f t="shared" si="2"/>
        <v>15</v>
      </c>
    </row>
    <row r="7995">
      <c r="A7995" s="4" t="s">
        <v>8606</v>
      </c>
      <c r="B7995" s="16"/>
      <c r="C7995" s="12">
        <f>IFERROR(__xludf.DUMMYFUNCTION("""COMPUTED_VALUE"""),44634.61747685185)</f>
        <v>44634.61748</v>
      </c>
      <c r="D7995" s="13">
        <f t="shared" si="1"/>
        <v>14</v>
      </c>
      <c r="E7995" s="13">
        <f t="shared" si="2"/>
        <v>14</v>
      </c>
    </row>
    <row r="7996">
      <c r="A7996" s="4" t="s">
        <v>8607</v>
      </c>
      <c r="B7996" s="16"/>
      <c r="C7996" s="12">
        <f>IFERROR(__xludf.DUMMYFUNCTION("""COMPUTED_VALUE"""),44634.61642361111)</f>
        <v>44634.61642</v>
      </c>
      <c r="D7996" s="13">
        <f t="shared" si="1"/>
        <v>14</v>
      </c>
      <c r="E7996" s="13">
        <f t="shared" si="2"/>
        <v>14</v>
      </c>
    </row>
    <row r="7997">
      <c r="A7997" s="4" t="s">
        <v>8608</v>
      </c>
      <c r="B7997" s="16"/>
      <c r="C7997" s="12">
        <f>IFERROR(__xludf.DUMMYFUNCTION("""COMPUTED_VALUE"""),44634.616388888884)</f>
        <v>44634.61639</v>
      </c>
      <c r="D7997" s="13">
        <f t="shared" si="1"/>
        <v>14</v>
      </c>
      <c r="E7997" s="13">
        <f t="shared" si="2"/>
        <v>14</v>
      </c>
    </row>
    <row r="7998">
      <c r="A7998" s="4" t="s">
        <v>8609</v>
      </c>
      <c r="B7998" s="16"/>
      <c r="C7998" s="12">
        <f>IFERROR(__xludf.DUMMYFUNCTION("""COMPUTED_VALUE"""),44634.59804398148)</f>
        <v>44634.59804</v>
      </c>
      <c r="D7998" s="13">
        <f t="shared" si="1"/>
        <v>14</v>
      </c>
      <c r="E7998" s="13">
        <f t="shared" si="2"/>
        <v>14</v>
      </c>
    </row>
    <row r="7999">
      <c r="A7999" s="4" t="s">
        <v>8610</v>
      </c>
      <c r="B7999" s="16"/>
      <c r="C7999" s="12">
        <f>IFERROR(__xludf.DUMMYFUNCTION("""COMPUTED_VALUE"""),44634.5965162037)</f>
        <v>44634.59652</v>
      </c>
      <c r="D7999" s="13">
        <f t="shared" si="1"/>
        <v>14</v>
      </c>
      <c r="E7999" s="13">
        <f t="shared" si="2"/>
        <v>14</v>
      </c>
    </row>
    <row r="8000">
      <c r="A8000" s="4" t="s">
        <v>8611</v>
      </c>
      <c r="B8000" s="16"/>
      <c r="C8000" s="12">
        <f>IFERROR(__xludf.DUMMYFUNCTION("""COMPUTED_VALUE"""),44634.59585648148)</f>
        <v>44634.59586</v>
      </c>
      <c r="D8000" s="13">
        <f t="shared" si="1"/>
        <v>14</v>
      </c>
      <c r="E8000" s="13">
        <f t="shared" si="2"/>
        <v>14</v>
      </c>
    </row>
    <row r="8001">
      <c r="A8001" s="4" t="s">
        <v>8612</v>
      </c>
      <c r="B8001" s="16"/>
      <c r="C8001" s="12">
        <f>IFERROR(__xludf.DUMMYFUNCTION("""COMPUTED_VALUE"""),44634.59143518518)</f>
        <v>44634.59144</v>
      </c>
      <c r="D8001" s="13">
        <f t="shared" si="1"/>
        <v>14</v>
      </c>
      <c r="E8001" s="13">
        <f t="shared" si="2"/>
        <v>14</v>
      </c>
    </row>
    <row r="8002">
      <c r="A8002" s="4" t="s">
        <v>8613</v>
      </c>
      <c r="B8002" s="16"/>
      <c r="C8002" s="12">
        <f>IFERROR(__xludf.DUMMYFUNCTION("""COMPUTED_VALUE"""),44634.57565972222)</f>
        <v>44634.57566</v>
      </c>
      <c r="D8002" s="13">
        <f t="shared" si="1"/>
        <v>14</v>
      </c>
      <c r="E8002" s="13">
        <f t="shared" si="2"/>
        <v>13</v>
      </c>
    </row>
    <row r="8003">
      <c r="A8003" s="4" t="s">
        <v>8614</v>
      </c>
      <c r="B8003" s="16"/>
      <c r="C8003" s="12">
        <f>IFERROR(__xludf.DUMMYFUNCTION("""COMPUTED_VALUE"""),44634.57457175926)</f>
        <v>44634.57457</v>
      </c>
      <c r="D8003" s="13">
        <f t="shared" si="1"/>
        <v>14</v>
      </c>
      <c r="E8003" s="13">
        <f t="shared" si="2"/>
        <v>13</v>
      </c>
    </row>
    <row r="8004">
      <c r="A8004" s="4" t="s">
        <v>8615</v>
      </c>
      <c r="B8004" s="16"/>
      <c r="C8004" s="12">
        <f>IFERROR(__xludf.DUMMYFUNCTION("""COMPUTED_VALUE"""),44634.57085648148)</f>
        <v>44634.57086</v>
      </c>
      <c r="D8004" s="13">
        <f t="shared" si="1"/>
        <v>14</v>
      </c>
      <c r="E8004" s="13">
        <f t="shared" si="2"/>
        <v>13</v>
      </c>
    </row>
    <row r="8005">
      <c r="A8005" s="4" t="s">
        <v>8616</v>
      </c>
      <c r="B8005" s="16"/>
      <c r="C8005" s="12">
        <f>IFERROR(__xludf.DUMMYFUNCTION("""COMPUTED_VALUE"""),44634.54835648148)</f>
        <v>44634.54836</v>
      </c>
      <c r="D8005" s="13">
        <f t="shared" si="1"/>
        <v>14</v>
      </c>
      <c r="E8005" s="13">
        <f t="shared" si="2"/>
        <v>13</v>
      </c>
    </row>
    <row r="8006">
      <c r="A8006" s="4" t="s">
        <v>8617</v>
      </c>
      <c r="B8006" s="16"/>
      <c r="C8006" s="12">
        <f>IFERROR(__xludf.DUMMYFUNCTION("""COMPUTED_VALUE"""),44634.544398148144)</f>
        <v>44634.5444</v>
      </c>
      <c r="D8006" s="13">
        <f t="shared" si="1"/>
        <v>14</v>
      </c>
      <c r="E8006" s="13">
        <f t="shared" si="2"/>
        <v>13</v>
      </c>
    </row>
    <row r="8007">
      <c r="A8007" s="4" t="s">
        <v>8618</v>
      </c>
      <c r="B8007" s="16"/>
      <c r="C8007" s="12">
        <f>IFERROR(__xludf.DUMMYFUNCTION("""COMPUTED_VALUE"""),44634.52297453704)</f>
        <v>44634.52297</v>
      </c>
      <c r="D8007" s="13">
        <f t="shared" si="1"/>
        <v>14</v>
      </c>
      <c r="E8007" s="13">
        <f t="shared" si="2"/>
        <v>12</v>
      </c>
    </row>
    <row r="8008">
      <c r="A8008" s="4" t="s">
        <v>8619</v>
      </c>
      <c r="B8008" s="16"/>
      <c r="C8008" s="12">
        <f>IFERROR(__xludf.DUMMYFUNCTION("""COMPUTED_VALUE"""),44634.50561342592)</f>
        <v>44634.50561</v>
      </c>
      <c r="D8008" s="13">
        <f t="shared" si="1"/>
        <v>14</v>
      </c>
      <c r="E8008" s="13">
        <f t="shared" si="2"/>
        <v>12</v>
      </c>
    </row>
    <row r="8009">
      <c r="A8009" s="4" t="s">
        <v>8620</v>
      </c>
      <c r="B8009" s="16"/>
      <c r="C8009" s="12">
        <f>IFERROR(__xludf.DUMMYFUNCTION("""COMPUTED_VALUE"""),44634.50313657407)</f>
        <v>44634.50314</v>
      </c>
      <c r="D8009" s="13">
        <f t="shared" si="1"/>
        <v>14</v>
      </c>
      <c r="E8009" s="13">
        <f t="shared" si="2"/>
        <v>12</v>
      </c>
    </row>
    <row r="8010">
      <c r="A8010" s="4" t="s">
        <v>8621</v>
      </c>
      <c r="B8010" s="16"/>
      <c r="C8010" s="12">
        <f>IFERROR(__xludf.DUMMYFUNCTION("""COMPUTED_VALUE"""),44634.502858796295)</f>
        <v>44634.50286</v>
      </c>
      <c r="D8010" s="13">
        <f t="shared" si="1"/>
        <v>14</v>
      </c>
      <c r="E8010" s="13">
        <f t="shared" si="2"/>
        <v>12</v>
      </c>
    </row>
    <row r="8011">
      <c r="A8011" s="4" t="s">
        <v>8622</v>
      </c>
      <c r="B8011" s="16"/>
      <c r="C8011" s="12">
        <f>IFERROR(__xludf.DUMMYFUNCTION("""COMPUTED_VALUE"""),44634.49716435185)</f>
        <v>44634.49716</v>
      </c>
      <c r="D8011" s="13">
        <f t="shared" si="1"/>
        <v>14</v>
      </c>
      <c r="E8011" s="13">
        <f t="shared" si="2"/>
        <v>11</v>
      </c>
    </row>
    <row r="8012">
      <c r="A8012" s="4" t="s">
        <v>8623</v>
      </c>
      <c r="B8012" s="16"/>
      <c r="C8012" s="12">
        <f>IFERROR(__xludf.DUMMYFUNCTION("""COMPUTED_VALUE"""),44634.489027777774)</f>
        <v>44634.48903</v>
      </c>
      <c r="D8012" s="13">
        <f t="shared" si="1"/>
        <v>14</v>
      </c>
      <c r="E8012" s="13">
        <f t="shared" si="2"/>
        <v>11</v>
      </c>
    </row>
    <row r="8013">
      <c r="A8013" s="4" t="s">
        <v>8624</v>
      </c>
      <c r="B8013" s="16"/>
      <c r="C8013" s="12">
        <f>IFERROR(__xludf.DUMMYFUNCTION("""COMPUTED_VALUE"""),44634.46740740741)</f>
        <v>44634.46741</v>
      </c>
      <c r="D8013" s="13">
        <f t="shared" si="1"/>
        <v>14</v>
      </c>
      <c r="E8013" s="13">
        <f t="shared" si="2"/>
        <v>11</v>
      </c>
    </row>
    <row r="8014">
      <c r="A8014" s="4" t="s">
        <v>8625</v>
      </c>
      <c r="B8014" s="16"/>
      <c r="C8014" s="12">
        <f>IFERROR(__xludf.DUMMYFUNCTION("""COMPUTED_VALUE"""),44634.46491898148)</f>
        <v>44634.46492</v>
      </c>
      <c r="D8014" s="13">
        <f t="shared" si="1"/>
        <v>14</v>
      </c>
      <c r="E8014" s="13">
        <f t="shared" si="2"/>
        <v>11</v>
      </c>
    </row>
    <row r="8015">
      <c r="A8015" s="4" t="s">
        <v>8626</v>
      </c>
      <c r="B8015" s="16"/>
      <c r="C8015" s="12">
        <f>IFERROR(__xludf.DUMMYFUNCTION("""COMPUTED_VALUE"""),44634.461076388885)</f>
        <v>44634.46108</v>
      </c>
      <c r="D8015" s="13">
        <f t="shared" si="1"/>
        <v>14</v>
      </c>
      <c r="E8015" s="13">
        <f t="shared" si="2"/>
        <v>11</v>
      </c>
    </row>
    <row r="8016">
      <c r="A8016" s="4" t="s">
        <v>8627</v>
      </c>
      <c r="B8016" s="16"/>
      <c r="C8016" s="12">
        <f>IFERROR(__xludf.DUMMYFUNCTION("""COMPUTED_VALUE"""),44634.418703703705)</f>
        <v>44634.4187</v>
      </c>
      <c r="D8016" s="13">
        <f t="shared" si="1"/>
        <v>14</v>
      </c>
      <c r="E8016" s="13">
        <f t="shared" si="2"/>
        <v>10</v>
      </c>
    </row>
    <row r="8017">
      <c r="A8017" s="4" t="s">
        <v>8628</v>
      </c>
      <c r="B8017" s="16"/>
      <c r="C8017" s="12">
        <f>IFERROR(__xludf.DUMMYFUNCTION("""COMPUTED_VALUE"""),44634.418599537035)</f>
        <v>44634.4186</v>
      </c>
      <c r="D8017" s="13">
        <f t="shared" si="1"/>
        <v>14</v>
      </c>
      <c r="E8017" s="13">
        <f t="shared" si="2"/>
        <v>10</v>
      </c>
    </row>
    <row r="8018">
      <c r="A8018" s="4" t="s">
        <v>8629</v>
      </c>
      <c r="B8018" s="16"/>
      <c r="C8018" s="12">
        <f>IFERROR(__xludf.DUMMYFUNCTION("""COMPUTED_VALUE"""),44634.41726851852)</f>
        <v>44634.41727</v>
      </c>
      <c r="D8018" s="13">
        <f t="shared" si="1"/>
        <v>14</v>
      </c>
      <c r="E8018" s="13">
        <f t="shared" si="2"/>
        <v>10</v>
      </c>
    </row>
    <row r="8019">
      <c r="A8019" s="4" t="s">
        <v>8630</v>
      </c>
      <c r="B8019" s="16"/>
      <c r="C8019" s="12">
        <f>IFERROR(__xludf.DUMMYFUNCTION("""COMPUTED_VALUE"""),44634.37604166666)</f>
        <v>44634.37604</v>
      </c>
      <c r="D8019" s="13">
        <f t="shared" si="1"/>
        <v>14</v>
      </c>
      <c r="E8019" s="13">
        <f t="shared" si="2"/>
        <v>9</v>
      </c>
    </row>
    <row r="8020">
      <c r="A8020" s="4" t="s">
        <v>8631</v>
      </c>
      <c r="B8020" s="16"/>
      <c r="C8020" s="12">
        <f>IFERROR(__xludf.DUMMYFUNCTION("""COMPUTED_VALUE"""),44634.37591435185)</f>
        <v>44634.37591</v>
      </c>
      <c r="D8020" s="13">
        <f t="shared" si="1"/>
        <v>14</v>
      </c>
      <c r="E8020" s="13">
        <f t="shared" si="2"/>
        <v>9</v>
      </c>
    </row>
    <row r="8021">
      <c r="A8021" s="4" t="s">
        <v>8632</v>
      </c>
      <c r="B8021" s="16"/>
      <c r="C8021" s="12">
        <f>IFERROR(__xludf.DUMMYFUNCTION("""COMPUTED_VALUE"""),44634.36662037037)</f>
        <v>44634.36662</v>
      </c>
      <c r="D8021" s="13">
        <f t="shared" si="1"/>
        <v>14</v>
      </c>
      <c r="E8021" s="13">
        <f t="shared" si="2"/>
        <v>8</v>
      </c>
    </row>
    <row r="8022">
      <c r="A8022" s="4" t="s">
        <v>8633</v>
      </c>
      <c r="B8022" s="16"/>
      <c r="C8022" s="12">
        <f>IFERROR(__xludf.DUMMYFUNCTION("""COMPUTED_VALUE"""),44634.32696759259)</f>
        <v>44634.32697</v>
      </c>
      <c r="D8022" s="13">
        <f t="shared" si="1"/>
        <v>14</v>
      </c>
      <c r="E8022" s="13">
        <f t="shared" si="2"/>
        <v>7</v>
      </c>
    </row>
    <row r="8023">
      <c r="A8023" s="4" t="s">
        <v>8634</v>
      </c>
      <c r="B8023" s="16"/>
      <c r="C8023" s="12">
        <f>IFERROR(__xludf.DUMMYFUNCTION("""COMPUTED_VALUE"""),44634.30628472222)</f>
        <v>44634.30628</v>
      </c>
      <c r="D8023" s="13">
        <f t="shared" si="1"/>
        <v>14</v>
      </c>
      <c r="E8023" s="13">
        <f t="shared" si="2"/>
        <v>7</v>
      </c>
    </row>
    <row r="8024">
      <c r="A8024" s="4" t="s">
        <v>8635</v>
      </c>
      <c r="B8024" s="16"/>
      <c r="C8024" s="12">
        <f>IFERROR(__xludf.DUMMYFUNCTION("""COMPUTED_VALUE"""),44634.28586805555)</f>
        <v>44634.28587</v>
      </c>
      <c r="D8024" s="13">
        <f t="shared" si="1"/>
        <v>14</v>
      </c>
      <c r="E8024" s="13">
        <f t="shared" si="2"/>
        <v>6</v>
      </c>
    </row>
    <row r="8025">
      <c r="A8025" s="4" t="s">
        <v>8636</v>
      </c>
      <c r="B8025" s="16"/>
      <c r="C8025" s="12">
        <f>IFERROR(__xludf.DUMMYFUNCTION("""COMPUTED_VALUE"""),44634.08594907407)</f>
        <v>44634.08595</v>
      </c>
      <c r="D8025" s="13">
        <f t="shared" si="1"/>
        <v>14</v>
      </c>
      <c r="E8025" s="13">
        <f t="shared" si="2"/>
        <v>2</v>
      </c>
    </row>
    <row r="8026">
      <c r="A8026" s="4" t="s">
        <v>8637</v>
      </c>
      <c r="B8026" s="16"/>
      <c r="C8026" s="12">
        <f>IFERROR(__xludf.DUMMYFUNCTION("""COMPUTED_VALUE"""),44634.01929398148)</f>
        <v>44634.01929</v>
      </c>
      <c r="D8026" s="13">
        <f t="shared" si="1"/>
        <v>14</v>
      </c>
      <c r="E8026" s="13">
        <f t="shared" si="2"/>
        <v>0</v>
      </c>
    </row>
    <row r="8027">
      <c r="A8027" s="4" t="s">
        <v>8638</v>
      </c>
      <c r="B8027" s="16"/>
      <c r="C8027" s="12">
        <f>IFERROR(__xludf.DUMMYFUNCTION("""COMPUTED_VALUE"""),44633.939629629625)</f>
        <v>44633.93963</v>
      </c>
      <c r="D8027" s="13">
        <f t="shared" si="1"/>
        <v>13</v>
      </c>
      <c r="E8027" s="13">
        <f t="shared" si="2"/>
        <v>22</v>
      </c>
    </row>
    <row r="8028">
      <c r="A8028" s="4" t="s">
        <v>8639</v>
      </c>
      <c r="B8028" s="16"/>
      <c r="C8028" s="12">
        <f>IFERROR(__xludf.DUMMYFUNCTION("""COMPUTED_VALUE"""),44633.890393518515)</f>
        <v>44633.89039</v>
      </c>
      <c r="D8028" s="13">
        <f t="shared" si="1"/>
        <v>13</v>
      </c>
      <c r="E8028" s="13">
        <f t="shared" si="2"/>
        <v>21</v>
      </c>
    </row>
    <row r="8029">
      <c r="A8029" s="4" t="s">
        <v>8640</v>
      </c>
      <c r="B8029" s="16"/>
      <c r="C8029" s="12">
        <f>IFERROR(__xludf.DUMMYFUNCTION("""COMPUTED_VALUE"""),44633.88122685185)</f>
        <v>44633.88123</v>
      </c>
      <c r="D8029" s="13">
        <f t="shared" si="1"/>
        <v>13</v>
      </c>
      <c r="E8029" s="13">
        <f t="shared" si="2"/>
        <v>21</v>
      </c>
    </row>
    <row r="8030">
      <c r="A8030" s="4" t="s">
        <v>8641</v>
      </c>
      <c r="B8030" s="16"/>
      <c r="C8030" s="12">
        <f>IFERROR(__xludf.DUMMYFUNCTION("""COMPUTED_VALUE"""),44633.87899305555)</f>
        <v>44633.87899</v>
      </c>
      <c r="D8030" s="13">
        <f t="shared" si="1"/>
        <v>13</v>
      </c>
      <c r="E8030" s="13">
        <f t="shared" si="2"/>
        <v>21</v>
      </c>
    </row>
    <row r="8031">
      <c r="A8031" s="4" t="s">
        <v>8642</v>
      </c>
      <c r="B8031" s="16"/>
      <c r="C8031" s="12">
        <f>IFERROR(__xludf.DUMMYFUNCTION("""COMPUTED_VALUE"""),44633.86546296296)</f>
        <v>44633.86546</v>
      </c>
      <c r="D8031" s="13">
        <f t="shared" si="1"/>
        <v>13</v>
      </c>
      <c r="E8031" s="13">
        <f t="shared" si="2"/>
        <v>20</v>
      </c>
    </row>
    <row r="8032">
      <c r="A8032" s="4" t="s">
        <v>8643</v>
      </c>
      <c r="B8032" s="16"/>
      <c r="C8032" s="12">
        <f>IFERROR(__xludf.DUMMYFUNCTION("""COMPUTED_VALUE"""),44633.86493055555)</f>
        <v>44633.86493</v>
      </c>
      <c r="D8032" s="13">
        <f t="shared" si="1"/>
        <v>13</v>
      </c>
      <c r="E8032" s="13">
        <f t="shared" si="2"/>
        <v>20</v>
      </c>
    </row>
    <row r="8033">
      <c r="A8033" s="4" t="s">
        <v>8644</v>
      </c>
      <c r="B8033" s="16"/>
      <c r="C8033" s="12">
        <f>IFERROR(__xludf.DUMMYFUNCTION("""COMPUTED_VALUE"""),44633.8406712963)</f>
        <v>44633.84067</v>
      </c>
      <c r="D8033" s="13">
        <f t="shared" si="1"/>
        <v>13</v>
      </c>
      <c r="E8033" s="13">
        <f t="shared" si="2"/>
        <v>20</v>
      </c>
    </row>
    <row r="8034">
      <c r="A8034" s="4" t="s">
        <v>8645</v>
      </c>
      <c r="B8034" s="16"/>
      <c r="C8034" s="12">
        <f>IFERROR(__xludf.DUMMYFUNCTION("""COMPUTED_VALUE"""),44633.83287037037)</f>
        <v>44633.83287</v>
      </c>
      <c r="D8034" s="13">
        <f t="shared" si="1"/>
        <v>13</v>
      </c>
      <c r="E8034" s="13">
        <f t="shared" si="2"/>
        <v>19</v>
      </c>
    </row>
    <row r="8035">
      <c r="A8035" s="4" t="s">
        <v>8646</v>
      </c>
      <c r="B8035" s="16"/>
      <c r="C8035" s="12">
        <f>IFERROR(__xludf.DUMMYFUNCTION("""COMPUTED_VALUE"""),44633.7943287037)</f>
        <v>44633.79433</v>
      </c>
      <c r="D8035" s="13">
        <f t="shared" si="1"/>
        <v>13</v>
      </c>
      <c r="E8035" s="13">
        <f t="shared" si="2"/>
        <v>19</v>
      </c>
    </row>
    <row r="8036">
      <c r="A8036" s="4" t="s">
        <v>8647</v>
      </c>
      <c r="B8036" s="16"/>
      <c r="C8036" s="12">
        <f>IFERROR(__xludf.DUMMYFUNCTION("""COMPUTED_VALUE"""),44633.78383101852)</f>
        <v>44633.78383</v>
      </c>
      <c r="D8036" s="13">
        <f t="shared" si="1"/>
        <v>13</v>
      </c>
      <c r="E8036" s="13">
        <f t="shared" si="2"/>
        <v>18</v>
      </c>
    </row>
    <row r="8037">
      <c r="A8037" s="4" t="s">
        <v>8648</v>
      </c>
      <c r="B8037" s="16"/>
      <c r="C8037" s="12">
        <f>IFERROR(__xludf.DUMMYFUNCTION("""COMPUTED_VALUE"""),44633.757581018515)</f>
        <v>44633.75758</v>
      </c>
      <c r="D8037" s="13">
        <f t="shared" si="1"/>
        <v>13</v>
      </c>
      <c r="E8037" s="13">
        <f t="shared" si="2"/>
        <v>18</v>
      </c>
    </row>
    <row r="8038">
      <c r="A8038" s="4" t="s">
        <v>8649</v>
      </c>
      <c r="B8038" s="16"/>
      <c r="C8038" s="12">
        <f>IFERROR(__xludf.DUMMYFUNCTION("""COMPUTED_VALUE"""),44633.72788194444)</f>
        <v>44633.72788</v>
      </c>
      <c r="D8038" s="13">
        <f t="shared" si="1"/>
        <v>13</v>
      </c>
      <c r="E8038" s="13">
        <f t="shared" si="2"/>
        <v>17</v>
      </c>
    </row>
    <row r="8039">
      <c r="A8039" s="4" t="s">
        <v>8650</v>
      </c>
      <c r="B8039" s="16"/>
      <c r="C8039" s="12">
        <f>IFERROR(__xludf.DUMMYFUNCTION("""COMPUTED_VALUE"""),44633.6769212963)</f>
        <v>44633.67692</v>
      </c>
      <c r="D8039" s="13">
        <f t="shared" si="1"/>
        <v>13</v>
      </c>
      <c r="E8039" s="13">
        <f t="shared" si="2"/>
        <v>16</v>
      </c>
    </row>
    <row r="8040">
      <c r="A8040" s="4" t="s">
        <v>8651</v>
      </c>
      <c r="B8040" s="16"/>
      <c r="C8040" s="12">
        <f>IFERROR(__xludf.DUMMYFUNCTION("""COMPUTED_VALUE"""),44633.67199074074)</f>
        <v>44633.67199</v>
      </c>
      <c r="D8040" s="13">
        <f t="shared" si="1"/>
        <v>13</v>
      </c>
      <c r="E8040" s="13">
        <f t="shared" si="2"/>
        <v>16</v>
      </c>
    </row>
    <row r="8041">
      <c r="A8041" s="4" t="s">
        <v>8652</v>
      </c>
      <c r="B8041" s="16"/>
      <c r="C8041" s="12">
        <f>IFERROR(__xludf.DUMMYFUNCTION("""COMPUTED_VALUE"""),44633.670648148145)</f>
        <v>44633.67065</v>
      </c>
      <c r="D8041" s="13">
        <f t="shared" si="1"/>
        <v>13</v>
      </c>
      <c r="E8041" s="13">
        <f t="shared" si="2"/>
        <v>16</v>
      </c>
    </row>
    <row r="8042">
      <c r="A8042" s="4" t="s">
        <v>8653</v>
      </c>
      <c r="B8042" s="16"/>
      <c r="C8042" s="12">
        <f>IFERROR(__xludf.DUMMYFUNCTION("""COMPUTED_VALUE"""),44633.66988425926)</f>
        <v>44633.66988</v>
      </c>
      <c r="D8042" s="13">
        <f t="shared" si="1"/>
        <v>13</v>
      </c>
      <c r="E8042" s="13">
        <f t="shared" si="2"/>
        <v>16</v>
      </c>
    </row>
    <row r="8043">
      <c r="A8043" s="4" t="s">
        <v>8654</v>
      </c>
      <c r="B8043" s="16"/>
      <c r="C8043" s="12">
        <f>IFERROR(__xludf.DUMMYFUNCTION("""COMPUTED_VALUE"""),44633.66237268518)</f>
        <v>44633.66237</v>
      </c>
      <c r="D8043" s="13">
        <f t="shared" si="1"/>
        <v>13</v>
      </c>
      <c r="E8043" s="13">
        <f t="shared" si="2"/>
        <v>15</v>
      </c>
    </row>
    <row r="8044">
      <c r="A8044" s="4" t="s">
        <v>8655</v>
      </c>
      <c r="B8044" s="16"/>
      <c r="C8044" s="12">
        <f>IFERROR(__xludf.DUMMYFUNCTION("""COMPUTED_VALUE"""),44633.65219907407)</f>
        <v>44633.6522</v>
      </c>
      <c r="D8044" s="13">
        <f t="shared" si="1"/>
        <v>13</v>
      </c>
      <c r="E8044" s="13">
        <f t="shared" si="2"/>
        <v>15</v>
      </c>
    </row>
    <row r="8045">
      <c r="A8045" s="4" t="s">
        <v>8656</v>
      </c>
      <c r="B8045" s="16"/>
      <c r="C8045" s="12">
        <f>IFERROR(__xludf.DUMMYFUNCTION("""COMPUTED_VALUE"""),44633.637291666666)</f>
        <v>44633.63729</v>
      </c>
      <c r="D8045" s="13">
        <f t="shared" si="1"/>
        <v>13</v>
      </c>
      <c r="E8045" s="13">
        <f t="shared" si="2"/>
        <v>15</v>
      </c>
    </row>
    <row r="8046">
      <c r="A8046" s="4" t="s">
        <v>8657</v>
      </c>
      <c r="B8046" s="16"/>
      <c r="C8046" s="12">
        <f>IFERROR(__xludf.DUMMYFUNCTION("""COMPUTED_VALUE"""),44633.63159722222)</f>
        <v>44633.6316</v>
      </c>
      <c r="D8046" s="13">
        <f t="shared" si="1"/>
        <v>13</v>
      </c>
      <c r="E8046" s="13">
        <f t="shared" si="2"/>
        <v>15</v>
      </c>
    </row>
    <row r="8047">
      <c r="A8047" s="4" t="s">
        <v>8658</v>
      </c>
      <c r="B8047" s="16"/>
      <c r="C8047" s="12">
        <f>IFERROR(__xludf.DUMMYFUNCTION("""COMPUTED_VALUE"""),44633.6186574074)</f>
        <v>44633.61866</v>
      </c>
      <c r="D8047" s="13">
        <f t="shared" si="1"/>
        <v>13</v>
      </c>
      <c r="E8047" s="13">
        <f t="shared" si="2"/>
        <v>14</v>
      </c>
    </row>
    <row r="8048">
      <c r="A8048" s="4" t="s">
        <v>8659</v>
      </c>
      <c r="B8048" s="16"/>
      <c r="C8048" s="12">
        <f>IFERROR(__xludf.DUMMYFUNCTION("""COMPUTED_VALUE"""),44633.61384259259)</f>
        <v>44633.61384</v>
      </c>
      <c r="D8048" s="13">
        <f t="shared" si="1"/>
        <v>13</v>
      </c>
      <c r="E8048" s="13">
        <f t="shared" si="2"/>
        <v>14</v>
      </c>
    </row>
    <row r="8049">
      <c r="A8049" s="4" t="s">
        <v>8660</v>
      </c>
      <c r="B8049" s="16"/>
      <c r="C8049" s="12">
        <f>IFERROR(__xludf.DUMMYFUNCTION("""COMPUTED_VALUE"""),44633.60061342592)</f>
        <v>44633.60061</v>
      </c>
      <c r="D8049" s="13">
        <f t="shared" si="1"/>
        <v>13</v>
      </c>
      <c r="E8049" s="13">
        <f t="shared" si="2"/>
        <v>14</v>
      </c>
    </row>
    <row r="8050">
      <c r="A8050" s="4" t="s">
        <v>8661</v>
      </c>
      <c r="B8050" s="16"/>
      <c r="C8050" s="12">
        <f>IFERROR(__xludf.DUMMYFUNCTION("""COMPUTED_VALUE"""),44633.593148148146)</f>
        <v>44633.59315</v>
      </c>
      <c r="D8050" s="13">
        <f t="shared" si="1"/>
        <v>13</v>
      </c>
      <c r="E8050" s="13">
        <f t="shared" si="2"/>
        <v>14</v>
      </c>
    </row>
    <row r="8051">
      <c r="A8051" s="4" t="s">
        <v>8662</v>
      </c>
      <c r="B8051" s="16"/>
      <c r="C8051" s="12">
        <f>IFERROR(__xludf.DUMMYFUNCTION("""COMPUTED_VALUE"""),44633.57674768518)</f>
        <v>44633.57675</v>
      </c>
      <c r="D8051" s="13">
        <f t="shared" si="1"/>
        <v>13</v>
      </c>
      <c r="E8051" s="13">
        <f t="shared" si="2"/>
        <v>13</v>
      </c>
    </row>
    <row r="8052">
      <c r="A8052" s="4" t="s">
        <v>8663</v>
      </c>
      <c r="B8052" s="16"/>
      <c r="C8052" s="12">
        <f>IFERROR(__xludf.DUMMYFUNCTION("""COMPUTED_VALUE"""),44633.538877314815)</f>
        <v>44633.53888</v>
      </c>
      <c r="D8052" s="13">
        <f t="shared" si="1"/>
        <v>13</v>
      </c>
      <c r="E8052" s="13">
        <f t="shared" si="2"/>
        <v>12</v>
      </c>
    </row>
    <row r="8053">
      <c r="A8053" s="4" t="s">
        <v>8664</v>
      </c>
      <c r="B8053" s="16"/>
      <c r="C8053" s="12">
        <f>IFERROR(__xludf.DUMMYFUNCTION("""COMPUTED_VALUE"""),44633.53041666666)</f>
        <v>44633.53042</v>
      </c>
      <c r="D8053" s="13">
        <f t="shared" si="1"/>
        <v>13</v>
      </c>
      <c r="E8053" s="13">
        <f t="shared" si="2"/>
        <v>12</v>
      </c>
    </row>
    <row r="8054">
      <c r="A8054" s="4" t="s">
        <v>8665</v>
      </c>
      <c r="B8054" s="16"/>
      <c r="C8054" s="12">
        <f>IFERROR(__xludf.DUMMYFUNCTION("""COMPUTED_VALUE"""),44633.525821759256)</f>
        <v>44633.52582</v>
      </c>
      <c r="D8054" s="13">
        <f t="shared" si="1"/>
        <v>13</v>
      </c>
      <c r="E8054" s="13">
        <f t="shared" si="2"/>
        <v>12</v>
      </c>
    </row>
    <row r="8055">
      <c r="A8055" s="4" t="s">
        <v>8666</v>
      </c>
      <c r="B8055" s="16"/>
      <c r="C8055" s="12">
        <f>IFERROR(__xludf.DUMMYFUNCTION("""COMPUTED_VALUE"""),44633.523368055554)</f>
        <v>44633.52337</v>
      </c>
      <c r="D8055" s="13">
        <f t="shared" si="1"/>
        <v>13</v>
      </c>
      <c r="E8055" s="13">
        <f t="shared" si="2"/>
        <v>12</v>
      </c>
    </row>
    <row r="8056">
      <c r="A8056" s="4" t="s">
        <v>8667</v>
      </c>
      <c r="B8056" s="16"/>
      <c r="C8056" s="12">
        <f>IFERROR(__xludf.DUMMYFUNCTION("""COMPUTED_VALUE"""),44633.52333333333)</f>
        <v>44633.52333</v>
      </c>
      <c r="D8056" s="13">
        <f t="shared" si="1"/>
        <v>13</v>
      </c>
      <c r="E8056" s="13">
        <f t="shared" si="2"/>
        <v>12</v>
      </c>
    </row>
    <row r="8057">
      <c r="A8057" s="4" t="s">
        <v>8668</v>
      </c>
      <c r="B8057" s="16"/>
      <c r="C8057" s="12">
        <f>IFERROR(__xludf.DUMMYFUNCTION("""COMPUTED_VALUE"""),44633.51648148148)</f>
        <v>44633.51648</v>
      </c>
      <c r="D8057" s="13">
        <f t="shared" si="1"/>
        <v>13</v>
      </c>
      <c r="E8057" s="13">
        <f t="shared" si="2"/>
        <v>12</v>
      </c>
    </row>
    <row r="8058">
      <c r="A8058" s="4" t="s">
        <v>8669</v>
      </c>
      <c r="B8058" s="16"/>
      <c r="C8058" s="12">
        <f>IFERROR(__xludf.DUMMYFUNCTION("""COMPUTED_VALUE"""),44633.513715277775)</f>
        <v>44633.51372</v>
      </c>
      <c r="D8058" s="13">
        <f t="shared" si="1"/>
        <v>13</v>
      </c>
      <c r="E8058" s="13">
        <f t="shared" si="2"/>
        <v>12</v>
      </c>
    </row>
    <row r="8059">
      <c r="A8059" s="4" t="s">
        <v>8670</v>
      </c>
      <c r="B8059" s="16"/>
      <c r="C8059" s="12">
        <f>IFERROR(__xludf.DUMMYFUNCTION("""COMPUTED_VALUE"""),44633.51293981481)</f>
        <v>44633.51294</v>
      </c>
      <c r="D8059" s="13">
        <f t="shared" si="1"/>
        <v>13</v>
      </c>
      <c r="E8059" s="13">
        <f t="shared" si="2"/>
        <v>12</v>
      </c>
    </row>
    <row r="8060">
      <c r="A8060" s="4" t="s">
        <v>8671</v>
      </c>
      <c r="B8060" s="16"/>
      <c r="C8060" s="12">
        <f>IFERROR(__xludf.DUMMYFUNCTION("""COMPUTED_VALUE"""),44633.50940972222)</f>
        <v>44633.50941</v>
      </c>
      <c r="D8060" s="13">
        <f t="shared" si="1"/>
        <v>13</v>
      </c>
      <c r="E8060" s="13">
        <f t="shared" si="2"/>
        <v>12</v>
      </c>
    </row>
    <row r="8061">
      <c r="A8061" s="4" t="s">
        <v>8672</v>
      </c>
      <c r="B8061" s="16"/>
      <c r="C8061" s="12">
        <f>IFERROR(__xludf.DUMMYFUNCTION("""COMPUTED_VALUE"""),44633.501388888886)</f>
        <v>44633.50139</v>
      </c>
      <c r="D8061" s="13">
        <f t="shared" si="1"/>
        <v>13</v>
      </c>
      <c r="E8061" s="13">
        <f t="shared" si="2"/>
        <v>12</v>
      </c>
    </row>
    <row r="8062">
      <c r="A8062" s="4" t="s">
        <v>8673</v>
      </c>
      <c r="B8062" s="16"/>
      <c r="C8062" s="12">
        <f>IFERROR(__xludf.DUMMYFUNCTION("""COMPUTED_VALUE"""),44633.48396990741)</f>
        <v>44633.48397</v>
      </c>
      <c r="D8062" s="13">
        <f t="shared" si="1"/>
        <v>13</v>
      </c>
      <c r="E8062" s="13">
        <f t="shared" si="2"/>
        <v>11</v>
      </c>
    </row>
    <row r="8063">
      <c r="A8063" s="4" t="s">
        <v>8674</v>
      </c>
      <c r="B8063" s="16"/>
      <c r="C8063" s="12">
        <f>IFERROR(__xludf.DUMMYFUNCTION("""COMPUTED_VALUE"""),44633.48082175926)</f>
        <v>44633.48082</v>
      </c>
      <c r="D8063" s="13">
        <f t="shared" si="1"/>
        <v>13</v>
      </c>
      <c r="E8063" s="13">
        <f t="shared" si="2"/>
        <v>11</v>
      </c>
    </row>
    <row r="8064">
      <c r="A8064" s="4" t="s">
        <v>8675</v>
      </c>
      <c r="B8064" s="16"/>
      <c r="C8064" s="12">
        <f>IFERROR(__xludf.DUMMYFUNCTION("""COMPUTED_VALUE"""),44633.457303240735)</f>
        <v>44633.4573</v>
      </c>
      <c r="D8064" s="13">
        <f t="shared" si="1"/>
        <v>13</v>
      </c>
      <c r="E8064" s="13">
        <f t="shared" si="2"/>
        <v>10</v>
      </c>
    </row>
    <row r="8065">
      <c r="A8065" s="4" t="s">
        <v>8676</v>
      </c>
      <c r="B8065" s="16"/>
      <c r="C8065" s="12">
        <f>IFERROR(__xludf.DUMMYFUNCTION("""COMPUTED_VALUE"""),44633.45134259259)</f>
        <v>44633.45134</v>
      </c>
      <c r="D8065" s="13">
        <f t="shared" si="1"/>
        <v>13</v>
      </c>
      <c r="E8065" s="13">
        <f t="shared" si="2"/>
        <v>10</v>
      </c>
    </row>
    <row r="8066">
      <c r="A8066" s="4" t="s">
        <v>8677</v>
      </c>
      <c r="B8066" s="16"/>
      <c r="C8066" s="12">
        <f>IFERROR(__xludf.DUMMYFUNCTION("""COMPUTED_VALUE"""),44633.44255787037)</f>
        <v>44633.44256</v>
      </c>
      <c r="D8066" s="13">
        <f t="shared" si="1"/>
        <v>13</v>
      </c>
      <c r="E8066" s="13">
        <f t="shared" si="2"/>
        <v>10</v>
      </c>
    </row>
    <row r="8067">
      <c r="A8067" s="4" t="s">
        <v>8678</v>
      </c>
      <c r="B8067" s="16"/>
      <c r="C8067" s="12">
        <f>IFERROR(__xludf.DUMMYFUNCTION("""COMPUTED_VALUE"""),44633.426898148144)</f>
        <v>44633.4269</v>
      </c>
      <c r="D8067" s="13">
        <f t="shared" si="1"/>
        <v>13</v>
      </c>
      <c r="E8067" s="13">
        <f t="shared" si="2"/>
        <v>10</v>
      </c>
    </row>
    <row r="8068">
      <c r="A8068" s="4" t="s">
        <v>8679</v>
      </c>
      <c r="B8068" s="16"/>
      <c r="C8068" s="12">
        <f>IFERROR(__xludf.DUMMYFUNCTION("""COMPUTED_VALUE"""),44633.42037037037)</f>
        <v>44633.42037</v>
      </c>
      <c r="D8068" s="13">
        <f t="shared" si="1"/>
        <v>13</v>
      </c>
      <c r="E8068" s="13">
        <f t="shared" si="2"/>
        <v>10</v>
      </c>
    </row>
    <row r="8069">
      <c r="A8069" s="4" t="s">
        <v>8680</v>
      </c>
      <c r="B8069" s="16"/>
      <c r="C8069" s="12">
        <f>IFERROR(__xludf.DUMMYFUNCTION("""COMPUTED_VALUE"""),44633.3502662037)</f>
        <v>44633.35027</v>
      </c>
      <c r="D8069" s="13">
        <f t="shared" si="1"/>
        <v>13</v>
      </c>
      <c r="E8069" s="13">
        <f t="shared" si="2"/>
        <v>8</v>
      </c>
    </row>
    <row r="8070">
      <c r="A8070" s="4" t="s">
        <v>8681</v>
      </c>
      <c r="B8070" s="16"/>
      <c r="C8070" s="12">
        <f>IFERROR(__xludf.DUMMYFUNCTION("""COMPUTED_VALUE"""),44633.33939814814)</f>
        <v>44633.3394</v>
      </c>
      <c r="D8070" s="13">
        <f t="shared" si="1"/>
        <v>13</v>
      </c>
      <c r="E8070" s="13">
        <f t="shared" si="2"/>
        <v>8</v>
      </c>
    </row>
    <row r="8071">
      <c r="A8071" s="4" t="s">
        <v>8682</v>
      </c>
      <c r="B8071" s="16"/>
      <c r="C8071" s="12">
        <f>IFERROR(__xludf.DUMMYFUNCTION("""COMPUTED_VALUE"""),44633.319814814815)</f>
        <v>44633.31981</v>
      </c>
      <c r="D8071" s="13">
        <f t="shared" si="1"/>
        <v>13</v>
      </c>
      <c r="E8071" s="13">
        <f t="shared" si="2"/>
        <v>7</v>
      </c>
    </row>
    <row r="8072">
      <c r="A8072" s="4" t="s">
        <v>8683</v>
      </c>
      <c r="B8072" s="16"/>
      <c r="C8072" s="12">
        <f>IFERROR(__xludf.DUMMYFUNCTION("""COMPUTED_VALUE"""),44633.31923611111)</f>
        <v>44633.31924</v>
      </c>
      <c r="D8072" s="13">
        <f t="shared" si="1"/>
        <v>13</v>
      </c>
      <c r="E8072" s="13">
        <f t="shared" si="2"/>
        <v>7</v>
      </c>
    </row>
    <row r="8073">
      <c r="A8073" s="4" t="s">
        <v>8684</v>
      </c>
      <c r="B8073" s="16"/>
      <c r="C8073" s="12">
        <f>IFERROR(__xludf.DUMMYFUNCTION("""COMPUTED_VALUE"""),44633.3133912037)</f>
        <v>44633.31339</v>
      </c>
      <c r="D8073" s="13">
        <f t="shared" si="1"/>
        <v>13</v>
      </c>
      <c r="E8073" s="13">
        <f t="shared" si="2"/>
        <v>7</v>
      </c>
    </row>
    <row r="8074">
      <c r="A8074" s="4" t="s">
        <v>8685</v>
      </c>
      <c r="B8074" s="16"/>
      <c r="C8074" s="12">
        <f>IFERROR(__xludf.DUMMYFUNCTION("""COMPUTED_VALUE"""),44633.31159722222)</f>
        <v>44633.3116</v>
      </c>
      <c r="D8074" s="13">
        <f t="shared" si="1"/>
        <v>13</v>
      </c>
      <c r="E8074" s="13">
        <f t="shared" si="2"/>
        <v>7</v>
      </c>
    </row>
    <row r="8075">
      <c r="A8075" s="4" t="s">
        <v>8686</v>
      </c>
      <c r="B8075" s="16"/>
      <c r="C8075" s="12">
        <f>IFERROR(__xludf.DUMMYFUNCTION("""COMPUTED_VALUE"""),44633.30708333333)</f>
        <v>44633.30708</v>
      </c>
      <c r="D8075" s="13">
        <f t="shared" si="1"/>
        <v>13</v>
      </c>
      <c r="E8075" s="13">
        <f t="shared" si="2"/>
        <v>7</v>
      </c>
    </row>
    <row r="8076">
      <c r="A8076" s="4" t="s">
        <v>8687</v>
      </c>
      <c r="B8076" s="16"/>
      <c r="C8076" s="12">
        <f>IFERROR(__xludf.DUMMYFUNCTION("""COMPUTED_VALUE"""),44633.29886574074)</f>
        <v>44633.29887</v>
      </c>
      <c r="D8076" s="13">
        <f t="shared" si="1"/>
        <v>13</v>
      </c>
      <c r="E8076" s="13">
        <f t="shared" si="2"/>
        <v>7</v>
      </c>
    </row>
    <row r="8077">
      <c r="A8077" s="4" t="s">
        <v>8688</v>
      </c>
      <c r="B8077" s="16"/>
      <c r="C8077" s="12">
        <f>IFERROR(__xludf.DUMMYFUNCTION("""COMPUTED_VALUE"""),44633.147638888884)</f>
        <v>44633.14764</v>
      </c>
      <c r="D8077" s="13">
        <f t="shared" si="1"/>
        <v>13</v>
      </c>
      <c r="E8077" s="13">
        <f t="shared" si="2"/>
        <v>3</v>
      </c>
    </row>
    <row r="8078">
      <c r="A8078" s="4" t="s">
        <v>8689</v>
      </c>
      <c r="B8078" s="16"/>
      <c r="C8078" s="12">
        <f>IFERROR(__xludf.DUMMYFUNCTION("""COMPUTED_VALUE"""),44633.11325231481)</f>
        <v>44633.11325</v>
      </c>
      <c r="D8078" s="13">
        <f t="shared" si="1"/>
        <v>13</v>
      </c>
      <c r="E8078" s="13">
        <f t="shared" si="2"/>
        <v>2</v>
      </c>
    </row>
    <row r="8079">
      <c r="A8079" s="4" t="s">
        <v>8690</v>
      </c>
      <c r="B8079" s="16"/>
      <c r="C8079" s="12">
        <f>IFERROR(__xludf.DUMMYFUNCTION("""COMPUTED_VALUE"""),44633.031701388885)</f>
        <v>44633.0317</v>
      </c>
      <c r="D8079" s="13">
        <f t="shared" si="1"/>
        <v>13</v>
      </c>
      <c r="E8079" s="13">
        <f t="shared" si="2"/>
        <v>0</v>
      </c>
    </row>
    <row r="8080">
      <c r="A8080" s="4" t="s">
        <v>8691</v>
      </c>
      <c r="B8080" s="16"/>
      <c r="C8080" s="12">
        <f>IFERROR(__xludf.DUMMYFUNCTION("""COMPUTED_VALUE"""),44633.025254629625)</f>
        <v>44633.02525</v>
      </c>
      <c r="D8080" s="13">
        <f t="shared" si="1"/>
        <v>13</v>
      </c>
      <c r="E8080" s="13">
        <f t="shared" si="2"/>
        <v>0</v>
      </c>
    </row>
    <row r="8081">
      <c r="A8081" s="4" t="s">
        <v>8692</v>
      </c>
      <c r="B8081" s="16"/>
      <c r="C8081" s="12">
        <f>IFERROR(__xludf.DUMMYFUNCTION("""COMPUTED_VALUE"""),44633.021631944444)</f>
        <v>44633.02163</v>
      </c>
      <c r="D8081" s="13">
        <f t="shared" si="1"/>
        <v>13</v>
      </c>
      <c r="E8081" s="13">
        <f t="shared" si="2"/>
        <v>0</v>
      </c>
    </row>
    <row r="8082">
      <c r="A8082" s="4" t="s">
        <v>8693</v>
      </c>
      <c r="B8082" s="16"/>
      <c r="C8082" s="12">
        <f>IFERROR(__xludf.DUMMYFUNCTION("""COMPUTED_VALUE"""),44632.978946759256)</f>
        <v>44632.97895</v>
      </c>
      <c r="D8082" s="13">
        <f t="shared" si="1"/>
        <v>12</v>
      </c>
      <c r="E8082" s="13">
        <f t="shared" si="2"/>
        <v>23</v>
      </c>
    </row>
    <row r="8083">
      <c r="A8083" s="4" t="s">
        <v>8694</v>
      </c>
      <c r="B8083" s="16"/>
      <c r="C8083" s="12">
        <f>IFERROR(__xludf.DUMMYFUNCTION("""COMPUTED_VALUE"""),44632.97045138889)</f>
        <v>44632.97045</v>
      </c>
      <c r="D8083" s="13">
        <f t="shared" si="1"/>
        <v>12</v>
      </c>
      <c r="E8083" s="13">
        <f t="shared" si="2"/>
        <v>23</v>
      </c>
    </row>
    <row r="8084">
      <c r="A8084" s="4" t="s">
        <v>8695</v>
      </c>
      <c r="B8084" s="16"/>
      <c r="C8084" s="12">
        <f>IFERROR(__xludf.DUMMYFUNCTION("""COMPUTED_VALUE"""),44632.95668981481)</f>
        <v>44632.95669</v>
      </c>
      <c r="D8084" s="13">
        <f t="shared" si="1"/>
        <v>12</v>
      </c>
      <c r="E8084" s="13">
        <f t="shared" si="2"/>
        <v>22</v>
      </c>
    </row>
    <row r="8085">
      <c r="A8085" s="4" t="s">
        <v>8696</v>
      </c>
      <c r="B8085" s="16"/>
      <c r="C8085" s="12">
        <f>IFERROR(__xludf.DUMMYFUNCTION("""COMPUTED_VALUE"""),44632.95578703703)</f>
        <v>44632.95579</v>
      </c>
      <c r="D8085" s="13">
        <f t="shared" si="1"/>
        <v>12</v>
      </c>
      <c r="E8085" s="13">
        <f t="shared" si="2"/>
        <v>22</v>
      </c>
    </row>
    <row r="8086">
      <c r="A8086" s="4" t="s">
        <v>8697</v>
      </c>
      <c r="B8086" s="16"/>
      <c r="C8086" s="12">
        <f>IFERROR(__xludf.DUMMYFUNCTION("""COMPUTED_VALUE"""),44632.94393518518)</f>
        <v>44632.94394</v>
      </c>
      <c r="D8086" s="13">
        <f t="shared" si="1"/>
        <v>12</v>
      </c>
      <c r="E8086" s="13">
        <f t="shared" si="2"/>
        <v>22</v>
      </c>
    </row>
    <row r="8087">
      <c r="A8087" s="4" t="s">
        <v>8698</v>
      </c>
      <c r="B8087" s="16"/>
      <c r="C8087" s="12">
        <f>IFERROR(__xludf.DUMMYFUNCTION("""COMPUTED_VALUE"""),44632.943877314814)</f>
        <v>44632.94388</v>
      </c>
      <c r="D8087" s="13">
        <f t="shared" si="1"/>
        <v>12</v>
      </c>
      <c r="E8087" s="13">
        <f t="shared" si="2"/>
        <v>22</v>
      </c>
    </row>
    <row r="8088">
      <c r="A8088" s="4" t="s">
        <v>8699</v>
      </c>
      <c r="B8088" s="16"/>
      <c r="C8088" s="12">
        <f>IFERROR(__xludf.DUMMYFUNCTION("""COMPUTED_VALUE"""),44632.93730324074)</f>
        <v>44632.9373</v>
      </c>
      <c r="D8088" s="13">
        <f t="shared" si="1"/>
        <v>12</v>
      </c>
      <c r="E8088" s="13">
        <f t="shared" si="2"/>
        <v>22</v>
      </c>
    </row>
    <row r="8089">
      <c r="A8089" s="4" t="s">
        <v>8700</v>
      </c>
      <c r="B8089" s="16"/>
      <c r="C8089" s="12">
        <f>IFERROR(__xludf.DUMMYFUNCTION("""COMPUTED_VALUE"""),44632.935381944444)</f>
        <v>44632.93538</v>
      </c>
      <c r="D8089" s="13">
        <f t="shared" si="1"/>
        <v>12</v>
      </c>
      <c r="E8089" s="13">
        <f t="shared" si="2"/>
        <v>22</v>
      </c>
    </row>
    <row r="8090">
      <c r="A8090" s="4" t="s">
        <v>8701</v>
      </c>
      <c r="B8090" s="16"/>
      <c r="C8090" s="12">
        <f>IFERROR(__xludf.DUMMYFUNCTION("""COMPUTED_VALUE"""),44632.92649305555)</f>
        <v>44632.92649</v>
      </c>
      <c r="D8090" s="13">
        <f t="shared" si="1"/>
        <v>12</v>
      </c>
      <c r="E8090" s="13">
        <f t="shared" si="2"/>
        <v>22</v>
      </c>
    </row>
    <row r="8091">
      <c r="A8091" s="4" t="s">
        <v>8702</v>
      </c>
      <c r="B8091" s="16"/>
      <c r="C8091" s="12">
        <f>IFERROR(__xludf.DUMMYFUNCTION("""COMPUTED_VALUE"""),44632.9165162037)</f>
        <v>44632.91652</v>
      </c>
      <c r="D8091" s="13">
        <f t="shared" si="1"/>
        <v>12</v>
      </c>
      <c r="E8091" s="13">
        <f t="shared" si="2"/>
        <v>21</v>
      </c>
    </row>
    <row r="8092">
      <c r="A8092" s="4" t="s">
        <v>8703</v>
      </c>
      <c r="B8092" s="16"/>
      <c r="C8092" s="12">
        <f>IFERROR(__xludf.DUMMYFUNCTION("""COMPUTED_VALUE"""),44632.911585648144)</f>
        <v>44632.91159</v>
      </c>
      <c r="D8092" s="13">
        <f t="shared" si="1"/>
        <v>12</v>
      </c>
      <c r="E8092" s="13">
        <f t="shared" si="2"/>
        <v>21</v>
      </c>
    </row>
    <row r="8093">
      <c r="A8093" s="4" t="s">
        <v>8704</v>
      </c>
      <c r="B8093" s="16"/>
      <c r="C8093" s="12">
        <f>IFERROR(__xludf.DUMMYFUNCTION("""COMPUTED_VALUE"""),44632.90210648148)</f>
        <v>44632.90211</v>
      </c>
      <c r="D8093" s="13">
        <f t="shared" si="1"/>
        <v>12</v>
      </c>
      <c r="E8093" s="13">
        <f t="shared" si="2"/>
        <v>21</v>
      </c>
    </row>
    <row r="8094">
      <c r="A8094" s="4" t="s">
        <v>8705</v>
      </c>
      <c r="B8094" s="16"/>
      <c r="C8094" s="12">
        <f>IFERROR(__xludf.DUMMYFUNCTION("""COMPUTED_VALUE"""),44632.89315972222)</f>
        <v>44632.89316</v>
      </c>
      <c r="D8094" s="13">
        <f t="shared" si="1"/>
        <v>12</v>
      </c>
      <c r="E8094" s="13">
        <f t="shared" si="2"/>
        <v>21</v>
      </c>
    </row>
    <row r="8095">
      <c r="A8095" s="4" t="s">
        <v>8706</v>
      </c>
      <c r="B8095" s="16"/>
      <c r="C8095" s="12">
        <f>IFERROR(__xludf.DUMMYFUNCTION("""COMPUTED_VALUE"""),44632.890509259254)</f>
        <v>44632.89051</v>
      </c>
      <c r="D8095" s="13">
        <f t="shared" si="1"/>
        <v>12</v>
      </c>
      <c r="E8095" s="13">
        <f t="shared" si="2"/>
        <v>21</v>
      </c>
    </row>
    <row r="8096">
      <c r="A8096" s="4" t="s">
        <v>8707</v>
      </c>
      <c r="B8096" s="16"/>
      <c r="C8096" s="12">
        <f>IFERROR(__xludf.DUMMYFUNCTION("""COMPUTED_VALUE"""),44632.88998842592)</f>
        <v>44632.88999</v>
      </c>
      <c r="D8096" s="13">
        <f t="shared" si="1"/>
        <v>12</v>
      </c>
      <c r="E8096" s="13">
        <f t="shared" si="2"/>
        <v>21</v>
      </c>
    </row>
    <row r="8097">
      <c r="A8097" s="4" t="s">
        <v>8708</v>
      </c>
      <c r="B8097" s="16"/>
      <c r="C8097" s="12">
        <f>IFERROR(__xludf.DUMMYFUNCTION("""COMPUTED_VALUE"""),44632.88253472222)</f>
        <v>44632.88253</v>
      </c>
      <c r="D8097" s="13">
        <f t="shared" si="1"/>
        <v>12</v>
      </c>
      <c r="E8097" s="13">
        <f t="shared" si="2"/>
        <v>21</v>
      </c>
    </row>
    <row r="8098">
      <c r="A8098" s="4" t="s">
        <v>8709</v>
      </c>
      <c r="B8098" s="16"/>
      <c r="C8098" s="12">
        <f>IFERROR(__xludf.DUMMYFUNCTION("""COMPUTED_VALUE"""),44632.8815625)</f>
        <v>44632.88156</v>
      </c>
      <c r="D8098" s="13">
        <f t="shared" si="1"/>
        <v>12</v>
      </c>
      <c r="E8098" s="13">
        <f t="shared" si="2"/>
        <v>21</v>
      </c>
    </row>
    <row r="8099">
      <c r="A8099" s="4" t="s">
        <v>8710</v>
      </c>
      <c r="B8099" s="16"/>
      <c r="C8099" s="12">
        <f>IFERROR(__xludf.DUMMYFUNCTION("""COMPUTED_VALUE"""),44632.88142361111)</f>
        <v>44632.88142</v>
      </c>
      <c r="D8099" s="13">
        <f t="shared" si="1"/>
        <v>12</v>
      </c>
      <c r="E8099" s="13">
        <f t="shared" si="2"/>
        <v>21</v>
      </c>
    </row>
    <row r="8100">
      <c r="A8100" s="4" t="s">
        <v>8711</v>
      </c>
      <c r="B8100" s="16"/>
      <c r="C8100" s="12">
        <f>IFERROR(__xludf.DUMMYFUNCTION("""COMPUTED_VALUE"""),44632.88043981481)</f>
        <v>44632.88044</v>
      </c>
      <c r="D8100" s="13">
        <f t="shared" si="1"/>
        <v>12</v>
      </c>
      <c r="E8100" s="13">
        <f t="shared" si="2"/>
        <v>21</v>
      </c>
    </row>
    <row r="8101">
      <c r="A8101" s="4" t="s">
        <v>8712</v>
      </c>
      <c r="B8101" s="16"/>
      <c r="C8101" s="12">
        <f>IFERROR(__xludf.DUMMYFUNCTION("""COMPUTED_VALUE"""),44632.88018518518)</f>
        <v>44632.88019</v>
      </c>
      <c r="D8101" s="13">
        <f t="shared" si="1"/>
        <v>12</v>
      </c>
      <c r="E8101" s="13">
        <f t="shared" si="2"/>
        <v>21</v>
      </c>
    </row>
    <row r="8102">
      <c r="A8102" s="4" t="s">
        <v>8713</v>
      </c>
      <c r="B8102" s="16"/>
      <c r="C8102" s="12">
        <f>IFERROR(__xludf.DUMMYFUNCTION("""COMPUTED_VALUE"""),44632.87978009259)</f>
        <v>44632.87978</v>
      </c>
      <c r="D8102" s="13">
        <f t="shared" si="1"/>
        <v>12</v>
      </c>
      <c r="E8102" s="13">
        <f t="shared" si="2"/>
        <v>21</v>
      </c>
    </row>
    <row r="8103">
      <c r="A8103" s="4" t="s">
        <v>8714</v>
      </c>
      <c r="B8103" s="16"/>
      <c r="C8103" s="12">
        <f>IFERROR(__xludf.DUMMYFUNCTION("""COMPUTED_VALUE"""),44632.87958333333)</f>
        <v>44632.87958</v>
      </c>
      <c r="D8103" s="13">
        <f t="shared" si="1"/>
        <v>12</v>
      </c>
      <c r="E8103" s="13">
        <f t="shared" si="2"/>
        <v>21</v>
      </c>
    </row>
    <row r="8104">
      <c r="A8104" s="4" t="s">
        <v>8715</v>
      </c>
      <c r="B8104" s="16"/>
      <c r="C8104" s="12">
        <f>IFERROR(__xludf.DUMMYFUNCTION("""COMPUTED_VALUE"""),44632.878865740735)</f>
        <v>44632.87887</v>
      </c>
      <c r="D8104" s="13">
        <f t="shared" si="1"/>
        <v>12</v>
      </c>
      <c r="E8104" s="13">
        <f t="shared" si="2"/>
        <v>21</v>
      </c>
    </row>
    <row r="8105">
      <c r="A8105" s="4" t="s">
        <v>8716</v>
      </c>
      <c r="B8105" s="16"/>
      <c r="C8105" s="12">
        <f>IFERROR(__xludf.DUMMYFUNCTION("""COMPUTED_VALUE"""),44632.86331018518)</f>
        <v>44632.86331</v>
      </c>
      <c r="D8105" s="13">
        <f t="shared" si="1"/>
        <v>12</v>
      </c>
      <c r="E8105" s="13">
        <f t="shared" si="2"/>
        <v>20</v>
      </c>
    </row>
    <row r="8106">
      <c r="A8106" s="4" t="s">
        <v>8717</v>
      </c>
      <c r="B8106" s="16"/>
      <c r="C8106" s="12">
        <f>IFERROR(__xludf.DUMMYFUNCTION("""COMPUTED_VALUE"""),44632.85700231481)</f>
        <v>44632.857</v>
      </c>
      <c r="D8106" s="13">
        <f t="shared" si="1"/>
        <v>12</v>
      </c>
      <c r="E8106" s="13">
        <f t="shared" si="2"/>
        <v>20</v>
      </c>
    </row>
    <row r="8107">
      <c r="A8107" s="4" t="s">
        <v>8718</v>
      </c>
      <c r="B8107" s="16"/>
      <c r="C8107" s="12">
        <f>IFERROR(__xludf.DUMMYFUNCTION("""COMPUTED_VALUE"""),44632.856527777774)</f>
        <v>44632.85653</v>
      </c>
      <c r="D8107" s="13">
        <f t="shared" si="1"/>
        <v>12</v>
      </c>
      <c r="E8107" s="13">
        <f t="shared" si="2"/>
        <v>20</v>
      </c>
    </row>
    <row r="8108">
      <c r="A8108" s="4" t="s">
        <v>8719</v>
      </c>
      <c r="B8108" s="16"/>
      <c r="C8108" s="12">
        <f>IFERROR(__xludf.DUMMYFUNCTION("""COMPUTED_VALUE"""),44632.85204861111)</f>
        <v>44632.85205</v>
      </c>
      <c r="D8108" s="13">
        <f t="shared" si="1"/>
        <v>12</v>
      </c>
      <c r="E8108" s="13">
        <f t="shared" si="2"/>
        <v>20</v>
      </c>
    </row>
    <row r="8109">
      <c r="A8109" s="4" t="s">
        <v>8720</v>
      </c>
      <c r="B8109" s="16"/>
      <c r="C8109" s="12">
        <f>IFERROR(__xludf.DUMMYFUNCTION("""COMPUTED_VALUE"""),44632.842314814814)</f>
        <v>44632.84231</v>
      </c>
      <c r="D8109" s="13">
        <f t="shared" si="1"/>
        <v>12</v>
      </c>
      <c r="E8109" s="13">
        <f t="shared" si="2"/>
        <v>20</v>
      </c>
    </row>
    <row r="8110">
      <c r="A8110" s="4" t="s">
        <v>8721</v>
      </c>
      <c r="B8110" s="16"/>
      <c r="C8110" s="12">
        <f>IFERROR(__xludf.DUMMYFUNCTION("""COMPUTED_VALUE"""),44632.81010416667)</f>
        <v>44632.8101</v>
      </c>
      <c r="D8110" s="13">
        <f t="shared" si="1"/>
        <v>12</v>
      </c>
      <c r="E8110" s="13">
        <f t="shared" si="2"/>
        <v>19</v>
      </c>
    </row>
    <row r="8111">
      <c r="A8111" s="4" t="s">
        <v>8722</v>
      </c>
      <c r="B8111" s="16"/>
      <c r="C8111" s="12">
        <f>IFERROR(__xludf.DUMMYFUNCTION("""COMPUTED_VALUE"""),44632.80410879629)</f>
        <v>44632.80411</v>
      </c>
      <c r="D8111" s="13">
        <f t="shared" si="1"/>
        <v>12</v>
      </c>
      <c r="E8111" s="13">
        <f t="shared" si="2"/>
        <v>19</v>
      </c>
    </row>
    <row r="8112">
      <c r="A8112" s="4" t="s">
        <v>8723</v>
      </c>
      <c r="B8112" s="16"/>
      <c r="C8112" s="12">
        <f>IFERROR(__xludf.DUMMYFUNCTION("""COMPUTED_VALUE"""),44632.79951388889)</f>
        <v>44632.79951</v>
      </c>
      <c r="D8112" s="13">
        <f t="shared" si="1"/>
        <v>12</v>
      </c>
      <c r="E8112" s="13">
        <f t="shared" si="2"/>
        <v>19</v>
      </c>
    </row>
    <row r="8113">
      <c r="A8113" s="4" t="s">
        <v>8724</v>
      </c>
      <c r="B8113" s="16"/>
      <c r="C8113" s="12">
        <f>IFERROR(__xludf.DUMMYFUNCTION("""COMPUTED_VALUE"""),44632.79158564815)</f>
        <v>44632.79159</v>
      </c>
      <c r="D8113" s="13">
        <f t="shared" si="1"/>
        <v>12</v>
      </c>
      <c r="E8113" s="13">
        <f t="shared" si="2"/>
        <v>18</v>
      </c>
    </row>
    <row r="8114">
      <c r="A8114" s="4" t="s">
        <v>8725</v>
      </c>
      <c r="B8114" s="16"/>
      <c r="C8114" s="12">
        <f>IFERROR(__xludf.DUMMYFUNCTION("""COMPUTED_VALUE"""),44632.783483796295)</f>
        <v>44632.78348</v>
      </c>
      <c r="D8114" s="13">
        <f t="shared" si="1"/>
        <v>12</v>
      </c>
      <c r="E8114" s="13">
        <f t="shared" si="2"/>
        <v>18</v>
      </c>
    </row>
    <row r="8115">
      <c r="A8115" s="4" t="s">
        <v>8726</v>
      </c>
      <c r="B8115" s="16"/>
      <c r="C8115" s="12">
        <f>IFERROR(__xludf.DUMMYFUNCTION("""COMPUTED_VALUE"""),44632.762974537036)</f>
        <v>44632.76297</v>
      </c>
      <c r="D8115" s="13">
        <f t="shared" si="1"/>
        <v>12</v>
      </c>
      <c r="E8115" s="13">
        <f t="shared" si="2"/>
        <v>18</v>
      </c>
    </row>
    <row r="8116">
      <c r="A8116" s="4" t="s">
        <v>8727</v>
      </c>
      <c r="B8116" s="16"/>
      <c r="C8116" s="12">
        <f>IFERROR(__xludf.DUMMYFUNCTION("""COMPUTED_VALUE"""),44632.74251157407)</f>
        <v>44632.74251</v>
      </c>
      <c r="D8116" s="13">
        <f t="shared" si="1"/>
        <v>12</v>
      </c>
      <c r="E8116" s="13">
        <f t="shared" si="2"/>
        <v>17</v>
      </c>
    </row>
    <row r="8117">
      <c r="A8117" s="4" t="s">
        <v>8728</v>
      </c>
      <c r="B8117" s="16"/>
      <c r="C8117" s="12">
        <f>IFERROR(__xludf.DUMMYFUNCTION("""COMPUTED_VALUE"""),44632.74009259259)</f>
        <v>44632.74009</v>
      </c>
      <c r="D8117" s="13">
        <f t="shared" si="1"/>
        <v>12</v>
      </c>
      <c r="E8117" s="13">
        <f t="shared" si="2"/>
        <v>17</v>
      </c>
    </row>
    <row r="8118">
      <c r="A8118" s="4" t="s">
        <v>8729</v>
      </c>
      <c r="B8118" s="16"/>
      <c r="C8118" s="12">
        <f>IFERROR(__xludf.DUMMYFUNCTION("""COMPUTED_VALUE"""),44632.73993055555)</f>
        <v>44632.73993</v>
      </c>
      <c r="D8118" s="13">
        <f t="shared" si="1"/>
        <v>12</v>
      </c>
      <c r="E8118" s="13">
        <f t="shared" si="2"/>
        <v>17</v>
      </c>
    </row>
    <row r="8119">
      <c r="A8119" s="4" t="s">
        <v>8730</v>
      </c>
      <c r="B8119" s="16"/>
      <c r="C8119" s="12">
        <f>IFERROR(__xludf.DUMMYFUNCTION("""COMPUTED_VALUE"""),44632.73884259259)</f>
        <v>44632.73884</v>
      </c>
      <c r="D8119" s="13">
        <f t="shared" si="1"/>
        <v>12</v>
      </c>
      <c r="E8119" s="13">
        <f t="shared" si="2"/>
        <v>17</v>
      </c>
    </row>
    <row r="8120">
      <c r="A8120" s="4" t="s">
        <v>8731</v>
      </c>
      <c r="B8120" s="16"/>
      <c r="C8120" s="12">
        <f>IFERROR(__xludf.DUMMYFUNCTION("""COMPUTED_VALUE"""),44632.73696759259)</f>
        <v>44632.73697</v>
      </c>
      <c r="D8120" s="13">
        <f t="shared" si="1"/>
        <v>12</v>
      </c>
      <c r="E8120" s="13">
        <f t="shared" si="2"/>
        <v>17</v>
      </c>
    </row>
    <row r="8121">
      <c r="A8121" s="4" t="s">
        <v>8732</v>
      </c>
      <c r="B8121" s="16"/>
      <c r="C8121" s="12">
        <f>IFERROR(__xludf.DUMMYFUNCTION("""COMPUTED_VALUE"""),44632.736666666664)</f>
        <v>44632.73667</v>
      </c>
      <c r="D8121" s="13">
        <f t="shared" si="1"/>
        <v>12</v>
      </c>
      <c r="E8121" s="13">
        <f t="shared" si="2"/>
        <v>17</v>
      </c>
    </row>
    <row r="8122">
      <c r="A8122" s="4" t="s">
        <v>8733</v>
      </c>
      <c r="B8122" s="16"/>
      <c r="C8122" s="12">
        <f>IFERROR(__xludf.DUMMYFUNCTION("""COMPUTED_VALUE"""),44632.7362037037)</f>
        <v>44632.7362</v>
      </c>
      <c r="D8122" s="13">
        <f t="shared" si="1"/>
        <v>12</v>
      </c>
      <c r="E8122" s="13">
        <f t="shared" si="2"/>
        <v>17</v>
      </c>
    </row>
    <row r="8123">
      <c r="A8123" s="4" t="s">
        <v>8734</v>
      </c>
      <c r="B8123" s="16"/>
      <c r="C8123" s="12">
        <f>IFERROR(__xludf.DUMMYFUNCTION("""COMPUTED_VALUE"""),44632.71524305555)</f>
        <v>44632.71524</v>
      </c>
      <c r="D8123" s="13">
        <f t="shared" si="1"/>
        <v>12</v>
      </c>
      <c r="E8123" s="13">
        <f t="shared" si="2"/>
        <v>17</v>
      </c>
    </row>
    <row r="8124">
      <c r="A8124" s="4" t="s">
        <v>8735</v>
      </c>
      <c r="B8124" s="16"/>
      <c r="C8124" s="12">
        <f>IFERROR(__xludf.DUMMYFUNCTION("""COMPUTED_VALUE"""),44632.69452546296)</f>
        <v>44632.69453</v>
      </c>
      <c r="D8124" s="13">
        <f t="shared" si="1"/>
        <v>12</v>
      </c>
      <c r="E8124" s="13">
        <f t="shared" si="2"/>
        <v>16</v>
      </c>
    </row>
    <row r="8125">
      <c r="A8125" s="4" t="s">
        <v>8736</v>
      </c>
      <c r="B8125" s="16"/>
      <c r="C8125" s="12">
        <f>IFERROR(__xludf.DUMMYFUNCTION("""COMPUTED_VALUE"""),44632.67864583333)</f>
        <v>44632.67865</v>
      </c>
      <c r="D8125" s="13">
        <f t="shared" si="1"/>
        <v>12</v>
      </c>
      <c r="E8125" s="13">
        <f t="shared" si="2"/>
        <v>16</v>
      </c>
    </row>
    <row r="8126">
      <c r="A8126" s="4" t="s">
        <v>8737</v>
      </c>
      <c r="B8126" s="16"/>
      <c r="C8126" s="12">
        <f>IFERROR(__xludf.DUMMYFUNCTION("""COMPUTED_VALUE"""),44632.664942129624)</f>
        <v>44632.66494</v>
      </c>
      <c r="D8126" s="13">
        <f t="shared" si="1"/>
        <v>12</v>
      </c>
      <c r="E8126" s="13">
        <f t="shared" si="2"/>
        <v>15</v>
      </c>
    </row>
    <row r="8127">
      <c r="A8127" s="4" t="s">
        <v>8738</v>
      </c>
      <c r="B8127" s="16"/>
      <c r="C8127" s="12">
        <f>IFERROR(__xludf.DUMMYFUNCTION("""COMPUTED_VALUE"""),44632.6537037037)</f>
        <v>44632.6537</v>
      </c>
      <c r="D8127" s="13">
        <f t="shared" si="1"/>
        <v>12</v>
      </c>
      <c r="E8127" s="13">
        <f t="shared" si="2"/>
        <v>15</v>
      </c>
    </row>
    <row r="8128">
      <c r="A8128" s="4" t="s">
        <v>8739</v>
      </c>
      <c r="B8128" s="16"/>
      <c r="C8128" s="12">
        <f>IFERROR(__xludf.DUMMYFUNCTION("""COMPUTED_VALUE"""),44632.65003472222)</f>
        <v>44632.65003</v>
      </c>
      <c r="D8128" s="13">
        <f t="shared" si="1"/>
        <v>12</v>
      </c>
      <c r="E8128" s="13">
        <f t="shared" si="2"/>
        <v>15</v>
      </c>
    </row>
    <row r="8129">
      <c r="A8129" s="4" t="s">
        <v>8740</v>
      </c>
      <c r="B8129" s="16"/>
      <c r="C8129" s="12">
        <f>IFERROR(__xludf.DUMMYFUNCTION("""COMPUTED_VALUE"""),44632.56990740741)</f>
        <v>44632.56991</v>
      </c>
      <c r="D8129" s="13">
        <f t="shared" si="1"/>
        <v>12</v>
      </c>
      <c r="E8129" s="13">
        <f t="shared" si="2"/>
        <v>13</v>
      </c>
    </row>
    <row r="8130">
      <c r="A8130" s="4" t="s">
        <v>8741</v>
      </c>
      <c r="B8130" s="16"/>
      <c r="C8130" s="12">
        <f>IFERROR(__xludf.DUMMYFUNCTION("""COMPUTED_VALUE"""),44632.53744212963)</f>
        <v>44632.53744</v>
      </c>
      <c r="D8130" s="13">
        <f t="shared" si="1"/>
        <v>12</v>
      </c>
      <c r="E8130" s="13">
        <f t="shared" si="2"/>
        <v>12</v>
      </c>
    </row>
    <row r="8131">
      <c r="A8131" s="4" t="s">
        <v>8742</v>
      </c>
      <c r="B8131" s="16"/>
      <c r="C8131" s="12">
        <f>IFERROR(__xludf.DUMMYFUNCTION("""COMPUTED_VALUE"""),44632.53417824074)</f>
        <v>44632.53418</v>
      </c>
      <c r="D8131" s="13">
        <f t="shared" si="1"/>
        <v>12</v>
      </c>
      <c r="E8131" s="13">
        <f t="shared" si="2"/>
        <v>12</v>
      </c>
    </row>
    <row r="8132">
      <c r="A8132" s="4" t="s">
        <v>8743</v>
      </c>
      <c r="B8132" s="16"/>
      <c r="C8132" s="12">
        <f>IFERROR(__xludf.DUMMYFUNCTION("""COMPUTED_VALUE"""),44632.53179398148)</f>
        <v>44632.53179</v>
      </c>
      <c r="D8132" s="13">
        <f t="shared" si="1"/>
        <v>12</v>
      </c>
      <c r="E8132" s="13">
        <f t="shared" si="2"/>
        <v>12</v>
      </c>
    </row>
    <row r="8133">
      <c r="A8133" s="4" t="s">
        <v>8744</v>
      </c>
      <c r="B8133" s="16"/>
      <c r="C8133" s="12">
        <f>IFERROR(__xludf.DUMMYFUNCTION("""COMPUTED_VALUE"""),44632.53011574074)</f>
        <v>44632.53012</v>
      </c>
      <c r="D8133" s="13">
        <f t="shared" si="1"/>
        <v>12</v>
      </c>
      <c r="E8133" s="13">
        <f t="shared" si="2"/>
        <v>12</v>
      </c>
    </row>
    <row r="8134">
      <c r="A8134" s="4" t="s">
        <v>8745</v>
      </c>
      <c r="B8134" s="16"/>
      <c r="C8134" s="12">
        <f>IFERROR(__xludf.DUMMYFUNCTION("""COMPUTED_VALUE"""),44632.528460648144)</f>
        <v>44632.52846</v>
      </c>
      <c r="D8134" s="13">
        <f t="shared" si="1"/>
        <v>12</v>
      </c>
      <c r="E8134" s="13">
        <f t="shared" si="2"/>
        <v>12</v>
      </c>
    </row>
    <row r="8135">
      <c r="A8135" s="4" t="s">
        <v>8746</v>
      </c>
      <c r="B8135" s="16"/>
      <c r="C8135" s="12">
        <f>IFERROR(__xludf.DUMMYFUNCTION("""COMPUTED_VALUE"""),44632.51788194444)</f>
        <v>44632.51788</v>
      </c>
      <c r="D8135" s="13">
        <f t="shared" si="1"/>
        <v>12</v>
      </c>
      <c r="E8135" s="13">
        <f t="shared" si="2"/>
        <v>12</v>
      </c>
    </row>
    <row r="8136">
      <c r="A8136" s="4" t="s">
        <v>8747</v>
      </c>
      <c r="B8136" s="16"/>
      <c r="C8136" s="12">
        <f>IFERROR(__xludf.DUMMYFUNCTION("""COMPUTED_VALUE"""),44632.514826388884)</f>
        <v>44632.51483</v>
      </c>
      <c r="D8136" s="13">
        <f t="shared" si="1"/>
        <v>12</v>
      </c>
      <c r="E8136" s="13">
        <f t="shared" si="2"/>
        <v>12</v>
      </c>
    </row>
    <row r="8137">
      <c r="A8137" s="4" t="s">
        <v>8748</v>
      </c>
      <c r="B8137" s="16"/>
      <c r="C8137" s="12">
        <f>IFERROR(__xludf.DUMMYFUNCTION("""COMPUTED_VALUE"""),44632.51457175926)</f>
        <v>44632.51457</v>
      </c>
      <c r="D8137" s="13">
        <f t="shared" si="1"/>
        <v>12</v>
      </c>
      <c r="E8137" s="13">
        <f t="shared" si="2"/>
        <v>12</v>
      </c>
    </row>
    <row r="8138">
      <c r="A8138" s="4" t="s">
        <v>8749</v>
      </c>
      <c r="B8138" s="16"/>
      <c r="C8138" s="12">
        <f>IFERROR(__xludf.DUMMYFUNCTION("""COMPUTED_VALUE"""),44632.51420138888)</f>
        <v>44632.5142</v>
      </c>
      <c r="D8138" s="13">
        <f t="shared" si="1"/>
        <v>12</v>
      </c>
      <c r="E8138" s="13">
        <f t="shared" si="2"/>
        <v>12</v>
      </c>
    </row>
    <row r="8139">
      <c r="A8139" s="4" t="s">
        <v>8750</v>
      </c>
      <c r="B8139" s="16"/>
      <c r="C8139" s="12">
        <f>IFERROR(__xludf.DUMMYFUNCTION("""COMPUTED_VALUE"""),44632.45627314815)</f>
        <v>44632.45627</v>
      </c>
      <c r="D8139" s="13">
        <f t="shared" si="1"/>
        <v>12</v>
      </c>
      <c r="E8139" s="13">
        <f t="shared" si="2"/>
        <v>10</v>
      </c>
    </row>
    <row r="8140">
      <c r="A8140" s="4" t="s">
        <v>8751</v>
      </c>
      <c r="B8140" s="16"/>
      <c r="C8140" s="12">
        <f>IFERROR(__xludf.DUMMYFUNCTION("""COMPUTED_VALUE"""),44632.447291666664)</f>
        <v>44632.44729</v>
      </c>
      <c r="D8140" s="13">
        <f t="shared" si="1"/>
        <v>12</v>
      </c>
      <c r="E8140" s="13">
        <f t="shared" si="2"/>
        <v>10</v>
      </c>
    </row>
    <row r="8141">
      <c r="A8141" s="4" t="s">
        <v>8752</v>
      </c>
      <c r="B8141" s="16"/>
      <c r="C8141" s="12">
        <f>IFERROR(__xludf.DUMMYFUNCTION("""COMPUTED_VALUE"""),44632.44665509259)</f>
        <v>44632.44666</v>
      </c>
      <c r="D8141" s="13">
        <f t="shared" si="1"/>
        <v>12</v>
      </c>
      <c r="E8141" s="13">
        <f t="shared" si="2"/>
        <v>10</v>
      </c>
    </row>
    <row r="8142">
      <c r="A8142" s="4" t="s">
        <v>8753</v>
      </c>
      <c r="B8142" s="16"/>
      <c r="C8142" s="12">
        <f>IFERROR(__xludf.DUMMYFUNCTION("""COMPUTED_VALUE"""),44632.43878472222)</f>
        <v>44632.43878</v>
      </c>
      <c r="D8142" s="13">
        <f t="shared" si="1"/>
        <v>12</v>
      </c>
      <c r="E8142" s="13">
        <f t="shared" si="2"/>
        <v>10</v>
      </c>
    </row>
    <row r="8143">
      <c r="A8143" s="4" t="s">
        <v>8754</v>
      </c>
      <c r="B8143" s="16"/>
      <c r="C8143" s="12">
        <f>IFERROR(__xludf.DUMMYFUNCTION("""COMPUTED_VALUE"""),44632.43032407407)</f>
        <v>44632.43032</v>
      </c>
      <c r="D8143" s="13">
        <f t="shared" si="1"/>
        <v>12</v>
      </c>
      <c r="E8143" s="13">
        <f t="shared" si="2"/>
        <v>10</v>
      </c>
    </row>
    <row r="8144">
      <c r="A8144" s="4" t="s">
        <v>8755</v>
      </c>
      <c r="B8144" s="16"/>
      <c r="C8144" s="12">
        <f>IFERROR(__xludf.DUMMYFUNCTION("""COMPUTED_VALUE"""),44632.427523148144)</f>
        <v>44632.42752</v>
      </c>
      <c r="D8144" s="13">
        <f t="shared" si="1"/>
        <v>12</v>
      </c>
      <c r="E8144" s="13">
        <f t="shared" si="2"/>
        <v>10</v>
      </c>
    </row>
    <row r="8145">
      <c r="A8145" s="4" t="s">
        <v>8756</v>
      </c>
      <c r="B8145" s="16"/>
      <c r="C8145" s="12">
        <f>IFERROR(__xludf.DUMMYFUNCTION("""COMPUTED_VALUE"""),44632.42677083333)</f>
        <v>44632.42677</v>
      </c>
      <c r="D8145" s="13">
        <f t="shared" si="1"/>
        <v>12</v>
      </c>
      <c r="E8145" s="13">
        <f t="shared" si="2"/>
        <v>10</v>
      </c>
    </row>
    <row r="8146">
      <c r="A8146" s="4" t="s">
        <v>8757</v>
      </c>
      <c r="B8146" s="16"/>
      <c r="C8146" s="12">
        <f>IFERROR(__xludf.DUMMYFUNCTION("""COMPUTED_VALUE"""),44632.42328703703)</f>
        <v>44632.42329</v>
      </c>
      <c r="D8146" s="13">
        <f t="shared" si="1"/>
        <v>12</v>
      </c>
      <c r="E8146" s="13">
        <f t="shared" si="2"/>
        <v>10</v>
      </c>
    </row>
    <row r="8147">
      <c r="A8147" s="4" t="s">
        <v>8758</v>
      </c>
      <c r="B8147" s="16"/>
      <c r="C8147" s="12">
        <f>IFERROR(__xludf.DUMMYFUNCTION("""COMPUTED_VALUE"""),44632.40892361111)</f>
        <v>44632.40892</v>
      </c>
      <c r="D8147" s="13">
        <f t="shared" si="1"/>
        <v>12</v>
      </c>
      <c r="E8147" s="13">
        <f t="shared" si="2"/>
        <v>9</v>
      </c>
    </row>
    <row r="8148">
      <c r="A8148" s="4" t="s">
        <v>8759</v>
      </c>
      <c r="B8148" s="16"/>
      <c r="C8148" s="12">
        <f>IFERROR(__xludf.DUMMYFUNCTION("""COMPUTED_VALUE"""),44632.32947916666)</f>
        <v>44632.32948</v>
      </c>
      <c r="D8148" s="13">
        <f t="shared" si="1"/>
        <v>12</v>
      </c>
      <c r="E8148" s="13">
        <f t="shared" si="2"/>
        <v>7</v>
      </c>
    </row>
    <row r="8149">
      <c r="A8149" s="4" t="s">
        <v>8760</v>
      </c>
      <c r="B8149" s="16"/>
      <c r="C8149" s="12">
        <f>IFERROR(__xludf.DUMMYFUNCTION("""COMPUTED_VALUE"""),44632.32678240741)</f>
        <v>44632.32678</v>
      </c>
      <c r="D8149" s="13">
        <f t="shared" si="1"/>
        <v>12</v>
      </c>
      <c r="E8149" s="13">
        <f t="shared" si="2"/>
        <v>7</v>
      </c>
    </row>
    <row r="8150">
      <c r="A8150" s="4" t="s">
        <v>8761</v>
      </c>
      <c r="B8150" s="16"/>
      <c r="C8150" s="12">
        <f>IFERROR(__xludf.DUMMYFUNCTION("""COMPUTED_VALUE"""),44632.326527777775)</f>
        <v>44632.32653</v>
      </c>
      <c r="D8150" s="13">
        <f t="shared" si="1"/>
        <v>12</v>
      </c>
      <c r="E8150" s="13">
        <f t="shared" si="2"/>
        <v>7</v>
      </c>
    </row>
    <row r="8151">
      <c r="A8151" s="4" t="s">
        <v>8762</v>
      </c>
      <c r="B8151" s="16"/>
      <c r="C8151" s="12">
        <f>IFERROR(__xludf.DUMMYFUNCTION("""COMPUTED_VALUE"""),44632.30923611111)</f>
        <v>44632.30924</v>
      </c>
      <c r="D8151" s="13">
        <f t="shared" si="1"/>
        <v>12</v>
      </c>
      <c r="E8151" s="13">
        <f t="shared" si="2"/>
        <v>7</v>
      </c>
    </row>
    <row r="8152">
      <c r="A8152" s="4" t="s">
        <v>8763</v>
      </c>
      <c r="B8152" s="16"/>
      <c r="C8152" s="12">
        <f>IFERROR(__xludf.DUMMYFUNCTION("""COMPUTED_VALUE"""),44632.30858796296)</f>
        <v>44632.30859</v>
      </c>
      <c r="D8152" s="13">
        <f t="shared" si="1"/>
        <v>12</v>
      </c>
      <c r="E8152" s="13">
        <f t="shared" si="2"/>
        <v>7</v>
      </c>
    </row>
    <row r="8153">
      <c r="A8153" s="4" t="s">
        <v>8764</v>
      </c>
      <c r="B8153" s="16"/>
      <c r="C8153" s="12">
        <f>IFERROR(__xludf.DUMMYFUNCTION("""COMPUTED_VALUE"""),44632.2940625)</f>
        <v>44632.29406</v>
      </c>
      <c r="D8153" s="13">
        <f t="shared" si="1"/>
        <v>12</v>
      </c>
      <c r="E8153" s="13">
        <f t="shared" si="2"/>
        <v>7</v>
      </c>
    </row>
    <row r="8154">
      <c r="A8154" s="4" t="s">
        <v>8765</v>
      </c>
      <c r="B8154" s="16"/>
      <c r="C8154" s="12">
        <f>IFERROR(__xludf.DUMMYFUNCTION("""COMPUTED_VALUE"""),44631.96092592592)</f>
        <v>44631.96093</v>
      </c>
      <c r="D8154" s="13">
        <f t="shared" si="1"/>
        <v>11</v>
      </c>
      <c r="E8154" s="13">
        <f t="shared" si="2"/>
        <v>23</v>
      </c>
    </row>
    <row r="8155">
      <c r="A8155" s="4" t="s">
        <v>8766</v>
      </c>
      <c r="B8155" s="16"/>
      <c r="C8155" s="12">
        <f>IFERROR(__xludf.DUMMYFUNCTION("""COMPUTED_VALUE"""),44631.94483796296)</f>
        <v>44631.94484</v>
      </c>
      <c r="D8155" s="13">
        <f t="shared" si="1"/>
        <v>11</v>
      </c>
      <c r="E8155" s="13">
        <f t="shared" si="2"/>
        <v>22</v>
      </c>
    </row>
    <row r="8156">
      <c r="A8156" s="4" t="s">
        <v>8767</v>
      </c>
      <c r="B8156" s="16"/>
      <c r="C8156" s="12">
        <f>IFERROR(__xludf.DUMMYFUNCTION("""COMPUTED_VALUE"""),44631.94009259259)</f>
        <v>44631.94009</v>
      </c>
      <c r="D8156" s="13">
        <f t="shared" si="1"/>
        <v>11</v>
      </c>
      <c r="E8156" s="13">
        <f t="shared" si="2"/>
        <v>22</v>
      </c>
    </row>
    <row r="8157">
      <c r="A8157" s="4" t="s">
        <v>8768</v>
      </c>
      <c r="B8157" s="16"/>
      <c r="C8157" s="12">
        <f>IFERROR(__xludf.DUMMYFUNCTION("""COMPUTED_VALUE"""),44631.93203703703)</f>
        <v>44631.93204</v>
      </c>
      <c r="D8157" s="13">
        <f t="shared" si="1"/>
        <v>11</v>
      </c>
      <c r="E8157" s="13">
        <f t="shared" si="2"/>
        <v>22</v>
      </c>
    </row>
    <row r="8158">
      <c r="A8158" s="4" t="s">
        <v>8769</v>
      </c>
      <c r="B8158" s="16"/>
      <c r="C8158" s="12">
        <f>IFERROR(__xludf.DUMMYFUNCTION("""COMPUTED_VALUE"""),44631.926354166666)</f>
        <v>44631.92635</v>
      </c>
      <c r="D8158" s="13">
        <f t="shared" si="1"/>
        <v>11</v>
      </c>
      <c r="E8158" s="13">
        <f t="shared" si="2"/>
        <v>22</v>
      </c>
    </row>
    <row r="8159">
      <c r="A8159" s="4" t="s">
        <v>8770</v>
      </c>
      <c r="B8159" s="16"/>
      <c r="C8159" s="12">
        <f>IFERROR(__xludf.DUMMYFUNCTION("""COMPUTED_VALUE"""),44631.92457175926)</f>
        <v>44631.92457</v>
      </c>
      <c r="D8159" s="13">
        <f t="shared" si="1"/>
        <v>11</v>
      </c>
      <c r="E8159" s="13">
        <f t="shared" si="2"/>
        <v>22</v>
      </c>
    </row>
    <row r="8160">
      <c r="A8160" s="4" t="s">
        <v>8771</v>
      </c>
      <c r="B8160" s="16"/>
      <c r="C8160" s="12">
        <f>IFERROR(__xludf.DUMMYFUNCTION("""COMPUTED_VALUE"""),44631.924050925925)</f>
        <v>44631.92405</v>
      </c>
      <c r="D8160" s="13">
        <f t="shared" si="1"/>
        <v>11</v>
      </c>
      <c r="E8160" s="13">
        <f t="shared" si="2"/>
        <v>22</v>
      </c>
    </row>
    <row r="8161">
      <c r="A8161" s="4" t="s">
        <v>8772</v>
      </c>
      <c r="B8161" s="16"/>
      <c r="C8161" s="12">
        <f>IFERROR(__xludf.DUMMYFUNCTION("""COMPUTED_VALUE"""),44631.91685185185)</f>
        <v>44631.91685</v>
      </c>
      <c r="D8161" s="13">
        <f t="shared" si="1"/>
        <v>11</v>
      </c>
      <c r="E8161" s="13">
        <f t="shared" si="2"/>
        <v>22</v>
      </c>
    </row>
    <row r="8162">
      <c r="A8162" s="4" t="s">
        <v>8773</v>
      </c>
      <c r="B8162" s="16"/>
      <c r="C8162" s="12">
        <f>IFERROR(__xludf.DUMMYFUNCTION("""COMPUTED_VALUE"""),44631.914247685185)</f>
        <v>44631.91425</v>
      </c>
      <c r="D8162" s="13">
        <f t="shared" si="1"/>
        <v>11</v>
      </c>
      <c r="E8162" s="13">
        <f t="shared" si="2"/>
        <v>21</v>
      </c>
    </row>
    <row r="8163">
      <c r="A8163" s="4" t="s">
        <v>8774</v>
      </c>
      <c r="B8163" s="16"/>
      <c r="C8163" s="12">
        <f>IFERROR(__xludf.DUMMYFUNCTION("""COMPUTED_VALUE"""),44631.910370370366)</f>
        <v>44631.91037</v>
      </c>
      <c r="D8163" s="13">
        <f t="shared" si="1"/>
        <v>11</v>
      </c>
      <c r="E8163" s="13">
        <f t="shared" si="2"/>
        <v>21</v>
      </c>
    </row>
    <row r="8164">
      <c r="A8164" s="4" t="s">
        <v>8775</v>
      </c>
      <c r="B8164" s="16"/>
      <c r="C8164" s="12">
        <f>IFERROR(__xludf.DUMMYFUNCTION("""COMPUTED_VALUE"""),44631.90892361111)</f>
        <v>44631.90892</v>
      </c>
      <c r="D8164" s="13">
        <f t="shared" si="1"/>
        <v>11</v>
      </c>
      <c r="E8164" s="13">
        <f t="shared" si="2"/>
        <v>21</v>
      </c>
    </row>
    <row r="8165">
      <c r="A8165" s="4" t="s">
        <v>8776</v>
      </c>
      <c r="B8165" s="16"/>
      <c r="C8165" s="12">
        <f>IFERROR(__xludf.DUMMYFUNCTION("""COMPUTED_VALUE"""),44631.89972222222)</f>
        <v>44631.89972</v>
      </c>
      <c r="D8165" s="13">
        <f t="shared" si="1"/>
        <v>11</v>
      </c>
      <c r="E8165" s="13">
        <f t="shared" si="2"/>
        <v>21</v>
      </c>
    </row>
    <row r="8166">
      <c r="A8166" s="4" t="s">
        <v>8777</v>
      </c>
      <c r="B8166" s="16"/>
      <c r="C8166" s="12">
        <f>IFERROR(__xludf.DUMMYFUNCTION("""COMPUTED_VALUE"""),44631.895787037036)</f>
        <v>44631.89579</v>
      </c>
      <c r="D8166" s="13">
        <f t="shared" si="1"/>
        <v>11</v>
      </c>
      <c r="E8166" s="13">
        <f t="shared" si="2"/>
        <v>21</v>
      </c>
    </row>
    <row r="8167">
      <c r="A8167" s="4" t="s">
        <v>8778</v>
      </c>
      <c r="B8167" s="16"/>
      <c r="C8167" s="12">
        <f>IFERROR(__xludf.DUMMYFUNCTION("""COMPUTED_VALUE"""),44631.895162037035)</f>
        <v>44631.89516</v>
      </c>
      <c r="D8167" s="13">
        <f t="shared" si="1"/>
        <v>11</v>
      </c>
      <c r="E8167" s="13">
        <f t="shared" si="2"/>
        <v>21</v>
      </c>
    </row>
    <row r="8168">
      <c r="A8168" s="4" t="s">
        <v>8779</v>
      </c>
      <c r="B8168" s="16"/>
      <c r="C8168" s="12">
        <f>IFERROR(__xludf.DUMMYFUNCTION("""COMPUTED_VALUE"""),44631.89462962963)</f>
        <v>44631.89463</v>
      </c>
      <c r="D8168" s="13">
        <f t="shared" si="1"/>
        <v>11</v>
      </c>
      <c r="E8168" s="13">
        <f t="shared" si="2"/>
        <v>21</v>
      </c>
    </row>
    <row r="8169">
      <c r="A8169" s="4" t="s">
        <v>8780</v>
      </c>
      <c r="B8169" s="16"/>
      <c r="C8169" s="12">
        <f>IFERROR(__xludf.DUMMYFUNCTION("""COMPUTED_VALUE"""),44631.89005787037)</f>
        <v>44631.89006</v>
      </c>
      <c r="D8169" s="13">
        <f t="shared" si="1"/>
        <v>11</v>
      </c>
      <c r="E8169" s="13">
        <f t="shared" si="2"/>
        <v>21</v>
      </c>
    </row>
    <row r="8170">
      <c r="A8170" s="4" t="s">
        <v>8781</v>
      </c>
      <c r="B8170" s="16"/>
      <c r="C8170" s="12">
        <f>IFERROR(__xludf.DUMMYFUNCTION("""COMPUTED_VALUE"""),44631.88244212963)</f>
        <v>44631.88244</v>
      </c>
      <c r="D8170" s="13">
        <f t="shared" si="1"/>
        <v>11</v>
      </c>
      <c r="E8170" s="13">
        <f t="shared" si="2"/>
        <v>21</v>
      </c>
    </row>
    <row r="8171">
      <c r="A8171" s="4" t="s">
        <v>8782</v>
      </c>
      <c r="B8171" s="16"/>
      <c r="C8171" s="12">
        <f>IFERROR(__xludf.DUMMYFUNCTION("""COMPUTED_VALUE"""),44631.8743287037)</f>
        <v>44631.87433</v>
      </c>
      <c r="D8171" s="13">
        <f t="shared" si="1"/>
        <v>11</v>
      </c>
      <c r="E8171" s="13">
        <f t="shared" si="2"/>
        <v>20</v>
      </c>
    </row>
    <row r="8172">
      <c r="A8172" s="4" t="s">
        <v>8783</v>
      </c>
      <c r="B8172" s="16"/>
      <c r="C8172" s="12">
        <f>IFERROR(__xludf.DUMMYFUNCTION("""COMPUTED_VALUE"""),44631.87206018518)</f>
        <v>44631.87206</v>
      </c>
      <c r="D8172" s="13">
        <f t="shared" si="1"/>
        <v>11</v>
      </c>
      <c r="E8172" s="13">
        <f t="shared" si="2"/>
        <v>20</v>
      </c>
    </row>
    <row r="8173">
      <c r="A8173" s="4" t="s">
        <v>8784</v>
      </c>
      <c r="B8173" s="16"/>
      <c r="C8173" s="12">
        <f>IFERROR(__xludf.DUMMYFUNCTION("""COMPUTED_VALUE"""),44631.86028935185)</f>
        <v>44631.86029</v>
      </c>
      <c r="D8173" s="13">
        <f t="shared" si="1"/>
        <v>11</v>
      </c>
      <c r="E8173" s="13">
        <f t="shared" si="2"/>
        <v>20</v>
      </c>
    </row>
    <row r="8174">
      <c r="A8174" s="4" t="s">
        <v>8785</v>
      </c>
      <c r="B8174" s="16"/>
      <c r="C8174" s="12">
        <f>IFERROR(__xludf.DUMMYFUNCTION("""COMPUTED_VALUE"""),44631.85582175926)</f>
        <v>44631.85582</v>
      </c>
      <c r="D8174" s="13">
        <f t="shared" si="1"/>
        <v>11</v>
      </c>
      <c r="E8174" s="13">
        <f t="shared" si="2"/>
        <v>20</v>
      </c>
    </row>
    <row r="8175">
      <c r="A8175" s="4" t="s">
        <v>8786</v>
      </c>
      <c r="B8175" s="16"/>
      <c r="C8175" s="12">
        <f>IFERROR(__xludf.DUMMYFUNCTION("""COMPUTED_VALUE"""),44631.85233796296)</f>
        <v>44631.85234</v>
      </c>
      <c r="D8175" s="13">
        <f t="shared" si="1"/>
        <v>11</v>
      </c>
      <c r="E8175" s="13">
        <f t="shared" si="2"/>
        <v>20</v>
      </c>
    </row>
    <row r="8176">
      <c r="A8176" s="4" t="s">
        <v>8787</v>
      </c>
      <c r="B8176" s="16"/>
      <c r="C8176" s="12">
        <f>IFERROR(__xludf.DUMMYFUNCTION("""COMPUTED_VALUE"""),44631.84298611111)</f>
        <v>44631.84299</v>
      </c>
      <c r="D8176" s="13">
        <f t="shared" si="1"/>
        <v>11</v>
      </c>
      <c r="E8176" s="13">
        <f t="shared" si="2"/>
        <v>20</v>
      </c>
    </row>
    <row r="8177">
      <c r="A8177" s="4" t="s">
        <v>8788</v>
      </c>
      <c r="B8177" s="16"/>
      <c r="C8177" s="12">
        <f>IFERROR(__xludf.DUMMYFUNCTION("""COMPUTED_VALUE"""),44631.841875)</f>
        <v>44631.84188</v>
      </c>
      <c r="D8177" s="13">
        <f t="shared" si="1"/>
        <v>11</v>
      </c>
      <c r="E8177" s="13">
        <f t="shared" si="2"/>
        <v>20</v>
      </c>
    </row>
    <row r="8178">
      <c r="A8178" s="4" t="s">
        <v>8789</v>
      </c>
      <c r="B8178" s="16"/>
      <c r="C8178" s="12">
        <f>IFERROR(__xludf.DUMMYFUNCTION("""COMPUTED_VALUE"""),44631.83918981481)</f>
        <v>44631.83919</v>
      </c>
      <c r="D8178" s="13">
        <f t="shared" si="1"/>
        <v>11</v>
      </c>
      <c r="E8178" s="13">
        <f t="shared" si="2"/>
        <v>20</v>
      </c>
    </row>
    <row r="8179">
      <c r="A8179" s="4" t="s">
        <v>8790</v>
      </c>
      <c r="B8179" s="16"/>
      <c r="C8179" s="12">
        <f>IFERROR(__xludf.DUMMYFUNCTION("""COMPUTED_VALUE"""),44631.839050925926)</f>
        <v>44631.83905</v>
      </c>
      <c r="D8179" s="13">
        <f t="shared" si="1"/>
        <v>11</v>
      </c>
      <c r="E8179" s="13">
        <f t="shared" si="2"/>
        <v>20</v>
      </c>
    </row>
    <row r="8180">
      <c r="A8180" s="4" t="s">
        <v>8791</v>
      </c>
      <c r="B8180" s="16"/>
      <c r="C8180" s="12">
        <f>IFERROR(__xludf.DUMMYFUNCTION("""COMPUTED_VALUE"""),44631.83884259259)</f>
        <v>44631.83884</v>
      </c>
      <c r="D8180" s="13">
        <f t="shared" si="1"/>
        <v>11</v>
      </c>
      <c r="E8180" s="13">
        <f t="shared" si="2"/>
        <v>20</v>
      </c>
    </row>
    <row r="8181">
      <c r="A8181" s="4" t="s">
        <v>8792</v>
      </c>
      <c r="B8181" s="16"/>
      <c r="C8181" s="12">
        <f>IFERROR(__xludf.DUMMYFUNCTION("""COMPUTED_VALUE"""),44631.8380787037)</f>
        <v>44631.83808</v>
      </c>
      <c r="D8181" s="13">
        <f t="shared" si="1"/>
        <v>11</v>
      </c>
      <c r="E8181" s="13">
        <f t="shared" si="2"/>
        <v>20</v>
      </c>
    </row>
    <row r="8182">
      <c r="A8182" s="4" t="s">
        <v>8793</v>
      </c>
      <c r="B8182" s="16"/>
      <c r="C8182" s="12">
        <f>IFERROR(__xludf.DUMMYFUNCTION("""COMPUTED_VALUE"""),44631.83787037037)</f>
        <v>44631.83787</v>
      </c>
      <c r="D8182" s="13">
        <f t="shared" si="1"/>
        <v>11</v>
      </c>
      <c r="E8182" s="13">
        <f t="shared" si="2"/>
        <v>20</v>
      </c>
    </row>
    <row r="8183">
      <c r="A8183" s="4" t="s">
        <v>8794</v>
      </c>
      <c r="B8183" s="16"/>
      <c r="C8183" s="12">
        <f>IFERROR(__xludf.DUMMYFUNCTION("""COMPUTED_VALUE"""),44631.83387731481)</f>
        <v>44631.83388</v>
      </c>
      <c r="D8183" s="13">
        <f t="shared" si="1"/>
        <v>11</v>
      </c>
      <c r="E8183" s="13">
        <f t="shared" si="2"/>
        <v>20</v>
      </c>
    </row>
    <row r="8184">
      <c r="A8184" s="4" t="s">
        <v>8795</v>
      </c>
      <c r="B8184" s="16"/>
      <c r="C8184" s="12">
        <f>IFERROR(__xludf.DUMMYFUNCTION("""COMPUTED_VALUE"""),44631.83289351851)</f>
        <v>44631.83289</v>
      </c>
      <c r="D8184" s="13">
        <f t="shared" si="1"/>
        <v>11</v>
      </c>
      <c r="E8184" s="13">
        <f t="shared" si="2"/>
        <v>19</v>
      </c>
    </row>
    <row r="8185">
      <c r="A8185" s="4" t="s">
        <v>8796</v>
      </c>
      <c r="B8185" s="16"/>
      <c r="C8185" s="12">
        <f>IFERROR(__xludf.DUMMYFUNCTION("""COMPUTED_VALUE"""),44631.83243055555)</f>
        <v>44631.83243</v>
      </c>
      <c r="D8185" s="13">
        <f t="shared" si="1"/>
        <v>11</v>
      </c>
      <c r="E8185" s="13">
        <f t="shared" si="2"/>
        <v>19</v>
      </c>
    </row>
    <row r="8186">
      <c r="A8186" s="4" t="s">
        <v>8797</v>
      </c>
      <c r="B8186" s="16"/>
      <c r="C8186" s="12">
        <f>IFERROR(__xludf.DUMMYFUNCTION("""COMPUTED_VALUE"""),44631.83190972222)</f>
        <v>44631.83191</v>
      </c>
      <c r="D8186" s="13">
        <f t="shared" si="1"/>
        <v>11</v>
      </c>
      <c r="E8186" s="13">
        <f t="shared" si="2"/>
        <v>19</v>
      </c>
    </row>
    <row r="8187">
      <c r="A8187" s="4" t="s">
        <v>8798</v>
      </c>
      <c r="B8187" s="16"/>
      <c r="C8187" s="12">
        <f>IFERROR(__xludf.DUMMYFUNCTION("""COMPUTED_VALUE"""),44631.821388888886)</f>
        <v>44631.82139</v>
      </c>
      <c r="D8187" s="13">
        <f t="shared" si="1"/>
        <v>11</v>
      </c>
      <c r="E8187" s="13">
        <f t="shared" si="2"/>
        <v>19</v>
      </c>
    </row>
    <row r="8188">
      <c r="A8188" s="4" t="s">
        <v>8799</v>
      </c>
      <c r="B8188" s="16"/>
      <c r="C8188" s="12">
        <f>IFERROR(__xludf.DUMMYFUNCTION("""COMPUTED_VALUE"""),44631.79458333333)</f>
        <v>44631.79458</v>
      </c>
      <c r="D8188" s="13">
        <f t="shared" si="1"/>
        <v>11</v>
      </c>
      <c r="E8188" s="13">
        <f t="shared" si="2"/>
        <v>19</v>
      </c>
    </row>
    <row r="8189">
      <c r="A8189" s="4" t="s">
        <v>8800</v>
      </c>
      <c r="B8189" s="16"/>
      <c r="C8189" s="12">
        <f>IFERROR(__xludf.DUMMYFUNCTION("""COMPUTED_VALUE"""),44631.783113425925)</f>
        <v>44631.78311</v>
      </c>
      <c r="D8189" s="13">
        <f t="shared" si="1"/>
        <v>11</v>
      </c>
      <c r="E8189" s="13">
        <f t="shared" si="2"/>
        <v>18</v>
      </c>
    </row>
    <row r="8190">
      <c r="A8190" s="4" t="s">
        <v>8801</v>
      </c>
      <c r="B8190" s="16"/>
      <c r="C8190" s="12">
        <f>IFERROR(__xludf.DUMMYFUNCTION("""COMPUTED_VALUE"""),44631.771319444444)</f>
        <v>44631.77132</v>
      </c>
      <c r="D8190" s="13">
        <f t="shared" si="1"/>
        <v>11</v>
      </c>
      <c r="E8190" s="13">
        <f t="shared" si="2"/>
        <v>18</v>
      </c>
    </row>
    <row r="8191">
      <c r="A8191" s="4" t="s">
        <v>8802</v>
      </c>
      <c r="B8191" s="16"/>
      <c r="C8191" s="12">
        <f>IFERROR(__xludf.DUMMYFUNCTION("""COMPUTED_VALUE"""),44631.73789351852)</f>
        <v>44631.73789</v>
      </c>
      <c r="D8191" s="13">
        <f t="shared" si="1"/>
        <v>11</v>
      </c>
      <c r="E8191" s="13">
        <f t="shared" si="2"/>
        <v>17</v>
      </c>
    </row>
    <row r="8192">
      <c r="A8192" s="4" t="s">
        <v>8803</v>
      </c>
      <c r="B8192" s="16"/>
      <c r="C8192" s="12">
        <f>IFERROR(__xludf.DUMMYFUNCTION("""COMPUTED_VALUE"""),44631.73606481481)</f>
        <v>44631.73606</v>
      </c>
      <c r="D8192" s="13">
        <f t="shared" si="1"/>
        <v>11</v>
      </c>
      <c r="E8192" s="13">
        <f t="shared" si="2"/>
        <v>17</v>
      </c>
    </row>
    <row r="8193">
      <c r="A8193" s="4" t="s">
        <v>8804</v>
      </c>
      <c r="B8193" s="16"/>
      <c r="C8193" s="12">
        <f>IFERROR(__xludf.DUMMYFUNCTION("""COMPUTED_VALUE"""),44631.701469907406)</f>
        <v>44631.70147</v>
      </c>
      <c r="D8193" s="13">
        <f t="shared" si="1"/>
        <v>11</v>
      </c>
      <c r="E8193" s="13">
        <f t="shared" si="2"/>
        <v>16</v>
      </c>
    </row>
    <row r="8194">
      <c r="A8194" s="4" t="s">
        <v>8805</v>
      </c>
      <c r="B8194" s="16"/>
      <c r="C8194" s="12">
        <f>IFERROR(__xludf.DUMMYFUNCTION("""COMPUTED_VALUE"""),44631.68917824074)</f>
        <v>44631.68918</v>
      </c>
      <c r="D8194" s="13">
        <f t="shared" si="1"/>
        <v>11</v>
      </c>
      <c r="E8194" s="13">
        <f t="shared" si="2"/>
        <v>16</v>
      </c>
    </row>
    <row r="8195">
      <c r="A8195" s="4" t="s">
        <v>8806</v>
      </c>
      <c r="B8195" s="16"/>
      <c r="C8195" s="12">
        <f>IFERROR(__xludf.DUMMYFUNCTION("""COMPUTED_VALUE"""),44631.6727662037)</f>
        <v>44631.67277</v>
      </c>
      <c r="D8195" s="13">
        <f t="shared" si="1"/>
        <v>11</v>
      </c>
      <c r="E8195" s="13">
        <f t="shared" si="2"/>
        <v>16</v>
      </c>
    </row>
    <row r="8196">
      <c r="A8196" s="4" t="s">
        <v>8807</v>
      </c>
      <c r="B8196" s="16"/>
      <c r="C8196" s="12">
        <f>IFERROR(__xludf.DUMMYFUNCTION("""COMPUTED_VALUE"""),44631.65773148148)</f>
        <v>44631.65773</v>
      </c>
      <c r="D8196" s="13">
        <f t="shared" si="1"/>
        <v>11</v>
      </c>
      <c r="E8196" s="13">
        <f t="shared" si="2"/>
        <v>15</v>
      </c>
    </row>
    <row r="8197">
      <c r="A8197" s="4" t="s">
        <v>8808</v>
      </c>
      <c r="B8197" s="16"/>
      <c r="C8197" s="12">
        <f>IFERROR(__xludf.DUMMYFUNCTION("""COMPUTED_VALUE"""),44631.656435185185)</f>
        <v>44631.65644</v>
      </c>
      <c r="D8197" s="13">
        <f t="shared" si="1"/>
        <v>11</v>
      </c>
      <c r="E8197" s="13">
        <f t="shared" si="2"/>
        <v>15</v>
      </c>
    </row>
    <row r="8198">
      <c r="A8198" s="4" t="s">
        <v>8809</v>
      </c>
      <c r="B8198" s="16"/>
      <c r="C8198" s="12">
        <f>IFERROR(__xludf.DUMMYFUNCTION("""COMPUTED_VALUE"""),44631.625555555554)</f>
        <v>44631.62556</v>
      </c>
      <c r="D8198" s="13">
        <f t="shared" si="1"/>
        <v>11</v>
      </c>
      <c r="E8198" s="13">
        <f t="shared" si="2"/>
        <v>15</v>
      </c>
    </row>
    <row r="8199">
      <c r="A8199" s="4" t="s">
        <v>8810</v>
      </c>
      <c r="B8199" s="16"/>
      <c r="C8199" s="12">
        <f>IFERROR(__xludf.DUMMYFUNCTION("""COMPUTED_VALUE"""),44631.61871527778)</f>
        <v>44631.61872</v>
      </c>
      <c r="D8199" s="13">
        <f t="shared" si="1"/>
        <v>11</v>
      </c>
      <c r="E8199" s="13">
        <f t="shared" si="2"/>
        <v>14</v>
      </c>
    </row>
    <row r="8200">
      <c r="A8200" s="4" t="s">
        <v>8811</v>
      </c>
      <c r="B8200" s="16"/>
      <c r="C8200" s="12">
        <f>IFERROR(__xludf.DUMMYFUNCTION("""COMPUTED_VALUE"""),44631.61104166666)</f>
        <v>44631.61104</v>
      </c>
      <c r="D8200" s="13">
        <f t="shared" si="1"/>
        <v>11</v>
      </c>
      <c r="E8200" s="13">
        <f t="shared" si="2"/>
        <v>14</v>
      </c>
    </row>
    <row r="8201">
      <c r="A8201" s="4" t="s">
        <v>8812</v>
      </c>
      <c r="B8201" s="16"/>
      <c r="C8201" s="12">
        <f>IFERROR(__xludf.DUMMYFUNCTION("""COMPUTED_VALUE"""),44631.60586805555)</f>
        <v>44631.60587</v>
      </c>
      <c r="D8201" s="13">
        <f t="shared" si="1"/>
        <v>11</v>
      </c>
      <c r="E8201" s="13">
        <f t="shared" si="2"/>
        <v>14</v>
      </c>
    </row>
    <row r="8202">
      <c r="A8202" s="4" t="s">
        <v>8813</v>
      </c>
      <c r="B8202" s="16"/>
      <c r="C8202" s="12">
        <f>IFERROR(__xludf.DUMMYFUNCTION("""COMPUTED_VALUE"""),44631.59581018518)</f>
        <v>44631.59581</v>
      </c>
      <c r="D8202" s="13">
        <f t="shared" si="1"/>
        <v>11</v>
      </c>
      <c r="E8202" s="13">
        <f t="shared" si="2"/>
        <v>14</v>
      </c>
    </row>
    <row r="8203">
      <c r="A8203" s="4" t="s">
        <v>8814</v>
      </c>
      <c r="B8203" s="16"/>
      <c r="C8203" s="12">
        <f>IFERROR(__xludf.DUMMYFUNCTION("""COMPUTED_VALUE"""),44631.59533564815)</f>
        <v>44631.59534</v>
      </c>
      <c r="D8203" s="13">
        <f t="shared" si="1"/>
        <v>11</v>
      </c>
      <c r="E8203" s="13">
        <f t="shared" si="2"/>
        <v>14</v>
      </c>
    </row>
    <row r="8204">
      <c r="A8204" s="4" t="s">
        <v>8815</v>
      </c>
      <c r="B8204" s="16"/>
      <c r="C8204" s="12">
        <f>IFERROR(__xludf.DUMMYFUNCTION("""COMPUTED_VALUE"""),44631.593831018516)</f>
        <v>44631.59383</v>
      </c>
      <c r="D8204" s="13">
        <f t="shared" si="1"/>
        <v>11</v>
      </c>
      <c r="E8204" s="13">
        <f t="shared" si="2"/>
        <v>14</v>
      </c>
    </row>
    <row r="8205">
      <c r="A8205" s="4" t="s">
        <v>8816</v>
      </c>
      <c r="B8205" s="16"/>
      <c r="C8205" s="12">
        <f>IFERROR(__xludf.DUMMYFUNCTION("""COMPUTED_VALUE"""),44631.59282407407)</f>
        <v>44631.59282</v>
      </c>
      <c r="D8205" s="13">
        <f t="shared" si="1"/>
        <v>11</v>
      </c>
      <c r="E8205" s="13">
        <f t="shared" si="2"/>
        <v>14</v>
      </c>
    </row>
    <row r="8206">
      <c r="A8206" s="4" t="s">
        <v>8817</v>
      </c>
      <c r="B8206" s="16"/>
      <c r="C8206" s="12">
        <f>IFERROR(__xludf.DUMMYFUNCTION("""COMPUTED_VALUE"""),44631.588124999995)</f>
        <v>44631.58813</v>
      </c>
      <c r="D8206" s="13">
        <f t="shared" si="1"/>
        <v>11</v>
      </c>
      <c r="E8206" s="13">
        <f t="shared" si="2"/>
        <v>14</v>
      </c>
    </row>
    <row r="8207">
      <c r="A8207" s="4" t="s">
        <v>8818</v>
      </c>
      <c r="B8207" s="16"/>
      <c r="C8207" s="12">
        <f>IFERROR(__xludf.DUMMYFUNCTION("""COMPUTED_VALUE"""),44631.58621527778)</f>
        <v>44631.58622</v>
      </c>
      <c r="D8207" s="13">
        <f t="shared" si="1"/>
        <v>11</v>
      </c>
      <c r="E8207" s="13">
        <f t="shared" si="2"/>
        <v>14</v>
      </c>
    </row>
    <row r="8208">
      <c r="A8208" s="4" t="s">
        <v>8819</v>
      </c>
      <c r="B8208" s="16"/>
      <c r="C8208" s="12">
        <f>IFERROR(__xludf.DUMMYFUNCTION("""COMPUTED_VALUE"""),44631.585289351846)</f>
        <v>44631.58529</v>
      </c>
      <c r="D8208" s="13">
        <f t="shared" si="1"/>
        <v>11</v>
      </c>
      <c r="E8208" s="13">
        <f t="shared" si="2"/>
        <v>14</v>
      </c>
    </row>
    <row r="8209">
      <c r="A8209" s="4" t="s">
        <v>8820</v>
      </c>
      <c r="B8209" s="16"/>
      <c r="C8209" s="12">
        <f>IFERROR(__xludf.DUMMYFUNCTION("""COMPUTED_VALUE"""),44631.58236111111)</f>
        <v>44631.58236</v>
      </c>
      <c r="D8209" s="13">
        <f t="shared" si="1"/>
        <v>11</v>
      </c>
      <c r="E8209" s="13">
        <f t="shared" si="2"/>
        <v>13</v>
      </c>
    </row>
    <row r="8210">
      <c r="A8210" s="4" t="s">
        <v>8821</v>
      </c>
      <c r="B8210" s="16"/>
      <c r="C8210" s="12">
        <f>IFERROR(__xludf.DUMMYFUNCTION("""COMPUTED_VALUE"""),44631.5821875)</f>
        <v>44631.58219</v>
      </c>
      <c r="D8210" s="13">
        <f t="shared" si="1"/>
        <v>11</v>
      </c>
      <c r="E8210" s="13">
        <f t="shared" si="2"/>
        <v>13</v>
      </c>
    </row>
    <row r="8211">
      <c r="A8211" s="4" t="s">
        <v>8822</v>
      </c>
      <c r="B8211" s="16"/>
      <c r="C8211" s="12">
        <f>IFERROR(__xludf.DUMMYFUNCTION("""COMPUTED_VALUE"""),44631.581724537034)</f>
        <v>44631.58172</v>
      </c>
      <c r="D8211" s="13">
        <f t="shared" si="1"/>
        <v>11</v>
      </c>
      <c r="E8211" s="13">
        <f t="shared" si="2"/>
        <v>13</v>
      </c>
    </row>
    <row r="8212">
      <c r="A8212" s="4" t="s">
        <v>8823</v>
      </c>
      <c r="B8212" s="16"/>
      <c r="C8212" s="12">
        <f>IFERROR(__xludf.DUMMYFUNCTION("""COMPUTED_VALUE"""),44631.564004629625)</f>
        <v>44631.564</v>
      </c>
      <c r="D8212" s="13">
        <f t="shared" si="1"/>
        <v>11</v>
      </c>
      <c r="E8212" s="13">
        <f t="shared" si="2"/>
        <v>13</v>
      </c>
    </row>
    <row r="8213">
      <c r="A8213" s="4" t="s">
        <v>8824</v>
      </c>
      <c r="B8213" s="16"/>
      <c r="C8213" s="12">
        <f>IFERROR(__xludf.DUMMYFUNCTION("""COMPUTED_VALUE"""),44631.56037037037)</f>
        <v>44631.56037</v>
      </c>
      <c r="D8213" s="13">
        <f t="shared" si="1"/>
        <v>11</v>
      </c>
      <c r="E8213" s="13">
        <f t="shared" si="2"/>
        <v>13</v>
      </c>
    </row>
    <row r="8214">
      <c r="A8214" s="4" t="s">
        <v>8825</v>
      </c>
      <c r="B8214" s="16"/>
      <c r="C8214" s="12">
        <f>IFERROR(__xludf.DUMMYFUNCTION("""COMPUTED_VALUE"""),44631.55946759259)</f>
        <v>44631.55947</v>
      </c>
      <c r="D8214" s="13">
        <f t="shared" si="1"/>
        <v>11</v>
      </c>
      <c r="E8214" s="13">
        <f t="shared" si="2"/>
        <v>13</v>
      </c>
    </row>
    <row r="8215">
      <c r="A8215" s="4" t="s">
        <v>8826</v>
      </c>
      <c r="B8215" s="16"/>
      <c r="C8215" s="12">
        <f>IFERROR(__xludf.DUMMYFUNCTION("""COMPUTED_VALUE"""),44631.55893518518)</f>
        <v>44631.55894</v>
      </c>
      <c r="D8215" s="13">
        <f t="shared" si="1"/>
        <v>11</v>
      </c>
      <c r="E8215" s="13">
        <f t="shared" si="2"/>
        <v>13</v>
      </c>
    </row>
    <row r="8216">
      <c r="A8216" s="4" t="s">
        <v>8827</v>
      </c>
      <c r="B8216" s="16"/>
      <c r="C8216" s="12">
        <f>IFERROR(__xludf.DUMMYFUNCTION("""COMPUTED_VALUE"""),44631.554942129624)</f>
        <v>44631.55494</v>
      </c>
      <c r="D8216" s="13">
        <f t="shared" si="1"/>
        <v>11</v>
      </c>
      <c r="E8216" s="13">
        <f t="shared" si="2"/>
        <v>13</v>
      </c>
    </row>
    <row r="8217">
      <c r="A8217" s="4" t="s">
        <v>8828</v>
      </c>
      <c r="B8217" s="16"/>
      <c r="C8217" s="12">
        <f>IFERROR(__xludf.DUMMYFUNCTION("""COMPUTED_VALUE"""),44631.55467592592)</f>
        <v>44631.55468</v>
      </c>
      <c r="D8217" s="13">
        <f t="shared" si="1"/>
        <v>11</v>
      </c>
      <c r="E8217" s="13">
        <f t="shared" si="2"/>
        <v>13</v>
      </c>
    </row>
    <row r="8218">
      <c r="A8218" s="4" t="s">
        <v>8829</v>
      </c>
      <c r="B8218" s="16"/>
      <c r="C8218" s="12">
        <f>IFERROR(__xludf.DUMMYFUNCTION("""COMPUTED_VALUE"""),44631.554131944446)</f>
        <v>44631.55413</v>
      </c>
      <c r="D8218" s="13">
        <f t="shared" si="1"/>
        <v>11</v>
      </c>
      <c r="E8218" s="13">
        <f t="shared" si="2"/>
        <v>13</v>
      </c>
    </row>
    <row r="8219">
      <c r="A8219" s="4" t="s">
        <v>8830</v>
      </c>
      <c r="B8219" s="16"/>
      <c r="C8219" s="12">
        <f>IFERROR(__xludf.DUMMYFUNCTION("""COMPUTED_VALUE"""),44631.55237268518)</f>
        <v>44631.55237</v>
      </c>
      <c r="D8219" s="13">
        <f t="shared" si="1"/>
        <v>11</v>
      </c>
      <c r="E8219" s="13">
        <f t="shared" si="2"/>
        <v>13</v>
      </c>
    </row>
    <row r="8220">
      <c r="A8220" s="4" t="s">
        <v>8831</v>
      </c>
      <c r="B8220" s="16"/>
      <c r="C8220" s="12">
        <f>IFERROR(__xludf.DUMMYFUNCTION("""COMPUTED_VALUE"""),44631.552094907405)</f>
        <v>44631.55209</v>
      </c>
      <c r="D8220" s="13">
        <f t="shared" si="1"/>
        <v>11</v>
      </c>
      <c r="E8220" s="13">
        <f t="shared" si="2"/>
        <v>13</v>
      </c>
    </row>
    <row r="8221">
      <c r="A8221" s="4" t="s">
        <v>8832</v>
      </c>
      <c r="B8221" s="16"/>
      <c r="C8221" s="12">
        <f>IFERROR(__xludf.DUMMYFUNCTION("""COMPUTED_VALUE"""),44631.551307870366)</f>
        <v>44631.55131</v>
      </c>
      <c r="D8221" s="13">
        <f t="shared" si="1"/>
        <v>11</v>
      </c>
      <c r="E8221" s="13">
        <f t="shared" si="2"/>
        <v>13</v>
      </c>
    </row>
    <row r="8222">
      <c r="A8222" s="4" t="s">
        <v>8833</v>
      </c>
      <c r="B8222" s="16"/>
      <c r="C8222" s="12">
        <f>IFERROR(__xludf.DUMMYFUNCTION("""COMPUTED_VALUE"""),44631.54364583333)</f>
        <v>44631.54365</v>
      </c>
      <c r="D8222" s="13">
        <f t="shared" si="1"/>
        <v>11</v>
      </c>
      <c r="E8222" s="13">
        <f t="shared" si="2"/>
        <v>13</v>
      </c>
    </row>
    <row r="8223">
      <c r="A8223" s="4" t="s">
        <v>8834</v>
      </c>
      <c r="B8223" s="16"/>
      <c r="C8223" s="12">
        <f>IFERROR(__xludf.DUMMYFUNCTION("""COMPUTED_VALUE"""),44631.54009259259)</f>
        <v>44631.54009</v>
      </c>
      <c r="D8223" s="13">
        <f t="shared" si="1"/>
        <v>11</v>
      </c>
      <c r="E8223" s="13">
        <f t="shared" si="2"/>
        <v>12</v>
      </c>
    </row>
    <row r="8224">
      <c r="A8224" s="4" t="s">
        <v>8835</v>
      </c>
      <c r="B8224" s="16"/>
      <c r="C8224" s="12">
        <f>IFERROR(__xludf.DUMMYFUNCTION("""COMPUTED_VALUE"""),44631.53978009259)</f>
        <v>44631.53978</v>
      </c>
      <c r="D8224" s="13">
        <f t="shared" si="1"/>
        <v>11</v>
      </c>
      <c r="E8224" s="13">
        <f t="shared" si="2"/>
        <v>12</v>
      </c>
    </row>
    <row r="8225">
      <c r="A8225" s="4" t="s">
        <v>8836</v>
      </c>
      <c r="B8225" s="16"/>
      <c r="C8225" s="12">
        <f>IFERROR(__xludf.DUMMYFUNCTION("""COMPUTED_VALUE"""),44631.53318287037)</f>
        <v>44631.53318</v>
      </c>
      <c r="D8225" s="13">
        <f t="shared" si="1"/>
        <v>11</v>
      </c>
      <c r="E8225" s="13">
        <f t="shared" si="2"/>
        <v>12</v>
      </c>
    </row>
    <row r="8226">
      <c r="A8226" s="4" t="s">
        <v>8837</v>
      </c>
      <c r="B8226" s="16"/>
      <c r="C8226" s="12">
        <f>IFERROR(__xludf.DUMMYFUNCTION("""COMPUTED_VALUE"""),44631.5284375)</f>
        <v>44631.52844</v>
      </c>
      <c r="D8226" s="13">
        <f t="shared" si="1"/>
        <v>11</v>
      </c>
      <c r="E8226" s="13">
        <f t="shared" si="2"/>
        <v>12</v>
      </c>
    </row>
    <row r="8227">
      <c r="A8227" s="4" t="s">
        <v>8838</v>
      </c>
      <c r="B8227" s="16"/>
      <c r="C8227" s="12">
        <f>IFERROR(__xludf.DUMMYFUNCTION("""COMPUTED_VALUE"""),44631.52820601851)</f>
        <v>44631.52821</v>
      </c>
      <c r="D8227" s="13">
        <f t="shared" si="1"/>
        <v>11</v>
      </c>
      <c r="E8227" s="13">
        <f t="shared" si="2"/>
        <v>12</v>
      </c>
    </row>
    <row r="8228">
      <c r="A8228" s="4" t="s">
        <v>8839</v>
      </c>
      <c r="B8228" s="16"/>
      <c r="C8228" s="12">
        <f>IFERROR(__xludf.DUMMYFUNCTION("""COMPUTED_VALUE"""),44631.526620370365)</f>
        <v>44631.52662</v>
      </c>
      <c r="D8228" s="13">
        <f t="shared" si="1"/>
        <v>11</v>
      </c>
      <c r="E8228" s="13">
        <f t="shared" si="2"/>
        <v>12</v>
      </c>
    </row>
    <row r="8229">
      <c r="A8229" s="4" t="s">
        <v>8840</v>
      </c>
      <c r="B8229" s="16"/>
      <c r="C8229" s="12">
        <f>IFERROR(__xludf.DUMMYFUNCTION("""COMPUTED_VALUE"""),44631.50880787037)</f>
        <v>44631.50881</v>
      </c>
      <c r="D8229" s="13">
        <f t="shared" si="1"/>
        <v>11</v>
      </c>
      <c r="E8229" s="13">
        <f t="shared" si="2"/>
        <v>12</v>
      </c>
    </row>
    <row r="8230">
      <c r="A8230" s="4" t="s">
        <v>8841</v>
      </c>
      <c r="B8230" s="16"/>
      <c r="C8230" s="12">
        <f>IFERROR(__xludf.DUMMYFUNCTION("""COMPUTED_VALUE"""),44631.4912037037)</f>
        <v>44631.4912</v>
      </c>
      <c r="D8230" s="13">
        <f t="shared" si="1"/>
        <v>11</v>
      </c>
      <c r="E8230" s="13">
        <f t="shared" si="2"/>
        <v>11</v>
      </c>
    </row>
    <row r="8231">
      <c r="A8231" s="4" t="s">
        <v>8842</v>
      </c>
      <c r="B8231" s="16"/>
      <c r="C8231" s="12">
        <f>IFERROR(__xludf.DUMMYFUNCTION("""COMPUTED_VALUE"""),44631.48961805555)</f>
        <v>44631.48962</v>
      </c>
      <c r="D8231" s="13">
        <f t="shared" si="1"/>
        <v>11</v>
      </c>
      <c r="E8231" s="13">
        <f t="shared" si="2"/>
        <v>11</v>
      </c>
    </row>
    <row r="8232">
      <c r="A8232" s="4" t="s">
        <v>8843</v>
      </c>
      <c r="B8232" s="16"/>
      <c r="C8232" s="12">
        <f>IFERROR(__xludf.DUMMYFUNCTION("""COMPUTED_VALUE"""),44631.48699074074)</f>
        <v>44631.48699</v>
      </c>
      <c r="D8232" s="13">
        <f t="shared" si="1"/>
        <v>11</v>
      </c>
      <c r="E8232" s="13">
        <f t="shared" si="2"/>
        <v>11</v>
      </c>
    </row>
    <row r="8233">
      <c r="A8233" s="4" t="s">
        <v>8844</v>
      </c>
      <c r="B8233" s="16"/>
      <c r="C8233" s="12">
        <f>IFERROR(__xludf.DUMMYFUNCTION("""COMPUTED_VALUE"""),44631.4777662037)</f>
        <v>44631.47777</v>
      </c>
      <c r="D8233" s="13">
        <f t="shared" si="1"/>
        <v>11</v>
      </c>
      <c r="E8233" s="13">
        <f t="shared" si="2"/>
        <v>11</v>
      </c>
    </row>
    <row r="8234">
      <c r="A8234" s="4" t="s">
        <v>8845</v>
      </c>
      <c r="B8234" s="16"/>
      <c r="C8234" s="12">
        <f>IFERROR(__xludf.DUMMYFUNCTION("""COMPUTED_VALUE"""),44631.453935185185)</f>
        <v>44631.45394</v>
      </c>
      <c r="D8234" s="13">
        <f t="shared" si="1"/>
        <v>11</v>
      </c>
      <c r="E8234" s="13">
        <f t="shared" si="2"/>
        <v>10</v>
      </c>
    </row>
    <row r="8235">
      <c r="A8235" s="4" t="s">
        <v>8846</v>
      </c>
      <c r="B8235" s="16"/>
      <c r="C8235" s="12">
        <f>IFERROR(__xludf.DUMMYFUNCTION("""COMPUTED_VALUE"""),44631.45239583333)</f>
        <v>44631.4524</v>
      </c>
      <c r="D8235" s="13">
        <f t="shared" si="1"/>
        <v>11</v>
      </c>
      <c r="E8235" s="13">
        <f t="shared" si="2"/>
        <v>10</v>
      </c>
    </row>
    <row r="8236">
      <c r="A8236" s="4" t="s">
        <v>8847</v>
      </c>
      <c r="B8236" s="16"/>
      <c r="C8236" s="12">
        <f>IFERROR(__xludf.DUMMYFUNCTION("""COMPUTED_VALUE"""),44631.452152777776)</f>
        <v>44631.45215</v>
      </c>
      <c r="D8236" s="13">
        <f t="shared" si="1"/>
        <v>11</v>
      </c>
      <c r="E8236" s="13">
        <f t="shared" si="2"/>
        <v>10</v>
      </c>
    </row>
    <row r="8237">
      <c r="A8237" s="4" t="s">
        <v>8848</v>
      </c>
      <c r="B8237" s="16"/>
      <c r="C8237" s="12">
        <f>IFERROR(__xludf.DUMMYFUNCTION("""COMPUTED_VALUE"""),44631.451527777775)</f>
        <v>44631.45153</v>
      </c>
      <c r="D8237" s="13">
        <f t="shared" si="1"/>
        <v>11</v>
      </c>
      <c r="E8237" s="13">
        <f t="shared" si="2"/>
        <v>10</v>
      </c>
    </row>
    <row r="8238">
      <c r="A8238" s="4" t="s">
        <v>8849</v>
      </c>
      <c r="B8238" s="16"/>
      <c r="C8238" s="12">
        <f>IFERROR(__xludf.DUMMYFUNCTION("""COMPUTED_VALUE"""),44631.45141203704)</f>
        <v>44631.45141</v>
      </c>
      <c r="D8238" s="13">
        <f t="shared" si="1"/>
        <v>11</v>
      </c>
      <c r="E8238" s="13">
        <f t="shared" si="2"/>
        <v>10</v>
      </c>
    </row>
    <row r="8239">
      <c r="A8239" s="4" t="s">
        <v>8850</v>
      </c>
      <c r="B8239" s="16"/>
      <c r="C8239" s="12">
        <f>IFERROR(__xludf.DUMMYFUNCTION("""COMPUTED_VALUE"""),44631.405081018514)</f>
        <v>44631.40508</v>
      </c>
      <c r="D8239" s="13">
        <f t="shared" si="1"/>
        <v>11</v>
      </c>
      <c r="E8239" s="13">
        <f t="shared" si="2"/>
        <v>9</v>
      </c>
    </row>
    <row r="8240">
      <c r="A8240" s="4" t="s">
        <v>8851</v>
      </c>
      <c r="B8240" s="16"/>
      <c r="C8240" s="12">
        <f>IFERROR(__xludf.DUMMYFUNCTION("""COMPUTED_VALUE"""),44631.39465277777)</f>
        <v>44631.39465</v>
      </c>
      <c r="D8240" s="13">
        <f t="shared" si="1"/>
        <v>11</v>
      </c>
      <c r="E8240" s="13">
        <f t="shared" si="2"/>
        <v>9</v>
      </c>
    </row>
    <row r="8241">
      <c r="A8241" s="4" t="s">
        <v>8852</v>
      </c>
      <c r="B8241" s="16"/>
      <c r="C8241" s="12">
        <f>IFERROR(__xludf.DUMMYFUNCTION("""COMPUTED_VALUE"""),44631.35996527778)</f>
        <v>44631.35997</v>
      </c>
      <c r="D8241" s="13">
        <f t="shared" si="1"/>
        <v>11</v>
      </c>
      <c r="E8241" s="13">
        <f t="shared" si="2"/>
        <v>8</v>
      </c>
    </row>
    <row r="8242">
      <c r="A8242" s="4" t="s">
        <v>8853</v>
      </c>
      <c r="B8242" s="16"/>
      <c r="C8242" s="12">
        <f>IFERROR(__xludf.DUMMYFUNCTION("""COMPUTED_VALUE"""),44631.303576388884)</f>
        <v>44631.30358</v>
      </c>
      <c r="D8242" s="13">
        <f t="shared" si="1"/>
        <v>11</v>
      </c>
      <c r="E8242" s="13">
        <f t="shared" si="2"/>
        <v>7</v>
      </c>
    </row>
    <row r="8243">
      <c r="A8243" s="4" t="s">
        <v>8854</v>
      </c>
      <c r="B8243" s="16"/>
      <c r="C8243" s="12">
        <f>IFERROR(__xludf.DUMMYFUNCTION("""COMPUTED_VALUE"""),44631.302523148144)</f>
        <v>44631.30252</v>
      </c>
      <c r="D8243" s="13">
        <f t="shared" si="1"/>
        <v>11</v>
      </c>
      <c r="E8243" s="13">
        <f t="shared" si="2"/>
        <v>7</v>
      </c>
    </row>
    <row r="8244">
      <c r="A8244" s="4" t="s">
        <v>8855</v>
      </c>
      <c r="B8244" s="16"/>
      <c r="C8244" s="12">
        <f>IFERROR(__xludf.DUMMYFUNCTION("""COMPUTED_VALUE"""),44631.30229166667)</f>
        <v>44631.30229</v>
      </c>
      <c r="D8244" s="13">
        <f t="shared" si="1"/>
        <v>11</v>
      </c>
      <c r="E8244" s="13">
        <f t="shared" si="2"/>
        <v>7</v>
      </c>
    </row>
    <row r="8245">
      <c r="A8245" s="4" t="s">
        <v>8856</v>
      </c>
      <c r="B8245" s="16"/>
      <c r="C8245" s="12">
        <f>IFERROR(__xludf.DUMMYFUNCTION("""COMPUTED_VALUE"""),44631.27728009259)</f>
        <v>44631.27728</v>
      </c>
      <c r="D8245" s="13">
        <f t="shared" si="1"/>
        <v>11</v>
      </c>
      <c r="E8245" s="13">
        <f t="shared" si="2"/>
        <v>6</v>
      </c>
    </row>
    <row r="8246">
      <c r="A8246" s="4" t="s">
        <v>8857</v>
      </c>
      <c r="B8246" s="16"/>
      <c r="C8246" s="12">
        <f>IFERROR(__xludf.DUMMYFUNCTION("""COMPUTED_VALUE"""),44631.27364583333)</f>
        <v>44631.27365</v>
      </c>
      <c r="D8246" s="13">
        <f t="shared" si="1"/>
        <v>11</v>
      </c>
      <c r="E8246" s="13">
        <f t="shared" si="2"/>
        <v>6</v>
      </c>
    </row>
    <row r="8247">
      <c r="A8247" s="4" t="s">
        <v>8858</v>
      </c>
      <c r="B8247" s="16"/>
      <c r="C8247" s="12">
        <f>IFERROR(__xludf.DUMMYFUNCTION("""COMPUTED_VALUE"""),44631.27092592592)</f>
        <v>44631.27093</v>
      </c>
      <c r="D8247" s="13">
        <f t="shared" si="1"/>
        <v>11</v>
      </c>
      <c r="E8247" s="13">
        <f t="shared" si="2"/>
        <v>6</v>
      </c>
    </row>
    <row r="8248">
      <c r="A8248" s="4" t="s">
        <v>8859</v>
      </c>
      <c r="B8248" s="16"/>
      <c r="C8248" s="12">
        <f>IFERROR(__xludf.DUMMYFUNCTION("""COMPUTED_VALUE"""),44631.27018518518)</f>
        <v>44631.27019</v>
      </c>
      <c r="D8248" s="13">
        <f t="shared" si="1"/>
        <v>11</v>
      </c>
      <c r="E8248" s="13">
        <f t="shared" si="2"/>
        <v>6</v>
      </c>
    </row>
    <row r="8249">
      <c r="A8249" s="4" t="s">
        <v>8860</v>
      </c>
      <c r="B8249" s="16"/>
      <c r="C8249" s="12">
        <f>IFERROR(__xludf.DUMMYFUNCTION("""COMPUTED_VALUE"""),44631.10649305555)</f>
        <v>44631.10649</v>
      </c>
      <c r="D8249" s="13">
        <f t="shared" si="1"/>
        <v>11</v>
      </c>
      <c r="E8249" s="13">
        <f t="shared" si="2"/>
        <v>2</v>
      </c>
    </row>
    <row r="8250">
      <c r="A8250" s="4" t="s">
        <v>8861</v>
      </c>
      <c r="B8250" s="16"/>
      <c r="C8250" s="12">
        <f>IFERROR(__xludf.DUMMYFUNCTION("""COMPUTED_VALUE"""),44631.06179398148)</f>
        <v>44631.06179</v>
      </c>
      <c r="D8250" s="13">
        <f t="shared" si="1"/>
        <v>11</v>
      </c>
      <c r="E8250" s="13">
        <f t="shared" si="2"/>
        <v>1</v>
      </c>
    </row>
    <row r="8251">
      <c r="A8251" s="4" t="s">
        <v>8862</v>
      </c>
      <c r="B8251" s="16"/>
      <c r="C8251" s="12">
        <f>IFERROR(__xludf.DUMMYFUNCTION("""COMPUTED_VALUE"""),44631.00879629629)</f>
        <v>44631.0088</v>
      </c>
      <c r="D8251" s="13">
        <f t="shared" si="1"/>
        <v>11</v>
      </c>
      <c r="E8251" s="13">
        <f t="shared" si="2"/>
        <v>0</v>
      </c>
    </row>
    <row r="8252">
      <c r="A8252" s="4" t="s">
        <v>8863</v>
      </c>
      <c r="B8252" s="16"/>
      <c r="C8252" s="12">
        <f>IFERROR(__xludf.DUMMYFUNCTION("""COMPUTED_VALUE"""),44631.00353009259)</f>
        <v>44631.00353</v>
      </c>
      <c r="D8252" s="13">
        <f t="shared" si="1"/>
        <v>11</v>
      </c>
      <c r="E8252" s="13">
        <f t="shared" si="2"/>
        <v>0</v>
      </c>
    </row>
    <row r="8253">
      <c r="A8253" s="4" t="s">
        <v>8864</v>
      </c>
      <c r="B8253" s="16"/>
      <c r="C8253" s="12">
        <f>IFERROR(__xludf.DUMMYFUNCTION("""COMPUTED_VALUE"""),44630.989166666666)</f>
        <v>44630.98917</v>
      </c>
      <c r="D8253" s="13">
        <f t="shared" si="1"/>
        <v>10</v>
      </c>
      <c r="E8253" s="13">
        <f t="shared" si="2"/>
        <v>23</v>
      </c>
    </row>
    <row r="8254">
      <c r="A8254" s="4" t="s">
        <v>8865</v>
      </c>
      <c r="B8254" s="16"/>
      <c r="C8254" s="12">
        <f>IFERROR(__xludf.DUMMYFUNCTION("""COMPUTED_VALUE"""),44630.986446759256)</f>
        <v>44630.98645</v>
      </c>
      <c r="D8254" s="13">
        <f t="shared" si="1"/>
        <v>10</v>
      </c>
      <c r="E8254" s="13">
        <f t="shared" si="2"/>
        <v>23</v>
      </c>
    </row>
    <row r="8255">
      <c r="A8255" s="4" t="s">
        <v>8866</v>
      </c>
      <c r="B8255" s="16"/>
      <c r="C8255" s="12">
        <f>IFERROR(__xludf.DUMMYFUNCTION("""COMPUTED_VALUE"""),44630.976875)</f>
        <v>44630.97688</v>
      </c>
      <c r="D8255" s="13">
        <f t="shared" si="1"/>
        <v>10</v>
      </c>
      <c r="E8255" s="13">
        <f t="shared" si="2"/>
        <v>23</v>
      </c>
    </row>
    <row r="8256">
      <c r="A8256" s="4" t="s">
        <v>8867</v>
      </c>
      <c r="B8256" s="16"/>
      <c r="C8256" s="12">
        <f>IFERROR(__xludf.DUMMYFUNCTION("""COMPUTED_VALUE"""),44630.968194444446)</f>
        <v>44630.96819</v>
      </c>
      <c r="D8256" s="13">
        <f t="shared" si="1"/>
        <v>10</v>
      </c>
      <c r="E8256" s="13">
        <f t="shared" si="2"/>
        <v>23</v>
      </c>
    </row>
    <row r="8257">
      <c r="A8257" s="4" t="s">
        <v>8868</v>
      </c>
      <c r="B8257" s="16"/>
      <c r="C8257" s="12">
        <f>IFERROR(__xludf.DUMMYFUNCTION("""COMPUTED_VALUE"""),44630.95298611111)</f>
        <v>44630.95299</v>
      </c>
      <c r="D8257" s="13">
        <f t="shared" si="1"/>
        <v>10</v>
      </c>
      <c r="E8257" s="13">
        <f t="shared" si="2"/>
        <v>22</v>
      </c>
    </row>
    <row r="8258">
      <c r="A8258" s="4" t="s">
        <v>8869</v>
      </c>
      <c r="B8258" s="16"/>
      <c r="C8258" s="12">
        <f>IFERROR(__xludf.DUMMYFUNCTION("""COMPUTED_VALUE"""),44630.95157407407)</f>
        <v>44630.95157</v>
      </c>
      <c r="D8258" s="13">
        <f t="shared" si="1"/>
        <v>10</v>
      </c>
      <c r="E8258" s="13">
        <f t="shared" si="2"/>
        <v>22</v>
      </c>
    </row>
    <row r="8259">
      <c r="A8259" s="4" t="s">
        <v>8870</v>
      </c>
      <c r="B8259" s="16"/>
      <c r="C8259" s="12">
        <f>IFERROR(__xludf.DUMMYFUNCTION("""COMPUTED_VALUE"""),44630.91423611111)</f>
        <v>44630.91424</v>
      </c>
      <c r="D8259" s="13">
        <f t="shared" si="1"/>
        <v>10</v>
      </c>
      <c r="E8259" s="13">
        <f t="shared" si="2"/>
        <v>21</v>
      </c>
    </row>
    <row r="8260">
      <c r="A8260" s="4" t="s">
        <v>8871</v>
      </c>
      <c r="B8260" s="16"/>
      <c r="C8260" s="12">
        <f>IFERROR(__xludf.DUMMYFUNCTION("""COMPUTED_VALUE"""),44630.909317129626)</f>
        <v>44630.90932</v>
      </c>
      <c r="D8260" s="13">
        <f t="shared" si="1"/>
        <v>10</v>
      </c>
      <c r="E8260" s="13">
        <f t="shared" si="2"/>
        <v>21</v>
      </c>
    </row>
    <row r="8261">
      <c r="A8261" s="4" t="s">
        <v>8872</v>
      </c>
      <c r="B8261" s="16"/>
      <c r="C8261" s="12">
        <f>IFERROR(__xludf.DUMMYFUNCTION("""COMPUTED_VALUE"""),44630.907071759255)</f>
        <v>44630.90707</v>
      </c>
      <c r="D8261" s="13">
        <f t="shared" si="1"/>
        <v>10</v>
      </c>
      <c r="E8261" s="13">
        <f t="shared" si="2"/>
        <v>21</v>
      </c>
    </row>
    <row r="8262">
      <c r="A8262" s="4" t="s">
        <v>8873</v>
      </c>
      <c r="B8262" s="16"/>
      <c r="C8262" s="12">
        <f>IFERROR(__xludf.DUMMYFUNCTION("""COMPUTED_VALUE"""),44630.90704861111)</f>
        <v>44630.90705</v>
      </c>
      <c r="D8262" s="13">
        <f t="shared" si="1"/>
        <v>10</v>
      </c>
      <c r="E8262" s="13">
        <f t="shared" si="2"/>
        <v>21</v>
      </c>
    </row>
    <row r="8263">
      <c r="A8263" s="4" t="s">
        <v>8874</v>
      </c>
      <c r="B8263" s="16"/>
      <c r="C8263" s="12">
        <f>IFERROR(__xludf.DUMMYFUNCTION("""COMPUTED_VALUE"""),44630.89200231481)</f>
        <v>44630.892</v>
      </c>
      <c r="D8263" s="13">
        <f t="shared" si="1"/>
        <v>10</v>
      </c>
      <c r="E8263" s="13">
        <f t="shared" si="2"/>
        <v>21</v>
      </c>
    </row>
    <row r="8264">
      <c r="A8264" s="4" t="s">
        <v>8875</v>
      </c>
      <c r="B8264" s="16"/>
      <c r="C8264" s="12">
        <f>IFERROR(__xludf.DUMMYFUNCTION("""COMPUTED_VALUE"""),44630.88784722222)</f>
        <v>44630.88785</v>
      </c>
      <c r="D8264" s="13">
        <f t="shared" si="1"/>
        <v>10</v>
      </c>
      <c r="E8264" s="13">
        <f t="shared" si="2"/>
        <v>21</v>
      </c>
    </row>
    <row r="8265">
      <c r="A8265" s="4" t="s">
        <v>8876</v>
      </c>
      <c r="B8265" s="16"/>
      <c r="C8265" s="12">
        <f>IFERROR(__xludf.DUMMYFUNCTION("""COMPUTED_VALUE"""),44630.88752314814)</f>
        <v>44630.88752</v>
      </c>
      <c r="D8265" s="13">
        <f t="shared" si="1"/>
        <v>10</v>
      </c>
      <c r="E8265" s="13">
        <f t="shared" si="2"/>
        <v>21</v>
      </c>
    </row>
    <row r="8266">
      <c r="A8266" s="4" t="s">
        <v>8877</v>
      </c>
      <c r="B8266" s="16"/>
      <c r="C8266" s="12">
        <f>IFERROR(__xludf.DUMMYFUNCTION("""COMPUTED_VALUE"""),44630.88626157407)</f>
        <v>44630.88626</v>
      </c>
      <c r="D8266" s="13">
        <f t="shared" si="1"/>
        <v>10</v>
      </c>
      <c r="E8266" s="13">
        <f t="shared" si="2"/>
        <v>21</v>
      </c>
    </row>
    <row r="8267">
      <c r="A8267" s="4" t="s">
        <v>8878</v>
      </c>
      <c r="B8267" s="16"/>
      <c r="C8267" s="12">
        <f>IFERROR(__xludf.DUMMYFUNCTION("""COMPUTED_VALUE"""),44630.869629629626)</f>
        <v>44630.86963</v>
      </c>
      <c r="D8267" s="13">
        <f t="shared" si="1"/>
        <v>10</v>
      </c>
      <c r="E8267" s="13">
        <f t="shared" si="2"/>
        <v>20</v>
      </c>
    </row>
    <row r="8268">
      <c r="A8268" s="4" t="s">
        <v>8879</v>
      </c>
      <c r="B8268" s="16"/>
      <c r="C8268" s="12">
        <f>IFERROR(__xludf.DUMMYFUNCTION("""COMPUTED_VALUE"""),44630.85792824074)</f>
        <v>44630.85793</v>
      </c>
      <c r="D8268" s="13">
        <f t="shared" si="1"/>
        <v>10</v>
      </c>
      <c r="E8268" s="13">
        <f t="shared" si="2"/>
        <v>20</v>
      </c>
    </row>
    <row r="8269">
      <c r="A8269" s="4" t="s">
        <v>8880</v>
      </c>
      <c r="B8269" s="16"/>
      <c r="C8269" s="12">
        <f>IFERROR(__xludf.DUMMYFUNCTION("""COMPUTED_VALUE"""),44630.832094907404)</f>
        <v>44630.83209</v>
      </c>
      <c r="D8269" s="13">
        <f t="shared" si="1"/>
        <v>10</v>
      </c>
      <c r="E8269" s="13">
        <f t="shared" si="2"/>
        <v>19</v>
      </c>
    </row>
    <row r="8270">
      <c r="A8270" s="4" t="s">
        <v>8881</v>
      </c>
      <c r="B8270" s="16"/>
      <c r="C8270" s="12">
        <f>IFERROR(__xludf.DUMMYFUNCTION("""COMPUTED_VALUE"""),44630.79918981481)</f>
        <v>44630.79919</v>
      </c>
      <c r="D8270" s="13">
        <f t="shared" si="1"/>
        <v>10</v>
      </c>
      <c r="E8270" s="13">
        <f t="shared" si="2"/>
        <v>19</v>
      </c>
    </row>
    <row r="8271">
      <c r="A8271" s="4" t="s">
        <v>8882</v>
      </c>
      <c r="B8271" s="16"/>
      <c r="C8271" s="12">
        <f>IFERROR(__xludf.DUMMYFUNCTION("""COMPUTED_VALUE"""),44630.79818287037)</f>
        <v>44630.79818</v>
      </c>
      <c r="D8271" s="13">
        <f t="shared" si="1"/>
        <v>10</v>
      </c>
      <c r="E8271" s="13">
        <f t="shared" si="2"/>
        <v>19</v>
      </c>
    </row>
    <row r="8272">
      <c r="A8272" s="4" t="s">
        <v>8883</v>
      </c>
      <c r="B8272" s="16"/>
      <c r="C8272" s="12">
        <f>IFERROR(__xludf.DUMMYFUNCTION("""COMPUTED_VALUE"""),44630.79568287037)</f>
        <v>44630.79568</v>
      </c>
      <c r="D8272" s="13">
        <f t="shared" si="1"/>
        <v>10</v>
      </c>
      <c r="E8272" s="13">
        <f t="shared" si="2"/>
        <v>19</v>
      </c>
    </row>
    <row r="8273">
      <c r="A8273" s="4" t="s">
        <v>8884</v>
      </c>
      <c r="B8273" s="16"/>
      <c r="C8273" s="12">
        <f>IFERROR(__xludf.DUMMYFUNCTION("""COMPUTED_VALUE"""),44630.78525462963)</f>
        <v>44630.78525</v>
      </c>
      <c r="D8273" s="13">
        <f t="shared" si="1"/>
        <v>10</v>
      </c>
      <c r="E8273" s="13">
        <f t="shared" si="2"/>
        <v>18</v>
      </c>
    </row>
    <row r="8274">
      <c r="A8274" s="4" t="s">
        <v>8885</v>
      </c>
      <c r="B8274" s="16"/>
      <c r="C8274" s="12">
        <f>IFERROR(__xludf.DUMMYFUNCTION("""COMPUTED_VALUE"""),44630.76793981481)</f>
        <v>44630.76794</v>
      </c>
      <c r="D8274" s="13">
        <f t="shared" si="1"/>
        <v>10</v>
      </c>
      <c r="E8274" s="13">
        <f t="shared" si="2"/>
        <v>18</v>
      </c>
    </row>
    <row r="8275">
      <c r="A8275" s="4" t="s">
        <v>8886</v>
      </c>
      <c r="B8275" s="16"/>
      <c r="C8275" s="12">
        <f>IFERROR(__xludf.DUMMYFUNCTION("""COMPUTED_VALUE"""),44630.75440972222)</f>
        <v>44630.75441</v>
      </c>
      <c r="D8275" s="13">
        <f t="shared" si="1"/>
        <v>10</v>
      </c>
      <c r="E8275" s="13">
        <f t="shared" si="2"/>
        <v>18</v>
      </c>
    </row>
    <row r="8276">
      <c r="A8276" s="4" t="s">
        <v>8887</v>
      </c>
      <c r="B8276" s="16"/>
      <c r="C8276" s="12">
        <f>IFERROR(__xludf.DUMMYFUNCTION("""COMPUTED_VALUE"""),44630.74515046296)</f>
        <v>44630.74515</v>
      </c>
      <c r="D8276" s="13">
        <f t="shared" si="1"/>
        <v>10</v>
      </c>
      <c r="E8276" s="13">
        <f t="shared" si="2"/>
        <v>17</v>
      </c>
    </row>
    <row r="8277">
      <c r="A8277" s="4" t="s">
        <v>8888</v>
      </c>
      <c r="B8277" s="16"/>
      <c r="C8277" s="12">
        <f>IFERROR(__xludf.DUMMYFUNCTION("""COMPUTED_VALUE"""),44630.744837962964)</f>
        <v>44630.74484</v>
      </c>
      <c r="D8277" s="13">
        <f t="shared" si="1"/>
        <v>10</v>
      </c>
      <c r="E8277" s="13">
        <f t="shared" si="2"/>
        <v>17</v>
      </c>
    </row>
    <row r="8278">
      <c r="A8278" s="4" t="s">
        <v>8889</v>
      </c>
      <c r="B8278" s="16"/>
      <c r="C8278" s="12">
        <f>IFERROR(__xludf.DUMMYFUNCTION("""COMPUTED_VALUE"""),44630.74390046296)</f>
        <v>44630.7439</v>
      </c>
      <c r="D8278" s="13">
        <f t="shared" si="1"/>
        <v>10</v>
      </c>
      <c r="E8278" s="13">
        <f t="shared" si="2"/>
        <v>17</v>
      </c>
    </row>
    <row r="8279">
      <c r="A8279" s="4" t="s">
        <v>8890</v>
      </c>
      <c r="B8279" s="16"/>
      <c r="C8279" s="12">
        <f>IFERROR(__xludf.DUMMYFUNCTION("""COMPUTED_VALUE"""),44630.743796296294)</f>
        <v>44630.7438</v>
      </c>
      <c r="D8279" s="13">
        <f t="shared" si="1"/>
        <v>10</v>
      </c>
      <c r="E8279" s="13">
        <f t="shared" si="2"/>
        <v>17</v>
      </c>
    </row>
    <row r="8280">
      <c r="A8280" s="4" t="s">
        <v>8891</v>
      </c>
      <c r="B8280" s="16"/>
      <c r="C8280" s="12">
        <f>IFERROR(__xludf.DUMMYFUNCTION("""COMPUTED_VALUE"""),44630.734398148146)</f>
        <v>44630.7344</v>
      </c>
      <c r="D8280" s="13">
        <f t="shared" si="1"/>
        <v>10</v>
      </c>
      <c r="E8280" s="13">
        <f t="shared" si="2"/>
        <v>17</v>
      </c>
    </row>
    <row r="8281">
      <c r="A8281" s="4" t="s">
        <v>8892</v>
      </c>
      <c r="B8281" s="16"/>
      <c r="C8281" s="12">
        <f>IFERROR(__xludf.DUMMYFUNCTION("""COMPUTED_VALUE"""),44630.732094907406)</f>
        <v>44630.73209</v>
      </c>
      <c r="D8281" s="13">
        <f t="shared" si="1"/>
        <v>10</v>
      </c>
      <c r="E8281" s="13">
        <f t="shared" si="2"/>
        <v>17</v>
      </c>
    </row>
    <row r="8282">
      <c r="A8282" s="4" t="s">
        <v>8893</v>
      </c>
      <c r="B8282" s="16"/>
      <c r="C8282" s="12">
        <f>IFERROR(__xludf.DUMMYFUNCTION("""COMPUTED_VALUE"""),44630.72652777778)</f>
        <v>44630.72653</v>
      </c>
      <c r="D8282" s="13">
        <f t="shared" si="1"/>
        <v>10</v>
      </c>
      <c r="E8282" s="13">
        <f t="shared" si="2"/>
        <v>17</v>
      </c>
    </row>
    <row r="8283">
      <c r="A8283" s="4" t="s">
        <v>8894</v>
      </c>
      <c r="B8283" s="16"/>
      <c r="C8283" s="12">
        <f>IFERROR(__xludf.DUMMYFUNCTION("""COMPUTED_VALUE"""),44630.715729166666)</f>
        <v>44630.71573</v>
      </c>
      <c r="D8283" s="13">
        <f t="shared" si="1"/>
        <v>10</v>
      </c>
      <c r="E8283" s="13">
        <f t="shared" si="2"/>
        <v>17</v>
      </c>
    </row>
    <row r="8284">
      <c r="A8284" s="4" t="s">
        <v>8895</v>
      </c>
      <c r="B8284" s="16"/>
      <c r="C8284" s="12">
        <f>IFERROR(__xludf.DUMMYFUNCTION("""COMPUTED_VALUE"""),44630.70974537037)</f>
        <v>44630.70975</v>
      </c>
      <c r="D8284" s="13">
        <f t="shared" si="1"/>
        <v>10</v>
      </c>
      <c r="E8284" s="13">
        <f t="shared" si="2"/>
        <v>17</v>
      </c>
    </row>
    <row r="8285">
      <c r="A8285" s="4" t="s">
        <v>8896</v>
      </c>
      <c r="B8285" s="16"/>
      <c r="C8285" s="12">
        <f>IFERROR(__xludf.DUMMYFUNCTION("""COMPUTED_VALUE"""),44630.70961805555)</f>
        <v>44630.70962</v>
      </c>
      <c r="D8285" s="13">
        <f t="shared" si="1"/>
        <v>10</v>
      </c>
      <c r="E8285" s="13">
        <f t="shared" si="2"/>
        <v>17</v>
      </c>
    </row>
    <row r="8286">
      <c r="A8286" s="4" t="s">
        <v>8897</v>
      </c>
      <c r="B8286" s="16"/>
      <c r="C8286" s="12">
        <f>IFERROR(__xludf.DUMMYFUNCTION("""COMPUTED_VALUE"""),44630.70895833333)</f>
        <v>44630.70896</v>
      </c>
      <c r="D8286" s="13">
        <f t="shared" si="1"/>
        <v>10</v>
      </c>
      <c r="E8286" s="13">
        <f t="shared" si="2"/>
        <v>17</v>
      </c>
    </row>
    <row r="8287">
      <c r="A8287" s="4" t="s">
        <v>8898</v>
      </c>
      <c r="B8287" s="16"/>
      <c r="C8287" s="12">
        <f>IFERROR(__xludf.DUMMYFUNCTION("""COMPUTED_VALUE"""),44630.70548611111)</f>
        <v>44630.70549</v>
      </c>
      <c r="D8287" s="13">
        <f t="shared" si="1"/>
        <v>10</v>
      </c>
      <c r="E8287" s="13">
        <f t="shared" si="2"/>
        <v>16</v>
      </c>
    </row>
    <row r="8288">
      <c r="A8288" s="4" t="s">
        <v>8899</v>
      </c>
      <c r="B8288" s="16"/>
      <c r="C8288" s="12">
        <f>IFERROR(__xludf.DUMMYFUNCTION("""COMPUTED_VALUE"""),44630.703148148146)</f>
        <v>44630.70315</v>
      </c>
      <c r="D8288" s="13">
        <f t="shared" si="1"/>
        <v>10</v>
      </c>
      <c r="E8288" s="13">
        <f t="shared" si="2"/>
        <v>16</v>
      </c>
    </row>
    <row r="8289">
      <c r="A8289" s="4" t="s">
        <v>8900</v>
      </c>
      <c r="B8289" s="16"/>
      <c r="C8289" s="12">
        <f>IFERROR(__xludf.DUMMYFUNCTION("""COMPUTED_VALUE"""),44630.702210648145)</f>
        <v>44630.70221</v>
      </c>
      <c r="D8289" s="13">
        <f t="shared" si="1"/>
        <v>10</v>
      </c>
      <c r="E8289" s="13">
        <f t="shared" si="2"/>
        <v>16</v>
      </c>
    </row>
    <row r="8290">
      <c r="A8290" s="4" t="s">
        <v>8901</v>
      </c>
      <c r="B8290" s="16"/>
      <c r="C8290" s="12">
        <f>IFERROR(__xludf.DUMMYFUNCTION("""COMPUTED_VALUE"""),44630.68298611111)</f>
        <v>44630.68299</v>
      </c>
      <c r="D8290" s="13">
        <f t="shared" si="1"/>
        <v>10</v>
      </c>
      <c r="E8290" s="13">
        <f t="shared" si="2"/>
        <v>16</v>
      </c>
    </row>
    <row r="8291">
      <c r="A8291" s="4" t="s">
        <v>8902</v>
      </c>
      <c r="B8291" s="16"/>
      <c r="C8291" s="12">
        <f>IFERROR(__xludf.DUMMYFUNCTION("""COMPUTED_VALUE"""),44630.679456018515)</f>
        <v>44630.67946</v>
      </c>
      <c r="D8291" s="13">
        <f t="shared" si="1"/>
        <v>10</v>
      </c>
      <c r="E8291" s="13">
        <f t="shared" si="2"/>
        <v>16</v>
      </c>
    </row>
    <row r="8292">
      <c r="A8292" s="4" t="s">
        <v>8903</v>
      </c>
      <c r="B8292" s="16"/>
      <c r="C8292" s="12">
        <f>IFERROR(__xludf.DUMMYFUNCTION("""COMPUTED_VALUE"""),44630.67754629629)</f>
        <v>44630.67755</v>
      </c>
      <c r="D8292" s="13">
        <f t="shared" si="1"/>
        <v>10</v>
      </c>
      <c r="E8292" s="13">
        <f t="shared" si="2"/>
        <v>16</v>
      </c>
    </row>
    <row r="8293">
      <c r="A8293" s="4" t="s">
        <v>8904</v>
      </c>
      <c r="B8293" s="16"/>
      <c r="C8293" s="12">
        <f>IFERROR(__xludf.DUMMYFUNCTION("""COMPUTED_VALUE"""),44630.67686342592)</f>
        <v>44630.67686</v>
      </c>
      <c r="D8293" s="13">
        <f t="shared" si="1"/>
        <v>10</v>
      </c>
      <c r="E8293" s="13">
        <f t="shared" si="2"/>
        <v>16</v>
      </c>
    </row>
    <row r="8294">
      <c r="A8294" s="4" t="s">
        <v>8905</v>
      </c>
      <c r="B8294" s="16"/>
      <c r="C8294" s="12">
        <f>IFERROR(__xludf.DUMMYFUNCTION("""COMPUTED_VALUE"""),44630.66866898148)</f>
        <v>44630.66867</v>
      </c>
      <c r="D8294" s="13">
        <f t="shared" si="1"/>
        <v>10</v>
      </c>
      <c r="E8294" s="13">
        <f t="shared" si="2"/>
        <v>16</v>
      </c>
    </row>
    <row r="8295">
      <c r="A8295" s="4" t="s">
        <v>8906</v>
      </c>
      <c r="B8295" s="16"/>
      <c r="C8295" s="12">
        <f>IFERROR(__xludf.DUMMYFUNCTION("""COMPUTED_VALUE"""),44630.652870370366)</f>
        <v>44630.65287</v>
      </c>
      <c r="D8295" s="13">
        <f t="shared" si="1"/>
        <v>10</v>
      </c>
      <c r="E8295" s="13">
        <f t="shared" si="2"/>
        <v>15</v>
      </c>
    </row>
    <row r="8296">
      <c r="A8296" s="4" t="s">
        <v>8907</v>
      </c>
      <c r="B8296" s="16"/>
      <c r="C8296" s="12">
        <f>IFERROR(__xludf.DUMMYFUNCTION("""COMPUTED_VALUE"""),44630.620682870365)</f>
        <v>44630.62068</v>
      </c>
      <c r="D8296" s="13">
        <f t="shared" si="1"/>
        <v>10</v>
      </c>
      <c r="E8296" s="13">
        <f t="shared" si="2"/>
        <v>14</v>
      </c>
    </row>
    <row r="8297">
      <c r="A8297" s="4" t="s">
        <v>8908</v>
      </c>
      <c r="B8297" s="16"/>
      <c r="C8297" s="12">
        <f>IFERROR(__xludf.DUMMYFUNCTION("""COMPUTED_VALUE"""),44630.615706018514)</f>
        <v>44630.61571</v>
      </c>
      <c r="D8297" s="13">
        <f t="shared" si="1"/>
        <v>10</v>
      </c>
      <c r="E8297" s="13">
        <f t="shared" si="2"/>
        <v>14</v>
      </c>
    </row>
    <row r="8298">
      <c r="A8298" s="4" t="s">
        <v>8909</v>
      </c>
      <c r="B8298" s="16"/>
      <c r="C8298" s="12">
        <f>IFERROR(__xludf.DUMMYFUNCTION("""COMPUTED_VALUE"""),44630.61444444444)</f>
        <v>44630.61444</v>
      </c>
      <c r="D8298" s="13">
        <f t="shared" si="1"/>
        <v>10</v>
      </c>
      <c r="E8298" s="13">
        <f t="shared" si="2"/>
        <v>14</v>
      </c>
    </row>
    <row r="8299">
      <c r="A8299" s="4" t="s">
        <v>8910</v>
      </c>
      <c r="B8299" s="16"/>
      <c r="C8299" s="12">
        <f>IFERROR(__xludf.DUMMYFUNCTION("""COMPUTED_VALUE"""),44630.600590277776)</f>
        <v>44630.60059</v>
      </c>
      <c r="D8299" s="13">
        <f t="shared" si="1"/>
        <v>10</v>
      </c>
      <c r="E8299" s="13">
        <f t="shared" si="2"/>
        <v>14</v>
      </c>
    </row>
    <row r="8300">
      <c r="A8300" s="4" t="s">
        <v>8911</v>
      </c>
      <c r="B8300" s="16"/>
      <c r="C8300" s="12">
        <f>IFERROR(__xludf.DUMMYFUNCTION("""COMPUTED_VALUE"""),44630.578680555554)</f>
        <v>44630.57868</v>
      </c>
      <c r="D8300" s="13">
        <f t="shared" si="1"/>
        <v>10</v>
      </c>
      <c r="E8300" s="13">
        <f t="shared" si="2"/>
        <v>13</v>
      </c>
    </row>
    <row r="8301">
      <c r="A8301" s="4" t="s">
        <v>8912</v>
      </c>
      <c r="B8301" s="16"/>
      <c r="C8301" s="12">
        <f>IFERROR(__xludf.DUMMYFUNCTION("""COMPUTED_VALUE"""),44630.56732638889)</f>
        <v>44630.56733</v>
      </c>
      <c r="D8301" s="13">
        <f t="shared" si="1"/>
        <v>10</v>
      </c>
      <c r="E8301" s="13">
        <f t="shared" si="2"/>
        <v>13</v>
      </c>
    </row>
    <row r="8302">
      <c r="A8302" s="4" t="s">
        <v>8913</v>
      </c>
      <c r="B8302" s="16"/>
      <c r="C8302" s="12">
        <f>IFERROR(__xludf.DUMMYFUNCTION("""COMPUTED_VALUE"""),44630.54344907407)</f>
        <v>44630.54345</v>
      </c>
      <c r="D8302" s="13">
        <f t="shared" si="1"/>
        <v>10</v>
      </c>
      <c r="E8302" s="13">
        <f t="shared" si="2"/>
        <v>13</v>
      </c>
    </row>
    <row r="8303">
      <c r="A8303" s="4" t="s">
        <v>8914</v>
      </c>
      <c r="B8303" s="16"/>
      <c r="C8303" s="12">
        <f>IFERROR(__xludf.DUMMYFUNCTION("""COMPUTED_VALUE"""),44630.538310185184)</f>
        <v>44630.53831</v>
      </c>
      <c r="D8303" s="13">
        <f t="shared" si="1"/>
        <v>10</v>
      </c>
      <c r="E8303" s="13">
        <f t="shared" si="2"/>
        <v>12</v>
      </c>
    </row>
    <row r="8304">
      <c r="A8304" s="4" t="s">
        <v>8915</v>
      </c>
      <c r="B8304" s="16"/>
      <c r="C8304" s="12">
        <f>IFERROR(__xludf.DUMMYFUNCTION("""COMPUTED_VALUE"""),44630.53480324074)</f>
        <v>44630.5348</v>
      </c>
      <c r="D8304" s="13">
        <f t="shared" si="1"/>
        <v>10</v>
      </c>
      <c r="E8304" s="13">
        <f t="shared" si="2"/>
        <v>12</v>
      </c>
    </row>
    <row r="8305">
      <c r="A8305" s="4" t="s">
        <v>8916</v>
      </c>
      <c r="B8305" s="16"/>
      <c r="C8305" s="12">
        <f>IFERROR(__xludf.DUMMYFUNCTION("""COMPUTED_VALUE"""),44630.53440972222)</f>
        <v>44630.53441</v>
      </c>
      <c r="D8305" s="13">
        <f t="shared" si="1"/>
        <v>10</v>
      </c>
      <c r="E8305" s="13">
        <f t="shared" si="2"/>
        <v>12</v>
      </c>
    </row>
    <row r="8306">
      <c r="A8306" s="4" t="s">
        <v>8917</v>
      </c>
      <c r="B8306" s="16"/>
      <c r="C8306" s="12">
        <f>IFERROR(__xludf.DUMMYFUNCTION("""COMPUTED_VALUE"""),44630.52997685185)</f>
        <v>44630.52998</v>
      </c>
      <c r="D8306" s="13">
        <f t="shared" si="1"/>
        <v>10</v>
      </c>
      <c r="E8306" s="13">
        <f t="shared" si="2"/>
        <v>12</v>
      </c>
    </row>
    <row r="8307">
      <c r="A8307" s="4" t="s">
        <v>8918</v>
      </c>
      <c r="B8307" s="16"/>
      <c r="C8307" s="12">
        <f>IFERROR(__xludf.DUMMYFUNCTION("""COMPUTED_VALUE"""),44630.52153935185)</f>
        <v>44630.52154</v>
      </c>
      <c r="D8307" s="13">
        <f t="shared" si="1"/>
        <v>10</v>
      </c>
      <c r="E8307" s="13">
        <f t="shared" si="2"/>
        <v>12</v>
      </c>
    </row>
    <row r="8308">
      <c r="A8308" s="4" t="s">
        <v>8919</v>
      </c>
      <c r="B8308" s="16"/>
      <c r="C8308" s="12">
        <f>IFERROR(__xludf.DUMMYFUNCTION("""COMPUTED_VALUE"""),44630.52128472222)</f>
        <v>44630.52128</v>
      </c>
      <c r="D8308" s="13">
        <f t="shared" si="1"/>
        <v>10</v>
      </c>
      <c r="E8308" s="13">
        <f t="shared" si="2"/>
        <v>12</v>
      </c>
    </row>
    <row r="8309">
      <c r="A8309" s="4" t="s">
        <v>8920</v>
      </c>
      <c r="B8309" s="16"/>
      <c r="C8309" s="12">
        <f>IFERROR(__xludf.DUMMYFUNCTION("""COMPUTED_VALUE"""),44630.515625)</f>
        <v>44630.51563</v>
      </c>
      <c r="D8309" s="13">
        <f t="shared" si="1"/>
        <v>10</v>
      </c>
      <c r="E8309" s="13">
        <f t="shared" si="2"/>
        <v>12</v>
      </c>
    </row>
    <row r="8310">
      <c r="A8310" s="4" t="s">
        <v>8921</v>
      </c>
      <c r="B8310" s="16"/>
      <c r="C8310" s="12">
        <f>IFERROR(__xludf.DUMMYFUNCTION("""COMPUTED_VALUE"""),44630.507384259254)</f>
        <v>44630.50738</v>
      </c>
      <c r="D8310" s="13">
        <f t="shared" si="1"/>
        <v>10</v>
      </c>
      <c r="E8310" s="13">
        <f t="shared" si="2"/>
        <v>12</v>
      </c>
    </row>
    <row r="8311">
      <c r="A8311" s="4" t="s">
        <v>8922</v>
      </c>
      <c r="B8311" s="16"/>
      <c r="C8311" s="12">
        <f>IFERROR(__xludf.DUMMYFUNCTION("""COMPUTED_VALUE"""),44630.50711805555)</f>
        <v>44630.50712</v>
      </c>
      <c r="D8311" s="13">
        <f t="shared" si="1"/>
        <v>10</v>
      </c>
      <c r="E8311" s="13">
        <f t="shared" si="2"/>
        <v>12</v>
      </c>
    </row>
    <row r="8312">
      <c r="A8312" s="4" t="s">
        <v>8923</v>
      </c>
      <c r="B8312" s="16"/>
      <c r="C8312" s="12">
        <f>IFERROR(__xludf.DUMMYFUNCTION("""COMPUTED_VALUE"""),44630.50206018518)</f>
        <v>44630.50206</v>
      </c>
      <c r="D8312" s="13">
        <f t="shared" si="1"/>
        <v>10</v>
      </c>
      <c r="E8312" s="13">
        <f t="shared" si="2"/>
        <v>12</v>
      </c>
    </row>
    <row r="8313">
      <c r="A8313" s="4" t="s">
        <v>8924</v>
      </c>
      <c r="B8313" s="16"/>
      <c r="C8313" s="12">
        <f>IFERROR(__xludf.DUMMYFUNCTION("""COMPUTED_VALUE"""),44630.47961805555)</f>
        <v>44630.47962</v>
      </c>
      <c r="D8313" s="13">
        <f t="shared" si="1"/>
        <v>10</v>
      </c>
      <c r="E8313" s="13">
        <f t="shared" si="2"/>
        <v>11</v>
      </c>
    </row>
    <row r="8314">
      <c r="A8314" s="4" t="s">
        <v>8925</v>
      </c>
      <c r="B8314" s="16"/>
      <c r="C8314" s="12">
        <f>IFERROR(__xludf.DUMMYFUNCTION("""COMPUTED_VALUE"""),44630.477858796294)</f>
        <v>44630.47786</v>
      </c>
      <c r="D8314" s="13">
        <f t="shared" si="1"/>
        <v>10</v>
      </c>
      <c r="E8314" s="13">
        <f t="shared" si="2"/>
        <v>11</v>
      </c>
    </row>
    <row r="8315">
      <c r="A8315" s="4" t="s">
        <v>8926</v>
      </c>
      <c r="B8315" s="16"/>
      <c r="C8315" s="12">
        <f>IFERROR(__xludf.DUMMYFUNCTION("""COMPUTED_VALUE"""),44630.44577546296)</f>
        <v>44630.44578</v>
      </c>
      <c r="D8315" s="13">
        <f t="shared" si="1"/>
        <v>10</v>
      </c>
      <c r="E8315" s="13">
        <f t="shared" si="2"/>
        <v>10</v>
      </c>
    </row>
    <row r="8316">
      <c r="A8316" s="4" t="s">
        <v>8927</v>
      </c>
      <c r="B8316" s="16"/>
      <c r="C8316" s="12">
        <f>IFERROR(__xludf.DUMMYFUNCTION("""COMPUTED_VALUE"""),44630.432662037034)</f>
        <v>44630.43266</v>
      </c>
      <c r="D8316" s="13">
        <f t="shared" si="1"/>
        <v>10</v>
      </c>
      <c r="E8316" s="13">
        <f t="shared" si="2"/>
        <v>10</v>
      </c>
    </row>
    <row r="8317">
      <c r="A8317" s="4" t="s">
        <v>8928</v>
      </c>
      <c r="B8317" s="16"/>
      <c r="C8317" s="12">
        <f>IFERROR(__xludf.DUMMYFUNCTION("""COMPUTED_VALUE"""),44630.43040509259)</f>
        <v>44630.43041</v>
      </c>
      <c r="D8317" s="13">
        <f t="shared" si="1"/>
        <v>10</v>
      </c>
      <c r="E8317" s="13">
        <f t="shared" si="2"/>
        <v>10</v>
      </c>
    </row>
    <row r="8318">
      <c r="A8318" s="4" t="s">
        <v>8929</v>
      </c>
      <c r="B8318" s="16"/>
      <c r="C8318" s="12">
        <f>IFERROR(__xludf.DUMMYFUNCTION("""COMPUTED_VALUE"""),44630.40702546296)</f>
        <v>44630.40703</v>
      </c>
      <c r="D8318" s="13">
        <f t="shared" si="1"/>
        <v>10</v>
      </c>
      <c r="E8318" s="13">
        <f t="shared" si="2"/>
        <v>9</v>
      </c>
    </row>
    <row r="8319">
      <c r="A8319" s="4" t="s">
        <v>8930</v>
      </c>
      <c r="B8319" s="16"/>
      <c r="C8319" s="12">
        <f>IFERROR(__xludf.DUMMYFUNCTION("""COMPUTED_VALUE"""),44630.3933449074)</f>
        <v>44630.39334</v>
      </c>
      <c r="D8319" s="13">
        <f t="shared" si="1"/>
        <v>10</v>
      </c>
      <c r="E8319" s="13">
        <f t="shared" si="2"/>
        <v>9</v>
      </c>
    </row>
    <row r="8320">
      <c r="A8320" s="4" t="s">
        <v>8931</v>
      </c>
      <c r="B8320" s="16"/>
      <c r="C8320" s="12">
        <f>IFERROR(__xludf.DUMMYFUNCTION("""COMPUTED_VALUE"""),44630.38670138889)</f>
        <v>44630.3867</v>
      </c>
      <c r="D8320" s="13">
        <f t="shared" si="1"/>
        <v>10</v>
      </c>
      <c r="E8320" s="13">
        <f t="shared" si="2"/>
        <v>9</v>
      </c>
    </row>
    <row r="8321">
      <c r="A8321" s="4" t="s">
        <v>8932</v>
      </c>
      <c r="B8321" s="16"/>
      <c r="C8321" s="12">
        <f>IFERROR(__xludf.DUMMYFUNCTION("""COMPUTED_VALUE"""),44630.37753472222)</f>
        <v>44630.37753</v>
      </c>
      <c r="D8321" s="13">
        <f t="shared" si="1"/>
        <v>10</v>
      </c>
      <c r="E8321" s="13">
        <f t="shared" si="2"/>
        <v>9</v>
      </c>
    </row>
    <row r="8322">
      <c r="A8322" s="4" t="s">
        <v>8933</v>
      </c>
      <c r="B8322" s="16"/>
      <c r="C8322" s="12">
        <f>IFERROR(__xludf.DUMMYFUNCTION("""COMPUTED_VALUE"""),44630.37405092592)</f>
        <v>44630.37405</v>
      </c>
      <c r="D8322" s="13">
        <f t="shared" si="1"/>
        <v>10</v>
      </c>
      <c r="E8322" s="13">
        <f t="shared" si="2"/>
        <v>8</v>
      </c>
    </row>
    <row r="8323">
      <c r="A8323" s="4" t="s">
        <v>8934</v>
      </c>
      <c r="B8323" s="16"/>
      <c r="C8323" s="12">
        <f>IFERROR(__xludf.DUMMYFUNCTION("""COMPUTED_VALUE"""),44630.36398148148)</f>
        <v>44630.36398</v>
      </c>
      <c r="D8323" s="13">
        <f t="shared" si="1"/>
        <v>10</v>
      </c>
      <c r="E8323" s="13">
        <f t="shared" si="2"/>
        <v>8</v>
      </c>
    </row>
    <row r="8324">
      <c r="A8324" s="4" t="s">
        <v>8935</v>
      </c>
      <c r="B8324" s="16"/>
      <c r="C8324" s="12">
        <f>IFERROR(__xludf.DUMMYFUNCTION("""COMPUTED_VALUE"""),44630.318564814814)</f>
        <v>44630.31856</v>
      </c>
      <c r="D8324" s="13">
        <f t="shared" si="1"/>
        <v>10</v>
      </c>
      <c r="E8324" s="13">
        <f t="shared" si="2"/>
        <v>7</v>
      </c>
    </row>
    <row r="8325">
      <c r="A8325" s="4" t="s">
        <v>8936</v>
      </c>
      <c r="B8325" s="16"/>
      <c r="C8325" s="12">
        <f>IFERROR(__xludf.DUMMYFUNCTION("""COMPUTED_VALUE"""),44630.15615740741)</f>
        <v>44630.15616</v>
      </c>
      <c r="D8325" s="13">
        <f t="shared" si="1"/>
        <v>10</v>
      </c>
      <c r="E8325" s="13">
        <f t="shared" si="2"/>
        <v>3</v>
      </c>
    </row>
    <row r="8326">
      <c r="A8326" s="4" t="s">
        <v>8937</v>
      </c>
      <c r="B8326" s="16"/>
      <c r="C8326" s="12">
        <f>IFERROR(__xludf.DUMMYFUNCTION("""COMPUTED_VALUE"""),44630.15190972222)</f>
        <v>44630.15191</v>
      </c>
      <c r="D8326" s="13">
        <f t="shared" si="1"/>
        <v>10</v>
      </c>
      <c r="E8326" s="13">
        <f t="shared" si="2"/>
        <v>3</v>
      </c>
    </row>
    <row r="8327">
      <c r="A8327" s="4" t="s">
        <v>8938</v>
      </c>
      <c r="B8327" s="16"/>
      <c r="C8327" s="12">
        <f>IFERROR(__xludf.DUMMYFUNCTION("""COMPUTED_VALUE"""),44630.13657407407)</f>
        <v>44630.13657</v>
      </c>
      <c r="D8327" s="13">
        <f t="shared" si="1"/>
        <v>10</v>
      </c>
      <c r="E8327" s="13">
        <f t="shared" si="2"/>
        <v>3</v>
      </c>
    </row>
    <row r="8328">
      <c r="A8328" s="4" t="s">
        <v>8939</v>
      </c>
      <c r="B8328" s="16"/>
      <c r="C8328" s="12">
        <f>IFERROR(__xludf.DUMMYFUNCTION("""COMPUTED_VALUE"""),44630.079884259256)</f>
        <v>44630.07988</v>
      </c>
      <c r="D8328" s="13">
        <f t="shared" si="1"/>
        <v>10</v>
      </c>
      <c r="E8328" s="13">
        <f t="shared" si="2"/>
        <v>1</v>
      </c>
    </row>
    <row r="8329">
      <c r="A8329" s="4" t="s">
        <v>8940</v>
      </c>
      <c r="B8329" s="16"/>
      <c r="C8329" s="12">
        <f>IFERROR(__xludf.DUMMYFUNCTION("""COMPUTED_VALUE"""),44630.00554398148)</f>
        <v>44630.00554</v>
      </c>
      <c r="D8329" s="13">
        <f t="shared" si="1"/>
        <v>10</v>
      </c>
      <c r="E8329" s="13">
        <f t="shared" si="2"/>
        <v>0</v>
      </c>
    </row>
    <row r="8330">
      <c r="A8330" s="4" t="s">
        <v>8941</v>
      </c>
      <c r="B8330" s="16"/>
      <c r="C8330" s="12">
        <f>IFERROR(__xludf.DUMMYFUNCTION("""COMPUTED_VALUE"""),44629.99763888889)</f>
        <v>44629.99764</v>
      </c>
      <c r="D8330" s="13">
        <f t="shared" si="1"/>
        <v>9</v>
      </c>
      <c r="E8330" s="13">
        <f t="shared" si="2"/>
        <v>23</v>
      </c>
    </row>
    <row r="8331">
      <c r="A8331" s="4" t="s">
        <v>8942</v>
      </c>
      <c r="B8331" s="16"/>
      <c r="C8331" s="12">
        <f>IFERROR(__xludf.DUMMYFUNCTION("""COMPUTED_VALUE"""),44629.96706018518)</f>
        <v>44629.96706</v>
      </c>
      <c r="D8331" s="13">
        <f t="shared" si="1"/>
        <v>9</v>
      </c>
      <c r="E8331" s="13">
        <f t="shared" si="2"/>
        <v>23</v>
      </c>
    </row>
    <row r="8332">
      <c r="A8332" s="4" t="s">
        <v>8943</v>
      </c>
      <c r="B8332" s="16"/>
      <c r="C8332" s="12">
        <f>IFERROR(__xludf.DUMMYFUNCTION("""COMPUTED_VALUE"""),44629.95930555555)</f>
        <v>44629.95931</v>
      </c>
      <c r="D8332" s="13">
        <f t="shared" si="1"/>
        <v>9</v>
      </c>
      <c r="E8332" s="13">
        <f t="shared" si="2"/>
        <v>23</v>
      </c>
    </row>
    <row r="8333">
      <c r="A8333" s="4" t="s">
        <v>8944</v>
      </c>
      <c r="B8333" s="16"/>
      <c r="C8333" s="12">
        <f>IFERROR(__xludf.DUMMYFUNCTION("""COMPUTED_VALUE"""),44629.943032407406)</f>
        <v>44629.94303</v>
      </c>
      <c r="D8333" s="13">
        <f t="shared" si="1"/>
        <v>9</v>
      </c>
      <c r="E8333" s="13">
        <f t="shared" si="2"/>
        <v>22</v>
      </c>
    </row>
    <row r="8334">
      <c r="A8334" s="4" t="s">
        <v>8945</v>
      </c>
      <c r="B8334" s="16"/>
      <c r="C8334" s="12">
        <f>IFERROR(__xludf.DUMMYFUNCTION("""COMPUTED_VALUE"""),44629.90478009259)</f>
        <v>44629.90478</v>
      </c>
      <c r="D8334" s="13">
        <f t="shared" si="1"/>
        <v>9</v>
      </c>
      <c r="E8334" s="13">
        <f t="shared" si="2"/>
        <v>21</v>
      </c>
    </row>
    <row r="8335">
      <c r="A8335" s="4" t="s">
        <v>8946</v>
      </c>
      <c r="B8335" s="16"/>
      <c r="C8335" s="12">
        <f>IFERROR(__xludf.DUMMYFUNCTION("""COMPUTED_VALUE"""),44629.90256944444)</f>
        <v>44629.90257</v>
      </c>
      <c r="D8335" s="13">
        <f t="shared" si="1"/>
        <v>9</v>
      </c>
      <c r="E8335" s="13">
        <f t="shared" si="2"/>
        <v>21</v>
      </c>
    </row>
    <row r="8336">
      <c r="A8336" s="4" t="s">
        <v>8947</v>
      </c>
      <c r="B8336" s="16"/>
      <c r="C8336" s="12">
        <f>IFERROR(__xludf.DUMMYFUNCTION("""COMPUTED_VALUE"""),44629.90174768518)</f>
        <v>44629.90175</v>
      </c>
      <c r="D8336" s="13">
        <f t="shared" si="1"/>
        <v>9</v>
      </c>
      <c r="E8336" s="13">
        <f t="shared" si="2"/>
        <v>21</v>
      </c>
    </row>
    <row r="8337">
      <c r="A8337" s="4" t="s">
        <v>8948</v>
      </c>
      <c r="B8337" s="16"/>
      <c r="C8337" s="12">
        <f>IFERROR(__xludf.DUMMYFUNCTION("""COMPUTED_VALUE"""),44629.90013888889)</f>
        <v>44629.90014</v>
      </c>
      <c r="D8337" s="13">
        <f t="shared" si="1"/>
        <v>9</v>
      </c>
      <c r="E8337" s="13">
        <f t="shared" si="2"/>
        <v>21</v>
      </c>
    </row>
    <row r="8338">
      <c r="A8338" s="4" t="s">
        <v>8949</v>
      </c>
      <c r="B8338" s="16"/>
      <c r="C8338" s="12">
        <f>IFERROR(__xludf.DUMMYFUNCTION("""COMPUTED_VALUE"""),44629.90010416666)</f>
        <v>44629.9001</v>
      </c>
      <c r="D8338" s="13">
        <f t="shared" si="1"/>
        <v>9</v>
      </c>
      <c r="E8338" s="13">
        <f t="shared" si="2"/>
        <v>21</v>
      </c>
    </row>
    <row r="8339">
      <c r="A8339" s="4" t="s">
        <v>8950</v>
      </c>
      <c r="B8339" s="16"/>
      <c r="C8339" s="12">
        <f>IFERROR(__xludf.DUMMYFUNCTION("""COMPUTED_VALUE"""),44629.898946759255)</f>
        <v>44629.89895</v>
      </c>
      <c r="D8339" s="13">
        <f t="shared" si="1"/>
        <v>9</v>
      </c>
      <c r="E8339" s="13">
        <f t="shared" si="2"/>
        <v>21</v>
      </c>
    </row>
    <row r="8340">
      <c r="A8340" s="4" t="s">
        <v>8951</v>
      </c>
      <c r="B8340" s="16"/>
      <c r="C8340" s="12">
        <f>IFERROR(__xludf.DUMMYFUNCTION("""COMPUTED_VALUE"""),44629.897326388884)</f>
        <v>44629.89733</v>
      </c>
      <c r="D8340" s="13">
        <f t="shared" si="1"/>
        <v>9</v>
      </c>
      <c r="E8340" s="13">
        <f t="shared" si="2"/>
        <v>21</v>
      </c>
    </row>
    <row r="8341">
      <c r="A8341" s="4" t="s">
        <v>8952</v>
      </c>
      <c r="B8341" s="16"/>
      <c r="C8341" s="12">
        <f>IFERROR(__xludf.DUMMYFUNCTION("""COMPUTED_VALUE"""),44629.89630787037)</f>
        <v>44629.89631</v>
      </c>
      <c r="D8341" s="13">
        <f t="shared" si="1"/>
        <v>9</v>
      </c>
      <c r="E8341" s="13">
        <f t="shared" si="2"/>
        <v>21</v>
      </c>
    </row>
    <row r="8342">
      <c r="A8342" s="4" t="s">
        <v>8953</v>
      </c>
      <c r="B8342" s="16"/>
      <c r="C8342" s="12">
        <f>IFERROR(__xludf.DUMMYFUNCTION("""COMPUTED_VALUE"""),44629.89605324074)</f>
        <v>44629.89605</v>
      </c>
      <c r="D8342" s="13">
        <f t="shared" si="1"/>
        <v>9</v>
      </c>
      <c r="E8342" s="13">
        <f t="shared" si="2"/>
        <v>21</v>
      </c>
    </row>
    <row r="8343">
      <c r="A8343" s="4" t="s">
        <v>8954</v>
      </c>
      <c r="B8343" s="16"/>
      <c r="C8343" s="12">
        <f>IFERROR(__xludf.DUMMYFUNCTION("""COMPUTED_VALUE"""),44629.88967592592)</f>
        <v>44629.88968</v>
      </c>
      <c r="D8343" s="13">
        <f t="shared" si="1"/>
        <v>9</v>
      </c>
      <c r="E8343" s="13">
        <f t="shared" si="2"/>
        <v>21</v>
      </c>
    </row>
    <row r="8344">
      <c r="A8344" s="4" t="s">
        <v>8955</v>
      </c>
      <c r="B8344" s="16"/>
      <c r="C8344" s="12">
        <f>IFERROR(__xludf.DUMMYFUNCTION("""COMPUTED_VALUE"""),44629.88854166667)</f>
        <v>44629.88854</v>
      </c>
      <c r="D8344" s="13">
        <f t="shared" si="1"/>
        <v>9</v>
      </c>
      <c r="E8344" s="13">
        <f t="shared" si="2"/>
        <v>21</v>
      </c>
    </row>
    <row r="8345">
      <c r="A8345" s="4" t="s">
        <v>8956</v>
      </c>
      <c r="B8345" s="16"/>
      <c r="C8345" s="12">
        <f>IFERROR(__xludf.DUMMYFUNCTION("""COMPUTED_VALUE"""),44629.887037037035)</f>
        <v>44629.88704</v>
      </c>
      <c r="D8345" s="13">
        <f t="shared" si="1"/>
        <v>9</v>
      </c>
      <c r="E8345" s="13">
        <f t="shared" si="2"/>
        <v>21</v>
      </c>
    </row>
    <row r="8346">
      <c r="A8346" s="4" t="s">
        <v>8957</v>
      </c>
      <c r="B8346" s="16"/>
      <c r="C8346" s="12">
        <f>IFERROR(__xludf.DUMMYFUNCTION("""COMPUTED_VALUE"""),44629.88145833333)</f>
        <v>44629.88146</v>
      </c>
      <c r="D8346" s="13">
        <f t="shared" si="1"/>
        <v>9</v>
      </c>
      <c r="E8346" s="13">
        <f t="shared" si="2"/>
        <v>21</v>
      </c>
    </row>
    <row r="8347">
      <c r="A8347" s="4" t="s">
        <v>8958</v>
      </c>
      <c r="B8347" s="16"/>
      <c r="C8347" s="12">
        <f>IFERROR(__xludf.DUMMYFUNCTION("""COMPUTED_VALUE"""),44629.842268518514)</f>
        <v>44629.84227</v>
      </c>
      <c r="D8347" s="13">
        <f t="shared" si="1"/>
        <v>9</v>
      </c>
      <c r="E8347" s="13">
        <f t="shared" si="2"/>
        <v>20</v>
      </c>
    </row>
    <row r="8348">
      <c r="A8348" s="4" t="s">
        <v>8959</v>
      </c>
      <c r="B8348" s="16"/>
      <c r="C8348" s="12">
        <f>IFERROR(__xludf.DUMMYFUNCTION("""COMPUTED_VALUE"""),44629.813738425924)</f>
        <v>44629.81374</v>
      </c>
      <c r="D8348" s="13">
        <f t="shared" si="1"/>
        <v>9</v>
      </c>
      <c r="E8348" s="13">
        <f t="shared" si="2"/>
        <v>19</v>
      </c>
    </row>
    <row r="8349">
      <c r="A8349" s="4" t="s">
        <v>8960</v>
      </c>
      <c r="B8349" s="16"/>
      <c r="C8349" s="12">
        <f>IFERROR(__xludf.DUMMYFUNCTION("""COMPUTED_VALUE"""),44629.81060185185)</f>
        <v>44629.8106</v>
      </c>
      <c r="D8349" s="13">
        <f t="shared" si="1"/>
        <v>9</v>
      </c>
      <c r="E8349" s="13">
        <f t="shared" si="2"/>
        <v>19</v>
      </c>
    </row>
    <row r="8350">
      <c r="A8350" s="4" t="s">
        <v>8961</v>
      </c>
      <c r="B8350" s="16"/>
      <c r="C8350" s="12">
        <f>IFERROR(__xludf.DUMMYFUNCTION("""COMPUTED_VALUE"""),44629.79090277778)</f>
        <v>44629.7909</v>
      </c>
      <c r="D8350" s="13">
        <f t="shared" si="1"/>
        <v>9</v>
      </c>
      <c r="E8350" s="13">
        <f t="shared" si="2"/>
        <v>18</v>
      </c>
    </row>
    <row r="8351">
      <c r="A8351" s="4" t="s">
        <v>8962</v>
      </c>
      <c r="B8351" s="16"/>
      <c r="C8351" s="12">
        <f>IFERROR(__xludf.DUMMYFUNCTION("""COMPUTED_VALUE"""),44629.77836805555)</f>
        <v>44629.77837</v>
      </c>
      <c r="D8351" s="13">
        <f t="shared" si="1"/>
        <v>9</v>
      </c>
      <c r="E8351" s="13">
        <f t="shared" si="2"/>
        <v>18</v>
      </c>
    </row>
    <row r="8352">
      <c r="A8352" s="4" t="s">
        <v>8963</v>
      </c>
      <c r="B8352" s="16"/>
      <c r="C8352" s="12">
        <f>IFERROR(__xludf.DUMMYFUNCTION("""COMPUTED_VALUE"""),44629.77384259259)</f>
        <v>44629.77384</v>
      </c>
      <c r="D8352" s="13">
        <f t="shared" si="1"/>
        <v>9</v>
      </c>
      <c r="E8352" s="13">
        <f t="shared" si="2"/>
        <v>18</v>
      </c>
    </row>
    <row r="8353">
      <c r="A8353" s="4" t="s">
        <v>8964</v>
      </c>
      <c r="B8353" s="16"/>
      <c r="C8353" s="12">
        <f>IFERROR(__xludf.DUMMYFUNCTION("""COMPUTED_VALUE"""),44629.77265046296)</f>
        <v>44629.77265</v>
      </c>
      <c r="D8353" s="13">
        <f t="shared" si="1"/>
        <v>9</v>
      </c>
      <c r="E8353" s="13">
        <f t="shared" si="2"/>
        <v>18</v>
      </c>
    </row>
    <row r="8354">
      <c r="A8354" s="4" t="s">
        <v>8965</v>
      </c>
      <c r="B8354" s="16"/>
      <c r="C8354" s="12">
        <f>IFERROR(__xludf.DUMMYFUNCTION("""COMPUTED_VALUE"""),44629.75436342592)</f>
        <v>44629.75436</v>
      </c>
      <c r="D8354" s="13">
        <f t="shared" si="1"/>
        <v>9</v>
      </c>
      <c r="E8354" s="13">
        <f t="shared" si="2"/>
        <v>18</v>
      </c>
    </row>
    <row r="8355">
      <c r="A8355" s="4" t="s">
        <v>8966</v>
      </c>
      <c r="B8355" s="16"/>
      <c r="C8355" s="12">
        <f>IFERROR(__xludf.DUMMYFUNCTION("""COMPUTED_VALUE"""),44629.751504629625)</f>
        <v>44629.7515</v>
      </c>
      <c r="D8355" s="13">
        <f t="shared" si="1"/>
        <v>9</v>
      </c>
      <c r="E8355" s="13">
        <f t="shared" si="2"/>
        <v>18</v>
      </c>
    </row>
    <row r="8356">
      <c r="A8356" s="4" t="s">
        <v>8967</v>
      </c>
      <c r="B8356" s="16"/>
      <c r="C8356" s="12">
        <f>IFERROR(__xludf.DUMMYFUNCTION("""COMPUTED_VALUE"""),44629.74429398148)</f>
        <v>44629.74429</v>
      </c>
      <c r="D8356" s="13">
        <f t="shared" si="1"/>
        <v>9</v>
      </c>
      <c r="E8356" s="13">
        <f t="shared" si="2"/>
        <v>17</v>
      </c>
    </row>
    <row r="8357">
      <c r="A8357" s="4" t="s">
        <v>8968</v>
      </c>
      <c r="B8357" s="16"/>
      <c r="C8357" s="12">
        <f>IFERROR(__xludf.DUMMYFUNCTION("""COMPUTED_VALUE"""),44629.73353009259)</f>
        <v>44629.73353</v>
      </c>
      <c r="D8357" s="13">
        <f t="shared" si="1"/>
        <v>9</v>
      </c>
      <c r="E8357" s="13">
        <f t="shared" si="2"/>
        <v>17</v>
      </c>
    </row>
    <row r="8358">
      <c r="A8358" s="4" t="s">
        <v>8969</v>
      </c>
      <c r="B8358" s="16"/>
      <c r="C8358" s="12">
        <f>IFERROR(__xludf.DUMMYFUNCTION("""COMPUTED_VALUE"""),44629.73040509259)</f>
        <v>44629.73041</v>
      </c>
      <c r="D8358" s="13">
        <f t="shared" si="1"/>
        <v>9</v>
      </c>
      <c r="E8358" s="13">
        <f t="shared" si="2"/>
        <v>17</v>
      </c>
    </row>
    <row r="8359">
      <c r="A8359" s="4" t="s">
        <v>8970</v>
      </c>
      <c r="B8359" s="16"/>
      <c r="C8359" s="12">
        <f>IFERROR(__xludf.DUMMYFUNCTION("""COMPUTED_VALUE"""),44629.72497685185)</f>
        <v>44629.72498</v>
      </c>
      <c r="D8359" s="13">
        <f t="shared" si="1"/>
        <v>9</v>
      </c>
      <c r="E8359" s="13">
        <f t="shared" si="2"/>
        <v>17</v>
      </c>
    </row>
    <row r="8360">
      <c r="A8360" s="4" t="s">
        <v>8971</v>
      </c>
      <c r="B8360" s="16"/>
      <c r="C8360" s="12">
        <f>IFERROR(__xludf.DUMMYFUNCTION("""COMPUTED_VALUE"""),44629.68986111111)</f>
        <v>44629.68986</v>
      </c>
      <c r="D8360" s="13">
        <f t="shared" si="1"/>
        <v>9</v>
      </c>
      <c r="E8360" s="13">
        <f t="shared" si="2"/>
        <v>16</v>
      </c>
    </row>
    <row r="8361">
      <c r="A8361" s="4" t="s">
        <v>8972</v>
      </c>
      <c r="B8361" s="16"/>
      <c r="C8361" s="12">
        <f>IFERROR(__xludf.DUMMYFUNCTION("""COMPUTED_VALUE"""),44629.68981481481)</f>
        <v>44629.68981</v>
      </c>
      <c r="D8361" s="13">
        <f t="shared" si="1"/>
        <v>9</v>
      </c>
      <c r="E8361" s="13">
        <f t="shared" si="2"/>
        <v>16</v>
      </c>
    </row>
    <row r="8362">
      <c r="A8362" s="4" t="s">
        <v>8973</v>
      </c>
      <c r="B8362" s="16"/>
      <c r="C8362" s="12">
        <f>IFERROR(__xludf.DUMMYFUNCTION("""COMPUTED_VALUE"""),44629.662951388884)</f>
        <v>44629.66295</v>
      </c>
      <c r="D8362" s="13">
        <f t="shared" si="1"/>
        <v>9</v>
      </c>
      <c r="E8362" s="13">
        <f t="shared" si="2"/>
        <v>15</v>
      </c>
    </row>
    <row r="8363">
      <c r="A8363" s="4" t="s">
        <v>8974</v>
      </c>
      <c r="B8363" s="16"/>
      <c r="C8363" s="12">
        <f>IFERROR(__xludf.DUMMYFUNCTION("""COMPUTED_VALUE"""),44629.65987268518)</f>
        <v>44629.65987</v>
      </c>
      <c r="D8363" s="13">
        <f t="shared" si="1"/>
        <v>9</v>
      </c>
      <c r="E8363" s="13">
        <f t="shared" si="2"/>
        <v>15</v>
      </c>
    </row>
    <row r="8364">
      <c r="A8364" s="4" t="s">
        <v>8975</v>
      </c>
      <c r="B8364" s="16"/>
      <c r="C8364" s="12">
        <f>IFERROR(__xludf.DUMMYFUNCTION("""COMPUTED_VALUE"""),44629.64457175926)</f>
        <v>44629.64457</v>
      </c>
      <c r="D8364" s="13">
        <f t="shared" si="1"/>
        <v>9</v>
      </c>
      <c r="E8364" s="13">
        <f t="shared" si="2"/>
        <v>15</v>
      </c>
    </row>
    <row r="8365">
      <c r="A8365" s="4" t="s">
        <v>8976</v>
      </c>
      <c r="B8365" s="16"/>
      <c r="C8365" s="12">
        <f>IFERROR(__xludf.DUMMYFUNCTION("""COMPUTED_VALUE"""),44629.60634259259)</f>
        <v>44629.60634</v>
      </c>
      <c r="D8365" s="13">
        <f t="shared" si="1"/>
        <v>9</v>
      </c>
      <c r="E8365" s="13">
        <f t="shared" si="2"/>
        <v>14</v>
      </c>
    </row>
    <row r="8366">
      <c r="A8366" s="4" t="s">
        <v>8977</v>
      </c>
      <c r="B8366" s="16"/>
      <c r="C8366" s="12">
        <f>IFERROR(__xludf.DUMMYFUNCTION("""COMPUTED_VALUE"""),44629.60461805555)</f>
        <v>44629.60462</v>
      </c>
      <c r="D8366" s="13">
        <f t="shared" si="1"/>
        <v>9</v>
      </c>
      <c r="E8366" s="13">
        <f t="shared" si="2"/>
        <v>14</v>
      </c>
    </row>
    <row r="8367">
      <c r="A8367" s="4" t="s">
        <v>8978</v>
      </c>
      <c r="B8367" s="16"/>
      <c r="C8367" s="12">
        <f>IFERROR(__xludf.DUMMYFUNCTION("""COMPUTED_VALUE"""),44629.598969907405)</f>
        <v>44629.59897</v>
      </c>
      <c r="D8367" s="13">
        <f t="shared" si="1"/>
        <v>9</v>
      </c>
      <c r="E8367" s="13">
        <f t="shared" si="2"/>
        <v>14</v>
      </c>
    </row>
    <row r="8368">
      <c r="A8368" s="4" t="s">
        <v>8979</v>
      </c>
      <c r="B8368" s="16"/>
      <c r="C8368" s="12">
        <f>IFERROR(__xludf.DUMMYFUNCTION("""COMPUTED_VALUE"""),44629.596249999995)</f>
        <v>44629.59625</v>
      </c>
      <c r="D8368" s="13">
        <f t="shared" si="1"/>
        <v>9</v>
      </c>
      <c r="E8368" s="13">
        <f t="shared" si="2"/>
        <v>14</v>
      </c>
    </row>
    <row r="8369">
      <c r="A8369" s="4" t="s">
        <v>8980</v>
      </c>
      <c r="B8369" s="16"/>
      <c r="C8369" s="12">
        <f>IFERROR(__xludf.DUMMYFUNCTION("""COMPUTED_VALUE"""),44629.59342592592)</f>
        <v>44629.59343</v>
      </c>
      <c r="D8369" s="13">
        <f t="shared" si="1"/>
        <v>9</v>
      </c>
      <c r="E8369" s="13">
        <f t="shared" si="2"/>
        <v>14</v>
      </c>
    </row>
    <row r="8370">
      <c r="A8370" s="4" t="s">
        <v>8981</v>
      </c>
      <c r="B8370" s="16"/>
      <c r="C8370" s="12">
        <f>IFERROR(__xludf.DUMMYFUNCTION("""COMPUTED_VALUE"""),44629.592893518515)</f>
        <v>44629.59289</v>
      </c>
      <c r="D8370" s="13">
        <f t="shared" si="1"/>
        <v>9</v>
      </c>
      <c r="E8370" s="13">
        <f t="shared" si="2"/>
        <v>14</v>
      </c>
    </row>
    <row r="8371">
      <c r="A8371" s="4" t="s">
        <v>8982</v>
      </c>
      <c r="B8371" s="16"/>
      <c r="C8371" s="12">
        <f>IFERROR(__xludf.DUMMYFUNCTION("""COMPUTED_VALUE"""),44629.58121527777)</f>
        <v>44629.58122</v>
      </c>
      <c r="D8371" s="13">
        <f t="shared" si="1"/>
        <v>9</v>
      </c>
      <c r="E8371" s="13">
        <f t="shared" si="2"/>
        <v>13</v>
      </c>
    </row>
    <row r="8372">
      <c r="A8372" s="4" t="s">
        <v>8983</v>
      </c>
      <c r="B8372" s="16"/>
      <c r="C8372" s="12">
        <f>IFERROR(__xludf.DUMMYFUNCTION("""COMPUTED_VALUE"""),44629.575798611106)</f>
        <v>44629.5758</v>
      </c>
      <c r="D8372" s="13">
        <f t="shared" si="1"/>
        <v>9</v>
      </c>
      <c r="E8372" s="13">
        <f t="shared" si="2"/>
        <v>13</v>
      </c>
    </row>
    <row r="8373">
      <c r="A8373" s="4" t="s">
        <v>8984</v>
      </c>
      <c r="B8373" s="16"/>
      <c r="C8373" s="12">
        <f>IFERROR(__xludf.DUMMYFUNCTION("""COMPUTED_VALUE"""),44629.546319444446)</f>
        <v>44629.54632</v>
      </c>
      <c r="D8373" s="13">
        <f t="shared" si="1"/>
        <v>9</v>
      </c>
      <c r="E8373" s="13">
        <f t="shared" si="2"/>
        <v>13</v>
      </c>
    </row>
    <row r="8374">
      <c r="A8374" s="4" t="s">
        <v>8985</v>
      </c>
      <c r="B8374" s="16"/>
      <c r="C8374" s="12">
        <f>IFERROR(__xludf.DUMMYFUNCTION("""COMPUTED_VALUE"""),44629.54302083333)</f>
        <v>44629.54302</v>
      </c>
      <c r="D8374" s="13">
        <f t="shared" si="1"/>
        <v>9</v>
      </c>
      <c r="E8374" s="13">
        <f t="shared" si="2"/>
        <v>13</v>
      </c>
    </row>
    <row r="8375">
      <c r="A8375" s="4" t="s">
        <v>8986</v>
      </c>
      <c r="B8375" s="16"/>
      <c r="C8375" s="12">
        <f>IFERROR(__xludf.DUMMYFUNCTION("""COMPUTED_VALUE"""),44629.53748842592)</f>
        <v>44629.53749</v>
      </c>
      <c r="D8375" s="13">
        <f t="shared" si="1"/>
        <v>9</v>
      </c>
      <c r="E8375" s="13">
        <f t="shared" si="2"/>
        <v>12</v>
      </c>
    </row>
    <row r="8376">
      <c r="A8376" s="4" t="s">
        <v>8987</v>
      </c>
      <c r="B8376" s="16"/>
      <c r="C8376" s="12">
        <f>IFERROR(__xludf.DUMMYFUNCTION("""COMPUTED_VALUE"""),44629.53135416666)</f>
        <v>44629.53135</v>
      </c>
      <c r="D8376" s="13">
        <f t="shared" si="1"/>
        <v>9</v>
      </c>
      <c r="E8376" s="13">
        <f t="shared" si="2"/>
        <v>12</v>
      </c>
    </row>
    <row r="8377">
      <c r="A8377" s="4" t="s">
        <v>8988</v>
      </c>
      <c r="B8377" s="16"/>
      <c r="C8377" s="12">
        <f>IFERROR(__xludf.DUMMYFUNCTION("""COMPUTED_VALUE"""),44629.49716435185)</f>
        <v>44629.49716</v>
      </c>
      <c r="D8377" s="13">
        <f t="shared" si="1"/>
        <v>9</v>
      </c>
      <c r="E8377" s="13">
        <f t="shared" si="2"/>
        <v>11</v>
      </c>
    </row>
    <row r="8378">
      <c r="A8378" s="4" t="s">
        <v>8989</v>
      </c>
      <c r="B8378" s="16"/>
      <c r="C8378" s="12">
        <f>IFERROR(__xludf.DUMMYFUNCTION("""COMPUTED_VALUE"""),44629.47383101851)</f>
        <v>44629.47383</v>
      </c>
      <c r="D8378" s="13">
        <f t="shared" si="1"/>
        <v>9</v>
      </c>
      <c r="E8378" s="13">
        <f t="shared" si="2"/>
        <v>11</v>
      </c>
    </row>
    <row r="8379">
      <c r="A8379" s="4" t="s">
        <v>8990</v>
      </c>
      <c r="B8379" s="16"/>
      <c r="C8379" s="12">
        <f>IFERROR(__xludf.DUMMYFUNCTION("""COMPUTED_VALUE"""),44629.45454861111)</f>
        <v>44629.45455</v>
      </c>
      <c r="D8379" s="13">
        <f t="shared" si="1"/>
        <v>9</v>
      </c>
      <c r="E8379" s="13">
        <f t="shared" si="2"/>
        <v>10</v>
      </c>
    </row>
    <row r="8380">
      <c r="A8380" s="4" t="s">
        <v>8991</v>
      </c>
      <c r="B8380" s="16"/>
      <c r="C8380" s="12">
        <f>IFERROR(__xludf.DUMMYFUNCTION("""COMPUTED_VALUE"""),44629.453263888885)</f>
        <v>44629.45326</v>
      </c>
      <c r="D8380" s="13">
        <f t="shared" si="1"/>
        <v>9</v>
      </c>
      <c r="E8380" s="13">
        <f t="shared" si="2"/>
        <v>10</v>
      </c>
    </row>
    <row r="8381">
      <c r="A8381" s="4" t="s">
        <v>8992</v>
      </c>
      <c r="B8381" s="16"/>
      <c r="C8381" s="12">
        <f>IFERROR(__xludf.DUMMYFUNCTION("""COMPUTED_VALUE"""),44629.444664351846)</f>
        <v>44629.44466</v>
      </c>
      <c r="D8381" s="13">
        <f t="shared" si="1"/>
        <v>9</v>
      </c>
      <c r="E8381" s="13">
        <f t="shared" si="2"/>
        <v>10</v>
      </c>
    </row>
    <row r="8382">
      <c r="A8382" s="4" t="s">
        <v>8993</v>
      </c>
      <c r="B8382" s="16"/>
      <c r="C8382" s="12">
        <f>IFERROR(__xludf.DUMMYFUNCTION("""COMPUTED_VALUE"""),44629.41168981481)</f>
        <v>44629.41169</v>
      </c>
      <c r="D8382" s="13">
        <f t="shared" si="1"/>
        <v>9</v>
      </c>
      <c r="E8382" s="13">
        <f t="shared" si="2"/>
        <v>9</v>
      </c>
    </row>
    <row r="8383">
      <c r="A8383" s="4" t="s">
        <v>8994</v>
      </c>
      <c r="B8383" s="16"/>
      <c r="C8383" s="12">
        <f>IFERROR(__xludf.DUMMYFUNCTION("""COMPUTED_VALUE"""),44629.40828703703)</f>
        <v>44629.40829</v>
      </c>
      <c r="D8383" s="13">
        <f t="shared" si="1"/>
        <v>9</v>
      </c>
      <c r="E8383" s="13">
        <f t="shared" si="2"/>
        <v>9</v>
      </c>
    </row>
    <row r="8384">
      <c r="A8384" s="4" t="s">
        <v>8995</v>
      </c>
      <c r="B8384" s="16"/>
      <c r="C8384" s="12">
        <f>IFERROR(__xludf.DUMMYFUNCTION("""COMPUTED_VALUE"""),44629.39165509259)</f>
        <v>44629.39166</v>
      </c>
      <c r="D8384" s="13">
        <f t="shared" si="1"/>
        <v>9</v>
      </c>
      <c r="E8384" s="13">
        <f t="shared" si="2"/>
        <v>9</v>
      </c>
    </row>
    <row r="8385">
      <c r="A8385" s="4" t="s">
        <v>8996</v>
      </c>
      <c r="B8385" s="16"/>
      <c r="C8385" s="12">
        <f>IFERROR(__xludf.DUMMYFUNCTION("""COMPUTED_VALUE"""),44629.32730324074)</f>
        <v>44629.3273</v>
      </c>
      <c r="D8385" s="13">
        <f t="shared" si="1"/>
        <v>9</v>
      </c>
      <c r="E8385" s="13">
        <f t="shared" si="2"/>
        <v>7</v>
      </c>
    </row>
    <row r="8386">
      <c r="A8386" s="4" t="s">
        <v>8997</v>
      </c>
      <c r="B8386" s="16"/>
      <c r="C8386" s="12">
        <f>IFERROR(__xludf.DUMMYFUNCTION("""COMPUTED_VALUE"""),44629.08265046296)</f>
        <v>44629.08265</v>
      </c>
      <c r="D8386" s="13">
        <f t="shared" si="1"/>
        <v>9</v>
      </c>
      <c r="E8386" s="13">
        <f t="shared" si="2"/>
        <v>1</v>
      </c>
    </row>
    <row r="8387">
      <c r="A8387" s="4" t="s">
        <v>8998</v>
      </c>
      <c r="B8387" s="16"/>
      <c r="C8387" s="12">
        <f>IFERROR(__xludf.DUMMYFUNCTION("""COMPUTED_VALUE"""),44629.08037037037)</f>
        <v>44629.08037</v>
      </c>
      <c r="D8387" s="13">
        <f t="shared" si="1"/>
        <v>9</v>
      </c>
      <c r="E8387" s="13">
        <f t="shared" si="2"/>
        <v>1</v>
      </c>
    </row>
    <row r="8388">
      <c r="A8388" s="4" t="s">
        <v>8999</v>
      </c>
      <c r="B8388" s="16"/>
      <c r="C8388" s="12">
        <f>IFERROR(__xludf.DUMMYFUNCTION("""COMPUTED_VALUE"""),44629.035949074074)</f>
        <v>44629.03595</v>
      </c>
      <c r="D8388" s="13">
        <f t="shared" si="1"/>
        <v>9</v>
      </c>
      <c r="E8388" s="13">
        <f t="shared" si="2"/>
        <v>0</v>
      </c>
    </row>
    <row r="8389">
      <c r="A8389" s="4" t="s">
        <v>9000</v>
      </c>
      <c r="B8389" s="16"/>
      <c r="C8389" s="12">
        <f>IFERROR(__xludf.DUMMYFUNCTION("""COMPUTED_VALUE"""),44628.995358796295)</f>
        <v>44628.99536</v>
      </c>
      <c r="D8389" s="13">
        <f t="shared" si="1"/>
        <v>8</v>
      </c>
      <c r="E8389" s="13">
        <f t="shared" si="2"/>
        <v>23</v>
      </c>
    </row>
    <row r="8390">
      <c r="A8390" s="4" t="s">
        <v>9001</v>
      </c>
      <c r="B8390" s="16"/>
      <c r="C8390" s="12">
        <f>IFERROR(__xludf.DUMMYFUNCTION("""COMPUTED_VALUE"""),44628.993576388886)</f>
        <v>44628.99358</v>
      </c>
      <c r="D8390" s="13">
        <f t="shared" si="1"/>
        <v>8</v>
      </c>
      <c r="E8390" s="13">
        <f t="shared" si="2"/>
        <v>23</v>
      </c>
    </row>
    <row r="8391">
      <c r="A8391" s="4" t="s">
        <v>9002</v>
      </c>
      <c r="B8391" s="16"/>
      <c r="C8391" s="12">
        <f>IFERROR(__xludf.DUMMYFUNCTION("""COMPUTED_VALUE"""),44628.991006944445)</f>
        <v>44628.99101</v>
      </c>
      <c r="D8391" s="13">
        <f t="shared" si="1"/>
        <v>8</v>
      </c>
      <c r="E8391" s="13">
        <f t="shared" si="2"/>
        <v>23</v>
      </c>
    </row>
    <row r="8392">
      <c r="A8392" s="4" t="s">
        <v>9003</v>
      </c>
      <c r="B8392" s="16"/>
      <c r="C8392" s="12">
        <f>IFERROR(__xludf.DUMMYFUNCTION("""COMPUTED_VALUE"""),44628.98517361111)</f>
        <v>44628.98517</v>
      </c>
      <c r="D8392" s="13">
        <f t="shared" si="1"/>
        <v>8</v>
      </c>
      <c r="E8392" s="13">
        <f t="shared" si="2"/>
        <v>23</v>
      </c>
    </row>
    <row r="8393">
      <c r="A8393" s="4" t="s">
        <v>9004</v>
      </c>
      <c r="B8393" s="16"/>
      <c r="C8393" s="12">
        <f>IFERROR(__xludf.DUMMYFUNCTION("""COMPUTED_VALUE"""),44628.981157407405)</f>
        <v>44628.98116</v>
      </c>
      <c r="D8393" s="13">
        <f t="shared" si="1"/>
        <v>8</v>
      </c>
      <c r="E8393" s="13">
        <f t="shared" si="2"/>
        <v>23</v>
      </c>
    </row>
    <row r="8394">
      <c r="A8394" s="4" t="s">
        <v>9005</v>
      </c>
      <c r="B8394" s="16"/>
      <c r="C8394" s="12">
        <f>IFERROR(__xludf.DUMMYFUNCTION("""COMPUTED_VALUE"""),44628.979629629626)</f>
        <v>44628.97963</v>
      </c>
      <c r="D8394" s="13">
        <f t="shared" si="1"/>
        <v>8</v>
      </c>
      <c r="E8394" s="13">
        <f t="shared" si="2"/>
        <v>23</v>
      </c>
    </row>
    <row r="8395">
      <c r="A8395" s="4" t="s">
        <v>9006</v>
      </c>
      <c r="B8395" s="16"/>
      <c r="C8395" s="12">
        <f>IFERROR(__xludf.DUMMYFUNCTION("""COMPUTED_VALUE"""),44628.96034722222)</f>
        <v>44628.96035</v>
      </c>
      <c r="D8395" s="13">
        <f t="shared" si="1"/>
        <v>8</v>
      </c>
      <c r="E8395" s="13">
        <f t="shared" si="2"/>
        <v>23</v>
      </c>
    </row>
    <row r="8396">
      <c r="A8396" s="4" t="s">
        <v>9007</v>
      </c>
      <c r="B8396" s="16"/>
      <c r="C8396" s="12">
        <f>IFERROR(__xludf.DUMMYFUNCTION("""COMPUTED_VALUE"""),44628.945763888885)</f>
        <v>44628.94576</v>
      </c>
      <c r="D8396" s="13">
        <f t="shared" si="1"/>
        <v>8</v>
      </c>
      <c r="E8396" s="13">
        <f t="shared" si="2"/>
        <v>22</v>
      </c>
    </row>
    <row r="8397">
      <c r="A8397" s="4" t="s">
        <v>9008</v>
      </c>
      <c r="B8397" s="16"/>
      <c r="C8397" s="12">
        <f>IFERROR(__xludf.DUMMYFUNCTION("""COMPUTED_VALUE"""),44628.92739583333)</f>
        <v>44628.9274</v>
      </c>
      <c r="D8397" s="13">
        <f t="shared" si="1"/>
        <v>8</v>
      </c>
      <c r="E8397" s="13">
        <f t="shared" si="2"/>
        <v>22</v>
      </c>
    </row>
    <row r="8398">
      <c r="A8398" s="4" t="s">
        <v>9009</v>
      </c>
      <c r="B8398" s="16"/>
      <c r="C8398" s="12">
        <f>IFERROR(__xludf.DUMMYFUNCTION("""COMPUTED_VALUE"""),44628.89556712963)</f>
        <v>44628.89557</v>
      </c>
      <c r="D8398" s="13">
        <f t="shared" si="1"/>
        <v>8</v>
      </c>
      <c r="E8398" s="13">
        <f t="shared" si="2"/>
        <v>21</v>
      </c>
    </row>
    <row r="8399">
      <c r="A8399" s="4" t="s">
        <v>9010</v>
      </c>
      <c r="B8399" s="16"/>
      <c r="C8399" s="12">
        <f>IFERROR(__xludf.DUMMYFUNCTION("""COMPUTED_VALUE"""),44628.892962962964)</f>
        <v>44628.89296</v>
      </c>
      <c r="D8399" s="13">
        <f t="shared" si="1"/>
        <v>8</v>
      </c>
      <c r="E8399" s="13">
        <f t="shared" si="2"/>
        <v>21</v>
      </c>
    </row>
    <row r="8400">
      <c r="A8400" s="4" t="s">
        <v>9011</v>
      </c>
      <c r="B8400" s="16"/>
      <c r="C8400" s="12">
        <f>IFERROR(__xludf.DUMMYFUNCTION("""COMPUTED_VALUE"""),44628.891805555555)</f>
        <v>44628.89181</v>
      </c>
      <c r="D8400" s="13">
        <f t="shared" si="1"/>
        <v>8</v>
      </c>
      <c r="E8400" s="13">
        <f t="shared" si="2"/>
        <v>21</v>
      </c>
    </row>
    <row r="8401">
      <c r="A8401" s="4" t="s">
        <v>9012</v>
      </c>
      <c r="B8401" s="16"/>
      <c r="C8401" s="12">
        <f>IFERROR(__xludf.DUMMYFUNCTION("""COMPUTED_VALUE"""),44628.879965277774)</f>
        <v>44628.87997</v>
      </c>
      <c r="D8401" s="13">
        <f t="shared" si="1"/>
        <v>8</v>
      </c>
      <c r="E8401" s="13">
        <f t="shared" si="2"/>
        <v>21</v>
      </c>
    </row>
    <row r="8402">
      <c r="A8402" s="4" t="s">
        <v>9013</v>
      </c>
      <c r="B8402" s="16"/>
      <c r="C8402" s="12">
        <f>IFERROR(__xludf.DUMMYFUNCTION("""COMPUTED_VALUE"""),44628.87978009259)</f>
        <v>44628.87978</v>
      </c>
      <c r="D8402" s="13">
        <f t="shared" si="1"/>
        <v>8</v>
      </c>
      <c r="E8402" s="13">
        <f t="shared" si="2"/>
        <v>21</v>
      </c>
    </row>
    <row r="8403">
      <c r="A8403" s="4" t="s">
        <v>9014</v>
      </c>
      <c r="B8403" s="16"/>
      <c r="C8403" s="12">
        <f>IFERROR(__xludf.DUMMYFUNCTION("""COMPUTED_VALUE"""),44628.86582175926)</f>
        <v>44628.86582</v>
      </c>
      <c r="D8403" s="13">
        <f t="shared" si="1"/>
        <v>8</v>
      </c>
      <c r="E8403" s="13">
        <f t="shared" si="2"/>
        <v>20</v>
      </c>
    </row>
    <row r="8404">
      <c r="A8404" s="4" t="s">
        <v>9015</v>
      </c>
      <c r="B8404" s="16"/>
      <c r="C8404" s="12">
        <f>IFERROR(__xludf.DUMMYFUNCTION("""COMPUTED_VALUE"""),44628.86498842592)</f>
        <v>44628.86499</v>
      </c>
      <c r="D8404" s="13">
        <f t="shared" si="1"/>
        <v>8</v>
      </c>
      <c r="E8404" s="13">
        <f t="shared" si="2"/>
        <v>20</v>
      </c>
    </row>
    <row r="8405">
      <c r="A8405" s="4" t="s">
        <v>9016</v>
      </c>
      <c r="B8405" s="16"/>
      <c r="C8405" s="12">
        <f>IFERROR(__xludf.DUMMYFUNCTION("""COMPUTED_VALUE"""),44628.863657407404)</f>
        <v>44628.86366</v>
      </c>
      <c r="D8405" s="13">
        <f t="shared" si="1"/>
        <v>8</v>
      </c>
      <c r="E8405" s="13">
        <f t="shared" si="2"/>
        <v>20</v>
      </c>
    </row>
    <row r="8406">
      <c r="A8406" s="4" t="s">
        <v>9017</v>
      </c>
      <c r="B8406" s="16"/>
      <c r="C8406" s="12">
        <f>IFERROR(__xludf.DUMMYFUNCTION("""COMPUTED_VALUE"""),44628.861180555556)</f>
        <v>44628.86118</v>
      </c>
      <c r="D8406" s="13">
        <f t="shared" si="1"/>
        <v>8</v>
      </c>
      <c r="E8406" s="13">
        <f t="shared" si="2"/>
        <v>20</v>
      </c>
    </row>
    <row r="8407">
      <c r="A8407" s="4" t="s">
        <v>9018</v>
      </c>
      <c r="B8407" s="16"/>
      <c r="C8407" s="12">
        <f>IFERROR(__xludf.DUMMYFUNCTION("""COMPUTED_VALUE"""),44628.82946759259)</f>
        <v>44628.82947</v>
      </c>
      <c r="D8407" s="13">
        <f t="shared" si="1"/>
        <v>8</v>
      </c>
      <c r="E8407" s="13">
        <f t="shared" si="2"/>
        <v>19</v>
      </c>
    </row>
    <row r="8408">
      <c r="A8408" s="4" t="s">
        <v>9019</v>
      </c>
      <c r="B8408" s="16"/>
      <c r="C8408" s="12">
        <f>IFERROR(__xludf.DUMMYFUNCTION("""COMPUTED_VALUE"""),44628.81936342592)</f>
        <v>44628.81936</v>
      </c>
      <c r="D8408" s="13">
        <f t="shared" si="1"/>
        <v>8</v>
      </c>
      <c r="E8408" s="13">
        <f t="shared" si="2"/>
        <v>19</v>
      </c>
    </row>
    <row r="8409">
      <c r="A8409" s="4" t="s">
        <v>9020</v>
      </c>
      <c r="B8409" s="16"/>
      <c r="C8409" s="12">
        <f>IFERROR(__xludf.DUMMYFUNCTION("""COMPUTED_VALUE"""),44628.81909722222)</f>
        <v>44628.8191</v>
      </c>
      <c r="D8409" s="13">
        <f t="shared" si="1"/>
        <v>8</v>
      </c>
      <c r="E8409" s="13">
        <f t="shared" si="2"/>
        <v>19</v>
      </c>
    </row>
    <row r="8410">
      <c r="A8410" s="4" t="s">
        <v>9021</v>
      </c>
      <c r="B8410" s="16"/>
      <c r="C8410" s="12">
        <f>IFERROR(__xludf.DUMMYFUNCTION("""COMPUTED_VALUE"""),44628.78467592593)</f>
        <v>44628.78468</v>
      </c>
      <c r="D8410" s="13">
        <f t="shared" si="1"/>
        <v>8</v>
      </c>
      <c r="E8410" s="13">
        <f t="shared" si="2"/>
        <v>18</v>
      </c>
    </row>
    <row r="8411">
      <c r="A8411" s="4" t="s">
        <v>9022</v>
      </c>
      <c r="B8411" s="16"/>
      <c r="C8411" s="12">
        <f>IFERROR(__xludf.DUMMYFUNCTION("""COMPUTED_VALUE"""),44628.75965277778)</f>
        <v>44628.75965</v>
      </c>
      <c r="D8411" s="13">
        <f t="shared" si="1"/>
        <v>8</v>
      </c>
      <c r="E8411" s="13">
        <f t="shared" si="2"/>
        <v>18</v>
      </c>
    </row>
    <row r="8412">
      <c r="A8412" s="4" t="s">
        <v>9023</v>
      </c>
      <c r="B8412" s="16"/>
      <c r="C8412" s="12">
        <f>IFERROR(__xludf.DUMMYFUNCTION("""COMPUTED_VALUE"""),44628.73710648148)</f>
        <v>44628.73711</v>
      </c>
      <c r="D8412" s="13">
        <f t="shared" si="1"/>
        <v>8</v>
      </c>
      <c r="E8412" s="13">
        <f t="shared" si="2"/>
        <v>17</v>
      </c>
    </row>
    <row r="8413">
      <c r="A8413" s="4" t="s">
        <v>9024</v>
      </c>
      <c r="B8413" s="16"/>
      <c r="C8413" s="12">
        <f>IFERROR(__xludf.DUMMYFUNCTION("""COMPUTED_VALUE"""),44628.73534722222)</f>
        <v>44628.73535</v>
      </c>
      <c r="D8413" s="13">
        <f t="shared" si="1"/>
        <v>8</v>
      </c>
      <c r="E8413" s="13">
        <f t="shared" si="2"/>
        <v>17</v>
      </c>
    </row>
    <row r="8414">
      <c r="A8414" s="4" t="s">
        <v>9025</v>
      </c>
      <c r="B8414" s="16"/>
      <c r="C8414" s="12">
        <f>IFERROR(__xludf.DUMMYFUNCTION("""COMPUTED_VALUE"""),44628.730844907404)</f>
        <v>44628.73084</v>
      </c>
      <c r="D8414" s="13">
        <f t="shared" si="1"/>
        <v>8</v>
      </c>
      <c r="E8414" s="13">
        <f t="shared" si="2"/>
        <v>17</v>
      </c>
    </row>
    <row r="8415">
      <c r="A8415" s="4" t="s">
        <v>9026</v>
      </c>
      <c r="B8415" s="16"/>
      <c r="C8415" s="12">
        <f>IFERROR(__xludf.DUMMYFUNCTION("""COMPUTED_VALUE"""),44628.72515046296)</f>
        <v>44628.72515</v>
      </c>
      <c r="D8415" s="13">
        <f t="shared" si="1"/>
        <v>8</v>
      </c>
      <c r="E8415" s="13">
        <f t="shared" si="2"/>
        <v>17</v>
      </c>
    </row>
    <row r="8416">
      <c r="A8416" s="4" t="s">
        <v>9027</v>
      </c>
      <c r="B8416" s="16"/>
      <c r="C8416" s="12">
        <f>IFERROR(__xludf.DUMMYFUNCTION("""COMPUTED_VALUE"""),44628.721550925926)</f>
        <v>44628.72155</v>
      </c>
      <c r="D8416" s="13">
        <f t="shared" si="1"/>
        <v>8</v>
      </c>
      <c r="E8416" s="13">
        <f t="shared" si="2"/>
        <v>17</v>
      </c>
    </row>
    <row r="8417">
      <c r="A8417" s="4" t="s">
        <v>9028</v>
      </c>
      <c r="B8417" s="16"/>
      <c r="C8417" s="12">
        <f>IFERROR(__xludf.DUMMYFUNCTION("""COMPUTED_VALUE"""),44628.720729166664)</f>
        <v>44628.72073</v>
      </c>
      <c r="D8417" s="13">
        <f t="shared" si="1"/>
        <v>8</v>
      </c>
      <c r="E8417" s="13">
        <f t="shared" si="2"/>
        <v>17</v>
      </c>
    </row>
    <row r="8418">
      <c r="A8418" s="4" t="s">
        <v>9029</v>
      </c>
      <c r="B8418" s="16"/>
      <c r="C8418" s="12">
        <f>IFERROR(__xludf.DUMMYFUNCTION("""COMPUTED_VALUE"""),44628.72065972222)</f>
        <v>44628.72066</v>
      </c>
      <c r="D8418" s="13">
        <f t="shared" si="1"/>
        <v>8</v>
      </c>
      <c r="E8418" s="13">
        <f t="shared" si="2"/>
        <v>17</v>
      </c>
    </row>
    <row r="8419">
      <c r="A8419" s="4" t="s">
        <v>9030</v>
      </c>
      <c r="B8419" s="16"/>
      <c r="C8419" s="12">
        <f>IFERROR(__xludf.DUMMYFUNCTION("""COMPUTED_VALUE"""),44628.72052083333)</f>
        <v>44628.72052</v>
      </c>
      <c r="D8419" s="13">
        <f t="shared" si="1"/>
        <v>8</v>
      </c>
      <c r="E8419" s="13">
        <f t="shared" si="2"/>
        <v>17</v>
      </c>
    </row>
    <row r="8420">
      <c r="A8420" s="4" t="s">
        <v>9031</v>
      </c>
      <c r="B8420" s="16"/>
      <c r="C8420" s="12">
        <f>IFERROR(__xludf.DUMMYFUNCTION("""COMPUTED_VALUE"""),44628.72012731481)</f>
        <v>44628.72013</v>
      </c>
      <c r="D8420" s="13">
        <f t="shared" si="1"/>
        <v>8</v>
      </c>
      <c r="E8420" s="13">
        <f t="shared" si="2"/>
        <v>17</v>
      </c>
    </row>
    <row r="8421">
      <c r="A8421" s="4" t="s">
        <v>9032</v>
      </c>
      <c r="B8421" s="16"/>
      <c r="C8421" s="12">
        <f>IFERROR(__xludf.DUMMYFUNCTION("""COMPUTED_VALUE"""),44628.71828703704)</f>
        <v>44628.71829</v>
      </c>
      <c r="D8421" s="13">
        <f t="shared" si="1"/>
        <v>8</v>
      </c>
      <c r="E8421" s="13">
        <f t="shared" si="2"/>
        <v>17</v>
      </c>
    </row>
    <row r="8422">
      <c r="A8422" s="4" t="s">
        <v>9033</v>
      </c>
      <c r="B8422" s="16"/>
      <c r="C8422" s="12">
        <f>IFERROR(__xludf.DUMMYFUNCTION("""COMPUTED_VALUE"""),44628.71782407407)</f>
        <v>44628.71782</v>
      </c>
      <c r="D8422" s="13">
        <f t="shared" si="1"/>
        <v>8</v>
      </c>
      <c r="E8422" s="13">
        <f t="shared" si="2"/>
        <v>17</v>
      </c>
    </row>
    <row r="8423">
      <c r="A8423" s="4" t="s">
        <v>9034</v>
      </c>
      <c r="B8423" s="16"/>
      <c r="C8423" s="12">
        <f>IFERROR(__xludf.DUMMYFUNCTION("""COMPUTED_VALUE"""),44628.71686342592)</f>
        <v>44628.71686</v>
      </c>
      <c r="D8423" s="13">
        <f t="shared" si="1"/>
        <v>8</v>
      </c>
      <c r="E8423" s="13">
        <f t="shared" si="2"/>
        <v>17</v>
      </c>
    </row>
    <row r="8424">
      <c r="A8424" s="4" t="s">
        <v>9035</v>
      </c>
      <c r="B8424" s="16"/>
      <c r="C8424" s="12">
        <f>IFERROR(__xludf.DUMMYFUNCTION("""COMPUTED_VALUE"""),44628.71123842592)</f>
        <v>44628.71124</v>
      </c>
      <c r="D8424" s="13">
        <f t="shared" si="1"/>
        <v>8</v>
      </c>
      <c r="E8424" s="13">
        <f t="shared" si="2"/>
        <v>17</v>
      </c>
    </row>
    <row r="8425">
      <c r="A8425" s="4" t="s">
        <v>9036</v>
      </c>
      <c r="B8425" s="16"/>
      <c r="C8425" s="12">
        <f>IFERROR(__xludf.DUMMYFUNCTION("""COMPUTED_VALUE"""),44628.704930555556)</f>
        <v>44628.70493</v>
      </c>
      <c r="D8425" s="13">
        <f t="shared" si="1"/>
        <v>8</v>
      </c>
      <c r="E8425" s="13">
        <f t="shared" si="2"/>
        <v>16</v>
      </c>
    </row>
    <row r="8426">
      <c r="A8426" s="4" t="s">
        <v>9037</v>
      </c>
      <c r="B8426" s="16"/>
      <c r="C8426" s="12">
        <f>IFERROR(__xludf.DUMMYFUNCTION("""COMPUTED_VALUE"""),44628.704675925925)</f>
        <v>44628.70468</v>
      </c>
      <c r="D8426" s="13">
        <f t="shared" si="1"/>
        <v>8</v>
      </c>
      <c r="E8426" s="13">
        <f t="shared" si="2"/>
        <v>16</v>
      </c>
    </row>
    <row r="8427">
      <c r="A8427" s="4" t="s">
        <v>9038</v>
      </c>
      <c r="B8427" s="16"/>
      <c r="C8427" s="12">
        <f>IFERROR(__xludf.DUMMYFUNCTION("""COMPUTED_VALUE"""),44628.7027662037)</f>
        <v>44628.70277</v>
      </c>
      <c r="D8427" s="13">
        <f t="shared" si="1"/>
        <v>8</v>
      </c>
      <c r="E8427" s="13">
        <f t="shared" si="2"/>
        <v>16</v>
      </c>
    </row>
    <row r="8428">
      <c r="A8428" s="4" t="s">
        <v>9039</v>
      </c>
      <c r="B8428" s="16"/>
      <c r="C8428" s="12">
        <f>IFERROR(__xludf.DUMMYFUNCTION("""COMPUTED_VALUE"""),44628.66609953703)</f>
        <v>44628.6661</v>
      </c>
      <c r="D8428" s="13">
        <f t="shared" si="1"/>
        <v>8</v>
      </c>
      <c r="E8428" s="13">
        <f t="shared" si="2"/>
        <v>15</v>
      </c>
    </row>
    <row r="8429">
      <c r="A8429" s="4" t="s">
        <v>9040</v>
      </c>
      <c r="B8429" s="16"/>
      <c r="C8429" s="12">
        <f>IFERROR(__xludf.DUMMYFUNCTION("""COMPUTED_VALUE"""),44628.65501157407)</f>
        <v>44628.65501</v>
      </c>
      <c r="D8429" s="13">
        <f t="shared" si="1"/>
        <v>8</v>
      </c>
      <c r="E8429" s="13">
        <f t="shared" si="2"/>
        <v>15</v>
      </c>
    </row>
    <row r="8430">
      <c r="A8430" s="4" t="s">
        <v>9041</v>
      </c>
      <c r="B8430" s="16"/>
      <c r="C8430" s="12">
        <f>IFERROR(__xludf.DUMMYFUNCTION("""COMPUTED_VALUE"""),44628.644745370366)</f>
        <v>44628.64475</v>
      </c>
      <c r="D8430" s="13">
        <f t="shared" si="1"/>
        <v>8</v>
      </c>
      <c r="E8430" s="13">
        <f t="shared" si="2"/>
        <v>15</v>
      </c>
    </row>
    <row r="8431">
      <c r="A8431" s="4" t="s">
        <v>9042</v>
      </c>
      <c r="B8431" s="16"/>
      <c r="C8431" s="12">
        <f>IFERROR(__xludf.DUMMYFUNCTION("""COMPUTED_VALUE"""),44628.638136574074)</f>
        <v>44628.63814</v>
      </c>
      <c r="D8431" s="13">
        <f t="shared" si="1"/>
        <v>8</v>
      </c>
      <c r="E8431" s="13">
        <f t="shared" si="2"/>
        <v>15</v>
      </c>
    </row>
    <row r="8432">
      <c r="A8432" s="4" t="s">
        <v>9043</v>
      </c>
      <c r="B8432" s="16"/>
      <c r="C8432" s="12">
        <f>IFERROR(__xludf.DUMMYFUNCTION("""COMPUTED_VALUE"""),44628.62863425926)</f>
        <v>44628.62863</v>
      </c>
      <c r="D8432" s="13">
        <f t="shared" si="1"/>
        <v>8</v>
      </c>
      <c r="E8432" s="13">
        <f t="shared" si="2"/>
        <v>15</v>
      </c>
    </row>
    <row r="8433">
      <c r="A8433" s="4" t="s">
        <v>9044</v>
      </c>
      <c r="B8433" s="16"/>
      <c r="C8433" s="12">
        <f>IFERROR(__xludf.DUMMYFUNCTION("""COMPUTED_VALUE"""),44628.572430555556)</f>
        <v>44628.57243</v>
      </c>
      <c r="D8433" s="13">
        <f t="shared" si="1"/>
        <v>8</v>
      </c>
      <c r="E8433" s="13">
        <f t="shared" si="2"/>
        <v>13</v>
      </c>
    </row>
    <row r="8434">
      <c r="A8434" s="4" t="s">
        <v>9045</v>
      </c>
      <c r="B8434" s="16"/>
      <c r="C8434" s="12">
        <f>IFERROR(__xludf.DUMMYFUNCTION("""COMPUTED_VALUE"""),44628.5215625)</f>
        <v>44628.52156</v>
      </c>
      <c r="D8434" s="13">
        <f t="shared" si="1"/>
        <v>8</v>
      </c>
      <c r="E8434" s="13">
        <f t="shared" si="2"/>
        <v>12</v>
      </c>
    </row>
    <row r="8435">
      <c r="A8435" s="4" t="s">
        <v>9046</v>
      </c>
      <c r="B8435" s="16"/>
      <c r="C8435" s="12">
        <f>IFERROR(__xludf.DUMMYFUNCTION("""COMPUTED_VALUE"""),44628.491215277776)</f>
        <v>44628.49122</v>
      </c>
      <c r="D8435" s="13">
        <f t="shared" si="1"/>
        <v>8</v>
      </c>
      <c r="E8435" s="13">
        <f t="shared" si="2"/>
        <v>11</v>
      </c>
    </row>
    <row r="8436">
      <c r="A8436" s="4" t="s">
        <v>9047</v>
      </c>
      <c r="B8436" s="16"/>
      <c r="C8436" s="12">
        <f>IFERROR(__xludf.DUMMYFUNCTION("""COMPUTED_VALUE"""),44628.4903125)</f>
        <v>44628.49031</v>
      </c>
      <c r="D8436" s="13">
        <f t="shared" si="1"/>
        <v>8</v>
      </c>
      <c r="E8436" s="13">
        <f t="shared" si="2"/>
        <v>11</v>
      </c>
    </row>
    <row r="8437">
      <c r="A8437" s="4" t="s">
        <v>9048</v>
      </c>
      <c r="B8437" s="16"/>
      <c r="C8437" s="12">
        <f>IFERROR(__xludf.DUMMYFUNCTION("""COMPUTED_VALUE"""),44628.48502314815)</f>
        <v>44628.48502</v>
      </c>
      <c r="D8437" s="13">
        <f t="shared" si="1"/>
        <v>8</v>
      </c>
      <c r="E8437" s="13">
        <f t="shared" si="2"/>
        <v>11</v>
      </c>
    </row>
    <row r="8438">
      <c r="A8438" s="4" t="s">
        <v>9049</v>
      </c>
      <c r="B8438" s="16"/>
      <c r="C8438" s="12">
        <f>IFERROR(__xludf.DUMMYFUNCTION("""COMPUTED_VALUE"""),44628.48467592592)</f>
        <v>44628.48468</v>
      </c>
      <c r="D8438" s="13">
        <f t="shared" si="1"/>
        <v>8</v>
      </c>
      <c r="E8438" s="13">
        <f t="shared" si="2"/>
        <v>11</v>
      </c>
    </row>
    <row r="8439">
      <c r="A8439" s="4" t="s">
        <v>9050</v>
      </c>
      <c r="B8439" s="16"/>
      <c r="C8439" s="12">
        <f>IFERROR(__xludf.DUMMYFUNCTION("""COMPUTED_VALUE"""),44628.427777777775)</f>
        <v>44628.42778</v>
      </c>
      <c r="D8439" s="13">
        <f t="shared" si="1"/>
        <v>8</v>
      </c>
      <c r="E8439" s="13">
        <f t="shared" si="2"/>
        <v>10</v>
      </c>
    </row>
    <row r="8440">
      <c r="A8440" s="4" t="s">
        <v>9051</v>
      </c>
      <c r="B8440" s="16"/>
      <c r="C8440" s="12">
        <f>IFERROR(__xludf.DUMMYFUNCTION("""COMPUTED_VALUE"""),44628.373460648145)</f>
        <v>44628.37346</v>
      </c>
      <c r="D8440" s="13">
        <f t="shared" si="1"/>
        <v>8</v>
      </c>
      <c r="E8440" s="13">
        <f t="shared" si="2"/>
        <v>8</v>
      </c>
    </row>
    <row r="8441">
      <c r="A8441" s="4" t="s">
        <v>9052</v>
      </c>
      <c r="B8441" s="16"/>
      <c r="C8441" s="12">
        <f>IFERROR(__xludf.DUMMYFUNCTION("""COMPUTED_VALUE"""),44628.37285879629)</f>
        <v>44628.37286</v>
      </c>
      <c r="D8441" s="13">
        <f t="shared" si="1"/>
        <v>8</v>
      </c>
      <c r="E8441" s="13">
        <f t="shared" si="2"/>
        <v>8</v>
      </c>
    </row>
    <row r="8442">
      <c r="A8442" s="4" t="s">
        <v>9053</v>
      </c>
      <c r="B8442" s="16"/>
      <c r="C8442" s="12">
        <f>IFERROR(__xludf.DUMMYFUNCTION("""COMPUTED_VALUE"""),44628.3683449074)</f>
        <v>44628.36834</v>
      </c>
      <c r="D8442" s="13">
        <f t="shared" si="1"/>
        <v>8</v>
      </c>
      <c r="E8442" s="13">
        <f t="shared" si="2"/>
        <v>8</v>
      </c>
    </row>
    <row r="8443">
      <c r="A8443" s="4" t="s">
        <v>9054</v>
      </c>
      <c r="B8443" s="16"/>
      <c r="C8443" s="12">
        <f>IFERROR(__xludf.DUMMYFUNCTION("""COMPUTED_VALUE"""),44628.343194444446)</f>
        <v>44628.34319</v>
      </c>
      <c r="D8443" s="13">
        <f t="shared" si="1"/>
        <v>8</v>
      </c>
      <c r="E8443" s="13">
        <f t="shared" si="2"/>
        <v>8</v>
      </c>
    </row>
    <row r="8444">
      <c r="A8444" s="4" t="s">
        <v>9055</v>
      </c>
      <c r="B8444" s="16"/>
      <c r="C8444" s="12">
        <f>IFERROR(__xludf.DUMMYFUNCTION("""COMPUTED_VALUE"""),44628.31481481481)</f>
        <v>44628.31481</v>
      </c>
      <c r="D8444" s="13">
        <f t="shared" si="1"/>
        <v>8</v>
      </c>
      <c r="E8444" s="13">
        <f t="shared" si="2"/>
        <v>7</v>
      </c>
    </row>
    <row r="8445">
      <c r="A8445" s="4" t="s">
        <v>9056</v>
      </c>
      <c r="B8445" s="16"/>
      <c r="C8445" s="12">
        <f>IFERROR(__xludf.DUMMYFUNCTION("""COMPUTED_VALUE"""),44628.314687499995)</f>
        <v>44628.31469</v>
      </c>
      <c r="D8445" s="13">
        <f t="shared" si="1"/>
        <v>8</v>
      </c>
      <c r="E8445" s="13">
        <f t="shared" si="2"/>
        <v>7</v>
      </c>
    </row>
    <row r="8446">
      <c r="A8446" s="4" t="s">
        <v>9057</v>
      </c>
      <c r="B8446" s="16"/>
      <c r="C8446" s="12">
        <f>IFERROR(__xludf.DUMMYFUNCTION("""COMPUTED_VALUE"""),44628.28190972222)</f>
        <v>44628.28191</v>
      </c>
      <c r="D8446" s="13">
        <f t="shared" si="1"/>
        <v>8</v>
      </c>
      <c r="E8446" s="13">
        <f t="shared" si="2"/>
        <v>6</v>
      </c>
    </row>
    <row r="8447">
      <c r="A8447" s="4" t="s">
        <v>9058</v>
      </c>
      <c r="B8447" s="16"/>
      <c r="C8447" s="12">
        <f>IFERROR(__xludf.DUMMYFUNCTION("""COMPUTED_VALUE"""),44628.2052662037)</f>
        <v>44628.20527</v>
      </c>
      <c r="D8447" s="13">
        <f t="shared" si="1"/>
        <v>8</v>
      </c>
      <c r="E8447" s="13">
        <f t="shared" si="2"/>
        <v>4</v>
      </c>
    </row>
    <row r="8448">
      <c r="A8448" s="4" t="s">
        <v>9059</v>
      </c>
      <c r="B8448" s="16"/>
      <c r="C8448" s="12">
        <f>IFERROR(__xludf.DUMMYFUNCTION("""COMPUTED_VALUE"""),44627.96986111111)</f>
        <v>44627.96986</v>
      </c>
      <c r="D8448" s="13">
        <f t="shared" si="1"/>
        <v>7</v>
      </c>
      <c r="E8448" s="13">
        <f t="shared" si="2"/>
        <v>23</v>
      </c>
    </row>
    <row r="8449">
      <c r="A8449" s="4" t="s">
        <v>9060</v>
      </c>
      <c r="B8449" s="16"/>
      <c r="C8449" s="12">
        <f>IFERROR(__xludf.DUMMYFUNCTION("""COMPUTED_VALUE"""),44627.93577546296)</f>
        <v>44627.93578</v>
      </c>
      <c r="D8449" s="13">
        <f t="shared" si="1"/>
        <v>7</v>
      </c>
      <c r="E8449" s="13">
        <f t="shared" si="2"/>
        <v>22</v>
      </c>
    </row>
    <row r="8450">
      <c r="A8450" s="4" t="s">
        <v>9061</v>
      </c>
      <c r="B8450" s="16"/>
      <c r="C8450" s="12">
        <f>IFERROR(__xludf.DUMMYFUNCTION("""COMPUTED_VALUE"""),44627.862129629626)</f>
        <v>44627.86213</v>
      </c>
      <c r="D8450" s="13">
        <f t="shared" si="1"/>
        <v>7</v>
      </c>
      <c r="E8450" s="13">
        <f t="shared" si="2"/>
        <v>20</v>
      </c>
    </row>
    <row r="8451">
      <c r="A8451" s="4" t="s">
        <v>9062</v>
      </c>
      <c r="B8451" s="16"/>
      <c r="C8451" s="12">
        <f>IFERROR(__xludf.DUMMYFUNCTION("""COMPUTED_VALUE"""),44627.81509259259)</f>
        <v>44627.81509</v>
      </c>
      <c r="D8451" s="13">
        <f t="shared" si="1"/>
        <v>7</v>
      </c>
      <c r="E8451" s="13">
        <f t="shared" si="2"/>
        <v>19</v>
      </c>
    </row>
    <row r="8452">
      <c r="A8452" s="4" t="s">
        <v>9063</v>
      </c>
      <c r="B8452" s="16"/>
      <c r="C8452" s="12">
        <f>IFERROR(__xludf.DUMMYFUNCTION("""COMPUTED_VALUE"""),44627.78135416666)</f>
        <v>44627.78135</v>
      </c>
      <c r="D8452" s="13">
        <f t="shared" si="1"/>
        <v>7</v>
      </c>
      <c r="E8452" s="13">
        <f t="shared" si="2"/>
        <v>18</v>
      </c>
    </row>
    <row r="8453">
      <c r="A8453" s="4" t="s">
        <v>9064</v>
      </c>
      <c r="B8453" s="16"/>
      <c r="C8453" s="12">
        <f>IFERROR(__xludf.DUMMYFUNCTION("""COMPUTED_VALUE"""),44627.7599537037)</f>
        <v>44627.75995</v>
      </c>
      <c r="D8453" s="13">
        <f t="shared" si="1"/>
        <v>7</v>
      </c>
      <c r="E8453" s="13">
        <f t="shared" si="2"/>
        <v>18</v>
      </c>
    </row>
    <row r="8454">
      <c r="A8454" s="4" t="s">
        <v>9065</v>
      </c>
      <c r="B8454" s="16"/>
      <c r="C8454" s="12">
        <f>IFERROR(__xludf.DUMMYFUNCTION("""COMPUTED_VALUE"""),44627.753495370365)</f>
        <v>44627.7535</v>
      </c>
      <c r="D8454" s="13">
        <f t="shared" si="1"/>
        <v>7</v>
      </c>
      <c r="E8454" s="13">
        <f t="shared" si="2"/>
        <v>18</v>
      </c>
    </row>
    <row r="8455">
      <c r="A8455" s="4" t="s">
        <v>9066</v>
      </c>
      <c r="B8455" s="16"/>
      <c r="C8455" s="12">
        <f>IFERROR(__xludf.DUMMYFUNCTION("""COMPUTED_VALUE"""),44627.73663194444)</f>
        <v>44627.73663</v>
      </c>
      <c r="D8455" s="13">
        <f t="shared" si="1"/>
        <v>7</v>
      </c>
      <c r="E8455" s="13">
        <f t="shared" si="2"/>
        <v>17</v>
      </c>
    </row>
    <row r="8456">
      <c r="A8456" s="4" t="s">
        <v>9067</v>
      </c>
      <c r="B8456" s="16"/>
      <c r="C8456" s="12">
        <f>IFERROR(__xludf.DUMMYFUNCTION("""COMPUTED_VALUE"""),44627.72016203703)</f>
        <v>44627.72016</v>
      </c>
      <c r="D8456" s="13">
        <f t="shared" si="1"/>
        <v>7</v>
      </c>
      <c r="E8456" s="13">
        <f t="shared" si="2"/>
        <v>17</v>
      </c>
    </row>
    <row r="8457">
      <c r="A8457" s="4" t="s">
        <v>9068</v>
      </c>
      <c r="B8457" s="16"/>
      <c r="C8457" s="12">
        <f>IFERROR(__xludf.DUMMYFUNCTION("""COMPUTED_VALUE"""),44627.62194444444)</f>
        <v>44627.62194</v>
      </c>
      <c r="D8457" s="13">
        <f t="shared" si="1"/>
        <v>7</v>
      </c>
      <c r="E8457" s="13">
        <f t="shared" si="2"/>
        <v>14</v>
      </c>
    </row>
    <row r="8458">
      <c r="A8458" s="4" t="s">
        <v>9069</v>
      </c>
      <c r="B8458" s="16"/>
      <c r="C8458" s="12">
        <f>IFERROR(__xludf.DUMMYFUNCTION("""COMPUTED_VALUE"""),44627.612129629626)</f>
        <v>44627.61213</v>
      </c>
      <c r="D8458" s="13">
        <f t="shared" si="1"/>
        <v>7</v>
      </c>
      <c r="E8458" s="13">
        <f t="shared" si="2"/>
        <v>14</v>
      </c>
    </row>
    <row r="8459">
      <c r="A8459" s="4" t="s">
        <v>9070</v>
      </c>
      <c r="B8459" s="16"/>
      <c r="C8459" s="12">
        <f>IFERROR(__xludf.DUMMYFUNCTION("""COMPUTED_VALUE"""),44627.552094907405)</f>
        <v>44627.55209</v>
      </c>
      <c r="D8459" s="13">
        <f t="shared" si="1"/>
        <v>7</v>
      </c>
      <c r="E8459" s="13">
        <f t="shared" si="2"/>
        <v>13</v>
      </c>
    </row>
    <row r="8460">
      <c r="A8460" s="4" t="s">
        <v>9071</v>
      </c>
      <c r="B8460" s="16"/>
      <c r="C8460" s="12">
        <f>IFERROR(__xludf.DUMMYFUNCTION("""COMPUTED_VALUE"""),44627.539988425924)</f>
        <v>44627.53999</v>
      </c>
      <c r="D8460" s="13">
        <f t="shared" si="1"/>
        <v>7</v>
      </c>
      <c r="E8460" s="13">
        <f t="shared" si="2"/>
        <v>12</v>
      </c>
    </row>
    <row r="8461">
      <c r="A8461" s="4" t="s">
        <v>9072</v>
      </c>
      <c r="B8461" s="16"/>
      <c r="C8461" s="12">
        <f>IFERROR(__xludf.DUMMYFUNCTION("""COMPUTED_VALUE"""),44627.52706018518)</f>
        <v>44627.52706</v>
      </c>
      <c r="D8461" s="13">
        <f t="shared" si="1"/>
        <v>7</v>
      </c>
      <c r="E8461" s="13">
        <f t="shared" si="2"/>
        <v>12</v>
      </c>
    </row>
    <row r="8462">
      <c r="A8462" s="4" t="s">
        <v>9073</v>
      </c>
      <c r="B8462" s="16"/>
      <c r="C8462" s="12">
        <f>IFERROR(__xludf.DUMMYFUNCTION("""COMPUTED_VALUE"""),44627.49789351851)</f>
        <v>44627.49789</v>
      </c>
      <c r="D8462" s="13">
        <f t="shared" si="1"/>
        <v>7</v>
      </c>
      <c r="E8462" s="13">
        <f t="shared" si="2"/>
        <v>11</v>
      </c>
    </row>
    <row r="8463">
      <c r="A8463" s="4" t="s">
        <v>9074</v>
      </c>
      <c r="B8463" s="16"/>
      <c r="C8463" s="12">
        <f>IFERROR(__xludf.DUMMYFUNCTION("""COMPUTED_VALUE"""),44627.45790509259)</f>
        <v>44627.45791</v>
      </c>
      <c r="D8463" s="13">
        <f t="shared" si="1"/>
        <v>7</v>
      </c>
      <c r="E8463" s="13">
        <f t="shared" si="2"/>
        <v>10</v>
      </c>
    </row>
    <row r="8464">
      <c r="A8464" s="4" t="s">
        <v>9075</v>
      </c>
      <c r="B8464" s="16"/>
      <c r="C8464" s="12">
        <f>IFERROR(__xludf.DUMMYFUNCTION("""COMPUTED_VALUE"""),44627.45375)</f>
        <v>44627.45375</v>
      </c>
      <c r="D8464" s="13">
        <f t="shared" si="1"/>
        <v>7</v>
      </c>
      <c r="E8464" s="13">
        <f t="shared" si="2"/>
        <v>10</v>
      </c>
    </row>
    <row r="8465">
      <c r="A8465" s="4" t="s">
        <v>9076</v>
      </c>
      <c r="B8465" s="16"/>
      <c r="C8465" s="12">
        <f>IFERROR(__xludf.DUMMYFUNCTION("""COMPUTED_VALUE"""),44627.45199074074)</f>
        <v>44627.45199</v>
      </c>
      <c r="D8465" s="13">
        <f t="shared" si="1"/>
        <v>7</v>
      </c>
      <c r="E8465" s="13">
        <f t="shared" si="2"/>
        <v>10</v>
      </c>
    </row>
    <row r="8466">
      <c r="A8466" s="4" t="s">
        <v>9077</v>
      </c>
      <c r="B8466" s="16"/>
      <c r="C8466" s="12">
        <f>IFERROR(__xludf.DUMMYFUNCTION("""COMPUTED_VALUE"""),44627.378749999996)</f>
        <v>44627.37875</v>
      </c>
      <c r="D8466" s="13">
        <f t="shared" si="1"/>
        <v>7</v>
      </c>
      <c r="E8466" s="13">
        <f t="shared" si="2"/>
        <v>9</v>
      </c>
    </row>
    <row r="8467">
      <c r="A8467" s="4" t="s">
        <v>9078</v>
      </c>
      <c r="B8467" s="16"/>
      <c r="C8467" s="12">
        <f>IFERROR(__xludf.DUMMYFUNCTION("""COMPUTED_VALUE"""),44627.368738425925)</f>
        <v>44627.36874</v>
      </c>
      <c r="D8467" s="13">
        <f t="shared" si="1"/>
        <v>7</v>
      </c>
      <c r="E8467" s="13">
        <f t="shared" si="2"/>
        <v>8</v>
      </c>
    </row>
    <row r="8468">
      <c r="A8468" s="4" t="s">
        <v>9079</v>
      </c>
      <c r="B8468" s="16"/>
      <c r="C8468" s="12">
        <f>IFERROR(__xludf.DUMMYFUNCTION("""COMPUTED_VALUE"""),44627.31847222222)</f>
        <v>44627.31847</v>
      </c>
      <c r="D8468" s="13">
        <f t="shared" si="1"/>
        <v>7</v>
      </c>
      <c r="E8468" s="13">
        <f t="shared" si="2"/>
        <v>7</v>
      </c>
    </row>
    <row r="8469">
      <c r="A8469" s="4" t="s">
        <v>9080</v>
      </c>
      <c r="B8469" s="16"/>
      <c r="C8469" s="12">
        <f>IFERROR(__xludf.DUMMYFUNCTION("""COMPUTED_VALUE"""),44627.30645833333)</f>
        <v>44627.30646</v>
      </c>
      <c r="D8469" s="13">
        <f t="shared" si="1"/>
        <v>7</v>
      </c>
      <c r="E8469" s="13">
        <f t="shared" si="2"/>
        <v>7</v>
      </c>
    </row>
    <row r="8470">
      <c r="A8470" s="4" t="s">
        <v>9081</v>
      </c>
      <c r="B8470" s="16"/>
      <c r="C8470" s="12">
        <f>IFERROR(__xludf.DUMMYFUNCTION("""COMPUTED_VALUE"""),44627.30321759259)</f>
        <v>44627.30322</v>
      </c>
      <c r="D8470" s="13">
        <f t="shared" si="1"/>
        <v>7</v>
      </c>
      <c r="E8470" s="13">
        <f t="shared" si="2"/>
        <v>7</v>
      </c>
    </row>
    <row r="8471">
      <c r="A8471" s="4" t="s">
        <v>9082</v>
      </c>
      <c r="B8471" s="16"/>
      <c r="C8471" s="12">
        <f>IFERROR(__xludf.DUMMYFUNCTION("""COMPUTED_VALUE"""),44627.30206018518)</f>
        <v>44627.30206</v>
      </c>
      <c r="D8471" s="13">
        <f t="shared" si="1"/>
        <v>7</v>
      </c>
      <c r="E8471" s="13">
        <f t="shared" si="2"/>
        <v>7</v>
      </c>
    </row>
    <row r="8472">
      <c r="A8472" s="4" t="s">
        <v>9083</v>
      </c>
      <c r="B8472" s="16"/>
      <c r="C8472" s="12">
        <f>IFERROR(__xludf.DUMMYFUNCTION("""COMPUTED_VALUE"""),44627.301041666666)</f>
        <v>44627.30104</v>
      </c>
      <c r="D8472" s="13">
        <f t="shared" si="1"/>
        <v>7</v>
      </c>
      <c r="E8472" s="13">
        <f t="shared" si="2"/>
        <v>7</v>
      </c>
    </row>
    <row r="8473">
      <c r="A8473" s="4" t="s">
        <v>9084</v>
      </c>
      <c r="B8473" s="16"/>
      <c r="C8473" s="12">
        <f>IFERROR(__xludf.DUMMYFUNCTION("""COMPUTED_VALUE"""),44627.298379629625)</f>
        <v>44627.29838</v>
      </c>
      <c r="D8473" s="13">
        <f t="shared" si="1"/>
        <v>7</v>
      </c>
      <c r="E8473" s="13">
        <f t="shared" si="2"/>
        <v>7</v>
      </c>
    </row>
    <row r="8474">
      <c r="A8474" s="4" t="s">
        <v>9085</v>
      </c>
      <c r="B8474" s="16"/>
      <c r="C8474" s="12">
        <f>IFERROR(__xludf.DUMMYFUNCTION("""COMPUTED_VALUE"""),44627.29760416666)</f>
        <v>44627.2976</v>
      </c>
      <c r="D8474" s="13">
        <f t="shared" si="1"/>
        <v>7</v>
      </c>
      <c r="E8474" s="13">
        <f t="shared" si="2"/>
        <v>7</v>
      </c>
    </row>
    <row r="8475">
      <c r="A8475" s="4" t="s">
        <v>9086</v>
      </c>
      <c r="B8475" s="16"/>
      <c r="C8475" s="12">
        <f>IFERROR(__xludf.DUMMYFUNCTION("""COMPUTED_VALUE"""),44627.297071759254)</f>
        <v>44627.29707</v>
      </c>
      <c r="D8475" s="13">
        <f t="shared" si="1"/>
        <v>7</v>
      </c>
      <c r="E8475" s="13">
        <f t="shared" si="2"/>
        <v>7</v>
      </c>
    </row>
    <row r="8476">
      <c r="A8476" s="4" t="s">
        <v>9087</v>
      </c>
      <c r="B8476" s="16"/>
      <c r="C8476" s="12">
        <f>IFERROR(__xludf.DUMMYFUNCTION("""COMPUTED_VALUE"""),44626.95866898148)</f>
        <v>44626.95867</v>
      </c>
      <c r="D8476" s="13">
        <f t="shared" si="1"/>
        <v>6</v>
      </c>
      <c r="E8476" s="13">
        <f t="shared" si="2"/>
        <v>23</v>
      </c>
    </row>
    <row r="8477">
      <c r="A8477" s="4" t="s">
        <v>9088</v>
      </c>
      <c r="B8477" s="16"/>
      <c r="C8477" s="12">
        <f>IFERROR(__xludf.DUMMYFUNCTION("""COMPUTED_VALUE"""),44626.92960648148)</f>
        <v>44626.92961</v>
      </c>
      <c r="D8477" s="13">
        <f t="shared" si="1"/>
        <v>6</v>
      </c>
      <c r="E8477" s="13">
        <f t="shared" si="2"/>
        <v>22</v>
      </c>
    </row>
    <row r="8478">
      <c r="A8478" s="4" t="s">
        <v>9089</v>
      </c>
      <c r="B8478" s="16"/>
      <c r="C8478" s="12">
        <f>IFERROR(__xludf.DUMMYFUNCTION("""COMPUTED_VALUE"""),44626.9293287037)</f>
        <v>44626.92933</v>
      </c>
      <c r="D8478" s="13">
        <f t="shared" si="1"/>
        <v>6</v>
      </c>
      <c r="E8478" s="13">
        <f t="shared" si="2"/>
        <v>22</v>
      </c>
    </row>
    <row r="8479">
      <c r="A8479" s="4" t="s">
        <v>9090</v>
      </c>
      <c r="B8479" s="16"/>
      <c r="C8479" s="12">
        <f>IFERROR(__xludf.DUMMYFUNCTION("""COMPUTED_VALUE"""),44626.926898148144)</f>
        <v>44626.9269</v>
      </c>
      <c r="D8479" s="13">
        <f t="shared" si="1"/>
        <v>6</v>
      </c>
      <c r="E8479" s="13">
        <f t="shared" si="2"/>
        <v>22</v>
      </c>
    </row>
    <row r="8480">
      <c r="A8480" s="4" t="s">
        <v>9091</v>
      </c>
      <c r="B8480" s="16"/>
      <c r="C8480" s="12">
        <f>IFERROR(__xludf.DUMMYFUNCTION("""COMPUTED_VALUE"""),44626.926736111105)</f>
        <v>44626.92674</v>
      </c>
      <c r="D8480" s="13">
        <f t="shared" si="1"/>
        <v>6</v>
      </c>
      <c r="E8480" s="13">
        <f t="shared" si="2"/>
        <v>22</v>
      </c>
    </row>
    <row r="8481">
      <c r="A8481" s="4" t="s">
        <v>9092</v>
      </c>
      <c r="B8481" s="16"/>
      <c r="C8481" s="12">
        <f>IFERROR(__xludf.DUMMYFUNCTION("""COMPUTED_VALUE"""),44626.920902777776)</f>
        <v>44626.9209</v>
      </c>
      <c r="D8481" s="13">
        <f t="shared" si="1"/>
        <v>6</v>
      </c>
      <c r="E8481" s="13">
        <f t="shared" si="2"/>
        <v>22</v>
      </c>
    </row>
    <row r="8482">
      <c r="A8482" s="4" t="s">
        <v>9093</v>
      </c>
      <c r="B8482" s="16"/>
      <c r="C8482" s="12">
        <f>IFERROR(__xludf.DUMMYFUNCTION("""COMPUTED_VALUE"""),44626.9093287037)</f>
        <v>44626.90933</v>
      </c>
      <c r="D8482" s="13">
        <f t="shared" si="1"/>
        <v>6</v>
      </c>
      <c r="E8482" s="13">
        <f t="shared" si="2"/>
        <v>21</v>
      </c>
    </row>
    <row r="8483">
      <c r="A8483" s="4" t="s">
        <v>9094</v>
      </c>
      <c r="B8483" s="16"/>
      <c r="C8483" s="12">
        <f>IFERROR(__xludf.DUMMYFUNCTION("""COMPUTED_VALUE"""),44626.90020833333)</f>
        <v>44626.90021</v>
      </c>
      <c r="D8483" s="13">
        <f t="shared" si="1"/>
        <v>6</v>
      </c>
      <c r="E8483" s="13">
        <f t="shared" si="2"/>
        <v>21</v>
      </c>
    </row>
    <row r="8484">
      <c r="A8484" s="4" t="s">
        <v>9095</v>
      </c>
      <c r="B8484" s="16"/>
      <c r="C8484" s="12">
        <f>IFERROR(__xludf.DUMMYFUNCTION("""COMPUTED_VALUE"""),44626.88905092592)</f>
        <v>44626.88905</v>
      </c>
      <c r="D8484" s="13">
        <f t="shared" si="1"/>
        <v>6</v>
      </c>
      <c r="E8484" s="13">
        <f t="shared" si="2"/>
        <v>21</v>
      </c>
    </row>
    <row r="8485">
      <c r="A8485" s="4" t="s">
        <v>9096</v>
      </c>
      <c r="B8485" s="16"/>
      <c r="C8485" s="12">
        <f>IFERROR(__xludf.DUMMYFUNCTION("""COMPUTED_VALUE"""),44626.859884259255)</f>
        <v>44626.85988</v>
      </c>
      <c r="D8485" s="13">
        <f t="shared" si="1"/>
        <v>6</v>
      </c>
      <c r="E8485" s="13">
        <f t="shared" si="2"/>
        <v>20</v>
      </c>
    </row>
    <row r="8486">
      <c r="A8486" s="4" t="s">
        <v>9097</v>
      </c>
      <c r="B8486" s="16"/>
      <c r="C8486" s="12">
        <f>IFERROR(__xludf.DUMMYFUNCTION("""COMPUTED_VALUE"""),44626.852013888885)</f>
        <v>44626.85201</v>
      </c>
      <c r="D8486" s="13">
        <f t="shared" si="1"/>
        <v>6</v>
      </c>
      <c r="E8486" s="13">
        <f t="shared" si="2"/>
        <v>20</v>
      </c>
    </row>
    <row r="8487">
      <c r="A8487" s="4" t="s">
        <v>9098</v>
      </c>
      <c r="B8487" s="16"/>
      <c r="C8487" s="12">
        <f>IFERROR(__xludf.DUMMYFUNCTION("""COMPUTED_VALUE"""),44626.849548611106)</f>
        <v>44626.84955</v>
      </c>
      <c r="D8487" s="13">
        <f t="shared" si="1"/>
        <v>6</v>
      </c>
      <c r="E8487" s="13">
        <f t="shared" si="2"/>
        <v>20</v>
      </c>
    </row>
    <row r="8488">
      <c r="A8488" s="4" t="s">
        <v>9099</v>
      </c>
      <c r="B8488" s="16"/>
      <c r="C8488" s="12">
        <f>IFERROR(__xludf.DUMMYFUNCTION("""COMPUTED_VALUE"""),44626.83537037037)</f>
        <v>44626.83537</v>
      </c>
      <c r="D8488" s="13">
        <f t="shared" si="1"/>
        <v>6</v>
      </c>
      <c r="E8488" s="13">
        <f t="shared" si="2"/>
        <v>20</v>
      </c>
    </row>
    <row r="8489">
      <c r="A8489" s="4" t="s">
        <v>9100</v>
      </c>
      <c r="B8489" s="16"/>
      <c r="C8489" s="12">
        <f>IFERROR(__xludf.DUMMYFUNCTION("""COMPUTED_VALUE"""),44626.826875)</f>
        <v>44626.82688</v>
      </c>
      <c r="D8489" s="13">
        <f t="shared" si="1"/>
        <v>6</v>
      </c>
      <c r="E8489" s="13">
        <f t="shared" si="2"/>
        <v>19</v>
      </c>
    </row>
    <row r="8490">
      <c r="A8490" s="4" t="s">
        <v>9101</v>
      </c>
      <c r="B8490" s="16"/>
      <c r="C8490" s="12">
        <f>IFERROR(__xludf.DUMMYFUNCTION("""COMPUTED_VALUE"""),44626.82402777777)</f>
        <v>44626.82403</v>
      </c>
      <c r="D8490" s="13">
        <f t="shared" si="1"/>
        <v>6</v>
      </c>
      <c r="E8490" s="13">
        <f t="shared" si="2"/>
        <v>19</v>
      </c>
    </row>
    <row r="8491">
      <c r="A8491" s="4" t="s">
        <v>9102</v>
      </c>
      <c r="B8491" s="16"/>
      <c r="C8491" s="12">
        <f>IFERROR(__xludf.DUMMYFUNCTION("""COMPUTED_VALUE"""),44626.82371527777)</f>
        <v>44626.82372</v>
      </c>
      <c r="D8491" s="13">
        <f t="shared" si="1"/>
        <v>6</v>
      </c>
      <c r="E8491" s="13">
        <f t="shared" si="2"/>
        <v>19</v>
      </c>
    </row>
    <row r="8492">
      <c r="A8492" s="4" t="s">
        <v>9103</v>
      </c>
      <c r="B8492" s="16"/>
      <c r="C8492" s="12">
        <f>IFERROR(__xludf.DUMMYFUNCTION("""COMPUTED_VALUE"""),44626.802256944444)</f>
        <v>44626.80226</v>
      </c>
      <c r="D8492" s="13">
        <f t="shared" si="1"/>
        <v>6</v>
      </c>
      <c r="E8492" s="13">
        <f t="shared" si="2"/>
        <v>19</v>
      </c>
    </row>
    <row r="8493">
      <c r="A8493" s="4" t="s">
        <v>9104</v>
      </c>
      <c r="B8493" s="16"/>
      <c r="C8493" s="12">
        <f>IFERROR(__xludf.DUMMYFUNCTION("""COMPUTED_VALUE"""),44626.768055555556)</f>
        <v>44626.76806</v>
      </c>
      <c r="D8493" s="13">
        <f t="shared" si="1"/>
        <v>6</v>
      </c>
      <c r="E8493" s="13">
        <f t="shared" si="2"/>
        <v>18</v>
      </c>
    </row>
    <row r="8494">
      <c r="A8494" s="4" t="s">
        <v>9105</v>
      </c>
      <c r="B8494" s="16"/>
      <c r="C8494" s="12">
        <f>IFERROR(__xludf.DUMMYFUNCTION("""COMPUTED_VALUE"""),44626.73793981481)</f>
        <v>44626.73794</v>
      </c>
      <c r="D8494" s="13">
        <f t="shared" si="1"/>
        <v>6</v>
      </c>
      <c r="E8494" s="13">
        <f t="shared" si="2"/>
        <v>17</v>
      </c>
    </row>
    <row r="8495">
      <c r="A8495" s="4" t="s">
        <v>9106</v>
      </c>
      <c r="B8495" s="16"/>
      <c r="C8495" s="12">
        <f>IFERROR(__xludf.DUMMYFUNCTION("""COMPUTED_VALUE"""),44626.71696759259)</f>
        <v>44626.71697</v>
      </c>
      <c r="D8495" s="13">
        <f t="shared" si="1"/>
        <v>6</v>
      </c>
      <c r="E8495" s="13">
        <f t="shared" si="2"/>
        <v>17</v>
      </c>
    </row>
    <row r="8496">
      <c r="A8496" s="4" t="s">
        <v>9107</v>
      </c>
      <c r="B8496" s="16"/>
      <c r="C8496" s="12">
        <f>IFERROR(__xludf.DUMMYFUNCTION("""COMPUTED_VALUE"""),44626.71568287037)</f>
        <v>44626.71568</v>
      </c>
      <c r="D8496" s="13">
        <f t="shared" si="1"/>
        <v>6</v>
      </c>
      <c r="E8496" s="13">
        <f t="shared" si="2"/>
        <v>17</v>
      </c>
    </row>
    <row r="8497">
      <c r="A8497" s="4" t="s">
        <v>9108</v>
      </c>
      <c r="B8497" s="16"/>
      <c r="C8497" s="12">
        <f>IFERROR(__xludf.DUMMYFUNCTION("""COMPUTED_VALUE"""),44626.695023148146)</f>
        <v>44626.69502</v>
      </c>
      <c r="D8497" s="13">
        <f t="shared" si="1"/>
        <v>6</v>
      </c>
      <c r="E8497" s="13">
        <f t="shared" si="2"/>
        <v>16</v>
      </c>
    </row>
    <row r="8498">
      <c r="A8498" s="4" t="s">
        <v>9109</v>
      </c>
      <c r="B8498" s="16"/>
      <c r="C8498" s="12">
        <f>IFERROR(__xludf.DUMMYFUNCTION("""COMPUTED_VALUE"""),44626.694652777776)</f>
        <v>44626.69465</v>
      </c>
      <c r="D8498" s="13">
        <f t="shared" si="1"/>
        <v>6</v>
      </c>
      <c r="E8498" s="13">
        <f t="shared" si="2"/>
        <v>16</v>
      </c>
    </row>
    <row r="8499">
      <c r="A8499" s="4" t="s">
        <v>9110</v>
      </c>
      <c r="B8499" s="16"/>
      <c r="C8499" s="12">
        <f>IFERROR(__xludf.DUMMYFUNCTION("""COMPUTED_VALUE"""),44626.65228009259)</f>
        <v>44626.65228</v>
      </c>
      <c r="D8499" s="13">
        <f t="shared" si="1"/>
        <v>6</v>
      </c>
      <c r="E8499" s="13">
        <f t="shared" si="2"/>
        <v>15</v>
      </c>
    </row>
    <row r="8500">
      <c r="A8500" s="4" t="s">
        <v>9111</v>
      </c>
      <c r="B8500" s="16"/>
      <c r="C8500" s="12">
        <f>IFERROR(__xludf.DUMMYFUNCTION("""COMPUTED_VALUE"""),44626.65184027777)</f>
        <v>44626.65184</v>
      </c>
      <c r="D8500" s="13">
        <f t="shared" si="1"/>
        <v>6</v>
      </c>
      <c r="E8500" s="13">
        <f t="shared" si="2"/>
        <v>15</v>
      </c>
    </row>
    <row r="8501">
      <c r="A8501" s="4" t="s">
        <v>9112</v>
      </c>
      <c r="B8501" s="16"/>
      <c r="C8501" s="12">
        <f>IFERROR(__xludf.DUMMYFUNCTION("""COMPUTED_VALUE"""),44626.65020833333)</f>
        <v>44626.65021</v>
      </c>
      <c r="D8501" s="13">
        <f t="shared" si="1"/>
        <v>6</v>
      </c>
      <c r="E8501" s="13">
        <f t="shared" si="2"/>
        <v>15</v>
      </c>
    </row>
    <row r="8502">
      <c r="A8502" s="4" t="s">
        <v>9113</v>
      </c>
      <c r="B8502" s="16"/>
      <c r="C8502" s="12">
        <f>IFERROR(__xludf.DUMMYFUNCTION("""COMPUTED_VALUE"""),44626.64940972222)</f>
        <v>44626.64941</v>
      </c>
      <c r="D8502" s="13">
        <f t="shared" si="1"/>
        <v>6</v>
      </c>
      <c r="E8502" s="13">
        <f t="shared" si="2"/>
        <v>15</v>
      </c>
    </row>
    <row r="8503">
      <c r="A8503" s="4" t="s">
        <v>9114</v>
      </c>
      <c r="B8503" s="16"/>
      <c r="C8503" s="12">
        <f>IFERROR(__xludf.DUMMYFUNCTION("""COMPUTED_VALUE"""),44626.6477662037)</f>
        <v>44626.64777</v>
      </c>
      <c r="D8503" s="13">
        <f t="shared" si="1"/>
        <v>6</v>
      </c>
      <c r="E8503" s="13">
        <f t="shared" si="2"/>
        <v>15</v>
      </c>
    </row>
    <row r="8504">
      <c r="A8504" s="4" t="s">
        <v>9115</v>
      </c>
      <c r="B8504" s="16"/>
      <c r="C8504" s="12">
        <f>IFERROR(__xludf.DUMMYFUNCTION("""COMPUTED_VALUE"""),44626.646875)</f>
        <v>44626.64688</v>
      </c>
      <c r="D8504" s="13">
        <f t="shared" si="1"/>
        <v>6</v>
      </c>
      <c r="E8504" s="13">
        <f t="shared" si="2"/>
        <v>15</v>
      </c>
    </row>
    <row r="8505">
      <c r="A8505" s="4" t="s">
        <v>9116</v>
      </c>
      <c r="B8505" s="16"/>
      <c r="C8505" s="12">
        <f>IFERROR(__xludf.DUMMYFUNCTION("""COMPUTED_VALUE"""),44626.64649305555)</f>
        <v>44626.64649</v>
      </c>
      <c r="D8505" s="13">
        <f t="shared" si="1"/>
        <v>6</v>
      </c>
      <c r="E8505" s="13">
        <f t="shared" si="2"/>
        <v>15</v>
      </c>
    </row>
    <row r="8506">
      <c r="A8506" s="4" t="s">
        <v>9117</v>
      </c>
      <c r="B8506" s="16"/>
      <c r="C8506" s="12">
        <f>IFERROR(__xludf.DUMMYFUNCTION("""COMPUTED_VALUE"""),44626.64633101851)</f>
        <v>44626.64633</v>
      </c>
      <c r="D8506" s="13">
        <f t="shared" si="1"/>
        <v>6</v>
      </c>
      <c r="E8506" s="13">
        <f t="shared" si="2"/>
        <v>15</v>
      </c>
    </row>
    <row r="8507">
      <c r="A8507" s="4" t="s">
        <v>9118</v>
      </c>
      <c r="B8507" s="16"/>
      <c r="C8507" s="12">
        <f>IFERROR(__xludf.DUMMYFUNCTION("""COMPUTED_VALUE"""),44626.64576388889)</f>
        <v>44626.64576</v>
      </c>
      <c r="D8507" s="13">
        <f t="shared" si="1"/>
        <v>6</v>
      </c>
      <c r="E8507" s="13">
        <f t="shared" si="2"/>
        <v>15</v>
      </c>
    </row>
    <row r="8508">
      <c r="A8508" s="4" t="s">
        <v>9119</v>
      </c>
      <c r="B8508" s="16"/>
      <c r="C8508" s="12">
        <f>IFERROR(__xludf.DUMMYFUNCTION("""COMPUTED_VALUE"""),44626.645428240736)</f>
        <v>44626.64543</v>
      </c>
      <c r="D8508" s="13">
        <f t="shared" si="1"/>
        <v>6</v>
      </c>
      <c r="E8508" s="13">
        <f t="shared" si="2"/>
        <v>15</v>
      </c>
    </row>
    <row r="8509">
      <c r="A8509" s="4" t="s">
        <v>9120</v>
      </c>
      <c r="B8509" s="16"/>
      <c r="C8509" s="12">
        <f>IFERROR(__xludf.DUMMYFUNCTION("""COMPUTED_VALUE"""),44626.645277777774)</f>
        <v>44626.64528</v>
      </c>
      <c r="D8509" s="13">
        <f t="shared" si="1"/>
        <v>6</v>
      </c>
      <c r="E8509" s="13">
        <f t="shared" si="2"/>
        <v>15</v>
      </c>
    </row>
    <row r="8510">
      <c r="A8510" s="4" t="s">
        <v>9121</v>
      </c>
      <c r="B8510" s="16"/>
      <c r="C8510" s="12">
        <f>IFERROR(__xludf.DUMMYFUNCTION("""COMPUTED_VALUE"""),44626.64478009259)</f>
        <v>44626.64478</v>
      </c>
      <c r="D8510" s="13">
        <f t="shared" si="1"/>
        <v>6</v>
      </c>
      <c r="E8510" s="13">
        <f t="shared" si="2"/>
        <v>15</v>
      </c>
    </row>
    <row r="8511">
      <c r="A8511" s="4" t="s">
        <v>9122</v>
      </c>
      <c r="B8511" s="16"/>
      <c r="C8511" s="12">
        <f>IFERROR(__xludf.DUMMYFUNCTION("""COMPUTED_VALUE"""),44626.64461805555)</f>
        <v>44626.64462</v>
      </c>
      <c r="D8511" s="13">
        <f t="shared" si="1"/>
        <v>6</v>
      </c>
      <c r="E8511" s="13">
        <f t="shared" si="2"/>
        <v>15</v>
      </c>
    </row>
    <row r="8512">
      <c r="A8512" s="4" t="s">
        <v>9123</v>
      </c>
      <c r="B8512" s="16"/>
      <c r="C8512" s="12">
        <f>IFERROR(__xludf.DUMMYFUNCTION("""COMPUTED_VALUE"""),44626.638831018514)</f>
        <v>44626.63883</v>
      </c>
      <c r="D8512" s="13">
        <f t="shared" si="1"/>
        <v>6</v>
      </c>
      <c r="E8512" s="13">
        <f t="shared" si="2"/>
        <v>15</v>
      </c>
    </row>
    <row r="8513">
      <c r="A8513" s="4" t="s">
        <v>9124</v>
      </c>
      <c r="B8513" s="16"/>
      <c r="C8513" s="12">
        <f>IFERROR(__xludf.DUMMYFUNCTION("""COMPUTED_VALUE"""),44626.58375)</f>
        <v>44626.58375</v>
      </c>
      <c r="D8513" s="13">
        <f t="shared" si="1"/>
        <v>6</v>
      </c>
      <c r="E8513" s="13">
        <f t="shared" si="2"/>
        <v>14</v>
      </c>
    </row>
    <row r="8514">
      <c r="A8514" s="4" t="s">
        <v>9125</v>
      </c>
      <c r="B8514" s="16"/>
      <c r="C8514" s="12">
        <f>IFERROR(__xludf.DUMMYFUNCTION("""COMPUTED_VALUE"""),44626.573749999996)</f>
        <v>44626.57375</v>
      </c>
      <c r="D8514" s="13">
        <f t="shared" si="1"/>
        <v>6</v>
      </c>
      <c r="E8514" s="13">
        <f t="shared" si="2"/>
        <v>13</v>
      </c>
    </row>
    <row r="8515">
      <c r="A8515" s="4" t="s">
        <v>9126</v>
      </c>
      <c r="B8515" s="16"/>
      <c r="C8515" s="12">
        <f>IFERROR(__xludf.DUMMYFUNCTION("""COMPUTED_VALUE"""),44626.42518518518)</f>
        <v>44626.42519</v>
      </c>
      <c r="D8515" s="13">
        <f t="shared" si="1"/>
        <v>6</v>
      </c>
      <c r="E8515" s="13">
        <f t="shared" si="2"/>
        <v>10</v>
      </c>
    </row>
    <row r="8516">
      <c r="A8516" s="4" t="s">
        <v>9127</v>
      </c>
      <c r="B8516" s="16"/>
      <c r="C8516" s="12">
        <f>IFERROR(__xludf.DUMMYFUNCTION("""COMPUTED_VALUE"""),44626.40878472222)</f>
        <v>44626.40878</v>
      </c>
      <c r="D8516" s="13">
        <f t="shared" si="1"/>
        <v>6</v>
      </c>
      <c r="E8516" s="13">
        <f t="shared" si="2"/>
        <v>9</v>
      </c>
    </row>
    <row r="8517">
      <c r="A8517" s="4" t="s">
        <v>9128</v>
      </c>
      <c r="B8517" s="16"/>
      <c r="C8517" s="12">
        <f>IFERROR(__xludf.DUMMYFUNCTION("""COMPUTED_VALUE"""),44626.391180555554)</f>
        <v>44626.39118</v>
      </c>
      <c r="D8517" s="13">
        <f t="shared" si="1"/>
        <v>6</v>
      </c>
      <c r="E8517" s="13">
        <f t="shared" si="2"/>
        <v>9</v>
      </c>
    </row>
    <row r="8518">
      <c r="A8518" s="4" t="s">
        <v>9129</v>
      </c>
      <c r="B8518" s="16"/>
      <c r="C8518" s="12">
        <f>IFERROR(__xludf.DUMMYFUNCTION("""COMPUTED_VALUE"""),44626.39090277778)</f>
        <v>44626.3909</v>
      </c>
      <c r="D8518" s="13">
        <f t="shared" si="1"/>
        <v>6</v>
      </c>
      <c r="E8518" s="13">
        <f t="shared" si="2"/>
        <v>9</v>
      </c>
    </row>
    <row r="8519">
      <c r="A8519" s="4" t="s">
        <v>9130</v>
      </c>
      <c r="B8519" s="16"/>
      <c r="C8519" s="12">
        <f>IFERROR(__xludf.DUMMYFUNCTION("""COMPUTED_VALUE"""),44626.39054398148)</f>
        <v>44626.39054</v>
      </c>
      <c r="D8519" s="13">
        <f t="shared" si="1"/>
        <v>6</v>
      </c>
      <c r="E8519" s="13">
        <f t="shared" si="2"/>
        <v>9</v>
      </c>
    </row>
    <row r="8520">
      <c r="A8520" s="4" t="s">
        <v>9131</v>
      </c>
      <c r="B8520" s="16"/>
      <c r="C8520" s="12">
        <f>IFERROR(__xludf.DUMMYFUNCTION("""COMPUTED_VALUE"""),44626.38984953704)</f>
        <v>44626.38985</v>
      </c>
      <c r="D8520" s="13">
        <f t="shared" si="1"/>
        <v>6</v>
      </c>
      <c r="E8520" s="13">
        <f t="shared" si="2"/>
        <v>9</v>
      </c>
    </row>
    <row r="8521">
      <c r="A8521" s="4" t="s">
        <v>9132</v>
      </c>
      <c r="B8521" s="16"/>
      <c r="C8521" s="12">
        <f>IFERROR(__xludf.DUMMYFUNCTION("""COMPUTED_VALUE"""),44626.38335648148)</f>
        <v>44626.38336</v>
      </c>
      <c r="D8521" s="13">
        <f t="shared" si="1"/>
        <v>6</v>
      </c>
      <c r="E8521" s="13">
        <f t="shared" si="2"/>
        <v>9</v>
      </c>
    </row>
    <row r="8522">
      <c r="A8522" s="4" t="s">
        <v>9133</v>
      </c>
      <c r="B8522" s="16"/>
      <c r="C8522" s="12">
        <f>IFERROR(__xludf.DUMMYFUNCTION("""COMPUTED_VALUE"""),44626.38049768518)</f>
        <v>44626.3805</v>
      </c>
      <c r="D8522" s="13">
        <f t="shared" si="1"/>
        <v>6</v>
      </c>
      <c r="E8522" s="13">
        <f t="shared" si="2"/>
        <v>9</v>
      </c>
    </row>
    <row r="8523">
      <c r="A8523" s="4" t="s">
        <v>9134</v>
      </c>
      <c r="B8523" s="16"/>
      <c r="C8523" s="12">
        <f>IFERROR(__xludf.DUMMYFUNCTION("""COMPUTED_VALUE"""),44626.36523148148)</f>
        <v>44626.36523</v>
      </c>
      <c r="D8523" s="13">
        <f t="shared" si="1"/>
        <v>6</v>
      </c>
      <c r="E8523" s="13">
        <f t="shared" si="2"/>
        <v>8</v>
      </c>
    </row>
    <row r="8524">
      <c r="A8524" s="4" t="s">
        <v>9135</v>
      </c>
      <c r="B8524" s="16"/>
      <c r="C8524" s="12">
        <f>IFERROR(__xludf.DUMMYFUNCTION("""COMPUTED_VALUE"""),44626.35292824074)</f>
        <v>44626.35293</v>
      </c>
      <c r="D8524" s="13">
        <f t="shared" si="1"/>
        <v>6</v>
      </c>
      <c r="E8524" s="13">
        <f t="shared" si="2"/>
        <v>8</v>
      </c>
    </row>
    <row r="8525">
      <c r="A8525" s="4" t="s">
        <v>9136</v>
      </c>
      <c r="B8525" s="16"/>
      <c r="C8525" s="12">
        <f>IFERROR(__xludf.DUMMYFUNCTION("""COMPUTED_VALUE"""),44626.34311342592)</f>
        <v>44626.34311</v>
      </c>
      <c r="D8525" s="13">
        <f t="shared" si="1"/>
        <v>6</v>
      </c>
      <c r="E8525" s="13">
        <f t="shared" si="2"/>
        <v>8</v>
      </c>
    </row>
    <row r="8526">
      <c r="A8526" s="4" t="s">
        <v>9137</v>
      </c>
      <c r="B8526" s="16"/>
      <c r="C8526" s="12">
        <f>IFERROR(__xludf.DUMMYFUNCTION("""COMPUTED_VALUE"""),44626.32295138889)</f>
        <v>44626.32295</v>
      </c>
      <c r="D8526" s="13">
        <f t="shared" si="1"/>
        <v>6</v>
      </c>
      <c r="E8526" s="13">
        <f t="shared" si="2"/>
        <v>7</v>
      </c>
    </row>
    <row r="8527">
      <c r="A8527" s="4" t="s">
        <v>9138</v>
      </c>
      <c r="B8527" s="16"/>
      <c r="C8527" s="12">
        <f>IFERROR(__xludf.DUMMYFUNCTION("""COMPUTED_VALUE"""),44626.302569444444)</f>
        <v>44626.30257</v>
      </c>
      <c r="D8527" s="13">
        <f t="shared" si="1"/>
        <v>6</v>
      </c>
      <c r="E8527" s="13">
        <f t="shared" si="2"/>
        <v>7</v>
      </c>
    </row>
    <row r="8528">
      <c r="A8528" s="4" t="s">
        <v>9139</v>
      </c>
      <c r="B8528" s="16"/>
      <c r="C8528" s="12">
        <f>IFERROR(__xludf.DUMMYFUNCTION("""COMPUTED_VALUE"""),44625.92996527778)</f>
        <v>44625.92997</v>
      </c>
      <c r="D8528" s="13">
        <f t="shared" si="1"/>
        <v>5</v>
      </c>
      <c r="E8528" s="13">
        <f t="shared" si="2"/>
        <v>22</v>
      </c>
    </row>
    <row r="8529">
      <c r="A8529" s="4" t="s">
        <v>9140</v>
      </c>
      <c r="B8529" s="16"/>
      <c r="C8529" s="12">
        <f>IFERROR(__xludf.DUMMYFUNCTION("""COMPUTED_VALUE"""),44625.913206018515)</f>
        <v>44625.91321</v>
      </c>
      <c r="D8529" s="13">
        <f t="shared" si="1"/>
        <v>5</v>
      </c>
      <c r="E8529" s="13">
        <f t="shared" si="2"/>
        <v>21</v>
      </c>
    </row>
    <row r="8530">
      <c r="A8530" s="4" t="s">
        <v>9141</v>
      </c>
      <c r="B8530" s="16"/>
      <c r="C8530" s="12">
        <f>IFERROR(__xludf.DUMMYFUNCTION("""COMPUTED_VALUE"""),44625.83747685185)</f>
        <v>44625.83748</v>
      </c>
      <c r="D8530" s="13">
        <f t="shared" si="1"/>
        <v>5</v>
      </c>
      <c r="E8530" s="13">
        <f t="shared" si="2"/>
        <v>20</v>
      </c>
    </row>
    <row r="8531">
      <c r="A8531" s="4" t="s">
        <v>9142</v>
      </c>
      <c r="B8531" s="16"/>
      <c r="C8531" s="12">
        <f>IFERROR(__xludf.DUMMYFUNCTION("""COMPUTED_VALUE"""),44625.81653935185)</f>
        <v>44625.81654</v>
      </c>
      <c r="D8531" s="13">
        <f t="shared" si="1"/>
        <v>5</v>
      </c>
      <c r="E8531" s="13">
        <f t="shared" si="2"/>
        <v>19</v>
      </c>
    </row>
    <row r="8532">
      <c r="A8532" s="4" t="s">
        <v>9143</v>
      </c>
      <c r="B8532" s="16"/>
      <c r="C8532" s="12">
        <f>IFERROR(__xludf.DUMMYFUNCTION("""COMPUTED_VALUE"""),44625.813379629624)</f>
        <v>44625.81338</v>
      </c>
      <c r="D8532" s="13">
        <f t="shared" si="1"/>
        <v>5</v>
      </c>
      <c r="E8532" s="13">
        <f t="shared" si="2"/>
        <v>19</v>
      </c>
    </row>
    <row r="8533">
      <c r="A8533" s="4" t="s">
        <v>9143</v>
      </c>
      <c r="B8533" s="16"/>
      <c r="C8533" s="12">
        <f>IFERROR(__xludf.DUMMYFUNCTION("""COMPUTED_VALUE"""),44625.813379629624)</f>
        <v>44625.81338</v>
      </c>
      <c r="D8533" s="13">
        <f t="shared" si="1"/>
        <v>5</v>
      </c>
      <c r="E8533" s="13">
        <f t="shared" si="2"/>
        <v>19</v>
      </c>
    </row>
    <row r="8534">
      <c r="A8534" s="4" t="s">
        <v>9144</v>
      </c>
      <c r="B8534" s="16"/>
      <c r="C8534" s="12">
        <f>IFERROR(__xludf.DUMMYFUNCTION("""COMPUTED_VALUE"""),44625.81297453703)</f>
        <v>44625.81297</v>
      </c>
      <c r="D8534" s="13">
        <f t="shared" si="1"/>
        <v>5</v>
      </c>
      <c r="E8534" s="13">
        <f t="shared" si="2"/>
        <v>19</v>
      </c>
    </row>
    <row r="8535">
      <c r="A8535" s="4" t="s">
        <v>9145</v>
      </c>
      <c r="B8535" s="16"/>
      <c r="C8535" s="12">
        <f>IFERROR(__xludf.DUMMYFUNCTION("""COMPUTED_VALUE"""),44625.80538194444)</f>
        <v>44625.80538</v>
      </c>
      <c r="D8535" s="13">
        <f t="shared" si="1"/>
        <v>5</v>
      </c>
      <c r="E8535" s="13">
        <f t="shared" si="2"/>
        <v>19</v>
      </c>
    </row>
    <row r="8536">
      <c r="A8536" s="4" t="s">
        <v>9146</v>
      </c>
      <c r="B8536" s="16"/>
      <c r="C8536" s="12">
        <f>IFERROR(__xludf.DUMMYFUNCTION("""COMPUTED_VALUE"""),44625.80516203703)</f>
        <v>44625.80516</v>
      </c>
      <c r="D8536" s="13">
        <f t="shared" si="1"/>
        <v>5</v>
      </c>
      <c r="E8536" s="13">
        <f t="shared" si="2"/>
        <v>19</v>
      </c>
    </row>
    <row r="8537">
      <c r="A8537" s="4" t="s">
        <v>9147</v>
      </c>
      <c r="B8537" s="16"/>
      <c r="C8537" s="12">
        <f>IFERROR(__xludf.DUMMYFUNCTION("""COMPUTED_VALUE"""),44625.802893518514)</f>
        <v>44625.80289</v>
      </c>
      <c r="D8537" s="13">
        <f t="shared" si="1"/>
        <v>5</v>
      </c>
      <c r="E8537" s="13">
        <f t="shared" si="2"/>
        <v>19</v>
      </c>
    </row>
    <row r="8538">
      <c r="A8538" s="4" t="s">
        <v>9148</v>
      </c>
      <c r="B8538" s="16"/>
      <c r="C8538" s="12">
        <f>IFERROR(__xludf.DUMMYFUNCTION("""COMPUTED_VALUE"""),44625.80255787037)</f>
        <v>44625.80256</v>
      </c>
      <c r="D8538" s="13">
        <f t="shared" si="1"/>
        <v>5</v>
      </c>
      <c r="E8538" s="13">
        <f t="shared" si="2"/>
        <v>19</v>
      </c>
    </row>
    <row r="8539">
      <c r="A8539" s="4" t="s">
        <v>9149</v>
      </c>
      <c r="B8539" s="16"/>
      <c r="C8539" s="12">
        <f>IFERROR(__xludf.DUMMYFUNCTION("""COMPUTED_VALUE"""),44625.80034722222)</f>
        <v>44625.80035</v>
      </c>
      <c r="D8539" s="13">
        <f t="shared" si="1"/>
        <v>5</v>
      </c>
      <c r="E8539" s="13">
        <f t="shared" si="2"/>
        <v>19</v>
      </c>
    </row>
    <row r="8540">
      <c r="A8540" s="4" t="s">
        <v>9150</v>
      </c>
      <c r="B8540" s="16"/>
      <c r="C8540" s="12">
        <f>IFERROR(__xludf.DUMMYFUNCTION("""COMPUTED_VALUE"""),44625.772835648146)</f>
        <v>44625.77284</v>
      </c>
      <c r="D8540" s="13">
        <f t="shared" si="1"/>
        <v>5</v>
      </c>
      <c r="E8540" s="13">
        <f t="shared" si="2"/>
        <v>18</v>
      </c>
    </row>
    <row r="8541">
      <c r="A8541" s="4" t="s">
        <v>9151</v>
      </c>
      <c r="B8541" s="16"/>
      <c r="C8541" s="12">
        <f>IFERROR(__xludf.DUMMYFUNCTION("""COMPUTED_VALUE"""),44625.76956018518)</f>
        <v>44625.76956</v>
      </c>
      <c r="D8541" s="13">
        <f t="shared" si="1"/>
        <v>5</v>
      </c>
      <c r="E8541" s="13">
        <f t="shared" si="2"/>
        <v>18</v>
      </c>
    </row>
    <row r="8542">
      <c r="A8542" s="4" t="s">
        <v>9152</v>
      </c>
      <c r="B8542" s="16"/>
      <c r="C8542" s="12">
        <f>IFERROR(__xludf.DUMMYFUNCTION("""COMPUTED_VALUE"""),44625.76326388889)</f>
        <v>44625.76326</v>
      </c>
      <c r="D8542" s="13">
        <f t="shared" si="1"/>
        <v>5</v>
      </c>
      <c r="E8542" s="13">
        <f t="shared" si="2"/>
        <v>18</v>
      </c>
    </row>
    <row r="8543">
      <c r="A8543" s="4" t="s">
        <v>9153</v>
      </c>
      <c r="B8543" s="16"/>
      <c r="C8543" s="12">
        <f>IFERROR(__xludf.DUMMYFUNCTION("""COMPUTED_VALUE"""),44625.732094907406)</f>
        <v>44625.73209</v>
      </c>
      <c r="D8543" s="13">
        <f t="shared" si="1"/>
        <v>5</v>
      </c>
      <c r="E8543" s="13">
        <f t="shared" si="2"/>
        <v>17</v>
      </c>
    </row>
    <row r="8544">
      <c r="A8544" s="4" t="s">
        <v>9154</v>
      </c>
      <c r="B8544" s="16"/>
      <c r="C8544" s="12">
        <f>IFERROR(__xludf.DUMMYFUNCTION("""COMPUTED_VALUE"""),44625.6728125)</f>
        <v>44625.67281</v>
      </c>
      <c r="D8544" s="13">
        <f t="shared" si="1"/>
        <v>5</v>
      </c>
      <c r="E8544" s="13">
        <f t="shared" si="2"/>
        <v>16</v>
      </c>
    </row>
    <row r="8545">
      <c r="A8545" s="4" t="s">
        <v>9155</v>
      </c>
      <c r="B8545" s="16"/>
      <c r="C8545" s="12">
        <f>IFERROR(__xludf.DUMMYFUNCTION("""COMPUTED_VALUE"""),44625.657118055555)</f>
        <v>44625.65712</v>
      </c>
      <c r="D8545" s="13">
        <f t="shared" si="1"/>
        <v>5</v>
      </c>
      <c r="E8545" s="13">
        <f t="shared" si="2"/>
        <v>15</v>
      </c>
    </row>
    <row r="8546">
      <c r="A8546" s="4" t="s">
        <v>9156</v>
      </c>
      <c r="B8546" s="16"/>
      <c r="C8546" s="12">
        <f>IFERROR(__xludf.DUMMYFUNCTION("""COMPUTED_VALUE"""),44625.65671296296)</f>
        <v>44625.65671</v>
      </c>
      <c r="D8546" s="13">
        <f t="shared" si="1"/>
        <v>5</v>
      </c>
      <c r="E8546" s="13">
        <f t="shared" si="2"/>
        <v>15</v>
      </c>
    </row>
    <row r="8547">
      <c r="A8547" s="4" t="s">
        <v>9157</v>
      </c>
      <c r="B8547" s="16"/>
      <c r="C8547" s="12">
        <f>IFERROR(__xludf.DUMMYFUNCTION("""COMPUTED_VALUE"""),44625.63484953703)</f>
        <v>44625.63485</v>
      </c>
      <c r="D8547" s="13">
        <f t="shared" si="1"/>
        <v>5</v>
      </c>
      <c r="E8547" s="13">
        <f t="shared" si="2"/>
        <v>15</v>
      </c>
    </row>
    <row r="8548">
      <c r="A8548" s="4" t="s">
        <v>9158</v>
      </c>
      <c r="B8548" s="16"/>
      <c r="C8548" s="12">
        <f>IFERROR(__xludf.DUMMYFUNCTION("""COMPUTED_VALUE"""),44625.592951388884)</f>
        <v>44625.59295</v>
      </c>
      <c r="D8548" s="13">
        <f t="shared" si="1"/>
        <v>5</v>
      </c>
      <c r="E8548" s="13">
        <f t="shared" si="2"/>
        <v>14</v>
      </c>
    </row>
    <row r="8549">
      <c r="A8549" s="4" t="s">
        <v>9159</v>
      </c>
      <c r="B8549" s="16"/>
      <c r="C8549" s="12">
        <f>IFERROR(__xludf.DUMMYFUNCTION("""COMPUTED_VALUE"""),44625.59259259259)</f>
        <v>44625.59259</v>
      </c>
      <c r="D8549" s="13">
        <f t="shared" si="1"/>
        <v>5</v>
      </c>
      <c r="E8549" s="13">
        <f t="shared" si="2"/>
        <v>14</v>
      </c>
    </row>
    <row r="8550">
      <c r="A8550" s="4" t="s">
        <v>9160</v>
      </c>
      <c r="B8550" s="16"/>
      <c r="C8550" s="12">
        <f>IFERROR(__xludf.DUMMYFUNCTION("""COMPUTED_VALUE"""),44625.56303240741)</f>
        <v>44625.56303</v>
      </c>
      <c r="D8550" s="13">
        <f t="shared" si="1"/>
        <v>5</v>
      </c>
      <c r="E8550" s="13">
        <f t="shared" si="2"/>
        <v>13</v>
      </c>
    </row>
    <row r="8551">
      <c r="A8551" s="4" t="s">
        <v>9161</v>
      </c>
      <c r="B8551" s="16"/>
      <c r="C8551" s="12">
        <f>IFERROR(__xludf.DUMMYFUNCTION("""COMPUTED_VALUE"""),44625.55821759259)</f>
        <v>44625.55822</v>
      </c>
      <c r="D8551" s="13">
        <f t="shared" si="1"/>
        <v>5</v>
      </c>
      <c r="E8551" s="13">
        <f t="shared" si="2"/>
        <v>13</v>
      </c>
    </row>
    <row r="8552">
      <c r="A8552" s="4" t="s">
        <v>9162</v>
      </c>
      <c r="B8552" s="16"/>
      <c r="C8552" s="12">
        <f>IFERROR(__xludf.DUMMYFUNCTION("""COMPUTED_VALUE"""),44625.54451388889)</f>
        <v>44625.54451</v>
      </c>
      <c r="D8552" s="13">
        <f t="shared" si="1"/>
        <v>5</v>
      </c>
      <c r="E8552" s="13">
        <f t="shared" si="2"/>
        <v>13</v>
      </c>
    </row>
    <row r="8553">
      <c r="A8553" s="4" t="s">
        <v>9163</v>
      </c>
      <c r="B8553" s="16"/>
      <c r="C8553" s="12">
        <f>IFERROR(__xludf.DUMMYFUNCTION("""COMPUTED_VALUE"""),44625.54267361111)</f>
        <v>44625.54267</v>
      </c>
      <c r="D8553" s="13">
        <f t="shared" si="1"/>
        <v>5</v>
      </c>
      <c r="E8553" s="13">
        <f t="shared" si="2"/>
        <v>13</v>
      </c>
    </row>
    <row r="8554">
      <c r="A8554" s="4" t="s">
        <v>9164</v>
      </c>
      <c r="B8554" s="16"/>
      <c r="C8554" s="12">
        <f>IFERROR(__xludf.DUMMYFUNCTION("""COMPUTED_VALUE"""),44625.541354166664)</f>
        <v>44625.54135</v>
      </c>
      <c r="D8554" s="13">
        <f t="shared" si="1"/>
        <v>5</v>
      </c>
      <c r="E8554" s="13">
        <f t="shared" si="2"/>
        <v>12</v>
      </c>
    </row>
    <row r="8555">
      <c r="A8555" s="4" t="s">
        <v>9165</v>
      </c>
      <c r="B8555" s="16"/>
      <c r="C8555" s="12">
        <f>IFERROR(__xludf.DUMMYFUNCTION("""COMPUTED_VALUE"""),44625.532129629624)</f>
        <v>44625.53213</v>
      </c>
      <c r="D8555" s="13">
        <f t="shared" si="1"/>
        <v>5</v>
      </c>
      <c r="E8555" s="13">
        <f t="shared" si="2"/>
        <v>12</v>
      </c>
    </row>
    <row r="8556">
      <c r="A8556" s="4" t="s">
        <v>9166</v>
      </c>
      <c r="B8556" s="16"/>
      <c r="C8556" s="12">
        <f>IFERROR(__xludf.DUMMYFUNCTION("""COMPUTED_VALUE"""),44625.52273148148)</f>
        <v>44625.52273</v>
      </c>
      <c r="D8556" s="13">
        <f t="shared" si="1"/>
        <v>5</v>
      </c>
      <c r="E8556" s="13">
        <f t="shared" si="2"/>
        <v>12</v>
      </c>
    </row>
    <row r="8557">
      <c r="A8557" s="4" t="s">
        <v>9167</v>
      </c>
      <c r="B8557" s="16"/>
      <c r="C8557" s="12">
        <f>IFERROR(__xludf.DUMMYFUNCTION("""COMPUTED_VALUE"""),44625.51527777778)</f>
        <v>44625.51528</v>
      </c>
      <c r="D8557" s="13">
        <f t="shared" si="1"/>
        <v>5</v>
      </c>
      <c r="E8557" s="13">
        <f t="shared" si="2"/>
        <v>12</v>
      </c>
    </row>
    <row r="8558">
      <c r="A8558" s="4" t="s">
        <v>9168</v>
      </c>
      <c r="B8558" s="16"/>
      <c r="C8558" s="12">
        <f>IFERROR(__xludf.DUMMYFUNCTION("""COMPUTED_VALUE"""),44625.51428240741)</f>
        <v>44625.51428</v>
      </c>
      <c r="D8558" s="13">
        <f t="shared" si="1"/>
        <v>5</v>
      </c>
      <c r="E8558" s="13">
        <f t="shared" si="2"/>
        <v>12</v>
      </c>
    </row>
    <row r="8559">
      <c r="A8559" s="4" t="s">
        <v>9169</v>
      </c>
      <c r="B8559" s="16"/>
      <c r="C8559" s="12">
        <f>IFERROR(__xludf.DUMMYFUNCTION("""COMPUTED_VALUE"""),44625.502233796295)</f>
        <v>44625.50223</v>
      </c>
      <c r="D8559" s="13">
        <f t="shared" si="1"/>
        <v>5</v>
      </c>
      <c r="E8559" s="13">
        <f t="shared" si="2"/>
        <v>12</v>
      </c>
    </row>
    <row r="8560">
      <c r="A8560" s="4" t="s">
        <v>9170</v>
      </c>
      <c r="B8560" s="16"/>
      <c r="C8560" s="12">
        <f>IFERROR(__xludf.DUMMYFUNCTION("""COMPUTED_VALUE"""),44625.50173611111)</f>
        <v>44625.50174</v>
      </c>
      <c r="D8560" s="13">
        <f t="shared" si="1"/>
        <v>5</v>
      </c>
      <c r="E8560" s="13">
        <f t="shared" si="2"/>
        <v>12</v>
      </c>
    </row>
    <row r="8561">
      <c r="A8561" s="4" t="s">
        <v>9171</v>
      </c>
      <c r="B8561" s="16"/>
      <c r="C8561" s="12">
        <f>IFERROR(__xludf.DUMMYFUNCTION("""COMPUTED_VALUE"""),44625.44452546296)</f>
        <v>44625.44453</v>
      </c>
      <c r="D8561" s="13">
        <f t="shared" si="1"/>
        <v>5</v>
      </c>
      <c r="E8561" s="13">
        <f t="shared" si="2"/>
        <v>10</v>
      </c>
    </row>
    <row r="8562">
      <c r="A8562" s="4" t="s">
        <v>9172</v>
      </c>
      <c r="B8562" s="16"/>
      <c r="C8562" s="12">
        <f>IFERROR(__xludf.DUMMYFUNCTION("""COMPUTED_VALUE"""),44625.43849537037)</f>
        <v>44625.4385</v>
      </c>
      <c r="D8562" s="13">
        <f t="shared" si="1"/>
        <v>5</v>
      </c>
      <c r="E8562" s="13">
        <f t="shared" si="2"/>
        <v>10</v>
      </c>
    </row>
    <row r="8563">
      <c r="A8563" s="4" t="s">
        <v>9173</v>
      </c>
      <c r="B8563" s="16"/>
      <c r="C8563" s="12">
        <f>IFERROR(__xludf.DUMMYFUNCTION("""COMPUTED_VALUE"""),44625.4230324074)</f>
        <v>44625.42303</v>
      </c>
      <c r="D8563" s="13">
        <f t="shared" si="1"/>
        <v>5</v>
      </c>
      <c r="E8563" s="13">
        <f t="shared" si="2"/>
        <v>10</v>
      </c>
    </row>
    <row r="8564">
      <c r="A8564" s="4" t="s">
        <v>9174</v>
      </c>
      <c r="B8564" s="16"/>
      <c r="C8564" s="12">
        <f>IFERROR(__xludf.DUMMYFUNCTION("""COMPUTED_VALUE"""),44625.407754629625)</f>
        <v>44625.40775</v>
      </c>
      <c r="D8564" s="13">
        <f t="shared" si="1"/>
        <v>5</v>
      </c>
      <c r="E8564" s="13">
        <f t="shared" si="2"/>
        <v>9</v>
      </c>
    </row>
    <row r="8565">
      <c r="A8565" s="4" t="s">
        <v>9175</v>
      </c>
      <c r="B8565" s="16"/>
      <c r="C8565" s="12">
        <f>IFERROR(__xludf.DUMMYFUNCTION("""COMPUTED_VALUE"""),44625.40766203703)</f>
        <v>44625.40766</v>
      </c>
      <c r="D8565" s="13">
        <f t="shared" si="1"/>
        <v>5</v>
      </c>
      <c r="E8565" s="13">
        <f t="shared" si="2"/>
        <v>9</v>
      </c>
    </row>
    <row r="8566">
      <c r="A8566" s="4" t="s">
        <v>9176</v>
      </c>
      <c r="B8566" s="16"/>
      <c r="C8566" s="12">
        <f>IFERROR(__xludf.DUMMYFUNCTION("""COMPUTED_VALUE"""),44625.390081018515)</f>
        <v>44625.39008</v>
      </c>
      <c r="D8566" s="13">
        <f t="shared" si="1"/>
        <v>5</v>
      </c>
      <c r="E8566" s="13">
        <f t="shared" si="2"/>
        <v>9</v>
      </c>
    </row>
    <row r="8567">
      <c r="A8567" s="4" t="s">
        <v>9177</v>
      </c>
      <c r="B8567" s="16"/>
      <c r="C8567" s="12">
        <f>IFERROR(__xludf.DUMMYFUNCTION("""COMPUTED_VALUE"""),44625.361817129626)</f>
        <v>44625.36182</v>
      </c>
      <c r="D8567" s="13">
        <f t="shared" si="1"/>
        <v>5</v>
      </c>
      <c r="E8567" s="13">
        <f t="shared" si="2"/>
        <v>8</v>
      </c>
    </row>
    <row r="8568">
      <c r="A8568" s="4" t="s">
        <v>9178</v>
      </c>
      <c r="B8568" s="16"/>
      <c r="C8568" s="12">
        <f>IFERROR(__xludf.DUMMYFUNCTION("""COMPUTED_VALUE"""),44625.36054398148)</f>
        <v>44625.36054</v>
      </c>
      <c r="D8568" s="13">
        <f t="shared" si="1"/>
        <v>5</v>
      </c>
      <c r="E8568" s="13">
        <f t="shared" si="2"/>
        <v>8</v>
      </c>
    </row>
    <row r="8569">
      <c r="A8569" s="4" t="s">
        <v>9179</v>
      </c>
      <c r="B8569" s="16"/>
      <c r="C8569" s="12">
        <f>IFERROR(__xludf.DUMMYFUNCTION("""COMPUTED_VALUE"""),44625.34253472222)</f>
        <v>44625.34253</v>
      </c>
      <c r="D8569" s="13">
        <f t="shared" si="1"/>
        <v>5</v>
      </c>
      <c r="E8569" s="13">
        <f t="shared" si="2"/>
        <v>8</v>
      </c>
    </row>
    <row r="8570">
      <c r="A8570" s="4" t="s">
        <v>9180</v>
      </c>
      <c r="B8570" s="16"/>
      <c r="C8570" s="12">
        <f>IFERROR(__xludf.DUMMYFUNCTION("""COMPUTED_VALUE"""),44625.340798611105)</f>
        <v>44625.3408</v>
      </c>
      <c r="D8570" s="13">
        <f t="shared" si="1"/>
        <v>5</v>
      </c>
      <c r="E8570" s="13">
        <f t="shared" si="2"/>
        <v>8</v>
      </c>
    </row>
    <row r="8571">
      <c r="A8571" s="4" t="s">
        <v>9181</v>
      </c>
      <c r="B8571" s="16"/>
      <c r="C8571" s="12">
        <f>IFERROR(__xludf.DUMMYFUNCTION("""COMPUTED_VALUE"""),44625.33671296296)</f>
        <v>44625.33671</v>
      </c>
      <c r="D8571" s="13">
        <f t="shared" si="1"/>
        <v>5</v>
      </c>
      <c r="E8571" s="13">
        <f t="shared" si="2"/>
        <v>8</v>
      </c>
    </row>
    <row r="8572">
      <c r="A8572" s="4" t="s">
        <v>9182</v>
      </c>
      <c r="B8572" s="16"/>
      <c r="C8572" s="12">
        <f>IFERROR(__xludf.DUMMYFUNCTION("""COMPUTED_VALUE"""),44625.332719907405)</f>
        <v>44625.33272</v>
      </c>
      <c r="D8572" s="13">
        <f t="shared" si="1"/>
        <v>5</v>
      </c>
      <c r="E8572" s="13">
        <f t="shared" si="2"/>
        <v>7</v>
      </c>
    </row>
    <row r="8573">
      <c r="A8573" s="4" t="s">
        <v>9183</v>
      </c>
      <c r="B8573" s="16"/>
      <c r="C8573" s="12">
        <f>IFERROR(__xludf.DUMMYFUNCTION("""COMPUTED_VALUE"""),44625.31103009259)</f>
        <v>44625.31103</v>
      </c>
      <c r="D8573" s="13">
        <f t="shared" si="1"/>
        <v>5</v>
      </c>
      <c r="E8573" s="13">
        <f t="shared" si="2"/>
        <v>7</v>
      </c>
    </row>
    <row r="8574">
      <c r="A8574" s="4" t="s">
        <v>9184</v>
      </c>
      <c r="B8574" s="16"/>
      <c r="C8574" s="12">
        <f>IFERROR(__xludf.DUMMYFUNCTION("""COMPUTED_VALUE"""),44625.310023148144)</f>
        <v>44625.31002</v>
      </c>
      <c r="D8574" s="13">
        <f t="shared" si="1"/>
        <v>5</v>
      </c>
      <c r="E8574" s="13">
        <f t="shared" si="2"/>
        <v>7</v>
      </c>
    </row>
    <row r="8575">
      <c r="A8575" s="4" t="s">
        <v>9185</v>
      </c>
      <c r="B8575" s="16"/>
      <c r="C8575" s="12">
        <f>IFERROR(__xludf.DUMMYFUNCTION("""COMPUTED_VALUE"""),44625.30396990741)</f>
        <v>44625.30397</v>
      </c>
      <c r="D8575" s="13">
        <f t="shared" si="1"/>
        <v>5</v>
      </c>
      <c r="E8575" s="13">
        <f t="shared" si="2"/>
        <v>7</v>
      </c>
    </row>
    <row r="8576">
      <c r="A8576" s="4" t="s">
        <v>9186</v>
      </c>
      <c r="B8576" s="16"/>
      <c r="C8576" s="12">
        <f>IFERROR(__xludf.DUMMYFUNCTION("""COMPUTED_VALUE"""),44625.28487268518)</f>
        <v>44625.28487</v>
      </c>
      <c r="D8576" s="13">
        <f t="shared" si="1"/>
        <v>5</v>
      </c>
      <c r="E8576" s="13">
        <f t="shared" si="2"/>
        <v>6</v>
      </c>
    </row>
    <row r="8577">
      <c r="A8577" s="4" t="s">
        <v>9187</v>
      </c>
      <c r="B8577" s="16"/>
      <c r="C8577" s="12">
        <f>IFERROR(__xludf.DUMMYFUNCTION("""COMPUTED_VALUE"""),44625.07368055555)</f>
        <v>44625.07368</v>
      </c>
      <c r="D8577" s="13">
        <f t="shared" si="1"/>
        <v>5</v>
      </c>
      <c r="E8577" s="13">
        <f t="shared" si="2"/>
        <v>1</v>
      </c>
    </row>
    <row r="8578">
      <c r="A8578" s="4" t="s">
        <v>9188</v>
      </c>
      <c r="B8578" s="16"/>
      <c r="C8578" s="12">
        <f>IFERROR(__xludf.DUMMYFUNCTION("""COMPUTED_VALUE"""),44625.01688657407)</f>
        <v>44625.01689</v>
      </c>
      <c r="D8578" s="13">
        <f t="shared" si="1"/>
        <v>5</v>
      </c>
      <c r="E8578" s="13">
        <f t="shared" si="2"/>
        <v>0</v>
      </c>
    </row>
    <row r="8579">
      <c r="A8579" s="4" t="s">
        <v>9189</v>
      </c>
      <c r="B8579" s="16"/>
      <c r="C8579" s="12">
        <f>IFERROR(__xludf.DUMMYFUNCTION("""COMPUTED_VALUE"""),44624.98376157407)</f>
        <v>44624.98376</v>
      </c>
      <c r="D8579" s="13">
        <f t="shared" si="1"/>
        <v>4</v>
      </c>
      <c r="E8579" s="13">
        <f t="shared" si="2"/>
        <v>23</v>
      </c>
    </row>
    <row r="8580">
      <c r="A8580" s="4" t="s">
        <v>9190</v>
      </c>
      <c r="B8580" s="16"/>
      <c r="C8580" s="12">
        <f>IFERROR(__xludf.DUMMYFUNCTION("""COMPUTED_VALUE"""),44624.92974537037)</f>
        <v>44624.92975</v>
      </c>
      <c r="D8580" s="13">
        <f t="shared" si="1"/>
        <v>4</v>
      </c>
      <c r="E8580" s="13">
        <f t="shared" si="2"/>
        <v>22</v>
      </c>
    </row>
    <row r="8581">
      <c r="A8581" s="4" t="s">
        <v>9191</v>
      </c>
      <c r="B8581" s="16"/>
      <c r="C8581" s="12">
        <f>IFERROR(__xludf.DUMMYFUNCTION("""COMPUTED_VALUE"""),44624.916550925926)</f>
        <v>44624.91655</v>
      </c>
      <c r="D8581" s="13">
        <f t="shared" si="1"/>
        <v>4</v>
      </c>
      <c r="E8581" s="13">
        <f t="shared" si="2"/>
        <v>21</v>
      </c>
    </row>
    <row r="8582">
      <c r="A8582" s="4" t="s">
        <v>9192</v>
      </c>
      <c r="B8582" s="16"/>
      <c r="C8582" s="12">
        <f>IFERROR(__xludf.DUMMYFUNCTION("""COMPUTED_VALUE"""),44624.9080787037)</f>
        <v>44624.90808</v>
      </c>
      <c r="D8582" s="13">
        <f t="shared" si="1"/>
        <v>4</v>
      </c>
      <c r="E8582" s="13">
        <f t="shared" si="2"/>
        <v>21</v>
      </c>
    </row>
    <row r="8583">
      <c r="A8583" s="4" t="s">
        <v>9193</v>
      </c>
      <c r="B8583" s="16"/>
      <c r="C8583" s="12">
        <f>IFERROR(__xludf.DUMMYFUNCTION("""COMPUTED_VALUE"""),44624.90660879629)</f>
        <v>44624.90661</v>
      </c>
      <c r="D8583" s="13">
        <f t="shared" si="1"/>
        <v>4</v>
      </c>
      <c r="E8583" s="13">
        <f t="shared" si="2"/>
        <v>21</v>
      </c>
    </row>
    <row r="8584">
      <c r="A8584" s="4" t="s">
        <v>9194</v>
      </c>
      <c r="B8584" s="16"/>
      <c r="C8584" s="12">
        <f>IFERROR(__xludf.DUMMYFUNCTION("""COMPUTED_VALUE"""),44624.90310185185)</f>
        <v>44624.9031</v>
      </c>
      <c r="D8584" s="13">
        <f t="shared" si="1"/>
        <v>4</v>
      </c>
      <c r="E8584" s="13">
        <f t="shared" si="2"/>
        <v>21</v>
      </c>
    </row>
    <row r="8585">
      <c r="A8585" s="4" t="s">
        <v>9195</v>
      </c>
      <c r="B8585" s="16"/>
      <c r="C8585" s="12">
        <f>IFERROR(__xludf.DUMMYFUNCTION("""COMPUTED_VALUE"""),44624.88576388889)</f>
        <v>44624.88576</v>
      </c>
      <c r="D8585" s="13">
        <f t="shared" si="1"/>
        <v>4</v>
      </c>
      <c r="E8585" s="13">
        <f t="shared" si="2"/>
        <v>21</v>
      </c>
    </row>
    <row r="8586">
      <c r="A8586" s="4" t="s">
        <v>9196</v>
      </c>
      <c r="B8586" s="16"/>
      <c r="C8586" s="12">
        <f>IFERROR(__xludf.DUMMYFUNCTION("""COMPUTED_VALUE"""),44624.87396990741)</f>
        <v>44624.87397</v>
      </c>
      <c r="D8586" s="13">
        <f t="shared" si="1"/>
        <v>4</v>
      </c>
      <c r="E8586" s="13">
        <f t="shared" si="2"/>
        <v>20</v>
      </c>
    </row>
    <row r="8587">
      <c r="A8587" s="4" t="s">
        <v>9197</v>
      </c>
      <c r="B8587" s="16"/>
      <c r="C8587" s="12">
        <f>IFERROR(__xludf.DUMMYFUNCTION("""COMPUTED_VALUE"""),44624.858831018515)</f>
        <v>44624.85883</v>
      </c>
      <c r="D8587" s="13">
        <f t="shared" si="1"/>
        <v>4</v>
      </c>
      <c r="E8587" s="13">
        <f t="shared" si="2"/>
        <v>20</v>
      </c>
    </row>
    <row r="8588">
      <c r="A8588" s="4" t="s">
        <v>9198</v>
      </c>
      <c r="B8588" s="16"/>
      <c r="C8588" s="12">
        <f>IFERROR(__xludf.DUMMYFUNCTION("""COMPUTED_VALUE"""),44624.847245370365)</f>
        <v>44624.84725</v>
      </c>
      <c r="D8588" s="13">
        <f t="shared" si="1"/>
        <v>4</v>
      </c>
      <c r="E8588" s="13">
        <f t="shared" si="2"/>
        <v>20</v>
      </c>
    </row>
    <row r="8589">
      <c r="A8589" s="4" t="s">
        <v>9199</v>
      </c>
      <c r="B8589" s="16"/>
      <c r="C8589" s="12">
        <f>IFERROR(__xludf.DUMMYFUNCTION("""COMPUTED_VALUE"""),44624.843773148146)</f>
        <v>44624.84377</v>
      </c>
      <c r="D8589" s="13">
        <f t="shared" si="1"/>
        <v>4</v>
      </c>
      <c r="E8589" s="13">
        <f t="shared" si="2"/>
        <v>20</v>
      </c>
    </row>
    <row r="8590">
      <c r="A8590" s="4" t="s">
        <v>9200</v>
      </c>
      <c r="B8590" s="16"/>
      <c r="C8590" s="12">
        <f>IFERROR(__xludf.DUMMYFUNCTION("""COMPUTED_VALUE"""),44624.84050925926)</f>
        <v>44624.84051</v>
      </c>
      <c r="D8590" s="13">
        <f t="shared" si="1"/>
        <v>4</v>
      </c>
      <c r="E8590" s="13">
        <f t="shared" si="2"/>
        <v>20</v>
      </c>
    </row>
    <row r="8591">
      <c r="A8591" s="4" t="s">
        <v>9201</v>
      </c>
      <c r="B8591" s="16"/>
      <c r="C8591" s="12">
        <f>IFERROR(__xludf.DUMMYFUNCTION("""COMPUTED_VALUE"""),44624.837685185186)</f>
        <v>44624.83769</v>
      </c>
      <c r="D8591" s="13">
        <f t="shared" si="1"/>
        <v>4</v>
      </c>
      <c r="E8591" s="13">
        <f t="shared" si="2"/>
        <v>20</v>
      </c>
    </row>
    <row r="8592">
      <c r="A8592" s="4" t="s">
        <v>9202</v>
      </c>
      <c r="B8592" s="16"/>
      <c r="C8592" s="12">
        <f>IFERROR(__xludf.DUMMYFUNCTION("""COMPUTED_VALUE"""),44624.83689814815)</f>
        <v>44624.8369</v>
      </c>
      <c r="D8592" s="13">
        <f t="shared" si="1"/>
        <v>4</v>
      </c>
      <c r="E8592" s="13">
        <f t="shared" si="2"/>
        <v>20</v>
      </c>
    </row>
    <row r="8593">
      <c r="A8593" s="4" t="s">
        <v>9203</v>
      </c>
      <c r="B8593" s="16"/>
      <c r="C8593" s="12">
        <f>IFERROR(__xludf.DUMMYFUNCTION("""COMPUTED_VALUE"""),44624.7686574074)</f>
        <v>44624.76866</v>
      </c>
      <c r="D8593" s="13">
        <f t="shared" si="1"/>
        <v>4</v>
      </c>
      <c r="E8593" s="13">
        <f t="shared" si="2"/>
        <v>18</v>
      </c>
    </row>
    <row r="8594">
      <c r="A8594" s="4" t="s">
        <v>9204</v>
      </c>
      <c r="B8594" s="16"/>
      <c r="C8594" s="12">
        <f>IFERROR(__xludf.DUMMYFUNCTION("""COMPUTED_VALUE"""),44624.758125)</f>
        <v>44624.75813</v>
      </c>
      <c r="D8594" s="13">
        <f t="shared" si="1"/>
        <v>4</v>
      </c>
      <c r="E8594" s="13">
        <f t="shared" si="2"/>
        <v>18</v>
      </c>
    </row>
    <row r="8595">
      <c r="A8595" s="4" t="s">
        <v>9205</v>
      </c>
      <c r="B8595" s="16"/>
      <c r="C8595" s="12">
        <f>IFERROR(__xludf.DUMMYFUNCTION("""COMPUTED_VALUE"""),44624.74912037037)</f>
        <v>44624.74912</v>
      </c>
      <c r="D8595" s="13">
        <f t="shared" si="1"/>
        <v>4</v>
      </c>
      <c r="E8595" s="13">
        <f t="shared" si="2"/>
        <v>17</v>
      </c>
    </row>
    <row r="8596">
      <c r="A8596" s="4" t="s">
        <v>9206</v>
      </c>
      <c r="B8596" s="16"/>
      <c r="C8596" s="12">
        <f>IFERROR(__xludf.DUMMYFUNCTION("""COMPUTED_VALUE"""),44624.71190972222)</f>
        <v>44624.71191</v>
      </c>
      <c r="D8596" s="13">
        <f t="shared" si="1"/>
        <v>4</v>
      </c>
      <c r="E8596" s="13">
        <f t="shared" si="2"/>
        <v>17</v>
      </c>
    </row>
    <row r="8597">
      <c r="A8597" s="4" t="s">
        <v>9207</v>
      </c>
      <c r="B8597" s="16"/>
      <c r="C8597" s="12">
        <f>IFERROR(__xludf.DUMMYFUNCTION("""COMPUTED_VALUE"""),44624.71092592592)</f>
        <v>44624.71093</v>
      </c>
      <c r="D8597" s="13">
        <f t="shared" si="1"/>
        <v>4</v>
      </c>
      <c r="E8597" s="13">
        <f t="shared" si="2"/>
        <v>17</v>
      </c>
    </row>
    <row r="8598">
      <c r="A8598" s="4" t="s">
        <v>9208</v>
      </c>
      <c r="B8598" s="16"/>
      <c r="C8598" s="12">
        <f>IFERROR(__xludf.DUMMYFUNCTION("""COMPUTED_VALUE"""),44624.71072916666)</f>
        <v>44624.71073</v>
      </c>
      <c r="D8598" s="13">
        <f t="shared" si="1"/>
        <v>4</v>
      </c>
      <c r="E8598" s="13">
        <f t="shared" si="2"/>
        <v>17</v>
      </c>
    </row>
    <row r="8599">
      <c r="A8599" s="4" t="s">
        <v>9209</v>
      </c>
      <c r="B8599" s="16"/>
      <c r="C8599" s="12">
        <f>IFERROR(__xludf.DUMMYFUNCTION("""COMPUTED_VALUE"""),44624.657546296294)</f>
        <v>44624.65755</v>
      </c>
      <c r="D8599" s="13">
        <f t="shared" si="1"/>
        <v>4</v>
      </c>
      <c r="E8599" s="13">
        <f t="shared" si="2"/>
        <v>15</v>
      </c>
    </row>
    <row r="8600">
      <c r="A8600" s="4" t="s">
        <v>9210</v>
      </c>
      <c r="B8600" s="16"/>
      <c r="C8600" s="12">
        <f>IFERROR(__xludf.DUMMYFUNCTION("""COMPUTED_VALUE"""),44624.64084490741)</f>
        <v>44624.64084</v>
      </c>
      <c r="D8600" s="13">
        <f t="shared" si="1"/>
        <v>4</v>
      </c>
      <c r="E8600" s="13">
        <f t="shared" si="2"/>
        <v>15</v>
      </c>
    </row>
    <row r="8601">
      <c r="A8601" s="4" t="s">
        <v>9211</v>
      </c>
      <c r="B8601" s="16"/>
      <c r="C8601" s="12">
        <f>IFERROR(__xludf.DUMMYFUNCTION("""COMPUTED_VALUE"""),44624.63800925926)</f>
        <v>44624.63801</v>
      </c>
      <c r="D8601" s="13">
        <f t="shared" si="1"/>
        <v>4</v>
      </c>
      <c r="E8601" s="13">
        <f t="shared" si="2"/>
        <v>15</v>
      </c>
    </row>
    <row r="8602">
      <c r="A8602" s="4" t="s">
        <v>9212</v>
      </c>
      <c r="B8602" s="16"/>
      <c r="C8602" s="12">
        <f>IFERROR(__xludf.DUMMYFUNCTION("""COMPUTED_VALUE"""),44624.63402777778)</f>
        <v>44624.63403</v>
      </c>
      <c r="D8602" s="13">
        <f t="shared" si="1"/>
        <v>4</v>
      </c>
      <c r="E8602" s="13">
        <f t="shared" si="2"/>
        <v>15</v>
      </c>
    </row>
    <row r="8603">
      <c r="A8603" s="4" t="s">
        <v>9213</v>
      </c>
      <c r="B8603" s="16"/>
      <c r="C8603" s="12">
        <f>IFERROR(__xludf.DUMMYFUNCTION("""COMPUTED_VALUE"""),44624.590578703705)</f>
        <v>44624.59058</v>
      </c>
      <c r="D8603" s="13">
        <f t="shared" si="1"/>
        <v>4</v>
      </c>
      <c r="E8603" s="13">
        <f t="shared" si="2"/>
        <v>14</v>
      </c>
    </row>
    <row r="8604">
      <c r="A8604" s="4" t="s">
        <v>9214</v>
      </c>
      <c r="B8604" s="16"/>
      <c r="C8604" s="12">
        <f>IFERROR(__xludf.DUMMYFUNCTION("""COMPUTED_VALUE"""),44624.567361111105)</f>
        <v>44624.56736</v>
      </c>
      <c r="D8604" s="13">
        <f t="shared" si="1"/>
        <v>4</v>
      </c>
      <c r="E8604" s="13">
        <f t="shared" si="2"/>
        <v>13</v>
      </c>
    </row>
    <row r="8605">
      <c r="A8605" s="4" t="s">
        <v>9215</v>
      </c>
      <c r="B8605" s="16"/>
      <c r="C8605" s="12">
        <f>IFERROR(__xludf.DUMMYFUNCTION("""COMPUTED_VALUE"""),44624.561631944445)</f>
        <v>44624.56163</v>
      </c>
      <c r="D8605" s="13">
        <f t="shared" si="1"/>
        <v>4</v>
      </c>
      <c r="E8605" s="13">
        <f t="shared" si="2"/>
        <v>13</v>
      </c>
    </row>
    <row r="8606">
      <c r="A8606" s="4" t="s">
        <v>9216</v>
      </c>
      <c r="B8606" s="16"/>
      <c r="C8606" s="12">
        <f>IFERROR(__xludf.DUMMYFUNCTION("""COMPUTED_VALUE"""),44624.48893518518)</f>
        <v>44624.48894</v>
      </c>
      <c r="D8606" s="13">
        <f t="shared" si="1"/>
        <v>4</v>
      </c>
      <c r="E8606" s="13">
        <f t="shared" si="2"/>
        <v>11</v>
      </c>
    </row>
    <row r="8607">
      <c r="A8607" s="4" t="s">
        <v>9217</v>
      </c>
      <c r="B8607" s="16"/>
      <c r="C8607" s="12">
        <f>IFERROR(__xludf.DUMMYFUNCTION("""COMPUTED_VALUE"""),44624.46908564815)</f>
        <v>44624.46909</v>
      </c>
      <c r="D8607" s="13">
        <f t="shared" si="1"/>
        <v>4</v>
      </c>
      <c r="E8607" s="13">
        <f t="shared" si="2"/>
        <v>11</v>
      </c>
    </row>
    <row r="8608">
      <c r="A8608" s="4" t="s">
        <v>9218</v>
      </c>
      <c r="B8608" s="16"/>
      <c r="C8608" s="12">
        <f>IFERROR(__xludf.DUMMYFUNCTION("""COMPUTED_VALUE"""),44624.434282407405)</f>
        <v>44624.43428</v>
      </c>
      <c r="D8608" s="13">
        <f t="shared" si="1"/>
        <v>4</v>
      </c>
      <c r="E8608" s="13">
        <f t="shared" si="2"/>
        <v>10</v>
      </c>
    </row>
    <row r="8609">
      <c r="A8609" s="4" t="s">
        <v>9219</v>
      </c>
      <c r="B8609" s="16"/>
      <c r="C8609" s="12">
        <f>IFERROR(__xludf.DUMMYFUNCTION("""COMPUTED_VALUE"""),44624.43350694444)</f>
        <v>44624.43351</v>
      </c>
      <c r="D8609" s="13">
        <f t="shared" si="1"/>
        <v>4</v>
      </c>
      <c r="E8609" s="13">
        <f t="shared" si="2"/>
        <v>10</v>
      </c>
    </row>
    <row r="8610">
      <c r="A8610" s="4" t="s">
        <v>9220</v>
      </c>
      <c r="B8610" s="16"/>
      <c r="C8610" s="12">
        <f>IFERROR(__xludf.DUMMYFUNCTION("""COMPUTED_VALUE"""),44624.43173611111)</f>
        <v>44624.43174</v>
      </c>
      <c r="D8610" s="13">
        <f t="shared" si="1"/>
        <v>4</v>
      </c>
      <c r="E8610" s="13">
        <f t="shared" si="2"/>
        <v>10</v>
      </c>
    </row>
    <row r="8611">
      <c r="A8611" s="4" t="s">
        <v>9221</v>
      </c>
      <c r="B8611" s="16"/>
      <c r="C8611" s="12">
        <f>IFERROR(__xludf.DUMMYFUNCTION("""COMPUTED_VALUE"""),44624.42975694444)</f>
        <v>44624.42976</v>
      </c>
      <c r="D8611" s="13">
        <f t="shared" si="1"/>
        <v>4</v>
      </c>
      <c r="E8611" s="13">
        <f t="shared" si="2"/>
        <v>10</v>
      </c>
    </row>
    <row r="8612">
      <c r="A8612" s="4" t="s">
        <v>9222</v>
      </c>
      <c r="B8612" s="16"/>
      <c r="C8612" s="12">
        <f>IFERROR(__xludf.DUMMYFUNCTION("""COMPUTED_VALUE"""),44624.42508101852)</f>
        <v>44624.42508</v>
      </c>
      <c r="D8612" s="13">
        <f t="shared" si="1"/>
        <v>4</v>
      </c>
      <c r="E8612" s="13">
        <f t="shared" si="2"/>
        <v>10</v>
      </c>
    </row>
    <row r="8613">
      <c r="A8613" s="4" t="s">
        <v>9223</v>
      </c>
      <c r="B8613" s="16"/>
      <c r="C8613" s="12">
        <f>IFERROR(__xludf.DUMMYFUNCTION("""COMPUTED_VALUE"""),44624.42480324074)</f>
        <v>44624.4248</v>
      </c>
      <c r="D8613" s="13">
        <f t="shared" si="1"/>
        <v>4</v>
      </c>
      <c r="E8613" s="13">
        <f t="shared" si="2"/>
        <v>10</v>
      </c>
    </row>
    <row r="8614">
      <c r="A8614" s="4" t="s">
        <v>9224</v>
      </c>
      <c r="B8614" s="16"/>
      <c r="C8614" s="12">
        <f>IFERROR(__xludf.DUMMYFUNCTION("""COMPUTED_VALUE"""),44624.42259259259)</f>
        <v>44624.42259</v>
      </c>
      <c r="D8614" s="13">
        <f t="shared" si="1"/>
        <v>4</v>
      </c>
      <c r="E8614" s="13">
        <f t="shared" si="2"/>
        <v>10</v>
      </c>
    </row>
    <row r="8615">
      <c r="A8615" s="4" t="s">
        <v>9225</v>
      </c>
      <c r="B8615" s="16"/>
      <c r="C8615" s="12">
        <f>IFERROR(__xludf.DUMMYFUNCTION("""COMPUTED_VALUE"""),44624.415185185186)</f>
        <v>44624.41519</v>
      </c>
      <c r="D8615" s="13">
        <f t="shared" si="1"/>
        <v>4</v>
      </c>
      <c r="E8615" s="13">
        <f t="shared" si="2"/>
        <v>9</v>
      </c>
    </row>
    <row r="8616">
      <c r="A8616" s="4" t="s">
        <v>9226</v>
      </c>
      <c r="B8616" s="16"/>
      <c r="C8616" s="12">
        <f>IFERROR(__xludf.DUMMYFUNCTION("""COMPUTED_VALUE"""),44624.39659722222)</f>
        <v>44624.3966</v>
      </c>
      <c r="D8616" s="13">
        <f t="shared" si="1"/>
        <v>4</v>
      </c>
      <c r="E8616" s="13">
        <f t="shared" si="2"/>
        <v>9</v>
      </c>
    </row>
    <row r="8617">
      <c r="A8617" s="4" t="s">
        <v>9227</v>
      </c>
      <c r="B8617" s="16"/>
      <c r="C8617" s="12">
        <f>IFERROR(__xludf.DUMMYFUNCTION("""COMPUTED_VALUE"""),44624.390810185185)</f>
        <v>44624.39081</v>
      </c>
      <c r="D8617" s="13">
        <f t="shared" si="1"/>
        <v>4</v>
      </c>
      <c r="E8617" s="13">
        <f t="shared" si="2"/>
        <v>9</v>
      </c>
    </row>
    <row r="8618">
      <c r="A8618" s="4" t="s">
        <v>9228</v>
      </c>
      <c r="B8618" s="16"/>
      <c r="C8618" s="12">
        <f>IFERROR(__xludf.DUMMYFUNCTION("""COMPUTED_VALUE"""),44624.3878125)</f>
        <v>44624.38781</v>
      </c>
      <c r="D8618" s="13">
        <f t="shared" si="1"/>
        <v>4</v>
      </c>
      <c r="E8618" s="13">
        <f t="shared" si="2"/>
        <v>9</v>
      </c>
    </row>
    <row r="8619">
      <c r="A8619" s="4" t="s">
        <v>9229</v>
      </c>
      <c r="B8619" s="16"/>
      <c r="C8619" s="12">
        <f>IFERROR(__xludf.DUMMYFUNCTION("""COMPUTED_VALUE"""),44624.38472222222)</f>
        <v>44624.38472</v>
      </c>
      <c r="D8619" s="13">
        <f t="shared" si="1"/>
        <v>4</v>
      </c>
      <c r="E8619" s="13">
        <f t="shared" si="2"/>
        <v>9</v>
      </c>
    </row>
    <row r="8620">
      <c r="A8620" s="4" t="s">
        <v>9230</v>
      </c>
      <c r="B8620" s="16"/>
      <c r="C8620" s="12">
        <f>IFERROR(__xludf.DUMMYFUNCTION("""COMPUTED_VALUE"""),44624.37972222222)</f>
        <v>44624.37972</v>
      </c>
      <c r="D8620" s="13">
        <f t="shared" si="1"/>
        <v>4</v>
      </c>
      <c r="E8620" s="13">
        <f t="shared" si="2"/>
        <v>9</v>
      </c>
    </row>
    <row r="8621">
      <c r="A8621" s="4" t="s">
        <v>9231</v>
      </c>
      <c r="B8621" s="16"/>
      <c r="C8621" s="12">
        <f>IFERROR(__xludf.DUMMYFUNCTION("""COMPUTED_VALUE"""),44624.37311342592)</f>
        <v>44624.37311</v>
      </c>
      <c r="D8621" s="13">
        <f t="shared" si="1"/>
        <v>4</v>
      </c>
      <c r="E8621" s="13">
        <f t="shared" si="2"/>
        <v>8</v>
      </c>
    </row>
    <row r="8622">
      <c r="A8622" s="4" t="s">
        <v>9232</v>
      </c>
      <c r="B8622" s="16"/>
      <c r="C8622" s="12">
        <f>IFERROR(__xludf.DUMMYFUNCTION("""COMPUTED_VALUE"""),44624.336180555554)</f>
        <v>44624.33618</v>
      </c>
      <c r="D8622" s="13">
        <f t="shared" si="1"/>
        <v>4</v>
      </c>
      <c r="E8622" s="13">
        <f t="shared" si="2"/>
        <v>8</v>
      </c>
    </row>
    <row r="8623">
      <c r="A8623" s="4" t="s">
        <v>9233</v>
      </c>
      <c r="B8623" s="16"/>
      <c r="C8623" s="12">
        <f>IFERROR(__xludf.DUMMYFUNCTION("""COMPUTED_VALUE"""),44624.02751157407)</f>
        <v>44624.02751</v>
      </c>
      <c r="D8623" s="13">
        <f t="shared" si="1"/>
        <v>4</v>
      </c>
      <c r="E8623" s="13">
        <f t="shared" si="2"/>
        <v>0</v>
      </c>
    </row>
    <row r="8624">
      <c r="A8624" s="4" t="s">
        <v>9234</v>
      </c>
      <c r="B8624" s="16"/>
      <c r="C8624" s="12">
        <f>IFERROR(__xludf.DUMMYFUNCTION("""COMPUTED_VALUE"""),44624.027233796296)</f>
        <v>44624.02723</v>
      </c>
      <c r="D8624" s="13">
        <f t="shared" si="1"/>
        <v>4</v>
      </c>
      <c r="E8624" s="13">
        <f t="shared" si="2"/>
        <v>0</v>
      </c>
    </row>
    <row r="8625">
      <c r="A8625" s="4" t="s">
        <v>9235</v>
      </c>
      <c r="B8625" s="16"/>
      <c r="C8625" s="12">
        <f>IFERROR(__xludf.DUMMYFUNCTION("""COMPUTED_VALUE"""),44623.994374999995)</f>
        <v>44623.99438</v>
      </c>
      <c r="D8625" s="13">
        <f t="shared" si="1"/>
        <v>3</v>
      </c>
      <c r="E8625" s="13">
        <f t="shared" si="2"/>
        <v>23</v>
      </c>
    </row>
    <row r="8626">
      <c r="A8626" s="4" t="s">
        <v>9236</v>
      </c>
      <c r="B8626" s="16"/>
      <c r="C8626" s="12">
        <f>IFERROR(__xludf.DUMMYFUNCTION("""COMPUTED_VALUE"""),44623.97880787037)</f>
        <v>44623.97881</v>
      </c>
      <c r="D8626" s="13">
        <f t="shared" si="1"/>
        <v>3</v>
      </c>
      <c r="E8626" s="13">
        <f t="shared" si="2"/>
        <v>23</v>
      </c>
    </row>
    <row r="8627">
      <c r="A8627" s="4" t="s">
        <v>9237</v>
      </c>
      <c r="B8627" s="16"/>
      <c r="C8627" s="12">
        <f>IFERROR(__xludf.DUMMYFUNCTION("""COMPUTED_VALUE"""),44623.971400462964)</f>
        <v>44623.9714</v>
      </c>
      <c r="D8627" s="13">
        <f t="shared" si="1"/>
        <v>3</v>
      </c>
      <c r="E8627" s="13">
        <f t="shared" si="2"/>
        <v>23</v>
      </c>
    </row>
    <row r="8628">
      <c r="A8628" s="4" t="s">
        <v>9238</v>
      </c>
      <c r="B8628" s="16"/>
      <c r="C8628" s="12">
        <f>IFERROR(__xludf.DUMMYFUNCTION("""COMPUTED_VALUE"""),44623.94498842592)</f>
        <v>44623.94499</v>
      </c>
      <c r="D8628" s="13">
        <f t="shared" si="1"/>
        <v>3</v>
      </c>
      <c r="E8628" s="13">
        <f t="shared" si="2"/>
        <v>22</v>
      </c>
    </row>
    <row r="8629">
      <c r="A8629" s="4" t="s">
        <v>9239</v>
      </c>
      <c r="B8629" s="16"/>
      <c r="C8629" s="12">
        <f>IFERROR(__xludf.DUMMYFUNCTION("""COMPUTED_VALUE"""),44623.92483796296)</f>
        <v>44623.92484</v>
      </c>
      <c r="D8629" s="13">
        <f t="shared" si="1"/>
        <v>3</v>
      </c>
      <c r="E8629" s="13">
        <f t="shared" si="2"/>
        <v>22</v>
      </c>
    </row>
    <row r="8630">
      <c r="A8630" s="4" t="s">
        <v>9240</v>
      </c>
      <c r="B8630" s="16"/>
      <c r="C8630" s="12">
        <f>IFERROR(__xludf.DUMMYFUNCTION("""COMPUTED_VALUE"""),44623.92340277778)</f>
        <v>44623.9234</v>
      </c>
      <c r="D8630" s="13">
        <f t="shared" si="1"/>
        <v>3</v>
      </c>
      <c r="E8630" s="13">
        <f t="shared" si="2"/>
        <v>22</v>
      </c>
    </row>
    <row r="8631">
      <c r="A8631" s="4" t="s">
        <v>9241</v>
      </c>
      <c r="B8631" s="16"/>
      <c r="C8631" s="12">
        <f>IFERROR(__xludf.DUMMYFUNCTION("""COMPUTED_VALUE"""),44623.92178240741)</f>
        <v>44623.92178</v>
      </c>
      <c r="D8631" s="13">
        <f t="shared" si="1"/>
        <v>3</v>
      </c>
      <c r="E8631" s="13">
        <f t="shared" si="2"/>
        <v>22</v>
      </c>
    </row>
    <row r="8632">
      <c r="A8632" s="4" t="s">
        <v>9242</v>
      </c>
      <c r="B8632" s="16"/>
      <c r="C8632" s="12">
        <f>IFERROR(__xludf.DUMMYFUNCTION("""COMPUTED_VALUE"""),44623.910370370366)</f>
        <v>44623.91037</v>
      </c>
      <c r="D8632" s="13">
        <f t="shared" si="1"/>
        <v>3</v>
      </c>
      <c r="E8632" s="13">
        <f t="shared" si="2"/>
        <v>21</v>
      </c>
    </row>
    <row r="8633">
      <c r="A8633" s="4" t="s">
        <v>9243</v>
      </c>
      <c r="B8633" s="16"/>
      <c r="C8633" s="12">
        <f>IFERROR(__xludf.DUMMYFUNCTION("""COMPUTED_VALUE"""),44623.909537037034)</f>
        <v>44623.90954</v>
      </c>
      <c r="D8633" s="13">
        <f t="shared" si="1"/>
        <v>3</v>
      </c>
      <c r="E8633" s="13">
        <f t="shared" si="2"/>
        <v>21</v>
      </c>
    </row>
    <row r="8634">
      <c r="A8634" s="4" t="s">
        <v>9244</v>
      </c>
      <c r="B8634" s="16"/>
      <c r="C8634" s="12">
        <f>IFERROR(__xludf.DUMMYFUNCTION("""COMPUTED_VALUE"""),44623.856354166666)</f>
        <v>44623.85635</v>
      </c>
      <c r="D8634" s="13">
        <f t="shared" si="1"/>
        <v>3</v>
      </c>
      <c r="E8634" s="13">
        <f t="shared" si="2"/>
        <v>20</v>
      </c>
    </row>
    <row r="8635">
      <c r="A8635" s="4" t="s">
        <v>9245</v>
      </c>
      <c r="B8635" s="16"/>
      <c r="C8635" s="12">
        <f>IFERROR(__xludf.DUMMYFUNCTION("""COMPUTED_VALUE"""),44623.85587962963)</f>
        <v>44623.85588</v>
      </c>
      <c r="D8635" s="13">
        <f t="shared" si="1"/>
        <v>3</v>
      </c>
      <c r="E8635" s="13">
        <f t="shared" si="2"/>
        <v>20</v>
      </c>
    </row>
    <row r="8636">
      <c r="A8636" s="4" t="s">
        <v>9246</v>
      </c>
      <c r="B8636" s="16"/>
      <c r="C8636" s="12">
        <f>IFERROR(__xludf.DUMMYFUNCTION("""COMPUTED_VALUE"""),44623.85152777778)</f>
        <v>44623.85153</v>
      </c>
      <c r="D8636" s="13">
        <f t="shared" si="1"/>
        <v>3</v>
      </c>
      <c r="E8636" s="13">
        <f t="shared" si="2"/>
        <v>20</v>
      </c>
    </row>
    <row r="8637">
      <c r="A8637" s="4" t="s">
        <v>9247</v>
      </c>
      <c r="B8637" s="16"/>
      <c r="C8637" s="12">
        <f>IFERROR(__xludf.DUMMYFUNCTION("""COMPUTED_VALUE"""),44623.851122685184)</f>
        <v>44623.85112</v>
      </c>
      <c r="D8637" s="13">
        <f t="shared" si="1"/>
        <v>3</v>
      </c>
      <c r="E8637" s="13">
        <f t="shared" si="2"/>
        <v>20</v>
      </c>
    </row>
    <row r="8638">
      <c r="A8638" s="4" t="s">
        <v>9248</v>
      </c>
      <c r="B8638" s="16"/>
      <c r="C8638" s="12">
        <f>IFERROR(__xludf.DUMMYFUNCTION("""COMPUTED_VALUE"""),44623.849386574075)</f>
        <v>44623.84939</v>
      </c>
      <c r="D8638" s="13">
        <f t="shared" si="1"/>
        <v>3</v>
      </c>
      <c r="E8638" s="13">
        <f t="shared" si="2"/>
        <v>20</v>
      </c>
    </row>
    <row r="8639">
      <c r="A8639" s="4" t="s">
        <v>9249</v>
      </c>
      <c r="B8639" s="16"/>
      <c r="C8639" s="12">
        <f>IFERROR(__xludf.DUMMYFUNCTION("""COMPUTED_VALUE"""),44623.849131944444)</f>
        <v>44623.84913</v>
      </c>
      <c r="D8639" s="13">
        <f t="shared" si="1"/>
        <v>3</v>
      </c>
      <c r="E8639" s="13">
        <f t="shared" si="2"/>
        <v>20</v>
      </c>
    </row>
    <row r="8640">
      <c r="A8640" s="4" t="s">
        <v>9250</v>
      </c>
      <c r="B8640" s="16"/>
      <c r="C8640" s="12">
        <f>IFERROR(__xludf.DUMMYFUNCTION("""COMPUTED_VALUE"""),44623.8465162037)</f>
        <v>44623.84652</v>
      </c>
      <c r="D8640" s="13">
        <f t="shared" si="1"/>
        <v>3</v>
      </c>
      <c r="E8640" s="13">
        <f t="shared" si="2"/>
        <v>20</v>
      </c>
    </row>
    <row r="8641">
      <c r="A8641" s="4" t="s">
        <v>9251</v>
      </c>
      <c r="B8641" s="16"/>
      <c r="C8641" s="12">
        <f>IFERROR(__xludf.DUMMYFUNCTION("""COMPUTED_VALUE"""),44623.84552083333)</f>
        <v>44623.84552</v>
      </c>
      <c r="D8641" s="13">
        <f t="shared" si="1"/>
        <v>3</v>
      </c>
      <c r="E8641" s="13">
        <f t="shared" si="2"/>
        <v>20</v>
      </c>
    </row>
    <row r="8642">
      <c r="A8642" s="4" t="s">
        <v>9252</v>
      </c>
      <c r="B8642" s="16"/>
      <c r="C8642" s="12">
        <f>IFERROR(__xludf.DUMMYFUNCTION("""COMPUTED_VALUE"""),44623.843321759254)</f>
        <v>44623.84332</v>
      </c>
      <c r="D8642" s="13">
        <f t="shared" si="1"/>
        <v>3</v>
      </c>
      <c r="E8642" s="13">
        <f t="shared" si="2"/>
        <v>20</v>
      </c>
    </row>
    <row r="8643">
      <c r="A8643" s="4" t="s">
        <v>9253</v>
      </c>
      <c r="B8643" s="16"/>
      <c r="C8643" s="12">
        <f>IFERROR(__xludf.DUMMYFUNCTION("""COMPUTED_VALUE"""),44623.83915509259)</f>
        <v>44623.83916</v>
      </c>
      <c r="D8643" s="13">
        <f t="shared" si="1"/>
        <v>3</v>
      </c>
      <c r="E8643" s="13">
        <f t="shared" si="2"/>
        <v>20</v>
      </c>
    </row>
    <row r="8644">
      <c r="A8644" s="4" t="s">
        <v>9254</v>
      </c>
      <c r="B8644" s="16"/>
      <c r="C8644" s="12">
        <f>IFERROR(__xludf.DUMMYFUNCTION("""COMPUTED_VALUE"""),44623.83773148148)</f>
        <v>44623.83773</v>
      </c>
      <c r="D8644" s="13">
        <f t="shared" si="1"/>
        <v>3</v>
      </c>
      <c r="E8644" s="13">
        <f t="shared" si="2"/>
        <v>20</v>
      </c>
    </row>
    <row r="8645">
      <c r="A8645" s="4" t="s">
        <v>9255</v>
      </c>
      <c r="B8645" s="16"/>
      <c r="C8645" s="12">
        <f>IFERROR(__xludf.DUMMYFUNCTION("""COMPUTED_VALUE"""),44623.83510416666)</f>
        <v>44623.8351</v>
      </c>
      <c r="D8645" s="13">
        <f t="shared" si="1"/>
        <v>3</v>
      </c>
      <c r="E8645" s="13">
        <f t="shared" si="2"/>
        <v>20</v>
      </c>
    </row>
    <row r="8646">
      <c r="A8646" s="4" t="s">
        <v>9256</v>
      </c>
      <c r="B8646" s="16"/>
      <c r="C8646" s="12">
        <f>IFERROR(__xludf.DUMMYFUNCTION("""COMPUTED_VALUE"""),44623.82369212963)</f>
        <v>44623.82369</v>
      </c>
      <c r="D8646" s="13">
        <f t="shared" si="1"/>
        <v>3</v>
      </c>
      <c r="E8646" s="13">
        <f t="shared" si="2"/>
        <v>19</v>
      </c>
    </row>
    <row r="8647">
      <c r="A8647" s="4" t="s">
        <v>9257</v>
      </c>
      <c r="B8647" s="16"/>
      <c r="C8647" s="12">
        <f>IFERROR(__xludf.DUMMYFUNCTION("""COMPUTED_VALUE"""),44623.80008101852)</f>
        <v>44623.80008</v>
      </c>
      <c r="D8647" s="13">
        <f t="shared" si="1"/>
        <v>3</v>
      </c>
      <c r="E8647" s="13">
        <f t="shared" si="2"/>
        <v>19</v>
      </c>
    </row>
    <row r="8648">
      <c r="A8648" s="4" t="s">
        <v>9258</v>
      </c>
      <c r="B8648" s="16"/>
      <c r="C8648" s="12">
        <f>IFERROR(__xludf.DUMMYFUNCTION("""COMPUTED_VALUE"""),44623.781134259254)</f>
        <v>44623.78113</v>
      </c>
      <c r="D8648" s="13">
        <f t="shared" si="1"/>
        <v>3</v>
      </c>
      <c r="E8648" s="13">
        <f t="shared" si="2"/>
        <v>18</v>
      </c>
    </row>
    <row r="8649">
      <c r="A8649" s="4" t="s">
        <v>9259</v>
      </c>
      <c r="B8649" s="16"/>
      <c r="C8649" s="12">
        <f>IFERROR(__xludf.DUMMYFUNCTION("""COMPUTED_VALUE"""),44623.77613425926)</f>
        <v>44623.77613</v>
      </c>
      <c r="D8649" s="13">
        <f t="shared" si="1"/>
        <v>3</v>
      </c>
      <c r="E8649" s="13">
        <f t="shared" si="2"/>
        <v>18</v>
      </c>
    </row>
    <row r="8650">
      <c r="A8650" s="4" t="s">
        <v>9260</v>
      </c>
      <c r="B8650" s="16"/>
      <c r="C8650" s="12">
        <f>IFERROR(__xludf.DUMMYFUNCTION("""COMPUTED_VALUE"""),44623.762673611105)</f>
        <v>44623.76267</v>
      </c>
      <c r="D8650" s="13">
        <f t="shared" si="1"/>
        <v>3</v>
      </c>
      <c r="E8650" s="13">
        <f t="shared" si="2"/>
        <v>18</v>
      </c>
    </row>
    <row r="8651">
      <c r="A8651" s="4" t="s">
        <v>9261</v>
      </c>
      <c r="B8651" s="16"/>
      <c r="C8651" s="12">
        <f>IFERROR(__xludf.DUMMYFUNCTION("""COMPUTED_VALUE"""),44623.74737268518)</f>
        <v>44623.74737</v>
      </c>
      <c r="D8651" s="13">
        <f t="shared" si="1"/>
        <v>3</v>
      </c>
      <c r="E8651" s="13">
        <f t="shared" si="2"/>
        <v>17</v>
      </c>
    </row>
    <row r="8652">
      <c r="A8652" s="4" t="s">
        <v>9262</v>
      </c>
      <c r="B8652" s="16"/>
      <c r="C8652" s="12">
        <f>IFERROR(__xludf.DUMMYFUNCTION("""COMPUTED_VALUE"""),44623.73784722222)</f>
        <v>44623.73785</v>
      </c>
      <c r="D8652" s="13">
        <f t="shared" si="1"/>
        <v>3</v>
      </c>
      <c r="E8652" s="13">
        <f t="shared" si="2"/>
        <v>17</v>
      </c>
    </row>
    <row r="8653">
      <c r="A8653" s="4" t="s">
        <v>9263</v>
      </c>
      <c r="B8653" s="16"/>
      <c r="C8653" s="12">
        <f>IFERROR(__xludf.DUMMYFUNCTION("""COMPUTED_VALUE"""),44623.728009259255)</f>
        <v>44623.72801</v>
      </c>
      <c r="D8653" s="13">
        <f t="shared" si="1"/>
        <v>3</v>
      </c>
      <c r="E8653" s="13">
        <f t="shared" si="2"/>
        <v>17</v>
      </c>
    </row>
    <row r="8654">
      <c r="A8654" s="4" t="s">
        <v>9264</v>
      </c>
      <c r="B8654" s="16"/>
      <c r="C8654" s="12">
        <f>IFERROR(__xludf.DUMMYFUNCTION("""COMPUTED_VALUE"""),44623.72398148148)</f>
        <v>44623.72398</v>
      </c>
      <c r="D8654" s="13">
        <f t="shared" si="1"/>
        <v>3</v>
      </c>
      <c r="E8654" s="13">
        <f t="shared" si="2"/>
        <v>17</v>
      </c>
    </row>
    <row r="8655">
      <c r="A8655" s="4" t="s">
        <v>9265</v>
      </c>
      <c r="B8655" s="16"/>
      <c r="C8655" s="12">
        <f>IFERROR(__xludf.DUMMYFUNCTION("""COMPUTED_VALUE"""),44623.710451388884)</f>
        <v>44623.71045</v>
      </c>
      <c r="D8655" s="13">
        <f t="shared" si="1"/>
        <v>3</v>
      </c>
      <c r="E8655" s="13">
        <f t="shared" si="2"/>
        <v>17</v>
      </c>
    </row>
    <row r="8656">
      <c r="A8656" s="4" t="s">
        <v>9266</v>
      </c>
      <c r="B8656" s="16"/>
      <c r="C8656" s="12">
        <f>IFERROR(__xludf.DUMMYFUNCTION("""COMPUTED_VALUE"""),44623.70921296296)</f>
        <v>44623.70921</v>
      </c>
      <c r="D8656" s="13">
        <f t="shared" si="1"/>
        <v>3</v>
      </c>
      <c r="E8656" s="13">
        <f t="shared" si="2"/>
        <v>17</v>
      </c>
    </row>
    <row r="8657">
      <c r="A8657" s="4" t="s">
        <v>9267</v>
      </c>
      <c r="B8657" s="16"/>
      <c r="C8657" s="12">
        <f>IFERROR(__xludf.DUMMYFUNCTION("""COMPUTED_VALUE"""),44623.70586805556)</f>
        <v>44623.70587</v>
      </c>
      <c r="D8657" s="13">
        <f t="shared" si="1"/>
        <v>3</v>
      </c>
      <c r="E8657" s="13">
        <f t="shared" si="2"/>
        <v>16</v>
      </c>
    </row>
    <row r="8658">
      <c r="A8658" s="4" t="s">
        <v>9268</v>
      </c>
      <c r="B8658" s="16"/>
      <c r="C8658" s="12">
        <f>IFERROR(__xludf.DUMMYFUNCTION("""COMPUTED_VALUE"""),44623.70545138889)</f>
        <v>44623.70545</v>
      </c>
      <c r="D8658" s="13">
        <f t="shared" si="1"/>
        <v>3</v>
      </c>
      <c r="E8658" s="13">
        <f t="shared" si="2"/>
        <v>16</v>
      </c>
    </row>
    <row r="8659">
      <c r="A8659" s="4" t="s">
        <v>9269</v>
      </c>
      <c r="B8659" s="16"/>
      <c r="C8659" s="12">
        <f>IFERROR(__xludf.DUMMYFUNCTION("""COMPUTED_VALUE"""),44623.70318287037)</f>
        <v>44623.70318</v>
      </c>
      <c r="D8659" s="13">
        <f t="shared" si="1"/>
        <v>3</v>
      </c>
      <c r="E8659" s="13">
        <f t="shared" si="2"/>
        <v>16</v>
      </c>
    </row>
    <row r="8660">
      <c r="A8660" s="4" t="s">
        <v>9270</v>
      </c>
      <c r="B8660" s="16"/>
      <c r="C8660" s="12">
        <f>IFERROR(__xludf.DUMMYFUNCTION("""COMPUTED_VALUE"""),44623.702013888884)</f>
        <v>44623.70201</v>
      </c>
      <c r="D8660" s="13">
        <f t="shared" si="1"/>
        <v>3</v>
      </c>
      <c r="E8660" s="13">
        <f t="shared" si="2"/>
        <v>16</v>
      </c>
    </row>
    <row r="8661">
      <c r="A8661" s="4" t="s">
        <v>9271</v>
      </c>
      <c r="B8661" s="16"/>
      <c r="C8661" s="12">
        <f>IFERROR(__xludf.DUMMYFUNCTION("""COMPUTED_VALUE"""),44623.697696759256)</f>
        <v>44623.6977</v>
      </c>
      <c r="D8661" s="13">
        <f t="shared" si="1"/>
        <v>3</v>
      </c>
      <c r="E8661" s="13">
        <f t="shared" si="2"/>
        <v>16</v>
      </c>
    </row>
    <row r="8662">
      <c r="A8662" s="4" t="s">
        <v>9272</v>
      </c>
      <c r="B8662" s="16"/>
      <c r="C8662" s="12">
        <f>IFERROR(__xludf.DUMMYFUNCTION("""COMPUTED_VALUE"""),44623.6952662037)</f>
        <v>44623.69527</v>
      </c>
      <c r="D8662" s="13">
        <f t="shared" si="1"/>
        <v>3</v>
      </c>
      <c r="E8662" s="13">
        <f t="shared" si="2"/>
        <v>16</v>
      </c>
    </row>
    <row r="8663">
      <c r="A8663" s="4" t="s">
        <v>9273</v>
      </c>
      <c r="B8663" s="16"/>
      <c r="C8663" s="12">
        <f>IFERROR(__xludf.DUMMYFUNCTION("""COMPUTED_VALUE"""),44623.68472222222)</f>
        <v>44623.68472</v>
      </c>
      <c r="D8663" s="13">
        <f t="shared" si="1"/>
        <v>3</v>
      </c>
      <c r="E8663" s="13">
        <f t="shared" si="2"/>
        <v>16</v>
      </c>
    </row>
    <row r="8664">
      <c r="A8664" s="4" t="s">
        <v>9274</v>
      </c>
      <c r="B8664" s="16"/>
      <c r="C8664" s="12">
        <f>IFERROR(__xludf.DUMMYFUNCTION("""COMPUTED_VALUE"""),44623.68142361111)</f>
        <v>44623.68142</v>
      </c>
      <c r="D8664" s="13">
        <f t="shared" si="1"/>
        <v>3</v>
      </c>
      <c r="E8664" s="13">
        <f t="shared" si="2"/>
        <v>16</v>
      </c>
    </row>
    <row r="8665">
      <c r="A8665" s="4" t="s">
        <v>9275</v>
      </c>
      <c r="B8665" s="16"/>
      <c r="C8665" s="12">
        <f>IFERROR(__xludf.DUMMYFUNCTION("""COMPUTED_VALUE"""),44623.64502314814)</f>
        <v>44623.64502</v>
      </c>
      <c r="D8665" s="13">
        <f t="shared" si="1"/>
        <v>3</v>
      </c>
      <c r="E8665" s="13">
        <f t="shared" si="2"/>
        <v>15</v>
      </c>
    </row>
    <row r="8666">
      <c r="A8666" s="4" t="s">
        <v>9276</v>
      </c>
      <c r="B8666" s="16"/>
      <c r="C8666" s="12">
        <f>IFERROR(__xludf.DUMMYFUNCTION("""COMPUTED_VALUE"""),44623.609375)</f>
        <v>44623.60938</v>
      </c>
      <c r="D8666" s="13">
        <f t="shared" si="1"/>
        <v>3</v>
      </c>
      <c r="E8666" s="13">
        <f t="shared" si="2"/>
        <v>14</v>
      </c>
    </row>
    <row r="8667">
      <c r="A8667" s="4" t="s">
        <v>9277</v>
      </c>
      <c r="B8667" s="16"/>
      <c r="C8667" s="12">
        <f>IFERROR(__xludf.DUMMYFUNCTION("""COMPUTED_VALUE"""),44623.609305555554)</f>
        <v>44623.60931</v>
      </c>
      <c r="D8667" s="13">
        <f t="shared" si="1"/>
        <v>3</v>
      </c>
      <c r="E8667" s="13">
        <f t="shared" si="2"/>
        <v>14</v>
      </c>
    </row>
    <row r="8668">
      <c r="A8668" s="4" t="s">
        <v>9278</v>
      </c>
      <c r="B8668" s="16"/>
      <c r="C8668" s="12">
        <f>IFERROR(__xludf.DUMMYFUNCTION("""COMPUTED_VALUE"""),44623.60328703703)</f>
        <v>44623.60329</v>
      </c>
      <c r="D8668" s="13">
        <f t="shared" si="1"/>
        <v>3</v>
      </c>
      <c r="E8668" s="13">
        <f t="shared" si="2"/>
        <v>14</v>
      </c>
    </row>
    <row r="8669">
      <c r="A8669" s="4" t="s">
        <v>9279</v>
      </c>
      <c r="B8669" s="16"/>
      <c r="C8669" s="12">
        <f>IFERROR(__xludf.DUMMYFUNCTION("""COMPUTED_VALUE"""),44623.59903935185)</f>
        <v>44623.59904</v>
      </c>
      <c r="D8669" s="13">
        <f t="shared" si="1"/>
        <v>3</v>
      </c>
      <c r="E8669" s="13">
        <f t="shared" si="2"/>
        <v>14</v>
      </c>
    </row>
    <row r="8670">
      <c r="A8670" s="4" t="s">
        <v>9280</v>
      </c>
      <c r="B8670" s="16"/>
      <c r="C8670" s="12">
        <f>IFERROR(__xludf.DUMMYFUNCTION("""COMPUTED_VALUE"""),44623.59454861111)</f>
        <v>44623.59455</v>
      </c>
      <c r="D8670" s="13">
        <f t="shared" si="1"/>
        <v>3</v>
      </c>
      <c r="E8670" s="13">
        <f t="shared" si="2"/>
        <v>14</v>
      </c>
    </row>
    <row r="8671">
      <c r="A8671" s="4" t="s">
        <v>9281</v>
      </c>
      <c r="B8671" s="16"/>
      <c r="C8671" s="12">
        <f>IFERROR(__xludf.DUMMYFUNCTION("""COMPUTED_VALUE"""),44623.59196759259)</f>
        <v>44623.59197</v>
      </c>
      <c r="D8671" s="13">
        <f t="shared" si="1"/>
        <v>3</v>
      </c>
      <c r="E8671" s="13">
        <f t="shared" si="2"/>
        <v>14</v>
      </c>
    </row>
    <row r="8672">
      <c r="A8672" s="4" t="s">
        <v>9282</v>
      </c>
      <c r="B8672" s="16"/>
      <c r="C8672" s="12">
        <f>IFERROR(__xludf.DUMMYFUNCTION("""COMPUTED_VALUE"""),44623.568402777775)</f>
        <v>44623.5684</v>
      </c>
      <c r="D8672" s="13">
        <f t="shared" si="1"/>
        <v>3</v>
      </c>
      <c r="E8672" s="13">
        <f t="shared" si="2"/>
        <v>13</v>
      </c>
    </row>
    <row r="8673">
      <c r="A8673" s="4" t="s">
        <v>9283</v>
      </c>
      <c r="B8673" s="16"/>
      <c r="C8673" s="12">
        <f>IFERROR(__xludf.DUMMYFUNCTION("""COMPUTED_VALUE"""),44623.56799768518)</f>
        <v>44623.568</v>
      </c>
      <c r="D8673" s="13">
        <f t="shared" si="1"/>
        <v>3</v>
      </c>
      <c r="E8673" s="13">
        <f t="shared" si="2"/>
        <v>13</v>
      </c>
    </row>
    <row r="8674">
      <c r="A8674" s="4" t="s">
        <v>9284</v>
      </c>
      <c r="B8674" s="16"/>
      <c r="C8674" s="12">
        <f>IFERROR(__xludf.DUMMYFUNCTION("""COMPUTED_VALUE"""),44623.55055555555)</f>
        <v>44623.55056</v>
      </c>
      <c r="D8674" s="13">
        <f t="shared" si="1"/>
        <v>3</v>
      </c>
      <c r="E8674" s="13">
        <f t="shared" si="2"/>
        <v>13</v>
      </c>
    </row>
    <row r="8675">
      <c r="A8675" s="4" t="s">
        <v>9285</v>
      </c>
      <c r="B8675" s="16"/>
      <c r="C8675" s="12">
        <f>IFERROR(__xludf.DUMMYFUNCTION("""COMPUTED_VALUE"""),44623.54516203704)</f>
        <v>44623.54516</v>
      </c>
      <c r="D8675" s="13">
        <f t="shared" si="1"/>
        <v>3</v>
      </c>
      <c r="E8675" s="13">
        <f t="shared" si="2"/>
        <v>13</v>
      </c>
    </row>
    <row r="8676">
      <c r="A8676" s="4" t="s">
        <v>9286</v>
      </c>
      <c r="B8676" s="16"/>
      <c r="C8676" s="12">
        <f>IFERROR(__xludf.DUMMYFUNCTION("""COMPUTED_VALUE"""),44623.53501157407)</f>
        <v>44623.53501</v>
      </c>
      <c r="D8676" s="13">
        <f t="shared" si="1"/>
        <v>3</v>
      </c>
      <c r="E8676" s="13">
        <f t="shared" si="2"/>
        <v>12</v>
      </c>
    </row>
    <row r="8677">
      <c r="A8677" s="4" t="s">
        <v>9287</v>
      </c>
      <c r="B8677" s="16"/>
      <c r="C8677" s="12">
        <f>IFERROR(__xludf.DUMMYFUNCTION("""COMPUTED_VALUE"""),44623.52782407407)</f>
        <v>44623.52782</v>
      </c>
      <c r="D8677" s="13">
        <f t="shared" si="1"/>
        <v>3</v>
      </c>
      <c r="E8677" s="13">
        <f t="shared" si="2"/>
        <v>12</v>
      </c>
    </row>
    <row r="8678">
      <c r="A8678" s="4" t="s">
        <v>9288</v>
      </c>
      <c r="B8678" s="16"/>
      <c r="C8678" s="12">
        <f>IFERROR(__xludf.DUMMYFUNCTION("""COMPUTED_VALUE"""),44623.51525462963)</f>
        <v>44623.51525</v>
      </c>
      <c r="D8678" s="13">
        <f t="shared" si="1"/>
        <v>3</v>
      </c>
      <c r="E8678" s="13">
        <f t="shared" si="2"/>
        <v>12</v>
      </c>
    </row>
    <row r="8679">
      <c r="A8679" s="4" t="s">
        <v>9289</v>
      </c>
      <c r="B8679" s="16"/>
      <c r="C8679" s="12">
        <f>IFERROR(__xludf.DUMMYFUNCTION("""COMPUTED_VALUE"""),44623.51318287037)</f>
        <v>44623.51318</v>
      </c>
      <c r="D8679" s="13">
        <f t="shared" si="1"/>
        <v>3</v>
      </c>
      <c r="E8679" s="13">
        <f t="shared" si="2"/>
        <v>12</v>
      </c>
    </row>
    <row r="8680">
      <c r="A8680" s="4" t="s">
        <v>9290</v>
      </c>
      <c r="B8680" s="16"/>
      <c r="C8680" s="12">
        <f>IFERROR(__xludf.DUMMYFUNCTION("""COMPUTED_VALUE"""),44623.487175925926)</f>
        <v>44623.48718</v>
      </c>
      <c r="D8680" s="13">
        <f t="shared" si="1"/>
        <v>3</v>
      </c>
      <c r="E8680" s="13">
        <f t="shared" si="2"/>
        <v>11</v>
      </c>
    </row>
    <row r="8681">
      <c r="A8681" s="4" t="s">
        <v>9291</v>
      </c>
      <c r="B8681" s="16"/>
      <c r="C8681" s="12">
        <f>IFERROR(__xludf.DUMMYFUNCTION("""COMPUTED_VALUE"""),44623.47175925926)</f>
        <v>44623.47176</v>
      </c>
      <c r="D8681" s="13">
        <f t="shared" si="1"/>
        <v>3</v>
      </c>
      <c r="E8681" s="13">
        <f t="shared" si="2"/>
        <v>11</v>
      </c>
    </row>
    <row r="8682">
      <c r="A8682" s="4" t="s">
        <v>9292</v>
      </c>
      <c r="B8682" s="16"/>
      <c r="C8682" s="12">
        <f>IFERROR(__xludf.DUMMYFUNCTION("""COMPUTED_VALUE"""),44623.46836805555)</f>
        <v>44623.46837</v>
      </c>
      <c r="D8682" s="13">
        <f t="shared" si="1"/>
        <v>3</v>
      </c>
      <c r="E8682" s="13">
        <f t="shared" si="2"/>
        <v>11</v>
      </c>
    </row>
    <row r="8683">
      <c r="A8683" s="4" t="s">
        <v>9293</v>
      </c>
      <c r="B8683" s="16"/>
      <c r="C8683" s="12">
        <f>IFERROR(__xludf.DUMMYFUNCTION("""COMPUTED_VALUE"""),44623.4422337963)</f>
        <v>44623.44223</v>
      </c>
      <c r="D8683" s="13">
        <f t="shared" si="1"/>
        <v>3</v>
      </c>
      <c r="E8683" s="13">
        <f t="shared" si="2"/>
        <v>10</v>
      </c>
    </row>
    <row r="8684">
      <c r="A8684" s="4" t="s">
        <v>9294</v>
      </c>
      <c r="B8684" s="16"/>
      <c r="C8684" s="12">
        <f>IFERROR(__xludf.DUMMYFUNCTION("""COMPUTED_VALUE"""),44623.41957175926)</f>
        <v>44623.41957</v>
      </c>
      <c r="D8684" s="13">
        <f t="shared" si="1"/>
        <v>3</v>
      </c>
      <c r="E8684" s="13">
        <f t="shared" si="2"/>
        <v>10</v>
      </c>
    </row>
    <row r="8685">
      <c r="A8685" s="4" t="s">
        <v>9295</v>
      </c>
      <c r="B8685" s="16"/>
      <c r="C8685" s="12">
        <f>IFERROR(__xludf.DUMMYFUNCTION("""COMPUTED_VALUE"""),44623.412939814814)</f>
        <v>44623.41294</v>
      </c>
      <c r="D8685" s="13">
        <f t="shared" si="1"/>
        <v>3</v>
      </c>
      <c r="E8685" s="13">
        <f t="shared" si="2"/>
        <v>9</v>
      </c>
    </row>
    <row r="8686">
      <c r="A8686" s="4" t="s">
        <v>9296</v>
      </c>
      <c r="B8686" s="16"/>
      <c r="C8686" s="12">
        <f>IFERROR(__xludf.DUMMYFUNCTION("""COMPUTED_VALUE"""),44623.40790509259)</f>
        <v>44623.40791</v>
      </c>
      <c r="D8686" s="13">
        <f t="shared" si="1"/>
        <v>3</v>
      </c>
      <c r="E8686" s="13">
        <f t="shared" si="2"/>
        <v>9</v>
      </c>
    </row>
    <row r="8687">
      <c r="A8687" s="4" t="s">
        <v>9297</v>
      </c>
      <c r="B8687" s="16"/>
      <c r="C8687" s="12">
        <f>IFERROR(__xludf.DUMMYFUNCTION("""COMPUTED_VALUE"""),44623.40578703704)</f>
        <v>44623.40579</v>
      </c>
      <c r="D8687" s="13">
        <f t="shared" si="1"/>
        <v>3</v>
      </c>
      <c r="E8687" s="13">
        <f t="shared" si="2"/>
        <v>9</v>
      </c>
    </row>
    <row r="8688">
      <c r="A8688" s="4" t="s">
        <v>9298</v>
      </c>
      <c r="B8688" s="16"/>
      <c r="C8688" s="12">
        <f>IFERROR(__xludf.DUMMYFUNCTION("""COMPUTED_VALUE"""),44623.39975694444)</f>
        <v>44623.39976</v>
      </c>
      <c r="D8688" s="13">
        <f t="shared" si="1"/>
        <v>3</v>
      </c>
      <c r="E8688" s="13">
        <f t="shared" si="2"/>
        <v>9</v>
      </c>
    </row>
    <row r="8689">
      <c r="A8689" s="4" t="s">
        <v>9299</v>
      </c>
      <c r="B8689" s="16"/>
      <c r="C8689" s="12">
        <f>IFERROR(__xludf.DUMMYFUNCTION("""COMPUTED_VALUE"""),44623.39724537037)</f>
        <v>44623.39725</v>
      </c>
      <c r="D8689" s="13">
        <f t="shared" si="1"/>
        <v>3</v>
      </c>
      <c r="E8689" s="13">
        <f t="shared" si="2"/>
        <v>9</v>
      </c>
    </row>
    <row r="8690">
      <c r="A8690" s="4" t="s">
        <v>9300</v>
      </c>
      <c r="B8690" s="16"/>
      <c r="C8690" s="12">
        <f>IFERROR(__xludf.DUMMYFUNCTION("""COMPUTED_VALUE"""),44623.39469907407)</f>
        <v>44623.3947</v>
      </c>
      <c r="D8690" s="13">
        <f t="shared" si="1"/>
        <v>3</v>
      </c>
      <c r="E8690" s="13">
        <f t="shared" si="2"/>
        <v>9</v>
      </c>
    </row>
    <row r="8691">
      <c r="A8691" s="4" t="s">
        <v>9301</v>
      </c>
      <c r="B8691" s="16"/>
      <c r="C8691" s="12">
        <f>IFERROR(__xludf.DUMMYFUNCTION("""COMPUTED_VALUE"""),44623.39130787037)</f>
        <v>44623.39131</v>
      </c>
      <c r="D8691" s="13">
        <f t="shared" si="1"/>
        <v>3</v>
      </c>
      <c r="E8691" s="13">
        <f t="shared" si="2"/>
        <v>9</v>
      </c>
    </row>
    <row r="8692">
      <c r="A8692" s="4" t="s">
        <v>9302</v>
      </c>
      <c r="B8692" s="16"/>
      <c r="C8692" s="12">
        <f>IFERROR(__xludf.DUMMYFUNCTION("""COMPUTED_VALUE"""),44623.39004629629)</f>
        <v>44623.39005</v>
      </c>
      <c r="D8692" s="13">
        <f t="shared" si="1"/>
        <v>3</v>
      </c>
      <c r="E8692" s="13">
        <f t="shared" si="2"/>
        <v>9</v>
      </c>
    </row>
    <row r="8693">
      <c r="A8693" s="4" t="s">
        <v>9303</v>
      </c>
      <c r="B8693" s="16"/>
      <c r="C8693" s="12">
        <f>IFERROR(__xludf.DUMMYFUNCTION("""COMPUTED_VALUE"""),44623.38969907407)</f>
        <v>44623.3897</v>
      </c>
      <c r="D8693" s="13">
        <f t="shared" si="1"/>
        <v>3</v>
      </c>
      <c r="E8693" s="13">
        <f t="shared" si="2"/>
        <v>9</v>
      </c>
    </row>
    <row r="8694">
      <c r="A8694" s="4" t="s">
        <v>9304</v>
      </c>
      <c r="B8694" s="16"/>
      <c r="C8694" s="12">
        <f>IFERROR(__xludf.DUMMYFUNCTION("""COMPUTED_VALUE"""),44623.3818287037)</f>
        <v>44623.38183</v>
      </c>
      <c r="D8694" s="13">
        <f t="shared" si="1"/>
        <v>3</v>
      </c>
      <c r="E8694" s="13">
        <f t="shared" si="2"/>
        <v>9</v>
      </c>
    </row>
    <row r="8695">
      <c r="A8695" s="4" t="s">
        <v>9305</v>
      </c>
      <c r="B8695" s="16"/>
      <c r="C8695" s="12">
        <f>IFERROR(__xludf.DUMMYFUNCTION("""COMPUTED_VALUE"""),44623.37603009259)</f>
        <v>44623.37603</v>
      </c>
      <c r="D8695" s="13">
        <f t="shared" si="1"/>
        <v>3</v>
      </c>
      <c r="E8695" s="13">
        <f t="shared" si="2"/>
        <v>9</v>
      </c>
    </row>
    <row r="8696">
      <c r="A8696" s="4" t="s">
        <v>9306</v>
      </c>
      <c r="B8696" s="16"/>
      <c r="C8696" s="12">
        <f>IFERROR(__xludf.DUMMYFUNCTION("""COMPUTED_VALUE"""),44623.353738425925)</f>
        <v>44623.35374</v>
      </c>
      <c r="D8696" s="13">
        <f t="shared" si="1"/>
        <v>3</v>
      </c>
      <c r="E8696" s="13">
        <f t="shared" si="2"/>
        <v>8</v>
      </c>
    </row>
    <row r="8697">
      <c r="A8697" s="4" t="s">
        <v>9307</v>
      </c>
      <c r="B8697" s="16"/>
      <c r="C8697" s="12">
        <f>IFERROR(__xludf.DUMMYFUNCTION("""COMPUTED_VALUE"""),44623.33856481481)</f>
        <v>44623.33856</v>
      </c>
      <c r="D8697" s="13">
        <f t="shared" si="1"/>
        <v>3</v>
      </c>
      <c r="E8697" s="13">
        <f t="shared" si="2"/>
        <v>8</v>
      </c>
    </row>
    <row r="8698">
      <c r="A8698" s="4" t="s">
        <v>9308</v>
      </c>
      <c r="B8698" s="16"/>
      <c r="C8698" s="12">
        <f>IFERROR(__xludf.DUMMYFUNCTION("""COMPUTED_VALUE"""),44623.326527777775)</f>
        <v>44623.32653</v>
      </c>
      <c r="D8698" s="13">
        <f t="shared" si="1"/>
        <v>3</v>
      </c>
      <c r="E8698" s="13">
        <f t="shared" si="2"/>
        <v>7</v>
      </c>
    </row>
    <row r="8699">
      <c r="A8699" s="4" t="s">
        <v>9309</v>
      </c>
      <c r="B8699" s="16"/>
      <c r="C8699" s="12">
        <f>IFERROR(__xludf.DUMMYFUNCTION("""COMPUTED_VALUE"""),44623.27775462963)</f>
        <v>44623.27775</v>
      </c>
      <c r="D8699" s="13">
        <f t="shared" si="1"/>
        <v>3</v>
      </c>
      <c r="E8699" s="13">
        <f t="shared" si="2"/>
        <v>6</v>
      </c>
    </row>
    <row r="8700">
      <c r="A8700" s="4" t="s">
        <v>9310</v>
      </c>
      <c r="B8700" s="16"/>
      <c r="C8700" s="12">
        <f>IFERROR(__xludf.DUMMYFUNCTION("""COMPUTED_VALUE"""),44623.2483912037)</f>
        <v>44623.24839</v>
      </c>
      <c r="D8700" s="13">
        <f t="shared" si="1"/>
        <v>3</v>
      </c>
      <c r="E8700" s="13">
        <f t="shared" si="2"/>
        <v>5</v>
      </c>
    </row>
    <row r="8701">
      <c r="A8701" s="4" t="s">
        <v>9311</v>
      </c>
      <c r="B8701" s="16"/>
      <c r="C8701" s="12">
        <f>IFERROR(__xludf.DUMMYFUNCTION("""COMPUTED_VALUE"""),44623.24664351852)</f>
        <v>44623.24664</v>
      </c>
      <c r="D8701" s="13">
        <f t="shared" si="1"/>
        <v>3</v>
      </c>
      <c r="E8701" s="13">
        <f t="shared" si="2"/>
        <v>5</v>
      </c>
    </row>
    <row r="8702">
      <c r="A8702" s="4" t="s">
        <v>9312</v>
      </c>
      <c r="B8702" s="16"/>
      <c r="C8702" s="12">
        <f>IFERROR(__xludf.DUMMYFUNCTION("""COMPUTED_VALUE"""),44623.243935185186)</f>
        <v>44623.24394</v>
      </c>
      <c r="D8702" s="13">
        <f t="shared" si="1"/>
        <v>3</v>
      </c>
      <c r="E8702" s="13">
        <f t="shared" si="2"/>
        <v>5</v>
      </c>
    </row>
    <row r="8703">
      <c r="A8703" s="4" t="s">
        <v>9313</v>
      </c>
      <c r="B8703" s="16"/>
      <c r="C8703" s="12">
        <f>IFERROR(__xludf.DUMMYFUNCTION("""COMPUTED_VALUE"""),44623.19009259259)</f>
        <v>44623.19009</v>
      </c>
      <c r="D8703" s="13">
        <f t="shared" si="1"/>
        <v>3</v>
      </c>
      <c r="E8703" s="13">
        <f t="shared" si="2"/>
        <v>4</v>
      </c>
    </row>
    <row r="8704">
      <c r="A8704" s="4" t="s">
        <v>9314</v>
      </c>
      <c r="B8704" s="16"/>
      <c r="C8704" s="12">
        <f>IFERROR(__xludf.DUMMYFUNCTION("""COMPUTED_VALUE"""),44623.1637037037)</f>
        <v>44623.1637</v>
      </c>
      <c r="D8704" s="13">
        <f t="shared" si="1"/>
        <v>3</v>
      </c>
      <c r="E8704" s="13">
        <f t="shared" si="2"/>
        <v>3</v>
      </c>
    </row>
    <row r="8705">
      <c r="A8705" s="4" t="s">
        <v>9315</v>
      </c>
      <c r="B8705" s="16"/>
      <c r="C8705" s="12">
        <f>IFERROR(__xludf.DUMMYFUNCTION("""COMPUTED_VALUE"""),44623.08383101851)</f>
        <v>44623.08383</v>
      </c>
      <c r="D8705" s="13">
        <f t="shared" si="1"/>
        <v>3</v>
      </c>
      <c r="E8705" s="13">
        <f t="shared" si="2"/>
        <v>2</v>
      </c>
    </row>
    <row r="8706">
      <c r="A8706" s="4" t="s">
        <v>9316</v>
      </c>
      <c r="B8706" s="16"/>
      <c r="C8706" s="12">
        <f>IFERROR(__xludf.DUMMYFUNCTION("""COMPUTED_VALUE"""),44623.05846064814)</f>
        <v>44623.05846</v>
      </c>
      <c r="D8706" s="13">
        <f t="shared" si="1"/>
        <v>3</v>
      </c>
      <c r="E8706" s="13">
        <f t="shared" si="2"/>
        <v>1</v>
      </c>
    </row>
    <row r="8707">
      <c r="A8707" s="4" t="s">
        <v>9317</v>
      </c>
      <c r="B8707" s="16"/>
      <c r="C8707" s="12">
        <f>IFERROR(__xludf.DUMMYFUNCTION("""COMPUTED_VALUE"""),44623.02916666667)</f>
        <v>44623.02917</v>
      </c>
      <c r="D8707" s="13">
        <f t="shared" si="1"/>
        <v>3</v>
      </c>
      <c r="E8707" s="13">
        <f t="shared" si="2"/>
        <v>0</v>
      </c>
    </row>
    <row r="8708">
      <c r="A8708" s="4" t="s">
        <v>9318</v>
      </c>
      <c r="B8708" s="16"/>
      <c r="C8708" s="12">
        <f>IFERROR(__xludf.DUMMYFUNCTION("""COMPUTED_VALUE"""),44623.02133101851)</f>
        <v>44623.02133</v>
      </c>
      <c r="D8708" s="13">
        <f t="shared" si="1"/>
        <v>3</v>
      </c>
      <c r="E8708" s="13">
        <f t="shared" si="2"/>
        <v>0</v>
      </c>
    </row>
    <row r="8709">
      <c r="A8709" s="4" t="s">
        <v>9319</v>
      </c>
      <c r="B8709" s="16"/>
      <c r="C8709" s="12">
        <f>IFERROR(__xludf.DUMMYFUNCTION("""COMPUTED_VALUE"""),44622.98759259259)</f>
        <v>44622.98759</v>
      </c>
      <c r="D8709" s="13">
        <f t="shared" si="1"/>
        <v>2</v>
      </c>
      <c r="E8709" s="13">
        <f t="shared" si="2"/>
        <v>23</v>
      </c>
    </row>
    <row r="8710">
      <c r="A8710" s="4" t="s">
        <v>9320</v>
      </c>
      <c r="B8710" s="16"/>
      <c r="C8710" s="12">
        <f>IFERROR(__xludf.DUMMYFUNCTION("""COMPUTED_VALUE"""),44622.98322916666)</f>
        <v>44622.98323</v>
      </c>
      <c r="D8710" s="13">
        <f t="shared" si="1"/>
        <v>2</v>
      </c>
      <c r="E8710" s="13">
        <f t="shared" si="2"/>
        <v>23</v>
      </c>
    </row>
    <row r="8711">
      <c r="A8711" s="4" t="s">
        <v>9321</v>
      </c>
      <c r="B8711" s="16"/>
      <c r="C8711" s="12">
        <f>IFERROR(__xludf.DUMMYFUNCTION("""COMPUTED_VALUE"""),44622.969988425924)</f>
        <v>44622.96999</v>
      </c>
      <c r="D8711" s="13">
        <f t="shared" si="1"/>
        <v>2</v>
      </c>
      <c r="E8711" s="13">
        <f t="shared" si="2"/>
        <v>23</v>
      </c>
    </row>
    <row r="8712">
      <c r="A8712" s="4" t="s">
        <v>9322</v>
      </c>
      <c r="B8712" s="16"/>
      <c r="C8712" s="12">
        <f>IFERROR(__xludf.DUMMYFUNCTION("""COMPUTED_VALUE"""),44622.96840277778)</f>
        <v>44622.9684</v>
      </c>
      <c r="D8712" s="13">
        <f t="shared" si="1"/>
        <v>2</v>
      </c>
      <c r="E8712" s="13">
        <f t="shared" si="2"/>
        <v>23</v>
      </c>
    </row>
    <row r="8713">
      <c r="A8713" s="4" t="s">
        <v>9323</v>
      </c>
      <c r="B8713" s="16"/>
      <c r="C8713" s="12">
        <f>IFERROR(__xludf.DUMMYFUNCTION("""COMPUTED_VALUE"""),44622.9671875)</f>
        <v>44622.96719</v>
      </c>
      <c r="D8713" s="13">
        <f t="shared" si="1"/>
        <v>2</v>
      </c>
      <c r="E8713" s="13">
        <f t="shared" si="2"/>
        <v>23</v>
      </c>
    </row>
    <row r="8714">
      <c r="A8714" s="4" t="s">
        <v>9324</v>
      </c>
      <c r="B8714" s="16"/>
      <c r="C8714" s="12">
        <f>IFERROR(__xludf.DUMMYFUNCTION("""COMPUTED_VALUE"""),44622.94113425926)</f>
        <v>44622.94113</v>
      </c>
      <c r="D8714" s="13">
        <f t="shared" si="1"/>
        <v>2</v>
      </c>
      <c r="E8714" s="13">
        <f t="shared" si="2"/>
        <v>22</v>
      </c>
    </row>
    <row r="8715">
      <c r="A8715" s="4" t="s">
        <v>9325</v>
      </c>
      <c r="B8715" s="16"/>
      <c r="C8715" s="12">
        <f>IFERROR(__xludf.DUMMYFUNCTION("""COMPUTED_VALUE"""),44622.91634259259)</f>
        <v>44622.91634</v>
      </c>
      <c r="D8715" s="13">
        <f t="shared" si="1"/>
        <v>2</v>
      </c>
      <c r="E8715" s="13">
        <f t="shared" si="2"/>
        <v>21</v>
      </c>
    </row>
    <row r="8716">
      <c r="A8716" s="4" t="s">
        <v>9326</v>
      </c>
      <c r="B8716" s="16"/>
      <c r="C8716" s="12">
        <f>IFERROR(__xludf.DUMMYFUNCTION("""COMPUTED_VALUE"""),44622.915983796294)</f>
        <v>44622.91598</v>
      </c>
      <c r="D8716" s="13">
        <f t="shared" si="1"/>
        <v>2</v>
      </c>
      <c r="E8716" s="13">
        <f t="shared" si="2"/>
        <v>21</v>
      </c>
    </row>
    <row r="8717">
      <c r="A8717" s="4" t="s">
        <v>9327</v>
      </c>
      <c r="B8717" s="16"/>
      <c r="C8717" s="12">
        <f>IFERROR(__xludf.DUMMYFUNCTION("""COMPUTED_VALUE"""),44622.91578703703)</f>
        <v>44622.91579</v>
      </c>
      <c r="D8717" s="13">
        <f t="shared" si="1"/>
        <v>2</v>
      </c>
      <c r="E8717" s="13">
        <f t="shared" si="2"/>
        <v>21</v>
      </c>
    </row>
    <row r="8718">
      <c r="A8718" s="4" t="s">
        <v>9328</v>
      </c>
      <c r="B8718" s="16"/>
      <c r="C8718" s="12">
        <f>IFERROR(__xludf.DUMMYFUNCTION("""COMPUTED_VALUE"""),44622.913402777776)</f>
        <v>44622.9134</v>
      </c>
      <c r="D8718" s="13">
        <f t="shared" si="1"/>
        <v>2</v>
      </c>
      <c r="E8718" s="13">
        <f t="shared" si="2"/>
        <v>21</v>
      </c>
    </row>
    <row r="8719">
      <c r="A8719" s="4" t="s">
        <v>9329</v>
      </c>
      <c r="B8719" s="16"/>
      <c r="C8719" s="12">
        <f>IFERROR(__xludf.DUMMYFUNCTION("""COMPUTED_VALUE"""),44622.9125)</f>
        <v>44622.9125</v>
      </c>
      <c r="D8719" s="13">
        <f t="shared" si="1"/>
        <v>2</v>
      </c>
      <c r="E8719" s="13">
        <f t="shared" si="2"/>
        <v>21</v>
      </c>
    </row>
    <row r="8720">
      <c r="A8720" s="4" t="s">
        <v>9330</v>
      </c>
      <c r="B8720" s="16"/>
      <c r="C8720" s="12">
        <f>IFERROR(__xludf.DUMMYFUNCTION("""COMPUTED_VALUE"""),44622.910891203705)</f>
        <v>44622.91089</v>
      </c>
      <c r="D8720" s="13">
        <f t="shared" si="1"/>
        <v>2</v>
      </c>
      <c r="E8720" s="13">
        <f t="shared" si="2"/>
        <v>21</v>
      </c>
    </row>
    <row r="8721">
      <c r="A8721" s="4" t="s">
        <v>9331</v>
      </c>
      <c r="B8721" s="16"/>
      <c r="C8721" s="12">
        <f>IFERROR(__xludf.DUMMYFUNCTION("""COMPUTED_VALUE"""),44622.896585648145)</f>
        <v>44622.89659</v>
      </c>
      <c r="D8721" s="13">
        <f t="shared" si="1"/>
        <v>2</v>
      </c>
      <c r="E8721" s="13">
        <f t="shared" si="2"/>
        <v>21</v>
      </c>
    </row>
    <row r="8722">
      <c r="A8722" s="4" t="s">
        <v>9332</v>
      </c>
      <c r="B8722" s="16"/>
      <c r="C8722" s="12">
        <f>IFERROR(__xludf.DUMMYFUNCTION("""COMPUTED_VALUE"""),44622.89457175926)</f>
        <v>44622.89457</v>
      </c>
      <c r="D8722" s="13">
        <f t="shared" si="1"/>
        <v>2</v>
      </c>
      <c r="E8722" s="13">
        <f t="shared" si="2"/>
        <v>21</v>
      </c>
    </row>
    <row r="8723">
      <c r="A8723" s="4" t="s">
        <v>9333</v>
      </c>
      <c r="B8723" s="16"/>
      <c r="C8723" s="12">
        <f>IFERROR(__xludf.DUMMYFUNCTION("""COMPUTED_VALUE"""),44622.88190972222)</f>
        <v>44622.88191</v>
      </c>
      <c r="D8723" s="13">
        <f t="shared" si="1"/>
        <v>2</v>
      </c>
      <c r="E8723" s="13">
        <f t="shared" si="2"/>
        <v>21</v>
      </c>
    </row>
    <row r="8724">
      <c r="A8724" s="4" t="s">
        <v>9334</v>
      </c>
      <c r="B8724" s="16"/>
      <c r="C8724" s="12">
        <f>IFERROR(__xludf.DUMMYFUNCTION("""COMPUTED_VALUE"""),44622.8812037037)</f>
        <v>44622.8812</v>
      </c>
      <c r="D8724" s="13">
        <f t="shared" si="1"/>
        <v>2</v>
      </c>
      <c r="E8724" s="13">
        <f t="shared" si="2"/>
        <v>21</v>
      </c>
    </row>
    <row r="8725">
      <c r="A8725" s="4" t="s">
        <v>9335</v>
      </c>
      <c r="B8725" s="16"/>
      <c r="C8725" s="12">
        <f>IFERROR(__xludf.DUMMYFUNCTION("""COMPUTED_VALUE"""),44622.877384259256)</f>
        <v>44622.87738</v>
      </c>
      <c r="D8725" s="13">
        <f t="shared" si="1"/>
        <v>2</v>
      </c>
      <c r="E8725" s="13">
        <f t="shared" si="2"/>
        <v>21</v>
      </c>
    </row>
    <row r="8726">
      <c r="A8726" s="4" t="s">
        <v>9336</v>
      </c>
      <c r="B8726" s="16"/>
      <c r="C8726" s="12">
        <f>IFERROR(__xludf.DUMMYFUNCTION("""COMPUTED_VALUE"""),44622.8692824074)</f>
        <v>44622.86928</v>
      </c>
      <c r="D8726" s="13">
        <f t="shared" si="1"/>
        <v>2</v>
      </c>
      <c r="E8726" s="13">
        <f t="shared" si="2"/>
        <v>20</v>
      </c>
    </row>
    <row r="8727">
      <c r="A8727" s="4" t="s">
        <v>9337</v>
      </c>
      <c r="B8727" s="16"/>
      <c r="C8727" s="12">
        <f>IFERROR(__xludf.DUMMYFUNCTION("""COMPUTED_VALUE"""),44622.852268518516)</f>
        <v>44622.85227</v>
      </c>
      <c r="D8727" s="13">
        <f t="shared" si="1"/>
        <v>2</v>
      </c>
      <c r="E8727" s="13">
        <f t="shared" si="2"/>
        <v>20</v>
      </c>
    </row>
    <row r="8728">
      <c r="A8728" s="4" t="s">
        <v>9338</v>
      </c>
      <c r="B8728" s="16"/>
      <c r="C8728" s="12">
        <f>IFERROR(__xludf.DUMMYFUNCTION("""COMPUTED_VALUE"""),44622.84671296296)</f>
        <v>44622.84671</v>
      </c>
      <c r="D8728" s="13">
        <f t="shared" si="1"/>
        <v>2</v>
      </c>
      <c r="E8728" s="13">
        <f t="shared" si="2"/>
        <v>20</v>
      </c>
    </row>
    <row r="8729">
      <c r="A8729" s="4" t="s">
        <v>9339</v>
      </c>
      <c r="B8729" s="16"/>
      <c r="C8729" s="12">
        <f>IFERROR(__xludf.DUMMYFUNCTION("""COMPUTED_VALUE"""),44622.84609953703)</f>
        <v>44622.8461</v>
      </c>
      <c r="D8729" s="13">
        <f t="shared" si="1"/>
        <v>2</v>
      </c>
      <c r="E8729" s="13">
        <f t="shared" si="2"/>
        <v>20</v>
      </c>
    </row>
    <row r="8730">
      <c r="A8730" s="4" t="s">
        <v>9340</v>
      </c>
      <c r="B8730" s="16"/>
      <c r="C8730" s="12">
        <f>IFERROR(__xludf.DUMMYFUNCTION("""COMPUTED_VALUE"""),44622.84583333333)</f>
        <v>44622.84583</v>
      </c>
      <c r="D8730" s="13">
        <f t="shared" si="1"/>
        <v>2</v>
      </c>
      <c r="E8730" s="13">
        <f t="shared" si="2"/>
        <v>20</v>
      </c>
    </row>
    <row r="8731">
      <c r="A8731" s="4" t="s">
        <v>9341</v>
      </c>
      <c r="B8731" s="16"/>
      <c r="C8731" s="12">
        <f>IFERROR(__xludf.DUMMYFUNCTION("""COMPUTED_VALUE"""),44622.841111111105)</f>
        <v>44622.84111</v>
      </c>
      <c r="D8731" s="13">
        <f t="shared" si="1"/>
        <v>2</v>
      </c>
      <c r="E8731" s="13">
        <f t="shared" si="2"/>
        <v>20</v>
      </c>
    </row>
    <row r="8732">
      <c r="A8732" s="4" t="s">
        <v>9342</v>
      </c>
      <c r="B8732" s="16"/>
      <c r="C8732" s="12">
        <f>IFERROR(__xludf.DUMMYFUNCTION("""COMPUTED_VALUE"""),44622.83159722222)</f>
        <v>44622.8316</v>
      </c>
      <c r="D8732" s="13">
        <f t="shared" si="1"/>
        <v>2</v>
      </c>
      <c r="E8732" s="13">
        <f t="shared" si="2"/>
        <v>19</v>
      </c>
    </row>
    <row r="8733">
      <c r="A8733" s="4" t="s">
        <v>9343</v>
      </c>
      <c r="B8733" s="16"/>
      <c r="C8733" s="12">
        <f>IFERROR(__xludf.DUMMYFUNCTION("""COMPUTED_VALUE"""),44622.8311574074)</f>
        <v>44622.83116</v>
      </c>
      <c r="D8733" s="13">
        <f t="shared" si="1"/>
        <v>2</v>
      </c>
      <c r="E8733" s="13">
        <f t="shared" si="2"/>
        <v>19</v>
      </c>
    </row>
    <row r="8734">
      <c r="A8734" s="4" t="s">
        <v>9344</v>
      </c>
      <c r="B8734" s="16"/>
      <c r="C8734" s="12">
        <f>IFERROR(__xludf.DUMMYFUNCTION("""COMPUTED_VALUE"""),44622.822233796294)</f>
        <v>44622.82223</v>
      </c>
      <c r="D8734" s="13">
        <f t="shared" si="1"/>
        <v>2</v>
      </c>
      <c r="E8734" s="13">
        <f t="shared" si="2"/>
        <v>19</v>
      </c>
    </row>
    <row r="8735">
      <c r="A8735" s="4" t="s">
        <v>9345</v>
      </c>
      <c r="B8735" s="16"/>
      <c r="C8735" s="12">
        <f>IFERROR(__xludf.DUMMYFUNCTION("""COMPUTED_VALUE"""),44622.813009259255)</f>
        <v>44622.81301</v>
      </c>
      <c r="D8735" s="13">
        <f t="shared" si="1"/>
        <v>2</v>
      </c>
      <c r="E8735" s="13">
        <f t="shared" si="2"/>
        <v>19</v>
      </c>
    </row>
    <row r="8736">
      <c r="A8736" s="4" t="s">
        <v>9346</v>
      </c>
      <c r="B8736" s="16"/>
      <c r="C8736" s="12">
        <f>IFERROR(__xludf.DUMMYFUNCTION("""COMPUTED_VALUE"""),44622.805196759255)</f>
        <v>44622.8052</v>
      </c>
      <c r="D8736" s="13">
        <f t="shared" si="1"/>
        <v>2</v>
      </c>
      <c r="E8736" s="13">
        <f t="shared" si="2"/>
        <v>19</v>
      </c>
    </row>
    <row r="8737">
      <c r="A8737" s="4" t="s">
        <v>9347</v>
      </c>
      <c r="B8737" s="16"/>
      <c r="C8737" s="12">
        <f>IFERROR(__xludf.DUMMYFUNCTION("""COMPUTED_VALUE"""),44622.79420138889)</f>
        <v>44622.7942</v>
      </c>
      <c r="D8737" s="13">
        <f t="shared" si="1"/>
        <v>2</v>
      </c>
      <c r="E8737" s="13">
        <f t="shared" si="2"/>
        <v>19</v>
      </c>
    </row>
    <row r="8738">
      <c r="A8738" s="4" t="s">
        <v>9348</v>
      </c>
      <c r="B8738" s="16"/>
      <c r="C8738" s="12">
        <f>IFERROR(__xludf.DUMMYFUNCTION("""COMPUTED_VALUE"""),44622.78543981481)</f>
        <v>44622.78544</v>
      </c>
      <c r="D8738" s="13">
        <f t="shared" si="1"/>
        <v>2</v>
      </c>
      <c r="E8738" s="13">
        <f t="shared" si="2"/>
        <v>18</v>
      </c>
    </row>
    <row r="8739">
      <c r="A8739" s="4" t="s">
        <v>9349</v>
      </c>
      <c r="B8739" s="16"/>
      <c r="C8739" s="12">
        <f>IFERROR(__xludf.DUMMYFUNCTION("""COMPUTED_VALUE"""),44622.774201388886)</f>
        <v>44622.7742</v>
      </c>
      <c r="D8739" s="13">
        <f t="shared" si="1"/>
        <v>2</v>
      </c>
      <c r="E8739" s="13">
        <f t="shared" si="2"/>
        <v>18</v>
      </c>
    </row>
    <row r="8740">
      <c r="A8740" s="4" t="s">
        <v>9350</v>
      </c>
      <c r="B8740" s="16"/>
      <c r="C8740" s="12">
        <f>IFERROR(__xludf.DUMMYFUNCTION("""COMPUTED_VALUE"""),44622.758368055554)</f>
        <v>44622.75837</v>
      </c>
      <c r="D8740" s="13">
        <f t="shared" si="1"/>
        <v>2</v>
      </c>
      <c r="E8740" s="13">
        <f t="shared" si="2"/>
        <v>18</v>
      </c>
    </row>
    <row r="8741">
      <c r="A8741" s="4" t="s">
        <v>9351</v>
      </c>
      <c r="B8741" s="16"/>
      <c r="C8741" s="12">
        <f>IFERROR(__xludf.DUMMYFUNCTION("""COMPUTED_VALUE"""),44622.733576388884)</f>
        <v>44622.73358</v>
      </c>
      <c r="D8741" s="13">
        <f t="shared" si="1"/>
        <v>2</v>
      </c>
      <c r="E8741" s="13">
        <f t="shared" si="2"/>
        <v>17</v>
      </c>
    </row>
    <row r="8742">
      <c r="A8742" s="4" t="s">
        <v>9352</v>
      </c>
      <c r="B8742" s="16"/>
      <c r="C8742" s="12">
        <f>IFERROR(__xludf.DUMMYFUNCTION("""COMPUTED_VALUE"""),44622.7283912037)</f>
        <v>44622.72839</v>
      </c>
      <c r="D8742" s="13">
        <f t="shared" si="1"/>
        <v>2</v>
      </c>
      <c r="E8742" s="13">
        <f t="shared" si="2"/>
        <v>17</v>
      </c>
    </row>
    <row r="8743">
      <c r="A8743" s="4" t="s">
        <v>9353</v>
      </c>
      <c r="B8743" s="16"/>
      <c r="C8743" s="12">
        <f>IFERROR(__xludf.DUMMYFUNCTION("""COMPUTED_VALUE"""),44622.71344907407)</f>
        <v>44622.71345</v>
      </c>
      <c r="D8743" s="13">
        <f t="shared" si="1"/>
        <v>2</v>
      </c>
      <c r="E8743" s="13">
        <f t="shared" si="2"/>
        <v>17</v>
      </c>
    </row>
    <row r="8744">
      <c r="A8744" s="4" t="s">
        <v>9354</v>
      </c>
      <c r="B8744" s="16"/>
      <c r="C8744" s="12">
        <f>IFERROR(__xludf.DUMMYFUNCTION("""COMPUTED_VALUE"""),44622.70491898148)</f>
        <v>44622.70492</v>
      </c>
      <c r="D8744" s="13">
        <f t="shared" si="1"/>
        <v>2</v>
      </c>
      <c r="E8744" s="13">
        <f t="shared" si="2"/>
        <v>16</v>
      </c>
    </row>
    <row r="8745">
      <c r="A8745" s="4" t="s">
        <v>9355</v>
      </c>
      <c r="B8745" s="16"/>
      <c r="C8745" s="12">
        <f>IFERROR(__xludf.DUMMYFUNCTION("""COMPUTED_VALUE"""),44622.701793981476)</f>
        <v>44622.70179</v>
      </c>
      <c r="D8745" s="13">
        <f t="shared" si="1"/>
        <v>2</v>
      </c>
      <c r="E8745" s="13">
        <f t="shared" si="2"/>
        <v>16</v>
      </c>
    </row>
    <row r="8746">
      <c r="A8746" s="4" t="s">
        <v>9356</v>
      </c>
      <c r="B8746" s="16"/>
      <c r="C8746" s="12">
        <f>IFERROR(__xludf.DUMMYFUNCTION("""COMPUTED_VALUE"""),44622.67388888889)</f>
        <v>44622.67389</v>
      </c>
      <c r="D8746" s="13">
        <f t="shared" si="1"/>
        <v>2</v>
      </c>
      <c r="E8746" s="13">
        <f t="shared" si="2"/>
        <v>16</v>
      </c>
    </row>
    <row r="8747">
      <c r="A8747" s="4" t="s">
        <v>9357</v>
      </c>
      <c r="B8747" s="16"/>
      <c r="C8747" s="12">
        <f>IFERROR(__xludf.DUMMYFUNCTION("""COMPUTED_VALUE"""),44622.667037037034)</f>
        <v>44622.66704</v>
      </c>
      <c r="D8747" s="13">
        <f t="shared" si="1"/>
        <v>2</v>
      </c>
      <c r="E8747" s="13">
        <f t="shared" si="2"/>
        <v>16</v>
      </c>
    </row>
    <row r="8748">
      <c r="A8748" s="4" t="s">
        <v>9358</v>
      </c>
      <c r="B8748" s="16"/>
      <c r="C8748" s="12">
        <f>IFERROR(__xludf.DUMMYFUNCTION("""COMPUTED_VALUE"""),44622.650937499995)</f>
        <v>44622.65094</v>
      </c>
      <c r="D8748" s="13">
        <f t="shared" si="1"/>
        <v>2</v>
      </c>
      <c r="E8748" s="13">
        <f t="shared" si="2"/>
        <v>15</v>
      </c>
    </row>
    <row r="8749">
      <c r="A8749" s="4" t="s">
        <v>9359</v>
      </c>
      <c r="B8749" s="16"/>
      <c r="C8749" s="12">
        <f>IFERROR(__xludf.DUMMYFUNCTION("""COMPUTED_VALUE"""),44622.648148148146)</f>
        <v>44622.64815</v>
      </c>
      <c r="D8749" s="13">
        <f t="shared" si="1"/>
        <v>2</v>
      </c>
      <c r="E8749" s="13">
        <f t="shared" si="2"/>
        <v>15</v>
      </c>
    </row>
    <row r="8750">
      <c r="A8750" s="4" t="s">
        <v>9360</v>
      </c>
      <c r="B8750" s="16"/>
      <c r="C8750" s="12">
        <f>IFERROR(__xludf.DUMMYFUNCTION("""COMPUTED_VALUE"""),44622.62667824074)</f>
        <v>44622.62668</v>
      </c>
      <c r="D8750" s="13">
        <f t="shared" si="1"/>
        <v>2</v>
      </c>
      <c r="E8750" s="13">
        <f t="shared" si="2"/>
        <v>15</v>
      </c>
    </row>
    <row r="8751">
      <c r="A8751" s="4" t="s">
        <v>9361</v>
      </c>
      <c r="B8751" s="16"/>
      <c r="C8751" s="12">
        <f>IFERROR(__xludf.DUMMYFUNCTION("""COMPUTED_VALUE"""),44622.62125)</f>
        <v>44622.62125</v>
      </c>
      <c r="D8751" s="13">
        <f t="shared" si="1"/>
        <v>2</v>
      </c>
      <c r="E8751" s="13">
        <f t="shared" si="2"/>
        <v>14</v>
      </c>
    </row>
    <row r="8752">
      <c r="A8752" s="4" t="s">
        <v>9362</v>
      </c>
      <c r="B8752" s="16"/>
      <c r="C8752" s="12">
        <f>IFERROR(__xludf.DUMMYFUNCTION("""COMPUTED_VALUE"""),44622.61918981481)</f>
        <v>44622.61919</v>
      </c>
      <c r="D8752" s="13">
        <f t="shared" si="1"/>
        <v>2</v>
      </c>
      <c r="E8752" s="13">
        <f t="shared" si="2"/>
        <v>14</v>
      </c>
    </row>
    <row r="8753">
      <c r="A8753" s="4" t="s">
        <v>9363</v>
      </c>
      <c r="B8753" s="16"/>
      <c r="C8753" s="12">
        <f>IFERROR(__xludf.DUMMYFUNCTION("""COMPUTED_VALUE"""),44622.574479166666)</f>
        <v>44622.57448</v>
      </c>
      <c r="D8753" s="13">
        <f t="shared" si="1"/>
        <v>2</v>
      </c>
      <c r="E8753" s="13">
        <f t="shared" si="2"/>
        <v>13</v>
      </c>
    </row>
    <row r="8754">
      <c r="A8754" s="4" t="s">
        <v>9364</v>
      </c>
      <c r="B8754" s="16"/>
      <c r="C8754" s="12">
        <f>IFERROR(__xludf.DUMMYFUNCTION("""COMPUTED_VALUE"""),44622.573379629626)</f>
        <v>44622.57338</v>
      </c>
      <c r="D8754" s="13">
        <f t="shared" si="1"/>
        <v>2</v>
      </c>
      <c r="E8754" s="13">
        <f t="shared" si="2"/>
        <v>13</v>
      </c>
    </row>
    <row r="8755">
      <c r="A8755" s="4" t="s">
        <v>9365</v>
      </c>
      <c r="B8755" s="16"/>
      <c r="C8755" s="12">
        <f>IFERROR(__xludf.DUMMYFUNCTION("""COMPUTED_VALUE"""),44622.57064814815)</f>
        <v>44622.57065</v>
      </c>
      <c r="D8755" s="13">
        <f t="shared" si="1"/>
        <v>2</v>
      </c>
      <c r="E8755" s="13">
        <f t="shared" si="2"/>
        <v>13</v>
      </c>
    </row>
    <row r="8756">
      <c r="A8756" s="4" t="s">
        <v>9366</v>
      </c>
      <c r="B8756" s="16"/>
      <c r="C8756" s="12">
        <f>IFERROR(__xludf.DUMMYFUNCTION("""COMPUTED_VALUE"""),44622.543495370366)</f>
        <v>44622.5435</v>
      </c>
      <c r="D8756" s="13">
        <f t="shared" si="1"/>
        <v>2</v>
      </c>
      <c r="E8756" s="13">
        <f t="shared" si="2"/>
        <v>13</v>
      </c>
    </row>
    <row r="8757">
      <c r="A8757" s="4" t="s">
        <v>9367</v>
      </c>
      <c r="B8757" s="16"/>
      <c r="C8757" s="12">
        <f>IFERROR(__xludf.DUMMYFUNCTION("""COMPUTED_VALUE"""),44622.54313657407)</f>
        <v>44622.54314</v>
      </c>
      <c r="D8757" s="13">
        <f t="shared" si="1"/>
        <v>2</v>
      </c>
      <c r="E8757" s="13">
        <f t="shared" si="2"/>
        <v>13</v>
      </c>
    </row>
    <row r="8758">
      <c r="A8758" s="4" t="s">
        <v>9368</v>
      </c>
      <c r="B8758" s="16"/>
      <c r="C8758" s="12">
        <f>IFERROR(__xludf.DUMMYFUNCTION("""COMPUTED_VALUE"""),44622.52653935185)</f>
        <v>44622.52654</v>
      </c>
      <c r="D8758" s="13">
        <f t="shared" si="1"/>
        <v>2</v>
      </c>
      <c r="E8758" s="13">
        <f t="shared" si="2"/>
        <v>12</v>
      </c>
    </row>
    <row r="8759">
      <c r="A8759" s="4" t="s">
        <v>9369</v>
      </c>
      <c r="B8759" s="16"/>
      <c r="C8759" s="12">
        <f>IFERROR(__xludf.DUMMYFUNCTION("""COMPUTED_VALUE"""),44622.50907407407)</f>
        <v>44622.50907</v>
      </c>
      <c r="D8759" s="13">
        <f t="shared" si="1"/>
        <v>2</v>
      </c>
      <c r="E8759" s="13">
        <f t="shared" si="2"/>
        <v>12</v>
      </c>
    </row>
    <row r="8760">
      <c r="A8760" s="4" t="s">
        <v>9370</v>
      </c>
      <c r="B8760" s="16"/>
      <c r="C8760" s="12">
        <f>IFERROR(__xludf.DUMMYFUNCTION("""COMPUTED_VALUE"""),44622.490752314814)</f>
        <v>44622.49075</v>
      </c>
      <c r="D8760" s="13">
        <f t="shared" si="1"/>
        <v>2</v>
      </c>
      <c r="E8760" s="13">
        <f t="shared" si="2"/>
        <v>11</v>
      </c>
    </row>
    <row r="8761">
      <c r="A8761" s="4" t="s">
        <v>9371</v>
      </c>
      <c r="B8761" s="16"/>
      <c r="C8761" s="12">
        <f>IFERROR(__xludf.DUMMYFUNCTION("""COMPUTED_VALUE"""),44622.45806712963)</f>
        <v>44622.45807</v>
      </c>
      <c r="D8761" s="13">
        <f t="shared" si="1"/>
        <v>2</v>
      </c>
      <c r="E8761" s="13">
        <f t="shared" si="2"/>
        <v>10</v>
      </c>
    </row>
    <row r="8762">
      <c r="A8762" s="4" t="s">
        <v>9372</v>
      </c>
      <c r="B8762" s="16"/>
      <c r="C8762" s="12">
        <f>IFERROR(__xludf.DUMMYFUNCTION("""COMPUTED_VALUE"""),44622.38824074074)</f>
        <v>44622.38824</v>
      </c>
      <c r="D8762" s="13">
        <f t="shared" si="1"/>
        <v>2</v>
      </c>
      <c r="E8762" s="13">
        <f t="shared" si="2"/>
        <v>9</v>
      </c>
    </row>
    <row r="8763">
      <c r="A8763" s="4" t="s">
        <v>9373</v>
      </c>
      <c r="B8763" s="16"/>
      <c r="C8763" s="12">
        <f>IFERROR(__xludf.DUMMYFUNCTION("""COMPUTED_VALUE"""),44622.29332175926)</f>
        <v>44622.29332</v>
      </c>
      <c r="D8763" s="13">
        <f t="shared" si="1"/>
        <v>2</v>
      </c>
      <c r="E8763" s="13">
        <f t="shared" si="2"/>
        <v>7</v>
      </c>
    </row>
    <row r="8764">
      <c r="A8764" s="4" t="s">
        <v>9374</v>
      </c>
      <c r="B8764" s="16"/>
      <c r="C8764" s="12">
        <f>IFERROR(__xludf.DUMMYFUNCTION("""COMPUTED_VALUE"""),44622.29200231481)</f>
        <v>44622.292</v>
      </c>
      <c r="D8764" s="13">
        <f t="shared" si="1"/>
        <v>2</v>
      </c>
      <c r="E8764" s="13">
        <f t="shared" si="2"/>
        <v>7</v>
      </c>
    </row>
    <row r="8765">
      <c r="A8765" s="4" t="s">
        <v>9375</v>
      </c>
      <c r="B8765" s="16"/>
      <c r="C8765" s="12">
        <f>IFERROR(__xludf.DUMMYFUNCTION("""COMPUTED_VALUE"""),44622.2628587963)</f>
        <v>44622.26286</v>
      </c>
      <c r="D8765" s="13">
        <f t="shared" si="1"/>
        <v>2</v>
      </c>
      <c r="E8765" s="13">
        <f t="shared" si="2"/>
        <v>6</v>
      </c>
    </row>
    <row r="8766">
      <c r="A8766" s="4" t="s">
        <v>9376</v>
      </c>
      <c r="B8766" s="16"/>
      <c r="C8766" s="12">
        <f>IFERROR(__xludf.DUMMYFUNCTION("""COMPUTED_VALUE"""),44622.08862268518)</f>
        <v>44622.08862</v>
      </c>
      <c r="D8766" s="13">
        <f t="shared" si="1"/>
        <v>2</v>
      </c>
      <c r="E8766" s="13">
        <f t="shared" si="2"/>
        <v>2</v>
      </c>
    </row>
    <row r="8767">
      <c r="A8767" s="4" t="s">
        <v>9377</v>
      </c>
      <c r="B8767" s="16"/>
      <c r="C8767" s="12">
        <f>IFERROR(__xludf.DUMMYFUNCTION("""COMPUTED_VALUE"""),44622.02)</f>
        <v>44622.02</v>
      </c>
      <c r="D8767" s="13">
        <f t="shared" si="1"/>
        <v>2</v>
      </c>
      <c r="E8767" s="13">
        <f t="shared" si="2"/>
        <v>0</v>
      </c>
    </row>
    <row r="8768">
      <c r="A8768" s="4" t="s">
        <v>9378</v>
      </c>
      <c r="B8768" s="16"/>
      <c r="C8768" s="12">
        <f>IFERROR(__xludf.DUMMYFUNCTION("""COMPUTED_VALUE"""),44622.015335648146)</f>
        <v>44622.01534</v>
      </c>
      <c r="D8768" s="13">
        <f t="shared" si="1"/>
        <v>2</v>
      </c>
      <c r="E8768" s="13">
        <f t="shared" si="2"/>
        <v>0</v>
      </c>
    </row>
    <row r="8769">
      <c r="A8769" s="4" t="s">
        <v>9379</v>
      </c>
      <c r="B8769" s="16"/>
      <c r="C8769" s="12">
        <f>IFERROR(__xludf.DUMMYFUNCTION("""COMPUTED_VALUE"""),44621.99574074074)</f>
        <v>44621.99574</v>
      </c>
      <c r="D8769" s="13">
        <f t="shared" si="1"/>
        <v>1</v>
      </c>
      <c r="E8769" s="13">
        <f t="shared" si="2"/>
        <v>23</v>
      </c>
    </row>
    <row r="8770">
      <c r="A8770" s="4" t="s">
        <v>9380</v>
      </c>
      <c r="B8770" s="16"/>
      <c r="C8770" s="12">
        <f>IFERROR(__xludf.DUMMYFUNCTION("""COMPUTED_VALUE"""),44621.915451388886)</f>
        <v>44621.91545</v>
      </c>
      <c r="D8770" s="13">
        <f t="shared" si="1"/>
        <v>1</v>
      </c>
      <c r="E8770" s="13">
        <f t="shared" si="2"/>
        <v>21</v>
      </c>
    </row>
    <row r="8771">
      <c r="A8771" s="4" t="s">
        <v>9381</v>
      </c>
      <c r="B8771" s="16"/>
      <c r="C8771" s="12">
        <f>IFERROR(__xludf.DUMMYFUNCTION("""COMPUTED_VALUE"""),44621.9109375)</f>
        <v>44621.91094</v>
      </c>
      <c r="D8771" s="13">
        <f t="shared" si="1"/>
        <v>1</v>
      </c>
      <c r="E8771" s="13">
        <f t="shared" si="2"/>
        <v>21</v>
      </c>
    </row>
    <row r="8772">
      <c r="A8772" s="4" t="s">
        <v>9382</v>
      </c>
      <c r="B8772" s="16"/>
      <c r="C8772" s="12">
        <f>IFERROR(__xludf.DUMMYFUNCTION("""COMPUTED_VALUE"""),44621.894282407404)</f>
        <v>44621.89428</v>
      </c>
      <c r="D8772" s="13">
        <f t="shared" si="1"/>
        <v>1</v>
      </c>
      <c r="E8772" s="13">
        <f t="shared" si="2"/>
        <v>21</v>
      </c>
    </row>
    <row r="8773">
      <c r="A8773" s="4" t="s">
        <v>9383</v>
      </c>
      <c r="B8773" s="16"/>
      <c r="C8773" s="12">
        <f>IFERROR(__xludf.DUMMYFUNCTION("""COMPUTED_VALUE"""),44621.87625)</f>
        <v>44621.87625</v>
      </c>
      <c r="D8773" s="13">
        <f t="shared" si="1"/>
        <v>1</v>
      </c>
      <c r="E8773" s="13">
        <f t="shared" si="2"/>
        <v>21</v>
      </c>
    </row>
    <row r="8774">
      <c r="A8774" s="4" t="s">
        <v>9384</v>
      </c>
      <c r="B8774" s="16"/>
      <c r="C8774" s="12">
        <f>IFERROR(__xludf.DUMMYFUNCTION("""COMPUTED_VALUE"""),44621.861446759256)</f>
        <v>44621.86145</v>
      </c>
      <c r="D8774" s="13">
        <f t="shared" si="1"/>
        <v>1</v>
      </c>
      <c r="E8774" s="13">
        <f t="shared" si="2"/>
        <v>20</v>
      </c>
    </row>
    <row r="8775">
      <c r="A8775" s="4" t="s">
        <v>9385</v>
      </c>
      <c r="B8775" s="16"/>
      <c r="C8775" s="12">
        <f>IFERROR(__xludf.DUMMYFUNCTION("""COMPUTED_VALUE"""),44621.86127314815)</f>
        <v>44621.86127</v>
      </c>
      <c r="D8775" s="13">
        <f t="shared" si="1"/>
        <v>1</v>
      </c>
      <c r="E8775" s="13">
        <f t="shared" si="2"/>
        <v>20</v>
      </c>
    </row>
    <row r="8776">
      <c r="A8776" s="4" t="s">
        <v>9386</v>
      </c>
      <c r="B8776" s="16"/>
      <c r="C8776" s="12">
        <f>IFERROR(__xludf.DUMMYFUNCTION("""COMPUTED_VALUE"""),44621.765289351846)</f>
        <v>44621.76529</v>
      </c>
      <c r="D8776" s="13">
        <f t="shared" si="1"/>
        <v>1</v>
      </c>
      <c r="E8776" s="13">
        <f t="shared" si="2"/>
        <v>18</v>
      </c>
    </row>
    <row r="8777">
      <c r="A8777" s="4" t="s">
        <v>9387</v>
      </c>
      <c r="B8777" s="16"/>
      <c r="C8777" s="12">
        <f>IFERROR(__xludf.DUMMYFUNCTION("""COMPUTED_VALUE"""),44621.76284722222)</f>
        <v>44621.76285</v>
      </c>
      <c r="D8777" s="13">
        <f t="shared" si="1"/>
        <v>1</v>
      </c>
      <c r="E8777" s="13">
        <f t="shared" si="2"/>
        <v>18</v>
      </c>
    </row>
    <row r="8778">
      <c r="A8778" s="4" t="s">
        <v>9388</v>
      </c>
      <c r="B8778" s="16"/>
      <c r="C8778" s="12">
        <f>IFERROR(__xludf.DUMMYFUNCTION("""COMPUTED_VALUE"""),44621.76217592592)</f>
        <v>44621.76218</v>
      </c>
      <c r="D8778" s="13">
        <f t="shared" si="1"/>
        <v>1</v>
      </c>
      <c r="E8778" s="13">
        <f t="shared" si="2"/>
        <v>18</v>
      </c>
    </row>
    <row r="8779">
      <c r="A8779" s="4" t="s">
        <v>9389</v>
      </c>
      <c r="B8779" s="16"/>
      <c r="C8779" s="12">
        <f>IFERROR(__xludf.DUMMYFUNCTION("""COMPUTED_VALUE"""),44621.76143518518)</f>
        <v>44621.76144</v>
      </c>
      <c r="D8779" s="13">
        <f t="shared" si="1"/>
        <v>1</v>
      </c>
      <c r="E8779" s="13">
        <f t="shared" si="2"/>
        <v>18</v>
      </c>
    </row>
    <row r="8780">
      <c r="A8780" s="4" t="s">
        <v>9390</v>
      </c>
      <c r="B8780" s="16"/>
      <c r="C8780" s="12">
        <f>IFERROR(__xludf.DUMMYFUNCTION("""COMPUTED_VALUE"""),44621.76105324074)</f>
        <v>44621.76105</v>
      </c>
      <c r="D8780" s="13">
        <f t="shared" si="1"/>
        <v>1</v>
      </c>
      <c r="E8780" s="13">
        <f t="shared" si="2"/>
        <v>18</v>
      </c>
    </row>
    <row r="8781">
      <c r="A8781" s="4" t="s">
        <v>9391</v>
      </c>
      <c r="B8781" s="16"/>
      <c r="C8781" s="12">
        <f>IFERROR(__xludf.DUMMYFUNCTION("""COMPUTED_VALUE"""),44621.75771990741)</f>
        <v>44621.75772</v>
      </c>
      <c r="D8781" s="13">
        <f t="shared" si="1"/>
        <v>1</v>
      </c>
      <c r="E8781" s="13">
        <f t="shared" si="2"/>
        <v>18</v>
      </c>
    </row>
    <row r="8782">
      <c r="A8782" s="4" t="s">
        <v>9392</v>
      </c>
      <c r="B8782" s="16"/>
      <c r="C8782" s="12">
        <f>IFERROR(__xludf.DUMMYFUNCTION("""COMPUTED_VALUE"""),44621.74581018518)</f>
        <v>44621.74581</v>
      </c>
      <c r="D8782" s="13">
        <f t="shared" si="1"/>
        <v>1</v>
      </c>
      <c r="E8782" s="13">
        <f t="shared" si="2"/>
        <v>17</v>
      </c>
    </row>
    <row r="8783">
      <c r="A8783" s="4" t="s">
        <v>9393</v>
      </c>
      <c r="B8783" s="16"/>
      <c r="C8783" s="12">
        <f>IFERROR(__xludf.DUMMYFUNCTION("""COMPUTED_VALUE"""),44621.74579861111)</f>
        <v>44621.7458</v>
      </c>
      <c r="D8783" s="13">
        <f t="shared" si="1"/>
        <v>1</v>
      </c>
      <c r="E8783" s="13">
        <f t="shared" si="2"/>
        <v>17</v>
      </c>
    </row>
    <row r="8784">
      <c r="A8784" s="4" t="s">
        <v>9394</v>
      </c>
      <c r="B8784" s="16"/>
      <c r="C8784" s="12">
        <f>IFERROR(__xludf.DUMMYFUNCTION("""COMPUTED_VALUE"""),44621.7427662037)</f>
        <v>44621.74277</v>
      </c>
      <c r="D8784" s="13">
        <f t="shared" si="1"/>
        <v>1</v>
      </c>
      <c r="E8784" s="13">
        <f t="shared" si="2"/>
        <v>17</v>
      </c>
    </row>
    <row r="8785">
      <c r="A8785" s="4" t="s">
        <v>9395</v>
      </c>
      <c r="B8785" s="16"/>
      <c r="C8785" s="12">
        <f>IFERROR(__xludf.DUMMYFUNCTION("""COMPUTED_VALUE"""),44621.74260416666)</f>
        <v>44621.7426</v>
      </c>
      <c r="D8785" s="13">
        <f t="shared" si="1"/>
        <v>1</v>
      </c>
      <c r="E8785" s="13">
        <f t="shared" si="2"/>
        <v>17</v>
      </c>
    </row>
    <row r="8786">
      <c r="A8786" s="4" t="s">
        <v>9396</v>
      </c>
      <c r="B8786" s="16"/>
      <c r="C8786" s="12">
        <f>IFERROR(__xludf.DUMMYFUNCTION("""COMPUTED_VALUE"""),44621.741631944446)</f>
        <v>44621.74163</v>
      </c>
      <c r="D8786" s="13">
        <f t="shared" si="1"/>
        <v>1</v>
      </c>
      <c r="E8786" s="13">
        <f t="shared" si="2"/>
        <v>17</v>
      </c>
    </row>
    <row r="8787">
      <c r="A8787" s="4" t="s">
        <v>9397</v>
      </c>
      <c r="B8787" s="16"/>
      <c r="C8787" s="12">
        <f>IFERROR(__xludf.DUMMYFUNCTION("""COMPUTED_VALUE"""),44621.7399537037)</f>
        <v>44621.73995</v>
      </c>
      <c r="D8787" s="13">
        <f t="shared" si="1"/>
        <v>1</v>
      </c>
      <c r="E8787" s="13">
        <f t="shared" si="2"/>
        <v>17</v>
      </c>
    </row>
    <row r="8788">
      <c r="A8788" s="4" t="s">
        <v>9398</v>
      </c>
      <c r="B8788" s="16"/>
      <c r="C8788" s="12">
        <f>IFERROR(__xludf.DUMMYFUNCTION("""COMPUTED_VALUE"""),44621.73982638889)</f>
        <v>44621.73983</v>
      </c>
      <c r="D8788" s="13">
        <f t="shared" si="1"/>
        <v>1</v>
      </c>
      <c r="E8788" s="13">
        <f t="shared" si="2"/>
        <v>17</v>
      </c>
    </row>
    <row r="8789">
      <c r="A8789" s="4" t="s">
        <v>9399</v>
      </c>
      <c r="B8789" s="16"/>
      <c r="C8789" s="12">
        <f>IFERROR(__xludf.DUMMYFUNCTION("""COMPUTED_VALUE"""),44621.7396875)</f>
        <v>44621.73969</v>
      </c>
      <c r="D8789" s="13">
        <f t="shared" si="1"/>
        <v>1</v>
      </c>
      <c r="E8789" s="13">
        <f t="shared" si="2"/>
        <v>17</v>
      </c>
    </row>
    <row r="8790">
      <c r="A8790" s="4" t="s">
        <v>9400</v>
      </c>
      <c r="B8790" s="16"/>
      <c r="C8790" s="12">
        <f>IFERROR(__xludf.DUMMYFUNCTION("""COMPUTED_VALUE"""),44621.73951388889)</f>
        <v>44621.73951</v>
      </c>
      <c r="D8790" s="13">
        <f t="shared" si="1"/>
        <v>1</v>
      </c>
      <c r="E8790" s="13">
        <f t="shared" si="2"/>
        <v>17</v>
      </c>
    </row>
    <row r="8791">
      <c r="A8791" s="4" t="s">
        <v>9401</v>
      </c>
      <c r="B8791" s="16"/>
      <c r="C8791" s="12">
        <f>IFERROR(__xludf.DUMMYFUNCTION("""COMPUTED_VALUE"""),44621.73936342592)</f>
        <v>44621.73936</v>
      </c>
      <c r="D8791" s="13">
        <f t="shared" si="1"/>
        <v>1</v>
      </c>
      <c r="E8791" s="13">
        <f t="shared" si="2"/>
        <v>17</v>
      </c>
    </row>
    <row r="8792">
      <c r="A8792" s="4" t="s">
        <v>9402</v>
      </c>
      <c r="B8792" s="16"/>
      <c r="C8792" s="12">
        <f>IFERROR(__xludf.DUMMYFUNCTION("""COMPUTED_VALUE"""),44621.73659722222)</f>
        <v>44621.7366</v>
      </c>
      <c r="D8792" s="13">
        <f t="shared" si="1"/>
        <v>1</v>
      </c>
      <c r="E8792" s="13">
        <f t="shared" si="2"/>
        <v>17</v>
      </c>
    </row>
    <row r="8793">
      <c r="A8793" s="4" t="s">
        <v>9403</v>
      </c>
      <c r="B8793" s="16"/>
      <c r="C8793" s="12">
        <f>IFERROR(__xludf.DUMMYFUNCTION("""COMPUTED_VALUE"""),44621.71871527778)</f>
        <v>44621.71872</v>
      </c>
      <c r="D8793" s="13">
        <f t="shared" si="1"/>
        <v>1</v>
      </c>
      <c r="E8793" s="13">
        <f t="shared" si="2"/>
        <v>17</v>
      </c>
    </row>
    <row r="8794">
      <c r="A8794" s="4" t="s">
        <v>9404</v>
      </c>
      <c r="B8794" s="16"/>
      <c r="C8794" s="12">
        <f>IFERROR(__xludf.DUMMYFUNCTION("""COMPUTED_VALUE"""),44621.6964699074)</f>
        <v>44621.69647</v>
      </c>
      <c r="D8794" s="13">
        <f t="shared" si="1"/>
        <v>1</v>
      </c>
      <c r="E8794" s="13">
        <f t="shared" si="2"/>
        <v>16</v>
      </c>
    </row>
    <row r="8795">
      <c r="A8795" s="4" t="s">
        <v>9405</v>
      </c>
      <c r="B8795" s="16"/>
      <c r="C8795" s="12">
        <f>IFERROR(__xludf.DUMMYFUNCTION("""COMPUTED_VALUE"""),44621.684861111105)</f>
        <v>44621.68486</v>
      </c>
      <c r="D8795" s="13">
        <f t="shared" si="1"/>
        <v>1</v>
      </c>
      <c r="E8795" s="13">
        <f t="shared" si="2"/>
        <v>16</v>
      </c>
    </row>
    <row r="8796">
      <c r="A8796" s="4" t="s">
        <v>9406</v>
      </c>
      <c r="B8796" s="16"/>
      <c r="C8796" s="12">
        <f>IFERROR(__xludf.DUMMYFUNCTION("""COMPUTED_VALUE"""),44621.6827662037)</f>
        <v>44621.68277</v>
      </c>
      <c r="D8796" s="13">
        <f t="shared" si="1"/>
        <v>1</v>
      </c>
      <c r="E8796" s="13">
        <f t="shared" si="2"/>
        <v>16</v>
      </c>
    </row>
    <row r="8797">
      <c r="A8797" s="4" t="s">
        <v>9407</v>
      </c>
      <c r="B8797" s="16"/>
      <c r="C8797" s="12">
        <f>IFERROR(__xludf.DUMMYFUNCTION("""COMPUTED_VALUE"""),44621.676574074074)</f>
        <v>44621.67657</v>
      </c>
      <c r="D8797" s="13">
        <f t="shared" si="1"/>
        <v>1</v>
      </c>
      <c r="E8797" s="13">
        <f t="shared" si="2"/>
        <v>16</v>
      </c>
    </row>
    <row r="8798">
      <c r="A8798" s="4" t="s">
        <v>9408</v>
      </c>
      <c r="B8798" s="16"/>
      <c r="C8798" s="12">
        <f>IFERROR(__xludf.DUMMYFUNCTION("""COMPUTED_VALUE"""),44621.63915509259)</f>
        <v>44621.63916</v>
      </c>
      <c r="D8798" s="13">
        <f t="shared" si="1"/>
        <v>1</v>
      </c>
      <c r="E8798" s="13">
        <f t="shared" si="2"/>
        <v>15</v>
      </c>
    </row>
    <row r="8799">
      <c r="A8799" s="4" t="s">
        <v>9409</v>
      </c>
      <c r="B8799" s="16"/>
      <c r="C8799" s="12">
        <f>IFERROR(__xludf.DUMMYFUNCTION("""COMPUTED_VALUE"""),44621.60333333333)</f>
        <v>44621.60333</v>
      </c>
      <c r="D8799" s="13">
        <f t="shared" si="1"/>
        <v>1</v>
      </c>
      <c r="E8799" s="13">
        <f t="shared" si="2"/>
        <v>14</v>
      </c>
    </row>
    <row r="8800">
      <c r="A8800" s="4" t="s">
        <v>9410</v>
      </c>
      <c r="B8800" s="16"/>
      <c r="C8800" s="12">
        <f>IFERROR(__xludf.DUMMYFUNCTION("""COMPUTED_VALUE"""),44621.58574074074)</f>
        <v>44621.58574</v>
      </c>
      <c r="D8800" s="13">
        <f t="shared" si="1"/>
        <v>1</v>
      </c>
      <c r="E8800" s="13">
        <f t="shared" si="2"/>
        <v>14</v>
      </c>
    </row>
    <row r="8801">
      <c r="A8801" s="4" t="s">
        <v>9411</v>
      </c>
      <c r="B8801" s="16"/>
      <c r="C8801" s="12">
        <f>IFERROR(__xludf.DUMMYFUNCTION("""COMPUTED_VALUE"""),44621.56731481481)</f>
        <v>44621.56731</v>
      </c>
      <c r="D8801" s="13">
        <f t="shared" si="1"/>
        <v>1</v>
      </c>
      <c r="E8801" s="13">
        <f t="shared" si="2"/>
        <v>13</v>
      </c>
    </row>
    <row r="8802">
      <c r="A8802" s="4" t="s">
        <v>9412</v>
      </c>
      <c r="B8802" s="16"/>
      <c r="C8802" s="12">
        <f>IFERROR(__xludf.DUMMYFUNCTION("""COMPUTED_VALUE"""),44621.56616898148)</f>
        <v>44621.56617</v>
      </c>
      <c r="D8802" s="13">
        <f t="shared" si="1"/>
        <v>1</v>
      </c>
      <c r="E8802" s="13">
        <f t="shared" si="2"/>
        <v>13</v>
      </c>
    </row>
    <row r="8803">
      <c r="A8803" s="4" t="s">
        <v>9413</v>
      </c>
      <c r="B8803" s="16"/>
      <c r="C8803" s="12">
        <f>IFERROR(__xludf.DUMMYFUNCTION("""COMPUTED_VALUE"""),44621.56506944444)</f>
        <v>44621.56507</v>
      </c>
      <c r="D8803" s="13">
        <f t="shared" si="1"/>
        <v>1</v>
      </c>
      <c r="E8803" s="13">
        <f t="shared" si="2"/>
        <v>13</v>
      </c>
    </row>
    <row r="8804">
      <c r="A8804" s="4" t="s">
        <v>9414</v>
      </c>
      <c r="B8804" s="16"/>
      <c r="C8804" s="12">
        <f>IFERROR(__xludf.DUMMYFUNCTION("""COMPUTED_VALUE"""),44621.55417824074)</f>
        <v>44621.55418</v>
      </c>
      <c r="D8804" s="13">
        <f t="shared" si="1"/>
        <v>1</v>
      </c>
      <c r="E8804" s="13">
        <f t="shared" si="2"/>
        <v>13</v>
      </c>
    </row>
    <row r="8805">
      <c r="A8805" s="4" t="s">
        <v>9415</v>
      </c>
      <c r="B8805" s="16"/>
      <c r="C8805" s="12">
        <f>IFERROR(__xludf.DUMMYFUNCTION("""COMPUTED_VALUE"""),44621.553206018514)</f>
        <v>44621.55321</v>
      </c>
      <c r="D8805" s="13">
        <f t="shared" si="1"/>
        <v>1</v>
      </c>
      <c r="E8805" s="13">
        <f t="shared" si="2"/>
        <v>13</v>
      </c>
    </row>
    <row r="8806">
      <c r="A8806" s="4" t="s">
        <v>9416</v>
      </c>
      <c r="B8806" s="16"/>
      <c r="C8806" s="12">
        <f>IFERROR(__xludf.DUMMYFUNCTION("""COMPUTED_VALUE"""),44621.54116898148)</f>
        <v>44621.54117</v>
      </c>
      <c r="D8806" s="13">
        <f t="shared" si="1"/>
        <v>1</v>
      </c>
      <c r="E8806" s="13">
        <f t="shared" si="2"/>
        <v>12</v>
      </c>
    </row>
    <row r="8807">
      <c r="A8807" s="4" t="s">
        <v>9417</v>
      </c>
      <c r="B8807" s="16"/>
      <c r="C8807" s="12">
        <f>IFERROR(__xludf.DUMMYFUNCTION("""COMPUTED_VALUE"""),44621.539884259255)</f>
        <v>44621.53988</v>
      </c>
      <c r="D8807" s="13">
        <f t="shared" si="1"/>
        <v>1</v>
      </c>
      <c r="E8807" s="13">
        <f t="shared" si="2"/>
        <v>12</v>
      </c>
    </row>
    <row r="8808">
      <c r="A8808" s="4" t="s">
        <v>9418</v>
      </c>
      <c r="B8808" s="16"/>
      <c r="C8808" s="12">
        <f>IFERROR(__xludf.DUMMYFUNCTION("""COMPUTED_VALUE"""),44621.53929398148)</f>
        <v>44621.53929</v>
      </c>
      <c r="D8808" s="13">
        <f t="shared" si="1"/>
        <v>1</v>
      </c>
      <c r="E8808" s="13">
        <f t="shared" si="2"/>
        <v>12</v>
      </c>
    </row>
    <row r="8809">
      <c r="A8809" s="4" t="s">
        <v>9419</v>
      </c>
      <c r="B8809" s="16"/>
      <c r="C8809" s="12">
        <f>IFERROR(__xludf.DUMMYFUNCTION("""COMPUTED_VALUE"""),44621.53266203703)</f>
        <v>44621.53266</v>
      </c>
      <c r="D8809" s="13">
        <f t="shared" si="1"/>
        <v>1</v>
      </c>
      <c r="E8809" s="13">
        <f t="shared" si="2"/>
        <v>12</v>
      </c>
    </row>
    <row r="8810">
      <c r="A8810" s="4" t="s">
        <v>9420</v>
      </c>
      <c r="B8810" s="16"/>
      <c r="C8810" s="12">
        <f>IFERROR(__xludf.DUMMYFUNCTION("""COMPUTED_VALUE"""),44621.53204861111)</f>
        <v>44621.53205</v>
      </c>
      <c r="D8810" s="13">
        <f t="shared" si="1"/>
        <v>1</v>
      </c>
      <c r="E8810" s="13">
        <f t="shared" si="2"/>
        <v>12</v>
      </c>
    </row>
    <row r="8811">
      <c r="A8811" s="4" t="s">
        <v>9421</v>
      </c>
      <c r="B8811" s="16"/>
      <c r="C8811" s="12">
        <f>IFERROR(__xludf.DUMMYFUNCTION("""COMPUTED_VALUE"""),44621.530763888884)</f>
        <v>44621.53076</v>
      </c>
      <c r="D8811" s="13">
        <f t="shared" si="1"/>
        <v>1</v>
      </c>
      <c r="E8811" s="13">
        <f t="shared" si="2"/>
        <v>12</v>
      </c>
    </row>
    <row r="8812">
      <c r="A8812" s="4" t="s">
        <v>9422</v>
      </c>
      <c r="B8812" s="16"/>
      <c r="C8812" s="12">
        <f>IFERROR(__xludf.DUMMYFUNCTION("""COMPUTED_VALUE"""),44621.53001157407)</f>
        <v>44621.53001</v>
      </c>
      <c r="D8812" s="13">
        <f t="shared" si="1"/>
        <v>1</v>
      </c>
      <c r="E8812" s="13">
        <f t="shared" si="2"/>
        <v>12</v>
      </c>
    </row>
    <row r="8813">
      <c r="A8813" s="4" t="s">
        <v>9423</v>
      </c>
      <c r="B8813" s="16"/>
      <c r="C8813" s="12">
        <f>IFERROR(__xludf.DUMMYFUNCTION("""COMPUTED_VALUE"""),44621.52716435185)</f>
        <v>44621.52716</v>
      </c>
      <c r="D8813" s="13">
        <f t="shared" si="1"/>
        <v>1</v>
      </c>
      <c r="E8813" s="13">
        <f t="shared" si="2"/>
        <v>12</v>
      </c>
    </row>
    <row r="8814">
      <c r="A8814" s="4" t="s">
        <v>9424</v>
      </c>
      <c r="B8814" s="16"/>
      <c r="C8814" s="12">
        <f>IFERROR(__xludf.DUMMYFUNCTION("""COMPUTED_VALUE"""),44621.526354166665)</f>
        <v>44621.52635</v>
      </c>
      <c r="D8814" s="13">
        <f t="shared" si="1"/>
        <v>1</v>
      </c>
      <c r="E8814" s="13">
        <f t="shared" si="2"/>
        <v>12</v>
      </c>
    </row>
    <row r="8815">
      <c r="A8815" s="4" t="s">
        <v>9425</v>
      </c>
      <c r="B8815" s="16"/>
      <c r="C8815" s="12">
        <f>IFERROR(__xludf.DUMMYFUNCTION("""COMPUTED_VALUE"""),44621.52342592592)</f>
        <v>44621.52343</v>
      </c>
      <c r="D8815" s="13">
        <f t="shared" si="1"/>
        <v>1</v>
      </c>
      <c r="E8815" s="13">
        <f t="shared" si="2"/>
        <v>12</v>
      </c>
    </row>
    <row r="8816">
      <c r="A8816" s="4" t="s">
        <v>9426</v>
      </c>
      <c r="B8816" s="16"/>
      <c r="C8816" s="12">
        <f>IFERROR(__xludf.DUMMYFUNCTION("""COMPUTED_VALUE"""),44621.50815972222)</f>
        <v>44621.50816</v>
      </c>
      <c r="D8816" s="13">
        <f t="shared" si="1"/>
        <v>1</v>
      </c>
      <c r="E8816" s="13">
        <f t="shared" si="2"/>
        <v>12</v>
      </c>
    </row>
    <row r="8817">
      <c r="A8817" s="4" t="s">
        <v>9427</v>
      </c>
      <c r="B8817" s="16"/>
      <c r="C8817" s="12">
        <f>IFERROR(__xludf.DUMMYFUNCTION("""COMPUTED_VALUE"""),44621.507476851846)</f>
        <v>44621.50748</v>
      </c>
      <c r="D8817" s="13">
        <f t="shared" si="1"/>
        <v>1</v>
      </c>
      <c r="E8817" s="13">
        <f t="shared" si="2"/>
        <v>12</v>
      </c>
    </row>
    <row r="8818">
      <c r="A8818" s="4" t="s">
        <v>9428</v>
      </c>
      <c r="B8818" s="16"/>
      <c r="C8818" s="12">
        <f>IFERROR(__xludf.DUMMYFUNCTION("""COMPUTED_VALUE"""),44621.507152777776)</f>
        <v>44621.50715</v>
      </c>
      <c r="D8818" s="13">
        <f t="shared" si="1"/>
        <v>1</v>
      </c>
      <c r="E8818" s="13">
        <f t="shared" si="2"/>
        <v>12</v>
      </c>
    </row>
    <row r="8819">
      <c r="A8819" s="4" t="s">
        <v>9429</v>
      </c>
      <c r="B8819" s="16"/>
      <c r="C8819" s="12">
        <f>IFERROR(__xludf.DUMMYFUNCTION("""COMPUTED_VALUE"""),44621.50671296296)</f>
        <v>44621.50671</v>
      </c>
      <c r="D8819" s="13">
        <f t="shared" si="1"/>
        <v>1</v>
      </c>
      <c r="E8819" s="13">
        <f t="shared" si="2"/>
        <v>12</v>
      </c>
    </row>
    <row r="8820">
      <c r="A8820" s="4" t="s">
        <v>9430</v>
      </c>
      <c r="B8820" s="16"/>
      <c r="C8820" s="12">
        <f>IFERROR(__xludf.DUMMYFUNCTION("""COMPUTED_VALUE"""),44621.499560185184)</f>
        <v>44621.49956</v>
      </c>
      <c r="D8820" s="13">
        <f t="shared" si="1"/>
        <v>1</v>
      </c>
      <c r="E8820" s="13">
        <f t="shared" si="2"/>
        <v>11</v>
      </c>
    </row>
    <row r="8821">
      <c r="A8821" s="4" t="s">
        <v>9431</v>
      </c>
      <c r="B8821" s="16"/>
      <c r="C8821" s="12">
        <f>IFERROR(__xludf.DUMMYFUNCTION("""COMPUTED_VALUE"""),44621.49795138888)</f>
        <v>44621.49795</v>
      </c>
      <c r="D8821" s="13">
        <f t="shared" si="1"/>
        <v>1</v>
      </c>
      <c r="E8821" s="13">
        <f t="shared" si="2"/>
        <v>11</v>
      </c>
    </row>
    <row r="8822">
      <c r="A8822" s="4" t="s">
        <v>9432</v>
      </c>
      <c r="B8822" s="16"/>
      <c r="C8822" s="12">
        <f>IFERROR(__xludf.DUMMYFUNCTION("""COMPUTED_VALUE"""),44621.49508101852)</f>
        <v>44621.49508</v>
      </c>
      <c r="D8822" s="13">
        <f t="shared" si="1"/>
        <v>1</v>
      </c>
      <c r="E8822" s="13">
        <f t="shared" si="2"/>
        <v>11</v>
      </c>
    </row>
    <row r="8823">
      <c r="A8823" s="4" t="s">
        <v>9433</v>
      </c>
      <c r="B8823" s="16"/>
      <c r="C8823" s="12">
        <f>IFERROR(__xludf.DUMMYFUNCTION("""COMPUTED_VALUE"""),44621.47011574074)</f>
        <v>44621.47012</v>
      </c>
      <c r="D8823" s="13">
        <f t="shared" si="1"/>
        <v>1</v>
      </c>
      <c r="E8823" s="13">
        <f t="shared" si="2"/>
        <v>11</v>
      </c>
    </row>
    <row r="8824">
      <c r="A8824" s="4" t="s">
        <v>9434</v>
      </c>
      <c r="B8824" s="16"/>
      <c r="C8824" s="12">
        <f>IFERROR(__xludf.DUMMYFUNCTION("""COMPUTED_VALUE"""),44621.47)</f>
        <v>44621.47</v>
      </c>
      <c r="D8824" s="13">
        <f t="shared" si="1"/>
        <v>1</v>
      </c>
      <c r="E8824" s="13">
        <f t="shared" si="2"/>
        <v>11</v>
      </c>
    </row>
    <row r="8825">
      <c r="A8825" s="4" t="s">
        <v>9435</v>
      </c>
      <c r="B8825" s="16"/>
      <c r="C8825" s="12">
        <f>IFERROR(__xludf.DUMMYFUNCTION("""COMPUTED_VALUE"""),44621.46871527778)</f>
        <v>44621.46872</v>
      </c>
      <c r="D8825" s="13">
        <f t="shared" si="1"/>
        <v>1</v>
      </c>
      <c r="E8825" s="13">
        <f t="shared" si="2"/>
        <v>11</v>
      </c>
    </row>
    <row r="8826">
      <c r="A8826" s="4" t="s">
        <v>9436</v>
      </c>
      <c r="B8826" s="16"/>
      <c r="C8826" s="12">
        <f>IFERROR(__xludf.DUMMYFUNCTION("""COMPUTED_VALUE"""),44621.46569444444)</f>
        <v>44621.46569</v>
      </c>
      <c r="D8826" s="13">
        <f t="shared" si="1"/>
        <v>1</v>
      </c>
      <c r="E8826" s="13">
        <f t="shared" si="2"/>
        <v>11</v>
      </c>
    </row>
    <row r="8827">
      <c r="A8827" s="4" t="s">
        <v>9437</v>
      </c>
      <c r="B8827" s="16"/>
      <c r="C8827" s="12">
        <f>IFERROR(__xludf.DUMMYFUNCTION("""COMPUTED_VALUE"""),44621.451261574075)</f>
        <v>44621.45126</v>
      </c>
      <c r="D8827" s="13">
        <f t="shared" si="1"/>
        <v>1</v>
      </c>
      <c r="E8827" s="13">
        <f t="shared" si="2"/>
        <v>10</v>
      </c>
    </row>
    <row r="8828">
      <c r="A8828" s="4" t="s">
        <v>9438</v>
      </c>
      <c r="B8828" s="16"/>
      <c r="C8828" s="12">
        <f>IFERROR(__xludf.DUMMYFUNCTION("""COMPUTED_VALUE"""),44621.4496875)</f>
        <v>44621.44969</v>
      </c>
      <c r="D8828" s="13">
        <f t="shared" si="1"/>
        <v>1</v>
      </c>
      <c r="E8828" s="13">
        <f t="shared" si="2"/>
        <v>10</v>
      </c>
    </row>
    <row r="8829">
      <c r="A8829" s="4" t="s">
        <v>9439</v>
      </c>
      <c r="B8829" s="16"/>
      <c r="C8829" s="12">
        <f>IFERROR(__xludf.DUMMYFUNCTION("""COMPUTED_VALUE"""),44621.4452662037)</f>
        <v>44621.44527</v>
      </c>
      <c r="D8829" s="13">
        <f t="shared" si="1"/>
        <v>1</v>
      </c>
      <c r="E8829" s="13">
        <f t="shared" si="2"/>
        <v>10</v>
      </c>
    </row>
    <row r="8830">
      <c r="A8830" s="4" t="s">
        <v>9440</v>
      </c>
      <c r="B8830" s="16"/>
      <c r="C8830" s="12">
        <f>IFERROR(__xludf.DUMMYFUNCTION("""COMPUTED_VALUE"""),44621.433865740735)</f>
        <v>44621.43387</v>
      </c>
      <c r="D8830" s="13">
        <f t="shared" si="1"/>
        <v>1</v>
      </c>
      <c r="E8830" s="13">
        <f t="shared" si="2"/>
        <v>10</v>
      </c>
    </row>
    <row r="8831">
      <c r="A8831" s="4" t="s">
        <v>9441</v>
      </c>
      <c r="B8831" s="16"/>
      <c r="C8831" s="12">
        <f>IFERROR(__xludf.DUMMYFUNCTION("""COMPUTED_VALUE"""),44621.43215277777)</f>
        <v>44621.43215</v>
      </c>
      <c r="D8831" s="13">
        <f t="shared" si="1"/>
        <v>1</v>
      </c>
      <c r="E8831" s="13">
        <f t="shared" si="2"/>
        <v>10</v>
      </c>
    </row>
    <row r="8832">
      <c r="A8832" s="4" t="s">
        <v>9442</v>
      </c>
      <c r="B8832" s="16"/>
      <c r="C8832" s="12">
        <f>IFERROR(__xludf.DUMMYFUNCTION("""COMPUTED_VALUE"""),44621.42380787037)</f>
        <v>44621.42381</v>
      </c>
      <c r="D8832" s="13">
        <f t="shared" si="1"/>
        <v>1</v>
      </c>
      <c r="E8832" s="13">
        <f t="shared" si="2"/>
        <v>10</v>
      </c>
    </row>
    <row r="8833">
      <c r="A8833" s="4" t="s">
        <v>9443</v>
      </c>
      <c r="B8833" s="16"/>
      <c r="C8833" s="12">
        <f>IFERROR(__xludf.DUMMYFUNCTION("""COMPUTED_VALUE"""),44621.420219907406)</f>
        <v>44621.42022</v>
      </c>
      <c r="D8833" s="13">
        <f t="shared" si="1"/>
        <v>1</v>
      </c>
      <c r="E8833" s="13">
        <f t="shared" si="2"/>
        <v>10</v>
      </c>
    </row>
    <row r="8834">
      <c r="A8834" s="4" t="s">
        <v>9444</v>
      </c>
      <c r="B8834" s="16"/>
      <c r="C8834" s="12">
        <f>IFERROR(__xludf.DUMMYFUNCTION("""COMPUTED_VALUE"""),44621.41788194444)</f>
        <v>44621.41788</v>
      </c>
      <c r="D8834" s="13">
        <f t="shared" si="1"/>
        <v>1</v>
      </c>
      <c r="E8834" s="13">
        <f t="shared" si="2"/>
        <v>10</v>
      </c>
    </row>
    <row r="8835">
      <c r="A8835" s="4" t="s">
        <v>9445</v>
      </c>
      <c r="B8835" s="16"/>
      <c r="C8835" s="12">
        <f>IFERROR(__xludf.DUMMYFUNCTION("""COMPUTED_VALUE"""),44621.41652777777)</f>
        <v>44621.41653</v>
      </c>
      <c r="D8835" s="13">
        <f t="shared" si="1"/>
        <v>1</v>
      </c>
      <c r="E8835" s="13">
        <f t="shared" si="2"/>
        <v>9</v>
      </c>
    </row>
    <row r="8836">
      <c r="A8836" s="4" t="s">
        <v>9446</v>
      </c>
      <c r="B8836" s="16"/>
      <c r="C8836" s="12">
        <f>IFERROR(__xludf.DUMMYFUNCTION("""COMPUTED_VALUE"""),44621.41453703703)</f>
        <v>44621.41454</v>
      </c>
      <c r="D8836" s="13">
        <f t="shared" si="1"/>
        <v>1</v>
      </c>
      <c r="E8836" s="13">
        <f t="shared" si="2"/>
        <v>9</v>
      </c>
    </row>
    <row r="8837">
      <c r="A8837" s="4" t="s">
        <v>9447</v>
      </c>
      <c r="B8837" s="16"/>
      <c r="C8837" s="12">
        <f>IFERROR(__xludf.DUMMYFUNCTION("""COMPUTED_VALUE"""),44621.40167824074)</f>
        <v>44621.40168</v>
      </c>
      <c r="D8837" s="13">
        <f t="shared" si="1"/>
        <v>1</v>
      </c>
      <c r="E8837" s="13">
        <f t="shared" si="2"/>
        <v>9</v>
      </c>
    </row>
    <row r="8838">
      <c r="A8838" s="4" t="s">
        <v>9448</v>
      </c>
      <c r="B8838" s="16"/>
      <c r="C8838" s="12">
        <f>IFERROR(__xludf.DUMMYFUNCTION("""COMPUTED_VALUE"""),44621.39376157407)</f>
        <v>44621.39376</v>
      </c>
      <c r="D8838" s="13">
        <f t="shared" si="1"/>
        <v>1</v>
      </c>
      <c r="E8838" s="13">
        <f t="shared" si="2"/>
        <v>9</v>
      </c>
    </row>
    <row r="8839">
      <c r="A8839" s="4" t="s">
        <v>9449</v>
      </c>
      <c r="B8839" s="16"/>
      <c r="C8839" s="12">
        <f>IFERROR(__xludf.DUMMYFUNCTION("""COMPUTED_VALUE"""),44621.375127314815)</f>
        <v>44621.37513</v>
      </c>
      <c r="D8839" s="13">
        <f t="shared" si="1"/>
        <v>1</v>
      </c>
      <c r="E8839" s="13">
        <f t="shared" si="2"/>
        <v>9</v>
      </c>
    </row>
    <row r="8840">
      <c r="A8840" s="4" t="s">
        <v>9450</v>
      </c>
      <c r="B8840" s="16"/>
      <c r="C8840" s="12">
        <f>IFERROR(__xludf.DUMMYFUNCTION("""COMPUTED_VALUE"""),44621.37479166666)</f>
        <v>44621.37479</v>
      </c>
      <c r="D8840" s="13">
        <f t="shared" si="1"/>
        <v>1</v>
      </c>
      <c r="E8840" s="13">
        <f t="shared" si="2"/>
        <v>8</v>
      </c>
    </row>
    <row r="8841">
      <c r="A8841" s="4" t="s">
        <v>9451</v>
      </c>
      <c r="B8841" s="16"/>
      <c r="C8841" s="12">
        <f>IFERROR(__xludf.DUMMYFUNCTION("""COMPUTED_VALUE"""),44621.37428240741)</f>
        <v>44621.37428</v>
      </c>
      <c r="D8841" s="13">
        <f t="shared" si="1"/>
        <v>1</v>
      </c>
      <c r="E8841" s="13">
        <f t="shared" si="2"/>
        <v>8</v>
      </c>
    </row>
    <row r="8842">
      <c r="A8842" s="4" t="s">
        <v>9452</v>
      </c>
      <c r="B8842" s="16"/>
      <c r="C8842" s="12">
        <f>IFERROR(__xludf.DUMMYFUNCTION("""COMPUTED_VALUE"""),44621.36672453704)</f>
        <v>44621.36672</v>
      </c>
      <c r="D8842" s="13">
        <f t="shared" si="1"/>
        <v>1</v>
      </c>
      <c r="E8842" s="13">
        <f t="shared" si="2"/>
        <v>8</v>
      </c>
    </row>
    <row r="8843">
      <c r="A8843" s="4" t="s">
        <v>9453</v>
      </c>
      <c r="B8843" s="16"/>
      <c r="C8843" s="12">
        <f>IFERROR(__xludf.DUMMYFUNCTION("""COMPUTED_VALUE"""),44621.33782407407)</f>
        <v>44621.33782</v>
      </c>
      <c r="D8843" s="13">
        <f t="shared" si="1"/>
        <v>1</v>
      </c>
      <c r="E8843" s="13">
        <f t="shared" si="2"/>
        <v>8</v>
      </c>
    </row>
    <row r="8844">
      <c r="A8844" s="4" t="s">
        <v>9454</v>
      </c>
      <c r="B8844" s="16"/>
      <c r="C8844" s="12">
        <f>IFERROR(__xludf.DUMMYFUNCTION("""COMPUTED_VALUE"""),44621.33364583333)</f>
        <v>44621.33365</v>
      </c>
      <c r="D8844" s="13">
        <f t="shared" si="1"/>
        <v>1</v>
      </c>
      <c r="E8844" s="13">
        <f t="shared" si="2"/>
        <v>8</v>
      </c>
    </row>
    <row r="8845">
      <c r="A8845" s="4" t="s">
        <v>9455</v>
      </c>
      <c r="B8845" s="16"/>
      <c r="C8845" s="12">
        <f>IFERROR(__xludf.DUMMYFUNCTION("""COMPUTED_VALUE"""),44621.33032407407)</f>
        <v>44621.33032</v>
      </c>
      <c r="D8845" s="13">
        <f t="shared" si="1"/>
        <v>1</v>
      </c>
      <c r="E8845" s="13">
        <f t="shared" si="2"/>
        <v>7</v>
      </c>
    </row>
    <row r="8846">
      <c r="A8846" s="4" t="s">
        <v>9456</v>
      </c>
      <c r="B8846" s="16"/>
      <c r="C8846" s="12">
        <f>IFERROR(__xludf.DUMMYFUNCTION("""COMPUTED_VALUE"""),44621.327314814815)</f>
        <v>44621.32731</v>
      </c>
      <c r="D8846" s="13">
        <f t="shared" si="1"/>
        <v>1</v>
      </c>
      <c r="E8846" s="13">
        <f t="shared" si="2"/>
        <v>7</v>
      </c>
    </row>
    <row r="8847">
      <c r="A8847" s="4" t="s">
        <v>9457</v>
      </c>
      <c r="B8847" s="16"/>
      <c r="C8847" s="12">
        <f>IFERROR(__xludf.DUMMYFUNCTION("""COMPUTED_VALUE"""),44621.32665509259)</f>
        <v>44621.32666</v>
      </c>
      <c r="D8847" s="13">
        <f t="shared" si="1"/>
        <v>1</v>
      </c>
      <c r="E8847" s="13">
        <f t="shared" si="2"/>
        <v>7</v>
      </c>
    </row>
    <row r="8848">
      <c r="A8848" s="4" t="s">
        <v>9458</v>
      </c>
      <c r="B8848" s="16"/>
      <c r="C8848" s="12">
        <f>IFERROR(__xludf.DUMMYFUNCTION("""COMPUTED_VALUE"""),44621.29756944444)</f>
        <v>44621.29757</v>
      </c>
      <c r="D8848" s="13">
        <f t="shared" si="1"/>
        <v>1</v>
      </c>
      <c r="E8848" s="13">
        <f t="shared" si="2"/>
        <v>7</v>
      </c>
    </row>
    <row r="8849">
      <c r="A8849" s="4" t="s">
        <v>9459</v>
      </c>
      <c r="B8849" s="16"/>
      <c r="C8849" s="12">
        <f>IFERROR(__xludf.DUMMYFUNCTION("""COMPUTED_VALUE"""),44621.29344907407)</f>
        <v>44621.29345</v>
      </c>
      <c r="D8849" s="13">
        <f t="shared" si="1"/>
        <v>1</v>
      </c>
      <c r="E8849" s="13">
        <f t="shared" si="2"/>
        <v>7</v>
      </c>
    </row>
    <row r="8850">
      <c r="A8850" s="4" t="s">
        <v>9460</v>
      </c>
      <c r="B8850" s="16"/>
      <c r="C8850" s="12">
        <f>IFERROR(__xludf.DUMMYFUNCTION("""COMPUTED_VALUE"""),44621.23263888888)</f>
        <v>44621.23264</v>
      </c>
      <c r="D8850" s="13">
        <f t="shared" si="1"/>
        <v>1</v>
      </c>
      <c r="E8850" s="13">
        <f t="shared" si="2"/>
        <v>5</v>
      </c>
    </row>
    <row r="8851">
      <c r="A8851" s="4" t="s">
        <v>9461</v>
      </c>
      <c r="B8851" s="16"/>
      <c r="C8851" s="12">
        <f>IFERROR(__xludf.DUMMYFUNCTION("""COMPUTED_VALUE"""),44621.13309027778)</f>
        <v>44621.13309</v>
      </c>
      <c r="D8851" s="13">
        <f t="shared" si="1"/>
        <v>1</v>
      </c>
      <c r="E8851" s="13">
        <f t="shared" si="2"/>
        <v>3</v>
      </c>
    </row>
    <row r="8852">
      <c r="A8852" s="4" t="s">
        <v>9462</v>
      </c>
      <c r="B8852" s="16"/>
      <c r="C8852" s="12">
        <f>IFERROR(__xludf.DUMMYFUNCTION("""COMPUTED_VALUE"""),44621.05446759259)</f>
        <v>44621.05447</v>
      </c>
      <c r="D8852" s="13">
        <f t="shared" si="1"/>
        <v>1</v>
      </c>
      <c r="E8852" s="13">
        <f t="shared" si="2"/>
        <v>1</v>
      </c>
    </row>
    <row r="8853">
      <c r="A8853" s="4" t="s">
        <v>9463</v>
      </c>
      <c r="B8853" s="16"/>
      <c r="C8853" s="12">
        <f>IFERROR(__xludf.DUMMYFUNCTION("""COMPUTED_VALUE"""),44620.97597222222)</f>
        <v>44620.97597</v>
      </c>
      <c r="D8853" s="13">
        <f t="shared" si="1"/>
        <v>28</v>
      </c>
      <c r="E8853" s="13">
        <f t="shared" si="2"/>
        <v>23</v>
      </c>
    </row>
    <row r="8854">
      <c r="A8854" s="4" t="s">
        <v>9464</v>
      </c>
      <c r="B8854" s="16"/>
      <c r="C8854" s="12">
        <f>IFERROR(__xludf.DUMMYFUNCTION("""COMPUTED_VALUE"""),44620.935960648145)</f>
        <v>44620.93596</v>
      </c>
      <c r="D8854" s="13">
        <f t="shared" si="1"/>
        <v>28</v>
      </c>
      <c r="E8854" s="13">
        <f t="shared" si="2"/>
        <v>22</v>
      </c>
    </row>
    <row r="8855">
      <c r="A8855" s="4" t="s">
        <v>9465</v>
      </c>
      <c r="B8855" s="16"/>
      <c r="C8855" s="12">
        <f>IFERROR(__xludf.DUMMYFUNCTION("""COMPUTED_VALUE"""),44620.93458333333)</f>
        <v>44620.93458</v>
      </c>
      <c r="D8855" s="13">
        <f t="shared" si="1"/>
        <v>28</v>
      </c>
      <c r="E8855" s="13">
        <f t="shared" si="2"/>
        <v>22</v>
      </c>
    </row>
    <row r="8856">
      <c r="A8856" s="4" t="s">
        <v>9466</v>
      </c>
      <c r="B8856" s="16"/>
      <c r="C8856" s="12">
        <f>IFERROR(__xludf.DUMMYFUNCTION("""COMPUTED_VALUE"""),44620.91033564814)</f>
        <v>44620.91034</v>
      </c>
      <c r="D8856" s="13">
        <f t="shared" si="1"/>
        <v>28</v>
      </c>
      <c r="E8856" s="13">
        <f t="shared" si="2"/>
        <v>21</v>
      </c>
    </row>
    <row r="8857">
      <c r="A8857" s="4" t="s">
        <v>9467</v>
      </c>
      <c r="B8857" s="16"/>
      <c r="C8857" s="12">
        <f>IFERROR(__xludf.DUMMYFUNCTION("""COMPUTED_VALUE"""),44620.89765046296)</f>
        <v>44620.89765</v>
      </c>
      <c r="D8857" s="13">
        <f t="shared" si="1"/>
        <v>28</v>
      </c>
      <c r="E8857" s="13">
        <f t="shared" si="2"/>
        <v>21</v>
      </c>
    </row>
    <row r="8858">
      <c r="A8858" s="4" t="s">
        <v>9468</v>
      </c>
      <c r="B8858" s="16"/>
      <c r="C8858" s="12">
        <f>IFERROR(__xludf.DUMMYFUNCTION("""COMPUTED_VALUE"""),44620.89747685185)</f>
        <v>44620.89748</v>
      </c>
      <c r="D8858" s="13">
        <f t="shared" si="1"/>
        <v>28</v>
      </c>
      <c r="E8858" s="13">
        <f t="shared" si="2"/>
        <v>21</v>
      </c>
    </row>
    <row r="8859">
      <c r="A8859" s="4" t="s">
        <v>9469</v>
      </c>
      <c r="B8859" s="16"/>
      <c r="C8859" s="12">
        <f>IFERROR(__xludf.DUMMYFUNCTION("""COMPUTED_VALUE"""),44620.89571759259)</f>
        <v>44620.89572</v>
      </c>
      <c r="D8859" s="13">
        <f t="shared" si="1"/>
        <v>28</v>
      </c>
      <c r="E8859" s="13">
        <f t="shared" si="2"/>
        <v>21</v>
      </c>
    </row>
    <row r="8860">
      <c r="A8860" s="4" t="s">
        <v>9470</v>
      </c>
      <c r="B8860" s="16"/>
      <c r="C8860" s="12">
        <f>IFERROR(__xludf.DUMMYFUNCTION("""COMPUTED_VALUE"""),44620.89381944444)</f>
        <v>44620.89382</v>
      </c>
      <c r="D8860" s="13">
        <f t="shared" si="1"/>
        <v>28</v>
      </c>
      <c r="E8860" s="13">
        <f t="shared" si="2"/>
        <v>21</v>
      </c>
    </row>
    <row r="8861">
      <c r="A8861" s="4" t="s">
        <v>9471</v>
      </c>
      <c r="B8861" s="16"/>
      <c r="C8861" s="12">
        <f>IFERROR(__xludf.DUMMYFUNCTION("""COMPUTED_VALUE"""),44620.893692129626)</f>
        <v>44620.89369</v>
      </c>
      <c r="D8861" s="13">
        <f t="shared" si="1"/>
        <v>28</v>
      </c>
      <c r="E8861" s="13">
        <f t="shared" si="2"/>
        <v>21</v>
      </c>
    </row>
    <row r="8862">
      <c r="A8862" s="4" t="s">
        <v>9472</v>
      </c>
      <c r="B8862" s="16"/>
      <c r="C8862" s="12">
        <f>IFERROR(__xludf.DUMMYFUNCTION("""COMPUTED_VALUE"""),44620.8933912037)</f>
        <v>44620.89339</v>
      </c>
      <c r="D8862" s="13">
        <f t="shared" si="1"/>
        <v>28</v>
      </c>
      <c r="E8862" s="13">
        <f t="shared" si="2"/>
        <v>21</v>
      </c>
    </row>
    <row r="8863">
      <c r="A8863" s="4" t="s">
        <v>9473</v>
      </c>
      <c r="B8863" s="16"/>
      <c r="C8863" s="12">
        <f>IFERROR(__xludf.DUMMYFUNCTION("""COMPUTED_VALUE"""),44620.890810185185)</f>
        <v>44620.89081</v>
      </c>
      <c r="D8863" s="13">
        <f t="shared" si="1"/>
        <v>28</v>
      </c>
      <c r="E8863" s="13">
        <f t="shared" si="2"/>
        <v>21</v>
      </c>
    </row>
    <row r="8864">
      <c r="A8864" s="4" t="s">
        <v>9474</v>
      </c>
      <c r="B8864" s="16"/>
      <c r="C8864" s="12">
        <f>IFERROR(__xludf.DUMMYFUNCTION("""COMPUTED_VALUE"""),44620.86418981481)</f>
        <v>44620.86419</v>
      </c>
      <c r="D8864" s="13">
        <f t="shared" si="1"/>
        <v>28</v>
      </c>
      <c r="E8864" s="13">
        <f t="shared" si="2"/>
        <v>20</v>
      </c>
    </row>
    <row r="8865">
      <c r="A8865" s="4" t="s">
        <v>9475</v>
      </c>
      <c r="B8865" s="16"/>
      <c r="C8865" s="12">
        <f>IFERROR(__xludf.DUMMYFUNCTION("""COMPUTED_VALUE"""),44620.85796296296)</f>
        <v>44620.85796</v>
      </c>
      <c r="D8865" s="13">
        <f t="shared" si="1"/>
        <v>28</v>
      </c>
      <c r="E8865" s="13">
        <f t="shared" si="2"/>
        <v>20</v>
      </c>
    </row>
    <row r="8866">
      <c r="A8866" s="4" t="s">
        <v>9476</v>
      </c>
      <c r="B8866" s="16"/>
      <c r="C8866" s="12">
        <f>IFERROR(__xludf.DUMMYFUNCTION("""COMPUTED_VALUE"""),44620.84737268518)</f>
        <v>44620.84737</v>
      </c>
      <c r="D8866" s="13">
        <f t="shared" si="1"/>
        <v>28</v>
      </c>
      <c r="E8866" s="13">
        <f t="shared" si="2"/>
        <v>20</v>
      </c>
    </row>
    <row r="8867">
      <c r="A8867" s="4" t="s">
        <v>9477</v>
      </c>
      <c r="B8867" s="16"/>
      <c r="C8867" s="12">
        <f>IFERROR(__xludf.DUMMYFUNCTION("""COMPUTED_VALUE"""),44620.83494212963)</f>
        <v>44620.83494</v>
      </c>
      <c r="D8867" s="13">
        <f t="shared" si="1"/>
        <v>28</v>
      </c>
      <c r="E8867" s="13">
        <f t="shared" si="2"/>
        <v>20</v>
      </c>
    </row>
    <row r="8868">
      <c r="A8868" s="4" t="s">
        <v>9478</v>
      </c>
      <c r="B8868" s="16"/>
      <c r="C8868" s="12">
        <f>IFERROR(__xludf.DUMMYFUNCTION("""COMPUTED_VALUE"""),44620.83424768518)</f>
        <v>44620.83425</v>
      </c>
      <c r="D8868" s="13">
        <f t="shared" si="1"/>
        <v>28</v>
      </c>
      <c r="E8868" s="13">
        <f t="shared" si="2"/>
        <v>20</v>
      </c>
    </row>
    <row r="8869">
      <c r="A8869" s="4" t="s">
        <v>9479</v>
      </c>
      <c r="B8869" s="16"/>
      <c r="C8869" s="12">
        <f>IFERROR(__xludf.DUMMYFUNCTION("""COMPUTED_VALUE"""),44620.81518518518)</f>
        <v>44620.81519</v>
      </c>
      <c r="D8869" s="13">
        <f t="shared" si="1"/>
        <v>28</v>
      </c>
      <c r="E8869" s="13">
        <f t="shared" si="2"/>
        <v>19</v>
      </c>
    </row>
    <row r="8870">
      <c r="A8870" s="4" t="s">
        <v>9480</v>
      </c>
      <c r="B8870" s="16"/>
      <c r="C8870" s="12">
        <f>IFERROR(__xludf.DUMMYFUNCTION("""COMPUTED_VALUE"""),44620.81450231481)</f>
        <v>44620.8145</v>
      </c>
      <c r="D8870" s="13">
        <f t="shared" si="1"/>
        <v>28</v>
      </c>
      <c r="E8870" s="13">
        <f t="shared" si="2"/>
        <v>19</v>
      </c>
    </row>
    <row r="8871">
      <c r="A8871" s="4" t="s">
        <v>9481</v>
      </c>
      <c r="B8871" s="16"/>
      <c r="C8871" s="12">
        <f>IFERROR(__xludf.DUMMYFUNCTION("""COMPUTED_VALUE"""),44620.78119212963)</f>
        <v>44620.78119</v>
      </c>
      <c r="D8871" s="13">
        <f t="shared" si="1"/>
        <v>28</v>
      </c>
      <c r="E8871" s="13">
        <f t="shared" si="2"/>
        <v>18</v>
      </c>
    </row>
    <row r="8872">
      <c r="A8872" s="4" t="s">
        <v>9482</v>
      </c>
      <c r="B8872" s="16"/>
      <c r="C8872" s="12">
        <f>IFERROR(__xludf.DUMMYFUNCTION("""COMPUTED_VALUE"""),44620.77748842593)</f>
        <v>44620.77749</v>
      </c>
      <c r="D8872" s="13">
        <f t="shared" si="1"/>
        <v>28</v>
      </c>
      <c r="E8872" s="13">
        <f t="shared" si="2"/>
        <v>18</v>
      </c>
    </row>
    <row r="8873">
      <c r="A8873" s="4" t="s">
        <v>9483</v>
      </c>
      <c r="B8873" s="16"/>
      <c r="C8873" s="12">
        <f>IFERROR(__xludf.DUMMYFUNCTION("""COMPUTED_VALUE"""),44620.76196759259)</f>
        <v>44620.76197</v>
      </c>
      <c r="D8873" s="13">
        <f t="shared" si="1"/>
        <v>28</v>
      </c>
      <c r="E8873" s="13">
        <f t="shared" si="2"/>
        <v>18</v>
      </c>
    </row>
    <row r="8874">
      <c r="A8874" s="4" t="s">
        <v>9484</v>
      </c>
      <c r="B8874" s="16"/>
      <c r="C8874" s="12">
        <f>IFERROR(__xludf.DUMMYFUNCTION("""COMPUTED_VALUE"""),44620.755532407406)</f>
        <v>44620.75553</v>
      </c>
      <c r="D8874" s="13">
        <f t="shared" si="1"/>
        <v>28</v>
      </c>
      <c r="E8874" s="13">
        <f t="shared" si="2"/>
        <v>18</v>
      </c>
    </row>
    <row r="8875">
      <c r="A8875" s="4" t="s">
        <v>9485</v>
      </c>
      <c r="B8875" s="16"/>
      <c r="C8875" s="12">
        <f>IFERROR(__xludf.DUMMYFUNCTION("""COMPUTED_VALUE"""),44620.75353009259)</f>
        <v>44620.75353</v>
      </c>
      <c r="D8875" s="13">
        <f t="shared" si="1"/>
        <v>28</v>
      </c>
      <c r="E8875" s="13">
        <f t="shared" si="2"/>
        <v>18</v>
      </c>
    </row>
    <row r="8876">
      <c r="A8876" s="4" t="s">
        <v>9486</v>
      </c>
      <c r="B8876" s="16"/>
      <c r="C8876" s="12">
        <f>IFERROR(__xludf.DUMMYFUNCTION("""COMPUTED_VALUE"""),44620.729583333334)</f>
        <v>44620.72958</v>
      </c>
      <c r="D8876" s="13">
        <f t="shared" si="1"/>
        <v>28</v>
      </c>
      <c r="E8876" s="13">
        <f t="shared" si="2"/>
        <v>17</v>
      </c>
    </row>
    <row r="8877">
      <c r="A8877" s="4" t="s">
        <v>9487</v>
      </c>
      <c r="B8877" s="16"/>
      <c r="C8877" s="12">
        <f>IFERROR(__xludf.DUMMYFUNCTION("""COMPUTED_VALUE"""),44620.72851851852)</f>
        <v>44620.72852</v>
      </c>
      <c r="D8877" s="13">
        <f t="shared" si="1"/>
        <v>28</v>
      </c>
      <c r="E8877" s="13">
        <f t="shared" si="2"/>
        <v>17</v>
      </c>
    </row>
    <row r="8878">
      <c r="A8878" s="4" t="s">
        <v>9488</v>
      </c>
      <c r="B8878" s="16"/>
      <c r="C8878" s="12">
        <f>IFERROR(__xludf.DUMMYFUNCTION("""COMPUTED_VALUE"""),44620.71450231481)</f>
        <v>44620.7145</v>
      </c>
      <c r="D8878" s="13">
        <f t="shared" si="1"/>
        <v>28</v>
      </c>
      <c r="E8878" s="13">
        <f t="shared" si="2"/>
        <v>17</v>
      </c>
    </row>
    <row r="8879">
      <c r="A8879" s="4" t="s">
        <v>9489</v>
      </c>
      <c r="B8879" s="16"/>
      <c r="C8879" s="12">
        <f>IFERROR(__xludf.DUMMYFUNCTION("""COMPUTED_VALUE"""),44620.71372685185)</f>
        <v>44620.71373</v>
      </c>
      <c r="D8879" s="13">
        <f t="shared" si="1"/>
        <v>28</v>
      </c>
      <c r="E8879" s="13">
        <f t="shared" si="2"/>
        <v>17</v>
      </c>
    </row>
    <row r="8880">
      <c r="A8880" s="4" t="s">
        <v>9490</v>
      </c>
      <c r="B8880" s="16"/>
      <c r="C8880" s="12">
        <f>IFERROR(__xludf.DUMMYFUNCTION("""COMPUTED_VALUE"""),44620.70864583333)</f>
        <v>44620.70865</v>
      </c>
      <c r="D8880" s="13">
        <f t="shared" si="1"/>
        <v>28</v>
      </c>
      <c r="E8880" s="13">
        <f t="shared" si="2"/>
        <v>17</v>
      </c>
    </row>
    <row r="8881">
      <c r="A8881" s="4" t="s">
        <v>9491</v>
      </c>
      <c r="B8881" s="16"/>
      <c r="C8881" s="12">
        <f>IFERROR(__xludf.DUMMYFUNCTION("""COMPUTED_VALUE"""),44620.69259259259)</f>
        <v>44620.69259</v>
      </c>
      <c r="D8881" s="13">
        <f t="shared" si="1"/>
        <v>28</v>
      </c>
      <c r="E8881" s="13">
        <f t="shared" si="2"/>
        <v>16</v>
      </c>
    </row>
    <row r="8882">
      <c r="A8882" s="4" t="s">
        <v>9492</v>
      </c>
      <c r="B8882" s="16"/>
      <c r="C8882" s="12">
        <f>IFERROR(__xludf.DUMMYFUNCTION("""COMPUTED_VALUE"""),44620.69207175926)</f>
        <v>44620.69207</v>
      </c>
      <c r="D8882" s="13">
        <f t="shared" si="1"/>
        <v>28</v>
      </c>
      <c r="E8882" s="13">
        <f t="shared" si="2"/>
        <v>16</v>
      </c>
    </row>
    <row r="8883">
      <c r="A8883" s="4" t="s">
        <v>9493</v>
      </c>
      <c r="B8883" s="16"/>
      <c r="C8883" s="12">
        <f>IFERROR(__xludf.DUMMYFUNCTION("""COMPUTED_VALUE"""),44620.691979166666)</f>
        <v>44620.69198</v>
      </c>
      <c r="D8883" s="13">
        <f t="shared" si="1"/>
        <v>28</v>
      </c>
      <c r="E8883" s="13">
        <f t="shared" si="2"/>
        <v>16</v>
      </c>
    </row>
    <row r="8884">
      <c r="A8884" s="4" t="s">
        <v>9494</v>
      </c>
      <c r="B8884" s="16"/>
      <c r="C8884" s="12">
        <f>IFERROR(__xludf.DUMMYFUNCTION("""COMPUTED_VALUE"""),44620.66390046296)</f>
        <v>44620.6639</v>
      </c>
      <c r="D8884" s="13">
        <f t="shared" si="1"/>
        <v>28</v>
      </c>
      <c r="E8884" s="13">
        <f t="shared" si="2"/>
        <v>15</v>
      </c>
    </row>
    <row r="8885">
      <c r="A8885" s="4" t="s">
        <v>9495</v>
      </c>
      <c r="B8885" s="16"/>
      <c r="C8885" s="12">
        <f>IFERROR(__xludf.DUMMYFUNCTION("""COMPUTED_VALUE"""),44620.64697916667)</f>
        <v>44620.64698</v>
      </c>
      <c r="D8885" s="13">
        <f t="shared" si="1"/>
        <v>28</v>
      </c>
      <c r="E8885" s="13">
        <f t="shared" si="2"/>
        <v>15</v>
      </c>
    </row>
    <row r="8886">
      <c r="A8886" s="4" t="s">
        <v>9496</v>
      </c>
      <c r="B8886" s="16"/>
      <c r="C8886" s="12">
        <f>IFERROR(__xludf.DUMMYFUNCTION("""COMPUTED_VALUE"""),44620.641863425924)</f>
        <v>44620.64186</v>
      </c>
      <c r="D8886" s="13">
        <f t="shared" si="1"/>
        <v>28</v>
      </c>
      <c r="E8886" s="13">
        <f t="shared" si="2"/>
        <v>15</v>
      </c>
    </row>
    <row r="8887">
      <c r="A8887" s="4" t="s">
        <v>9497</v>
      </c>
      <c r="B8887" s="16"/>
      <c r="C8887" s="12">
        <f>IFERROR(__xludf.DUMMYFUNCTION("""COMPUTED_VALUE"""),44620.628599537034)</f>
        <v>44620.6286</v>
      </c>
      <c r="D8887" s="13">
        <f t="shared" si="1"/>
        <v>28</v>
      </c>
      <c r="E8887" s="13">
        <f t="shared" si="2"/>
        <v>15</v>
      </c>
    </row>
    <row r="8888">
      <c r="A8888" s="4" t="s">
        <v>9498</v>
      </c>
      <c r="B8888" s="16"/>
      <c r="C8888" s="12">
        <f>IFERROR(__xludf.DUMMYFUNCTION("""COMPUTED_VALUE"""),44620.61988425926)</f>
        <v>44620.61988</v>
      </c>
      <c r="D8888" s="13">
        <f t="shared" si="1"/>
        <v>28</v>
      </c>
      <c r="E8888" s="13">
        <f t="shared" si="2"/>
        <v>14</v>
      </c>
    </row>
    <row r="8889">
      <c r="A8889" s="4" t="s">
        <v>9499</v>
      </c>
      <c r="B8889" s="16"/>
      <c r="C8889" s="12">
        <f>IFERROR(__xludf.DUMMYFUNCTION("""COMPUTED_VALUE"""),44620.6189699074)</f>
        <v>44620.61897</v>
      </c>
      <c r="D8889" s="13">
        <f t="shared" si="1"/>
        <v>28</v>
      </c>
      <c r="E8889" s="13">
        <f t="shared" si="2"/>
        <v>14</v>
      </c>
    </row>
    <row r="8890">
      <c r="A8890" s="4" t="s">
        <v>9500</v>
      </c>
      <c r="B8890" s="16"/>
      <c r="C8890" s="12">
        <f>IFERROR(__xludf.DUMMYFUNCTION("""COMPUTED_VALUE"""),44620.60648148148)</f>
        <v>44620.60648</v>
      </c>
      <c r="D8890" s="13">
        <f t="shared" si="1"/>
        <v>28</v>
      </c>
      <c r="E8890" s="13">
        <f t="shared" si="2"/>
        <v>14</v>
      </c>
    </row>
    <row r="8891">
      <c r="A8891" s="4" t="s">
        <v>9501</v>
      </c>
      <c r="B8891" s="16"/>
      <c r="C8891" s="12">
        <f>IFERROR(__xludf.DUMMYFUNCTION("""COMPUTED_VALUE"""),44620.594305555554)</f>
        <v>44620.59431</v>
      </c>
      <c r="D8891" s="13">
        <f t="shared" si="1"/>
        <v>28</v>
      </c>
      <c r="E8891" s="13">
        <f t="shared" si="2"/>
        <v>14</v>
      </c>
    </row>
    <row r="8892">
      <c r="A8892" s="4" t="s">
        <v>9502</v>
      </c>
      <c r="B8892" s="16"/>
      <c r="C8892" s="12">
        <f>IFERROR(__xludf.DUMMYFUNCTION("""COMPUTED_VALUE"""),44620.58763888889)</f>
        <v>44620.58764</v>
      </c>
      <c r="D8892" s="13">
        <f t="shared" si="1"/>
        <v>28</v>
      </c>
      <c r="E8892" s="13">
        <f t="shared" si="2"/>
        <v>14</v>
      </c>
    </row>
    <row r="8893">
      <c r="A8893" s="4" t="s">
        <v>9503</v>
      </c>
      <c r="B8893" s="16"/>
      <c r="C8893" s="12">
        <f>IFERROR(__xludf.DUMMYFUNCTION("""COMPUTED_VALUE"""),44620.57855324074)</f>
        <v>44620.57855</v>
      </c>
      <c r="D8893" s="13">
        <f t="shared" si="1"/>
        <v>28</v>
      </c>
      <c r="E8893" s="13">
        <f t="shared" si="2"/>
        <v>13</v>
      </c>
    </row>
    <row r="8894">
      <c r="A8894" s="4" t="s">
        <v>9504</v>
      </c>
      <c r="B8894" s="16"/>
      <c r="C8894" s="12">
        <f>IFERROR(__xludf.DUMMYFUNCTION("""COMPUTED_VALUE"""),44620.57369212963)</f>
        <v>44620.57369</v>
      </c>
      <c r="D8894" s="13">
        <f t="shared" si="1"/>
        <v>28</v>
      </c>
      <c r="E8894" s="13">
        <f t="shared" si="2"/>
        <v>13</v>
      </c>
    </row>
    <row r="8895">
      <c r="A8895" s="4" t="s">
        <v>9505</v>
      </c>
      <c r="B8895" s="16"/>
      <c r="C8895" s="12">
        <f>IFERROR(__xludf.DUMMYFUNCTION("""COMPUTED_VALUE"""),44620.57234953703)</f>
        <v>44620.57235</v>
      </c>
      <c r="D8895" s="13">
        <f t="shared" si="1"/>
        <v>28</v>
      </c>
      <c r="E8895" s="13">
        <f t="shared" si="2"/>
        <v>13</v>
      </c>
    </row>
    <row r="8896">
      <c r="A8896" s="4" t="s">
        <v>9506</v>
      </c>
      <c r="B8896" s="16"/>
      <c r="C8896" s="12">
        <f>IFERROR(__xludf.DUMMYFUNCTION("""COMPUTED_VALUE"""),44620.564837962964)</f>
        <v>44620.56484</v>
      </c>
      <c r="D8896" s="13">
        <f t="shared" si="1"/>
        <v>28</v>
      </c>
      <c r="E8896" s="13">
        <f t="shared" si="2"/>
        <v>13</v>
      </c>
    </row>
    <row r="8897">
      <c r="A8897" s="4" t="s">
        <v>9507</v>
      </c>
      <c r="B8897" s="16"/>
      <c r="C8897" s="12">
        <f>IFERROR(__xludf.DUMMYFUNCTION("""COMPUTED_VALUE"""),44620.55652777778)</f>
        <v>44620.55653</v>
      </c>
      <c r="D8897" s="13">
        <f t="shared" si="1"/>
        <v>28</v>
      </c>
      <c r="E8897" s="13">
        <f t="shared" si="2"/>
        <v>13</v>
      </c>
    </row>
    <row r="8898">
      <c r="A8898" s="4" t="s">
        <v>9508</v>
      </c>
      <c r="B8898" s="16"/>
      <c r="C8898" s="12">
        <f>IFERROR(__xludf.DUMMYFUNCTION("""COMPUTED_VALUE"""),44620.517743055556)</f>
        <v>44620.51774</v>
      </c>
      <c r="D8898" s="13">
        <f t="shared" si="1"/>
        <v>28</v>
      </c>
      <c r="E8898" s="13">
        <f t="shared" si="2"/>
        <v>12</v>
      </c>
    </row>
    <row r="8899">
      <c r="A8899" s="4" t="s">
        <v>9509</v>
      </c>
      <c r="B8899" s="16"/>
      <c r="C8899" s="12">
        <f>IFERROR(__xludf.DUMMYFUNCTION("""COMPUTED_VALUE"""),44620.513298611106)</f>
        <v>44620.5133</v>
      </c>
      <c r="D8899" s="13">
        <f t="shared" si="1"/>
        <v>28</v>
      </c>
      <c r="E8899" s="13">
        <f t="shared" si="2"/>
        <v>12</v>
      </c>
    </row>
    <row r="8900">
      <c r="A8900" s="4" t="s">
        <v>9510</v>
      </c>
      <c r="B8900" s="16"/>
      <c r="C8900" s="12">
        <f>IFERROR(__xludf.DUMMYFUNCTION("""COMPUTED_VALUE"""),44620.512777777774)</f>
        <v>44620.51278</v>
      </c>
      <c r="D8900" s="13">
        <f t="shared" si="1"/>
        <v>28</v>
      </c>
      <c r="E8900" s="13">
        <f t="shared" si="2"/>
        <v>12</v>
      </c>
    </row>
    <row r="8901">
      <c r="A8901" s="4" t="s">
        <v>9511</v>
      </c>
      <c r="B8901" s="16"/>
      <c r="C8901" s="12">
        <f>IFERROR(__xludf.DUMMYFUNCTION("""COMPUTED_VALUE"""),44620.49380787037)</f>
        <v>44620.49381</v>
      </c>
      <c r="D8901" s="13">
        <f t="shared" si="1"/>
        <v>28</v>
      </c>
      <c r="E8901" s="13">
        <f t="shared" si="2"/>
        <v>11</v>
      </c>
    </row>
    <row r="8902">
      <c r="A8902" s="4" t="s">
        <v>9512</v>
      </c>
      <c r="B8902" s="16"/>
      <c r="C8902" s="12">
        <f>IFERROR(__xludf.DUMMYFUNCTION("""COMPUTED_VALUE"""),44620.45548611111)</f>
        <v>44620.45549</v>
      </c>
      <c r="D8902" s="13">
        <f t="shared" si="1"/>
        <v>28</v>
      </c>
      <c r="E8902" s="13">
        <f t="shared" si="2"/>
        <v>10</v>
      </c>
    </row>
    <row r="8903">
      <c r="A8903" s="4" t="s">
        <v>9513</v>
      </c>
      <c r="B8903" s="16"/>
      <c r="C8903" s="12">
        <f>IFERROR(__xludf.DUMMYFUNCTION("""COMPUTED_VALUE"""),44620.439259259256)</f>
        <v>44620.43926</v>
      </c>
      <c r="D8903" s="13">
        <f t="shared" si="1"/>
        <v>28</v>
      </c>
      <c r="E8903" s="13">
        <f t="shared" si="2"/>
        <v>10</v>
      </c>
    </row>
    <row r="8904">
      <c r="A8904" s="4" t="s">
        <v>9514</v>
      </c>
      <c r="B8904" s="16"/>
      <c r="C8904" s="12">
        <f>IFERROR(__xludf.DUMMYFUNCTION("""COMPUTED_VALUE"""),44620.42321759259)</f>
        <v>44620.42322</v>
      </c>
      <c r="D8904" s="13">
        <f t="shared" si="1"/>
        <v>28</v>
      </c>
      <c r="E8904" s="13">
        <f t="shared" si="2"/>
        <v>10</v>
      </c>
    </row>
    <row r="8905">
      <c r="A8905" s="4" t="s">
        <v>9515</v>
      </c>
      <c r="B8905" s="16"/>
      <c r="C8905" s="12">
        <f>IFERROR(__xludf.DUMMYFUNCTION("""COMPUTED_VALUE"""),44620.390555555554)</f>
        <v>44620.39056</v>
      </c>
      <c r="D8905" s="13">
        <f t="shared" si="1"/>
        <v>28</v>
      </c>
      <c r="E8905" s="13">
        <f t="shared" si="2"/>
        <v>9</v>
      </c>
    </row>
    <row r="8906">
      <c r="A8906" s="4" t="s">
        <v>9516</v>
      </c>
      <c r="B8906" s="16"/>
      <c r="C8906" s="12">
        <f>IFERROR(__xludf.DUMMYFUNCTION("""COMPUTED_VALUE"""),44620.38153935185)</f>
        <v>44620.38154</v>
      </c>
      <c r="D8906" s="13">
        <f t="shared" si="1"/>
        <v>28</v>
      </c>
      <c r="E8906" s="13">
        <f t="shared" si="2"/>
        <v>9</v>
      </c>
    </row>
    <row r="8907">
      <c r="A8907" s="4" t="s">
        <v>9517</v>
      </c>
      <c r="B8907" s="16"/>
      <c r="C8907" s="12">
        <f>IFERROR(__xludf.DUMMYFUNCTION("""COMPUTED_VALUE"""),44620.31046296296)</f>
        <v>44620.31046</v>
      </c>
      <c r="D8907" s="13">
        <f t="shared" si="1"/>
        <v>28</v>
      </c>
      <c r="E8907" s="13">
        <f t="shared" si="2"/>
        <v>7</v>
      </c>
    </row>
    <row r="8908">
      <c r="A8908" s="4" t="s">
        <v>9518</v>
      </c>
      <c r="B8908" s="16"/>
      <c r="C8908" s="12">
        <f>IFERROR(__xludf.DUMMYFUNCTION("""COMPUTED_VALUE"""),44620.30631944444)</f>
        <v>44620.30632</v>
      </c>
      <c r="D8908" s="13">
        <f t="shared" si="1"/>
        <v>28</v>
      </c>
      <c r="E8908" s="13">
        <f t="shared" si="2"/>
        <v>7</v>
      </c>
    </row>
    <row r="8909">
      <c r="A8909" s="4" t="s">
        <v>9519</v>
      </c>
      <c r="B8909" s="16"/>
      <c r="C8909" s="12">
        <f>IFERROR(__xludf.DUMMYFUNCTION("""COMPUTED_VALUE"""),44620.245300925926)</f>
        <v>44620.2453</v>
      </c>
      <c r="D8909" s="13">
        <f t="shared" si="1"/>
        <v>28</v>
      </c>
      <c r="E8909" s="13">
        <f t="shared" si="2"/>
        <v>5</v>
      </c>
    </row>
    <row r="8910">
      <c r="A8910" s="4" t="s">
        <v>9520</v>
      </c>
      <c r="B8910" s="16"/>
      <c r="C8910" s="12">
        <f>IFERROR(__xludf.DUMMYFUNCTION("""COMPUTED_VALUE"""),44620.240752314814)</f>
        <v>44620.24075</v>
      </c>
      <c r="D8910" s="13">
        <f t="shared" si="1"/>
        <v>28</v>
      </c>
      <c r="E8910" s="13">
        <f t="shared" si="2"/>
        <v>5</v>
      </c>
    </row>
    <row r="8911">
      <c r="A8911" s="4" t="s">
        <v>9521</v>
      </c>
      <c r="B8911" s="16"/>
      <c r="C8911" s="12">
        <f>IFERROR(__xludf.DUMMYFUNCTION("""COMPUTED_VALUE"""),44620.14953703703)</f>
        <v>44620.14954</v>
      </c>
      <c r="D8911" s="13">
        <f t="shared" si="1"/>
        <v>28</v>
      </c>
      <c r="E8911" s="13">
        <f t="shared" si="2"/>
        <v>3</v>
      </c>
    </row>
    <row r="8912">
      <c r="A8912" s="4" t="s">
        <v>9522</v>
      </c>
      <c r="B8912" s="16"/>
      <c r="C8912" s="12">
        <f>IFERROR(__xludf.DUMMYFUNCTION("""COMPUTED_VALUE"""),44620.01351851851)</f>
        <v>44620.01352</v>
      </c>
      <c r="D8912" s="13">
        <f t="shared" si="1"/>
        <v>28</v>
      </c>
      <c r="E8912" s="13">
        <f t="shared" si="2"/>
        <v>0</v>
      </c>
    </row>
    <row r="8913">
      <c r="A8913" s="4" t="s">
        <v>9523</v>
      </c>
      <c r="B8913" s="16"/>
      <c r="C8913" s="12">
        <f>IFERROR(__xludf.DUMMYFUNCTION("""COMPUTED_VALUE"""),44619.956307870365)</f>
        <v>44619.95631</v>
      </c>
      <c r="D8913" s="13">
        <f t="shared" si="1"/>
        <v>27</v>
      </c>
      <c r="E8913" s="13">
        <f t="shared" si="2"/>
        <v>22</v>
      </c>
    </row>
    <row r="8914">
      <c r="A8914" s="4" t="s">
        <v>9524</v>
      </c>
      <c r="B8914" s="16"/>
      <c r="C8914" s="12">
        <f>IFERROR(__xludf.DUMMYFUNCTION("""COMPUTED_VALUE"""),44619.91385416666)</f>
        <v>44619.91385</v>
      </c>
      <c r="D8914" s="13">
        <f t="shared" si="1"/>
        <v>27</v>
      </c>
      <c r="E8914" s="13">
        <f t="shared" si="2"/>
        <v>21</v>
      </c>
    </row>
    <row r="8915">
      <c r="A8915" s="4" t="s">
        <v>9525</v>
      </c>
      <c r="B8915" s="16"/>
      <c r="C8915" s="12">
        <f>IFERROR(__xludf.DUMMYFUNCTION("""COMPUTED_VALUE"""),44619.91248842592)</f>
        <v>44619.91249</v>
      </c>
      <c r="D8915" s="13">
        <f t="shared" si="1"/>
        <v>27</v>
      </c>
      <c r="E8915" s="13">
        <f t="shared" si="2"/>
        <v>21</v>
      </c>
    </row>
    <row r="8916">
      <c r="A8916" s="4" t="s">
        <v>9526</v>
      </c>
      <c r="B8916" s="16"/>
      <c r="C8916" s="12">
        <f>IFERROR(__xludf.DUMMYFUNCTION("""COMPUTED_VALUE"""),44619.90886574074)</f>
        <v>44619.90887</v>
      </c>
      <c r="D8916" s="13">
        <f t="shared" si="1"/>
        <v>27</v>
      </c>
      <c r="E8916" s="13">
        <f t="shared" si="2"/>
        <v>21</v>
      </c>
    </row>
    <row r="8917">
      <c r="A8917" s="4" t="s">
        <v>9527</v>
      </c>
      <c r="B8917" s="16"/>
      <c r="C8917" s="12">
        <f>IFERROR(__xludf.DUMMYFUNCTION("""COMPUTED_VALUE"""),44619.90762731481)</f>
        <v>44619.90763</v>
      </c>
      <c r="D8917" s="13">
        <f t="shared" si="1"/>
        <v>27</v>
      </c>
      <c r="E8917" s="13">
        <f t="shared" si="2"/>
        <v>21</v>
      </c>
    </row>
    <row r="8918">
      <c r="A8918" s="4" t="s">
        <v>9528</v>
      </c>
      <c r="B8918" s="16"/>
      <c r="C8918" s="12">
        <f>IFERROR(__xludf.DUMMYFUNCTION("""COMPUTED_VALUE"""),44619.90420138888)</f>
        <v>44619.9042</v>
      </c>
      <c r="D8918" s="13">
        <f t="shared" si="1"/>
        <v>27</v>
      </c>
      <c r="E8918" s="13">
        <f t="shared" si="2"/>
        <v>21</v>
      </c>
    </row>
    <row r="8919">
      <c r="A8919" s="4" t="s">
        <v>9528</v>
      </c>
      <c r="B8919" s="16"/>
      <c r="C8919" s="12">
        <f>IFERROR(__xludf.DUMMYFUNCTION("""COMPUTED_VALUE"""),44619.90420138888)</f>
        <v>44619.9042</v>
      </c>
      <c r="D8919" s="13">
        <f t="shared" si="1"/>
        <v>27</v>
      </c>
      <c r="E8919" s="13">
        <f t="shared" si="2"/>
        <v>21</v>
      </c>
    </row>
    <row r="8920">
      <c r="A8920" s="4" t="s">
        <v>9529</v>
      </c>
      <c r="B8920" s="16"/>
      <c r="C8920" s="12">
        <f>IFERROR(__xludf.DUMMYFUNCTION("""COMPUTED_VALUE"""),44619.90379629629)</f>
        <v>44619.9038</v>
      </c>
      <c r="D8920" s="13">
        <f t="shared" si="1"/>
        <v>27</v>
      </c>
      <c r="E8920" s="13">
        <f t="shared" si="2"/>
        <v>21</v>
      </c>
    </row>
    <row r="8921">
      <c r="A8921" s="4" t="s">
        <v>9530</v>
      </c>
      <c r="B8921" s="16"/>
      <c r="C8921" s="12">
        <f>IFERROR(__xludf.DUMMYFUNCTION("""COMPUTED_VALUE"""),44619.90364583333)</f>
        <v>44619.90365</v>
      </c>
      <c r="D8921" s="13">
        <f t="shared" si="1"/>
        <v>27</v>
      </c>
      <c r="E8921" s="13">
        <f t="shared" si="2"/>
        <v>21</v>
      </c>
    </row>
    <row r="8922">
      <c r="A8922" s="4" t="s">
        <v>9531</v>
      </c>
      <c r="B8922" s="16"/>
      <c r="C8922" s="12">
        <f>IFERROR(__xludf.DUMMYFUNCTION("""COMPUTED_VALUE"""),44619.90302083333)</f>
        <v>44619.90302</v>
      </c>
      <c r="D8922" s="13">
        <f t="shared" si="1"/>
        <v>27</v>
      </c>
      <c r="E8922" s="13">
        <f t="shared" si="2"/>
        <v>21</v>
      </c>
    </row>
    <row r="8923">
      <c r="A8923" s="4" t="s">
        <v>9532</v>
      </c>
      <c r="B8923" s="16"/>
      <c r="C8923" s="12">
        <f>IFERROR(__xludf.DUMMYFUNCTION("""COMPUTED_VALUE"""),44619.902662037035)</f>
        <v>44619.90266</v>
      </c>
      <c r="D8923" s="13">
        <f t="shared" si="1"/>
        <v>27</v>
      </c>
      <c r="E8923" s="13">
        <f t="shared" si="2"/>
        <v>21</v>
      </c>
    </row>
    <row r="8924">
      <c r="A8924" s="4" t="s">
        <v>9533</v>
      </c>
      <c r="B8924" s="16"/>
      <c r="C8924" s="12">
        <f>IFERROR(__xludf.DUMMYFUNCTION("""COMPUTED_VALUE"""),44619.899826388886)</f>
        <v>44619.89983</v>
      </c>
      <c r="D8924" s="13">
        <f t="shared" si="1"/>
        <v>27</v>
      </c>
      <c r="E8924" s="13">
        <f t="shared" si="2"/>
        <v>21</v>
      </c>
    </row>
    <row r="8925">
      <c r="A8925" s="4" t="s">
        <v>9534</v>
      </c>
      <c r="B8925" s="16"/>
      <c r="C8925" s="12">
        <f>IFERROR(__xludf.DUMMYFUNCTION("""COMPUTED_VALUE"""),44619.89942129629)</f>
        <v>44619.89942</v>
      </c>
      <c r="D8925" s="13">
        <f t="shared" si="1"/>
        <v>27</v>
      </c>
      <c r="E8925" s="13">
        <f t="shared" si="2"/>
        <v>21</v>
      </c>
    </row>
    <row r="8926">
      <c r="A8926" s="4" t="s">
        <v>9535</v>
      </c>
      <c r="B8926" s="16"/>
      <c r="C8926" s="12">
        <f>IFERROR(__xludf.DUMMYFUNCTION("""COMPUTED_VALUE"""),44619.897777777776)</f>
        <v>44619.89778</v>
      </c>
      <c r="D8926" s="13">
        <f t="shared" si="1"/>
        <v>27</v>
      </c>
      <c r="E8926" s="13">
        <f t="shared" si="2"/>
        <v>21</v>
      </c>
    </row>
    <row r="8927">
      <c r="A8927" s="4" t="s">
        <v>9536</v>
      </c>
      <c r="B8927" s="16"/>
      <c r="C8927" s="12">
        <f>IFERROR(__xludf.DUMMYFUNCTION("""COMPUTED_VALUE"""),44619.89478009259)</f>
        <v>44619.89478</v>
      </c>
      <c r="D8927" s="13">
        <f t="shared" si="1"/>
        <v>27</v>
      </c>
      <c r="E8927" s="13">
        <f t="shared" si="2"/>
        <v>21</v>
      </c>
    </row>
    <row r="8928">
      <c r="A8928" s="4" t="s">
        <v>9537</v>
      </c>
      <c r="B8928" s="16"/>
      <c r="C8928" s="12">
        <f>IFERROR(__xludf.DUMMYFUNCTION("""COMPUTED_VALUE"""),44619.872094907405)</f>
        <v>44619.87209</v>
      </c>
      <c r="D8928" s="13">
        <f t="shared" si="1"/>
        <v>27</v>
      </c>
      <c r="E8928" s="13">
        <f t="shared" si="2"/>
        <v>20</v>
      </c>
    </row>
    <row r="8929">
      <c r="A8929" s="4" t="s">
        <v>9538</v>
      </c>
      <c r="B8929" s="16"/>
      <c r="C8929" s="12">
        <f>IFERROR(__xludf.DUMMYFUNCTION("""COMPUTED_VALUE"""),44619.86635416666)</f>
        <v>44619.86635</v>
      </c>
      <c r="D8929" s="13">
        <f t="shared" si="1"/>
        <v>27</v>
      </c>
      <c r="E8929" s="13">
        <f t="shared" si="2"/>
        <v>20</v>
      </c>
    </row>
    <row r="8930">
      <c r="A8930" s="4" t="s">
        <v>9539</v>
      </c>
      <c r="B8930" s="16"/>
      <c r="C8930" s="12">
        <f>IFERROR(__xludf.DUMMYFUNCTION("""COMPUTED_VALUE"""),44619.86528935185)</f>
        <v>44619.86529</v>
      </c>
      <c r="D8930" s="13">
        <f t="shared" si="1"/>
        <v>27</v>
      </c>
      <c r="E8930" s="13">
        <f t="shared" si="2"/>
        <v>20</v>
      </c>
    </row>
    <row r="8931">
      <c r="A8931" s="4" t="s">
        <v>9540</v>
      </c>
      <c r="B8931" s="16"/>
      <c r="C8931" s="12">
        <f>IFERROR(__xludf.DUMMYFUNCTION("""COMPUTED_VALUE"""),44619.863553240735)</f>
        <v>44619.86355</v>
      </c>
      <c r="D8931" s="13">
        <f t="shared" si="1"/>
        <v>27</v>
      </c>
      <c r="E8931" s="13">
        <f t="shared" si="2"/>
        <v>20</v>
      </c>
    </row>
    <row r="8932">
      <c r="A8932" s="4" t="s">
        <v>9541</v>
      </c>
      <c r="B8932" s="16"/>
      <c r="C8932" s="12">
        <f>IFERROR(__xludf.DUMMYFUNCTION("""COMPUTED_VALUE"""),44619.86100694444)</f>
        <v>44619.86101</v>
      </c>
      <c r="D8932" s="13">
        <f t="shared" si="1"/>
        <v>27</v>
      </c>
      <c r="E8932" s="13">
        <f t="shared" si="2"/>
        <v>20</v>
      </c>
    </row>
    <row r="8933">
      <c r="A8933" s="4" t="s">
        <v>9542</v>
      </c>
      <c r="B8933" s="16"/>
      <c r="C8933" s="12">
        <f>IFERROR(__xludf.DUMMYFUNCTION("""COMPUTED_VALUE"""),44619.847928240735)</f>
        <v>44619.84793</v>
      </c>
      <c r="D8933" s="13">
        <f t="shared" si="1"/>
        <v>27</v>
      </c>
      <c r="E8933" s="13">
        <f t="shared" si="2"/>
        <v>20</v>
      </c>
    </row>
    <row r="8934">
      <c r="A8934" s="4" t="s">
        <v>9543</v>
      </c>
      <c r="B8934" s="16"/>
      <c r="C8934" s="12">
        <f>IFERROR(__xludf.DUMMYFUNCTION("""COMPUTED_VALUE"""),44619.82892361111)</f>
        <v>44619.82892</v>
      </c>
      <c r="D8934" s="13">
        <f t="shared" si="1"/>
        <v>27</v>
      </c>
      <c r="E8934" s="13">
        <f t="shared" si="2"/>
        <v>19</v>
      </c>
    </row>
    <row r="8935">
      <c r="A8935" s="4" t="s">
        <v>9544</v>
      </c>
      <c r="B8935" s="16"/>
      <c r="C8935" s="12">
        <f>IFERROR(__xludf.DUMMYFUNCTION("""COMPUTED_VALUE"""),44619.80840277777)</f>
        <v>44619.8084</v>
      </c>
      <c r="D8935" s="13">
        <f t="shared" si="1"/>
        <v>27</v>
      </c>
      <c r="E8935" s="13">
        <f t="shared" si="2"/>
        <v>19</v>
      </c>
    </row>
    <row r="8936">
      <c r="A8936" s="4" t="s">
        <v>9545</v>
      </c>
      <c r="B8936" s="16"/>
      <c r="C8936" s="12">
        <f>IFERROR(__xludf.DUMMYFUNCTION("""COMPUTED_VALUE"""),44619.80200231481)</f>
        <v>44619.802</v>
      </c>
      <c r="D8936" s="13">
        <f t="shared" si="1"/>
        <v>27</v>
      </c>
      <c r="E8936" s="13">
        <f t="shared" si="2"/>
        <v>19</v>
      </c>
    </row>
    <row r="8937">
      <c r="A8937" s="4" t="s">
        <v>9546</v>
      </c>
      <c r="B8937" s="16"/>
      <c r="C8937" s="12">
        <f>IFERROR(__xludf.DUMMYFUNCTION("""COMPUTED_VALUE"""),44619.8009375)</f>
        <v>44619.80094</v>
      </c>
      <c r="D8937" s="13">
        <f t="shared" si="1"/>
        <v>27</v>
      </c>
      <c r="E8937" s="13">
        <f t="shared" si="2"/>
        <v>19</v>
      </c>
    </row>
    <row r="8938">
      <c r="A8938" s="4" t="s">
        <v>9547</v>
      </c>
      <c r="B8938" s="16"/>
      <c r="C8938" s="12">
        <f>IFERROR(__xludf.DUMMYFUNCTION("""COMPUTED_VALUE"""),44619.79541666667)</f>
        <v>44619.79542</v>
      </c>
      <c r="D8938" s="13">
        <f t="shared" si="1"/>
        <v>27</v>
      </c>
      <c r="E8938" s="13">
        <f t="shared" si="2"/>
        <v>19</v>
      </c>
    </row>
    <row r="8939">
      <c r="A8939" s="4" t="s">
        <v>9548</v>
      </c>
      <c r="B8939" s="16"/>
      <c r="C8939" s="12">
        <f>IFERROR(__xludf.DUMMYFUNCTION("""COMPUTED_VALUE"""),44619.75586805555)</f>
        <v>44619.75587</v>
      </c>
      <c r="D8939" s="13">
        <f t="shared" si="1"/>
        <v>27</v>
      </c>
      <c r="E8939" s="13">
        <f t="shared" si="2"/>
        <v>18</v>
      </c>
    </row>
    <row r="8940">
      <c r="A8940" s="4" t="s">
        <v>9549</v>
      </c>
      <c r="B8940" s="16"/>
      <c r="C8940" s="12">
        <f>IFERROR(__xludf.DUMMYFUNCTION("""COMPUTED_VALUE"""),44619.75578703704)</f>
        <v>44619.75579</v>
      </c>
      <c r="D8940" s="13">
        <f t="shared" si="1"/>
        <v>27</v>
      </c>
      <c r="E8940" s="13">
        <f t="shared" si="2"/>
        <v>18</v>
      </c>
    </row>
    <row r="8941">
      <c r="A8941" s="4" t="s">
        <v>9550</v>
      </c>
      <c r="B8941" s="16"/>
      <c r="C8941" s="12">
        <f>IFERROR(__xludf.DUMMYFUNCTION("""COMPUTED_VALUE"""),44619.74875)</f>
        <v>44619.74875</v>
      </c>
      <c r="D8941" s="13">
        <f t="shared" si="1"/>
        <v>27</v>
      </c>
      <c r="E8941" s="13">
        <f t="shared" si="2"/>
        <v>17</v>
      </c>
    </row>
    <row r="8942">
      <c r="A8942" s="4" t="s">
        <v>9551</v>
      </c>
      <c r="B8942" s="16"/>
      <c r="C8942" s="12">
        <f>IFERROR(__xludf.DUMMYFUNCTION("""COMPUTED_VALUE"""),44619.730740740735)</f>
        <v>44619.73074</v>
      </c>
      <c r="D8942" s="13">
        <f t="shared" si="1"/>
        <v>27</v>
      </c>
      <c r="E8942" s="13">
        <f t="shared" si="2"/>
        <v>17</v>
      </c>
    </row>
    <row r="8943">
      <c r="A8943" s="4" t="s">
        <v>9552</v>
      </c>
      <c r="B8943" s="16"/>
      <c r="C8943" s="12">
        <f>IFERROR(__xludf.DUMMYFUNCTION("""COMPUTED_VALUE"""),44619.68692129629)</f>
        <v>44619.68692</v>
      </c>
      <c r="D8943" s="13">
        <f t="shared" si="1"/>
        <v>27</v>
      </c>
      <c r="E8943" s="13">
        <f t="shared" si="2"/>
        <v>16</v>
      </c>
    </row>
    <row r="8944">
      <c r="A8944" s="4" t="s">
        <v>9553</v>
      </c>
      <c r="B8944" s="16"/>
      <c r="C8944" s="12">
        <f>IFERROR(__xludf.DUMMYFUNCTION("""COMPUTED_VALUE"""),44619.67414351852)</f>
        <v>44619.67414</v>
      </c>
      <c r="D8944" s="13">
        <f t="shared" si="1"/>
        <v>27</v>
      </c>
      <c r="E8944" s="13">
        <f t="shared" si="2"/>
        <v>16</v>
      </c>
    </row>
    <row r="8945">
      <c r="A8945" s="4" t="s">
        <v>9554</v>
      </c>
      <c r="B8945" s="16"/>
      <c r="C8945" s="12">
        <f>IFERROR(__xludf.DUMMYFUNCTION("""COMPUTED_VALUE"""),44619.67221064815)</f>
        <v>44619.67221</v>
      </c>
      <c r="D8945" s="13">
        <f t="shared" si="1"/>
        <v>27</v>
      </c>
      <c r="E8945" s="13">
        <f t="shared" si="2"/>
        <v>16</v>
      </c>
    </row>
    <row r="8946">
      <c r="A8946" s="4" t="s">
        <v>9555</v>
      </c>
      <c r="B8946" s="16"/>
      <c r="C8946" s="12">
        <f>IFERROR(__xludf.DUMMYFUNCTION("""COMPUTED_VALUE"""),44619.667708333334)</f>
        <v>44619.66771</v>
      </c>
      <c r="D8946" s="13">
        <f t="shared" si="1"/>
        <v>27</v>
      </c>
      <c r="E8946" s="13">
        <f t="shared" si="2"/>
        <v>16</v>
      </c>
    </row>
    <row r="8947">
      <c r="A8947" s="4" t="s">
        <v>9556</v>
      </c>
      <c r="B8947" s="16"/>
      <c r="C8947" s="12">
        <f>IFERROR(__xludf.DUMMYFUNCTION("""COMPUTED_VALUE"""),44619.66605324074)</f>
        <v>44619.66605</v>
      </c>
      <c r="D8947" s="13">
        <f t="shared" si="1"/>
        <v>27</v>
      </c>
      <c r="E8947" s="13">
        <f t="shared" si="2"/>
        <v>15</v>
      </c>
    </row>
    <row r="8948">
      <c r="A8948" s="4" t="s">
        <v>9557</v>
      </c>
      <c r="B8948" s="16"/>
      <c r="C8948" s="12">
        <f>IFERROR(__xludf.DUMMYFUNCTION("""COMPUTED_VALUE"""),44619.658587962964)</f>
        <v>44619.65859</v>
      </c>
      <c r="D8948" s="13">
        <f t="shared" si="1"/>
        <v>27</v>
      </c>
      <c r="E8948" s="13">
        <f t="shared" si="2"/>
        <v>15</v>
      </c>
    </row>
    <row r="8949">
      <c r="A8949" s="4" t="s">
        <v>9558</v>
      </c>
      <c r="B8949" s="16"/>
      <c r="C8949" s="12">
        <f>IFERROR(__xludf.DUMMYFUNCTION("""COMPUTED_VALUE"""),44619.65131944444)</f>
        <v>44619.65132</v>
      </c>
      <c r="D8949" s="13">
        <f t="shared" si="1"/>
        <v>27</v>
      </c>
      <c r="E8949" s="13">
        <f t="shared" si="2"/>
        <v>15</v>
      </c>
    </row>
    <row r="8950">
      <c r="A8950" s="4" t="s">
        <v>9559</v>
      </c>
      <c r="B8950" s="16"/>
      <c r="C8950" s="12">
        <f>IFERROR(__xludf.DUMMYFUNCTION("""COMPUTED_VALUE"""),44619.61230324074)</f>
        <v>44619.6123</v>
      </c>
      <c r="D8950" s="13">
        <f t="shared" si="1"/>
        <v>27</v>
      </c>
      <c r="E8950" s="13">
        <f t="shared" si="2"/>
        <v>14</v>
      </c>
    </row>
    <row r="8951">
      <c r="A8951" s="4" t="s">
        <v>9560</v>
      </c>
      <c r="B8951" s="16"/>
      <c r="C8951" s="12">
        <f>IFERROR(__xludf.DUMMYFUNCTION("""COMPUTED_VALUE"""),44619.611921296295)</f>
        <v>44619.61192</v>
      </c>
      <c r="D8951" s="13">
        <f t="shared" si="1"/>
        <v>27</v>
      </c>
      <c r="E8951" s="13">
        <f t="shared" si="2"/>
        <v>14</v>
      </c>
    </row>
    <row r="8952">
      <c r="A8952" s="4" t="s">
        <v>9561</v>
      </c>
      <c r="B8952" s="16"/>
      <c r="C8952" s="12">
        <f>IFERROR(__xludf.DUMMYFUNCTION("""COMPUTED_VALUE"""),44619.564618055556)</f>
        <v>44619.56462</v>
      </c>
      <c r="D8952" s="13">
        <f t="shared" si="1"/>
        <v>27</v>
      </c>
      <c r="E8952" s="13">
        <f t="shared" si="2"/>
        <v>13</v>
      </c>
    </row>
    <row r="8953">
      <c r="A8953" s="4" t="s">
        <v>9561</v>
      </c>
      <c r="B8953" s="16"/>
      <c r="C8953" s="12">
        <f>IFERROR(__xludf.DUMMYFUNCTION("""COMPUTED_VALUE"""),44619.564618055556)</f>
        <v>44619.56462</v>
      </c>
      <c r="D8953" s="13">
        <f t="shared" si="1"/>
        <v>27</v>
      </c>
      <c r="E8953" s="13">
        <f t="shared" si="2"/>
        <v>13</v>
      </c>
    </row>
    <row r="8954">
      <c r="A8954" s="4" t="s">
        <v>9562</v>
      </c>
      <c r="B8954" s="16"/>
      <c r="C8954" s="12">
        <f>IFERROR(__xludf.DUMMYFUNCTION("""COMPUTED_VALUE"""),44619.56340277778)</f>
        <v>44619.5634</v>
      </c>
      <c r="D8954" s="13">
        <f t="shared" si="1"/>
        <v>27</v>
      </c>
      <c r="E8954" s="13">
        <f t="shared" si="2"/>
        <v>13</v>
      </c>
    </row>
    <row r="8955">
      <c r="A8955" s="4" t="s">
        <v>9563</v>
      </c>
      <c r="B8955" s="16"/>
      <c r="C8955" s="12">
        <f>IFERROR(__xludf.DUMMYFUNCTION("""COMPUTED_VALUE"""),44619.53344907407)</f>
        <v>44619.53345</v>
      </c>
      <c r="D8955" s="13">
        <f t="shared" si="1"/>
        <v>27</v>
      </c>
      <c r="E8955" s="13">
        <f t="shared" si="2"/>
        <v>12</v>
      </c>
    </row>
    <row r="8956">
      <c r="A8956" s="4" t="s">
        <v>9564</v>
      </c>
      <c r="B8956" s="16"/>
      <c r="C8956" s="12">
        <f>IFERROR(__xludf.DUMMYFUNCTION("""COMPUTED_VALUE"""),44619.5333912037)</f>
        <v>44619.53339</v>
      </c>
      <c r="D8956" s="13">
        <f t="shared" si="1"/>
        <v>27</v>
      </c>
      <c r="E8956" s="13">
        <f t="shared" si="2"/>
        <v>12</v>
      </c>
    </row>
    <row r="8957">
      <c r="A8957" s="4" t="s">
        <v>9565</v>
      </c>
      <c r="B8957" s="16"/>
      <c r="C8957" s="12">
        <f>IFERROR(__xludf.DUMMYFUNCTION("""COMPUTED_VALUE"""),44619.51480324074)</f>
        <v>44619.5148</v>
      </c>
      <c r="D8957" s="13">
        <f t="shared" si="1"/>
        <v>27</v>
      </c>
      <c r="E8957" s="13">
        <f t="shared" si="2"/>
        <v>12</v>
      </c>
    </row>
    <row r="8958">
      <c r="A8958" s="4" t="s">
        <v>9566</v>
      </c>
      <c r="B8958" s="16"/>
      <c r="C8958" s="12">
        <f>IFERROR(__xludf.DUMMYFUNCTION("""COMPUTED_VALUE"""),44619.497210648144)</f>
        <v>44619.49721</v>
      </c>
      <c r="D8958" s="13">
        <f t="shared" si="1"/>
        <v>27</v>
      </c>
      <c r="E8958" s="13">
        <f t="shared" si="2"/>
        <v>11</v>
      </c>
    </row>
    <row r="8959">
      <c r="A8959" s="4" t="s">
        <v>9567</v>
      </c>
      <c r="B8959" s="16"/>
      <c r="C8959" s="12">
        <f>IFERROR(__xludf.DUMMYFUNCTION("""COMPUTED_VALUE"""),44619.49491898148)</f>
        <v>44619.49492</v>
      </c>
      <c r="D8959" s="13">
        <f t="shared" si="1"/>
        <v>27</v>
      </c>
      <c r="E8959" s="13">
        <f t="shared" si="2"/>
        <v>11</v>
      </c>
    </row>
    <row r="8960">
      <c r="A8960" s="4" t="s">
        <v>9568</v>
      </c>
      <c r="B8960" s="16"/>
      <c r="C8960" s="12">
        <f>IFERROR(__xludf.DUMMYFUNCTION("""COMPUTED_VALUE"""),44619.47362268518)</f>
        <v>44619.47362</v>
      </c>
      <c r="D8960" s="13">
        <f t="shared" si="1"/>
        <v>27</v>
      </c>
      <c r="E8960" s="13">
        <f t="shared" si="2"/>
        <v>11</v>
      </c>
    </row>
    <row r="8961">
      <c r="A8961" s="4" t="s">
        <v>9569</v>
      </c>
      <c r="B8961" s="16"/>
      <c r="C8961" s="12">
        <f>IFERROR(__xludf.DUMMYFUNCTION("""COMPUTED_VALUE"""),44619.465115740735)</f>
        <v>44619.46512</v>
      </c>
      <c r="D8961" s="13">
        <f t="shared" si="1"/>
        <v>27</v>
      </c>
      <c r="E8961" s="13">
        <f t="shared" si="2"/>
        <v>11</v>
      </c>
    </row>
    <row r="8962">
      <c r="A8962" s="4" t="s">
        <v>9570</v>
      </c>
      <c r="B8962" s="16"/>
      <c r="C8962" s="12">
        <f>IFERROR(__xludf.DUMMYFUNCTION("""COMPUTED_VALUE"""),44619.46145833333)</f>
        <v>44619.46146</v>
      </c>
      <c r="D8962" s="13">
        <f t="shared" si="1"/>
        <v>27</v>
      </c>
      <c r="E8962" s="13">
        <f t="shared" si="2"/>
        <v>11</v>
      </c>
    </row>
    <row r="8963">
      <c r="A8963" s="4" t="s">
        <v>9571</v>
      </c>
      <c r="B8963" s="16"/>
      <c r="C8963" s="12">
        <f>IFERROR(__xludf.DUMMYFUNCTION("""COMPUTED_VALUE"""),44619.45638888889)</f>
        <v>44619.45639</v>
      </c>
      <c r="D8963" s="13">
        <f t="shared" si="1"/>
        <v>27</v>
      </c>
      <c r="E8963" s="13">
        <f t="shared" si="2"/>
        <v>10</v>
      </c>
    </row>
    <row r="8964">
      <c r="A8964" s="4" t="s">
        <v>9572</v>
      </c>
      <c r="B8964" s="16"/>
      <c r="C8964" s="12">
        <f>IFERROR(__xludf.DUMMYFUNCTION("""COMPUTED_VALUE"""),44619.4534375)</f>
        <v>44619.45344</v>
      </c>
      <c r="D8964" s="13">
        <f t="shared" si="1"/>
        <v>27</v>
      </c>
      <c r="E8964" s="13">
        <f t="shared" si="2"/>
        <v>10</v>
      </c>
    </row>
    <row r="8965">
      <c r="A8965" s="4" t="s">
        <v>9573</v>
      </c>
      <c r="B8965" s="16"/>
      <c r="C8965" s="12">
        <f>IFERROR(__xludf.DUMMYFUNCTION("""COMPUTED_VALUE"""),44619.440624999996)</f>
        <v>44619.44063</v>
      </c>
      <c r="D8965" s="13">
        <f t="shared" si="1"/>
        <v>27</v>
      </c>
      <c r="E8965" s="13">
        <f t="shared" si="2"/>
        <v>10</v>
      </c>
    </row>
    <row r="8966">
      <c r="A8966" s="4" t="s">
        <v>9574</v>
      </c>
      <c r="B8966" s="16"/>
      <c r="C8966" s="12">
        <f>IFERROR(__xludf.DUMMYFUNCTION("""COMPUTED_VALUE"""),44619.43880787037)</f>
        <v>44619.43881</v>
      </c>
      <c r="D8966" s="13">
        <f t="shared" si="1"/>
        <v>27</v>
      </c>
      <c r="E8966" s="13">
        <f t="shared" si="2"/>
        <v>10</v>
      </c>
    </row>
    <row r="8967">
      <c r="A8967" s="4" t="s">
        <v>9575</v>
      </c>
      <c r="B8967" s="16"/>
      <c r="C8967" s="12">
        <f>IFERROR(__xludf.DUMMYFUNCTION("""COMPUTED_VALUE"""),44619.4365162037)</f>
        <v>44619.43652</v>
      </c>
      <c r="D8967" s="13">
        <f t="shared" si="1"/>
        <v>27</v>
      </c>
      <c r="E8967" s="13">
        <f t="shared" si="2"/>
        <v>10</v>
      </c>
    </row>
    <row r="8968">
      <c r="A8968" s="4" t="s">
        <v>9576</v>
      </c>
      <c r="B8968" s="16"/>
      <c r="C8968" s="12">
        <f>IFERROR(__xludf.DUMMYFUNCTION("""COMPUTED_VALUE"""),44619.43418981481)</f>
        <v>44619.43419</v>
      </c>
      <c r="D8968" s="13">
        <f t="shared" si="1"/>
        <v>27</v>
      </c>
      <c r="E8968" s="13">
        <f t="shared" si="2"/>
        <v>10</v>
      </c>
    </row>
    <row r="8969">
      <c r="A8969" s="4" t="s">
        <v>9577</v>
      </c>
      <c r="B8969" s="16"/>
      <c r="C8969" s="12">
        <f>IFERROR(__xludf.DUMMYFUNCTION("""COMPUTED_VALUE"""),44619.432175925926)</f>
        <v>44619.43218</v>
      </c>
      <c r="D8969" s="13">
        <f t="shared" si="1"/>
        <v>27</v>
      </c>
      <c r="E8969" s="13">
        <f t="shared" si="2"/>
        <v>10</v>
      </c>
    </row>
    <row r="8970">
      <c r="A8970" s="4" t="s">
        <v>9578</v>
      </c>
      <c r="B8970" s="16"/>
      <c r="C8970" s="12">
        <f>IFERROR(__xludf.DUMMYFUNCTION("""COMPUTED_VALUE"""),44619.420219907406)</f>
        <v>44619.42022</v>
      </c>
      <c r="D8970" s="13">
        <f t="shared" si="1"/>
        <v>27</v>
      </c>
      <c r="E8970" s="13">
        <f t="shared" si="2"/>
        <v>10</v>
      </c>
    </row>
    <row r="8971">
      <c r="A8971" s="4" t="s">
        <v>9579</v>
      </c>
      <c r="B8971" s="16"/>
      <c r="C8971" s="12">
        <f>IFERROR(__xludf.DUMMYFUNCTION("""COMPUTED_VALUE"""),44619.420173611106)</f>
        <v>44619.42017</v>
      </c>
      <c r="D8971" s="13">
        <f t="shared" si="1"/>
        <v>27</v>
      </c>
      <c r="E8971" s="13">
        <f t="shared" si="2"/>
        <v>10</v>
      </c>
    </row>
    <row r="8972">
      <c r="A8972" s="4" t="s">
        <v>9580</v>
      </c>
      <c r="B8972" s="16"/>
      <c r="C8972" s="12">
        <f>IFERROR(__xludf.DUMMYFUNCTION("""COMPUTED_VALUE"""),44619.42015046296)</f>
        <v>44619.42015</v>
      </c>
      <c r="D8972" s="13">
        <f t="shared" si="1"/>
        <v>27</v>
      </c>
      <c r="E8972" s="13">
        <f t="shared" si="2"/>
        <v>10</v>
      </c>
    </row>
    <row r="8973">
      <c r="A8973" s="4" t="s">
        <v>9581</v>
      </c>
      <c r="B8973" s="16"/>
      <c r="C8973" s="12">
        <f>IFERROR(__xludf.DUMMYFUNCTION("""COMPUTED_VALUE"""),44619.420127314814)</f>
        <v>44619.42013</v>
      </c>
      <c r="D8973" s="13">
        <f t="shared" si="1"/>
        <v>27</v>
      </c>
      <c r="E8973" s="13">
        <f t="shared" si="2"/>
        <v>10</v>
      </c>
    </row>
    <row r="8974">
      <c r="A8974" s="4" t="s">
        <v>9582</v>
      </c>
      <c r="B8974" s="16"/>
      <c r="C8974" s="12">
        <f>IFERROR(__xludf.DUMMYFUNCTION("""COMPUTED_VALUE"""),44619.40978009259)</f>
        <v>44619.40978</v>
      </c>
      <c r="D8974" s="13">
        <f t="shared" si="1"/>
        <v>27</v>
      </c>
      <c r="E8974" s="13">
        <f t="shared" si="2"/>
        <v>9</v>
      </c>
    </row>
    <row r="8975">
      <c r="A8975" s="4" t="s">
        <v>9583</v>
      </c>
      <c r="B8975" s="16"/>
      <c r="C8975" s="12">
        <f>IFERROR(__xludf.DUMMYFUNCTION("""COMPUTED_VALUE"""),44619.3999074074)</f>
        <v>44619.39991</v>
      </c>
      <c r="D8975" s="13">
        <f t="shared" si="1"/>
        <v>27</v>
      </c>
      <c r="E8975" s="13">
        <f t="shared" si="2"/>
        <v>9</v>
      </c>
    </row>
    <row r="8976">
      <c r="A8976" s="4" t="s">
        <v>9584</v>
      </c>
      <c r="B8976" s="16"/>
      <c r="C8976" s="12">
        <f>IFERROR(__xludf.DUMMYFUNCTION("""COMPUTED_VALUE"""),44619.394594907404)</f>
        <v>44619.39459</v>
      </c>
      <c r="D8976" s="13">
        <f t="shared" si="1"/>
        <v>27</v>
      </c>
      <c r="E8976" s="13">
        <f t="shared" si="2"/>
        <v>9</v>
      </c>
    </row>
    <row r="8977">
      <c r="A8977" s="4" t="s">
        <v>9585</v>
      </c>
      <c r="B8977" s="16"/>
      <c r="C8977" s="12">
        <f>IFERROR(__xludf.DUMMYFUNCTION("""COMPUTED_VALUE"""),44619.39053240741)</f>
        <v>44619.39053</v>
      </c>
      <c r="D8977" s="13">
        <f t="shared" si="1"/>
        <v>27</v>
      </c>
      <c r="E8977" s="13">
        <f t="shared" si="2"/>
        <v>9</v>
      </c>
    </row>
    <row r="8978">
      <c r="A8978" s="4" t="s">
        <v>9586</v>
      </c>
      <c r="B8978" s="16"/>
      <c r="C8978" s="12">
        <f>IFERROR(__xludf.DUMMYFUNCTION("""COMPUTED_VALUE"""),44619.38028935185)</f>
        <v>44619.38029</v>
      </c>
      <c r="D8978" s="13">
        <f t="shared" si="1"/>
        <v>27</v>
      </c>
      <c r="E8978" s="13">
        <f t="shared" si="2"/>
        <v>9</v>
      </c>
    </row>
    <row r="8979">
      <c r="A8979" s="4" t="s">
        <v>9587</v>
      </c>
      <c r="B8979" s="16"/>
      <c r="C8979" s="12">
        <f>IFERROR(__xludf.DUMMYFUNCTION("""COMPUTED_VALUE"""),44619.3765162037)</f>
        <v>44619.37652</v>
      </c>
      <c r="D8979" s="13">
        <f t="shared" si="1"/>
        <v>27</v>
      </c>
      <c r="E8979" s="13">
        <f t="shared" si="2"/>
        <v>9</v>
      </c>
    </row>
    <row r="8980">
      <c r="A8980" s="4" t="s">
        <v>9588</v>
      </c>
      <c r="B8980" s="16"/>
      <c r="C8980" s="12">
        <f>IFERROR(__xludf.DUMMYFUNCTION("""COMPUTED_VALUE"""),44619.36555555555)</f>
        <v>44619.36556</v>
      </c>
      <c r="D8980" s="13">
        <f t="shared" si="1"/>
        <v>27</v>
      </c>
      <c r="E8980" s="13">
        <f t="shared" si="2"/>
        <v>8</v>
      </c>
    </row>
    <row r="8981">
      <c r="A8981" s="4" t="s">
        <v>9589</v>
      </c>
      <c r="B8981" s="16"/>
      <c r="C8981" s="12">
        <f>IFERROR(__xludf.DUMMYFUNCTION("""COMPUTED_VALUE"""),44619.36540509259)</f>
        <v>44619.36541</v>
      </c>
      <c r="D8981" s="13">
        <f t="shared" si="1"/>
        <v>27</v>
      </c>
      <c r="E8981" s="13">
        <f t="shared" si="2"/>
        <v>8</v>
      </c>
    </row>
    <row r="8982">
      <c r="A8982" s="4" t="s">
        <v>9590</v>
      </c>
      <c r="B8982" s="16"/>
      <c r="C8982" s="12">
        <f>IFERROR(__xludf.DUMMYFUNCTION("""COMPUTED_VALUE"""),44619.353946759256)</f>
        <v>44619.35395</v>
      </c>
      <c r="D8982" s="13">
        <f t="shared" si="1"/>
        <v>27</v>
      </c>
      <c r="E8982" s="13">
        <f t="shared" si="2"/>
        <v>8</v>
      </c>
    </row>
    <row r="8983">
      <c r="A8983" s="4" t="s">
        <v>9591</v>
      </c>
      <c r="B8983" s="16"/>
      <c r="C8983" s="12">
        <f>IFERROR(__xludf.DUMMYFUNCTION("""COMPUTED_VALUE"""),44619.35258101852)</f>
        <v>44619.35258</v>
      </c>
      <c r="D8983" s="13">
        <f t="shared" si="1"/>
        <v>27</v>
      </c>
      <c r="E8983" s="13">
        <f t="shared" si="2"/>
        <v>8</v>
      </c>
    </row>
    <row r="8984">
      <c r="A8984" s="4" t="s">
        <v>9592</v>
      </c>
      <c r="B8984" s="16"/>
      <c r="C8984" s="12">
        <f>IFERROR(__xludf.DUMMYFUNCTION("""COMPUTED_VALUE"""),44619.3215625)</f>
        <v>44619.32156</v>
      </c>
      <c r="D8984" s="13">
        <f t="shared" si="1"/>
        <v>27</v>
      </c>
      <c r="E8984" s="13">
        <f t="shared" si="2"/>
        <v>7</v>
      </c>
    </row>
    <row r="8985">
      <c r="A8985" s="4" t="s">
        <v>9593</v>
      </c>
      <c r="B8985" s="16"/>
      <c r="C8985" s="12">
        <f>IFERROR(__xludf.DUMMYFUNCTION("""COMPUTED_VALUE"""),44619.30759259259)</f>
        <v>44619.30759</v>
      </c>
      <c r="D8985" s="13">
        <f t="shared" si="1"/>
        <v>27</v>
      </c>
      <c r="E8985" s="13">
        <f t="shared" si="2"/>
        <v>7</v>
      </c>
    </row>
    <row r="8986">
      <c r="A8986" s="4" t="s">
        <v>9594</v>
      </c>
      <c r="B8986" s="16"/>
      <c r="C8986" s="12">
        <f>IFERROR(__xludf.DUMMYFUNCTION("""COMPUTED_VALUE"""),44619.25546296296)</f>
        <v>44619.25546</v>
      </c>
      <c r="D8986" s="13">
        <f t="shared" si="1"/>
        <v>27</v>
      </c>
      <c r="E8986" s="13">
        <f t="shared" si="2"/>
        <v>6</v>
      </c>
    </row>
    <row r="8987">
      <c r="A8987" s="4" t="s">
        <v>9595</v>
      </c>
      <c r="B8987" s="16"/>
      <c r="C8987" s="12">
        <f>IFERROR(__xludf.DUMMYFUNCTION("""COMPUTED_VALUE"""),44619.05636574074)</f>
        <v>44619.05637</v>
      </c>
      <c r="D8987" s="13">
        <f t="shared" si="1"/>
        <v>27</v>
      </c>
      <c r="E8987" s="13">
        <f t="shared" si="2"/>
        <v>1</v>
      </c>
    </row>
    <row r="8988">
      <c r="A8988" s="4" t="s">
        <v>9596</v>
      </c>
      <c r="B8988" s="16"/>
      <c r="C8988" s="12">
        <f>IFERROR(__xludf.DUMMYFUNCTION("""COMPUTED_VALUE"""),44619.020532407405)</f>
        <v>44619.02053</v>
      </c>
      <c r="D8988" s="13">
        <f t="shared" si="1"/>
        <v>27</v>
      </c>
      <c r="E8988" s="13">
        <f t="shared" si="2"/>
        <v>0</v>
      </c>
    </row>
    <row r="8989">
      <c r="A8989" s="4" t="s">
        <v>9597</v>
      </c>
      <c r="B8989" s="16"/>
      <c r="C8989" s="12">
        <f>IFERROR(__xludf.DUMMYFUNCTION("""COMPUTED_VALUE"""),44619.00565972222)</f>
        <v>44619.00566</v>
      </c>
      <c r="D8989" s="13">
        <f t="shared" si="1"/>
        <v>27</v>
      </c>
      <c r="E8989" s="13">
        <f t="shared" si="2"/>
        <v>0</v>
      </c>
    </row>
    <row r="8990">
      <c r="A8990" s="4" t="s">
        <v>9598</v>
      </c>
      <c r="B8990" s="16"/>
      <c r="C8990" s="12">
        <f>IFERROR(__xludf.DUMMYFUNCTION("""COMPUTED_VALUE"""),44618.98415509259)</f>
        <v>44618.98416</v>
      </c>
      <c r="D8990" s="13">
        <f t="shared" si="1"/>
        <v>26</v>
      </c>
      <c r="E8990" s="13">
        <f t="shared" si="2"/>
        <v>23</v>
      </c>
    </row>
    <row r="8991">
      <c r="A8991" s="4" t="s">
        <v>9599</v>
      </c>
      <c r="B8991" s="16"/>
      <c r="C8991" s="12">
        <f>IFERROR(__xludf.DUMMYFUNCTION("""COMPUTED_VALUE"""),44618.97405092592)</f>
        <v>44618.97405</v>
      </c>
      <c r="D8991" s="13">
        <f t="shared" si="1"/>
        <v>26</v>
      </c>
      <c r="E8991" s="13">
        <f t="shared" si="2"/>
        <v>23</v>
      </c>
    </row>
    <row r="8992">
      <c r="A8992" s="4" t="s">
        <v>9600</v>
      </c>
      <c r="B8992" s="16"/>
      <c r="C8992" s="12">
        <f>IFERROR(__xludf.DUMMYFUNCTION("""COMPUTED_VALUE"""),44618.94217592592)</f>
        <v>44618.94218</v>
      </c>
      <c r="D8992" s="13">
        <f t="shared" si="1"/>
        <v>26</v>
      </c>
      <c r="E8992" s="13">
        <f t="shared" si="2"/>
        <v>22</v>
      </c>
    </row>
    <row r="8993">
      <c r="A8993" s="4" t="s">
        <v>9601</v>
      </c>
      <c r="B8993" s="16"/>
      <c r="C8993" s="12">
        <f>IFERROR(__xludf.DUMMYFUNCTION("""COMPUTED_VALUE"""),44618.94055555555)</f>
        <v>44618.94056</v>
      </c>
      <c r="D8993" s="13">
        <f t="shared" si="1"/>
        <v>26</v>
      </c>
      <c r="E8993" s="13">
        <f t="shared" si="2"/>
        <v>22</v>
      </c>
    </row>
    <row r="8994">
      <c r="A8994" s="4" t="s">
        <v>9602</v>
      </c>
      <c r="B8994" s="16"/>
      <c r="C8994" s="12">
        <f>IFERROR(__xludf.DUMMYFUNCTION("""COMPUTED_VALUE"""),44618.939479166664)</f>
        <v>44618.93948</v>
      </c>
      <c r="D8994" s="13">
        <f t="shared" si="1"/>
        <v>26</v>
      </c>
      <c r="E8994" s="13">
        <f t="shared" si="2"/>
        <v>22</v>
      </c>
    </row>
    <row r="8995">
      <c r="A8995" s="4" t="s">
        <v>9603</v>
      </c>
      <c r="B8995" s="16"/>
      <c r="C8995" s="12">
        <f>IFERROR(__xludf.DUMMYFUNCTION("""COMPUTED_VALUE"""),44618.93861111111)</f>
        <v>44618.93861</v>
      </c>
      <c r="D8995" s="13">
        <f t="shared" si="1"/>
        <v>26</v>
      </c>
      <c r="E8995" s="13">
        <f t="shared" si="2"/>
        <v>22</v>
      </c>
    </row>
    <row r="8996">
      <c r="A8996" s="4" t="s">
        <v>9604</v>
      </c>
      <c r="B8996" s="16"/>
      <c r="C8996" s="12">
        <f>IFERROR(__xludf.DUMMYFUNCTION("""COMPUTED_VALUE"""),44618.93462962963)</f>
        <v>44618.93463</v>
      </c>
      <c r="D8996" s="13">
        <f t="shared" si="1"/>
        <v>26</v>
      </c>
      <c r="E8996" s="13">
        <f t="shared" si="2"/>
        <v>22</v>
      </c>
    </row>
    <row r="8997">
      <c r="A8997" s="4" t="s">
        <v>9605</v>
      </c>
      <c r="B8997" s="16"/>
      <c r="C8997" s="12">
        <f>IFERROR(__xludf.DUMMYFUNCTION("""COMPUTED_VALUE"""),44618.93104166666)</f>
        <v>44618.93104</v>
      </c>
      <c r="D8997" s="13">
        <f t="shared" si="1"/>
        <v>26</v>
      </c>
      <c r="E8997" s="13">
        <f t="shared" si="2"/>
        <v>22</v>
      </c>
    </row>
    <row r="8998">
      <c r="A8998" s="4" t="s">
        <v>9606</v>
      </c>
      <c r="B8998" s="16"/>
      <c r="C8998" s="12">
        <f>IFERROR(__xludf.DUMMYFUNCTION("""COMPUTED_VALUE"""),44618.930185185185)</f>
        <v>44618.93019</v>
      </c>
      <c r="D8998" s="13">
        <f t="shared" si="1"/>
        <v>26</v>
      </c>
      <c r="E8998" s="13">
        <f t="shared" si="2"/>
        <v>22</v>
      </c>
    </row>
    <row r="8999">
      <c r="A8999" s="4" t="s">
        <v>9607</v>
      </c>
      <c r="B8999" s="16"/>
      <c r="C8999" s="12">
        <f>IFERROR(__xludf.DUMMYFUNCTION("""COMPUTED_VALUE"""),44618.92973379629)</f>
        <v>44618.92973</v>
      </c>
      <c r="D8999" s="13">
        <f t="shared" si="1"/>
        <v>26</v>
      </c>
      <c r="E8999" s="13">
        <f t="shared" si="2"/>
        <v>22</v>
      </c>
    </row>
    <row r="9000">
      <c r="A9000" s="4" t="s">
        <v>9608</v>
      </c>
      <c r="B9000" s="16"/>
      <c r="C9000" s="12">
        <f>IFERROR(__xludf.DUMMYFUNCTION("""COMPUTED_VALUE"""),44618.92923611111)</f>
        <v>44618.92924</v>
      </c>
      <c r="D9000" s="13">
        <f t="shared" si="1"/>
        <v>26</v>
      </c>
      <c r="E9000" s="13">
        <f t="shared" si="2"/>
        <v>22</v>
      </c>
    </row>
    <row r="9001">
      <c r="A9001" s="4" t="s">
        <v>9609</v>
      </c>
      <c r="B9001" s="16"/>
      <c r="C9001" s="12">
        <f>IFERROR(__xludf.DUMMYFUNCTION("""COMPUTED_VALUE"""),44618.92831018518)</f>
        <v>44618.92831</v>
      </c>
      <c r="D9001" s="13">
        <f t="shared" si="1"/>
        <v>26</v>
      </c>
      <c r="E9001" s="13">
        <f t="shared" si="2"/>
        <v>22</v>
      </c>
    </row>
    <row r="9002">
      <c r="A9002" s="4" t="s">
        <v>9610</v>
      </c>
      <c r="B9002" s="16"/>
      <c r="C9002" s="12">
        <f>IFERROR(__xludf.DUMMYFUNCTION("""COMPUTED_VALUE"""),44618.92730324074)</f>
        <v>44618.9273</v>
      </c>
      <c r="D9002" s="13">
        <f t="shared" si="1"/>
        <v>26</v>
      </c>
      <c r="E9002" s="13">
        <f t="shared" si="2"/>
        <v>22</v>
      </c>
    </row>
    <row r="9003">
      <c r="A9003" s="4" t="s">
        <v>9611</v>
      </c>
      <c r="B9003" s="16"/>
      <c r="C9003" s="12">
        <f>IFERROR(__xludf.DUMMYFUNCTION("""COMPUTED_VALUE"""),44618.9205787037)</f>
        <v>44618.92058</v>
      </c>
      <c r="D9003" s="13">
        <f t="shared" si="1"/>
        <v>26</v>
      </c>
      <c r="E9003" s="13">
        <f t="shared" si="2"/>
        <v>22</v>
      </c>
    </row>
    <row r="9004">
      <c r="A9004" s="4" t="s">
        <v>9612</v>
      </c>
      <c r="B9004" s="16"/>
      <c r="C9004" s="12">
        <f>IFERROR(__xludf.DUMMYFUNCTION("""COMPUTED_VALUE"""),44618.91960648148)</f>
        <v>44618.91961</v>
      </c>
      <c r="D9004" s="13">
        <f t="shared" si="1"/>
        <v>26</v>
      </c>
      <c r="E9004" s="13">
        <f t="shared" si="2"/>
        <v>22</v>
      </c>
    </row>
    <row r="9005">
      <c r="A9005" s="4" t="s">
        <v>9613</v>
      </c>
      <c r="B9005" s="16"/>
      <c r="C9005" s="12">
        <f>IFERROR(__xludf.DUMMYFUNCTION("""COMPUTED_VALUE"""),44618.91878472222)</f>
        <v>44618.91878</v>
      </c>
      <c r="D9005" s="13">
        <f t="shared" si="1"/>
        <v>26</v>
      </c>
      <c r="E9005" s="13">
        <f t="shared" si="2"/>
        <v>22</v>
      </c>
    </row>
    <row r="9006">
      <c r="A9006" s="4" t="s">
        <v>9614</v>
      </c>
      <c r="B9006" s="16"/>
      <c r="C9006" s="12">
        <f>IFERROR(__xludf.DUMMYFUNCTION("""COMPUTED_VALUE"""),44618.90804398148)</f>
        <v>44618.90804</v>
      </c>
      <c r="D9006" s="13">
        <f t="shared" si="1"/>
        <v>26</v>
      </c>
      <c r="E9006" s="13">
        <f t="shared" si="2"/>
        <v>21</v>
      </c>
    </row>
    <row r="9007">
      <c r="A9007" s="4" t="s">
        <v>9615</v>
      </c>
      <c r="B9007" s="16"/>
      <c r="C9007" s="12">
        <f>IFERROR(__xludf.DUMMYFUNCTION("""COMPUTED_VALUE"""),44618.90427083333)</f>
        <v>44618.90427</v>
      </c>
      <c r="D9007" s="13">
        <f t="shared" si="1"/>
        <v>26</v>
      </c>
      <c r="E9007" s="13">
        <f t="shared" si="2"/>
        <v>21</v>
      </c>
    </row>
    <row r="9008">
      <c r="A9008" s="4" t="s">
        <v>9616</v>
      </c>
      <c r="B9008" s="16"/>
      <c r="C9008" s="12">
        <f>IFERROR(__xludf.DUMMYFUNCTION("""COMPUTED_VALUE"""),44618.90134259259)</f>
        <v>44618.90134</v>
      </c>
      <c r="D9008" s="13">
        <f t="shared" si="1"/>
        <v>26</v>
      </c>
      <c r="E9008" s="13">
        <f t="shared" si="2"/>
        <v>21</v>
      </c>
    </row>
    <row r="9009">
      <c r="A9009" s="4" t="s">
        <v>9617</v>
      </c>
      <c r="B9009" s="16"/>
      <c r="C9009" s="12">
        <f>IFERROR(__xludf.DUMMYFUNCTION("""COMPUTED_VALUE"""),44618.90097222222)</f>
        <v>44618.90097</v>
      </c>
      <c r="D9009" s="13">
        <f t="shared" si="1"/>
        <v>26</v>
      </c>
      <c r="E9009" s="13">
        <f t="shared" si="2"/>
        <v>21</v>
      </c>
    </row>
    <row r="9010">
      <c r="A9010" s="4" t="s">
        <v>9618</v>
      </c>
      <c r="B9010" s="16"/>
      <c r="C9010" s="12">
        <f>IFERROR(__xludf.DUMMYFUNCTION("""COMPUTED_VALUE"""),44618.898877314816)</f>
        <v>44618.89888</v>
      </c>
      <c r="D9010" s="13">
        <f t="shared" si="1"/>
        <v>26</v>
      </c>
      <c r="E9010" s="13">
        <f t="shared" si="2"/>
        <v>21</v>
      </c>
    </row>
    <row r="9011">
      <c r="A9011" s="4" t="s">
        <v>9619</v>
      </c>
      <c r="B9011" s="16"/>
      <c r="C9011" s="12">
        <f>IFERROR(__xludf.DUMMYFUNCTION("""COMPUTED_VALUE"""),44618.8815625)</f>
        <v>44618.88156</v>
      </c>
      <c r="D9011" s="13">
        <f t="shared" si="1"/>
        <v>26</v>
      </c>
      <c r="E9011" s="13">
        <f t="shared" si="2"/>
        <v>21</v>
      </c>
    </row>
    <row r="9012">
      <c r="A9012" s="4" t="s">
        <v>9620</v>
      </c>
      <c r="B9012" s="16"/>
      <c r="C9012" s="12">
        <f>IFERROR(__xludf.DUMMYFUNCTION("""COMPUTED_VALUE"""),44618.85596064814)</f>
        <v>44618.85596</v>
      </c>
      <c r="D9012" s="13">
        <f t="shared" si="1"/>
        <v>26</v>
      </c>
      <c r="E9012" s="13">
        <f t="shared" si="2"/>
        <v>20</v>
      </c>
    </row>
    <row r="9013">
      <c r="A9013" s="4" t="s">
        <v>9621</v>
      </c>
      <c r="B9013" s="16"/>
      <c r="C9013" s="12">
        <f>IFERROR(__xludf.DUMMYFUNCTION("""COMPUTED_VALUE"""),44618.83767361111)</f>
        <v>44618.83767</v>
      </c>
      <c r="D9013" s="13">
        <f t="shared" si="1"/>
        <v>26</v>
      </c>
      <c r="E9013" s="13">
        <f t="shared" si="2"/>
        <v>20</v>
      </c>
    </row>
    <row r="9014">
      <c r="A9014" s="4" t="s">
        <v>9622</v>
      </c>
      <c r="B9014" s="16"/>
      <c r="C9014" s="12">
        <f>IFERROR(__xludf.DUMMYFUNCTION("""COMPUTED_VALUE"""),44618.835069444445)</f>
        <v>44618.83507</v>
      </c>
      <c r="D9014" s="13">
        <f t="shared" si="1"/>
        <v>26</v>
      </c>
      <c r="E9014" s="13">
        <f t="shared" si="2"/>
        <v>20</v>
      </c>
    </row>
    <row r="9015">
      <c r="A9015" s="4" t="s">
        <v>9623</v>
      </c>
      <c r="B9015" s="16"/>
      <c r="C9015" s="12">
        <f>IFERROR(__xludf.DUMMYFUNCTION("""COMPUTED_VALUE"""),44618.83127314815)</f>
        <v>44618.83127</v>
      </c>
      <c r="D9015" s="13">
        <f t="shared" si="1"/>
        <v>26</v>
      </c>
      <c r="E9015" s="13">
        <f t="shared" si="2"/>
        <v>19</v>
      </c>
    </row>
    <row r="9016">
      <c r="A9016" s="4" t="s">
        <v>9624</v>
      </c>
      <c r="B9016" s="16"/>
      <c r="C9016" s="12">
        <f>IFERROR(__xludf.DUMMYFUNCTION("""COMPUTED_VALUE"""),44618.8295949074)</f>
        <v>44618.82959</v>
      </c>
      <c r="D9016" s="13">
        <f t="shared" si="1"/>
        <v>26</v>
      </c>
      <c r="E9016" s="13">
        <f t="shared" si="2"/>
        <v>19</v>
      </c>
    </row>
    <row r="9017">
      <c r="A9017" s="4" t="s">
        <v>9625</v>
      </c>
      <c r="B9017" s="16"/>
      <c r="C9017" s="12">
        <f>IFERROR(__xludf.DUMMYFUNCTION("""COMPUTED_VALUE"""),44618.82921296296)</f>
        <v>44618.82921</v>
      </c>
      <c r="D9017" s="13">
        <f t="shared" si="1"/>
        <v>26</v>
      </c>
      <c r="E9017" s="13">
        <f t="shared" si="2"/>
        <v>19</v>
      </c>
    </row>
    <row r="9018">
      <c r="A9018" s="4" t="s">
        <v>9626</v>
      </c>
      <c r="B9018" s="16"/>
      <c r="C9018" s="12">
        <f>IFERROR(__xludf.DUMMYFUNCTION("""COMPUTED_VALUE"""),44618.8172337963)</f>
        <v>44618.81723</v>
      </c>
      <c r="D9018" s="13">
        <f t="shared" si="1"/>
        <v>26</v>
      </c>
      <c r="E9018" s="13">
        <f t="shared" si="2"/>
        <v>19</v>
      </c>
    </row>
    <row r="9019">
      <c r="A9019" s="4" t="s">
        <v>9627</v>
      </c>
      <c r="B9019" s="16"/>
      <c r="C9019" s="12">
        <f>IFERROR(__xludf.DUMMYFUNCTION("""COMPUTED_VALUE"""),44618.81516203703)</f>
        <v>44618.81516</v>
      </c>
      <c r="D9019" s="13">
        <f t="shared" si="1"/>
        <v>26</v>
      </c>
      <c r="E9019" s="13">
        <f t="shared" si="2"/>
        <v>19</v>
      </c>
    </row>
    <row r="9020">
      <c r="A9020" s="4" t="s">
        <v>9628</v>
      </c>
      <c r="B9020" s="16"/>
      <c r="C9020" s="12">
        <f>IFERROR(__xludf.DUMMYFUNCTION("""COMPUTED_VALUE"""),44618.8149537037)</f>
        <v>44618.81495</v>
      </c>
      <c r="D9020" s="13">
        <f t="shared" si="1"/>
        <v>26</v>
      </c>
      <c r="E9020" s="13">
        <f t="shared" si="2"/>
        <v>19</v>
      </c>
    </row>
    <row r="9021">
      <c r="A9021" s="4" t="s">
        <v>9629</v>
      </c>
      <c r="B9021" s="16"/>
      <c r="C9021" s="12">
        <f>IFERROR(__xludf.DUMMYFUNCTION("""COMPUTED_VALUE"""),44618.79561342592)</f>
        <v>44618.79561</v>
      </c>
      <c r="D9021" s="13">
        <f t="shared" si="1"/>
        <v>26</v>
      </c>
      <c r="E9021" s="13">
        <f t="shared" si="2"/>
        <v>19</v>
      </c>
    </row>
    <row r="9022">
      <c r="A9022" s="4" t="s">
        <v>9630</v>
      </c>
      <c r="B9022" s="16"/>
      <c r="C9022" s="12">
        <f>IFERROR(__xludf.DUMMYFUNCTION("""COMPUTED_VALUE"""),44618.795)</f>
        <v>44618.795</v>
      </c>
      <c r="D9022" s="13">
        <f t="shared" si="1"/>
        <v>26</v>
      </c>
      <c r="E9022" s="13">
        <f t="shared" si="2"/>
        <v>19</v>
      </c>
    </row>
    <row r="9023">
      <c r="A9023" s="4" t="s">
        <v>9631</v>
      </c>
      <c r="B9023" s="16"/>
      <c r="C9023" s="12">
        <f>IFERROR(__xludf.DUMMYFUNCTION("""COMPUTED_VALUE"""),44618.79252314814)</f>
        <v>44618.79252</v>
      </c>
      <c r="D9023" s="13">
        <f t="shared" si="1"/>
        <v>26</v>
      </c>
      <c r="E9023" s="13">
        <f t="shared" si="2"/>
        <v>19</v>
      </c>
    </row>
    <row r="9024">
      <c r="A9024" s="4" t="s">
        <v>9632</v>
      </c>
      <c r="B9024" s="16"/>
      <c r="C9024" s="12">
        <f>IFERROR(__xludf.DUMMYFUNCTION("""COMPUTED_VALUE"""),44618.7718287037)</f>
        <v>44618.77183</v>
      </c>
      <c r="D9024" s="13">
        <f t="shared" si="1"/>
        <v>26</v>
      </c>
      <c r="E9024" s="13">
        <f t="shared" si="2"/>
        <v>18</v>
      </c>
    </row>
    <row r="9025">
      <c r="A9025" s="4" t="s">
        <v>9633</v>
      </c>
      <c r="B9025" s="16"/>
      <c r="C9025" s="12">
        <f>IFERROR(__xludf.DUMMYFUNCTION("""COMPUTED_VALUE"""),44618.75650462963)</f>
        <v>44618.7565</v>
      </c>
      <c r="D9025" s="13">
        <f t="shared" si="1"/>
        <v>26</v>
      </c>
      <c r="E9025" s="13">
        <f t="shared" si="2"/>
        <v>18</v>
      </c>
    </row>
    <row r="9026">
      <c r="A9026" s="4" t="s">
        <v>9634</v>
      </c>
      <c r="B9026" s="16"/>
      <c r="C9026" s="12">
        <f>IFERROR(__xludf.DUMMYFUNCTION("""COMPUTED_VALUE"""),44618.748819444445)</f>
        <v>44618.74882</v>
      </c>
      <c r="D9026" s="13">
        <f t="shared" si="1"/>
        <v>26</v>
      </c>
      <c r="E9026" s="13">
        <f t="shared" si="2"/>
        <v>17</v>
      </c>
    </row>
    <row r="9027">
      <c r="A9027" s="4" t="s">
        <v>9635</v>
      </c>
      <c r="B9027" s="16"/>
      <c r="C9027" s="12">
        <f>IFERROR(__xludf.DUMMYFUNCTION("""COMPUTED_VALUE"""),44618.741319444445)</f>
        <v>44618.74132</v>
      </c>
      <c r="D9027" s="13">
        <f t="shared" si="1"/>
        <v>26</v>
      </c>
      <c r="E9027" s="13">
        <f t="shared" si="2"/>
        <v>17</v>
      </c>
    </row>
    <row r="9028">
      <c r="A9028" s="4" t="s">
        <v>9636</v>
      </c>
      <c r="B9028" s="16"/>
      <c r="C9028" s="12">
        <f>IFERROR(__xludf.DUMMYFUNCTION("""COMPUTED_VALUE"""),44618.72275462963)</f>
        <v>44618.72275</v>
      </c>
      <c r="D9028" s="13">
        <f t="shared" si="1"/>
        <v>26</v>
      </c>
      <c r="E9028" s="13">
        <f t="shared" si="2"/>
        <v>17</v>
      </c>
    </row>
    <row r="9029">
      <c r="A9029" s="4" t="s">
        <v>9637</v>
      </c>
      <c r="B9029" s="16"/>
      <c r="C9029" s="12">
        <f>IFERROR(__xludf.DUMMYFUNCTION("""COMPUTED_VALUE"""),44618.71289351852)</f>
        <v>44618.71289</v>
      </c>
      <c r="D9029" s="13">
        <f t="shared" si="1"/>
        <v>26</v>
      </c>
      <c r="E9029" s="13">
        <f t="shared" si="2"/>
        <v>17</v>
      </c>
    </row>
    <row r="9030">
      <c r="A9030" s="4" t="s">
        <v>9638</v>
      </c>
      <c r="B9030" s="16"/>
      <c r="C9030" s="12">
        <f>IFERROR(__xludf.DUMMYFUNCTION("""COMPUTED_VALUE"""),44618.68885416666)</f>
        <v>44618.68885</v>
      </c>
      <c r="D9030" s="13">
        <f t="shared" si="1"/>
        <v>26</v>
      </c>
      <c r="E9030" s="13">
        <f t="shared" si="2"/>
        <v>16</v>
      </c>
    </row>
    <row r="9031">
      <c r="A9031" s="4" t="s">
        <v>9639</v>
      </c>
      <c r="B9031" s="16"/>
      <c r="C9031" s="12">
        <f>IFERROR(__xludf.DUMMYFUNCTION("""COMPUTED_VALUE"""),44618.684027777774)</f>
        <v>44618.68403</v>
      </c>
      <c r="D9031" s="13">
        <f t="shared" si="1"/>
        <v>26</v>
      </c>
      <c r="E9031" s="13">
        <f t="shared" si="2"/>
        <v>16</v>
      </c>
    </row>
    <row r="9032">
      <c r="A9032" s="4" t="s">
        <v>9640</v>
      </c>
      <c r="B9032" s="16"/>
      <c r="C9032" s="12">
        <f>IFERROR(__xludf.DUMMYFUNCTION("""COMPUTED_VALUE"""),44618.671273148146)</f>
        <v>44618.67127</v>
      </c>
      <c r="D9032" s="13">
        <f t="shared" si="1"/>
        <v>26</v>
      </c>
      <c r="E9032" s="13">
        <f t="shared" si="2"/>
        <v>16</v>
      </c>
    </row>
    <row r="9033">
      <c r="A9033" s="4" t="s">
        <v>9641</v>
      </c>
      <c r="B9033" s="16"/>
      <c r="C9033" s="12">
        <f>IFERROR(__xludf.DUMMYFUNCTION("""COMPUTED_VALUE"""),44618.67078703704)</f>
        <v>44618.67079</v>
      </c>
      <c r="D9033" s="13">
        <f t="shared" si="1"/>
        <v>26</v>
      </c>
      <c r="E9033" s="13">
        <f t="shared" si="2"/>
        <v>16</v>
      </c>
    </row>
    <row r="9034">
      <c r="A9034" s="4" t="s">
        <v>9642</v>
      </c>
      <c r="B9034" s="16"/>
      <c r="C9034" s="12">
        <f>IFERROR(__xludf.DUMMYFUNCTION("""COMPUTED_VALUE"""),44618.65954861111)</f>
        <v>44618.65955</v>
      </c>
      <c r="D9034" s="13">
        <f t="shared" si="1"/>
        <v>26</v>
      </c>
      <c r="E9034" s="13">
        <f t="shared" si="2"/>
        <v>15</v>
      </c>
    </row>
    <row r="9035">
      <c r="A9035" s="4" t="s">
        <v>9643</v>
      </c>
      <c r="B9035" s="16"/>
      <c r="C9035" s="12">
        <f>IFERROR(__xludf.DUMMYFUNCTION("""COMPUTED_VALUE"""),44618.65809027778)</f>
        <v>44618.65809</v>
      </c>
      <c r="D9035" s="13">
        <f t="shared" si="1"/>
        <v>26</v>
      </c>
      <c r="E9035" s="13">
        <f t="shared" si="2"/>
        <v>15</v>
      </c>
    </row>
    <row r="9036">
      <c r="A9036" s="4" t="s">
        <v>9644</v>
      </c>
      <c r="B9036" s="16"/>
      <c r="C9036" s="12">
        <f>IFERROR(__xludf.DUMMYFUNCTION("""COMPUTED_VALUE"""),44618.65482638888)</f>
        <v>44618.65483</v>
      </c>
      <c r="D9036" s="13">
        <f t="shared" si="1"/>
        <v>26</v>
      </c>
      <c r="E9036" s="13">
        <f t="shared" si="2"/>
        <v>15</v>
      </c>
    </row>
    <row r="9037">
      <c r="A9037" s="4" t="s">
        <v>9645</v>
      </c>
      <c r="B9037" s="16"/>
      <c r="C9037" s="12">
        <f>IFERROR(__xludf.DUMMYFUNCTION("""COMPUTED_VALUE"""),44618.652349537035)</f>
        <v>44618.65235</v>
      </c>
      <c r="D9037" s="13">
        <f t="shared" si="1"/>
        <v>26</v>
      </c>
      <c r="E9037" s="13">
        <f t="shared" si="2"/>
        <v>15</v>
      </c>
    </row>
    <row r="9038">
      <c r="A9038" s="4" t="s">
        <v>9646</v>
      </c>
      <c r="B9038" s="16"/>
      <c r="C9038" s="12">
        <f>IFERROR(__xludf.DUMMYFUNCTION("""COMPUTED_VALUE"""),44618.64760416666)</f>
        <v>44618.6476</v>
      </c>
      <c r="D9038" s="13">
        <f t="shared" si="1"/>
        <v>26</v>
      </c>
      <c r="E9038" s="13">
        <f t="shared" si="2"/>
        <v>15</v>
      </c>
    </row>
    <row r="9039">
      <c r="A9039" s="4" t="s">
        <v>9647</v>
      </c>
      <c r="B9039" s="16"/>
      <c r="C9039" s="12">
        <f>IFERROR(__xludf.DUMMYFUNCTION("""COMPUTED_VALUE"""),44618.637141203704)</f>
        <v>44618.63714</v>
      </c>
      <c r="D9039" s="13">
        <f t="shared" si="1"/>
        <v>26</v>
      </c>
      <c r="E9039" s="13">
        <f t="shared" si="2"/>
        <v>15</v>
      </c>
    </row>
    <row r="9040">
      <c r="A9040" s="4" t="s">
        <v>9648</v>
      </c>
      <c r="B9040" s="16"/>
      <c r="C9040" s="12">
        <f>IFERROR(__xludf.DUMMYFUNCTION("""COMPUTED_VALUE"""),44618.63702546296)</f>
        <v>44618.63703</v>
      </c>
      <c r="D9040" s="13">
        <f t="shared" si="1"/>
        <v>26</v>
      </c>
      <c r="E9040" s="13">
        <f t="shared" si="2"/>
        <v>15</v>
      </c>
    </row>
    <row r="9041">
      <c r="A9041" s="4" t="s">
        <v>9649</v>
      </c>
      <c r="B9041" s="16"/>
      <c r="C9041" s="12">
        <f>IFERROR(__xludf.DUMMYFUNCTION("""COMPUTED_VALUE"""),44618.63701388889)</f>
        <v>44618.63701</v>
      </c>
      <c r="D9041" s="13">
        <f t="shared" si="1"/>
        <v>26</v>
      </c>
      <c r="E9041" s="13">
        <f t="shared" si="2"/>
        <v>15</v>
      </c>
    </row>
    <row r="9042">
      <c r="A9042" s="4" t="s">
        <v>9650</v>
      </c>
      <c r="B9042" s="16"/>
      <c r="C9042" s="12">
        <f>IFERROR(__xludf.DUMMYFUNCTION("""COMPUTED_VALUE"""),44618.63700231481)</f>
        <v>44618.637</v>
      </c>
      <c r="D9042" s="13">
        <f t="shared" si="1"/>
        <v>26</v>
      </c>
      <c r="E9042" s="13">
        <f t="shared" si="2"/>
        <v>15</v>
      </c>
    </row>
    <row r="9043">
      <c r="A9043" s="4" t="s">
        <v>9651</v>
      </c>
      <c r="B9043" s="16"/>
      <c r="C9043" s="12">
        <f>IFERROR(__xludf.DUMMYFUNCTION("""COMPUTED_VALUE"""),44618.63344907407)</f>
        <v>44618.63345</v>
      </c>
      <c r="D9043" s="13">
        <f t="shared" si="1"/>
        <v>26</v>
      </c>
      <c r="E9043" s="13">
        <f t="shared" si="2"/>
        <v>15</v>
      </c>
    </row>
    <row r="9044">
      <c r="A9044" s="4" t="s">
        <v>9652</v>
      </c>
      <c r="B9044" s="16"/>
      <c r="C9044" s="12">
        <f>IFERROR(__xludf.DUMMYFUNCTION("""COMPUTED_VALUE"""),44618.576631944445)</f>
        <v>44618.57663</v>
      </c>
      <c r="D9044" s="13">
        <f t="shared" si="1"/>
        <v>26</v>
      </c>
      <c r="E9044" s="13">
        <f t="shared" si="2"/>
        <v>13</v>
      </c>
    </row>
    <row r="9045">
      <c r="A9045" s="4" t="s">
        <v>9653</v>
      </c>
      <c r="B9045" s="16"/>
      <c r="C9045" s="12">
        <f>IFERROR(__xludf.DUMMYFUNCTION("""COMPUTED_VALUE"""),44618.52244212963)</f>
        <v>44618.52244</v>
      </c>
      <c r="D9045" s="13">
        <f t="shared" si="1"/>
        <v>26</v>
      </c>
      <c r="E9045" s="13">
        <f t="shared" si="2"/>
        <v>12</v>
      </c>
    </row>
    <row r="9046">
      <c r="A9046" s="4" t="s">
        <v>9654</v>
      </c>
      <c r="B9046" s="16"/>
      <c r="C9046" s="12">
        <f>IFERROR(__xludf.DUMMYFUNCTION("""COMPUTED_VALUE"""),44618.52116898148)</f>
        <v>44618.52117</v>
      </c>
      <c r="D9046" s="13">
        <f t="shared" si="1"/>
        <v>26</v>
      </c>
      <c r="E9046" s="13">
        <f t="shared" si="2"/>
        <v>12</v>
      </c>
    </row>
    <row r="9047">
      <c r="A9047" s="4" t="s">
        <v>9655</v>
      </c>
      <c r="B9047" s="16"/>
      <c r="C9047" s="12">
        <f>IFERROR(__xludf.DUMMYFUNCTION("""COMPUTED_VALUE"""),44618.51755787037)</f>
        <v>44618.51756</v>
      </c>
      <c r="D9047" s="13">
        <f t="shared" si="1"/>
        <v>26</v>
      </c>
      <c r="E9047" s="13">
        <f t="shared" si="2"/>
        <v>12</v>
      </c>
    </row>
    <row r="9048">
      <c r="A9048" s="4" t="s">
        <v>9656</v>
      </c>
      <c r="B9048" s="16"/>
      <c r="C9048" s="12">
        <f>IFERROR(__xludf.DUMMYFUNCTION("""COMPUTED_VALUE"""),44618.47787037037)</f>
        <v>44618.47787</v>
      </c>
      <c r="D9048" s="13">
        <f t="shared" si="1"/>
        <v>26</v>
      </c>
      <c r="E9048" s="13">
        <f t="shared" si="2"/>
        <v>11</v>
      </c>
    </row>
    <row r="9049">
      <c r="A9049" s="4" t="s">
        <v>9657</v>
      </c>
      <c r="B9049" s="16"/>
      <c r="C9049" s="12">
        <f>IFERROR(__xludf.DUMMYFUNCTION("""COMPUTED_VALUE"""),44618.47133101852)</f>
        <v>44618.47133</v>
      </c>
      <c r="D9049" s="13">
        <f t="shared" si="1"/>
        <v>26</v>
      </c>
      <c r="E9049" s="13">
        <f t="shared" si="2"/>
        <v>11</v>
      </c>
    </row>
    <row r="9050">
      <c r="A9050" s="4" t="s">
        <v>9658</v>
      </c>
      <c r="B9050" s="16"/>
      <c r="C9050" s="12">
        <f>IFERROR(__xludf.DUMMYFUNCTION("""COMPUTED_VALUE"""),44618.445)</f>
        <v>44618.445</v>
      </c>
      <c r="D9050" s="13">
        <f t="shared" si="1"/>
        <v>26</v>
      </c>
      <c r="E9050" s="13">
        <f t="shared" si="2"/>
        <v>10</v>
      </c>
    </row>
    <row r="9051">
      <c r="A9051" s="4" t="s">
        <v>9659</v>
      </c>
      <c r="B9051" s="16"/>
      <c r="C9051" s="12">
        <f>IFERROR(__xludf.DUMMYFUNCTION("""COMPUTED_VALUE"""),44618.39583333333)</f>
        <v>44618.39583</v>
      </c>
      <c r="D9051" s="13">
        <f t="shared" si="1"/>
        <v>26</v>
      </c>
      <c r="E9051" s="13">
        <f t="shared" si="2"/>
        <v>9</v>
      </c>
    </row>
    <row r="9052">
      <c r="A9052" s="4" t="s">
        <v>9660</v>
      </c>
      <c r="B9052" s="16"/>
      <c r="C9052" s="12">
        <f>IFERROR(__xludf.DUMMYFUNCTION("""COMPUTED_VALUE"""),44618.35028935185)</f>
        <v>44618.35029</v>
      </c>
      <c r="D9052" s="13">
        <f t="shared" si="1"/>
        <v>26</v>
      </c>
      <c r="E9052" s="13">
        <f t="shared" si="2"/>
        <v>8</v>
      </c>
    </row>
    <row r="9053">
      <c r="A9053" s="4" t="s">
        <v>9661</v>
      </c>
      <c r="B9053" s="16"/>
      <c r="C9053" s="12">
        <f>IFERROR(__xludf.DUMMYFUNCTION("""COMPUTED_VALUE"""),44618.345925925925)</f>
        <v>44618.34593</v>
      </c>
      <c r="D9053" s="13">
        <f t="shared" si="1"/>
        <v>26</v>
      </c>
      <c r="E9053" s="13">
        <f t="shared" si="2"/>
        <v>8</v>
      </c>
    </row>
    <row r="9054">
      <c r="A9054" s="4" t="s">
        <v>9662</v>
      </c>
      <c r="B9054" s="16"/>
      <c r="C9054" s="12">
        <f>IFERROR(__xludf.DUMMYFUNCTION("""COMPUTED_VALUE"""),44618.32674768518)</f>
        <v>44618.32675</v>
      </c>
      <c r="D9054" s="13">
        <f t="shared" si="1"/>
        <v>26</v>
      </c>
      <c r="E9054" s="13">
        <f t="shared" si="2"/>
        <v>7</v>
      </c>
    </row>
    <row r="9055">
      <c r="A9055" s="4" t="s">
        <v>9663</v>
      </c>
      <c r="B9055" s="16"/>
      <c r="C9055" s="12">
        <f>IFERROR(__xludf.DUMMYFUNCTION("""COMPUTED_VALUE"""),44618.313055555554)</f>
        <v>44618.31306</v>
      </c>
      <c r="D9055" s="13">
        <f t="shared" si="1"/>
        <v>26</v>
      </c>
      <c r="E9055" s="13">
        <f t="shared" si="2"/>
        <v>7</v>
      </c>
    </row>
    <row r="9056">
      <c r="A9056" s="4" t="s">
        <v>9664</v>
      </c>
      <c r="B9056" s="16"/>
      <c r="C9056" s="12">
        <f>IFERROR(__xludf.DUMMYFUNCTION("""COMPUTED_VALUE"""),44618.31125)</f>
        <v>44618.31125</v>
      </c>
      <c r="D9056" s="13">
        <f t="shared" si="1"/>
        <v>26</v>
      </c>
      <c r="E9056" s="13">
        <f t="shared" si="2"/>
        <v>7</v>
      </c>
    </row>
    <row r="9057">
      <c r="A9057" s="4" t="s">
        <v>9665</v>
      </c>
      <c r="B9057" s="16"/>
      <c r="C9057" s="12">
        <f>IFERROR(__xludf.DUMMYFUNCTION("""COMPUTED_VALUE"""),44618.26716435185)</f>
        <v>44618.26716</v>
      </c>
      <c r="D9057" s="13">
        <f t="shared" si="1"/>
        <v>26</v>
      </c>
      <c r="E9057" s="13">
        <f t="shared" si="2"/>
        <v>6</v>
      </c>
    </row>
    <row r="9058">
      <c r="A9058" s="4" t="s">
        <v>9666</v>
      </c>
      <c r="B9058" s="16"/>
      <c r="C9058" s="12">
        <f>IFERROR(__xludf.DUMMYFUNCTION("""COMPUTED_VALUE"""),44618.214583333334)</f>
        <v>44618.21458</v>
      </c>
      <c r="D9058" s="13">
        <f t="shared" si="1"/>
        <v>26</v>
      </c>
      <c r="E9058" s="13">
        <f t="shared" si="2"/>
        <v>5</v>
      </c>
    </row>
    <row r="9059">
      <c r="A9059" s="4" t="s">
        <v>9667</v>
      </c>
      <c r="B9059" s="16"/>
      <c r="C9059" s="12">
        <f>IFERROR(__xludf.DUMMYFUNCTION("""COMPUTED_VALUE"""),44618.18568287037)</f>
        <v>44618.18568</v>
      </c>
      <c r="D9059" s="13">
        <f t="shared" si="1"/>
        <v>26</v>
      </c>
      <c r="E9059" s="13">
        <f t="shared" si="2"/>
        <v>4</v>
      </c>
    </row>
    <row r="9060">
      <c r="A9060" s="4" t="s">
        <v>9668</v>
      </c>
      <c r="B9060" s="16"/>
      <c r="C9060" s="12">
        <f>IFERROR(__xludf.DUMMYFUNCTION("""COMPUTED_VALUE"""),44618.05038194444)</f>
        <v>44618.05038</v>
      </c>
      <c r="D9060" s="13">
        <f t="shared" si="1"/>
        <v>26</v>
      </c>
      <c r="E9060" s="13">
        <f t="shared" si="2"/>
        <v>1</v>
      </c>
    </row>
    <row r="9061">
      <c r="A9061" s="4" t="s">
        <v>9669</v>
      </c>
      <c r="B9061" s="16"/>
      <c r="C9061" s="12">
        <f>IFERROR(__xludf.DUMMYFUNCTION("""COMPUTED_VALUE"""),44618.04810185185)</f>
        <v>44618.0481</v>
      </c>
      <c r="D9061" s="13">
        <f t="shared" si="1"/>
        <v>26</v>
      </c>
      <c r="E9061" s="13">
        <f t="shared" si="2"/>
        <v>1</v>
      </c>
    </row>
    <row r="9062">
      <c r="A9062" s="4" t="s">
        <v>9670</v>
      </c>
      <c r="B9062" s="16"/>
      <c r="C9062" s="12">
        <f>IFERROR(__xludf.DUMMYFUNCTION("""COMPUTED_VALUE"""),44618.04409722222)</f>
        <v>44618.0441</v>
      </c>
      <c r="D9062" s="13">
        <f t="shared" si="1"/>
        <v>26</v>
      </c>
      <c r="E9062" s="13">
        <f t="shared" si="2"/>
        <v>1</v>
      </c>
    </row>
    <row r="9063">
      <c r="A9063" s="4" t="s">
        <v>9671</v>
      </c>
      <c r="B9063" s="16"/>
      <c r="C9063" s="12">
        <f>IFERROR(__xludf.DUMMYFUNCTION("""COMPUTED_VALUE"""),44617.91398148148)</f>
        <v>44617.91398</v>
      </c>
      <c r="D9063" s="13">
        <f t="shared" si="1"/>
        <v>25</v>
      </c>
      <c r="E9063" s="13">
        <f t="shared" si="2"/>
        <v>21</v>
      </c>
    </row>
    <row r="9064">
      <c r="A9064" s="4" t="s">
        <v>9672</v>
      </c>
      <c r="B9064" s="16"/>
      <c r="C9064" s="12">
        <f>IFERROR(__xludf.DUMMYFUNCTION("""COMPUTED_VALUE"""),44617.908229166664)</f>
        <v>44617.90823</v>
      </c>
      <c r="D9064" s="13">
        <f t="shared" si="1"/>
        <v>25</v>
      </c>
      <c r="E9064" s="13">
        <f t="shared" si="2"/>
        <v>21</v>
      </c>
    </row>
    <row r="9065">
      <c r="A9065" s="4" t="s">
        <v>9673</v>
      </c>
      <c r="B9065" s="16"/>
      <c r="C9065" s="12">
        <f>IFERROR(__xludf.DUMMYFUNCTION("""COMPUTED_VALUE"""),44617.90605324074)</f>
        <v>44617.90605</v>
      </c>
      <c r="D9065" s="13">
        <f t="shared" si="1"/>
        <v>25</v>
      </c>
      <c r="E9065" s="13">
        <f t="shared" si="2"/>
        <v>21</v>
      </c>
    </row>
    <row r="9066">
      <c r="A9066" s="4" t="s">
        <v>9674</v>
      </c>
      <c r="B9066" s="16"/>
      <c r="C9066" s="12">
        <f>IFERROR(__xludf.DUMMYFUNCTION("""COMPUTED_VALUE"""),44617.89923611111)</f>
        <v>44617.89924</v>
      </c>
      <c r="D9066" s="13">
        <f t="shared" si="1"/>
        <v>25</v>
      </c>
      <c r="E9066" s="13">
        <f t="shared" si="2"/>
        <v>21</v>
      </c>
    </row>
    <row r="9067">
      <c r="A9067" s="4" t="s">
        <v>9675</v>
      </c>
      <c r="B9067" s="16"/>
      <c r="C9067" s="12">
        <f>IFERROR(__xludf.DUMMYFUNCTION("""COMPUTED_VALUE"""),44617.88623842593)</f>
        <v>44617.88624</v>
      </c>
      <c r="D9067" s="13">
        <f t="shared" si="1"/>
        <v>25</v>
      </c>
      <c r="E9067" s="13">
        <f t="shared" si="2"/>
        <v>21</v>
      </c>
    </row>
    <row r="9068">
      <c r="A9068" s="4" t="s">
        <v>9676</v>
      </c>
      <c r="B9068" s="16"/>
      <c r="C9068" s="12">
        <f>IFERROR(__xludf.DUMMYFUNCTION("""COMPUTED_VALUE"""),44617.87354166667)</f>
        <v>44617.87354</v>
      </c>
      <c r="D9068" s="13">
        <f t="shared" si="1"/>
        <v>25</v>
      </c>
      <c r="E9068" s="13">
        <f t="shared" si="2"/>
        <v>20</v>
      </c>
    </row>
    <row r="9069">
      <c r="A9069" s="4" t="s">
        <v>9677</v>
      </c>
      <c r="B9069" s="16"/>
      <c r="C9069" s="12">
        <f>IFERROR(__xludf.DUMMYFUNCTION("""COMPUTED_VALUE"""),44617.870520833334)</f>
        <v>44617.87052</v>
      </c>
      <c r="D9069" s="13">
        <f t="shared" si="1"/>
        <v>25</v>
      </c>
      <c r="E9069" s="13">
        <f t="shared" si="2"/>
        <v>20</v>
      </c>
    </row>
    <row r="9070">
      <c r="A9070" s="4" t="s">
        <v>9678</v>
      </c>
      <c r="B9070" s="16"/>
      <c r="C9070" s="12">
        <f>IFERROR(__xludf.DUMMYFUNCTION("""COMPUTED_VALUE"""),44617.86755787037)</f>
        <v>44617.86756</v>
      </c>
      <c r="D9070" s="13">
        <f t="shared" si="1"/>
        <v>25</v>
      </c>
      <c r="E9070" s="13">
        <f t="shared" si="2"/>
        <v>20</v>
      </c>
    </row>
    <row r="9071">
      <c r="A9071" s="4" t="s">
        <v>9679</v>
      </c>
      <c r="B9071" s="16"/>
      <c r="C9071" s="12">
        <f>IFERROR(__xludf.DUMMYFUNCTION("""COMPUTED_VALUE"""),44617.86263888889)</f>
        <v>44617.86264</v>
      </c>
      <c r="D9071" s="13">
        <f t="shared" si="1"/>
        <v>25</v>
      </c>
      <c r="E9071" s="13">
        <f t="shared" si="2"/>
        <v>20</v>
      </c>
    </row>
    <row r="9072">
      <c r="A9072" s="4" t="s">
        <v>9680</v>
      </c>
      <c r="B9072" s="16"/>
      <c r="C9072" s="12">
        <f>IFERROR(__xludf.DUMMYFUNCTION("""COMPUTED_VALUE"""),44617.85986111111)</f>
        <v>44617.85986</v>
      </c>
      <c r="D9072" s="13">
        <f t="shared" si="1"/>
        <v>25</v>
      </c>
      <c r="E9072" s="13">
        <f t="shared" si="2"/>
        <v>20</v>
      </c>
    </row>
    <row r="9073">
      <c r="A9073" s="4" t="s">
        <v>9681</v>
      </c>
      <c r="B9073" s="16"/>
      <c r="C9073" s="12">
        <f>IFERROR(__xludf.DUMMYFUNCTION("""COMPUTED_VALUE"""),44617.856886574074)</f>
        <v>44617.85689</v>
      </c>
      <c r="D9073" s="13">
        <f t="shared" si="1"/>
        <v>25</v>
      </c>
      <c r="E9073" s="13">
        <f t="shared" si="2"/>
        <v>20</v>
      </c>
    </row>
    <row r="9074">
      <c r="A9074" s="4" t="s">
        <v>9682</v>
      </c>
      <c r="B9074" s="16"/>
      <c r="C9074" s="12">
        <f>IFERROR(__xludf.DUMMYFUNCTION("""COMPUTED_VALUE"""),44617.85556712963)</f>
        <v>44617.85557</v>
      </c>
      <c r="D9074" s="13">
        <f t="shared" si="1"/>
        <v>25</v>
      </c>
      <c r="E9074" s="13">
        <f t="shared" si="2"/>
        <v>20</v>
      </c>
    </row>
    <row r="9075">
      <c r="A9075" s="4" t="s">
        <v>9683</v>
      </c>
      <c r="B9075" s="16"/>
      <c r="C9075" s="12">
        <f>IFERROR(__xludf.DUMMYFUNCTION("""COMPUTED_VALUE"""),44617.83909722222)</f>
        <v>44617.8391</v>
      </c>
      <c r="D9075" s="13">
        <f t="shared" si="1"/>
        <v>25</v>
      </c>
      <c r="E9075" s="13">
        <f t="shared" si="2"/>
        <v>20</v>
      </c>
    </row>
    <row r="9076">
      <c r="A9076" s="4" t="s">
        <v>9684</v>
      </c>
      <c r="B9076" s="16"/>
      <c r="C9076" s="12">
        <f>IFERROR(__xludf.DUMMYFUNCTION("""COMPUTED_VALUE"""),44617.83287037037)</f>
        <v>44617.83287</v>
      </c>
      <c r="D9076" s="13">
        <f t="shared" si="1"/>
        <v>25</v>
      </c>
      <c r="E9076" s="13">
        <f t="shared" si="2"/>
        <v>19</v>
      </c>
    </row>
    <row r="9077">
      <c r="A9077" s="4" t="s">
        <v>9685</v>
      </c>
      <c r="B9077" s="16"/>
      <c r="C9077" s="12">
        <f>IFERROR(__xludf.DUMMYFUNCTION("""COMPUTED_VALUE"""),44617.82788194444)</f>
        <v>44617.82788</v>
      </c>
      <c r="D9077" s="13">
        <f t="shared" si="1"/>
        <v>25</v>
      </c>
      <c r="E9077" s="13">
        <f t="shared" si="2"/>
        <v>19</v>
      </c>
    </row>
    <row r="9078">
      <c r="A9078" s="4" t="s">
        <v>9686</v>
      </c>
      <c r="B9078" s="16"/>
      <c r="C9078" s="12">
        <f>IFERROR(__xludf.DUMMYFUNCTION("""COMPUTED_VALUE"""),44617.82372685185)</f>
        <v>44617.82373</v>
      </c>
      <c r="D9078" s="13">
        <f t="shared" si="1"/>
        <v>25</v>
      </c>
      <c r="E9078" s="13">
        <f t="shared" si="2"/>
        <v>19</v>
      </c>
    </row>
    <row r="9079">
      <c r="A9079" s="4" t="s">
        <v>9687</v>
      </c>
      <c r="B9079" s="16"/>
      <c r="C9079" s="12">
        <f>IFERROR(__xludf.DUMMYFUNCTION("""COMPUTED_VALUE"""),44617.81590277777)</f>
        <v>44617.8159</v>
      </c>
      <c r="D9079" s="13">
        <f t="shared" si="1"/>
        <v>25</v>
      </c>
      <c r="E9079" s="13">
        <f t="shared" si="2"/>
        <v>19</v>
      </c>
    </row>
    <row r="9080">
      <c r="A9080" s="4" t="s">
        <v>9688</v>
      </c>
      <c r="B9080" s="16"/>
      <c r="C9080" s="12">
        <f>IFERROR(__xludf.DUMMYFUNCTION("""COMPUTED_VALUE"""),44617.80083333333)</f>
        <v>44617.80083</v>
      </c>
      <c r="D9080" s="13">
        <f t="shared" si="1"/>
        <v>25</v>
      </c>
      <c r="E9080" s="13">
        <f t="shared" si="2"/>
        <v>19</v>
      </c>
    </row>
    <row r="9081">
      <c r="A9081" s="4" t="s">
        <v>9689</v>
      </c>
      <c r="B9081" s="16"/>
      <c r="C9081" s="12">
        <f>IFERROR(__xludf.DUMMYFUNCTION("""COMPUTED_VALUE"""),44617.79788194444)</f>
        <v>44617.79788</v>
      </c>
      <c r="D9081" s="13">
        <f t="shared" si="1"/>
        <v>25</v>
      </c>
      <c r="E9081" s="13">
        <f t="shared" si="2"/>
        <v>19</v>
      </c>
    </row>
    <row r="9082">
      <c r="A9082" s="4" t="s">
        <v>9690</v>
      </c>
      <c r="B9082" s="16"/>
      <c r="C9082" s="12">
        <f>IFERROR(__xludf.DUMMYFUNCTION("""COMPUTED_VALUE"""),44617.79232638889)</f>
        <v>44617.79233</v>
      </c>
      <c r="D9082" s="13">
        <f t="shared" si="1"/>
        <v>25</v>
      </c>
      <c r="E9082" s="13">
        <f t="shared" si="2"/>
        <v>19</v>
      </c>
    </row>
    <row r="9083">
      <c r="A9083" s="4" t="s">
        <v>9691</v>
      </c>
      <c r="B9083" s="16"/>
      <c r="C9083" s="12">
        <f>IFERROR(__xludf.DUMMYFUNCTION("""COMPUTED_VALUE"""),44617.79042824074)</f>
        <v>44617.79043</v>
      </c>
      <c r="D9083" s="13">
        <f t="shared" si="1"/>
        <v>25</v>
      </c>
      <c r="E9083" s="13">
        <f t="shared" si="2"/>
        <v>18</v>
      </c>
    </row>
    <row r="9084">
      <c r="A9084" s="4" t="s">
        <v>9692</v>
      </c>
      <c r="B9084" s="16"/>
      <c r="C9084" s="12">
        <f>IFERROR(__xludf.DUMMYFUNCTION("""COMPUTED_VALUE"""),44617.76238425926)</f>
        <v>44617.76238</v>
      </c>
      <c r="D9084" s="13">
        <f t="shared" si="1"/>
        <v>25</v>
      </c>
      <c r="E9084" s="13">
        <f t="shared" si="2"/>
        <v>18</v>
      </c>
    </row>
    <row r="9085">
      <c r="A9085" s="4" t="s">
        <v>9693</v>
      </c>
      <c r="B9085" s="16"/>
      <c r="C9085" s="12">
        <f>IFERROR(__xludf.DUMMYFUNCTION("""COMPUTED_VALUE"""),44617.73030092593)</f>
        <v>44617.7303</v>
      </c>
      <c r="D9085" s="13">
        <f t="shared" si="1"/>
        <v>25</v>
      </c>
      <c r="E9085" s="13">
        <f t="shared" si="2"/>
        <v>17</v>
      </c>
    </row>
    <row r="9086">
      <c r="A9086" s="4" t="s">
        <v>9694</v>
      </c>
      <c r="B9086" s="16"/>
      <c r="C9086" s="12">
        <f>IFERROR(__xludf.DUMMYFUNCTION("""COMPUTED_VALUE"""),44617.72311342592)</f>
        <v>44617.72311</v>
      </c>
      <c r="D9086" s="13">
        <f t="shared" si="1"/>
        <v>25</v>
      </c>
      <c r="E9086" s="13">
        <f t="shared" si="2"/>
        <v>17</v>
      </c>
    </row>
    <row r="9087">
      <c r="A9087" s="4" t="s">
        <v>9695</v>
      </c>
      <c r="B9087" s="16"/>
      <c r="C9087" s="12">
        <f>IFERROR(__xludf.DUMMYFUNCTION("""COMPUTED_VALUE"""),44617.714733796296)</f>
        <v>44617.71473</v>
      </c>
      <c r="D9087" s="13">
        <f t="shared" si="1"/>
        <v>25</v>
      </c>
      <c r="E9087" s="13">
        <f t="shared" si="2"/>
        <v>17</v>
      </c>
    </row>
    <row r="9088">
      <c r="A9088" s="4" t="s">
        <v>9696</v>
      </c>
      <c r="B9088" s="16"/>
      <c r="C9088" s="12">
        <f>IFERROR(__xludf.DUMMYFUNCTION("""COMPUTED_VALUE"""),44617.69702546296)</f>
        <v>44617.69703</v>
      </c>
      <c r="D9088" s="13">
        <f t="shared" si="1"/>
        <v>25</v>
      </c>
      <c r="E9088" s="13">
        <f t="shared" si="2"/>
        <v>16</v>
      </c>
    </row>
    <row r="9089">
      <c r="A9089" s="4" t="s">
        <v>9697</v>
      </c>
      <c r="B9089" s="16"/>
      <c r="C9089" s="12">
        <f>IFERROR(__xludf.DUMMYFUNCTION("""COMPUTED_VALUE"""),44617.69331018518)</f>
        <v>44617.69331</v>
      </c>
      <c r="D9089" s="13">
        <f t="shared" si="1"/>
        <v>25</v>
      </c>
      <c r="E9089" s="13">
        <f t="shared" si="2"/>
        <v>16</v>
      </c>
    </row>
    <row r="9090">
      <c r="A9090" s="4" t="s">
        <v>9698</v>
      </c>
      <c r="B9090" s="16"/>
      <c r="C9090" s="12">
        <f>IFERROR(__xludf.DUMMYFUNCTION("""COMPUTED_VALUE"""),44617.62978009259)</f>
        <v>44617.62978</v>
      </c>
      <c r="D9090" s="13">
        <f t="shared" si="1"/>
        <v>25</v>
      </c>
      <c r="E9090" s="13">
        <f t="shared" si="2"/>
        <v>15</v>
      </c>
    </row>
    <row r="9091">
      <c r="A9091" s="4" t="s">
        <v>9699</v>
      </c>
      <c r="B9091" s="16"/>
      <c r="C9091" s="12">
        <f>IFERROR(__xludf.DUMMYFUNCTION("""COMPUTED_VALUE"""),44617.62040509259)</f>
        <v>44617.62041</v>
      </c>
      <c r="D9091" s="13">
        <f t="shared" si="1"/>
        <v>25</v>
      </c>
      <c r="E9091" s="13">
        <f t="shared" si="2"/>
        <v>14</v>
      </c>
    </row>
    <row r="9092">
      <c r="A9092" s="4" t="s">
        <v>9700</v>
      </c>
      <c r="B9092" s="16"/>
      <c r="C9092" s="12">
        <f>IFERROR(__xludf.DUMMYFUNCTION("""COMPUTED_VALUE"""),44617.55569444444)</f>
        <v>44617.55569</v>
      </c>
      <c r="D9092" s="13">
        <f t="shared" si="1"/>
        <v>25</v>
      </c>
      <c r="E9092" s="13">
        <f t="shared" si="2"/>
        <v>13</v>
      </c>
    </row>
    <row r="9093">
      <c r="A9093" s="4" t="s">
        <v>9701</v>
      </c>
      <c r="B9093" s="16"/>
      <c r="C9093" s="12">
        <f>IFERROR(__xludf.DUMMYFUNCTION("""COMPUTED_VALUE"""),44617.53420138889)</f>
        <v>44617.5342</v>
      </c>
      <c r="D9093" s="13">
        <f t="shared" si="1"/>
        <v>25</v>
      </c>
      <c r="E9093" s="13">
        <f t="shared" si="2"/>
        <v>12</v>
      </c>
    </row>
    <row r="9094">
      <c r="A9094" s="4" t="s">
        <v>9702</v>
      </c>
      <c r="B9094" s="16"/>
      <c r="C9094" s="12">
        <f>IFERROR(__xludf.DUMMYFUNCTION("""COMPUTED_VALUE"""),44617.52496527778)</f>
        <v>44617.52497</v>
      </c>
      <c r="D9094" s="13">
        <f t="shared" si="1"/>
        <v>25</v>
      </c>
      <c r="E9094" s="13">
        <f t="shared" si="2"/>
        <v>12</v>
      </c>
    </row>
    <row r="9095">
      <c r="A9095" s="4" t="s">
        <v>9703</v>
      </c>
      <c r="B9095" s="16"/>
      <c r="C9095" s="12">
        <f>IFERROR(__xludf.DUMMYFUNCTION("""COMPUTED_VALUE"""),44617.52340277778)</f>
        <v>44617.5234</v>
      </c>
      <c r="D9095" s="13">
        <f t="shared" si="1"/>
        <v>25</v>
      </c>
      <c r="E9095" s="13">
        <f t="shared" si="2"/>
        <v>12</v>
      </c>
    </row>
    <row r="9096">
      <c r="A9096" s="4" t="s">
        <v>9704</v>
      </c>
      <c r="B9096" s="16"/>
      <c r="C9096" s="12">
        <f>IFERROR(__xludf.DUMMYFUNCTION("""COMPUTED_VALUE"""),44617.50709490741)</f>
        <v>44617.50709</v>
      </c>
      <c r="D9096" s="13">
        <f t="shared" si="1"/>
        <v>25</v>
      </c>
      <c r="E9096" s="13">
        <f t="shared" si="2"/>
        <v>12</v>
      </c>
    </row>
    <row r="9097">
      <c r="A9097" s="4" t="s">
        <v>9705</v>
      </c>
      <c r="B9097" s="16"/>
      <c r="C9097" s="12">
        <f>IFERROR(__xludf.DUMMYFUNCTION("""COMPUTED_VALUE"""),44617.47103009259)</f>
        <v>44617.47103</v>
      </c>
      <c r="D9097" s="13">
        <f t="shared" si="1"/>
        <v>25</v>
      </c>
      <c r="E9097" s="13">
        <f t="shared" si="2"/>
        <v>11</v>
      </c>
    </row>
    <row r="9098">
      <c r="A9098" s="4" t="s">
        <v>9706</v>
      </c>
      <c r="B9098" s="16"/>
      <c r="C9098" s="12">
        <f>IFERROR(__xludf.DUMMYFUNCTION("""COMPUTED_VALUE"""),44617.4684375)</f>
        <v>44617.46844</v>
      </c>
      <c r="D9098" s="13">
        <f t="shared" si="1"/>
        <v>25</v>
      </c>
      <c r="E9098" s="13">
        <f t="shared" si="2"/>
        <v>11</v>
      </c>
    </row>
    <row r="9099">
      <c r="A9099" s="4" t="s">
        <v>9707</v>
      </c>
      <c r="B9099" s="16"/>
      <c r="C9099" s="12">
        <f>IFERROR(__xludf.DUMMYFUNCTION("""COMPUTED_VALUE"""),44617.409317129626)</f>
        <v>44617.40932</v>
      </c>
      <c r="D9099" s="13">
        <f t="shared" si="1"/>
        <v>25</v>
      </c>
      <c r="E9099" s="13">
        <f t="shared" si="2"/>
        <v>9</v>
      </c>
    </row>
    <row r="9100">
      <c r="A9100" s="4" t="s">
        <v>9708</v>
      </c>
      <c r="B9100" s="16"/>
      <c r="C9100" s="12">
        <f>IFERROR(__xludf.DUMMYFUNCTION("""COMPUTED_VALUE"""),44617.3365162037)</f>
        <v>44617.33652</v>
      </c>
      <c r="D9100" s="13">
        <f t="shared" si="1"/>
        <v>25</v>
      </c>
      <c r="E9100" s="13">
        <f t="shared" si="2"/>
        <v>8</v>
      </c>
    </row>
    <row r="9101">
      <c r="A9101" s="4" t="s">
        <v>9709</v>
      </c>
      <c r="B9101" s="16"/>
      <c r="C9101" s="12">
        <f>IFERROR(__xludf.DUMMYFUNCTION("""COMPUTED_VALUE"""),44617.26337962963)</f>
        <v>44617.26338</v>
      </c>
      <c r="D9101" s="13">
        <f t="shared" si="1"/>
        <v>25</v>
      </c>
      <c r="E9101" s="13">
        <f t="shared" si="2"/>
        <v>6</v>
      </c>
    </row>
    <row r="9102">
      <c r="A9102" s="4" t="s">
        <v>9710</v>
      </c>
      <c r="B9102" s="16"/>
      <c r="C9102" s="12">
        <f>IFERROR(__xludf.DUMMYFUNCTION("""COMPUTED_VALUE"""),44617.142175925925)</f>
        <v>44617.14218</v>
      </c>
      <c r="D9102" s="13">
        <f t="shared" si="1"/>
        <v>25</v>
      </c>
      <c r="E9102" s="13">
        <f t="shared" si="2"/>
        <v>3</v>
      </c>
    </row>
    <row r="9103">
      <c r="A9103" s="4" t="s">
        <v>9711</v>
      </c>
      <c r="B9103" s="16"/>
      <c r="C9103" s="12">
        <f>IFERROR(__xludf.DUMMYFUNCTION("""COMPUTED_VALUE"""),44617.0640162037)</f>
        <v>44617.06402</v>
      </c>
      <c r="D9103" s="13">
        <f t="shared" si="1"/>
        <v>25</v>
      </c>
      <c r="E9103" s="13">
        <f t="shared" si="2"/>
        <v>1</v>
      </c>
    </row>
    <row r="9104">
      <c r="A9104" s="4" t="s">
        <v>9712</v>
      </c>
      <c r="B9104" s="16"/>
      <c r="C9104" s="12">
        <f>IFERROR(__xludf.DUMMYFUNCTION("""COMPUTED_VALUE"""),44616.928935185184)</f>
        <v>44616.92894</v>
      </c>
      <c r="D9104" s="13">
        <f t="shared" si="1"/>
        <v>24</v>
      </c>
      <c r="E9104" s="13">
        <f t="shared" si="2"/>
        <v>22</v>
      </c>
    </row>
    <row r="9105">
      <c r="A9105" s="4" t="s">
        <v>9713</v>
      </c>
      <c r="B9105" s="16"/>
      <c r="C9105" s="12">
        <f>IFERROR(__xludf.DUMMYFUNCTION("""COMPUTED_VALUE"""),44616.88775462963)</f>
        <v>44616.88775</v>
      </c>
      <c r="D9105" s="13">
        <f t="shared" si="1"/>
        <v>24</v>
      </c>
      <c r="E9105" s="13">
        <f t="shared" si="2"/>
        <v>21</v>
      </c>
    </row>
    <row r="9106">
      <c r="A9106" s="4" t="s">
        <v>9714</v>
      </c>
      <c r="B9106" s="16"/>
      <c r="C9106" s="12">
        <f>IFERROR(__xludf.DUMMYFUNCTION("""COMPUTED_VALUE"""),44616.886041666665)</f>
        <v>44616.88604</v>
      </c>
      <c r="D9106" s="13">
        <f t="shared" si="1"/>
        <v>24</v>
      </c>
      <c r="E9106" s="13">
        <f t="shared" si="2"/>
        <v>21</v>
      </c>
    </row>
    <row r="9107">
      <c r="A9107" s="4" t="s">
        <v>9715</v>
      </c>
      <c r="B9107" s="16"/>
      <c r="C9107" s="12">
        <f>IFERROR(__xludf.DUMMYFUNCTION("""COMPUTED_VALUE"""),44616.8577662037)</f>
        <v>44616.85777</v>
      </c>
      <c r="D9107" s="13">
        <f t="shared" si="1"/>
        <v>24</v>
      </c>
      <c r="E9107" s="13">
        <f t="shared" si="2"/>
        <v>20</v>
      </c>
    </row>
    <row r="9108">
      <c r="A9108" s="4" t="s">
        <v>9716</v>
      </c>
      <c r="B9108" s="16"/>
      <c r="C9108" s="12">
        <f>IFERROR(__xludf.DUMMYFUNCTION("""COMPUTED_VALUE"""),44616.855729166666)</f>
        <v>44616.85573</v>
      </c>
      <c r="D9108" s="13">
        <f t="shared" si="1"/>
        <v>24</v>
      </c>
      <c r="E9108" s="13">
        <f t="shared" si="2"/>
        <v>20</v>
      </c>
    </row>
    <row r="9109">
      <c r="A9109" s="4" t="s">
        <v>9717</v>
      </c>
      <c r="B9109" s="16"/>
      <c r="C9109" s="12">
        <f>IFERROR(__xludf.DUMMYFUNCTION("""COMPUTED_VALUE"""),44616.85194444444)</f>
        <v>44616.85194</v>
      </c>
      <c r="D9109" s="13">
        <f t="shared" si="1"/>
        <v>24</v>
      </c>
      <c r="E9109" s="13">
        <f t="shared" si="2"/>
        <v>20</v>
      </c>
    </row>
    <row r="9110">
      <c r="A9110" s="4" t="s">
        <v>9718</v>
      </c>
      <c r="B9110" s="16"/>
      <c r="C9110" s="12">
        <f>IFERROR(__xludf.DUMMYFUNCTION("""COMPUTED_VALUE"""),44616.7115625)</f>
        <v>44616.71156</v>
      </c>
      <c r="D9110" s="13">
        <f t="shared" si="1"/>
        <v>24</v>
      </c>
      <c r="E9110" s="13">
        <f t="shared" si="2"/>
        <v>17</v>
      </c>
    </row>
    <row r="9111">
      <c r="A9111" s="4" t="s">
        <v>9719</v>
      </c>
      <c r="B9111" s="16"/>
      <c r="C9111" s="12">
        <f>IFERROR(__xludf.DUMMYFUNCTION("""COMPUTED_VALUE"""),44616.70395833333)</f>
        <v>44616.70396</v>
      </c>
      <c r="D9111" s="13">
        <f t="shared" si="1"/>
        <v>24</v>
      </c>
      <c r="E9111" s="13">
        <f t="shared" si="2"/>
        <v>16</v>
      </c>
    </row>
    <row r="9112">
      <c r="A9112" s="4" t="s">
        <v>9720</v>
      </c>
      <c r="B9112" s="16"/>
      <c r="C9112" s="12">
        <f>IFERROR(__xludf.DUMMYFUNCTION("""COMPUTED_VALUE"""),44616.68315972222)</f>
        <v>44616.68316</v>
      </c>
      <c r="D9112" s="13">
        <f t="shared" si="1"/>
        <v>24</v>
      </c>
      <c r="E9112" s="13">
        <f t="shared" si="2"/>
        <v>16</v>
      </c>
    </row>
    <row r="9113">
      <c r="A9113" s="4" t="s">
        <v>9721</v>
      </c>
      <c r="B9113" s="16"/>
      <c r="C9113" s="12">
        <f>IFERROR(__xludf.DUMMYFUNCTION("""COMPUTED_VALUE"""),44616.64760416666)</f>
        <v>44616.6476</v>
      </c>
      <c r="D9113" s="13">
        <f t="shared" si="1"/>
        <v>24</v>
      </c>
      <c r="E9113" s="13">
        <f t="shared" si="2"/>
        <v>15</v>
      </c>
    </row>
    <row r="9114">
      <c r="A9114" s="4" t="s">
        <v>9722</v>
      </c>
      <c r="B9114" s="16"/>
      <c r="C9114" s="12">
        <f>IFERROR(__xludf.DUMMYFUNCTION("""COMPUTED_VALUE"""),44616.64129629629)</f>
        <v>44616.6413</v>
      </c>
      <c r="D9114" s="13">
        <f t="shared" si="1"/>
        <v>24</v>
      </c>
      <c r="E9114" s="13">
        <f t="shared" si="2"/>
        <v>15</v>
      </c>
    </row>
    <row r="9115">
      <c r="A9115" s="4" t="s">
        <v>9723</v>
      </c>
      <c r="B9115" s="16"/>
      <c r="C9115" s="12">
        <f>IFERROR(__xludf.DUMMYFUNCTION("""COMPUTED_VALUE"""),44616.59452546296)</f>
        <v>44616.59453</v>
      </c>
      <c r="D9115" s="13">
        <f t="shared" si="1"/>
        <v>24</v>
      </c>
      <c r="E9115" s="13">
        <f t="shared" si="2"/>
        <v>14</v>
      </c>
    </row>
    <row r="9116">
      <c r="A9116" s="4" t="s">
        <v>9724</v>
      </c>
      <c r="B9116" s="16"/>
      <c r="C9116" s="12">
        <f>IFERROR(__xludf.DUMMYFUNCTION("""COMPUTED_VALUE"""),44616.57659722222)</f>
        <v>44616.5766</v>
      </c>
      <c r="D9116" s="13">
        <f t="shared" si="1"/>
        <v>24</v>
      </c>
      <c r="E9116" s="13">
        <f t="shared" si="2"/>
        <v>13</v>
      </c>
    </row>
    <row r="9117">
      <c r="A9117" s="4" t="s">
        <v>9725</v>
      </c>
      <c r="B9117" s="16"/>
      <c r="C9117" s="12">
        <f>IFERROR(__xludf.DUMMYFUNCTION("""COMPUTED_VALUE"""),44616.570185185185)</f>
        <v>44616.57019</v>
      </c>
      <c r="D9117" s="13">
        <f t="shared" si="1"/>
        <v>24</v>
      </c>
      <c r="E9117" s="13">
        <f t="shared" si="2"/>
        <v>13</v>
      </c>
    </row>
    <row r="9118">
      <c r="A9118" s="4" t="s">
        <v>9726</v>
      </c>
      <c r="B9118" s="16"/>
      <c r="C9118" s="12">
        <f>IFERROR(__xludf.DUMMYFUNCTION("""COMPUTED_VALUE"""),44616.502858796295)</f>
        <v>44616.50286</v>
      </c>
      <c r="D9118" s="13">
        <f t="shared" si="1"/>
        <v>24</v>
      </c>
      <c r="E9118" s="13">
        <f t="shared" si="2"/>
        <v>12</v>
      </c>
    </row>
    <row r="9119">
      <c r="A9119" s="4" t="s">
        <v>9727</v>
      </c>
      <c r="B9119" s="16"/>
      <c r="C9119" s="12">
        <f>IFERROR(__xludf.DUMMYFUNCTION("""COMPUTED_VALUE"""),44616.49931712963)</f>
        <v>44616.49932</v>
      </c>
      <c r="D9119" s="13">
        <f t="shared" si="1"/>
        <v>24</v>
      </c>
      <c r="E9119" s="13">
        <f t="shared" si="2"/>
        <v>11</v>
      </c>
    </row>
    <row r="9120">
      <c r="A9120" s="4" t="s">
        <v>9728</v>
      </c>
      <c r="B9120" s="16"/>
      <c r="C9120" s="12">
        <f>IFERROR(__xludf.DUMMYFUNCTION("""COMPUTED_VALUE"""),44616.48206018518)</f>
        <v>44616.48206</v>
      </c>
      <c r="D9120" s="13">
        <f t="shared" si="1"/>
        <v>24</v>
      </c>
      <c r="E9120" s="13">
        <f t="shared" si="2"/>
        <v>11</v>
      </c>
    </row>
    <row r="9121">
      <c r="A9121" s="4" t="s">
        <v>9729</v>
      </c>
      <c r="B9121" s="16"/>
      <c r="C9121" s="12">
        <f>IFERROR(__xludf.DUMMYFUNCTION("""COMPUTED_VALUE"""),44616.471249999995)</f>
        <v>44616.47125</v>
      </c>
      <c r="D9121" s="13">
        <f t="shared" si="1"/>
        <v>24</v>
      </c>
      <c r="E9121" s="13">
        <f t="shared" si="2"/>
        <v>11</v>
      </c>
    </row>
    <row r="9122">
      <c r="A9122" s="4" t="s">
        <v>9730</v>
      </c>
      <c r="B9122" s="16"/>
      <c r="C9122" s="12">
        <f>IFERROR(__xludf.DUMMYFUNCTION("""COMPUTED_VALUE"""),44616.41458333333)</f>
        <v>44616.41458</v>
      </c>
      <c r="D9122" s="13">
        <f t="shared" si="1"/>
        <v>24</v>
      </c>
      <c r="E9122" s="13">
        <f t="shared" si="2"/>
        <v>9</v>
      </c>
    </row>
    <row r="9123">
      <c r="A9123" s="4" t="s">
        <v>9731</v>
      </c>
      <c r="B9123" s="16"/>
      <c r="C9123" s="12">
        <f>IFERROR(__xludf.DUMMYFUNCTION("""COMPUTED_VALUE"""),44616.35134259259)</f>
        <v>44616.35134</v>
      </c>
      <c r="D9123" s="13">
        <f t="shared" si="1"/>
        <v>24</v>
      </c>
      <c r="E9123" s="13">
        <f t="shared" si="2"/>
        <v>8</v>
      </c>
    </row>
    <row r="9124">
      <c r="A9124" s="4" t="s">
        <v>9732</v>
      </c>
      <c r="B9124" s="16"/>
      <c r="C9124" s="12">
        <f>IFERROR(__xludf.DUMMYFUNCTION("""COMPUTED_VALUE"""),44616.35115740741)</f>
        <v>44616.35116</v>
      </c>
      <c r="D9124" s="13">
        <f t="shared" si="1"/>
        <v>24</v>
      </c>
      <c r="E9124" s="13">
        <f t="shared" si="2"/>
        <v>8</v>
      </c>
    </row>
    <row r="9125">
      <c r="A9125" s="4" t="s">
        <v>9733</v>
      </c>
      <c r="B9125" s="16"/>
      <c r="C9125" s="12">
        <f>IFERROR(__xludf.DUMMYFUNCTION("""COMPUTED_VALUE"""),44616.33899305555)</f>
        <v>44616.33899</v>
      </c>
      <c r="D9125" s="13">
        <f t="shared" si="1"/>
        <v>24</v>
      </c>
      <c r="E9125" s="13">
        <f t="shared" si="2"/>
        <v>8</v>
      </c>
    </row>
    <row r="9126">
      <c r="A9126" s="4" t="s">
        <v>9734</v>
      </c>
      <c r="B9126" s="16"/>
      <c r="C9126" s="12">
        <f>IFERROR(__xludf.DUMMYFUNCTION("""COMPUTED_VALUE"""),44616.301898148144)</f>
        <v>44616.3019</v>
      </c>
      <c r="D9126" s="13">
        <f t="shared" si="1"/>
        <v>24</v>
      </c>
      <c r="E9126" s="13">
        <f t="shared" si="2"/>
        <v>7</v>
      </c>
    </row>
    <row r="9127">
      <c r="A9127" s="4" t="s">
        <v>9735</v>
      </c>
      <c r="B9127" s="16"/>
      <c r="C9127" s="12">
        <f>IFERROR(__xludf.DUMMYFUNCTION("""COMPUTED_VALUE"""),44616.197175925925)</f>
        <v>44616.19718</v>
      </c>
      <c r="D9127" s="13">
        <f t="shared" si="1"/>
        <v>24</v>
      </c>
      <c r="E9127" s="13">
        <f t="shared" si="2"/>
        <v>4</v>
      </c>
    </row>
    <row r="9128">
      <c r="A9128" s="4" t="s">
        <v>9736</v>
      </c>
      <c r="B9128" s="16"/>
      <c r="C9128" s="12">
        <f>IFERROR(__xludf.DUMMYFUNCTION("""COMPUTED_VALUE"""),44616.07748842592)</f>
        <v>44616.07749</v>
      </c>
      <c r="D9128" s="13">
        <f t="shared" si="1"/>
        <v>24</v>
      </c>
      <c r="E9128" s="13">
        <f t="shared" si="2"/>
        <v>1</v>
      </c>
    </row>
    <row r="9129">
      <c r="A9129" s="4" t="s">
        <v>9737</v>
      </c>
      <c r="B9129" s="16"/>
      <c r="C9129" s="12">
        <f>IFERROR(__xludf.DUMMYFUNCTION("""COMPUTED_VALUE"""),44616.004849537036)</f>
        <v>44616.00485</v>
      </c>
      <c r="D9129" s="13">
        <f t="shared" si="1"/>
        <v>24</v>
      </c>
      <c r="E9129" s="13">
        <f t="shared" si="2"/>
        <v>0</v>
      </c>
    </row>
    <row r="9130">
      <c r="A9130" s="4" t="s">
        <v>9738</v>
      </c>
      <c r="B9130" s="16"/>
      <c r="C9130" s="12">
        <f>IFERROR(__xludf.DUMMYFUNCTION("""COMPUTED_VALUE"""),44616.00366898148)</f>
        <v>44616.00367</v>
      </c>
      <c r="D9130" s="13">
        <f t="shared" si="1"/>
        <v>24</v>
      </c>
      <c r="E9130" s="13">
        <f t="shared" si="2"/>
        <v>0</v>
      </c>
    </row>
    <row r="9131">
      <c r="A9131" s="4" t="s">
        <v>9739</v>
      </c>
      <c r="B9131" s="16"/>
      <c r="C9131" s="12">
        <f>IFERROR(__xludf.DUMMYFUNCTION("""COMPUTED_VALUE"""),44616.001180555555)</f>
        <v>44616.00118</v>
      </c>
      <c r="D9131" s="13">
        <f t="shared" si="1"/>
        <v>24</v>
      </c>
      <c r="E9131" s="13">
        <f t="shared" si="2"/>
        <v>0</v>
      </c>
    </row>
    <row r="9132">
      <c r="A9132" s="4" t="s">
        <v>9740</v>
      </c>
      <c r="B9132" s="16"/>
      <c r="C9132" s="12">
        <f>IFERROR(__xludf.DUMMYFUNCTION("""COMPUTED_VALUE"""),44615.99894675926)</f>
        <v>44615.99895</v>
      </c>
      <c r="D9132" s="13">
        <f t="shared" si="1"/>
        <v>23</v>
      </c>
      <c r="E9132" s="13">
        <f t="shared" si="2"/>
        <v>23</v>
      </c>
    </row>
    <row r="9133">
      <c r="A9133" s="4" t="s">
        <v>9741</v>
      </c>
      <c r="B9133" s="16"/>
      <c r="C9133" s="12">
        <f>IFERROR(__xludf.DUMMYFUNCTION("""COMPUTED_VALUE"""),44615.939629629625)</f>
        <v>44615.93963</v>
      </c>
      <c r="D9133" s="13">
        <f t="shared" si="1"/>
        <v>23</v>
      </c>
      <c r="E9133" s="13">
        <f t="shared" si="2"/>
        <v>22</v>
      </c>
    </row>
    <row r="9134">
      <c r="A9134" s="4" t="s">
        <v>9742</v>
      </c>
      <c r="B9134" s="16"/>
      <c r="C9134" s="12">
        <f>IFERROR(__xludf.DUMMYFUNCTION("""COMPUTED_VALUE"""),44615.93010416666)</f>
        <v>44615.9301</v>
      </c>
      <c r="D9134" s="13">
        <f t="shared" si="1"/>
        <v>23</v>
      </c>
      <c r="E9134" s="13">
        <f t="shared" si="2"/>
        <v>22</v>
      </c>
    </row>
    <row r="9135">
      <c r="A9135" s="4" t="s">
        <v>9743</v>
      </c>
      <c r="B9135" s="16"/>
      <c r="C9135" s="12">
        <f>IFERROR(__xludf.DUMMYFUNCTION("""COMPUTED_VALUE"""),44615.92998842592)</f>
        <v>44615.92999</v>
      </c>
      <c r="D9135" s="13">
        <f t="shared" si="1"/>
        <v>23</v>
      </c>
      <c r="E9135" s="13">
        <f t="shared" si="2"/>
        <v>22</v>
      </c>
    </row>
    <row r="9136">
      <c r="A9136" s="4" t="s">
        <v>9744</v>
      </c>
      <c r="B9136" s="16"/>
      <c r="C9136" s="12">
        <f>IFERROR(__xludf.DUMMYFUNCTION("""COMPUTED_VALUE"""),44615.83600694444)</f>
        <v>44615.83601</v>
      </c>
      <c r="D9136" s="13">
        <f t="shared" si="1"/>
        <v>23</v>
      </c>
      <c r="E9136" s="13">
        <f t="shared" si="2"/>
        <v>20</v>
      </c>
    </row>
    <row r="9137">
      <c r="A9137" s="4" t="s">
        <v>9745</v>
      </c>
      <c r="B9137" s="16"/>
      <c r="C9137" s="12">
        <f>IFERROR(__xludf.DUMMYFUNCTION("""COMPUTED_VALUE"""),44615.82040509259)</f>
        <v>44615.82041</v>
      </c>
      <c r="D9137" s="13">
        <f t="shared" si="1"/>
        <v>23</v>
      </c>
      <c r="E9137" s="13">
        <f t="shared" si="2"/>
        <v>19</v>
      </c>
    </row>
    <row r="9138">
      <c r="A9138" s="4" t="s">
        <v>9746</v>
      </c>
      <c r="B9138" s="16"/>
      <c r="C9138" s="12">
        <f>IFERROR(__xludf.DUMMYFUNCTION("""COMPUTED_VALUE"""),44615.76325231481)</f>
        <v>44615.76325</v>
      </c>
      <c r="D9138" s="13">
        <f t="shared" si="1"/>
        <v>23</v>
      </c>
      <c r="E9138" s="13">
        <f t="shared" si="2"/>
        <v>18</v>
      </c>
    </row>
    <row r="9139">
      <c r="A9139" s="4" t="s">
        <v>9747</v>
      </c>
      <c r="B9139" s="16"/>
      <c r="C9139" s="12">
        <f>IFERROR(__xludf.DUMMYFUNCTION("""COMPUTED_VALUE"""),44615.74732638889)</f>
        <v>44615.74733</v>
      </c>
      <c r="D9139" s="13">
        <f t="shared" si="1"/>
        <v>23</v>
      </c>
      <c r="E9139" s="13">
        <f t="shared" si="2"/>
        <v>17</v>
      </c>
    </row>
    <row r="9140">
      <c r="A9140" s="4" t="s">
        <v>9748</v>
      </c>
      <c r="B9140" s="16"/>
      <c r="C9140" s="12">
        <f>IFERROR(__xludf.DUMMYFUNCTION("""COMPUTED_VALUE"""),44615.73422453704)</f>
        <v>44615.73422</v>
      </c>
      <c r="D9140" s="13">
        <f t="shared" si="1"/>
        <v>23</v>
      </c>
      <c r="E9140" s="13">
        <f t="shared" si="2"/>
        <v>17</v>
      </c>
    </row>
    <row r="9141">
      <c r="A9141" s="4" t="s">
        <v>9749</v>
      </c>
      <c r="B9141" s="16"/>
      <c r="C9141" s="12">
        <f>IFERROR(__xludf.DUMMYFUNCTION("""COMPUTED_VALUE"""),44615.63733796296)</f>
        <v>44615.63734</v>
      </c>
      <c r="D9141" s="13">
        <f t="shared" si="1"/>
        <v>23</v>
      </c>
      <c r="E9141" s="13">
        <f t="shared" si="2"/>
        <v>15</v>
      </c>
    </row>
    <row r="9142">
      <c r="A9142" s="4" t="s">
        <v>9750</v>
      </c>
      <c r="B9142" s="16"/>
      <c r="C9142" s="12">
        <f>IFERROR(__xludf.DUMMYFUNCTION("""COMPUTED_VALUE"""),44615.63155092592)</f>
        <v>44615.63155</v>
      </c>
      <c r="D9142" s="13">
        <f t="shared" si="1"/>
        <v>23</v>
      </c>
      <c r="E9142" s="13">
        <f t="shared" si="2"/>
        <v>15</v>
      </c>
    </row>
    <row r="9143">
      <c r="A9143" s="4" t="s">
        <v>9751</v>
      </c>
      <c r="B9143" s="16"/>
      <c r="C9143" s="12">
        <f>IFERROR(__xludf.DUMMYFUNCTION("""COMPUTED_VALUE"""),44615.62767361111)</f>
        <v>44615.62767</v>
      </c>
      <c r="D9143" s="13">
        <f t="shared" si="1"/>
        <v>23</v>
      </c>
      <c r="E9143" s="13">
        <f t="shared" si="2"/>
        <v>15</v>
      </c>
    </row>
    <row r="9144">
      <c r="A9144" s="4" t="s">
        <v>9752</v>
      </c>
      <c r="B9144" s="16"/>
      <c r="C9144" s="12">
        <f>IFERROR(__xludf.DUMMYFUNCTION("""COMPUTED_VALUE"""),44615.625763888886)</f>
        <v>44615.62576</v>
      </c>
      <c r="D9144" s="13">
        <f t="shared" si="1"/>
        <v>23</v>
      </c>
      <c r="E9144" s="13">
        <f t="shared" si="2"/>
        <v>15</v>
      </c>
    </row>
    <row r="9145">
      <c r="A9145" s="4" t="s">
        <v>9753</v>
      </c>
      <c r="B9145" s="16"/>
      <c r="C9145" s="12">
        <f>IFERROR(__xludf.DUMMYFUNCTION("""COMPUTED_VALUE"""),44615.62540509259)</f>
        <v>44615.62541</v>
      </c>
      <c r="D9145" s="13">
        <f t="shared" si="1"/>
        <v>23</v>
      </c>
      <c r="E9145" s="13">
        <f t="shared" si="2"/>
        <v>15</v>
      </c>
    </row>
    <row r="9146">
      <c r="A9146" s="4" t="s">
        <v>9754</v>
      </c>
      <c r="B9146" s="16"/>
      <c r="C9146" s="12">
        <f>IFERROR(__xludf.DUMMYFUNCTION("""COMPUTED_VALUE"""),44615.6046412037)</f>
        <v>44615.60464</v>
      </c>
      <c r="D9146" s="13">
        <f t="shared" si="1"/>
        <v>23</v>
      </c>
      <c r="E9146" s="13">
        <f t="shared" si="2"/>
        <v>14</v>
      </c>
    </row>
    <row r="9147">
      <c r="A9147" s="4" t="s">
        <v>9755</v>
      </c>
      <c r="B9147" s="16"/>
      <c r="C9147" s="12">
        <f>IFERROR(__xludf.DUMMYFUNCTION("""COMPUTED_VALUE"""),44615.583657407406)</f>
        <v>44615.58366</v>
      </c>
      <c r="D9147" s="13">
        <f t="shared" si="1"/>
        <v>23</v>
      </c>
      <c r="E9147" s="13">
        <f t="shared" si="2"/>
        <v>14</v>
      </c>
    </row>
    <row r="9148">
      <c r="A9148" s="4" t="s">
        <v>9756</v>
      </c>
      <c r="B9148" s="16"/>
      <c r="C9148" s="12">
        <f>IFERROR(__xludf.DUMMYFUNCTION("""COMPUTED_VALUE"""),44615.53625)</f>
        <v>44615.53625</v>
      </c>
      <c r="D9148" s="13">
        <f t="shared" si="1"/>
        <v>23</v>
      </c>
      <c r="E9148" s="13">
        <f t="shared" si="2"/>
        <v>12</v>
      </c>
    </row>
    <row r="9149">
      <c r="A9149" s="4" t="s">
        <v>9757</v>
      </c>
      <c r="B9149" s="16"/>
      <c r="C9149" s="12">
        <f>IFERROR(__xludf.DUMMYFUNCTION("""COMPUTED_VALUE"""),44615.487233796295)</f>
        <v>44615.48723</v>
      </c>
      <c r="D9149" s="13">
        <f t="shared" si="1"/>
        <v>23</v>
      </c>
      <c r="E9149" s="13">
        <f t="shared" si="2"/>
        <v>11</v>
      </c>
    </row>
    <row r="9150">
      <c r="A9150" s="4" t="s">
        <v>9758</v>
      </c>
      <c r="B9150" s="16"/>
      <c r="C9150" s="12">
        <f>IFERROR(__xludf.DUMMYFUNCTION("""COMPUTED_VALUE"""),44615.359988425924)</f>
        <v>44615.35999</v>
      </c>
      <c r="D9150" s="13">
        <f t="shared" si="1"/>
        <v>23</v>
      </c>
      <c r="E9150" s="13">
        <f t="shared" si="2"/>
        <v>8</v>
      </c>
    </row>
    <row r="9151">
      <c r="A9151" s="4" t="s">
        <v>9759</v>
      </c>
      <c r="B9151" s="16"/>
      <c r="C9151" s="12">
        <f>IFERROR(__xludf.DUMMYFUNCTION("""COMPUTED_VALUE"""),44615.359872685185)</f>
        <v>44615.35987</v>
      </c>
      <c r="D9151" s="13">
        <f t="shared" si="1"/>
        <v>23</v>
      </c>
      <c r="E9151" s="13">
        <f t="shared" si="2"/>
        <v>8</v>
      </c>
    </row>
    <row r="9152">
      <c r="A9152" s="4" t="s">
        <v>9760</v>
      </c>
      <c r="B9152" s="16"/>
      <c r="C9152" s="12">
        <f>IFERROR(__xludf.DUMMYFUNCTION("""COMPUTED_VALUE"""),44615.33719907407)</f>
        <v>44615.3372</v>
      </c>
      <c r="D9152" s="13">
        <f t="shared" si="1"/>
        <v>23</v>
      </c>
      <c r="E9152" s="13">
        <f t="shared" si="2"/>
        <v>8</v>
      </c>
    </row>
    <row r="9153">
      <c r="A9153" s="4" t="s">
        <v>9761</v>
      </c>
      <c r="B9153" s="16"/>
      <c r="C9153" s="12">
        <f>IFERROR(__xludf.DUMMYFUNCTION("""COMPUTED_VALUE"""),44615.325787037036)</f>
        <v>44615.32579</v>
      </c>
      <c r="D9153" s="13">
        <f t="shared" si="1"/>
        <v>23</v>
      </c>
      <c r="E9153" s="13">
        <f t="shared" si="2"/>
        <v>7</v>
      </c>
    </row>
    <row r="9154">
      <c r="A9154" s="4" t="s">
        <v>9762</v>
      </c>
      <c r="B9154" s="16"/>
      <c r="C9154" s="12">
        <f>IFERROR(__xludf.DUMMYFUNCTION("""COMPUTED_VALUE"""),44615.265868055554)</f>
        <v>44615.26587</v>
      </c>
      <c r="D9154" s="13">
        <f t="shared" si="1"/>
        <v>23</v>
      </c>
      <c r="E9154" s="13">
        <f t="shared" si="2"/>
        <v>6</v>
      </c>
    </row>
    <row r="9155">
      <c r="A9155" s="4" t="s">
        <v>9763</v>
      </c>
      <c r="B9155" s="16"/>
      <c r="C9155" s="12">
        <f>IFERROR(__xludf.DUMMYFUNCTION("""COMPUTED_VALUE"""),44615.24855324074)</f>
        <v>44615.24855</v>
      </c>
      <c r="D9155" s="13">
        <f t="shared" si="1"/>
        <v>23</v>
      </c>
      <c r="E9155" s="13">
        <f t="shared" si="2"/>
        <v>5</v>
      </c>
    </row>
    <row r="9156">
      <c r="A9156" s="4" t="s">
        <v>9764</v>
      </c>
      <c r="B9156" s="16"/>
      <c r="C9156" s="12">
        <f>IFERROR(__xludf.DUMMYFUNCTION("""COMPUTED_VALUE"""),44615.21163194444)</f>
        <v>44615.21163</v>
      </c>
      <c r="D9156" s="13">
        <f t="shared" si="1"/>
        <v>23</v>
      </c>
      <c r="E9156" s="13">
        <f t="shared" si="2"/>
        <v>5</v>
      </c>
    </row>
    <row r="9157">
      <c r="A9157" s="4" t="s">
        <v>9765</v>
      </c>
      <c r="B9157" s="16"/>
      <c r="C9157" s="12">
        <f>IFERROR(__xludf.DUMMYFUNCTION("""COMPUTED_VALUE"""),44615.19185185185)</f>
        <v>44615.19185</v>
      </c>
      <c r="D9157" s="13">
        <f t="shared" si="1"/>
        <v>23</v>
      </c>
      <c r="E9157" s="13">
        <f t="shared" si="2"/>
        <v>4</v>
      </c>
    </row>
    <row r="9158">
      <c r="A9158" s="4" t="s">
        <v>9766</v>
      </c>
      <c r="B9158" s="16"/>
      <c r="C9158" s="12">
        <f>IFERROR(__xludf.DUMMYFUNCTION("""COMPUTED_VALUE"""),44614.92726851851)</f>
        <v>44614.92727</v>
      </c>
      <c r="D9158" s="13">
        <f t="shared" si="1"/>
        <v>22</v>
      </c>
      <c r="E9158" s="13">
        <f t="shared" si="2"/>
        <v>22</v>
      </c>
    </row>
    <row r="9159">
      <c r="A9159" s="4" t="s">
        <v>9767</v>
      </c>
      <c r="B9159" s="16"/>
      <c r="C9159" s="12">
        <f>IFERROR(__xludf.DUMMYFUNCTION("""COMPUTED_VALUE"""),44614.91637731481)</f>
        <v>44614.91638</v>
      </c>
      <c r="D9159" s="13">
        <f t="shared" si="1"/>
        <v>22</v>
      </c>
      <c r="E9159" s="13">
        <f t="shared" si="2"/>
        <v>21</v>
      </c>
    </row>
    <row r="9160">
      <c r="A9160" s="4" t="s">
        <v>9768</v>
      </c>
      <c r="B9160" s="16"/>
      <c r="C9160" s="12">
        <f>IFERROR(__xludf.DUMMYFUNCTION("""COMPUTED_VALUE"""),44614.87688657407)</f>
        <v>44614.87689</v>
      </c>
      <c r="D9160" s="13">
        <f t="shared" si="1"/>
        <v>22</v>
      </c>
      <c r="E9160" s="13">
        <f t="shared" si="2"/>
        <v>21</v>
      </c>
    </row>
    <row r="9161">
      <c r="A9161" s="4" t="s">
        <v>9769</v>
      </c>
      <c r="B9161" s="16"/>
      <c r="C9161" s="12">
        <f>IFERROR(__xludf.DUMMYFUNCTION("""COMPUTED_VALUE"""),44614.869791666664)</f>
        <v>44614.86979</v>
      </c>
      <c r="D9161" s="13">
        <f t="shared" si="1"/>
        <v>22</v>
      </c>
      <c r="E9161" s="13">
        <f t="shared" si="2"/>
        <v>20</v>
      </c>
    </row>
    <row r="9162">
      <c r="A9162" s="4" t="s">
        <v>9770</v>
      </c>
      <c r="B9162" s="16"/>
      <c r="C9162" s="12">
        <f>IFERROR(__xludf.DUMMYFUNCTION("""COMPUTED_VALUE"""),44614.84559027778)</f>
        <v>44614.84559</v>
      </c>
      <c r="D9162" s="13">
        <f t="shared" si="1"/>
        <v>22</v>
      </c>
      <c r="E9162" s="13">
        <f t="shared" si="2"/>
        <v>20</v>
      </c>
    </row>
    <row r="9163">
      <c r="A9163" s="4" t="s">
        <v>9771</v>
      </c>
      <c r="B9163" s="16"/>
      <c r="C9163" s="12">
        <f>IFERROR(__xludf.DUMMYFUNCTION("""COMPUTED_VALUE"""),44614.79489583333)</f>
        <v>44614.7949</v>
      </c>
      <c r="D9163" s="13">
        <f t="shared" si="1"/>
        <v>22</v>
      </c>
      <c r="E9163" s="13">
        <f t="shared" si="2"/>
        <v>19</v>
      </c>
    </row>
    <row r="9164">
      <c r="A9164" s="4" t="s">
        <v>9772</v>
      </c>
      <c r="B9164" s="16"/>
      <c r="C9164" s="12">
        <f>IFERROR(__xludf.DUMMYFUNCTION("""COMPUTED_VALUE"""),44614.75711805555)</f>
        <v>44614.75712</v>
      </c>
      <c r="D9164" s="13">
        <f t="shared" si="1"/>
        <v>22</v>
      </c>
      <c r="E9164" s="13">
        <f t="shared" si="2"/>
        <v>18</v>
      </c>
    </row>
    <row r="9165">
      <c r="A9165" s="4" t="s">
        <v>9773</v>
      </c>
      <c r="B9165" s="16"/>
      <c r="C9165" s="12">
        <f>IFERROR(__xludf.DUMMYFUNCTION("""COMPUTED_VALUE"""),44614.6528587963)</f>
        <v>44614.65286</v>
      </c>
      <c r="D9165" s="13">
        <f t="shared" si="1"/>
        <v>22</v>
      </c>
      <c r="E9165" s="13">
        <f t="shared" si="2"/>
        <v>15</v>
      </c>
    </row>
    <row r="9166">
      <c r="A9166" s="4" t="s">
        <v>9774</v>
      </c>
      <c r="B9166" s="16"/>
      <c r="C9166" s="12">
        <f>IFERROR(__xludf.DUMMYFUNCTION("""COMPUTED_VALUE"""),44614.65002314815)</f>
        <v>44614.65002</v>
      </c>
      <c r="D9166" s="13">
        <f t="shared" si="1"/>
        <v>22</v>
      </c>
      <c r="E9166" s="13">
        <f t="shared" si="2"/>
        <v>15</v>
      </c>
    </row>
    <row r="9167">
      <c r="A9167" s="4" t="s">
        <v>9775</v>
      </c>
      <c r="B9167" s="16"/>
      <c r="C9167" s="12">
        <f>IFERROR(__xludf.DUMMYFUNCTION("""COMPUTED_VALUE"""),44614.64637731481)</f>
        <v>44614.64638</v>
      </c>
      <c r="D9167" s="13">
        <f t="shared" si="1"/>
        <v>22</v>
      </c>
      <c r="E9167" s="13">
        <f t="shared" si="2"/>
        <v>15</v>
      </c>
    </row>
    <row r="9168">
      <c r="A9168" s="4" t="s">
        <v>9776</v>
      </c>
      <c r="B9168" s="16"/>
      <c r="C9168" s="12">
        <f>IFERROR(__xludf.DUMMYFUNCTION("""COMPUTED_VALUE"""),44614.58347222222)</f>
        <v>44614.58347</v>
      </c>
      <c r="D9168" s="13">
        <f t="shared" si="1"/>
        <v>22</v>
      </c>
      <c r="E9168" s="13">
        <f t="shared" si="2"/>
        <v>14</v>
      </c>
    </row>
    <row r="9169">
      <c r="A9169" s="4" t="s">
        <v>9777</v>
      </c>
      <c r="B9169" s="16"/>
      <c r="C9169" s="12">
        <f>IFERROR(__xludf.DUMMYFUNCTION("""COMPUTED_VALUE"""),44614.53282407407)</f>
        <v>44614.53282</v>
      </c>
      <c r="D9169" s="13">
        <f t="shared" si="1"/>
        <v>22</v>
      </c>
      <c r="E9169" s="13">
        <f t="shared" si="2"/>
        <v>12</v>
      </c>
    </row>
    <row r="9170">
      <c r="A9170" s="4" t="s">
        <v>9778</v>
      </c>
      <c r="B9170" s="16"/>
      <c r="C9170" s="12">
        <f>IFERROR(__xludf.DUMMYFUNCTION("""COMPUTED_VALUE"""),44614.52188657407)</f>
        <v>44614.52189</v>
      </c>
      <c r="D9170" s="13">
        <f t="shared" si="1"/>
        <v>22</v>
      </c>
      <c r="E9170" s="13">
        <f t="shared" si="2"/>
        <v>12</v>
      </c>
    </row>
    <row r="9171">
      <c r="A9171" s="4" t="s">
        <v>9779</v>
      </c>
      <c r="B9171" s="16"/>
      <c r="C9171" s="12">
        <f>IFERROR(__xludf.DUMMYFUNCTION("""COMPUTED_VALUE"""),44614.520324074074)</f>
        <v>44614.52032</v>
      </c>
      <c r="D9171" s="13">
        <f t="shared" si="1"/>
        <v>22</v>
      </c>
      <c r="E9171" s="13">
        <f t="shared" si="2"/>
        <v>12</v>
      </c>
    </row>
    <row r="9172">
      <c r="A9172" s="4" t="s">
        <v>9780</v>
      </c>
      <c r="B9172" s="16"/>
      <c r="C9172" s="12">
        <f>IFERROR(__xludf.DUMMYFUNCTION("""COMPUTED_VALUE"""),44614.45601851852)</f>
        <v>44614.45602</v>
      </c>
      <c r="D9172" s="13">
        <f t="shared" si="1"/>
        <v>22</v>
      </c>
      <c r="E9172" s="13">
        <f t="shared" si="2"/>
        <v>10</v>
      </c>
    </row>
    <row r="9173">
      <c r="A9173" s="4" t="s">
        <v>9781</v>
      </c>
      <c r="B9173" s="16"/>
      <c r="C9173" s="12">
        <f>IFERROR(__xludf.DUMMYFUNCTION("""COMPUTED_VALUE"""),44614.442673611105)</f>
        <v>44614.44267</v>
      </c>
      <c r="D9173" s="13">
        <f t="shared" si="1"/>
        <v>22</v>
      </c>
      <c r="E9173" s="13">
        <f t="shared" si="2"/>
        <v>10</v>
      </c>
    </row>
    <row r="9174">
      <c r="A9174" s="4" t="s">
        <v>9782</v>
      </c>
      <c r="B9174" s="16"/>
      <c r="C9174" s="12">
        <f>IFERROR(__xludf.DUMMYFUNCTION("""COMPUTED_VALUE"""),44614.3855324074)</f>
        <v>44614.38553</v>
      </c>
      <c r="D9174" s="13">
        <f t="shared" si="1"/>
        <v>22</v>
      </c>
      <c r="E9174" s="13">
        <f t="shared" si="2"/>
        <v>9</v>
      </c>
    </row>
    <row r="9175">
      <c r="A9175" s="4" t="s">
        <v>9783</v>
      </c>
      <c r="B9175" s="16"/>
      <c r="C9175" s="12">
        <f>IFERROR(__xludf.DUMMYFUNCTION("""COMPUTED_VALUE"""),44613.81381944444)</f>
        <v>44613.81382</v>
      </c>
      <c r="D9175" s="13">
        <f t="shared" si="1"/>
        <v>21</v>
      </c>
      <c r="E9175" s="13">
        <f t="shared" si="2"/>
        <v>19</v>
      </c>
    </row>
    <row r="9176">
      <c r="A9176" s="4" t="s">
        <v>9784</v>
      </c>
      <c r="B9176" s="16"/>
      <c r="C9176" s="12">
        <f>IFERROR(__xludf.DUMMYFUNCTION("""COMPUTED_VALUE"""),44613.77068287037)</f>
        <v>44613.77068</v>
      </c>
      <c r="D9176" s="13">
        <f t="shared" si="1"/>
        <v>21</v>
      </c>
      <c r="E9176" s="13">
        <f t="shared" si="2"/>
        <v>18</v>
      </c>
    </row>
    <row r="9177">
      <c r="A9177" s="4" t="s">
        <v>9785</v>
      </c>
      <c r="B9177" s="16"/>
      <c r="C9177" s="12">
        <f>IFERROR(__xludf.DUMMYFUNCTION("""COMPUTED_VALUE"""),44613.597916666666)</f>
        <v>44613.59792</v>
      </c>
      <c r="D9177" s="13">
        <f t="shared" si="1"/>
        <v>21</v>
      </c>
      <c r="E9177" s="13">
        <f t="shared" si="2"/>
        <v>14</v>
      </c>
    </row>
    <row r="9178">
      <c r="A9178" s="4" t="s">
        <v>9786</v>
      </c>
      <c r="B9178" s="16"/>
      <c r="C9178" s="12">
        <f>IFERROR(__xludf.DUMMYFUNCTION("""COMPUTED_VALUE"""),44613.498206018514)</f>
        <v>44613.49821</v>
      </c>
      <c r="D9178" s="13">
        <f t="shared" si="1"/>
        <v>21</v>
      </c>
      <c r="E9178" s="13">
        <f t="shared" si="2"/>
        <v>11</v>
      </c>
    </row>
    <row r="9179">
      <c r="A9179" s="4" t="s">
        <v>9787</v>
      </c>
      <c r="B9179" s="16"/>
      <c r="C9179" s="12">
        <f>IFERROR(__xludf.DUMMYFUNCTION("""COMPUTED_VALUE"""),44613.40473379629)</f>
        <v>44613.40473</v>
      </c>
      <c r="D9179" s="13">
        <f t="shared" si="1"/>
        <v>21</v>
      </c>
      <c r="E9179" s="13">
        <f t="shared" si="2"/>
        <v>9</v>
      </c>
    </row>
    <row r="9180">
      <c r="A9180" s="4" t="s">
        <v>9788</v>
      </c>
      <c r="B9180" s="16"/>
      <c r="C9180" s="12">
        <f>IFERROR(__xludf.DUMMYFUNCTION("""COMPUTED_VALUE"""),44613.404398148145)</f>
        <v>44613.4044</v>
      </c>
      <c r="D9180" s="13">
        <f t="shared" si="1"/>
        <v>21</v>
      </c>
      <c r="E9180" s="13">
        <f t="shared" si="2"/>
        <v>9</v>
      </c>
    </row>
    <row r="9181">
      <c r="A9181" s="4" t="s">
        <v>9789</v>
      </c>
      <c r="B9181" s="16"/>
      <c r="C9181" s="12">
        <f>IFERROR(__xludf.DUMMYFUNCTION("""COMPUTED_VALUE"""),44613.383425925924)</f>
        <v>44613.38343</v>
      </c>
      <c r="D9181" s="13">
        <f t="shared" si="1"/>
        <v>21</v>
      </c>
      <c r="E9181" s="13">
        <f t="shared" si="2"/>
        <v>9</v>
      </c>
    </row>
    <row r="9182">
      <c r="A9182" s="4" t="s">
        <v>9790</v>
      </c>
      <c r="B9182" s="16"/>
      <c r="C9182" s="12">
        <f>IFERROR(__xludf.DUMMYFUNCTION("""COMPUTED_VALUE"""),44613.34408564815)</f>
        <v>44613.34409</v>
      </c>
      <c r="D9182" s="13">
        <f t="shared" si="1"/>
        <v>21</v>
      </c>
      <c r="E9182" s="13">
        <f t="shared" si="2"/>
        <v>8</v>
      </c>
    </row>
    <row r="9183">
      <c r="A9183" s="4" t="s">
        <v>9791</v>
      </c>
      <c r="B9183" s="16"/>
      <c r="C9183" s="12">
        <f>IFERROR(__xludf.DUMMYFUNCTION("""COMPUTED_VALUE"""),44612.990960648145)</f>
        <v>44612.99096</v>
      </c>
      <c r="D9183" s="13">
        <f t="shared" si="1"/>
        <v>20</v>
      </c>
      <c r="E9183" s="13">
        <f t="shared" si="2"/>
        <v>23</v>
      </c>
    </row>
    <row r="9184">
      <c r="A9184" s="4" t="s">
        <v>9792</v>
      </c>
      <c r="B9184" s="16"/>
      <c r="C9184" s="12">
        <f>IFERROR(__xludf.DUMMYFUNCTION("""COMPUTED_VALUE"""),44612.957303240735)</f>
        <v>44612.9573</v>
      </c>
      <c r="D9184" s="13">
        <f t="shared" si="1"/>
        <v>20</v>
      </c>
      <c r="E9184" s="13">
        <f t="shared" si="2"/>
        <v>22</v>
      </c>
    </row>
    <row r="9185">
      <c r="A9185" s="4" t="s">
        <v>9793</v>
      </c>
      <c r="B9185" s="16"/>
      <c r="C9185" s="12">
        <f>IFERROR(__xludf.DUMMYFUNCTION("""COMPUTED_VALUE"""),44612.91506944444)</f>
        <v>44612.91507</v>
      </c>
      <c r="D9185" s="13">
        <f t="shared" si="1"/>
        <v>20</v>
      </c>
      <c r="E9185" s="13">
        <f t="shared" si="2"/>
        <v>21</v>
      </c>
    </row>
    <row r="9186">
      <c r="A9186" s="4" t="s">
        <v>9794</v>
      </c>
      <c r="B9186" s="16"/>
      <c r="C9186" s="12">
        <f>IFERROR(__xludf.DUMMYFUNCTION("""COMPUTED_VALUE"""),44612.91444444444)</f>
        <v>44612.91444</v>
      </c>
      <c r="D9186" s="13">
        <f t="shared" si="1"/>
        <v>20</v>
      </c>
      <c r="E9186" s="13">
        <f t="shared" si="2"/>
        <v>21</v>
      </c>
    </row>
    <row r="9187">
      <c r="A9187" s="4" t="s">
        <v>9795</v>
      </c>
      <c r="B9187" s="16"/>
      <c r="C9187" s="12">
        <f>IFERROR(__xludf.DUMMYFUNCTION("""COMPUTED_VALUE"""),44612.86802083333)</f>
        <v>44612.86802</v>
      </c>
      <c r="D9187" s="13">
        <f t="shared" si="1"/>
        <v>20</v>
      </c>
      <c r="E9187" s="13">
        <f t="shared" si="2"/>
        <v>20</v>
      </c>
    </row>
    <row r="9188">
      <c r="A9188" s="4" t="s">
        <v>9796</v>
      </c>
      <c r="B9188" s="16"/>
      <c r="C9188" s="12">
        <f>IFERROR(__xludf.DUMMYFUNCTION("""COMPUTED_VALUE"""),44612.80337962963)</f>
        <v>44612.80338</v>
      </c>
      <c r="D9188" s="13">
        <f t="shared" si="1"/>
        <v>20</v>
      </c>
      <c r="E9188" s="13">
        <f t="shared" si="2"/>
        <v>19</v>
      </c>
    </row>
    <row r="9189">
      <c r="A9189" s="4" t="s">
        <v>9797</v>
      </c>
      <c r="B9189" s="16"/>
      <c r="C9189" s="12">
        <f>IFERROR(__xludf.DUMMYFUNCTION("""COMPUTED_VALUE"""),44612.80297453704)</f>
        <v>44612.80297</v>
      </c>
      <c r="D9189" s="13">
        <f t="shared" si="1"/>
        <v>20</v>
      </c>
      <c r="E9189" s="13">
        <f t="shared" si="2"/>
        <v>19</v>
      </c>
    </row>
    <row r="9190">
      <c r="A9190" s="4" t="s">
        <v>9798</v>
      </c>
      <c r="B9190" s="16"/>
      <c r="C9190" s="12">
        <f>IFERROR(__xludf.DUMMYFUNCTION("""COMPUTED_VALUE"""),44612.69696759259)</f>
        <v>44612.69697</v>
      </c>
      <c r="D9190" s="13">
        <f t="shared" si="1"/>
        <v>20</v>
      </c>
      <c r="E9190" s="13">
        <f t="shared" si="2"/>
        <v>16</v>
      </c>
    </row>
    <row r="9191">
      <c r="A9191" s="4" t="s">
        <v>9799</v>
      </c>
      <c r="B9191" s="16"/>
      <c r="C9191" s="12">
        <f>IFERROR(__xludf.DUMMYFUNCTION("""COMPUTED_VALUE"""),44612.69103009259)</f>
        <v>44612.69103</v>
      </c>
      <c r="D9191" s="13">
        <f t="shared" si="1"/>
        <v>20</v>
      </c>
      <c r="E9191" s="13">
        <f t="shared" si="2"/>
        <v>16</v>
      </c>
    </row>
    <row r="9192">
      <c r="A9192" s="4" t="s">
        <v>9800</v>
      </c>
      <c r="B9192" s="16"/>
      <c r="C9192" s="12">
        <f>IFERROR(__xludf.DUMMYFUNCTION("""COMPUTED_VALUE"""),44612.56984953704)</f>
        <v>44612.56985</v>
      </c>
      <c r="D9192" s="13">
        <f t="shared" si="1"/>
        <v>20</v>
      </c>
      <c r="E9192" s="13">
        <f t="shared" si="2"/>
        <v>13</v>
      </c>
    </row>
    <row r="9193">
      <c r="A9193" s="4" t="s">
        <v>9801</v>
      </c>
      <c r="B9193" s="16"/>
      <c r="C9193" s="12">
        <f>IFERROR(__xludf.DUMMYFUNCTION("""COMPUTED_VALUE"""),44612.50226851852)</f>
        <v>44612.50227</v>
      </c>
      <c r="D9193" s="13">
        <f t="shared" si="1"/>
        <v>20</v>
      </c>
      <c r="E9193" s="13">
        <f t="shared" si="2"/>
        <v>12</v>
      </c>
    </row>
    <row r="9194">
      <c r="A9194" s="4" t="s">
        <v>9802</v>
      </c>
      <c r="B9194" s="16"/>
      <c r="C9194" s="12">
        <f>IFERROR(__xludf.DUMMYFUNCTION("""COMPUTED_VALUE"""),44612.48539351852)</f>
        <v>44612.48539</v>
      </c>
      <c r="D9194" s="13">
        <f t="shared" si="1"/>
        <v>20</v>
      </c>
      <c r="E9194" s="13">
        <f t="shared" si="2"/>
        <v>11</v>
      </c>
    </row>
    <row r="9195">
      <c r="A9195" s="4" t="s">
        <v>9803</v>
      </c>
      <c r="B9195" s="16"/>
      <c r="C9195" s="12">
        <f>IFERROR(__xludf.DUMMYFUNCTION("""COMPUTED_VALUE"""),44612.41578703703)</f>
        <v>44612.41579</v>
      </c>
      <c r="D9195" s="13">
        <f t="shared" si="1"/>
        <v>20</v>
      </c>
      <c r="E9195" s="13">
        <f t="shared" si="2"/>
        <v>9</v>
      </c>
    </row>
    <row r="9196">
      <c r="A9196" s="4" t="s">
        <v>9804</v>
      </c>
      <c r="B9196" s="16"/>
      <c r="C9196" s="12">
        <f>IFERROR(__xludf.DUMMYFUNCTION("""COMPUTED_VALUE"""),44612.390879629624)</f>
        <v>44612.39088</v>
      </c>
      <c r="D9196" s="13">
        <f t="shared" si="1"/>
        <v>20</v>
      </c>
      <c r="E9196" s="13">
        <f t="shared" si="2"/>
        <v>9</v>
      </c>
    </row>
    <row r="9197">
      <c r="A9197" s="4" t="s">
        <v>9805</v>
      </c>
      <c r="B9197" s="16"/>
      <c r="C9197" s="12">
        <f>IFERROR(__xludf.DUMMYFUNCTION("""COMPUTED_VALUE"""),44611.89407407407)</f>
        <v>44611.89407</v>
      </c>
      <c r="D9197" s="13">
        <f t="shared" si="1"/>
        <v>19</v>
      </c>
      <c r="E9197" s="13">
        <f t="shared" si="2"/>
        <v>21</v>
      </c>
    </row>
    <row r="9198">
      <c r="A9198" s="4" t="s">
        <v>9806</v>
      </c>
      <c r="B9198" s="16"/>
      <c r="C9198" s="12">
        <f>IFERROR(__xludf.DUMMYFUNCTION("""COMPUTED_VALUE"""),44611.848553240736)</f>
        <v>44611.84855</v>
      </c>
      <c r="D9198" s="13">
        <f t="shared" si="1"/>
        <v>19</v>
      </c>
      <c r="E9198" s="13">
        <f t="shared" si="2"/>
        <v>20</v>
      </c>
    </row>
    <row r="9199">
      <c r="A9199" s="4" t="s">
        <v>9807</v>
      </c>
      <c r="B9199" s="16"/>
      <c r="C9199" s="12">
        <f>IFERROR(__xludf.DUMMYFUNCTION("""COMPUTED_VALUE"""),44611.84851851851)</f>
        <v>44611.84852</v>
      </c>
      <c r="D9199" s="13">
        <f t="shared" si="1"/>
        <v>19</v>
      </c>
      <c r="E9199" s="13">
        <f t="shared" si="2"/>
        <v>20</v>
      </c>
    </row>
    <row r="9200">
      <c r="A9200" s="4" t="s">
        <v>9808</v>
      </c>
      <c r="B9200" s="16"/>
      <c r="C9200" s="12">
        <f>IFERROR(__xludf.DUMMYFUNCTION("""COMPUTED_VALUE"""),44611.84711805555)</f>
        <v>44611.84712</v>
      </c>
      <c r="D9200" s="13">
        <f t="shared" si="1"/>
        <v>19</v>
      </c>
      <c r="E9200" s="13">
        <f t="shared" si="2"/>
        <v>20</v>
      </c>
    </row>
    <row r="9201">
      <c r="A9201" s="4" t="s">
        <v>9809</v>
      </c>
      <c r="B9201" s="16"/>
      <c r="C9201" s="12">
        <f>IFERROR(__xludf.DUMMYFUNCTION("""COMPUTED_VALUE"""),44611.84578703703)</f>
        <v>44611.84579</v>
      </c>
      <c r="D9201" s="13">
        <f t="shared" si="1"/>
        <v>19</v>
      </c>
      <c r="E9201" s="13">
        <f t="shared" si="2"/>
        <v>20</v>
      </c>
    </row>
    <row r="9202">
      <c r="A9202" s="4" t="s">
        <v>9810</v>
      </c>
      <c r="B9202" s="16"/>
      <c r="C9202" s="12">
        <f>IFERROR(__xludf.DUMMYFUNCTION("""COMPUTED_VALUE"""),44611.83991898148)</f>
        <v>44611.83992</v>
      </c>
      <c r="D9202" s="13">
        <f t="shared" si="1"/>
        <v>19</v>
      </c>
      <c r="E9202" s="13">
        <f t="shared" si="2"/>
        <v>20</v>
      </c>
    </row>
    <row r="9203">
      <c r="A9203" s="4" t="s">
        <v>9811</v>
      </c>
      <c r="B9203" s="16"/>
      <c r="C9203" s="12">
        <f>IFERROR(__xludf.DUMMYFUNCTION("""COMPUTED_VALUE"""),44611.62403935185)</f>
        <v>44611.62404</v>
      </c>
      <c r="D9203" s="13">
        <f t="shared" si="1"/>
        <v>19</v>
      </c>
      <c r="E9203" s="13">
        <f t="shared" si="2"/>
        <v>14</v>
      </c>
    </row>
    <row r="9204">
      <c r="A9204" s="4" t="s">
        <v>9812</v>
      </c>
      <c r="B9204" s="16"/>
      <c r="C9204" s="12">
        <f>IFERROR(__xludf.DUMMYFUNCTION("""COMPUTED_VALUE"""),44611.48685185185)</f>
        <v>44611.48685</v>
      </c>
      <c r="D9204" s="13">
        <f t="shared" si="1"/>
        <v>19</v>
      </c>
      <c r="E9204" s="13">
        <f t="shared" si="2"/>
        <v>11</v>
      </c>
    </row>
    <row r="9205">
      <c r="A9205" s="4" t="s">
        <v>9813</v>
      </c>
      <c r="B9205" s="16"/>
      <c r="C9205" s="12">
        <f>IFERROR(__xludf.DUMMYFUNCTION("""COMPUTED_VALUE"""),44611.45954861111)</f>
        <v>44611.45955</v>
      </c>
      <c r="D9205" s="13">
        <f t="shared" si="1"/>
        <v>19</v>
      </c>
      <c r="E9205" s="13">
        <f t="shared" si="2"/>
        <v>11</v>
      </c>
    </row>
    <row r="9206">
      <c r="A9206" s="4" t="s">
        <v>9814</v>
      </c>
      <c r="B9206" s="16"/>
      <c r="C9206" s="12">
        <f>IFERROR(__xludf.DUMMYFUNCTION("""COMPUTED_VALUE"""),44611.433333333334)</f>
        <v>44611.43333</v>
      </c>
      <c r="D9206" s="13">
        <f t="shared" si="1"/>
        <v>19</v>
      </c>
      <c r="E9206" s="13">
        <f t="shared" si="2"/>
        <v>10</v>
      </c>
    </row>
    <row r="9207">
      <c r="A9207" s="4" t="s">
        <v>9815</v>
      </c>
      <c r="B9207" s="16"/>
      <c r="C9207" s="12">
        <f>IFERROR(__xludf.DUMMYFUNCTION("""COMPUTED_VALUE"""),44611.4062037037)</f>
        <v>44611.4062</v>
      </c>
      <c r="D9207" s="13">
        <f t="shared" si="1"/>
        <v>19</v>
      </c>
      <c r="E9207" s="13">
        <f t="shared" si="2"/>
        <v>9</v>
      </c>
    </row>
    <row r="9208">
      <c r="A9208" s="4" t="s">
        <v>9816</v>
      </c>
      <c r="B9208" s="16"/>
      <c r="C9208" s="12">
        <f>IFERROR(__xludf.DUMMYFUNCTION("""COMPUTED_VALUE"""),44611.40138888889)</f>
        <v>44611.40139</v>
      </c>
      <c r="D9208" s="13">
        <f t="shared" si="1"/>
        <v>19</v>
      </c>
      <c r="E9208" s="13">
        <f t="shared" si="2"/>
        <v>9</v>
      </c>
    </row>
    <row r="9209">
      <c r="A9209" s="4" t="s">
        <v>9817</v>
      </c>
      <c r="B9209" s="16"/>
      <c r="C9209" s="12">
        <f>IFERROR(__xludf.DUMMYFUNCTION("""COMPUTED_VALUE"""),44610.93846064815)</f>
        <v>44610.93846</v>
      </c>
      <c r="D9209" s="13">
        <f t="shared" si="1"/>
        <v>18</v>
      </c>
      <c r="E9209" s="13">
        <f t="shared" si="2"/>
        <v>22</v>
      </c>
    </row>
    <row r="9210">
      <c r="A9210" s="4" t="s">
        <v>9818</v>
      </c>
      <c r="B9210" s="16"/>
      <c r="C9210" s="12">
        <f>IFERROR(__xludf.DUMMYFUNCTION("""COMPUTED_VALUE"""),44610.927361111106)</f>
        <v>44610.92736</v>
      </c>
      <c r="D9210" s="13">
        <f t="shared" si="1"/>
        <v>18</v>
      </c>
      <c r="E9210" s="13">
        <f t="shared" si="2"/>
        <v>22</v>
      </c>
    </row>
    <row r="9211">
      <c r="A9211" s="4" t="s">
        <v>9819</v>
      </c>
      <c r="B9211" s="16"/>
      <c r="C9211" s="12">
        <f>IFERROR(__xludf.DUMMYFUNCTION("""COMPUTED_VALUE"""),44610.90159722222)</f>
        <v>44610.9016</v>
      </c>
      <c r="D9211" s="13">
        <f t="shared" si="1"/>
        <v>18</v>
      </c>
      <c r="E9211" s="13">
        <f t="shared" si="2"/>
        <v>21</v>
      </c>
    </row>
    <row r="9212">
      <c r="A9212" s="4" t="s">
        <v>9820</v>
      </c>
      <c r="B9212" s="16"/>
      <c r="C9212" s="12">
        <f>IFERROR(__xludf.DUMMYFUNCTION("""COMPUTED_VALUE"""),44610.87560185185)</f>
        <v>44610.8756</v>
      </c>
      <c r="D9212" s="13">
        <f t="shared" si="1"/>
        <v>18</v>
      </c>
      <c r="E9212" s="13">
        <f t="shared" si="2"/>
        <v>21</v>
      </c>
    </row>
    <row r="9213">
      <c r="A9213" s="4" t="s">
        <v>9821</v>
      </c>
      <c r="B9213" s="16"/>
      <c r="C9213" s="12">
        <f>IFERROR(__xludf.DUMMYFUNCTION("""COMPUTED_VALUE"""),44610.82666666667)</f>
        <v>44610.82667</v>
      </c>
      <c r="D9213" s="13">
        <f t="shared" si="1"/>
        <v>18</v>
      </c>
      <c r="E9213" s="13">
        <f t="shared" si="2"/>
        <v>19</v>
      </c>
    </row>
    <row r="9214">
      <c r="A9214" s="4" t="s">
        <v>9822</v>
      </c>
      <c r="B9214" s="16"/>
      <c r="C9214" s="12">
        <f>IFERROR(__xludf.DUMMYFUNCTION("""COMPUTED_VALUE"""),44610.77549768518)</f>
        <v>44610.7755</v>
      </c>
      <c r="D9214" s="13">
        <f t="shared" si="1"/>
        <v>18</v>
      </c>
      <c r="E9214" s="13">
        <f t="shared" si="2"/>
        <v>18</v>
      </c>
    </row>
    <row r="9215">
      <c r="A9215" s="4" t="s">
        <v>9823</v>
      </c>
      <c r="B9215" s="16"/>
      <c r="C9215" s="12">
        <f>IFERROR(__xludf.DUMMYFUNCTION("""COMPUTED_VALUE"""),44610.72761574074)</f>
        <v>44610.72762</v>
      </c>
      <c r="D9215" s="13">
        <f t="shared" si="1"/>
        <v>18</v>
      </c>
      <c r="E9215" s="13">
        <f t="shared" si="2"/>
        <v>17</v>
      </c>
    </row>
    <row r="9216">
      <c r="A9216" s="4" t="s">
        <v>9824</v>
      </c>
      <c r="B9216" s="16"/>
      <c r="C9216" s="12">
        <f>IFERROR(__xludf.DUMMYFUNCTION("""COMPUTED_VALUE"""),44610.70938657407)</f>
        <v>44610.70939</v>
      </c>
      <c r="D9216" s="13">
        <f t="shared" si="1"/>
        <v>18</v>
      </c>
      <c r="E9216" s="13">
        <f t="shared" si="2"/>
        <v>17</v>
      </c>
    </row>
    <row r="9217">
      <c r="A9217" s="4" t="s">
        <v>9825</v>
      </c>
      <c r="B9217" s="16"/>
      <c r="C9217" s="12">
        <f>IFERROR(__xludf.DUMMYFUNCTION("""COMPUTED_VALUE"""),44610.68773148148)</f>
        <v>44610.68773</v>
      </c>
      <c r="D9217" s="13">
        <f t="shared" si="1"/>
        <v>18</v>
      </c>
      <c r="E9217" s="13">
        <f t="shared" si="2"/>
        <v>16</v>
      </c>
    </row>
    <row r="9218">
      <c r="A9218" s="4" t="s">
        <v>9826</v>
      </c>
      <c r="B9218" s="16"/>
      <c r="C9218" s="12">
        <f>IFERROR(__xludf.DUMMYFUNCTION("""COMPUTED_VALUE"""),44610.66951388889)</f>
        <v>44610.66951</v>
      </c>
      <c r="D9218" s="13">
        <f t="shared" si="1"/>
        <v>18</v>
      </c>
      <c r="E9218" s="13">
        <f t="shared" si="2"/>
        <v>16</v>
      </c>
    </row>
    <row r="9219">
      <c r="A9219" s="4" t="s">
        <v>9827</v>
      </c>
      <c r="B9219" s="16"/>
      <c r="C9219" s="12">
        <f>IFERROR(__xludf.DUMMYFUNCTION("""COMPUTED_VALUE"""),44610.66284722222)</f>
        <v>44610.66285</v>
      </c>
      <c r="D9219" s="13">
        <f t="shared" si="1"/>
        <v>18</v>
      </c>
      <c r="E9219" s="13">
        <f t="shared" si="2"/>
        <v>15</v>
      </c>
    </row>
    <row r="9220">
      <c r="A9220" s="4" t="s">
        <v>9828</v>
      </c>
      <c r="B9220" s="16"/>
      <c r="C9220" s="12">
        <f>IFERROR(__xludf.DUMMYFUNCTION("""COMPUTED_VALUE"""),44610.65153935185)</f>
        <v>44610.65154</v>
      </c>
      <c r="D9220" s="13">
        <f t="shared" si="1"/>
        <v>18</v>
      </c>
      <c r="E9220" s="13">
        <f t="shared" si="2"/>
        <v>15</v>
      </c>
    </row>
    <row r="9221">
      <c r="A9221" s="4" t="s">
        <v>9829</v>
      </c>
      <c r="B9221" s="16"/>
      <c r="C9221" s="12">
        <f>IFERROR(__xludf.DUMMYFUNCTION("""COMPUTED_VALUE"""),44610.639826388884)</f>
        <v>44610.63983</v>
      </c>
      <c r="D9221" s="13">
        <f t="shared" si="1"/>
        <v>18</v>
      </c>
      <c r="E9221" s="13">
        <f t="shared" si="2"/>
        <v>15</v>
      </c>
    </row>
    <row r="9222">
      <c r="A9222" s="4" t="s">
        <v>9830</v>
      </c>
      <c r="B9222" s="16"/>
      <c r="C9222" s="12">
        <f>IFERROR(__xludf.DUMMYFUNCTION("""COMPUTED_VALUE"""),44610.62472222222)</f>
        <v>44610.62472</v>
      </c>
      <c r="D9222" s="13">
        <f t="shared" si="1"/>
        <v>18</v>
      </c>
      <c r="E9222" s="13">
        <f t="shared" si="2"/>
        <v>14</v>
      </c>
    </row>
    <row r="9223">
      <c r="A9223" s="4" t="s">
        <v>9831</v>
      </c>
      <c r="B9223" s="16"/>
      <c r="C9223" s="12">
        <f>IFERROR(__xludf.DUMMYFUNCTION("""COMPUTED_VALUE"""),44610.618935185186)</f>
        <v>44610.61894</v>
      </c>
      <c r="D9223" s="13">
        <f t="shared" si="1"/>
        <v>18</v>
      </c>
      <c r="E9223" s="13">
        <f t="shared" si="2"/>
        <v>14</v>
      </c>
    </row>
    <row r="9224">
      <c r="A9224" s="4" t="s">
        <v>9832</v>
      </c>
      <c r="B9224" s="16"/>
      <c r="C9224" s="12">
        <f>IFERROR(__xludf.DUMMYFUNCTION("""COMPUTED_VALUE"""),44610.61443287037)</f>
        <v>44610.61443</v>
      </c>
      <c r="D9224" s="13">
        <f t="shared" si="1"/>
        <v>18</v>
      </c>
      <c r="E9224" s="13">
        <f t="shared" si="2"/>
        <v>14</v>
      </c>
    </row>
    <row r="9225">
      <c r="A9225" s="4" t="s">
        <v>9833</v>
      </c>
      <c r="B9225" s="16"/>
      <c r="C9225" s="12">
        <f>IFERROR(__xludf.DUMMYFUNCTION("""COMPUTED_VALUE"""),44610.61421296296)</f>
        <v>44610.61421</v>
      </c>
      <c r="D9225" s="13">
        <f t="shared" si="1"/>
        <v>18</v>
      </c>
      <c r="E9225" s="13">
        <f t="shared" si="2"/>
        <v>14</v>
      </c>
    </row>
    <row r="9226">
      <c r="A9226" s="4" t="s">
        <v>9834</v>
      </c>
      <c r="B9226" s="16"/>
      <c r="C9226" s="12">
        <f>IFERROR(__xludf.DUMMYFUNCTION("""COMPUTED_VALUE"""),44610.61221064815)</f>
        <v>44610.61221</v>
      </c>
      <c r="D9226" s="13">
        <f t="shared" si="1"/>
        <v>18</v>
      </c>
      <c r="E9226" s="13">
        <f t="shared" si="2"/>
        <v>14</v>
      </c>
    </row>
    <row r="9227">
      <c r="A9227" s="4" t="s">
        <v>9835</v>
      </c>
      <c r="B9227" s="16"/>
      <c r="C9227" s="12">
        <f>IFERROR(__xludf.DUMMYFUNCTION("""COMPUTED_VALUE"""),44610.611921296295)</f>
        <v>44610.61192</v>
      </c>
      <c r="D9227" s="13">
        <f t="shared" si="1"/>
        <v>18</v>
      </c>
      <c r="E9227" s="13">
        <f t="shared" si="2"/>
        <v>14</v>
      </c>
    </row>
    <row r="9228">
      <c r="A9228" s="4" t="s">
        <v>9836</v>
      </c>
      <c r="B9228" s="16"/>
      <c r="C9228" s="12">
        <f>IFERROR(__xludf.DUMMYFUNCTION("""COMPUTED_VALUE"""),44610.593634259254)</f>
        <v>44610.59363</v>
      </c>
      <c r="D9228" s="13">
        <f t="shared" si="1"/>
        <v>18</v>
      </c>
      <c r="E9228" s="13">
        <f t="shared" si="2"/>
        <v>14</v>
      </c>
    </row>
    <row r="9229">
      <c r="A9229" s="4" t="s">
        <v>9837</v>
      </c>
      <c r="B9229" s="16"/>
      <c r="C9229" s="12">
        <f>IFERROR(__xludf.DUMMYFUNCTION("""COMPUTED_VALUE"""),44610.59145833333)</f>
        <v>44610.59146</v>
      </c>
      <c r="D9229" s="13">
        <f t="shared" si="1"/>
        <v>18</v>
      </c>
      <c r="E9229" s="13">
        <f t="shared" si="2"/>
        <v>14</v>
      </c>
    </row>
    <row r="9230">
      <c r="A9230" s="4" t="s">
        <v>9838</v>
      </c>
      <c r="B9230" s="16"/>
      <c r="C9230" s="12">
        <f>IFERROR(__xludf.DUMMYFUNCTION("""COMPUTED_VALUE"""),44610.47685185185)</f>
        <v>44610.47685</v>
      </c>
      <c r="D9230" s="13">
        <f t="shared" si="1"/>
        <v>18</v>
      </c>
      <c r="E9230" s="13">
        <f t="shared" si="2"/>
        <v>11</v>
      </c>
    </row>
    <row r="9231">
      <c r="A9231" s="4" t="s">
        <v>9839</v>
      </c>
      <c r="B9231" s="16"/>
      <c r="C9231" s="12">
        <f>IFERROR(__xludf.DUMMYFUNCTION("""COMPUTED_VALUE"""),44610.476585648146)</f>
        <v>44610.47659</v>
      </c>
      <c r="D9231" s="13">
        <f t="shared" si="1"/>
        <v>18</v>
      </c>
      <c r="E9231" s="13">
        <f t="shared" si="2"/>
        <v>11</v>
      </c>
    </row>
    <row r="9232">
      <c r="A9232" s="4" t="s">
        <v>9840</v>
      </c>
      <c r="B9232" s="16"/>
      <c r="C9232" s="12">
        <f>IFERROR(__xludf.DUMMYFUNCTION("""COMPUTED_VALUE"""),44610.47524305555)</f>
        <v>44610.47524</v>
      </c>
      <c r="D9232" s="13">
        <f t="shared" si="1"/>
        <v>18</v>
      </c>
      <c r="E9232" s="13">
        <f t="shared" si="2"/>
        <v>11</v>
      </c>
    </row>
    <row r="9233">
      <c r="A9233" s="4" t="s">
        <v>9841</v>
      </c>
      <c r="B9233" s="16"/>
      <c r="C9233" s="12">
        <f>IFERROR(__xludf.DUMMYFUNCTION("""COMPUTED_VALUE"""),44610.29725694444)</f>
        <v>44610.29726</v>
      </c>
      <c r="D9233" s="13">
        <f t="shared" si="1"/>
        <v>18</v>
      </c>
      <c r="E9233" s="13">
        <f t="shared" si="2"/>
        <v>7</v>
      </c>
    </row>
    <row r="9234">
      <c r="A9234" s="4" t="s">
        <v>9842</v>
      </c>
      <c r="B9234" s="16"/>
      <c r="C9234" s="12">
        <f>IFERROR(__xludf.DUMMYFUNCTION("""COMPUTED_VALUE"""),44610.265196759254)</f>
        <v>44610.2652</v>
      </c>
      <c r="D9234" s="13">
        <f t="shared" si="1"/>
        <v>18</v>
      </c>
      <c r="E9234" s="13">
        <f t="shared" si="2"/>
        <v>6</v>
      </c>
    </row>
    <row r="9235">
      <c r="A9235" s="4" t="s">
        <v>9843</v>
      </c>
      <c r="B9235" s="16"/>
      <c r="C9235" s="12">
        <f>IFERROR(__xludf.DUMMYFUNCTION("""COMPUTED_VALUE"""),44610.22258101852)</f>
        <v>44610.22258</v>
      </c>
      <c r="D9235" s="13">
        <f t="shared" si="1"/>
        <v>18</v>
      </c>
      <c r="E9235" s="13">
        <f t="shared" si="2"/>
        <v>5</v>
      </c>
    </row>
    <row r="9236">
      <c r="A9236" s="4" t="s">
        <v>9844</v>
      </c>
      <c r="B9236" s="16"/>
      <c r="C9236" s="12">
        <f>IFERROR(__xludf.DUMMYFUNCTION("""COMPUTED_VALUE"""),44610.03690972222)</f>
        <v>44610.03691</v>
      </c>
      <c r="D9236" s="13">
        <f t="shared" si="1"/>
        <v>18</v>
      </c>
      <c r="E9236" s="13">
        <f t="shared" si="2"/>
        <v>0</v>
      </c>
    </row>
    <row r="9237">
      <c r="A9237" s="4" t="s">
        <v>9845</v>
      </c>
      <c r="B9237" s="16"/>
      <c r="C9237" s="12">
        <f>IFERROR(__xludf.DUMMYFUNCTION("""COMPUTED_VALUE"""),44610.02974537037)</f>
        <v>44610.02975</v>
      </c>
      <c r="D9237" s="13">
        <f t="shared" si="1"/>
        <v>18</v>
      </c>
      <c r="E9237" s="13">
        <f t="shared" si="2"/>
        <v>0</v>
      </c>
    </row>
    <row r="9238">
      <c r="A9238" s="4" t="s">
        <v>9846</v>
      </c>
      <c r="B9238" s="16"/>
      <c r="C9238" s="12">
        <f>IFERROR(__xludf.DUMMYFUNCTION("""COMPUTED_VALUE"""),44609.91133101851)</f>
        <v>44609.91133</v>
      </c>
      <c r="D9238" s="13">
        <f t="shared" si="1"/>
        <v>17</v>
      </c>
      <c r="E9238" s="13">
        <f t="shared" si="2"/>
        <v>21</v>
      </c>
    </row>
    <row r="9239">
      <c r="A9239" s="4" t="s">
        <v>9847</v>
      </c>
      <c r="B9239" s="16"/>
      <c r="C9239" s="12">
        <f>IFERROR(__xludf.DUMMYFUNCTION("""COMPUTED_VALUE"""),44609.89292824074)</f>
        <v>44609.89293</v>
      </c>
      <c r="D9239" s="13">
        <f t="shared" si="1"/>
        <v>17</v>
      </c>
      <c r="E9239" s="13">
        <f t="shared" si="2"/>
        <v>21</v>
      </c>
    </row>
    <row r="9240">
      <c r="A9240" s="4" t="s">
        <v>9848</v>
      </c>
      <c r="B9240" s="16"/>
      <c r="C9240" s="12">
        <f>IFERROR(__xludf.DUMMYFUNCTION("""COMPUTED_VALUE"""),44609.82483796296)</f>
        <v>44609.82484</v>
      </c>
      <c r="D9240" s="13">
        <f t="shared" si="1"/>
        <v>17</v>
      </c>
      <c r="E9240" s="13">
        <f t="shared" si="2"/>
        <v>19</v>
      </c>
    </row>
    <row r="9241">
      <c r="A9241" s="4" t="s">
        <v>9849</v>
      </c>
      <c r="B9241" s="16"/>
      <c r="C9241" s="12">
        <f>IFERROR(__xludf.DUMMYFUNCTION("""COMPUTED_VALUE"""),44609.79177083333)</f>
        <v>44609.79177</v>
      </c>
      <c r="D9241" s="13">
        <f t="shared" si="1"/>
        <v>17</v>
      </c>
      <c r="E9241" s="13">
        <f t="shared" si="2"/>
        <v>19</v>
      </c>
    </row>
    <row r="9242">
      <c r="A9242" s="4" t="s">
        <v>9850</v>
      </c>
      <c r="B9242" s="16"/>
      <c r="C9242" s="12">
        <f>IFERROR(__xludf.DUMMYFUNCTION("""COMPUTED_VALUE"""),44609.78569444444)</f>
        <v>44609.78569</v>
      </c>
      <c r="D9242" s="13">
        <f t="shared" si="1"/>
        <v>17</v>
      </c>
      <c r="E9242" s="13">
        <f t="shared" si="2"/>
        <v>18</v>
      </c>
    </row>
    <row r="9243">
      <c r="A9243" s="4" t="s">
        <v>9851</v>
      </c>
      <c r="B9243" s="16"/>
      <c r="C9243" s="12">
        <f>IFERROR(__xludf.DUMMYFUNCTION("""COMPUTED_VALUE"""),44609.718310185184)</f>
        <v>44609.71831</v>
      </c>
      <c r="D9243" s="13">
        <f t="shared" si="1"/>
        <v>17</v>
      </c>
      <c r="E9243" s="13">
        <f t="shared" si="2"/>
        <v>17</v>
      </c>
    </row>
    <row r="9244">
      <c r="A9244" s="4" t="s">
        <v>9852</v>
      </c>
      <c r="B9244" s="16"/>
      <c r="C9244" s="12">
        <f>IFERROR(__xludf.DUMMYFUNCTION("""COMPUTED_VALUE"""),44609.56833333333)</f>
        <v>44609.56833</v>
      </c>
      <c r="D9244" s="13">
        <f t="shared" si="1"/>
        <v>17</v>
      </c>
      <c r="E9244" s="13">
        <f t="shared" si="2"/>
        <v>13</v>
      </c>
    </row>
    <row r="9245">
      <c r="A9245" s="4" t="s">
        <v>9853</v>
      </c>
      <c r="B9245" s="16"/>
      <c r="C9245" s="12">
        <f>IFERROR(__xludf.DUMMYFUNCTION("""COMPUTED_VALUE"""),44609.499398148146)</f>
        <v>44609.4994</v>
      </c>
      <c r="D9245" s="13">
        <f t="shared" si="1"/>
        <v>17</v>
      </c>
      <c r="E9245" s="13">
        <f t="shared" si="2"/>
        <v>11</v>
      </c>
    </row>
    <row r="9246">
      <c r="A9246" s="4" t="s">
        <v>9854</v>
      </c>
      <c r="B9246" s="16"/>
      <c r="C9246" s="12">
        <f>IFERROR(__xludf.DUMMYFUNCTION("""COMPUTED_VALUE"""),44609.49491898148)</f>
        <v>44609.49492</v>
      </c>
      <c r="D9246" s="13">
        <f t="shared" si="1"/>
        <v>17</v>
      </c>
      <c r="E9246" s="13">
        <f t="shared" si="2"/>
        <v>11</v>
      </c>
    </row>
    <row r="9247">
      <c r="A9247" s="4" t="s">
        <v>9855</v>
      </c>
      <c r="B9247" s="16"/>
      <c r="C9247" s="12">
        <f>IFERROR(__xludf.DUMMYFUNCTION("""COMPUTED_VALUE"""),44609.493993055556)</f>
        <v>44609.49399</v>
      </c>
      <c r="D9247" s="13">
        <f t="shared" si="1"/>
        <v>17</v>
      </c>
      <c r="E9247" s="13">
        <f t="shared" si="2"/>
        <v>11</v>
      </c>
    </row>
    <row r="9248">
      <c r="A9248" s="4" t="s">
        <v>9856</v>
      </c>
      <c r="B9248" s="16"/>
      <c r="C9248" s="12">
        <f>IFERROR(__xludf.DUMMYFUNCTION("""COMPUTED_VALUE"""),44609.48835648148)</f>
        <v>44609.48836</v>
      </c>
      <c r="D9248" s="13">
        <f t="shared" si="1"/>
        <v>17</v>
      </c>
      <c r="E9248" s="13">
        <f t="shared" si="2"/>
        <v>11</v>
      </c>
    </row>
    <row r="9249">
      <c r="A9249" s="4" t="s">
        <v>9857</v>
      </c>
      <c r="B9249" s="16"/>
      <c r="C9249" s="12">
        <f>IFERROR(__xludf.DUMMYFUNCTION("""COMPUTED_VALUE"""),44609.48833333333)</f>
        <v>44609.48833</v>
      </c>
      <c r="D9249" s="13">
        <f t="shared" si="1"/>
        <v>17</v>
      </c>
      <c r="E9249" s="13">
        <f t="shared" si="2"/>
        <v>11</v>
      </c>
    </row>
    <row r="9250">
      <c r="A9250" s="4" t="s">
        <v>9858</v>
      </c>
      <c r="B9250" s="16"/>
      <c r="C9250" s="12">
        <f>IFERROR(__xludf.DUMMYFUNCTION("""COMPUTED_VALUE"""),44609.47390046296)</f>
        <v>44609.4739</v>
      </c>
      <c r="D9250" s="13">
        <f t="shared" si="1"/>
        <v>17</v>
      </c>
      <c r="E9250" s="13">
        <f t="shared" si="2"/>
        <v>11</v>
      </c>
    </row>
    <row r="9251">
      <c r="A9251" s="4" t="s">
        <v>9859</v>
      </c>
      <c r="B9251" s="16"/>
      <c r="C9251" s="12">
        <f>IFERROR(__xludf.DUMMYFUNCTION("""COMPUTED_VALUE"""),44609.468680555554)</f>
        <v>44609.46868</v>
      </c>
      <c r="D9251" s="13">
        <f t="shared" si="1"/>
        <v>17</v>
      </c>
      <c r="E9251" s="13">
        <f t="shared" si="2"/>
        <v>11</v>
      </c>
    </row>
    <row r="9252">
      <c r="A9252" s="4" t="s">
        <v>9860</v>
      </c>
      <c r="B9252" s="16"/>
      <c r="C9252" s="12">
        <f>IFERROR(__xludf.DUMMYFUNCTION("""COMPUTED_VALUE"""),44609.46546296296)</f>
        <v>44609.46546</v>
      </c>
      <c r="D9252" s="13">
        <f t="shared" si="1"/>
        <v>17</v>
      </c>
      <c r="E9252" s="13">
        <f t="shared" si="2"/>
        <v>11</v>
      </c>
    </row>
    <row r="9253">
      <c r="A9253" s="4" t="s">
        <v>9861</v>
      </c>
      <c r="B9253" s="16"/>
      <c r="C9253" s="12">
        <f>IFERROR(__xludf.DUMMYFUNCTION("""COMPUTED_VALUE"""),44609.46131944444)</f>
        <v>44609.46132</v>
      </c>
      <c r="D9253" s="13">
        <f t="shared" si="1"/>
        <v>17</v>
      </c>
      <c r="E9253" s="13">
        <f t="shared" si="2"/>
        <v>11</v>
      </c>
    </row>
    <row r="9254">
      <c r="A9254" s="4" t="s">
        <v>9862</v>
      </c>
      <c r="B9254" s="16"/>
      <c r="C9254" s="12">
        <f>IFERROR(__xludf.DUMMYFUNCTION("""COMPUTED_VALUE"""),44609.460868055554)</f>
        <v>44609.46087</v>
      </c>
      <c r="D9254" s="13">
        <f t="shared" si="1"/>
        <v>17</v>
      </c>
      <c r="E9254" s="13">
        <f t="shared" si="2"/>
        <v>11</v>
      </c>
    </row>
    <row r="9255">
      <c r="A9255" s="4" t="s">
        <v>9863</v>
      </c>
      <c r="B9255" s="16"/>
      <c r="C9255" s="12">
        <f>IFERROR(__xludf.DUMMYFUNCTION("""COMPUTED_VALUE"""),44609.44630787037)</f>
        <v>44609.44631</v>
      </c>
      <c r="D9255" s="13">
        <f t="shared" si="1"/>
        <v>17</v>
      </c>
      <c r="E9255" s="13">
        <f t="shared" si="2"/>
        <v>10</v>
      </c>
    </row>
    <row r="9256">
      <c r="A9256" s="4" t="s">
        <v>9864</v>
      </c>
      <c r="B9256" s="16"/>
      <c r="C9256" s="12">
        <f>IFERROR(__xludf.DUMMYFUNCTION("""COMPUTED_VALUE"""),44609.43440972222)</f>
        <v>44609.43441</v>
      </c>
      <c r="D9256" s="13">
        <f t="shared" si="1"/>
        <v>17</v>
      </c>
      <c r="E9256" s="13">
        <f t="shared" si="2"/>
        <v>10</v>
      </c>
    </row>
    <row r="9257">
      <c r="A9257" s="4" t="s">
        <v>9865</v>
      </c>
      <c r="B9257" s="16"/>
      <c r="C9257" s="12">
        <f>IFERROR(__xludf.DUMMYFUNCTION("""COMPUTED_VALUE"""),44609.42986111111)</f>
        <v>44609.42986</v>
      </c>
      <c r="D9257" s="13">
        <f t="shared" si="1"/>
        <v>17</v>
      </c>
      <c r="E9257" s="13">
        <f t="shared" si="2"/>
        <v>10</v>
      </c>
    </row>
    <row r="9258">
      <c r="A9258" s="4" t="s">
        <v>9866</v>
      </c>
      <c r="B9258" s="16"/>
      <c r="C9258" s="12">
        <f>IFERROR(__xludf.DUMMYFUNCTION("""COMPUTED_VALUE"""),44609.37011574074)</f>
        <v>44609.37012</v>
      </c>
      <c r="D9258" s="13">
        <f t="shared" si="1"/>
        <v>17</v>
      </c>
      <c r="E9258" s="13">
        <f t="shared" si="2"/>
        <v>8</v>
      </c>
    </row>
    <row r="9259">
      <c r="A9259" s="4" t="s">
        <v>9867</v>
      </c>
      <c r="B9259" s="16"/>
      <c r="C9259" s="12">
        <f>IFERROR(__xludf.DUMMYFUNCTION("""COMPUTED_VALUE"""),44609.3540162037)</f>
        <v>44609.35402</v>
      </c>
      <c r="D9259" s="13">
        <f t="shared" si="1"/>
        <v>17</v>
      </c>
      <c r="E9259" s="13">
        <f t="shared" si="2"/>
        <v>8</v>
      </c>
    </row>
    <row r="9260">
      <c r="A9260" s="4" t="s">
        <v>9868</v>
      </c>
      <c r="B9260" s="16"/>
      <c r="C9260" s="12">
        <f>IFERROR(__xludf.DUMMYFUNCTION("""COMPUTED_VALUE"""),44609.30726851852)</f>
        <v>44609.30727</v>
      </c>
      <c r="D9260" s="13">
        <f t="shared" si="1"/>
        <v>17</v>
      </c>
      <c r="E9260" s="13">
        <f t="shared" si="2"/>
        <v>7</v>
      </c>
    </row>
    <row r="9261">
      <c r="A9261" s="4" t="s">
        <v>9869</v>
      </c>
      <c r="B9261" s="16"/>
      <c r="C9261" s="12">
        <f>IFERROR(__xludf.DUMMYFUNCTION("""COMPUTED_VALUE"""),44608.94935185185)</f>
        <v>44608.94935</v>
      </c>
      <c r="D9261" s="13">
        <f t="shared" si="1"/>
        <v>16</v>
      </c>
      <c r="E9261" s="13">
        <f t="shared" si="2"/>
        <v>22</v>
      </c>
    </row>
    <row r="9262">
      <c r="A9262" s="4" t="s">
        <v>9870</v>
      </c>
      <c r="B9262" s="16"/>
      <c r="C9262" s="12">
        <f>IFERROR(__xludf.DUMMYFUNCTION("""COMPUTED_VALUE"""),44608.907013888886)</f>
        <v>44608.90701</v>
      </c>
      <c r="D9262" s="13">
        <f t="shared" si="1"/>
        <v>16</v>
      </c>
      <c r="E9262" s="13">
        <f t="shared" si="2"/>
        <v>21</v>
      </c>
    </row>
    <row r="9263">
      <c r="A9263" s="4" t="s">
        <v>9871</v>
      </c>
      <c r="B9263" s="16"/>
      <c r="C9263" s="12">
        <f>IFERROR(__xludf.DUMMYFUNCTION("""COMPUTED_VALUE"""),44608.90300925926)</f>
        <v>44608.90301</v>
      </c>
      <c r="D9263" s="13">
        <f t="shared" si="1"/>
        <v>16</v>
      </c>
      <c r="E9263" s="13">
        <f t="shared" si="2"/>
        <v>21</v>
      </c>
    </row>
    <row r="9264">
      <c r="A9264" s="4" t="s">
        <v>9872</v>
      </c>
      <c r="B9264" s="16"/>
      <c r="C9264" s="12">
        <f>IFERROR(__xludf.DUMMYFUNCTION("""COMPUTED_VALUE"""),44608.80459490741)</f>
        <v>44608.80459</v>
      </c>
      <c r="D9264" s="13">
        <f t="shared" si="1"/>
        <v>16</v>
      </c>
      <c r="E9264" s="13">
        <f t="shared" si="2"/>
        <v>19</v>
      </c>
    </row>
    <row r="9265">
      <c r="A9265" s="4" t="s">
        <v>9873</v>
      </c>
      <c r="B9265" s="16"/>
      <c r="C9265" s="12">
        <f>IFERROR(__xludf.DUMMYFUNCTION("""COMPUTED_VALUE"""),44608.7815625)</f>
        <v>44608.78156</v>
      </c>
      <c r="D9265" s="13">
        <f t="shared" si="1"/>
        <v>16</v>
      </c>
      <c r="E9265" s="13">
        <f t="shared" si="2"/>
        <v>18</v>
      </c>
    </row>
    <row r="9266">
      <c r="A9266" s="4" t="s">
        <v>9874</v>
      </c>
      <c r="B9266" s="16"/>
      <c r="C9266" s="12">
        <f>IFERROR(__xludf.DUMMYFUNCTION("""COMPUTED_VALUE"""),44608.77341435185)</f>
        <v>44608.77341</v>
      </c>
      <c r="D9266" s="13">
        <f t="shared" si="1"/>
        <v>16</v>
      </c>
      <c r="E9266" s="13">
        <f t="shared" si="2"/>
        <v>18</v>
      </c>
    </row>
    <row r="9267">
      <c r="A9267" s="4" t="s">
        <v>9875</v>
      </c>
      <c r="B9267" s="16"/>
      <c r="C9267" s="12">
        <f>IFERROR(__xludf.DUMMYFUNCTION("""COMPUTED_VALUE"""),44608.741631944446)</f>
        <v>44608.74163</v>
      </c>
      <c r="D9267" s="13">
        <f t="shared" si="1"/>
        <v>16</v>
      </c>
      <c r="E9267" s="13">
        <f t="shared" si="2"/>
        <v>17</v>
      </c>
    </row>
    <row r="9268">
      <c r="A9268" s="4" t="s">
        <v>9876</v>
      </c>
      <c r="B9268" s="16"/>
      <c r="C9268" s="12">
        <f>IFERROR(__xludf.DUMMYFUNCTION("""COMPUTED_VALUE"""),44608.72835648148)</f>
        <v>44608.72836</v>
      </c>
      <c r="D9268" s="13">
        <f t="shared" si="1"/>
        <v>16</v>
      </c>
      <c r="E9268" s="13">
        <f t="shared" si="2"/>
        <v>17</v>
      </c>
    </row>
    <row r="9269">
      <c r="A9269" s="4" t="s">
        <v>9877</v>
      </c>
      <c r="B9269" s="16"/>
      <c r="C9269" s="12">
        <f>IFERROR(__xludf.DUMMYFUNCTION("""COMPUTED_VALUE"""),44608.72442129629)</f>
        <v>44608.72442</v>
      </c>
      <c r="D9269" s="13">
        <f t="shared" si="1"/>
        <v>16</v>
      </c>
      <c r="E9269" s="13">
        <f t="shared" si="2"/>
        <v>17</v>
      </c>
    </row>
    <row r="9270">
      <c r="A9270" s="4" t="s">
        <v>9878</v>
      </c>
      <c r="B9270" s="16"/>
      <c r="C9270" s="12">
        <f>IFERROR(__xludf.DUMMYFUNCTION("""COMPUTED_VALUE"""),44608.657013888886)</f>
        <v>44608.65701</v>
      </c>
      <c r="D9270" s="13">
        <f t="shared" si="1"/>
        <v>16</v>
      </c>
      <c r="E9270" s="13">
        <f t="shared" si="2"/>
        <v>15</v>
      </c>
    </row>
    <row r="9271">
      <c r="A9271" s="4" t="s">
        <v>9879</v>
      </c>
      <c r="B9271" s="16"/>
      <c r="C9271" s="12">
        <f>IFERROR(__xludf.DUMMYFUNCTION("""COMPUTED_VALUE"""),44608.64859953703)</f>
        <v>44608.6486</v>
      </c>
      <c r="D9271" s="13">
        <f t="shared" si="1"/>
        <v>16</v>
      </c>
      <c r="E9271" s="13">
        <f t="shared" si="2"/>
        <v>15</v>
      </c>
    </row>
    <row r="9272">
      <c r="A9272" s="4" t="s">
        <v>9880</v>
      </c>
      <c r="B9272" s="16"/>
      <c r="C9272" s="12">
        <f>IFERROR(__xludf.DUMMYFUNCTION("""COMPUTED_VALUE"""),44608.62032407407)</f>
        <v>44608.62032</v>
      </c>
      <c r="D9272" s="13">
        <f t="shared" si="1"/>
        <v>16</v>
      </c>
      <c r="E9272" s="13">
        <f t="shared" si="2"/>
        <v>14</v>
      </c>
    </row>
    <row r="9273">
      <c r="A9273" s="4" t="s">
        <v>9881</v>
      </c>
      <c r="B9273" s="16"/>
      <c r="C9273" s="12">
        <f>IFERROR(__xludf.DUMMYFUNCTION("""COMPUTED_VALUE"""),44608.494062499994)</f>
        <v>44608.49406</v>
      </c>
      <c r="D9273" s="13">
        <f t="shared" si="1"/>
        <v>16</v>
      </c>
      <c r="E9273" s="13">
        <f t="shared" si="2"/>
        <v>11</v>
      </c>
    </row>
    <row r="9274">
      <c r="A9274" s="4" t="s">
        <v>9882</v>
      </c>
      <c r="B9274" s="16"/>
      <c r="C9274" s="12">
        <f>IFERROR(__xludf.DUMMYFUNCTION("""COMPUTED_VALUE"""),44608.490902777776)</f>
        <v>44608.4909</v>
      </c>
      <c r="D9274" s="13">
        <f t="shared" si="1"/>
        <v>16</v>
      </c>
      <c r="E9274" s="13">
        <f t="shared" si="2"/>
        <v>11</v>
      </c>
    </row>
    <row r="9275">
      <c r="A9275" s="4" t="s">
        <v>9883</v>
      </c>
      <c r="B9275" s="16"/>
      <c r="C9275" s="12">
        <f>IFERROR(__xludf.DUMMYFUNCTION("""COMPUTED_VALUE"""),44608.47015046296)</f>
        <v>44608.47015</v>
      </c>
      <c r="D9275" s="13">
        <f t="shared" si="1"/>
        <v>16</v>
      </c>
      <c r="E9275" s="13">
        <f t="shared" si="2"/>
        <v>11</v>
      </c>
    </row>
    <row r="9276">
      <c r="A9276" s="4" t="s">
        <v>9884</v>
      </c>
      <c r="B9276" s="16"/>
      <c r="C9276" s="12">
        <f>IFERROR(__xludf.DUMMYFUNCTION("""COMPUTED_VALUE"""),44608.46890046296)</f>
        <v>44608.4689</v>
      </c>
      <c r="D9276" s="13">
        <f t="shared" si="1"/>
        <v>16</v>
      </c>
      <c r="E9276" s="13">
        <f t="shared" si="2"/>
        <v>11</v>
      </c>
    </row>
    <row r="9277">
      <c r="A9277" s="4" t="s">
        <v>9885</v>
      </c>
      <c r="B9277" s="16"/>
      <c r="C9277" s="12">
        <f>IFERROR(__xludf.DUMMYFUNCTION("""COMPUTED_VALUE"""),44608.46842592592)</f>
        <v>44608.46843</v>
      </c>
      <c r="D9277" s="13">
        <f t="shared" si="1"/>
        <v>16</v>
      </c>
      <c r="E9277" s="13">
        <f t="shared" si="2"/>
        <v>11</v>
      </c>
    </row>
    <row r="9278">
      <c r="A9278" s="4" t="s">
        <v>9886</v>
      </c>
      <c r="B9278" s="16"/>
      <c r="C9278" s="12">
        <f>IFERROR(__xludf.DUMMYFUNCTION("""COMPUTED_VALUE"""),44608.45890046296)</f>
        <v>44608.4589</v>
      </c>
      <c r="D9278" s="13">
        <f t="shared" si="1"/>
        <v>16</v>
      </c>
      <c r="E9278" s="13">
        <f t="shared" si="2"/>
        <v>11</v>
      </c>
    </row>
    <row r="9279">
      <c r="A9279" s="4" t="s">
        <v>9887</v>
      </c>
      <c r="B9279" s="16"/>
      <c r="C9279" s="12">
        <f>IFERROR(__xludf.DUMMYFUNCTION("""COMPUTED_VALUE"""),44608.400879629626)</f>
        <v>44608.40088</v>
      </c>
      <c r="D9279" s="13">
        <f t="shared" si="1"/>
        <v>16</v>
      </c>
      <c r="E9279" s="13">
        <f t="shared" si="2"/>
        <v>9</v>
      </c>
    </row>
    <row r="9280">
      <c r="A9280" s="4" t="s">
        <v>9888</v>
      </c>
      <c r="B9280" s="16"/>
      <c r="C9280" s="12">
        <f>IFERROR(__xludf.DUMMYFUNCTION("""COMPUTED_VALUE"""),44608.39813657407)</f>
        <v>44608.39814</v>
      </c>
      <c r="D9280" s="13">
        <f t="shared" si="1"/>
        <v>16</v>
      </c>
      <c r="E9280" s="13">
        <f t="shared" si="2"/>
        <v>9</v>
      </c>
    </row>
    <row r="9281">
      <c r="A9281" s="4" t="s">
        <v>9889</v>
      </c>
      <c r="B9281" s="16"/>
      <c r="C9281" s="12">
        <f>IFERROR(__xludf.DUMMYFUNCTION("""COMPUTED_VALUE"""),44608.007372685184)</f>
        <v>44608.00737</v>
      </c>
      <c r="D9281" s="13">
        <f t="shared" si="1"/>
        <v>16</v>
      </c>
      <c r="E9281" s="13">
        <f t="shared" si="2"/>
        <v>0</v>
      </c>
    </row>
    <row r="9282">
      <c r="A9282" s="4" t="s">
        <v>9890</v>
      </c>
      <c r="B9282" s="16"/>
      <c r="C9282" s="12">
        <f>IFERROR(__xludf.DUMMYFUNCTION("""COMPUTED_VALUE"""),44607.99864583333)</f>
        <v>44607.99865</v>
      </c>
      <c r="D9282" s="13">
        <f t="shared" si="1"/>
        <v>15</v>
      </c>
      <c r="E9282" s="13">
        <f t="shared" si="2"/>
        <v>23</v>
      </c>
    </row>
    <row r="9283">
      <c r="A9283" s="4" t="s">
        <v>9891</v>
      </c>
      <c r="B9283" s="16"/>
      <c r="C9283" s="12">
        <f>IFERROR(__xludf.DUMMYFUNCTION("""COMPUTED_VALUE"""),44607.93071759259)</f>
        <v>44607.93072</v>
      </c>
      <c r="D9283" s="13">
        <f t="shared" si="1"/>
        <v>15</v>
      </c>
      <c r="E9283" s="13">
        <f t="shared" si="2"/>
        <v>22</v>
      </c>
    </row>
    <row r="9284">
      <c r="A9284" s="4" t="s">
        <v>9892</v>
      </c>
      <c r="B9284" s="16"/>
      <c r="C9284" s="12">
        <f>IFERROR(__xludf.DUMMYFUNCTION("""COMPUTED_VALUE"""),44607.8890162037)</f>
        <v>44607.88902</v>
      </c>
      <c r="D9284" s="13">
        <f t="shared" si="1"/>
        <v>15</v>
      </c>
      <c r="E9284" s="13">
        <f t="shared" si="2"/>
        <v>21</v>
      </c>
    </row>
    <row r="9285">
      <c r="A9285" s="4" t="s">
        <v>9893</v>
      </c>
      <c r="B9285" s="16"/>
      <c r="C9285" s="12">
        <f>IFERROR(__xludf.DUMMYFUNCTION("""COMPUTED_VALUE"""),44607.88501157407)</f>
        <v>44607.88501</v>
      </c>
      <c r="D9285" s="13">
        <f t="shared" si="1"/>
        <v>15</v>
      </c>
      <c r="E9285" s="13">
        <f t="shared" si="2"/>
        <v>21</v>
      </c>
    </row>
    <row r="9286">
      <c r="A9286" s="4" t="s">
        <v>9894</v>
      </c>
      <c r="B9286" s="16"/>
      <c r="C9286" s="12">
        <f>IFERROR(__xludf.DUMMYFUNCTION("""COMPUTED_VALUE"""),44607.85451388889)</f>
        <v>44607.85451</v>
      </c>
      <c r="D9286" s="13">
        <f t="shared" si="1"/>
        <v>15</v>
      </c>
      <c r="E9286" s="13">
        <f t="shared" si="2"/>
        <v>20</v>
      </c>
    </row>
    <row r="9287">
      <c r="A9287" s="4" t="s">
        <v>9895</v>
      </c>
      <c r="B9287" s="16"/>
      <c r="C9287" s="12">
        <f>IFERROR(__xludf.DUMMYFUNCTION("""COMPUTED_VALUE"""),44607.818194444444)</f>
        <v>44607.81819</v>
      </c>
      <c r="D9287" s="13">
        <f t="shared" si="1"/>
        <v>15</v>
      </c>
      <c r="E9287" s="13">
        <f t="shared" si="2"/>
        <v>19</v>
      </c>
    </row>
    <row r="9288">
      <c r="A9288" s="4" t="s">
        <v>9896</v>
      </c>
      <c r="B9288" s="16"/>
      <c r="C9288" s="12">
        <f>IFERROR(__xludf.DUMMYFUNCTION("""COMPUTED_VALUE"""),44607.81769675926)</f>
        <v>44607.8177</v>
      </c>
      <c r="D9288" s="13">
        <f t="shared" si="1"/>
        <v>15</v>
      </c>
      <c r="E9288" s="13">
        <f t="shared" si="2"/>
        <v>19</v>
      </c>
    </row>
    <row r="9289">
      <c r="A9289" s="4" t="s">
        <v>9897</v>
      </c>
      <c r="B9289" s="16"/>
      <c r="C9289" s="12">
        <f>IFERROR(__xludf.DUMMYFUNCTION("""COMPUTED_VALUE"""),44607.72739583333)</f>
        <v>44607.7274</v>
      </c>
      <c r="D9289" s="13">
        <f t="shared" si="1"/>
        <v>15</v>
      </c>
      <c r="E9289" s="13">
        <f t="shared" si="2"/>
        <v>17</v>
      </c>
    </row>
    <row r="9290">
      <c r="A9290" s="4" t="s">
        <v>9898</v>
      </c>
      <c r="B9290" s="16"/>
      <c r="C9290" s="12">
        <f>IFERROR(__xludf.DUMMYFUNCTION("""COMPUTED_VALUE"""),44607.70181712963)</f>
        <v>44607.70182</v>
      </c>
      <c r="D9290" s="13">
        <f t="shared" si="1"/>
        <v>15</v>
      </c>
      <c r="E9290" s="13">
        <f t="shared" si="2"/>
        <v>16</v>
      </c>
    </row>
    <row r="9291">
      <c r="A9291" s="4" t="s">
        <v>9899</v>
      </c>
      <c r="B9291" s="16"/>
      <c r="C9291" s="12">
        <f>IFERROR(__xludf.DUMMYFUNCTION("""COMPUTED_VALUE"""),44607.58023148148)</f>
        <v>44607.58023</v>
      </c>
      <c r="D9291" s="13">
        <f t="shared" si="1"/>
        <v>15</v>
      </c>
      <c r="E9291" s="13">
        <f t="shared" si="2"/>
        <v>13</v>
      </c>
    </row>
    <row r="9292">
      <c r="A9292" s="4" t="s">
        <v>9900</v>
      </c>
      <c r="B9292" s="16"/>
      <c r="C9292" s="12">
        <f>IFERROR(__xludf.DUMMYFUNCTION("""COMPUTED_VALUE"""),44607.57907407407)</f>
        <v>44607.57907</v>
      </c>
      <c r="D9292" s="13">
        <f t="shared" si="1"/>
        <v>15</v>
      </c>
      <c r="E9292" s="13">
        <f t="shared" si="2"/>
        <v>13</v>
      </c>
    </row>
    <row r="9293">
      <c r="A9293" s="4" t="s">
        <v>9901</v>
      </c>
      <c r="B9293" s="16"/>
      <c r="C9293" s="12">
        <f>IFERROR(__xludf.DUMMYFUNCTION("""COMPUTED_VALUE"""),44607.51821759259)</f>
        <v>44607.51822</v>
      </c>
      <c r="D9293" s="13">
        <f t="shared" si="1"/>
        <v>15</v>
      </c>
      <c r="E9293" s="13">
        <f t="shared" si="2"/>
        <v>12</v>
      </c>
    </row>
    <row r="9294">
      <c r="A9294" s="4" t="s">
        <v>9902</v>
      </c>
      <c r="B9294" s="16"/>
      <c r="C9294" s="12">
        <f>IFERROR(__xludf.DUMMYFUNCTION("""COMPUTED_VALUE"""),44607.49417824074)</f>
        <v>44607.49418</v>
      </c>
      <c r="D9294" s="13">
        <f t="shared" si="1"/>
        <v>15</v>
      </c>
      <c r="E9294" s="13">
        <f t="shared" si="2"/>
        <v>11</v>
      </c>
    </row>
    <row r="9295">
      <c r="A9295" s="4" t="s">
        <v>9903</v>
      </c>
      <c r="B9295" s="16"/>
      <c r="C9295" s="12">
        <f>IFERROR(__xludf.DUMMYFUNCTION("""COMPUTED_VALUE"""),44607.42711805555)</f>
        <v>44607.42712</v>
      </c>
      <c r="D9295" s="13">
        <f t="shared" si="1"/>
        <v>15</v>
      </c>
      <c r="E9295" s="13">
        <f t="shared" si="2"/>
        <v>10</v>
      </c>
    </row>
    <row r="9296">
      <c r="A9296" s="4" t="s">
        <v>9904</v>
      </c>
      <c r="B9296" s="16"/>
      <c r="C9296" s="12">
        <f>IFERROR(__xludf.DUMMYFUNCTION("""COMPUTED_VALUE"""),44607.37494212963)</f>
        <v>44607.37494</v>
      </c>
      <c r="D9296" s="13">
        <f t="shared" si="1"/>
        <v>15</v>
      </c>
      <c r="E9296" s="13">
        <f t="shared" si="2"/>
        <v>8</v>
      </c>
    </row>
    <row r="9297">
      <c r="A9297" s="4" t="s">
        <v>9905</v>
      </c>
      <c r="B9297" s="16"/>
      <c r="C9297" s="12">
        <f>IFERROR(__xludf.DUMMYFUNCTION("""COMPUTED_VALUE"""),44607.36128472222)</f>
        <v>44607.36128</v>
      </c>
      <c r="D9297" s="13">
        <f t="shared" si="1"/>
        <v>15</v>
      </c>
      <c r="E9297" s="13">
        <f t="shared" si="2"/>
        <v>8</v>
      </c>
    </row>
    <row r="9298">
      <c r="A9298" s="4" t="s">
        <v>9906</v>
      </c>
      <c r="B9298" s="16"/>
      <c r="C9298" s="12">
        <f>IFERROR(__xludf.DUMMYFUNCTION("""COMPUTED_VALUE"""),44607.35753472222)</f>
        <v>44607.35753</v>
      </c>
      <c r="D9298" s="13">
        <f t="shared" si="1"/>
        <v>15</v>
      </c>
      <c r="E9298" s="13">
        <f t="shared" si="2"/>
        <v>8</v>
      </c>
    </row>
    <row r="9299">
      <c r="A9299" s="4" t="s">
        <v>9907</v>
      </c>
      <c r="B9299" s="16"/>
      <c r="C9299" s="12">
        <f>IFERROR(__xludf.DUMMYFUNCTION("""COMPUTED_VALUE"""),44606.97085648148)</f>
        <v>44606.97086</v>
      </c>
      <c r="D9299" s="13">
        <f t="shared" si="1"/>
        <v>14</v>
      </c>
      <c r="E9299" s="13">
        <f t="shared" si="2"/>
        <v>23</v>
      </c>
    </row>
    <row r="9300">
      <c r="A9300" s="4" t="s">
        <v>9908</v>
      </c>
      <c r="B9300" s="16"/>
      <c r="C9300" s="12">
        <f>IFERROR(__xludf.DUMMYFUNCTION("""COMPUTED_VALUE"""),44606.89877314815)</f>
        <v>44606.89877</v>
      </c>
      <c r="D9300" s="13">
        <f t="shared" si="1"/>
        <v>14</v>
      </c>
      <c r="E9300" s="13">
        <f t="shared" si="2"/>
        <v>21</v>
      </c>
    </row>
    <row r="9301">
      <c r="A9301" s="4" t="s">
        <v>9909</v>
      </c>
      <c r="B9301" s="16"/>
      <c r="C9301" s="12">
        <f>IFERROR(__xludf.DUMMYFUNCTION("""COMPUTED_VALUE"""),44606.89052083333)</f>
        <v>44606.89052</v>
      </c>
      <c r="D9301" s="13">
        <f t="shared" si="1"/>
        <v>14</v>
      </c>
      <c r="E9301" s="13">
        <f t="shared" si="2"/>
        <v>21</v>
      </c>
    </row>
    <row r="9302">
      <c r="A9302" s="4" t="s">
        <v>9910</v>
      </c>
      <c r="B9302" s="16"/>
      <c r="C9302" s="12">
        <f>IFERROR(__xludf.DUMMYFUNCTION("""COMPUTED_VALUE"""),44606.88810185185)</f>
        <v>44606.8881</v>
      </c>
      <c r="D9302" s="13">
        <f t="shared" si="1"/>
        <v>14</v>
      </c>
      <c r="E9302" s="13">
        <f t="shared" si="2"/>
        <v>21</v>
      </c>
    </row>
    <row r="9303">
      <c r="A9303" s="4" t="s">
        <v>9911</v>
      </c>
      <c r="B9303" s="16"/>
      <c r="C9303" s="12">
        <f>IFERROR(__xludf.DUMMYFUNCTION("""COMPUTED_VALUE"""),44606.84177083333)</f>
        <v>44606.84177</v>
      </c>
      <c r="D9303" s="13">
        <f t="shared" si="1"/>
        <v>14</v>
      </c>
      <c r="E9303" s="13">
        <f t="shared" si="2"/>
        <v>20</v>
      </c>
    </row>
    <row r="9304">
      <c r="A9304" s="4" t="s">
        <v>9912</v>
      </c>
      <c r="B9304" s="16"/>
      <c r="C9304" s="12">
        <f>IFERROR(__xludf.DUMMYFUNCTION("""COMPUTED_VALUE"""),44606.77143518518)</f>
        <v>44606.77144</v>
      </c>
      <c r="D9304" s="13">
        <f t="shared" si="1"/>
        <v>14</v>
      </c>
      <c r="E9304" s="13">
        <f t="shared" si="2"/>
        <v>18</v>
      </c>
    </row>
    <row r="9305">
      <c r="A9305" s="4" t="s">
        <v>9913</v>
      </c>
      <c r="B9305" s="16"/>
      <c r="C9305" s="12">
        <f>IFERROR(__xludf.DUMMYFUNCTION("""COMPUTED_VALUE"""),44606.77104166667)</f>
        <v>44606.77104</v>
      </c>
      <c r="D9305" s="13">
        <f t="shared" si="1"/>
        <v>14</v>
      </c>
      <c r="E9305" s="13">
        <f t="shared" si="2"/>
        <v>18</v>
      </c>
    </row>
    <row r="9306">
      <c r="A9306" s="4" t="s">
        <v>9914</v>
      </c>
      <c r="B9306" s="16"/>
      <c r="C9306" s="12">
        <f>IFERROR(__xludf.DUMMYFUNCTION("""COMPUTED_VALUE"""),44606.769270833334)</f>
        <v>44606.76927</v>
      </c>
      <c r="D9306" s="13">
        <f t="shared" si="1"/>
        <v>14</v>
      </c>
      <c r="E9306" s="13">
        <f t="shared" si="2"/>
        <v>18</v>
      </c>
    </row>
    <row r="9307">
      <c r="A9307" s="4" t="s">
        <v>9915</v>
      </c>
      <c r="B9307" s="16"/>
      <c r="C9307" s="12">
        <f>IFERROR(__xludf.DUMMYFUNCTION("""COMPUTED_VALUE"""),44606.73988425926)</f>
        <v>44606.73988</v>
      </c>
      <c r="D9307" s="13">
        <f t="shared" si="1"/>
        <v>14</v>
      </c>
      <c r="E9307" s="13">
        <f t="shared" si="2"/>
        <v>17</v>
      </c>
    </row>
    <row r="9308">
      <c r="A9308" s="4" t="s">
        <v>9916</v>
      </c>
      <c r="B9308" s="16"/>
      <c r="C9308" s="12">
        <f>IFERROR(__xludf.DUMMYFUNCTION("""COMPUTED_VALUE"""),44606.72666666666)</f>
        <v>44606.72667</v>
      </c>
      <c r="D9308" s="13">
        <f t="shared" si="1"/>
        <v>14</v>
      </c>
      <c r="E9308" s="13">
        <f t="shared" si="2"/>
        <v>17</v>
      </c>
    </row>
    <row r="9309">
      <c r="A9309" s="4" t="s">
        <v>9917</v>
      </c>
      <c r="B9309" s="16"/>
      <c r="C9309" s="12">
        <f>IFERROR(__xludf.DUMMYFUNCTION("""COMPUTED_VALUE"""),44606.705624999995)</f>
        <v>44606.70563</v>
      </c>
      <c r="D9309" s="13">
        <f t="shared" si="1"/>
        <v>14</v>
      </c>
      <c r="E9309" s="13">
        <f t="shared" si="2"/>
        <v>16</v>
      </c>
    </row>
    <row r="9310">
      <c r="A9310" s="4" t="s">
        <v>9918</v>
      </c>
      <c r="B9310" s="16"/>
      <c r="C9310" s="12">
        <f>IFERROR(__xludf.DUMMYFUNCTION("""COMPUTED_VALUE"""),44606.691157407404)</f>
        <v>44606.69116</v>
      </c>
      <c r="D9310" s="13">
        <f t="shared" si="1"/>
        <v>14</v>
      </c>
      <c r="E9310" s="13">
        <f t="shared" si="2"/>
        <v>16</v>
      </c>
    </row>
    <row r="9311">
      <c r="A9311" s="4" t="s">
        <v>9919</v>
      </c>
      <c r="B9311" s="16"/>
      <c r="C9311" s="12">
        <f>IFERROR(__xludf.DUMMYFUNCTION("""COMPUTED_VALUE"""),44606.664930555555)</f>
        <v>44606.66493</v>
      </c>
      <c r="D9311" s="13">
        <f t="shared" si="1"/>
        <v>14</v>
      </c>
      <c r="E9311" s="13">
        <f t="shared" si="2"/>
        <v>15</v>
      </c>
    </row>
    <row r="9312">
      <c r="A9312" s="4" t="s">
        <v>9920</v>
      </c>
      <c r="B9312" s="16"/>
      <c r="C9312" s="12">
        <f>IFERROR(__xludf.DUMMYFUNCTION("""COMPUTED_VALUE"""),44606.62024305555)</f>
        <v>44606.62024</v>
      </c>
      <c r="D9312" s="13">
        <f t="shared" si="1"/>
        <v>14</v>
      </c>
      <c r="E9312" s="13">
        <f t="shared" si="2"/>
        <v>14</v>
      </c>
    </row>
    <row r="9313">
      <c r="A9313" s="4" t="s">
        <v>9921</v>
      </c>
      <c r="B9313" s="16"/>
      <c r="C9313" s="12">
        <f>IFERROR(__xludf.DUMMYFUNCTION("""COMPUTED_VALUE"""),44606.58951388889)</f>
        <v>44606.58951</v>
      </c>
      <c r="D9313" s="13">
        <f t="shared" si="1"/>
        <v>14</v>
      </c>
      <c r="E9313" s="13">
        <f t="shared" si="2"/>
        <v>14</v>
      </c>
    </row>
    <row r="9314">
      <c r="A9314" s="4" t="s">
        <v>9922</v>
      </c>
      <c r="B9314" s="16"/>
      <c r="C9314" s="12">
        <f>IFERROR(__xludf.DUMMYFUNCTION("""COMPUTED_VALUE"""),44606.55548611111)</f>
        <v>44606.55549</v>
      </c>
      <c r="D9314" s="13">
        <f t="shared" si="1"/>
        <v>14</v>
      </c>
      <c r="E9314" s="13">
        <f t="shared" si="2"/>
        <v>13</v>
      </c>
    </row>
    <row r="9315">
      <c r="A9315" s="4" t="s">
        <v>9923</v>
      </c>
      <c r="B9315" s="16"/>
      <c r="C9315" s="12">
        <f>IFERROR(__xludf.DUMMYFUNCTION("""COMPUTED_VALUE"""),44606.4830787037)</f>
        <v>44606.48308</v>
      </c>
      <c r="D9315" s="13">
        <f t="shared" si="1"/>
        <v>14</v>
      </c>
      <c r="E9315" s="13">
        <f t="shared" si="2"/>
        <v>11</v>
      </c>
    </row>
    <row r="9316">
      <c r="A9316" s="4" t="s">
        <v>9924</v>
      </c>
      <c r="B9316" s="16"/>
      <c r="C9316" s="12">
        <f>IFERROR(__xludf.DUMMYFUNCTION("""COMPUTED_VALUE"""),44606.47149305556)</f>
        <v>44606.47149</v>
      </c>
      <c r="D9316" s="13">
        <f t="shared" si="1"/>
        <v>14</v>
      </c>
      <c r="E9316" s="13">
        <f t="shared" si="2"/>
        <v>11</v>
      </c>
    </row>
    <row r="9317">
      <c r="A9317" s="4" t="s">
        <v>9925</v>
      </c>
      <c r="B9317" s="16"/>
      <c r="C9317" s="12">
        <f>IFERROR(__xludf.DUMMYFUNCTION("""COMPUTED_VALUE"""),44606.47133101852)</f>
        <v>44606.47133</v>
      </c>
      <c r="D9317" s="13">
        <f t="shared" si="1"/>
        <v>14</v>
      </c>
      <c r="E9317" s="13">
        <f t="shared" si="2"/>
        <v>11</v>
      </c>
    </row>
    <row r="9318">
      <c r="A9318" s="4" t="s">
        <v>9926</v>
      </c>
      <c r="B9318" s="16"/>
      <c r="C9318" s="12">
        <f>IFERROR(__xludf.DUMMYFUNCTION("""COMPUTED_VALUE"""),44606.46539351852)</f>
        <v>44606.46539</v>
      </c>
      <c r="D9318" s="13">
        <f t="shared" si="1"/>
        <v>14</v>
      </c>
      <c r="E9318" s="13">
        <f t="shared" si="2"/>
        <v>11</v>
      </c>
    </row>
    <row r="9319">
      <c r="A9319" s="4" t="s">
        <v>9927</v>
      </c>
      <c r="B9319" s="16"/>
      <c r="C9319" s="12">
        <f>IFERROR(__xludf.DUMMYFUNCTION("""COMPUTED_VALUE"""),44606.433437499996)</f>
        <v>44606.43344</v>
      </c>
      <c r="D9319" s="13">
        <f t="shared" si="1"/>
        <v>14</v>
      </c>
      <c r="E9319" s="13">
        <f t="shared" si="2"/>
        <v>10</v>
      </c>
    </row>
    <row r="9320">
      <c r="A9320" s="4" t="s">
        <v>9928</v>
      </c>
      <c r="B9320" s="16"/>
      <c r="C9320" s="12">
        <f>IFERROR(__xludf.DUMMYFUNCTION("""COMPUTED_VALUE"""),44606.43103009259)</f>
        <v>44606.43103</v>
      </c>
      <c r="D9320" s="13">
        <f t="shared" si="1"/>
        <v>14</v>
      </c>
      <c r="E9320" s="13">
        <f t="shared" si="2"/>
        <v>10</v>
      </c>
    </row>
    <row r="9321">
      <c r="A9321" s="4" t="s">
        <v>9929</v>
      </c>
      <c r="B9321" s="16"/>
      <c r="C9321" s="12">
        <f>IFERROR(__xludf.DUMMYFUNCTION("""COMPUTED_VALUE"""),44606.42454861111)</f>
        <v>44606.42455</v>
      </c>
      <c r="D9321" s="13">
        <f t="shared" si="1"/>
        <v>14</v>
      </c>
      <c r="E9321" s="13">
        <f t="shared" si="2"/>
        <v>10</v>
      </c>
    </row>
    <row r="9322">
      <c r="A9322" s="4" t="s">
        <v>9930</v>
      </c>
      <c r="B9322" s="16"/>
      <c r="C9322" s="12">
        <f>IFERROR(__xludf.DUMMYFUNCTION("""COMPUTED_VALUE"""),44606.424525462964)</f>
        <v>44606.42453</v>
      </c>
      <c r="D9322" s="13">
        <f t="shared" si="1"/>
        <v>14</v>
      </c>
      <c r="E9322" s="13">
        <f t="shared" si="2"/>
        <v>10</v>
      </c>
    </row>
    <row r="9323">
      <c r="A9323" s="4" t="s">
        <v>9931</v>
      </c>
      <c r="B9323" s="16"/>
      <c r="C9323" s="12">
        <f>IFERROR(__xludf.DUMMYFUNCTION("""COMPUTED_VALUE"""),44606.41777777777)</f>
        <v>44606.41778</v>
      </c>
      <c r="D9323" s="13">
        <f t="shared" si="1"/>
        <v>14</v>
      </c>
      <c r="E9323" s="13">
        <f t="shared" si="2"/>
        <v>10</v>
      </c>
    </row>
    <row r="9324">
      <c r="A9324" s="4" t="s">
        <v>9932</v>
      </c>
      <c r="B9324" s="16"/>
      <c r="C9324" s="12">
        <f>IFERROR(__xludf.DUMMYFUNCTION("""COMPUTED_VALUE"""),44606.40741898148)</f>
        <v>44606.40742</v>
      </c>
      <c r="D9324" s="13">
        <f t="shared" si="1"/>
        <v>14</v>
      </c>
      <c r="E9324" s="13">
        <f t="shared" si="2"/>
        <v>9</v>
      </c>
    </row>
    <row r="9325">
      <c r="A9325" s="4" t="s">
        <v>9933</v>
      </c>
      <c r="B9325" s="16"/>
      <c r="C9325" s="12">
        <f>IFERROR(__xludf.DUMMYFUNCTION("""COMPUTED_VALUE"""),44606.407384259255)</f>
        <v>44606.40738</v>
      </c>
      <c r="D9325" s="13">
        <f t="shared" si="1"/>
        <v>14</v>
      </c>
      <c r="E9325" s="13">
        <f t="shared" si="2"/>
        <v>9</v>
      </c>
    </row>
    <row r="9326">
      <c r="A9326" s="4" t="s">
        <v>9934</v>
      </c>
      <c r="B9326" s="16"/>
      <c r="C9326" s="12">
        <f>IFERROR(__xludf.DUMMYFUNCTION("""COMPUTED_VALUE"""),44605.984872685185)</f>
        <v>44605.98487</v>
      </c>
      <c r="D9326" s="13">
        <f t="shared" si="1"/>
        <v>13</v>
      </c>
      <c r="E9326" s="13">
        <f t="shared" si="2"/>
        <v>23</v>
      </c>
    </row>
    <row r="9327">
      <c r="A9327" s="4" t="s">
        <v>9935</v>
      </c>
      <c r="B9327" s="16"/>
      <c r="C9327" s="12">
        <f>IFERROR(__xludf.DUMMYFUNCTION("""COMPUTED_VALUE"""),44605.90015046296)</f>
        <v>44605.90015</v>
      </c>
      <c r="D9327" s="13">
        <f t="shared" si="1"/>
        <v>13</v>
      </c>
      <c r="E9327" s="13">
        <f t="shared" si="2"/>
        <v>21</v>
      </c>
    </row>
    <row r="9328">
      <c r="A9328" s="4" t="s">
        <v>9936</v>
      </c>
      <c r="B9328" s="16"/>
      <c r="C9328" s="12">
        <f>IFERROR(__xludf.DUMMYFUNCTION("""COMPUTED_VALUE"""),44605.89952546296)</f>
        <v>44605.89953</v>
      </c>
      <c r="D9328" s="13">
        <f t="shared" si="1"/>
        <v>13</v>
      </c>
      <c r="E9328" s="13">
        <f t="shared" si="2"/>
        <v>21</v>
      </c>
    </row>
    <row r="9329">
      <c r="A9329" s="4" t="s">
        <v>9937</v>
      </c>
      <c r="B9329" s="16"/>
      <c r="C9329" s="12">
        <f>IFERROR(__xludf.DUMMYFUNCTION("""COMPUTED_VALUE"""),44605.87960648148)</f>
        <v>44605.87961</v>
      </c>
      <c r="D9329" s="13">
        <f t="shared" si="1"/>
        <v>13</v>
      </c>
      <c r="E9329" s="13">
        <f t="shared" si="2"/>
        <v>21</v>
      </c>
    </row>
    <row r="9330">
      <c r="A9330" s="4" t="s">
        <v>9938</v>
      </c>
      <c r="B9330" s="16"/>
      <c r="C9330" s="12">
        <f>IFERROR(__xludf.DUMMYFUNCTION("""COMPUTED_VALUE"""),44605.879375)</f>
        <v>44605.87938</v>
      </c>
      <c r="D9330" s="13">
        <f t="shared" si="1"/>
        <v>13</v>
      </c>
      <c r="E9330" s="13">
        <f t="shared" si="2"/>
        <v>21</v>
      </c>
    </row>
    <row r="9331">
      <c r="A9331" s="4" t="s">
        <v>9939</v>
      </c>
      <c r="B9331" s="16"/>
      <c r="C9331" s="12">
        <f>IFERROR(__xludf.DUMMYFUNCTION("""COMPUTED_VALUE"""),44605.84150462963)</f>
        <v>44605.8415</v>
      </c>
      <c r="D9331" s="13">
        <f t="shared" si="1"/>
        <v>13</v>
      </c>
      <c r="E9331" s="13">
        <f t="shared" si="2"/>
        <v>20</v>
      </c>
    </row>
    <row r="9332">
      <c r="A9332" s="4" t="s">
        <v>9940</v>
      </c>
      <c r="B9332" s="16"/>
      <c r="C9332" s="12">
        <f>IFERROR(__xludf.DUMMYFUNCTION("""COMPUTED_VALUE"""),44605.71996527778)</f>
        <v>44605.71997</v>
      </c>
      <c r="D9332" s="13">
        <f t="shared" si="1"/>
        <v>13</v>
      </c>
      <c r="E9332" s="13">
        <f t="shared" si="2"/>
        <v>17</v>
      </c>
    </row>
    <row r="9333">
      <c r="A9333" s="4" t="s">
        <v>9941</v>
      </c>
      <c r="B9333" s="16"/>
      <c r="C9333" s="12">
        <f>IFERROR(__xludf.DUMMYFUNCTION("""COMPUTED_VALUE"""),44605.687523148146)</f>
        <v>44605.68752</v>
      </c>
      <c r="D9333" s="13">
        <f t="shared" si="1"/>
        <v>13</v>
      </c>
      <c r="E9333" s="13">
        <f t="shared" si="2"/>
        <v>16</v>
      </c>
    </row>
    <row r="9334">
      <c r="A9334" s="4" t="s">
        <v>9942</v>
      </c>
      <c r="B9334" s="16"/>
      <c r="C9334" s="12">
        <f>IFERROR(__xludf.DUMMYFUNCTION("""COMPUTED_VALUE"""),44605.668078703704)</f>
        <v>44605.66808</v>
      </c>
      <c r="D9334" s="13">
        <f t="shared" si="1"/>
        <v>13</v>
      </c>
      <c r="E9334" s="13">
        <f t="shared" si="2"/>
        <v>16</v>
      </c>
    </row>
    <row r="9335">
      <c r="A9335" s="4" t="s">
        <v>9943</v>
      </c>
      <c r="B9335" s="16"/>
      <c r="C9335" s="12">
        <f>IFERROR(__xludf.DUMMYFUNCTION("""COMPUTED_VALUE"""),44605.616585648146)</f>
        <v>44605.61659</v>
      </c>
      <c r="D9335" s="13">
        <f t="shared" si="1"/>
        <v>13</v>
      </c>
      <c r="E9335" s="13">
        <f t="shared" si="2"/>
        <v>14</v>
      </c>
    </row>
    <row r="9336">
      <c r="A9336" s="4" t="s">
        <v>9944</v>
      </c>
      <c r="B9336" s="16"/>
      <c r="C9336" s="12">
        <f>IFERROR(__xludf.DUMMYFUNCTION("""COMPUTED_VALUE"""),44605.59594907407)</f>
        <v>44605.59595</v>
      </c>
      <c r="D9336" s="13">
        <f t="shared" si="1"/>
        <v>13</v>
      </c>
      <c r="E9336" s="13">
        <f t="shared" si="2"/>
        <v>14</v>
      </c>
    </row>
    <row r="9337">
      <c r="A9337" s="4" t="s">
        <v>9945</v>
      </c>
      <c r="B9337" s="16"/>
      <c r="C9337" s="12">
        <f>IFERROR(__xludf.DUMMYFUNCTION("""COMPUTED_VALUE"""),44605.58196759259)</f>
        <v>44605.58197</v>
      </c>
      <c r="D9337" s="13">
        <f t="shared" si="1"/>
        <v>13</v>
      </c>
      <c r="E9337" s="13">
        <f t="shared" si="2"/>
        <v>13</v>
      </c>
    </row>
    <row r="9338">
      <c r="A9338" s="4" t="s">
        <v>9946</v>
      </c>
      <c r="B9338" s="16"/>
      <c r="C9338" s="12">
        <f>IFERROR(__xludf.DUMMYFUNCTION("""COMPUTED_VALUE"""),44605.573333333334)</f>
        <v>44605.57333</v>
      </c>
      <c r="D9338" s="13">
        <f t="shared" si="1"/>
        <v>13</v>
      </c>
      <c r="E9338" s="13">
        <f t="shared" si="2"/>
        <v>13</v>
      </c>
    </row>
    <row r="9339">
      <c r="A9339" s="4" t="s">
        <v>9947</v>
      </c>
      <c r="B9339" s="16"/>
      <c r="C9339" s="12">
        <f>IFERROR(__xludf.DUMMYFUNCTION("""COMPUTED_VALUE"""),44605.562685185185)</f>
        <v>44605.56269</v>
      </c>
      <c r="D9339" s="13">
        <f t="shared" si="1"/>
        <v>13</v>
      </c>
      <c r="E9339" s="13">
        <f t="shared" si="2"/>
        <v>13</v>
      </c>
    </row>
    <row r="9340">
      <c r="A9340" s="4" t="s">
        <v>9948</v>
      </c>
      <c r="B9340" s="16"/>
      <c r="C9340" s="12">
        <f>IFERROR(__xludf.DUMMYFUNCTION("""COMPUTED_VALUE"""),44605.56186342592)</f>
        <v>44605.56186</v>
      </c>
      <c r="D9340" s="13">
        <f t="shared" si="1"/>
        <v>13</v>
      </c>
      <c r="E9340" s="13">
        <f t="shared" si="2"/>
        <v>13</v>
      </c>
    </row>
    <row r="9341">
      <c r="A9341" s="4" t="s">
        <v>9949</v>
      </c>
      <c r="B9341" s="16"/>
      <c r="C9341" s="12">
        <f>IFERROR(__xludf.DUMMYFUNCTION("""COMPUTED_VALUE"""),44605.524363425924)</f>
        <v>44605.52436</v>
      </c>
      <c r="D9341" s="13">
        <f t="shared" si="1"/>
        <v>13</v>
      </c>
      <c r="E9341" s="13">
        <f t="shared" si="2"/>
        <v>12</v>
      </c>
    </row>
    <row r="9342">
      <c r="A9342" s="4" t="s">
        <v>9950</v>
      </c>
      <c r="B9342" s="16"/>
      <c r="C9342" s="12">
        <f>IFERROR(__xludf.DUMMYFUNCTION("""COMPUTED_VALUE"""),44605.4925)</f>
        <v>44605.4925</v>
      </c>
      <c r="D9342" s="13">
        <f t="shared" si="1"/>
        <v>13</v>
      </c>
      <c r="E9342" s="13">
        <f t="shared" si="2"/>
        <v>11</v>
      </c>
    </row>
    <row r="9343">
      <c r="A9343" s="4" t="s">
        <v>9951</v>
      </c>
      <c r="B9343" s="16"/>
      <c r="C9343" s="12">
        <f>IFERROR(__xludf.DUMMYFUNCTION("""COMPUTED_VALUE"""),44605.45634259259)</f>
        <v>44605.45634</v>
      </c>
      <c r="D9343" s="13">
        <f t="shared" si="1"/>
        <v>13</v>
      </c>
      <c r="E9343" s="13">
        <f t="shared" si="2"/>
        <v>10</v>
      </c>
    </row>
    <row r="9344">
      <c r="A9344" s="4" t="s">
        <v>9952</v>
      </c>
      <c r="B9344" s="16"/>
      <c r="C9344" s="12">
        <f>IFERROR(__xludf.DUMMYFUNCTION("""COMPUTED_VALUE"""),44605.4190625)</f>
        <v>44605.41906</v>
      </c>
      <c r="D9344" s="13">
        <f t="shared" si="1"/>
        <v>13</v>
      </c>
      <c r="E9344" s="13">
        <f t="shared" si="2"/>
        <v>10</v>
      </c>
    </row>
    <row r="9345">
      <c r="A9345" s="4" t="s">
        <v>9953</v>
      </c>
      <c r="B9345" s="16"/>
      <c r="C9345" s="12">
        <f>IFERROR(__xludf.DUMMYFUNCTION("""COMPUTED_VALUE"""),44605.41761574074)</f>
        <v>44605.41762</v>
      </c>
      <c r="D9345" s="13">
        <f t="shared" si="1"/>
        <v>13</v>
      </c>
      <c r="E9345" s="13">
        <f t="shared" si="2"/>
        <v>10</v>
      </c>
    </row>
    <row r="9346">
      <c r="A9346" s="4" t="s">
        <v>9954</v>
      </c>
      <c r="B9346" s="16"/>
      <c r="C9346" s="12">
        <f>IFERROR(__xludf.DUMMYFUNCTION("""COMPUTED_VALUE"""),44605.415196759255)</f>
        <v>44605.4152</v>
      </c>
      <c r="D9346" s="13">
        <f t="shared" si="1"/>
        <v>13</v>
      </c>
      <c r="E9346" s="13">
        <f t="shared" si="2"/>
        <v>9</v>
      </c>
    </row>
    <row r="9347">
      <c r="A9347" s="4" t="s">
        <v>9955</v>
      </c>
      <c r="B9347" s="16"/>
      <c r="C9347" s="12">
        <f>IFERROR(__xludf.DUMMYFUNCTION("""COMPUTED_VALUE"""),44605.25884259259)</f>
        <v>44605.25884</v>
      </c>
      <c r="D9347" s="13">
        <f t="shared" si="1"/>
        <v>13</v>
      </c>
      <c r="E9347" s="13">
        <f t="shared" si="2"/>
        <v>6</v>
      </c>
    </row>
    <row r="9348">
      <c r="A9348" s="4" t="s">
        <v>9956</v>
      </c>
      <c r="B9348" s="16"/>
      <c r="C9348" s="12">
        <f>IFERROR(__xludf.DUMMYFUNCTION("""COMPUTED_VALUE"""),44604.97841435185)</f>
        <v>44604.97841</v>
      </c>
      <c r="D9348" s="13">
        <f t="shared" si="1"/>
        <v>12</v>
      </c>
      <c r="E9348" s="13">
        <f t="shared" si="2"/>
        <v>23</v>
      </c>
    </row>
    <row r="9349">
      <c r="A9349" s="4" t="s">
        <v>9957</v>
      </c>
      <c r="B9349" s="16"/>
      <c r="C9349" s="12">
        <f>IFERROR(__xludf.DUMMYFUNCTION("""COMPUTED_VALUE"""),44604.937939814816)</f>
        <v>44604.93794</v>
      </c>
      <c r="D9349" s="13">
        <f t="shared" si="1"/>
        <v>12</v>
      </c>
      <c r="E9349" s="13">
        <f t="shared" si="2"/>
        <v>22</v>
      </c>
    </row>
    <row r="9350">
      <c r="A9350" s="4" t="s">
        <v>9958</v>
      </c>
      <c r="B9350" s="16"/>
      <c r="C9350" s="12">
        <f>IFERROR(__xludf.DUMMYFUNCTION("""COMPUTED_VALUE"""),44604.879849537036)</f>
        <v>44604.87985</v>
      </c>
      <c r="D9350" s="13">
        <f t="shared" si="1"/>
        <v>12</v>
      </c>
      <c r="E9350" s="13">
        <f t="shared" si="2"/>
        <v>21</v>
      </c>
    </row>
    <row r="9351">
      <c r="A9351" s="4" t="s">
        <v>9959</v>
      </c>
      <c r="B9351" s="16"/>
      <c r="C9351" s="12">
        <f>IFERROR(__xludf.DUMMYFUNCTION("""COMPUTED_VALUE"""),44604.87981481481)</f>
        <v>44604.87981</v>
      </c>
      <c r="D9351" s="13">
        <f t="shared" si="1"/>
        <v>12</v>
      </c>
      <c r="E9351" s="13">
        <f t="shared" si="2"/>
        <v>21</v>
      </c>
    </row>
    <row r="9352">
      <c r="A9352" s="4" t="s">
        <v>9960</v>
      </c>
      <c r="B9352" s="16"/>
      <c r="C9352" s="12">
        <f>IFERROR(__xludf.DUMMYFUNCTION("""COMPUTED_VALUE"""),44604.87962962963)</f>
        <v>44604.87963</v>
      </c>
      <c r="D9352" s="13">
        <f t="shared" si="1"/>
        <v>12</v>
      </c>
      <c r="E9352" s="13">
        <f t="shared" si="2"/>
        <v>21</v>
      </c>
    </row>
    <row r="9353">
      <c r="A9353" s="4" t="s">
        <v>9961</v>
      </c>
      <c r="B9353" s="16"/>
      <c r="C9353" s="12">
        <f>IFERROR(__xludf.DUMMYFUNCTION("""COMPUTED_VALUE"""),44604.86858796296)</f>
        <v>44604.86859</v>
      </c>
      <c r="D9353" s="13">
        <f t="shared" si="1"/>
        <v>12</v>
      </c>
      <c r="E9353" s="13">
        <f t="shared" si="2"/>
        <v>20</v>
      </c>
    </row>
    <row r="9354">
      <c r="A9354" s="4" t="s">
        <v>9962</v>
      </c>
      <c r="B9354" s="16"/>
      <c r="C9354" s="12">
        <f>IFERROR(__xludf.DUMMYFUNCTION("""COMPUTED_VALUE"""),44604.849224537036)</f>
        <v>44604.84922</v>
      </c>
      <c r="D9354" s="13">
        <f t="shared" si="1"/>
        <v>12</v>
      </c>
      <c r="E9354" s="13">
        <f t="shared" si="2"/>
        <v>20</v>
      </c>
    </row>
    <row r="9355">
      <c r="A9355" s="4" t="s">
        <v>9963</v>
      </c>
      <c r="B9355" s="16"/>
      <c r="C9355" s="12">
        <f>IFERROR(__xludf.DUMMYFUNCTION("""COMPUTED_VALUE"""),44604.83789351852)</f>
        <v>44604.83789</v>
      </c>
      <c r="D9355" s="13">
        <f t="shared" si="1"/>
        <v>12</v>
      </c>
      <c r="E9355" s="13">
        <f t="shared" si="2"/>
        <v>20</v>
      </c>
    </row>
    <row r="9356">
      <c r="A9356" s="4" t="s">
        <v>9964</v>
      </c>
      <c r="B9356" s="16"/>
      <c r="C9356" s="12">
        <f>IFERROR(__xludf.DUMMYFUNCTION("""COMPUTED_VALUE"""),44604.798622685186)</f>
        <v>44604.79862</v>
      </c>
      <c r="D9356" s="13">
        <f t="shared" si="1"/>
        <v>12</v>
      </c>
      <c r="E9356" s="13">
        <f t="shared" si="2"/>
        <v>19</v>
      </c>
    </row>
    <row r="9357">
      <c r="A9357" s="4" t="s">
        <v>9965</v>
      </c>
      <c r="B9357" s="16"/>
      <c r="C9357" s="12">
        <f>IFERROR(__xludf.DUMMYFUNCTION("""COMPUTED_VALUE"""),44604.7902662037)</f>
        <v>44604.79027</v>
      </c>
      <c r="D9357" s="13">
        <f t="shared" si="1"/>
        <v>12</v>
      </c>
      <c r="E9357" s="13">
        <f t="shared" si="2"/>
        <v>18</v>
      </c>
    </row>
    <row r="9358">
      <c r="A9358" s="4" t="s">
        <v>9966</v>
      </c>
      <c r="B9358" s="16"/>
      <c r="C9358" s="12">
        <f>IFERROR(__xludf.DUMMYFUNCTION("""COMPUTED_VALUE"""),44604.77040509259)</f>
        <v>44604.77041</v>
      </c>
      <c r="D9358" s="13">
        <f t="shared" si="1"/>
        <v>12</v>
      </c>
      <c r="E9358" s="13">
        <f t="shared" si="2"/>
        <v>18</v>
      </c>
    </row>
    <row r="9359">
      <c r="A9359" s="4" t="s">
        <v>9967</v>
      </c>
      <c r="B9359" s="16"/>
      <c r="C9359" s="12">
        <f>IFERROR(__xludf.DUMMYFUNCTION("""COMPUTED_VALUE"""),44604.76609953703)</f>
        <v>44604.7661</v>
      </c>
      <c r="D9359" s="13">
        <f t="shared" si="1"/>
        <v>12</v>
      </c>
      <c r="E9359" s="13">
        <f t="shared" si="2"/>
        <v>18</v>
      </c>
    </row>
    <row r="9360">
      <c r="A9360" s="4" t="s">
        <v>9968</v>
      </c>
      <c r="B9360" s="16"/>
      <c r="C9360" s="12">
        <f>IFERROR(__xludf.DUMMYFUNCTION("""COMPUTED_VALUE"""),44604.76373842592)</f>
        <v>44604.76374</v>
      </c>
      <c r="D9360" s="13">
        <f t="shared" si="1"/>
        <v>12</v>
      </c>
      <c r="E9360" s="13">
        <f t="shared" si="2"/>
        <v>18</v>
      </c>
    </row>
    <row r="9361">
      <c r="A9361" s="4" t="s">
        <v>9969</v>
      </c>
      <c r="B9361" s="16"/>
      <c r="C9361" s="12">
        <f>IFERROR(__xludf.DUMMYFUNCTION("""COMPUTED_VALUE"""),44604.57935185185)</f>
        <v>44604.57935</v>
      </c>
      <c r="D9361" s="13">
        <f t="shared" si="1"/>
        <v>12</v>
      </c>
      <c r="E9361" s="13">
        <f t="shared" si="2"/>
        <v>13</v>
      </c>
    </row>
    <row r="9362">
      <c r="A9362" s="4" t="s">
        <v>9970</v>
      </c>
      <c r="B9362" s="16"/>
      <c r="C9362" s="12">
        <f>IFERROR(__xludf.DUMMYFUNCTION("""COMPUTED_VALUE"""),44604.536574074074)</f>
        <v>44604.53657</v>
      </c>
      <c r="D9362" s="13">
        <f t="shared" si="1"/>
        <v>12</v>
      </c>
      <c r="E9362" s="13">
        <f t="shared" si="2"/>
        <v>12</v>
      </c>
    </row>
    <row r="9363">
      <c r="A9363" s="4" t="s">
        <v>9971</v>
      </c>
      <c r="B9363" s="16"/>
      <c r="C9363" s="12">
        <f>IFERROR(__xludf.DUMMYFUNCTION("""COMPUTED_VALUE"""),44604.48721064815)</f>
        <v>44604.48721</v>
      </c>
      <c r="D9363" s="13">
        <f t="shared" si="1"/>
        <v>12</v>
      </c>
      <c r="E9363" s="13">
        <f t="shared" si="2"/>
        <v>11</v>
      </c>
    </row>
    <row r="9364">
      <c r="A9364" s="4" t="s">
        <v>9972</v>
      </c>
      <c r="B9364" s="16"/>
      <c r="C9364" s="12">
        <f>IFERROR(__xludf.DUMMYFUNCTION("""COMPUTED_VALUE"""),44604.480370370366)</f>
        <v>44604.48037</v>
      </c>
      <c r="D9364" s="13">
        <f t="shared" si="1"/>
        <v>12</v>
      </c>
      <c r="E9364" s="13">
        <f t="shared" si="2"/>
        <v>11</v>
      </c>
    </row>
    <row r="9365">
      <c r="A9365" s="4" t="s">
        <v>9973</v>
      </c>
      <c r="B9365" s="16"/>
      <c r="C9365" s="12">
        <f>IFERROR(__xludf.DUMMYFUNCTION("""COMPUTED_VALUE"""),44604.47635416666)</f>
        <v>44604.47635</v>
      </c>
      <c r="D9365" s="13">
        <f t="shared" si="1"/>
        <v>12</v>
      </c>
      <c r="E9365" s="13">
        <f t="shared" si="2"/>
        <v>11</v>
      </c>
    </row>
    <row r="9366">
      <c r="A9366" s="4" t="s">
        <v>9974</v>
      </c>
      <c r="B9366" s="16"/>
      <c r="C9366" s="12">
        <f>IFERROR(__xludf.DUMMYFUNCTION("""COMPUTED_VALUE"""),44604.4092824074)</f>
        <v>44604.40928</v>
      </c>
      <c r="D9366" s="13">
        <f t="shared" si="1"/>
        <v>12</v>
      </c>
      <c r="E9366" s="13">
        <f t="shared" si="2"/>
        <v>9</v>
      </c>
    </row>
    <row r="9367">
      <c r="A9367" s="4" t="s">
        <v>9975</v>
      </c>
      <c r="B9367" s="16"/>
      <c r="C9367" s="12">
        <f>IFERROR(__xludf.DUMMYFUNCTION("""COMPUTED_VALUE"""),44604.408055555556)</f>
        <v>44604.40806</v>
      </c>
      <c r="D9367" s="13">
        <f t="shared" si="1"/>
        <v>12</v>
      </c>
      <c r="E9367" s="13">
        <f t="shared" si="2"/>
        <v>9</v>
      </c>
    </row>
    <row r="9368">
      <c r="A9368" s="4" t="s">
        <v>9976</v>
      </c>
      <c r="B9368" s="16"/>
      <c r="C9368" s="12">
        <f>IFERROR(__xludf.DUMMYFUNCTION("""COMPUTED_VALUE"""),44604.407685185186)</f>
        <v>44604.40769</v>
      </c>
      <c r="D9368" s="13">
        <f t="shared" si="1"/>
        <v>12</v>
      </c>
      <c r="E9368" s="13">
        <f t="shared" si="2"/>
        <v>9</v>
      </c>
    </row>
    <row r="9369">
      <c r="A9369" s="4" t="s">
        <v>9977</v>
      </c>
      <c r="B9369" s="16"/>
      <c r="C9369" s="12">
        <f>IFERROR(__xludf.DUMMYFUNCTION("""COMPUTED_VALUE"""),44604.36059027778)</f>
        <v>44604.36059</v>
      </c>
      <c r="D9369" s="13">
        <f t="shared" si="1"/>
        <v>12</v>
      </c>
      <c r="E9369" s="13">
        <f t="shared" si="2"/>
        <v>8</v>
      </c>
    </row>
    <row r="9370">
      <c r="A9370" s="4" t="s">
        <v>9978</v>
      </c>
      <c r="B9370" s="16"/>
      <c r="C9370" s="12">
        <f>IFERROR(__xludf.DUMMYFUNCTION("""COMPUTED_VALUE"""),44604.35296296296)</f>
        <v>44604.35296</v>
      </c>
      <c r="D9370" s="13">
        <f t="shared" si="1"/>
        <v>12</v>
      </c>
      <c r="E9370" s="13">
        <f t="shared" si="2"/>
        <v>8</v>
      </c>
    </row>
    <row r="9371">
      <c r="A9371" s="4" t="s">
        <v>9979</v>
      </c>
      <c r="B9371" s="16"/>
      <c r="C9371" s="12">
        <f>IFERROR(__xludf.DUMMYFUNCTION("""COMPUTED_VALUE"""),44604.31013888889)</f>
        <v>44604.31014</v>
      </c>
      <c r="D9371" s="13">
        <f t="shared" si="1"/>
        <v>12</v>
      </c>
      <c r="E9371" s="13">
        <f t="shared" si="2"/>
        <v>7</v>
      </c>
    </row>
    <row r="9372">
      <c r="C9372" s="15"/>
    </row>
    <row r="9373">
      <c r="A9373" s="24"/>
      <c r="B9373" s="25"/>
      <c r="C9373" s="24"/>
      <c r="D9373" s="26"/>
      <c r="E9373" s="24"/>
      <c r="F9373" s="24"/>
      <c r="G9373" s="24"/>
      <c r="H9373" s="24"/>
      <c r="I9373" s="24"/>
      <c r="J9373" s="24"/>
      <c r="K9373" s="24"/>
      <c r="L9373" s="24"/>
      <c r="M9373" s="24"/>
      <c r="N9373" s="24"/>
      <c r="O9373" s="24"/>
      <c r="P9373" s="24"/>
      <c r="Q9373" s="24"/>
      <c r="R9373" s="24"/>
      <c r="S9373" s="24"/>
      <c r="T9373" s="24"/>
      <c r="U9373" s="24"/>
      <c r="V9373" s="24"/>
      <c r="W9373" s="24"/>
      <c r="X9373" s="24"/>
      <c r="Y9373" s="24"/>
      <c r="Z9373" s="24"/>
      <c r="AA9373" s="24"/>
    </row>
    <row r="9374">
      <c r="A9374" s="24"/>
      <c r="B9374" s="25"/>
      <c r="C9374" s="24"/>
      <c r="D9374" s="26"/>
      <c r="E9374" s="24"/>
      <c r="F9374" s="24"/>
      <c r="G9374" s="24"/>
      <c r="H9374" s="24"/>
      <c r="I9374" s="24"/>
      <c r="J9374" s="24"/>
      <c r="K9374" s="24"/>
      <c r="L9374" s="24"/>
      <c r="M9374" s="24"/>
      <c r="N9374" s="24"/>
      <c r="O9374" s="24"/>
      <c r="P9374" s="24"/>
      <c r="Q9374" s="24"/>
      <c r="R9374" s="24"/>
      <c r="S9374" s="24"/>
      <c r="T9374" s="24"/>
      <c r="U9374" s="24"/>
      <c r="V9374" s="24"/>
      <c r="W9374" s="24"/>
      <c r="X9374" s="24"/>
      <c r="Y9374" s="24"/>
      <c r="Z9374" s="24"/>
      <c r="AA9374" s="24"/>
    </row>
    <row r="9375">
      <c r="A9375" s="24"/>
      <c r="B9375" s="25"/>
      <c r="C9375" s="24"/>
      <c r="D9375" s="26"/>
      <c r="E9375" s="24"/>
      <c r="F9375" s="24"/>
      <c r="G9375" s="24"/>
      <c r="H9375" s="24"/>
      <c r="I9375" s="24"/>
      <c r="J9375" s="24"/>
      <c r="K9375" s="24"/>
      <c r="L9375" s="24"/>
      <c r="M9375" s="24"/>
      <c r="N9375" s="24"/>
      <c r="O9375" s="24"/>
      <c r="P9375" s="24"/>
      <c r="Q9375" s="24"/>
      <c r="R9375" s="24"/>
      <c r="S9375" s="24"/>
      <c r="T9375" s="24"/>
      <c r="U9375" s="24"/>
      <c r="V9375" s="24"/>
      <c r="W9375" s="24"/>
      <c r="X9375" s="24"/>
      <c r="Y9375" s="24"/>
      <c r="Z9375" s="24"/>
      <c r="AA9375" s="24"/>
    </row>
    <row r="9376">
      <c r="A9376" s="24"/>
      <c r="B9376" s="25"/>
      <c r="C9376" s="24"/>
      <c r="D9376" s="26"/>
      <c r="E9376" s="24"/>
      <c r="F9376" s="24"/>
      <c r="G9376" s="24"/>
      <c r="H9376" s="24"/>
      <c r="I9376" s="24"/>
      <c r="J9376" s="24"/>
      <c r="K9376" s="24"/>
      <c r="L9376" s="24"/>
      <c r="M9376" s="24"/>
      <c r="N9376" s="24"/>
      <c r="O9376" s="24"/>
      <c r="P9376" s="24"/>
      <c r="Q9376" s="24"/>
      <c r="R9376" s="24"/>
      <c r="S9376" s="24"/>
      <c r="T9376" s="24"/>
      <c r="U9376" s="24"/>
      <c r="V9376" s="24"/>
      <c r="W9376" s="24"/>
      <c r="X9376" s="24"/>
      <c r="Y9376" s="24"/>
      <c r="Z9376" s="24"/>
      <c r="AA9376" s="24"/>
    </row>
    <row r="9377">
      <c r="A9377" s="24"/>
      <c r="B9377" s="25"/>
      <c r="C9377" s="24"/>
      <c r="D9377" s="26"/>
      <c r="E9377" s="24"/>
      <c r="F9377" s="24"/>
      <c r="G9377" s="24"/>
      <c r="H9377" s="24"/>
      <c r="I9377" s="24"/>
      <c r="J9377" s="24"/>
      <c r="K9377" s="24"/>
      <c r="L9377" s="24"/>
      <c r="M9377" s="24"/>
      <c r="N9377" s="24"/>
      <c r="O9377" s="24"/>
      <c r="P9377" s="24"/>
      <c r="Q9377" s="24"/>
      <c r="R9377" s="24"/>
      <c r="S9377" s="24"/>
      <c r="T9377" s="24"/>
      <c r="U9377" s="24"/>
      <c r="V9377" s="24"/>
      <c r="W9377" s="24"/>
      <c r="X9377" s="24"/>
      <c r="Y9377" s="24"/>
      <c r="Z9377" s="24"/>
      <c r="AA9377" s="24"/>
    </row>
    <row r="9378">
      <c r="A9378" s="24"/>
      <c r="B9378" s="25"/>
      <c r="C9378" s="24"/>
      <c r="D9378" s="26"/>
      <c r="E9378" s="24"/>
      <c r="F9378" s="24"/>
      <c r="G9378" s="24"/>
      <c r="H9378" s="24"/>
      <c r="I9378" s="24"/>
      <c r="J9378" s="24"/>
      <c r="K9378" s="24"/>
      <c r="L9378" s="24"/>
      <c r="M9378" s="24"/>
      <c r="N9378" s="24"/>
      <c r="O9378" s="24"/>
      <c r="P9378" s="24"/>
      <c r="Q9378" s="24"/>
      <c r="R9378" s="24"/>
      <c r="S9378" s="24"/>
      <c r="T9378" s="24"/>
      <c r="U9378" s="24"/>
      <c r="V9378" s="24"/>
      <c r="W9378" s="24"/>
      <c r="X9378" s="24"/>
      <c r="Y9378" s="24"/>
      <c r="Z9378" s="24"/>
      <c r="AA9378" s="24"/>
    </row>
    <row r="9379">
      <c r="A9379" s="24"/>
      <c r="B9379" s="25"/>
      <c r="C9379" s="24"/>
      <c r="D9379" s="26"/>
      <c r="E9379" s="24"/>
      <c r="F9379" s="24"/>
      <c r="G9379" s="24"/>
      <c r="H9379" s="24"/>
      <c r="I9379" s="24"/>
      <c r="J9379" s="24"/>
      <c r="K9379" s="24"/>
      <c r="L9379" s="24"/>
      <c r="M9379" s="24"/>
      <c r="N9379" s="24"/>
      <c r="O9379" s="24"/>
      <c r="P9379" s="24"/>
      <c r="Q9379" s="24"/>
      <c r="R9379" s="24"/>
      <c r="S9379" s="24"/>
      <c r="T9379" s="24"/>
      <c r="U9379" s="24"/>
      <c r="V9379" s="24"/>
      <c r="W9379" s="24"/>
      <c r="X9379" s="24"/>
      <c r="Y9379" s="24"/>
      <c r="Z9379" s="24"/>
      <c r="AA9379" s="24"/>
    </row>
    <row r="9380">
      <c r="A9380" s="24"/>
      <c r="B9380" s="25"/>
      <c r="C9380" s="24"/>
      <c r="D9380" s="26"/>
      <c r="E9380" s="24"/>
      <c r="F9380" s="24"/>
      <c r="G9380" s="24"/>
      <c r="H9380" s="24"/>
      <c r="I9380" s="24"/>
      <c r="J9380" s="24"/>
      <c r="K9380" s="24"/>
      <c r="L9380" s="24"/>
      <c r="M9380" s="24"/>
      <c r="N9380" s="24"/>
      <c r="O9380" s="24"/>
      <c r="P9380" s="24"/>
      <c r="Q9380" s="24"/>
      <c r="R9380" s="24"/>
      <c r="S9380" s="24"/>
      <c r="T9380" s="24"/>
      <c r="U9380" s="24"/>
      <c r="V9380" s="24"/>
      <c r="W9380" s="24"/>
      <c r="X9380" s="24"/>
      <c r="Y9380" s="24"/>
      <c r="Z9380" s="24"/>
      <c r="AA9380" s="24"/>
    </row>
    <row r="9381">
      <c r="A9381" s="24"/>
      <c r="B9381" s="25"/>
      <c r="C9381" s="24"/>
      <c r="D9381" s="26"/>
      <c r="E9381" s="24"/>
      <c r="F9381" s="24"/>
      <c r="G9381" s="24"/>
      <c r="H9381" s="24"/>
      <c r="I9381" s="24"/>
      <c r="J9381" s="24"/>
      <c r="K9381" s="24"/>
      <c r="L9381" s="24"/>
      <c r="M9381" s="24"/>
      <c r="N9381" s="24"/>
      <c r="O9381" s="24"/>
      <c r="P9381" s="24"/>
      <c r="Q9381" s="24"/>
      <c r="R9381" s="24"/>
      <c r="S9381" s="24"/>
      <c r="T9381" s="24"/>
      <c r="U9381" s="24"/>
      <c r="V9381" s="24"/>
      <c r="W9381" s="24"/>
      <c r="X9381" s="24"/>
      <c r="Y9381" s="24"/>
      <c r="Z9381" s="24"/>
      <c r="AA9381" s="24"/>
    </row>
    <row r="9382">
      <c r="A9382" s="24"/>
      <c r="B9382" s="25"/>
      <c r="C9382" s="24"/>
      <c r="D9382" s="26"/>
      <c r="E9382" s="24"/>
      <c r="F9382" s="24"/>
      <c r="G9382" s="24"/>
      <c r="H9382" s="24"/>
      <c r="I9382" s="24"/>
      <c r="J9382" s="24"/>
      <c r="K9382" s="24"/>
      <c r="L9382" s="24"/>
      <c r="M9382" s="24"/>
      <c r="N9382" s="24"/>
      <c r="O9382" s="24"/>
      <c r="P9382" s="24"/>
      <c r="Q9382" s="24"/>
      <c r="R9382" s="24"/>
      <c r="S9382" s="24"/>
      <c r="T9382" s="24"/>
      <c r="U9382" s="24"/>
      <c r="V9382" s="24"/>
      <c r="W9382" s="24"/>
      <c r="X9382" s="24"/>
      <c r="Y9382" s="24"/>
      <c r="Z9382" s="24"/>
      <c r="AA9382" s="24"/>
    </row>
    <row r="9383">
      <c r="A9383" s="24"/>
      <c r="B9383" s="25"/>
      <c r="C9383" s="24"/>
      <c r="D9383" s="26"/>
      <c r="E9383" s="24"/>
      <c r="F9383" s="24"/>
      <c r="G9383" s="24"/>
      <c r="H9383" s="24"/>
      <c r="I9383" s="24"/>
      <c r="J9383" s="24"/>
      <c r="K9383" s="24"/>
      <c r="L9383" s="24"/>
      <c r="M9383" s="24"/>
      <c r="N9383" s="24"/>
      <c r="O9383" s="24"/>
      <c r="P9383" s="24"/>
      <c r="Q9383" s="24"/>
      <c r="R9383" s="24"/>
      <c r="S9383" s="24"/>
      <c r="T9383" s="24"/>
      <c r="U9383" s="24"/>
      <c r="V9383" s="24"/>
      <c r="W9383" s="24"/>
      <c r="X9383" s="24"/>
      <c r="Y9383" s="24"/>
      <c r="Z9383" s="24"/>
      <c r="AA9383" s="24"/>
    </row>
    <row r="9384">
      <c r="A9384" s="24"/>
      <c r="B9384" s="25"/>
      <c r="C9384" s="24"/>
      <c r="D9384" s="26"/>
      <c r="E9384" s="24"/>
      <c r="F9384" s="24"/>
      <c r="G9384" s="24"/>
      <c r="H9384" s="24"/>
      <c r="I9384" s="24"/>
      <c r="J9384" s="24"/>
      <c r="K9384" s="24"/>
      <c r="L9384" s="24"/>
      <c r="M9384" s="24"/>
      <c r="N9384" s="24"/>
      <c r="O9384" s="24"/>
      <c r="P9384" s="24"/>
      <c r="Q9384" s="24"/>
      <c r="R9384" s="24"/>
      <c r="S9384" s="24"/>
      <c r="T9384" s="24"/>
      <c r="U9384" s="24"/>
      <c r="V9384" s="24"/>
      <c r="W9384" s="24"/>
      <c r="X9384" s="24"/>
      <c r="Y9384" s="24"/>
      <c r="Z9384" s="24"/>
      <c r="AA9384" s="24"/>
    </row>
    <row r="9385">
      <c r="A9385" s="24"/>
      <c r="B9385" s="25"/>
      <c r="C9385" s="24"/>
      <c r="D9385" s="26"/>
      <c r="E9385" s="24"/>
      <c r="F9385" s="24"/>
      <c r="G9385" s="24"/>
      <c r="H9385" s="24"/>
      <c r="I9385" s="24"/>
      <c r="J9385" s="24"/>
      <c r="K9385" s="24"/>
      <c r="L9385" s="24"/>
      <c r="M9385" s="24"/>
      <c r="N9385" s="24"/>
      <c r="O9385" s="24"/>
      <c r="P9385" s="24"/>
      <c r="Q9385" s="24"/>
      <c r="R9385" s="24"/>
      <c r="S9385" s="24"/>
      <c r="T9385" s="24"/>
      <c r="U9385" s="24"/>
      <c r="V9385" s="24"/>
      <c r="W9385" s="24"/>
      <c r="X9385" s="24"/>
      <c r="Y9385" s="24"/>
      <c r="Z9385" s="24"/>
      <c r="AA9385" s="24"/>
    </row>
    <row r="9386">
      <c r="A9386" s="24"/>
      <c r="B9386" s="25"/>
      <c r="C9386" s="24"/>
      <c r="D9386" s="26"/>
      <c r="E9386" s="24"/>
      <c r="F9386" s="24"/>
      <c r="G9386" s="24"/>
      <c r="H9386" s="24"/>
      <c r="I9386" s="24"/>
      <c r="J9386" s="24"/>
      <c r="K9386" s="24"/>
      <c r="L9386" s="24"/>
      <c r="M9386" s="24"/>
      <c r="N9386" s="24"/>
      <c r="O9386" s="24"/>
      <c r="P9386" s="24"/>
      <c r="Q9386" s="24"/>
      <c r="R9386" s="24"/>
      <c r="S9386" s="24"/>
      <c r="T9386" s="24"/>
      <c r="U9386" s="24"/>
      <c r="V9386" s="24"/>
      <c r="W9386" s="24"/>
      <c r="X9386" s="24"/>
      <c r="Y9386" s="24"/>
      <c r="Z9386" s="24"/>
      <c r="AA9386" s="24"/>
    </row>
    <row r="9387">
      <c r="A9387" s="24"/>
      <c r="B9387" s="25"/>
      <c r="C9387" s="24"/>
      <c r="D9387" s="26"/>
      <c r="E9387" s="24"/>
      <c r="F9387" s="24"/>
      <c r="G9387" s="24"/>
      <c r="H9387" s="24"/>
      <c r="I9387" s="24"/>
      <c r="J9387" s="24"/>
      <c r="K9387" s="24"/>
      <c r="L9387" s="24"/>
      <c r="M9387" s="24"/>
      <c r="N9387" s="24"/>
      <c r="O9387" s="24"/>
      <c r="P9387" s="24"/>
      <c r="Q9387" s="24"/>
      <c r="R9387" s="24"/>
      <c r="S9387" s="24"/>
      <c r="T9387" s="24"/>
      <c r="U9387" s="24"/>
      <c r="V9387" s="24"/>
      <c r="W9387" s="24"/>
      <c r="X9387" s="24"/>
      <c r="Y9387" s="24"/>
      <c r="Z9387" s="24"/>
      <c r="AA9387" s="24"/>
    </row>
    <row r="9388">
      <c r="A9388" s="24"/>
      <c r="B9388" s="25"/>
      <c r="C9388" s="24"/>
      <c r="D9388" s="26"/>
      <c r="E9388" s="24"/>
      <c r="F9388" s="24"/>
      <c r="G9388" s="24"/>
      <c r="H9388" s="24"/>
      <c r="I9388" s="24"/>
      <c r="J9388" s="24"/>
      <c r="K9388" s="24"/>
      <c r="L9388" s="24"/>
      <c r="M9388" s="24"/>
      <c r="N9388" s="24"/>
      <c r="O9388" s="24"/>
      <c r="P9388" s="24"/>
      <c r="Q9388" s="24"/>
      <c r="R9388" s="24"/>
      <c r="S9388" s="24"/>
      <c r="T9388" s="24"/>
      <c r="U9388" s="24"/>
      <c r="V9388" s="24"/>
      <c r="W9388" s="24"/>
      <c r="X9388" s="24"/>
      <c r="Y9388" s="24"/>
      <c r="Z9388" s="24"/>
      <c r="AA9388" s="24"/>
    </row>
    <row r="9389">
      <c r="A9389" s="24"/>
      <c r="B9389" s="25"/>
      <c r="C9389" s="24"/>
      <c r="D9389" s="26"/>
      <c r="E9389" s="24"/>
      <c r="F9389" s="24"/>
      <c r="G9389" s="24"/>
      <c r="H9389" s="24"/>
      <c r="I9389" s="24"/>
      <c r="J9389" s="24"/>
      <c r="K9389" s="24"/>
      <c r="L9389" s="24"/>
      <c r="M9389" s="24"/>
      <c r="N9389" s="24"/>
      <c r="O9389" s="24"/>
      <c r="P9389" s="24"/>
      <c r="Q9389" s="24"/>
      <c r="R9389" s="24"/>
      <c r="S9389" s="24"/>
      <c r="T9389" s="24"/>
      <c r="U9389" s="24"/>
      <c r="V9389" s="24"/>
      <c r="W9389" s="24"/>
      <c r="X9389" s="24"/>
      <c r="Y9389" s="24"/>
      <c r="Z9389" s="24"/>
      <c r="AA9389" s="24"/>
    </row>
    <row r="9390">
      <c r="A9390" s="24"/>
      <c r="B9390" s="25"/>
      <c r="C9390" s="24"/>
      <c r="D9390" s="26"/>
      <c r="E9390" s="24"/>
      <c r="F9390" s="24"/>
      <c r="G9390" s="24"/>
      <c r="H9390" s="24"/>
      <c r="I9390" s="24"/>
      <c r="J9390" s="24"/>
      <c r="K9390" s="24"/>
      <c r="L9390" s="24"/>
      <c r="M9390" s="24"/>
      <c r="N9390" s="24"/>
      <c r="O9390" s="24"/>
      <c r="P9390" s="24"/>
      <c r="Q9390" s="24"/>
      <c r="R9390" s="24"/>
      <c r="S9390" s="24"/>
      <c r="T9390" s="24"/>
      <c r="U9390" s="24"/>
      <c r="V9390" s="24"/>
      <c r="W9390" s="24"/>
      <c r="X9390" s="24"/>
      <c r="Y9390" s="24"/>
      <c r="Z9390" s="24"/>
      <c r="AA9390" s="24"/>
    </row>
    <row r="9391">
      <c r="A9391" s="24"/>
      <c r="B9391" s="25"/>
      <c r="C9391" s="24"/>
      <c r="D9391" s="26"/>
      <c r="E9391" s="24"/>
      <c r="F9391" s="24"/>
      <c r="G9391" s="24"/>
      <c r="H9391" s="24"/>
      <c r="I9391" s="24"/>
      <c r="J9391" s="24"/>
      <c r="K9391" s="24"/>
      <c r="L9391" s="24"/>
      <c r="M9391" s="24"/>
      <c r="N9391" s="24"/>
      <c r="O9391" s="24"/>
      <c r="P9391" s="24"/>
      <c r="Q9391" s="24"/>
      <c r="R9391" s="24"/>
      <c r="S9391" s="24"/>
      <c r="T9391" s="24"/>
      <c r="U9391" s="24"/>
      <c r="V9391" s="24"/>
      <c r="W9391" s="24"/>
      <c r="X9391" s="24"/>
      <c r="Y9391" s="24"/>
      <c r="Z9391" s="24"/>
      <c r="AA9391" s="24"/>
    </row>
    <row r="9392">
      <c r="A9392" s="24"/>
      <c r="B9392" s="25"/>
      <c r="C9392" s="24"/>
      <c r="D9392" s="26"/>
      <c r="E9392" s="24"/>
      <c r="F9392" s="24"/>
      <c r="G9392" s="24"/>
      <c r="H9392" s="24"/>
      <c r="I9392" s="24"/>
      <c r="J9392" s="24"/>
      <c r="K9392" s="24"/>
      <c r="L9392" s="24"/>
      <c r="M9392" s="24"/>
      <c r="N9392" s="24"/>
      <c r="O9392" s="24"/>
      <c r="P9392" s="24"/>
      <c r="Q9392" s="24"/>
      <c r="R9392" s="24"/>
      <c r="S9392" s="24"/>
      <c r="T9392" s="24"/>
      <c r="U9392" s="24"/>
      <c r="V9392" s="24"/>
      <c r="W9392" s="24"/>
      <c r="X9392" s="24"/>
      <c r="Y9392" s="24"/>
      <c r="Z9392" s="24"/>
      <c r="AA9392" s="24"/>
    </row>
    <row r="9393">
      <c r="A9393" s="24"/>
      <c r="B9393" s="25"/>
      <c r="C9393" s="24"/>
      <c r="D9393" s="26"/>
      <c r="E9393" s="24"/>
      <c r="F9393" s="24"/>
      <c r="G9393" s="24"/>
      <c r="H9393" s="24"/>
      <c r="I9393" s="24"/>
      <c r="J9393" s="24"/>
      <c r="K9393" s="24"/>
      <c r="L9393" s="24"/>
      <c r="M9393" s="24"/>
      <c r="N9393" s="24"/>
      <c r="O9393" s="24"/>
      <c r="P9393" s="24"/>
      <c r="Q9393" s="24"/>
      <c r="R9393" s="24"/>
      <c r="S9393" s="24"/>
      <c r="T9393" s="24"/>
      <c r="U9393" s="24"/>
      <c r="V9393" s="24"/>
      <c r="W9393" s="24"/>
      <c r="X9393" s="24"/>
      <c r="Y9393" s="24"/>
      <c r="Z9393" s="24"/>
      <c r="AA9393" s="24"/>
    </row>
    <row r="9394">
      <c r="A9394" s="24"/>
      <c r="B9394" s="25"/>
      <c r="C9394" s="24"/>
      <c r="D9394" s="26"/>
      <c r="E9394" s="24"/>
      <c r="F9394" s="24"/>
      <c r="G9394" s="24"/>
      <c r="H9394" s="24"/>
      <c r="I9394" s="24"/>
      <c r="J9394" s="24"/>
      <c r="K9394" s="24"/>
      <c r="L9394" s="24"/>
      <c r="M9394" s="24"/>
      <c r="N9394" s="24"/>
      <c r="O9394" s="24"/>
      <c r="P9394" s="24"/>
      <c r="Q9394" s="24"/>
      <c r="R9394" s="24"/>
      <c r="S9394" s="24"/>
      <c r="T9394" s="24"/>
      <c r="U9394" s="24"/>
      <c r="V9394" s="24"/>
      <c r="W9394" s="24"/>
      <c r="X9394" s="24"/>
      <c r="Y9394" s="24"/>
      <c r="Z9394" s="24"/>
      <c r="AA9394" s="24"/>
    </row>
    <row r="9395">
      <c r="A9395" s="24"/>
      <c r="B9395" s="25"/>
      <c r="C9395" s="24"/>
      <c r="D9395" s="26"/>
      <c r="E9395" s="24"/>
      <c r="F9395" s="24"/>
      <c r="G9395" s="24"/>
      <c r="H9395" s="24"/>
      <c r="I9395" s="24"/>
      <c r="J9395" s="24"/>
      <c r="K9395" s="24"/>
      <c r="L9395" s="24"/>
      <c r="M9395" s="24"/>
      <c r="N9395" s="24"/>
      <c r="O9395" s="24"/>
      <c r="P9395" s="24"/>
      <c r="Q9395" s="24"/>
      <c r="R9395" s="24"/>
      <c r="S9395" s="24"/>
      <c r="T9395" s="24"/>
      <c r="U9395" s="24"/>
      <c r="V9395" s="24"/>
      <c r="W9395" s="24"/>
      <c r="X9395" s="24"/>
      <c r="Y9395" s="24"/>
      <c r="Z9395" s="24"/>
      <c r="AA9395" s="24"/>
    </row>
    <row r="9396">
      <c r="A9396" s="24"/>
      <c r="B9396" s="25"/>
      <c r="C9396" s="24"/>
      <c r="D9396" s="26"/>
      <c r="E9396" s="24"/>
      <c r="F9396" s="24"/>
      <c r="G9396" s="24"/>
      <c r="H9396" s="24"/>
      <c r="I9396" s="24"/>
      <c r="J9396" s="24"/>
      <c r="K9396" s="24"/>
      <c r="L9396" s="24"/>
      <c r="M9396" s="24"/>
      <c r="N9396" s="24"/>
      <c r="O9396" s="24"/>
      <c r="P9396" s="24"/>
      <c r="Q9396" s="24"/>
      <c r="R9396" s="24"/>
      <c r="S9396" s="24"/>
      <c r="T9396" s="24"/>
      <c r="U9396" s="24"/>
      <c r="V9396" s="24"/>
      <c r="W9396" s="24"/>
      <c r="X9396" s="24"/>
      <c r="Y9396" s="24"/>
      <c r="Z9396" s="24"/>
      <c r="AA9396" s="24"/>
    </row>
    <row r="9397">
      <c r="A9397" s="24"/>
      <c r="B9397" s="25"/>
      <c r="C9397" s="24"/>
      <c r="D9397" s="26"/>
      <c r="E9397" s="24"/>
      <c r="F9397" s="24"/>
      <c r="G9397" s="24"/>
      <c r="H9397" s="24"/>
      <c r="I9397" s="24"/>
      <c r="J9397" s="24"/>
      <c r="K9397" s="24"/>
      <c r="L9397" s="24"/>
      <c r="M9397" s="24"/>
      <c r="N9397" s="24"/>
      <c r="O9397" s="24"/>
      <c r="P9397" s="24"/>
      <c r="Q9397" s="24"/>
      <c r="R9397" s="24"/>
      <c r="S9397" s="24"/>
      <c r="T9397" s="24"/>
      <c r="U9397" s="24"/>
      <c r="V9397" s="24"/>
      <c r="W9397" s="24"/>
      <c r="X9397" s="24"/>
      <c r="Y9397" s="24"/>
      <c r="Z9397" s="24"/>
      <c r="AA9397" s="24"/>
    </row>
    <row r="9398">
      <c r="A9398" s="24"/>
      <c r="B9398" s="25"/>
      <c r="C9398" s="24"/>
      <c r="D9398" s="26"/>
      <c r="E9398" s="24"/>
      <c r="F9398" s="24"/>
      <c r="G9398" s="24"/>
      <c r="H9398" s="24"/>
      <c r="I9398" s="24"/>
      <c r="J9398" s="24"/>
      <c r="K9398" s="24"/>
      <c r="L9398" s="24"/>
      <c r="M9398" s="24"/>
      <c r="N9398" s="24"/>
      <c r="O9398" s="24"/>
      <c r="P9398" s="24"/>
      <c r="Q9398" s="24"/>
      <c r="R9398" s="24"/>
      <c r="S9398" s="24"/>
      <c r="T9398" s="24"/>
      <c r="U9398" s="24"/>
      <c r="V9398" s="24"/>
      <c r="W9398" s="24"/>
      <c r="X9398" s="24"/>
      <c r="Y9398" s="24"/>
      <c r="Z9398" s="24"/>
      <c r="AA9398" s="24"/>
    </row>
    <row r="9399">
      <c r="A9399" s="24"/>
      <c r="B9399" s="25"/>
      <c r="C9399" s="24"/>
      <c r="D9399" s="26"/>
      <c r="E9399" s="24"/>
      <c r="F9399" s="24"/>
      <c r="G9399" s="24"/>
      <c r="H9399" s="24"/>
      <c r="I9399" s="24"/>
      <c r="J9399" s="24"/>
      <c r="K9399" s="24"/>
      <c r="L9399" s="24"/>
      <c r="M9399" s="24"/>
      <c r="N9399" s="24"/>
      <c r="O9399" s="24"/>
      <c r="P9399" s="24"/>
      <c r="Q9399" s="24"/>
      <c r="R9399" s="24"/>
      <c r="S9399" s="24"/>
      <c r="T9399" s="24"/>
      <c r="U9399" s="24"/>
      <c r="V9399" s="24"/>
      <c r="W9399" s="24"/>
      <c r="X9399" s="24"/>
      <c r="Y9399" s="24"/>
      <c r="Z9399" s="24"/>
      <c r="AA9399" s="24"/>
    </row>
    <row r="9400">
      <c r="A9400" s="24"/>
      <c r="B9400" s="25"/>
      <c r="C9400" s="24"/>
      <c r="D9400" s="26"/>
      <c r="E9400" s="24"/>
      <c r="F9400" s="24"/>
      <c r="G9400" s="24"/>
      <c r="H9400" s="24"/>
      <c r="I9400" s="24"/>
      <c r="J9400" s="24"/>
      <c r="K9400" s="24"/>
      <c r="L9400" s="24"/>
      <c r="M9400" s="24"/>
      <c r="N9400" s="24"/>
      <c r="O9400" s="24"/>
      <c r="P9400" s="24"/>
      <c r="Q9400" s="24"/>
      <c r="R9400" s="24"/>
      <c r="S9400" s="24"/>
      <c r="T9400" s="24"/>
      <c r="U9400" s="24"/>
      <c r="V9400" s="24"/>
      <c r="W9400" s="24"/>
      <c r="X9400" s="24"/>
      <c r="Y9400" s="24"/>
      <c r="Z9400" s="24"/>
      <c r="AA9400" s="24"/>
    </row>
    <row r="9401">
      <c r="A9401" s="24"/>
      <c r="B9401" s="25"/>
      <c r="C9401" s="24"/>
      <c r="D9401" s="26"/>
      <c r="E9401" s="24"/>
      <c r="F9401" s="24"/>
      <c r="G9401" s="24"/>
      <c r="H9401" s="24"/>
      <c r="I9401" s="24"/>
      <c r="J9401" s="24"/>
      <c r="K9401" s="24"/>
      <c r="L9401" s="24"/>
      <c r="M9401" s="24"/>
      <c r="N9401" s="24"/>
      <c r="O9401" s="24"/>
      <c r="P9401" s="24"/>
      <c r="Q9401" s="24"/>
      <c r="R9401" s="24"/>
      <c r="S9401" s="24"/>
      <c r="T9401" s="24"/>
      <c r="U9401" s="24"/>
      <c r="V9401" s="24"/>
      <c r="W9401" s="24"/>
      <c r="X9401" s="24"/>
      <c r="Y9401" s="24"/>
      <c r="Z9401" s="24"/>
      <c r="AA9401" s="24"/>
    </row>
    <row r="9402">
      <c r="A9402" s="24"/>
      <c r="B9402" s="25"/>
      <c r="C9402" s="24"/>
      <c r="D9402" s="26"/>
      <c r="E9402" s="24"/>
      <c r="F9402" s="24"/>
      <c r="G9402" s="24"/>
      <c r="H9402" s="24"/>
      <c r="I9402" s="24"/>
      <c r="J9402" s="24"/>
      <c r="K9402" s="24"/>
      <c r="L9402" s="24"/>
      <c r="M9402" s="24"/>
      <c r="N9402" s="24"/>
      <c r="O9402" s="24"/>
      <c r="P9402" s="24"/>
      <c r="Q9402" s="24"/>
      <c r="R9402" s="24"/>
      <c r="S9402" s="24"/>
      <c r="T9402" s="24"/>
      <c r="U9402" s="24"/>
      <c r="V9402" s="24"/>
      <c r="W9402" s="24"/>
      <c r="X9402" s="24"/>
      <c r="Y9402" s="24"/>
      <c r="Z9402" s="24"/>
      <c r="AA9402" s="24"/>
    </row>
    <row r="9403">
      <c r="A9403" s="24"/>
      <c r="B9403" s="25"/>
      <c r="C9403" s="24"/>
      <c r="D9403" s="26"/>
      <c r="E9403" s="24"/>
      <c r="F9403" s="24"/>
      <c r="G9403" s="24"/>
      <c r="H9403" s="24"/>
      <c r="I9403" s="24"/>
      <c r="J9403" s="24"/>
      <c r="K9403" s="24"/>
      <c r="L9403" s="24"/>
      <c r="M9403" s="24"/>
      <c r="N9403" s="24"/>
      <c r="O9403" s="24"/>
      <c r="P9403" s="24"/>
      <c r="Q9403" s="24"/>
      <c r="R9403" s="24"/>
      <c r="S9403" s="24"/>
      <c r="T9403" s="24"/>
      <c r="U9403" s="24"/>
      <c r="V9403" s="24"/>
      <c r="W9403" s="24"/>
      <c r="X9403" s="24"/>
      <c r="Y9403" s="24"/>
      <c r="Z9403" s="24"/>
      <c r="AA9403" s="24"/>
    </row>
    <row r="9404">
      <c r="A9404" s="24"/>
      <c r="B9404" s="25"/>
      <c r="C9404" s="24"/>
      <c r="D9404" s="26"/>
      <c r="E9404" s="24"/>
      <c r="F9404" s="24"/>
      <c r="G9404" s="24"/>
      <c r="H9404" s="24"/>
      <c r="I9404" s="24"/>
      <c r="J9404" s="24"/>
      <c r="K9404" s="24"/>
      <c r="L9404" s="24"/>
      <c r="M9404" s="24"/>
      <c r="N9404" s="24"/>
      <c r="O9404" s="24"/>
      <c r="P9404" s="24"/>
      <c r="Q9404" s="24"/>
      <c r="R9404" s="24"/>
      <c r="S9404" s="24"/>
      <c r="T9404" s="24"/>
      <c r="U9404" s="24"/>
      <c r="V9404" s="24"/>
      <c r="W9404" s="24"/>
      <c r="X9404" s="24"/>
      <c r="Y9404" s="24"/>
      <c r="Z9404" s="24"/>
      <c r="AA9404" s="24"/>
    </row>
    <row r="9405">
      <c r="A9405" s="24"/>
      <c r="B9405" s="25"/>
      <c r="C9405" s="24"/>
      <c r="D9405" s="26"/>
      <c r="E9405" s="24"/>
      <c r="F9405" s="24"/>
      <c r="G9405" s="24"/>
      <c r="H9405" s="24"/>
      <c r="I9405" s="24"/>
      <c r="J9405" s="24"/>
      <c r="K9405" s="24"/>
      <c r="L9405" s="24"/>
      <c r="M9405" s="24"/>
      <c r="N9405" s="24"/>
      <c r="O9405" s="24"/>
      <c r="P9405" s="24"/>
      <c r="Q9405" s="24"/>
      <c r="R9405" s="24"/>
      <c r="S9405" s="24"/>
      <c r="T9405" s="24"/>
      <c r="U9405" s="24"/>
      <c r="V9405" s="24"/>
      <c r="W9405" s="24"/>
      <c r="X9405" s="24"/>
      <c r="Y9405" s="24"/>
      <c r="Z9405" s="24"/>
      <c r="AA9405" s="24"/>
    </row>
    <row r="9406">
      <c r="A9406" s="24"/>
      <c r="B9406" s="25"/>
      <c r="C9406" s="24"/>
      <c r="D9406" s="26"/>
      <c r="E9406" s="24"/>
      <c r="F9406" s="24"/>
      <c r="G9406" s="24"/>
      <c r="H9406" s="24"/>
      <c r="I9406" s="24"/>
      <c r="J9406" s="24"/>
      <c r="K9406" s="24"/>
      <c r="L9406" s="24"/>
      <c r="M9406" s="24"/>
      <c r="N9406" s="24"/>
      <c r="O9406" s="24"/>
      <c r="P9406" s="24"/>
      <c r="Q9406" s="24"/>
      <c r="R9406" s="24"/>
      <c r="S9406" s="24"/>
      <c r="T9406" s="24"/>
      <c r="U9406" s="24"/>
      <c r="V9406" s="24"/>
      <c r="W9406" s="24"/>
      <c r="X9406" s="24"/>
      <c r="Y9406" s="24"/>
      <c r="Z9406" s="24"/>
      <c r="AA9406" s="24"/>
    </row>
    <row r="9407">
      <c r="A9407" s="24"/>
      <c r="B9407" s="25"/>
      <c r="C9407" s="24"/>
      <c r="D9407" s="26"/>
      <c r="E9407" s="24"/>
      <c r="F9407" s="24"/>
      <c r="G9407" s="24"/>
      <c r="H9407" s="24"/>
      <c r="I9407" s="24"/>
      <c r="J9407" s="24"/>
      <c r="K9407" s="24"/>
      <c r="L9407" s="24"/>
      <c r="M9407" s="24"/>
      <c r="N9407" s="24"/>
      <c r="O9407" s="24"/>
      <c r="P9407" s="24"/>
      <c r="Q9407" s="24"/>
      <c r="R9407" s="24"/>
      <c r="S9407" s="24"/>
      <c r="T9407" s="24"/>
      <c r="U9407" s="24"/>
      <c r="V9407" s="24"/>
      <c r="W9407" s="24"/>
      <c r="X9407" s="24"/>
      <c r="Y9407" s="24"/>
      <c r="Z9407" s="24"/>
      <c r="AA9407" s="24"/>
    </row>
    <row r="9408">
      <c r="A9408" s="24"/>
      <c r="B9408" s="25"/>
      <c r="C9408" s="24"/>
      <c r="D9408" s="26"/>
      <c r="E9408" s="24"/>
      <c r="F9408" s="24"/>
      <c r="G9408" s="24"/>
      <c r="H9408" s="24"/>
      <c r="I9408" s="24"/>
      <c r="J9408" s="24"/>
      <c r="K9408" s="24"/>
      <c r="L9408" s="24"/>
      <c r="M9408" s="24"/>
      <c r="N9408" s="24"/>
      <c r="O9408" s="24"/>
      <c r="P9408" s="24"/>
      <c r="Q9408" s="24"/>
      <c r="R9408" s="24"/>
      <c r="S9408" s="24"/>
      <c r="T9408" s="24"/>
      <c r="U9408" s="24"/>
      <c r="V9408" s="24"/>
      <c r="W9408" s="24"/>
      <c r="X9408" s="24"/>
      <c r="Y9408" s="24"/>
      <c r="Z9408" s="24"/>
      <c r="AA9408" s="24"/>
    </row>
    <row r="9409">
      <c r="A9409" s="24"/>
      <c r="B9409" s="25"/>
      <c r="C9409" s="24"/>
      <c r="D9409" s="26"/>
      <c r="E9409" s="24"/>
      <c r="F9409" s="24"/>
      <c r="G9409" s="24"/>
      <c r="H9409" s="24"/>
      <c r="I9409" s="24"/>
      <c r="J9409" s="24"/>
      <c r="K9409" s="24"/>
      <c r="L9409" s="24"/>
      <c r="M9409" s="24"/>
      <c r="N9409" s="24"/>
      <c r="O9409" s="24"/>
      <c r="P9409" s="24"/>
      <c r="Q9409" s="24"/>
      <c r="R9409" s="24"/>
      <c r="S9409" s="24"/>
      <c r="T9409" s="24"/>
      <c r="U9409" s="24"/>
      <c r="V9409" s="24"/>
      <c r="W9409" s="24"/>
      <c r="X9409" s="24"/>
      <c r="Y9409" s="24"/>
      <c r="Z9409" s="24"/>
      <c r="AA9409" s="24"/>
    </row>
    <row r="9410">
      <c r="A9410" s="24"/>
      <c r="B9410" s="25"/>
      <c r="C9410" s="24"/>
      <c r="D9410" s="26"/>
      <c r="E9410" s="24"/>
      <c r="F9410" s="24"/>
      <c r="G9410" s="24"/>
      <c r="H9410" s="24"/>
      <c r="I9410" s="24"/>
      <c r="J9410" s="24"/>
      <c r="K9410" s="24"/>
      <c r="L9410" s="24"/>
      <c r="M9410" s="24"/>
      <c r="N9410" s="24"/>
      <c r="O9410" s="24"/>
      <c r="P9410" s="24"/>
      <c r="Q9410" s="24"/>
      <c r="R9410" s="24"/>
      <c r="S9410" s="24"/>
      <c r="T9410" s="24"/>
      <c r="U9410" s="24"/>
      <c r="V9410" s="24"/>
      <c r="W9410" s="24"/>
      <c r="X9410" s="24"/>
      <c r="Y9410" s="24"/>
      <c r="Z9410" s="24"/>
      <c r="AA9410" s="24"/>
    </row>
    <row r="9411">
      <c r="A9411" s="24"/>
      <c r="B9411" s="25"/>
      <c r="C9411" s="24"/>
      <c r="D9411" s="26"/>
      <c r="E9411" s="24"/>
      <c r="F9411" s="24"/>
      <c r="G9411" s="24"/>
      <c r="H9411" s="24"/>
      <c r="I9411" s="24"/>
      <c r="J9411" s="24"/>
      <c r="K9411" s="24"/>
      <c r="L9411" s="24"/>
      <c r="M9411" s="24"/>
      <c r="N9411" s="24"/>
      <c r="O9411" s="24"/>
      <c r="P9411" s="24"/>
      <c r="Q9411" s="24"/>
      <c r="R9411" s="24"/>
      <c r="S9411" s="24"/>
      <c r="T9411" s="24"/>
      <c r="U9411" s="24"/>
      <c r="V9411" s="24"/>
      <c r="W9411" s="24"/>
      <c r="X9411" s="24"/>
      <c r="Y9411" s="24"/>
      <c r="Z9411" s="24"/>
      <c r="AA9411" s="24"/>
    </row>
    <row r="9412">
      <c r="A9412" s="24"/>
      <c r="B9412" s="25"/>
      <c r="C9412" s="24"/>
      <c r="D9412" s="26"/>
      <c r="E9412" s="24"/>
      <c r="F9412" s="24"/>
      <c r="G9412" s="24"/>
      <c r="H9412" s="24"/>
      <c r="I9412" s="24"/>
      <c r="J9412" s="24"/>
      <c r="K9412" s="24"/>
      <c r="L9412" s="24"/>
      <c r="M9412" s="24"/>
      <c r="N9412" s="24"/>
      <c r="O9412" s="24"/>
      <c r="P9412" s="24"/>
      <c r="Q9412" s="24"/>
      <c r="R9412" s="24"/>
      <c r="S9412" s="24"/>
      <c r="T9412" s="24"/>
      <c r="U9412" s="24"/>
      <c r="V9412" s="24"/>
      <c r="W9412" s="24"/>
      <c r="X9412" s="24"/>
      <c r="Y9412" s="24"/>
      <c r="Z9412" s="24"/>
      <c r="AA9412" s="24"/>
    </row>
    <row r="9413">
      <c r="A9413" s="24"/>
      <c r="B9413" s="25"/>
      <c r="C9413" s="24"/>
      <c r="D9413" s="26"/>
      <c r="E9413" s="24"/>
      <c r="F9413" s="24"/>
      <c r="G9413" s="24"/>
      <c r="H9413" s="24"/>
      <c r="I9413" s="24"/>
      <c r="J9413" s="24"/>
      <c r="K9413" s="24"/>
      <c r="L9413" s="24"/>
      <c r="M9413" s="24"/>
      <c r="N9413" s="24"/>
      <c r="O9413" s="24"/>
      <c r="P9413" s="24"/>
      <c r="Q9413" s="24"/>
      <c r="R9413" s="24"/>
      <c r="S9413" s="24"/>
      <c r="T9413" s="24"/>
      <c r="U9413" s="24"/>
      <c r="V9413" s="24"/>
      <c r="W9413" s="24"/>
      <c r="X9413" s="24"/>
      <c r="Y9413" s="24"/>
      <c r="Z9413" s="24"/>
      <c r="AA9413" s="24"/>
    </row>
    <row r="9414">
      <c r="A9414" s="24"/>
      <c r="B9414" s="25"/>
      <c r="C9414" s="24"/>
      <c r="D9414" s="26"/>
      <c r="E9414" s="24"/>
      <c r="F9414" s="24"/>
      <c r="G9414" s="24"/>
      <c r="H9414" s="24"/>
      <c r="I9414" s="24"/>
      <c r="J9414" s="24"/>
      <c r="K9414" s="24"/>
      <c r="L9414" s="24"/>
      <c r="M9414" s="24"/>
      <c r="N9414" s="24"/>
      <c r="O9414" s="24"/>
      <c r="P9414" s="24"/>
      <c r="Q9414" s="24"/>
      <c r="R9414" s="24"/>
      <c r="S9414" s="24"/>
      <c r="T9414" s="24"/>
      <c r="U9414" s="24"/>
      <c r="V9414" s="24"/>
      <c r="W9414" s="24"/>
      <c r="X9414" s="24"/>
      <c r="Y9414" s="24"/>
      <c r="Z9414" s="24"/>
      <c r="AA9414" s="24"/>
    </row>
    <row r="9415">
      <c r="A9415" s="24"/>
      <c r="B9415" s="25"/>
      <c r="C9415" s="24"/>
      <c r="D9415" s="26"/>
      <c r="E9415" s="24"/>
      <c r="F9415" s="24"/>
      <c r="G9415" s="24"/>
      <c r="H9415" s="24"/>
      <c r="I9415" s="24"/>
      <c r="J9415" s="24"/>
      <c r="K9415" s="24"/>
      <c r="L9415" s="24"/>
      <c r="M9415" s="24"/>
      <c r="N9415" s="24"/>
      <c r="O9415" s="24"/>
      <c r="P9415" s="24"/>
      <c r="Q9415" s="24"/>
      <c r="R9415" s="24"/>
      <c r="S9415" s="24"/>
      <c r="T9415" s="24"/>
      <c r="U9415" s="24"/>
      <c r="V9415" s="24"/>
      <c r="W9415" s="24"/>
      <c r="X9415" s="24"/>
      <c r="Y9415" s="24"/>
      <c r="Z9415" s="24"/>
      <c r="AA9415" s="24"/>
    </row>
    <row r="9416">
      <c r="A9416" s="24"/>
      <c r="B9416" s="25"/>
      <c r="C9416" s="24"/>
      <c r="D9416" s="26"/>
      <c r="E9416" s="24"/>
      <c r="F9416" s="24"/>
      <c r="G9416" s="24"/>
      <c r="H9416" s="24"/>
      <c r="I9416" s="24"/>
      <c r="J9416" s="24"/>
      <c r="K9416" s="24"/>
      <c r="L9416" s="24"/>
      <c r="M9416" s="24"/>
      <c r="N9416" s="24"/>
      <c r="O9416" s="24"/>
      <c r="P9416" s="24"/>
      <c r="Q9416" s="24"/>
      <c r="R9416" s="24"/>
      <c r="S9416" s="24"/>
      <c r="T9416" s="24"/>
      <c r="U9416" s="24"/>
      <c r="V9416" s="24"/>
      <c r="W9416" s="24"/>
      <c r="X9416" s="24"/>
      <c r="Y9416" s="24"/>
      <c r="Z9416" s="24"/>
      <c r="AA9416" s="24"/>
    </row>
    <row r="9417">
      <c r="A9417" s="24"/>
      <c r="B9417" s="25"/>
      <c r="C9417" s="24"/>
      <c r="D9417" s="26"/>
      <c r="E9417" s="24"/>
      <c r="F9417" s="24"/>
      <c r="G9417" s="24"/>
      <c r="H9417" s="24"/>
      <c r="I9417" s="24"/>
      <c r="J9417" s="24"/>
      <c r="K9417" s="24"/>
      <c r="L9417" s="24"/>
      <c r="M9417" s="24"/>
      <c r="N9417" s="24"/>
      <c r="O9417" s="24"/>
      <c r="P9417" s="24"/>
      <c r="Q9417" s="24"/>
      <c r="R9417" s="24"/>
      <c r="S9417" s="24"/>
      <c r="T9417" s="24"/>
      <c r="U9417" s="24"/>
      <c r="V9417" s="24"/>
      <c r="W9417" s="24"/>
      <c r="X9417" s="24"/>
      <c r="Y9417" s="24"/>
      <c r="Z9417" s="24"/>
      <c r="AA9417" s="24"/>
    </row>
    <row r="9418">
      <c r="A9418" s="24"/>
      <c r="B9418" s="25"/>
      <c r="C9418" s="24"/>
      <c r="D9418" s="26"/>
      <c r="E9418" s="24"/>
      <c r="F9418" s="24"/>
      <c r="G9418" s="24"/>
      <c r="H9418" s="24"/>
      <c r="I9418" s="24"/>
      <c r="J9418" s="24"/>
      <c r="K9418" s="24"/>
      <c r="L9418" s="24"/>
      <c r="M9418" s="24"/>
      <c r="N9418" s="24"/>
      <c r="O9418" s="24"/>
      <c r="P9418" s="24"/>
      <c r="Q9418" s="24"/>
      <c r="R9418" s="24"/>
      <c r="S9418" s="24"/>
      <c r="T9418" s="24"/>
      <c r="U9418" s="24"/>
      <c r="V9418" s="24"/>
      <c r="W9418" s="24"/>
      <c r="X9418" s="24"/>
      <c r="Y9418" s="24"/>
      <c r="Z9418" s="24"/>
      <c r="AA9418" s="24"/>
    </row>
    <row r="9419">
      <c r="A9419" s="24"/>
      <c r="B9419" s="25"/>
      <c r="C9419" s="24"/>
      <c r="D9419" s="26"/>
      <c r="E9419" s="24"/>
      <c r="F9419" s="24"/>
      <c r="G9419" s="24"/>
      <c r="H9419" s="24"/>
      <c r="I9419" s="24"/>
      <c r="J9419" s="24"/>
      <c r="K9419" s="24"/>
      <c r="L9419" s="24"/>
      <c r="M9419" s="24"/>
      <c r="N9419" s="24"/>
      <c r="O9419" s="24"/>
      <c r="P9419" s="24"/>
      <c r="Q9419" s="24"/>
      <c r="R9419" s="24"/>
      <c r="S9419" s="24"/>
      <c r="T9419" s="24"/>
      <c r="U9419" s="24"/>
      <c r="V9419" s="24"/>
      <c r="W9419" s="24"/>
      <c r="X9419" s="24"/>
      <c r="Y9419" s="24"/>
      <c r="Z9419" s="24"/>
      <c r="AA9419" s="24"/>
    </row>
    <row r="9420">
      <c r="A9420" s="24"/>
      <c r="B9420" s="25"/>
      <c r="C9420" s="24"/>
      <c r="D9420" s="26"/>
      <c r="E9420" s="24"/>
      <c r="F9420" s="24"/>
      <c r="G9420" s="24"/>
      <c r="H9420" s="24"/>
      <c r="I9420" s="24"/>
      <c r="J9420" s="24"/>
      <c r="K9420" s="24"/>
      <c r="L9420" s="24"/>
      <c r="M9420" s="24"/>
      <c r="N9420" s="24"/>
      <c r="O9420" s="24"/>
      <c r="P9420" s="24"/>
      <c r="Q9420" s="24"/>
      <c r="R9420" s="24"/>
      <c r="S9420" s="24"/>
      <c r="T9420" s="24"/>
      <c r="U9420" s="24"/>
      <c r="V9420" s="24"/>
      <c r="W9420" s="24"/>
      <c r="X9420" s="24"/>
      <c r="Y9420" s="24"/>
      <c r="Z9420" s="24"/>
      <c r="AA9420" s="24"/>
    </row>
    <row r="9421">
      <c r="A9421" s="24"/>
      <c r="B9421" s="25"/>
      <c r="C9421" s="24"/>
      <c r="D9421" s="26"/>
      <c r="E9421" s="24"/>
      <c r="F9421" s="24"/>
      <c r="G9421" s="24"/>
      <c r="H9421" s="24"/>
      <c r="I9421" s="24"/>
      <c r="J9421" s="24"/>
      <c r="K9421" s="24"/>
      <c r="L9421" s="24"/>
      <c r="M9421" s="24"/>
      <c r="N9421" s="24"/>
      <c r="O9421" s="24"/>
      <c r="P9421" s="24"/>
      <c r="Q9421" s="24"/>
      <c r="R9421" s="24"/>
      <c r="S9421" s="24"/>
      <c r="T9421" s="24"/>
      <c r="U9421" s="24"/>
      <c r="V9421" s="24"/>
      <c r="W9421" s="24"/>
      <c r="X9421" s="24"/>
      <c r="Y9421" s="24"/>
      <c r="Z9421" s="24"/>
      <c r="AA9421" s="24"/>
    </row>
    <row r="9422">
      <c r="A9422" s="24"/>
      <c r="B9422" s="25"/>
      <c r="C9422" s="24"/>
      <c r="D9422" s="26"/>
      <c r="E9422" s="24"/>
      <c r="F9422" s="24"/>
      <c r="G9422" s="24"/>
      <c r="H9422" s="24"/>
      <c r="I9422" s="24"/>
      <c r="J9422" s="24"/>
      <c r="K9422" s="24"/>
      <c r="L9422" s="24"/>
      <c r="M9422" s="24"/>
      <c r="N9422" s="24"/>
      <c r="O9422" s="24"/>
      <c r="P9422" s="24"/>
      <c r="Q9422" s="24"/>
      <c r="R9422" s="24"/>
      <c r="S9422" s="24"/>
      <c r="T9422" s="24"/>
      <c r="U9422" s="24"/>
      <c r="V9422" s="24"/>
      <c r="W9422" s="24"/>
      <c r="X9422" s="24"/>
      <c r="Y9422" s="24"/>
      <c r="Z9422" s="24"/>
      <c r="AA9422" s="24"/>
    </row>
    <row r="9423">
      <c r="A9423" s="24"/>
      <c r="B9423" s="25"/>
      <c r="C9423" s="24"/>
      <c r="D9423" s="26"/>
      <c r="E9423" s="24"/>
      <c r="F9423" s="24"/>
      <c r="G9423" s="24"/>
      <c r="H9423" s="24"/>
      <c r="I9423" s="24"/>
      <c r="J9423" s="24"/>
      <c r="K9423" s="24"/>
      <c r="L9423" s="24"/>
      <c r="M9423" s="24"/>
      <c r="N9423" s="24"/>
      <c r="O9423" s="24"/>
      <c r="P9423" s="24"/>
      <c r="Q9423" s="24"/>
      <c r="R9423" s="24"/>
      <c r="S9423" s="24"/>
      <c r="T9423" s="24"/>
      <c r="U9423" s="24"/>
      <c r="V9423" s="24"/>
      <c r="W9423" s="24"/>
      <c r="X9423" s="24"/>
      <c r="Y9423" s="24"/>
      <c r="Z9423" s="24"/>
      <c r="AA9423" s="24"/>
    </row>
    <row r="9424">
      <c r="A9424" s="24"/>
      <c r="B9424" s="25"/>
      <c r="C9424" s="24"/>
      <c r="D9424" s="26"/>
      <c r="E9424" s="24"/>
      <c r="F9424" s="24"/>
      <c r="G9424" s="24"/>
      <c r="H9424" s="24"/>
      <c r="I9424" s="24"/>
      <c r="J9424" s="24"/>
      <c r="K9424" s="24"/>
      <c r="L9424" s="24"/>
      <c r="M9424" s="24"/>
      <c r="N9424" s="24"/>
      <c r="O9424" s="24"/>
      <c r="P9424" s="24"/>
      <c r="Q9424" s="24"/>
      <c r="R9424" s="24"/>
      <c r="S9424" s="24"/>
      <c r="T9424" s="24"/>
      <c r="U9424" s="24"/>
      <c r="V9424" s="24"/>
      <c r="W9424" s="24"/>
      <c r="X9424" s="24"/>
      <c r="Y9424" s="24"/>
      <c r="Z9424" s="24"/>
      <c r="AA9424" s="24"/>
    </row>
    <row r="9425">
      <c r="A9425" s="24"/>
      <c r="B9425" s="25"/>
      <c r="C9425" s="24"/>
      <c r="D9425" s="26"/>
      <c r="E9425" s="24"/>
      <c r="F9425" s="24"/>
      <c r="G9425" s="24"/>
      <c r="H9425" s="24"/>
      <c r="I9425" s="24"/>
      <c r="J9425" s="24"/>
      <c r="K9425" s="24"/>
      <c r="L9425" s="24"/>
      <c r="M9425" s="24"/>
      <c r="N9425" s="24"/>
      <c r="O9425" s="24"/>
      <c r="P9425" s="24"/>
      <c r="Q9425" s="24"/>
      <c r="R9425" s="24"/>
      <c r="S9425" s="24"/>
      <c r="T9425" s="24"/>
      <c r="U9425" s="24"/>
      <c r="V9425" s="24"/>
      <c r="W9425" s="24"/>
      <c r="X9425" s="24"/>
      <c r="Y9425" s="24"/>
      <c r="Z9425" s="24"/>
      <c r="AA9425" s="24"/>
    </row>
    <row r="9426">
      <c r="A9426" s="24"/>
      <c r="B9426" s="25"/>
      <c r="C9426" s="24"/>
      <c r="D9426" s="26"/>
      <c r="E9426" s="24"/>
      <c r="F9426" s="24"/>
      <c r="G9426" s="24"/>
      <c r="H9426" s="24"/>
      <c r="I9426" s="24"/>
      <c r="J9426" s="24"/>
      <c r="K9426" s="24"/>
      <c r="L9426" s="24"/>
      <c r="M9426" s="24"/>
      <c r="N9426" s="24"/>
      <c r="O9426" s="24"/>
      <c r="P9426" s="24"/>
      <c r="Q9426" s="24"/>
      <c r="R9426" s="24"/>
      <c r="S9426" s="24"/>
      <c r="T9426" s="24"/>
      <c r="U9426" s="24"/>
      <c r="V9426" s="24"/>
      <c r="W9426" s="24"/>
      <c r="X9426" s="24"/>
      <c r="Y9426" s="24"/>
      <c r="Z9426" s="24"/>
      <c r="AA9426" s="24"/>
    </row>
    <row r="9427">
      <c r="A9427" s="24"/>
      <c r="B9427" s="25"/>
      <c r="C9427" s="24"/>
      <c r="D9427" s="26"/>
      <c r="E9427" s="24"/>
      <c r="F9427" s="24"/>
      <c r="G9427" s="24"/>
      <c r="H9427" s="24"/>
      <c r="I9427" s="24"/>
      <c r="J9427" s="24"/>
      <c r="K9427" s="24"/>
      <c r="L9427" s="24"/>
      <c r="M9427" s="24"/>
      <c r="N9427" s="24"/>
      <c r="O9427" s="24"/>
      <c r="P9427" s="24"/>
      <c r="Q9427" s="24"/>
      <c r="R9427" s="24"/>
      <c r="S9427" s="24"/>
      <c r="T9427" s="24"/>
      <c r="U9427" s="24"/>
      <c r="V9427" s="24"/>
      <c r="W9427" s="24"/>
      <c r="X9427" s="24"/>
      <c r="Y9427" s="24"/>
      <c r="Z9427" s="24"/>
      <c r="AA9427" s="24"/>
    </row>
    <row r="9428">
      <c r="A9428" s="24"/>
      <c r="B9428" s="25"/>
      <c r="C9428" s="24"/>
      <c r="D9428" s="26"/>
      <c r="E9428" s="24"/>
      <c r="F9428" s="24"/>
      <c r="G9428" s="24"/>
      <c r="H9428" s="24"/>
      <c r="I9428" s="24"/>
      <c r="J9428" s="24"/>
      <c r="K9428" s="24"/>
      <c r="L9428" s="24"/>
      <c r="M9428" s="24"/>
      <c r="N9428" s="24"/>
      <c r="O9428" s="24"/>
      <c r="P9428" s="24"/>
      <c r="Q9428" s="24"/>
      <c r="R9428" s="24"/>
      <c r="S9428" s="24"/>
      <c r="T9428" s="24"/>
      <c r="U9428" s="24"/>
      <c r="V9428" s="24"/>
      <c r="W9428" s="24"/>
      <c r="X9428" s="24"/>
      <c r="Y9428" s="24"/>
      <c r="Z9428" s="24"/>
      <c r="AA9428" s="24"/>
    </row>
    <row r="9429">
      <c r="A9429" s="24"/>
      <c r="B9429" s="25"/>
      <c r="C9429" s="24"/>
      <c r="D9429" s="26"/>
      <c r="E9429" s="24"/>
      <c r="F9429" s="24"/>
      <c r="G9429" s="24"/>
      <c r="H9429" s="24"/>
      <c r="I9429" s="24"/>
      <c r="J9429" s="24"/>
      <c r="K9429" s="24"/>
      <c r="L9429" s="24"/>
      <c r="M9429" s="24"/>
      <c r="N9429" s="24"/>
      <c r="O9429" s="24"/>
      <c r="P9429" s="24"/>
      <c r="Q9429" s="24"/>
      <c r="R9429" s="24"/>
      <c r="S9429" s="24"/>
      <c r="T9429" s="24"/>
      <c r="U9429" s="24"/>
      <c r="V9429" s="24"/>
      <c r="W9429" s="24"/>
      <c r="X9429" s="24"/>
      <c r="Y9429" s="24"/>
      <c r="Z9429" s="24"/>
      <c r="AA9429" s="24"/>
    </row>
    <row r="9430">
      <c r="A9430" s="24"/>
      <c r="B9430" s="25"/>
      <c r="C9430" s="24"/>
      <c r="D9430" s="26"/>
      <c r="E9430" s="24"/>
      <c r="F9430" s="24"/>
      <c r="G9430" s="24"/>
      <c r="H9430" s="24"/>
      <c r="I9430" s="24"/>
      <c r="J9430" s="24"/>
      <c r="K9430" s="24"/>
      <c r="L9430" s="24"/>
      <c r="M9430" s="24"/>
      <c r="N9430" s="24"/>
      <c r="O9430" s="24"/>
      <c r="P9430" s="24"/>
      <c r="Q9430" s="24"/>
      <c r="R9430" s="24"/>
      <c r="S9430" s="24"/>
      <c r="T9430" s="24"/>
      <c r="U9430" s="24"/>
      <c r="V9430" s="24"/>
      <c r="W9430" s="24"/>
      <c r="X9430" s="24"/>
      <c r="Y9430" s="24"/>
      <c r="Z9430" s="24"/>
      <c r="AA9430" s="24"/>
    </row>
    <row r="9431">
      <c r="A9431" s="24"/>
      <c r="B9431" s="25"/>
      <c r="C9431" s="24"/>
      <c r="D9431" s="26"/>
      <c r="E9431" s="24"/>
      <c r="F9431" s="24"/>
      <c r="G9431" s="24"/>
      <c r="H9431" s="24"/>
      <c r="I9431" s="24"/>
      <c r="J9431" s="24"/>
      <c r="K9431" s="24"/>
      <c r="L9431" s="24"/>
      <c r="M9431" s="24"/>
      <c r="N9431" s="24"/>
      <c r="O9431" s="24"/>
      <c r="P9431" s="24"/>
      <c r="Q9431" s="24"/>
      <c r="R9431" s="24"/>
      <c r="S9431" s="24"/>
      <c r="T9431" s="24"/>
      <c r="U9431" s="24"/>
      <c r="V9431" s="24"/>
      <c r="W9431" s="24"/>
      <c r="X9431" s="24"/>
      <c r="Y9431" s="24"/>
      <c r="Z9431" s="24"/>
      <c r="AA9431" s="24"/>
    </row>
    <row r="9432">
      <c r="A9432" s="24"/>
      <c r="B9432" s="25"/>
      <c r="C9432" s="24"/>
      <c r="D9432" s="26"/>
      <c r="E9432" s="24"/>
      <c r="F9432" s="24"/>
      <c r="G9432" s="24"/>
      <c r="H9432" s="24"/>
      <c r="I9432" s="24"/>
      <c r="J9432" s="24"/>
      <c r="K9432" s="24"/>
      <c r="L9432" s="24"/>
      <c r="M9432" s="24"/>
      <c r="N9432" s="24"/>
      <c r="O9432" s="24"/>
      <c r="P9432" s="24"/>
      <c r="Q9432" s="24"/>
      <c r="R9432" s="24"/>
      <c r="S9432" s="24"/>
      <c r="T9432" s="24"/>
      <c r="U9432" s="24"/>
      <c r="V9432" s="24"/>
      <c r="W9432" s="24"/>
      <c r="X9432" s="24"/>
      <c r="Y9432" s="24"/>
      <c r="Z9432" s="24"/>
      <c r="AA9432" s="24"/>
    </row>
    <row r="9433">
      <c r="A9433" s="24"/>
      <c r="B9433" s="25"/>
      <c r="C9433" s="24"/>
      <c r="D9433" s="26"/>
      <c r="E9433" s="24"/>
      <c r="F9433" s="24"/>
      <c r="G9433" s="24"/>
      <c r="H9433" s="24"/>
      <c r="I9433" s="24"/>
      <c r="J9433" s="24"/>
      <c r="K9433" s="24"/>
      <c r="L9433" s="24"/>
      <c r="M9433" s="24"/>
      <c r="N9433" s="24"/>
      <c r="O9433" s="24"/>
      <c r="P9433" s="24"/>
      <c r="Q9433" s="24"/>
      <c r="R9433" s="24"/>
      <c r="S9433" s="24"/>
      <c r="T9433" s="24"/>
      <c r="U9433" s="24"/>
      <c r="V9433" s="24"/>
      <c r="W9433" s="24"/>
      <c r="X9433" s="24"/>
      <c r="Y9433" s="24"/>
      <c r="Z9433" s="24"/>
      <c r="AA9433" s="24"/>
    </row>
    <row r="9434">
      <c r="A9434" s="24"/>
      <c r="B9434" s="25"/>
      <c r="C9434" s="24"/>
      <c r="D9434" s="26"/>
      <c r="E9434" s="24"/>
      <c r="F9434" s="24"/>
      <c r="G9434" s="24"/>
      <c r="H9434" s="24"/>
      <c r="I9434" s="24"/>
      <c r="J9434" s="24"/>
      <c r="K9434" s="24"/>
      <c r="L9434" s="24"/>
      <c r="M9434" s="24"/>
      <c r="N9434" s="24"/>
      <c r="O9434" s="24"/>
      <c r="P9434" s="24"/>
      <c r="Q9434" s="24"/>
      <c r="R9434" s="24"/>
      <c r="S9434" s="24"/>
      <c r="T9434" s="24"/>
      <c r="U9434" s="24"/>
      <c r="V9434" s="24"/>
      <c r="W9434" s="24"/>
      <c r="X9434" s="24"/>
      <c r="Y9434" s="24"/>
      <c r="Z9434" s="24"/>
      <c r="AA9434" s="24"/>
    </row>
    <row r="9435">
      <c r="A9435" s="24"/>
      <c r="B9435" s="25"/>
      <c r="C9435" s="24"/>
      <c r="D9435" s="26"/>
      <c r="E9435" s="24"/>
      <c r="F9435" s="24"/>
      <c r="G9435" s="24"/>
      <c r="H9435" s="24"/>
      <c r="I9435" s="24"/>
      <c r="J9435" s="24"/>
      <c r="K9435" s="24"/>
      <c r="L9435" s="24"/>
      <c r="M9435" s="24"/>
      <c r="N9435" s="24"/>
      <c r="O9435" s="24"/>
      <c r="P9435" s="24"/>
      <c r="Q9435" s="24"/>
      <c r="R9435" s="24"/>
      <c r="S9435" s="24"/>
      <c r="T9435" s="24"/>
      <c r="U9435" s="24"/>
      <c r="V9435" s="24"/>
      <c r="W9435" s="24"/>
      <c r="X9435" s="24"/>
      <c r="Y9435" s="24"/>
      <c r="Z9435" s="24"/>
      <c r="AA9435" s="24"/>
    </row>
    <row r="9436">
      <c r="A9436" s="24"/>
      <c r="B9436" s="25"/>
      <c r="C9436" s="24"/>
      <c r="D9436" s="26"/>
      <c r="E9436" s="24"/>
      <c r="F9436" s="24"/>
      <c r="G9436" s="24"/>
      <c r="H9436" s="24"/>
      <c r="I9436" s="24"/>
      <c r="J9436" s="24"/>
      <c r="K9436" s="24"/>
      <c r="L9436" s="24"/>
      <c r="M9436" s="24"/>
      <c r="N9436" s="24"/>
      <c r="O9436" s="24"/>
      <c r="P9436" s="24"/>
      <c r="Q9436" s="24"/>
      <c r="R9436" s="24"/>
      <c r="S9436" s="24"/>
      <c r="T9436" s="24"/>
      <c r="U9436" s="24"/>
      <c r="V9436" s="24"/>
      <c r="W9436" s="24"/>
      <c r="X9436" s="24"/>
      <c r="Y9436" s="24"/>
      <c r="Z9436" s="24"/>
      <c r="AA9436" s="24"/>
    </row>
    <row r="9437">
      <c r="A9437" s="24"/>
      <c r="B9437" s="25"/>
      <c r="C9437" s="24"/>
      <c r="D9437" s="26"/>
      <c r="E9437" s="24"/>
      <c r="F9437" s="24"/>
      <c r="G9437" s="24"/>
      <c r="H9437" s="24"/>
      <c r="I9437" s="24"/>
      <c r="J9437" s="24"/>
      <c r="K9437" s="24"/>
      <c r="L9437" s="24"/>
      <c r="M9437" s="24"/>
      <c r="N9437" s="24"/>
      <c r="O9437" s="24"/>
      <c r="P9437" s="24"/>
      <c r="Q9437" s="24"/>
      <c r="R9437" s="24"/>
      <c r="S9437" s="24"/>
      <c r="T9437" s="24"/>
      <c r="U9437" s="24"/>
      <c r="V9437" s="24"/>
      <c r="W9437" s="24"/>
      <c r="X9437" s="24"/>
      <c r="Y9437" s="24"/>
      <c r="Z9437" s="24"/>
      <c r="AA9437" s="24"/>
    </row>
    <row r="9438">
      <c r="A9438" s="24"/>
      <c r="B9438" s="25"/>
      <c r="C9438" s="24"/>
      <c r="D9438" s="26"/>
      <c r="E9438" s="24"/>
      <c r="F9438" s="24"/>
      <c r="G9438" s="24"/>
      <c r="H9438" s="24"/>
      <c r="I9438" s="24"/>
      <c r="J9438" s="24"/>
      <c r="K9438" s="24"/>
      <c r="L9438" s="24"/>
      <c r="M9438" s="24"/>
      <c r="N9438" s="24"/>
      <c r="O9438" s="24"/>
      <c r="P9438" s="24"/>
      <c r="Q9438" s="24"/>
      <c r="R9438" s="24"/>
      <c r="S9438" s="24"/>
      <c r="T9438" s="24"/>
      <c r="U9438" s="24"/>
      <c r="V9438" s="24"/>
      <c r="W9438" s="24"/>
      <c r="X9438" s="24"/>
      <c r="Y9438" s="24"/>
      <c r="Z9438" s="24"/>
      <c r="AA9438" s="24"/>
    </row>
    <row r="9439">
      <c r="A9439" s="24"/>
      <c r="B9439" s="25"/>
      <c r="C9439" s="24"/>
      <c r="D9439" s="26"/>
      <c r="E9439" s="24"/>
      <c r="F9439" s="24"/>
      <c r="G9439" s="24"/>
      <c r="H9439" s="24"/>
      <c r="I9439" s="24"/>
      <c r="J9439" s="24"/>
      <c r="K9439" s="24"/>
      <c r="L9439" s="24"/>
      <c r="M9439" s="24"/>
      <c r="N9439" s="24"/>
      <c r="O9439" s="24"/>
      <c r="P9439" s="24"/>
      <c r="Q9439" s="24"/>
      <c r="R9439" s="24"/>
      <c r="S9439" s="24"/>
      <c r="T9439" s="24"/>
      <c r="U9439" s="24"/>
      <c r="V9439" s="24"/>
      <c r="W9439" s="24"/>
      <c r="X9439" s="24"/>
      <c r="Y9439" s="24"/>
      <c r="Z9439" s="24"/>
      <c r="AA9439" s="24"/>
    </row>
    <row r="9440">
      <c r="A9440" s="24"/>
      <c r="B9440" s="25"/>
      <c r="C9440" s="24"/>
      <c r="D9440" s="26"/>
      <c r="E9440" s="24"/>
      <c r="F9440" s="24"/>
      <c r="G9440" s="24"/>
      <c r="H9440" s="24"/>
      <c r="I9440" s="24"/>
      <c r="J9440" s="24"/>
      <c r="K9440" s="24"/>
      <c r="L9440" s="24"/>
      <c r="M9440" s="24"/>
      <c r="N9440" s="24"/>
      <c r="O9440" s="24"/>
      <c r="P9440" s="24"/>
      <c r="Q9440" s="24"/>
      <c r="R9440" s="24"/>
      <c r="S9440" s="24"/>
      <c r="T9440" s="24"/>
      <c r="U9440" s="24"/>
      <c r="V9440" s="24"/>
      <c r="W9440" s="24"/>
      <c r="X9440" s="24"/>
      <c r="Y9440" s="24"/>
      <c r="Z9440" s="24"/>
      <c r="AA9440" s="24"/>
    </row>
    <row r="9441">
      <c r="A9441" s="24"/>
      <c r="B9441" s="25"/>
      <c r="C9441" s="24"/>
      <c r="D9441" s="26"/>
      <c r="E9441" s="24"/>
      <c r="F9441" s="24"/>
      <c r="G9441" s="24"/>
      <c r="H9441" s="24"/>
      <c r="I9441" s="24"/>
      <c r="J9441" s="24"/>
      <c r="K9441" s="24"/>
      <c r="L9441" s="24"/>
      <c r="M9441" s="24"/>
      <c r="N9441" s="24"/>
      <c r="O9441" s="24"/>
      <c r="P9441" s="24"/>
      <c r="Q9441" s="24"/>
      <c r="R9441" s="24"/>
      <c r="S9441" s="24"/>
      <c r="T9441" s="24"/>
      <c r="U9441" s="24"/>
      <c r="V9441" s="24"/>
      <c r="W9441" s="24"/>
      <c r="X9441" s="24"/>
      <c r="Y9441" s="24"/>
      <c r="Z9441" s="24"/>
      <c r="AA9441" s="24"/>
    </row>
    <row r="9442">
      <c r="A9442" s="24"/>
      <c r="B9442" s="25"/>
      <c r="C9442" s="24"/>
      <c r="D9442" s="26"/>
      <c r="E9442" s="24"/>
      <c r="F9442" s="24"/>
      <c r="G9442" s="24"/>
      <c r="H9442" s="24"/>
      <c r="I9442" s="24"/>
      <c r="J9442" s="24"/>
      <c r="K9442" s="24"/>
      <c r="L9442" s="24"/>
      <c r="M9442" s="24"/>
      <c r="N9442" s="24"/>
      <c r="O9442" s="24"/>
      <c r="P9442" s="24"/>
      <c r="Q9442" s="24"/>
      <c r="R9442" s="24"/>
      <c r="S9442" s="24"/>
      <c r="T9442" s="24"/>
      <c r="U9442" s="24"/>
      <c r="V9442" s="24"/>
      <c r="W9442" s="24"/>
      <c r="X9442" s="24"/>
      <c r="Y9442" s="24"/>
      <c r="Z9442" s="24"/>
      <c r="AA9442" s="24"/>
    </row>
    <row r="9443">
      <c r="A9443" s="24"/>
      <c r="B9443" s="25"/>
      <c r="C9443" s="24"/>
      <c r="D9443" s="26"/>
      <c r="E9443" s="24"/>
      <c r="F9443" s="24"/>
      <c r="G9443" s="24"/>
      <c r="H9443" s="24"/>
      <c r="I9443" s="24"/>
      <c r="J9443" s="24"/>
      <c r="K9443" s="24"/>
      <c r="L9443" s="24"/>
      <c r="M9443" s="24"/>
      <c r="N9443" s="24"/>
      <c r="O9443" s="24"/>
      <c r="P9443" s="24"/>
      <c r="Q9443" s="24"/>
      <c r="R9443" s="24"/>
      <c r="S9443" s="24"/>
      <c r="T9443" s="24"/>
      <c r="U9443" s="24"/>
      <c r="V9443" s="24"/>
      <c r="W9443" s="24"/>
      <c r="X9443" s="24"/>
      <c r="Y9443" s="24"/>
      <c r="Z9443" s="24"/>
      <c r="AA9443" s="24"/>
    </row>
    <row r="9444">
      <c r="A9444" s="24"/>
      <c r="B9444" s="25"/>
      <c r="C9444" s="24"/>
      <c r="D9444" s="26"/>
      <c r="E9444" s="24"/>
      <c r="F9444" s="24"/>
      <c r="G9444" s="24"/>
      <c r="H9444" s="24"/>
      <c r="I9444" s="24"/>
      <c r="J9444" s="24"/>
      <c r="K9444" s="24"/>
      <c r="L9444" s="24"/>
      <c r="M9444" s="24"/>
      <c r="N9444" s="24"/>
      <c r="O9444" s="24"/>
      <c r="P9444" s="24"/>
      <c r="Q9444" s="24"/>
      <c r="R9444" s="24"/>
      <c r="S9444" s="24"/>
      <c r="T9444" s="24"/>
      <c r="U9444" s="24"/>
      <c r="V9444" s="24"/>
      <c r="W9444" s="24"/>
      <c r="X9444" s="24"/>
      <c r="Y9444" s="24"/>
      <c r="Z9444" s="24"/>
      <c r="AA9444" s="24"/>
    </row>
    <row r="9445">
      <c r="A9445" s="24"/>
      <c r="B9445" s="25"/>
      <c r="C9445" s="24"/>
      <c r="D9445" s="26"/>
      <c r="E9445" s="24"/>
      <c r="F9445" s="24"/>
      <c r="G9445" s="24"/>
      <c r="H9445" s="24"/>
      <c r="I9445" s="24"/>
      <c r="J9445" s="24"/>
      <c r="K9445" s="24"/>
      <c r="L9445" s="24"/>
      <c r="M9445" s="24"/>
      <c r="N9445" s="24"/>
      <c r="O9445" s="24"/>
      <c r="P9445" s="24"/>
      <c r="Q9445" s="24"/>
      <c r="R9445" s="24"/>
      <c r="S9445" s="24"/>
      <c r="T9445" s="24"/>
      <c r="U9445" s="24"/>
      <c r="V9445" s="24"/>
      <c r="W9445" s="24"/>
      <c r="X9445" s="24"/>
      <c r="Y9445" s="24"/>
      <c r="Z9445" s="24"/>
      <c r="AA9445" s="24"/>
    </row>
    <row r="9446">
      <c r="A9446" s="24"/>
      <c r="B9446" s="25"/>
      <c r="C9446" s="24"/>
      <c r="D9446" s="26"/>
      <c r="E9446" s="24"/>
      <c r="F9446" s="24"/>
      <c r="G9446" s="24"/>
      <c r="H9446" s="24"/>
      <c r="I9446" s="24"/>
      <c r="J9446" s="24"/>
      <c r="K9446" s="24"/>
      <c r="L9446" s="24"/>
      <c r="M9446" s="24"/>
      <c r="N9446" s="24"/>
      <c r="O9446" s="24"/>
      <c r="P9446" s="24"/>
      <c r="Q9446" s="24"/>
      <c r="R9446" s="24"/>
      <c r="S9446" s="24"/>
      <c r="T9446" s="24"/>
      <c r="U9446" s="24"/>
      <c r="V9446" s="24"/>
      <c r="W9446" s="24"/>
      <c r="X9446" s="24"/>
      <c r="Y9446" s="24"/>
      <c r="Z9446" s="24"/>
      <c r="AA9446" s="24"/>
    </row>
    <row r="9447">
      <c r="A9447" s="24"/>
      <c r="B9447" s="25"/>
      <c r="C9447" s="24"/>
      <c r="D9447" s="26"/>
      <c r="E9447" s="24"/>
      <c r="F9447" s="24"/>
      <c r="G9447" s="24"/>
      <c r="H9447" s="24"/>
      <c r="I9447" s="24"/>
      <c r="J9447" s="24"/>
      <c r="K9447" s="24"/>
      <c r="L9447" s="24"/>
      <c r="M9447" s="24"/>
      <c r="N9447" s="24"/>
      <c r="O9447" s="24"/>
      <c r="P9447" s="24"/>
      <c r="Q9447" s="24"/>
      <c r="R9447" s="24"/>
      <c r="S9447" s="24"/>
      <c r="T9447" s="24"/>
      <c r="U9447" s="24"/>
      <c r="V9447" s="24"/>
      <c r="W9447" s="24"/>
      <c r="X9447" s="24"/>
      <c r="Y9447" s="24"/>
      <c r="Z9447" s="24"/>
      <c r="AA9447" s="24"/>
    </row>
    <row r="9448">
      <c r="A9448" s="24"/>
      <c r="B9448" s="25"/>
      <c r="C9448" s="24"/>
      <c r="D9448" s="26"/>
      <c r="E9448" s="24"/>
      <c r="F9448" s="24"/>
      <c r="G9448" s="24"/>
      <c r="H9448" s="24"/>
      <c r="I9448" s="24"/>
      <c r="J9448" s="24"/>
      <c r="K9448" s="24"/>
      <c r="L9448" s="24"/>
      <c r="M9448" s="24"/>
      <c r="N9448" s="24"/>
      <c r="O9448" s="24"/>
      <c r="P9448" s="24"/>
      <c r="Q9448" s="24"/>
      <c r="R9448" s="24"/>
      <c r="S9448" s="24"/>
      <c r="T9448" s="24"/>
      <c r="U9448" s="24"/>
      <c r="V9448" s="24"/>
      <c r="W9448" s="24"/>
      <c r="X9448" s="24"/>
      <c r="Y9448" s="24"/>
      <c r="Z9448" s="24"/>
      <c r="AA9448" s="24"/>
    </row>
    <row r="9449">
      <c r="A9449" s="24"/>
      <c r="B9449" s="25"/>
      <c r="C9449" s="24"/>
      <c r="D9449" s="26"/>
      <c r="E9449" s="24"/>
      <c r="F9449" s="24"/>
      <c r="G9449" s="24"/>
      <c r="H9449" s="24"/>
      <c r="I9449" s="24"/>
      <c r="J9449" s="24"/>
      <c r="K9449" s="24"/>
      <c r="L9449" s="24"/>
      <c r="M9449" s="24"/>
      <c r="N9449" s="24"/>
      <c r="O9449" s="24"/>
      <c r="P9449" s="24"/>
      <c r="Q9449" s="24"/>
      <c r="R9449" s="24"/>
      <c r="S9449" s="24"/>
      <c r="T9449" s="24"/>
      <c r="U9449" s="24"/>
      <c r="V9449" s="24"/>
      <c r="W9449" s="24"/>
      <c r="X9449" s="24"/>
      <c r="Y9449" s="24"/>
      <c r="Z9449" s="24"/>
      <c r="AA9449" s="24"/>
    </row>
    <row r="9450">
      <c r="A9450" s="24"/>
      <c r="B9450" s="25"/>
      <c r="C9450" s="24"/>
      <c r="D9450" s="26"/>
      <c r="E9450" s="24"/>
      <c r="F9450" s="24"/>
      <c r="G9450" s="24"/>
      <c r="H9450" s="24"/>
      <c r="I9450" s="24"/>
      <c r="J9450" s="24"/>
      <c r="K9450" s="24"/>
      <c r="L9450" s="24"/>
      <c r="M9450" s="24"/>
      <c r="N9450" s="24"/>
      <c r="O9450" s="24"/>
      <c r="P9450" s="24"/>
      <c r="Q9450" s="24"/>
      <c r="R9450" s="24"/>
      <c r="S9450" s="24"/>
      <c r="T9450" s="24"/>
      <c r="U9450" s="24"/>
      <c r="V9450" s="24"/>
      <c r="W9450" s="24"/>
      <c r="X9450" s="24"/>
      <c r="Y9450" s="24"/>
      <c r="Z9450" s="24"/>
      <c r="AA9450" s="24"/>
    </row>
    <row r="9451">
      <c r="A9451" s="24"/>
      <c r="B9451" s="25"/>
      <c r="C9451" s="24"/>
      <c r="D9451" s="26"/>
      <c r="E9451" s="24"/>
      <c r="F9451" s="24"/>
      <c r="G9451" s="24"/>
      <c r="H9451" s="24"/>
      <c r="I9451" s="24"/>
      <c r="J9451" s="24"/>
      <c r="K9451" s="24"/>
      <c r="L9451" s="24"/>
      <c r="M9451" s="24"/>
      <c r="N9451" s="24"/>
      <c r="O9451" s="24"/>
      <c r="P9451" s="24"/>
      <c r="Q9451" s="24"/>
      <c r="R9451" s="24"/>
      <c r="S9451" s="24"/>
      <c r="T9451" s="24"/>
      <c r="U9451" s="24"/>
      <c r="V9451" s="24"/>
      <c r="W9451" s="24"/>
      <c r="X9451" s="24"/>
      <c r="Y9451" s="24"/>
      <c r="Z9451" s="24"/>
      <c r="AA9451" s="24"/>
    </row>
    <row r="9452">
      <c r="A9452" s="24"/>
      <c r="B9452" s="25"/>
      <c r="C9452" s="24"/>
      <c r="D9452" s="26"/>
      <c r="E9452" s="24"/>
      <c r="F9452" s="24"/>
      <c r="G9452" s="24"/>
      <c r="H9452" s="24"/>
      <c r="I9452" s="24"/>
      <c r="J9452" s="24"/>
      <c r="K9452" s="24"/>
      <c r="L9452" s="24"/>
      <c r="M9452" s="24"/>
      <c r="N9452" s="24"/>
      <c r="O9452" s="24"/>
      <c r="P9452" s="24"/>
      <c r="Q9452" s="24"/>
      <c r="R9452" s="24"/>
      <c r="S9452" s="24"/>
      <c r="T9452" s="24"/>
      <c r="U9452" s="24"/>
      <c r="V9452" s="24"/>
      <c r="W9452" s="24"/>
      <c r="X9452" s="24"/>
      <c r="Y9452" s="24"/>
      <c r="Z9452" s="24"/>
      <c r="AA9452" s="24"/>
    </row>
    <row r="9453">
      <c r="A9453" s="24"/>
      <c r="B9453" s="25"/>
      <c r="C9453" s="24"/>
      <c r="D9453" s="26"/>
      <c r="E9453" s="24"/>
      <c r="F9453" s="24"/>
      <c r="G9453" s="24"/>
      <c r="H9453" s="24"/>
      <c r="I9453" s="24"/>
      <c r="J9453" s="24"/>
      <c r="K9453" s="24"/>
      <c r="L9453" s="24"/>
      <c r="M9453" s="24"/>
      <c r="N9453" s="24"/>
      <c r="O9453" s="24"/>
      <c r="P9453" s="24"/>
      <c r="Q9453" s="24"/>
      <c r="R9453" s="24"/>
      <c r="S9453" s="24"/>
      <c r="T9453" s="24"/>
      <c r="U9453" s="24"/>
      <c r="V9453" s="24"/>
      <c r="W9453" s="24"/>
      <c r="X9453" s="24"/>
      <c r="Y9453" s="24"/>
      <c r="Z9453" s="24"/>
      <c r="AA9453" s="24"/>
    </row>
    <row r="9454">
      <c r="A9454" s="24"/>
      <c r="B9454" s="25"/>
      <c r="C9454" s="24"/>
      <c r="D9454" s="26"/>
      <c r="E9454" s="24"/>
      <c r="F9454" s="24"/>
      <c r="G9454" s="24"/>
      <c r="H9454" s="24"/>
      <c r="I9454" s="24"/>
      <c r="J9454" s="24"/>
      <c r="K9454" s="24"/>
      <c r="L9454" s="24"/>
      <c r="M9454" s="24"/>
      <c r="N9454" s="24"/>
      <c r="O9454" s="24"/>
      <c r="P9454" s="24"/>
      <c r="Q9454" s="24"/>
      <c r="R9454" s="24"/>
      <c r="S9454" s="24"/>
      <c r="T9454" s="24"/>
      <c r="U9454" s="24"/>
      <c r="V9454" s="24"/>
      <c r="W9454" s="24"/>
      <c r="X9454" s="24"/>
      <c r="Y9454" s="24"/>
      <c r="Z9454" s="24"/>
      <c r="AA9454" s="24"/>
    </row>
    <row r="9455">
      <c r="A9455" s="24"/>
      <c r="B9455" s="25"/>
      <c r="C9455" s="24"/>
      <c r="D9455" s="26"/>
      <c r="E9455" s="24"/>
      <c r="F9455" s="24"/>
      <c r="G9455" s="24"/>
      <c r="H9455" s="24"/>
      <c r="I9455" s="24"/>
      <c r="J9455" s="24"/>
      <c r="K9455" s="24"/>
      <c r="L9455" s="24"/>
      <c r="M9455" s="24"/>
      <c r="N9455" s="24"/>
      <c r="O9455" s="24"/>
      <c r="P9455" s="24"/>
      <c r="Q9455" s="24"/>
      <c r="R9455" s="24"/>
      <c r="S9455" s="24"/>
      <c r="T9455" s="24"/>
      <c r="U9455" s="24"/>
      <c r="V9455" s="24"/>
      <c r="W9455" s="24"/>
      <c r="X9455" s="24"/>
      <c r="Y9455" s="24"/>
      <c r="Z9455" s="24"/>
      <c r="AA9455" s="24"/>
    </row>
    <row r="9456">
      <c r="A9456" s="24"/>
      <c r="B9456" s="25"/>
      <c r="C9456" s="24"/>
      <c r="D9456" s="26"/>
      <c r="E9456" s="24"/>
      <c r="F9456" s="24"/>
      <c r="G9456" s="24"/>
      <c r="H9456" s="24"/>
      <c r="I9456" s="24"/>
      <c r="J9456" s="24"/>
      <c r="K9456" s="24"/>
      <c r="L9456" s="24"/>
      <c r="M9456" s="24"/>
      <c r="N9456" s="24"/>
      <c r="O9456" s="24"/>
      <c r="P9456" s="24"/>
      <c r="Q9456" s="24"/>
      <c r="R9456" s="24"/>
      <c r="S9456" s="24"/>
      <c r="T9456" s="24"/>
      <c r="U9456" s="24"/>
      <c r="V9456" s="24"/>
      <c r="W9456" s="24"/>
      <c r="X9456" s="24"/>
      <c r="Y9456" s="24"/>
      <c r="Z9456" s="24"/>
      <c r="AA9456" s="24"/>
    </row>
    <row r="9457">
      <c r="A9457" s="24"/>
      <c r="B9457" s="25"/>
      <c r="C9457" s="24"/>
      <c r="D9457" s="26"/>
      <c r="E9457" s="24"/>
      <c r="F9457" s="24"/>
      <c r="G9457" s="24"/>
      <c r="H9457" s="24"/>
      <c r="I9457" s="24"/>
      <c r="J9457" s="24"/>
      <c r="K9457" s="24"/>
      <c r="L9457" s="24"/>
      <c r="M9457" s="24"/>
      <c r="N9457" s="24"/>
      <c r="O9457" s="24"/>
      <c r="P9457" s="24"/>
      <c r="Q9457" s="24"/>
      <c r="R9457" s="24"/>
      <c r="S9457" s="24"/>
      <c r="T9457" s="24"/>
      <c r="U9457" s="24"/>
      <c r="V9457" s="24"/>
      <c r="W9457" s="24"/>
      <c r="X9457" s="24"/>
      <c r="Y9457" s="24"/>
      <c r="Z9457" s="24"/>
      <c r="AA9457" s="24"/>
    </row>
    <row r="9458">
      <c r="A9458" s="24"/>
      <c r="B9458" s="25"/>
      <c r="C9458" s="24"/>
      <c r="D9458" s="26"/>
      <c r="E9458" s="24"/>
      <c r="F9458" s="24"/>
      <c r="G9458" s="24"/>
      <c r="H9458" s="24"/>
      <c r="I9458" s="24"/>
      <c r="J9458" s="24"/>
      <c r="K9458" s="24"/>
      <c r="L9458" s="24"/>
      <c r="M9458" s="24"/>
      <c r="N9458" s="24"/>
      <c r="O9458" s="24"/>
      <c r="P9458" s="24"/>
      <c r="Q9458" s="24"/>
      <c r="R9458" s="24"/>
      <c r="S9458" s="24"/>
      <c r="T9458" s="24"/>
      <c r="U9458" s="24"/>
      <c r="V9458" s="24"/>
      <c r="W9458" s="24"/>
      <c r="X9458" s="24"/>
      <c r="Y9458" s="24"/>
      <c r="Z9458" s="24"/>
      <c r="AA9458" s="24"/>
    </row>
    <row r="9459">
      <c r="A9459" s="24"/>
      <c r="B9459" s="25"/>
      <c r="C9459" s="24"/>
      <c r="D9459" s="26"/>
      <c r="E9459" s="24"/>
      <c r="F9459" s="24"/>
      <c r="G9459" s="24"/>
      <c r="H9459" s="24"/>
      <c r="I9459" s="24"/>
      <c r="J9459" s="24"/>
      <c r="K9459" s="24"/>
      <c r="L9459" s="24"/>
      <c r="M9459" s="24"/>
      <c r="N9459" s="24"/>
      <c r="O9459" s="24"/>
      <c r="P9459" s="24"/>
      <c r="Q9459" s="24"/>
      <c r="R9459" s="24"/>
      <c r="S9459" s="24"/>
      <c r="T9459" s="24"/>
      <c r="U9459" s="24"/>
      <c r="V9459" s="24"/>
      <c r="W9459" s="24"/>
      <c r="X9459" s="24"/>
      <c r="Y9459" s="24"/>
      <c r="Z9459" s="24"/>
      <c r="AA9459" s="24"/>
    </row>
    <row r="9460">
      <c r="A9460" s="24"/>
      <c r="B9460" s="25"/>
      <c r="C9460" s="24"/>
      <c r="D9460" s="26"/>
      <c r="E9460" s="24"/>
      <c r="F9460" s="24"/>
      <c r="G9460" s="24"/>
      <c r="H9460" s="24"/>
      <c r="I9460" s="24"/>
      <c r="J9460" s="24"/>
      <c r="K9460" s="24"/>
      <c r="L9460" s="24"/>
      <c r="M9460" s="24"/>
      <c r="N9460" s="24"/>
      <c r="O9460" s="24"/>
      <c r="P9460" s="24"/>
      <c r="Q9460" s="24"/>
      <c r="R9460" s="24"/>
      <c r="S9460" s="24"/>
      <c r="T9460" s="24"/>
      <c r="U9460" s="24"/>
      <c r="V9460" s="24"/>
      <c r="W9460" s="24"/>
      <c r="X9460" s="24"/>
      <c r="Y9460" s="24"/>
      <c r="Z9460" s="24"/>
      <c r="AA9460" s="24"/>
    </row>
    <row r="9461">
      <c r="A9461" s="24"/>
      <c r="B9461" s="25"/>
      <c r="C9461" s="24"/>
      <c r="D9461" s="26"/>
      <c r="E9461" s="24"/>
      <c r="F9461" s="24"/>
      <c r="G9461" s="24"/>
      <c r="H9461" s="24"/>
      <c r="I9461" s="24"/>
      <c r="J9461" s="24"/>
      <c r="K9461" s="24"/>
      <c r="L9461" s="24"/>
      <c r="M9461" s="24"/>
      <c r="N9461" s="24"/>
      <c r="O9461" s="24"/>
      <c r="P9461" s="24"/>
      <c r="Q9461" s="24"/>
      <c r="R9461" s="24"/>
      <c r="S9461" s="24"/>
      <c r="T9461" s="24"/>
      <c r="U9461" s="24"/>
      <c r="V9461" s="24"/>
      <c r="W9461" s="24"/>
      <c r="X9461" s="24"/>
      <c r="Y9461" s="24"/>
      <c r="Z9461" s="24"/>
      <c r="AA9461" s="24"/>
    </row>
    <row r="9462">
      <c r="A9462" s="24"/>
      <c r="B9462" s="25"/>
      <c r="C9462" s="24"/>
      <c r="D9462" s="26"/>
      <c r="E9462" s="24"/>
      <c r="F9462" s="24"/>
      <c r="G9462" s="24"/>
      <c r="H9462" s="24"/>
      <c r="I9462" s="24"/>
      <c r="J9462" s="24"/>
      <c r="K9462" s="24"/>
      <c r="L9462" s="24"/>
      <c r="M9462" s="24"/>
      <c r="N9462" s="24"/>
      <c r="O9462" s="24"/>
      <c r="P9462" s="24"/>
      <c r="Q9462" s="24"/>
      <c r="R9462" s="24"/>
      <c r="S9462" s="24"/>
      <c r="T9462" s="24"/>
      <c r="U9462" s="24"/>
      <c r="V9462" s="24"/>
      <c r="W9462" s="24"/>
      <c r="X9462" s="24"/>
      <c r="Y9462" s="24"/>
      <c r="Z9462" s="24"/>
      <c r="AA9462" s="24"/>
    </row>
    <row r="9463">
      <c r="A9463" s="24"/>
      <c r="B9463" s="25"/>
      <c r="C9463" s="24"/>
      <c r="D9463" s="26"/>
      <c r="E9463" s="24"/>
      <c r="F9463" s="24"/>
      <c r="G9463" s="24"/>
      <c r="H9463" s="24"/>
      <c r="I9463" s="24"/>
      <c r="J9463" s="24"/>
      <c r="K9463" s="24"/>
      <c r="L9463" s="24"/>
      <c r="M9463" s="24"/>
      <c r="N9463" s="24"/>
      <c r="O9463" s="24"/>
      <c r="P9463" s="24"/>
      <c r="Q9463" s="24"/>
      <c r="R9463" s="24"/>
      <c r="S9463" s="24"/>
      <c r="T9463" s="24"/>
      <c r="U9463" s="24"/>
      <c r="V9463" s="24"/>
      <c r="W9463" s="24"/>
      <c r="X9463" s="24"/>
      <c r="Y9463" s="24"/>
      <c r="Z9463" s="24"/>
      <c r="AA9463" s="24"/>
    </row>
    <row r="9464">
      <c r="A9464" s="24"/>
      <c r="B9464" s="25"/>
      <c r="C9464" s="24"/>
      <c r="D9464" s="26"/>
      <c r="E9464" s="24"/>
      <c r="F9464" s="24"/>
      <c r="G9464" s="24"/>
      <c r="H9464" s="24"/>
      <c r="I9464" s="24"/>
      <c r="J9464" s="24"/>
      <c r="K9464" s="24"/>
      <c r="L9464" s="24"/>
      <c r="M9464" s="24"/>
      <c r="N9464" s="24"/>
      <c r="O9464" s="24"/>
      <c r="P9464" s="24"/>
      <c r="Q9464" s="24"/>
      <c r="R9464" s="24"/>
      <c r="S9464" s="24"/>
      <c r="T9464" s="24"/>
      <c r="U9464" s="24"/>
      <c r="V9464" s="24"/>
      <c r="W9464" s="24"/>
      <c r="X9464" s="24"/>
      <c r="Y9464" s="24"/>
      <c r="Z9464" s="24"/>
      <c r="AA9464" s="24"/>
    </row>
    <row r="9465">
      <c r="A9465" s="24"/>
      <c r="B9465" s="25"/>
      <c r="C9465" s="24"/>
      <c r="D9465" s="26"/>
      <c r="E9465" s="24"/>
      <c r="F9465" s="24"/>
      <c r="G9465" s="24"/>
      <c r="H9465" s="24"/>
      <c r="I9465" s="24"/>
      <c r="J9465" s="24"/>
      <c r="K9465" s="24"/>
      <c r="L9465" s="24"/>
      <c r="M9465" s="24"/>
      <c r="N9465" s="24"/>
      <c r="O9465" s="24"/>
      <c r="P9465" s="24"/>
      <c r="Q9465" s="24"/>
      <c r="R9465" s="24"/>
      <c r="S9465" s="24"/>
      <c r="T9465" s="24"/>
      <c r="U9465" s="24"/>
      <c r="V9465" s="24"/>
      <c r="W9465" s="24"/>
      <c r="X9465" s="24"/>
      <c r="Y9465" s="24"/>
      <c r="Z9465" s="24"/>
      <c r="AA9465" s="24"/>
    </row>
    <row r="9466">
      <c r="A9466" s="24"/>
      <c r="B9466" s="25"/>
      <c r="C9466" s="24"/>
      <c r="D9466" s="26"/>
      <c r="E9466" s="24"/>
      <c r="F9466" s="24"/>
      <c r="G9466" s="24"/>
      <c r="H9466" s="24"/>
      <c r="I9466" s="24"/>
      <c r="J9466" s="24"/>
      <c r="K9466" s="24"/>
      <c r="L9466" s="24"/>
      <c r="M9466" s="24"/>
      <c r="N9466" s="24"/>
      <c r="O9466" s="24"/>
      <c r="P9466" s="24"/>
      <c r="Q9466" s="24"/>
      <c r="R9466" s="24"/>
      <c r="S9466" s="24"/>
      <c r="T9466" s="24"/>
      <c r="U9466" s="24"/>
      <c r="V9466" s="24"/>
      <c r="W9466" s="24"/>
      <c r="X9466" s="24"/>
      <c r="Y9466" s="24"/>
      <c r="Z9466" s="24"/>
      <c r="AA9466" s="24"/>
    </row>
    <row r="9467">
      <c r="A9467" s="24"/>
      <c r="B9467" s="25"/>
      <c r="C9467" s="24"/>
      <c r="D9467" s="26"/>
      <c r="E9467" s="24"/>
      <c r="F9467" s="24"/>
      <c r="G9467" s="24"/>
      <c r="H9467" s="24"/>
      <c r="I9467" s="24"/>
      <c r="J9467" s="24"/>
      <c r="K9467" s="24"/>
      <c r="L9467" s="24"/>
      <c r="M9467" s="24"/>
      <c r="N9467" s="24"/>
      <c r="O9467" s="24"/>
      <c r="P9467" s="24"/>
      <c r="Q9467" s="24"/>
      <c r="R9467" s="24"/>
      <c r="S9467" s="24"/>
      <c r="T9467" s="24"/>
      <c r="U9467" s="24"/>
      <c r="V9467" s="24"/>
      <c r="W9467" s="24"/>
      <c r="X9467" s="24"/>
      <c r="Y9467" s="24"/>
      <c r="Z9467" s="24"/>
      <c r="AA9467" s="24"/>
    </row>
    <row r="9468">
      <c r="A9468" s="24"/>
      <c r="B9468" s="25"/>
      <c r="C9468" s="24"/>
      <c r="D9468" s="26"/>
      <c r="E9468" s="24"/>
      <c r="F9468" s="24"/>
      <c r="G9468" s="24"/>
      <c r="H9468" s="24"/>
      <c r="I9468" s="24"/>
      <c r="J9468" s="24"/>
      <c r="K9468" s="24"/>
      <c r="L9468" s="24"/>
      <c r="M9468" s="24"/>
      <c r="N9468" s="24"/>
      <c r="O9468" s="24"/>
      <c r="P9468" s="24"/>
      <c r="Q9468" s="24"/>
      <c r="R9468" s="24"/>
      <c r="S9468" s="24"/>
      <c r="T9468" s="24"/>
      <c r="U9468" s="24"/>
      <c r="V9468" s="24"/>
      <c r="W9468" s="24"/>
      <c r="X9468" s="24"/>
      <c r="Y9468" s="24"/>
      <c r="Z9468" s="24"/>
      <c r="AA9468" s="24"/>
    </row>
    <row r="9469">
      <c r="A9469" s="24"/>
      <c r="B9469" s="25"/>
      <c r="C9469" s="24"/>
      <c r="D9469" s="26"/>
      <c r="E9469" s="24"/>
      <c r="F9469" s="24"/>
      <c r="G9469" s="24"/>
      <c r="H9469" s="24"/>
      <c r="I9469" s="24"/>
      <c r="J9469" s="24"/>
      <c r="K9469" s="24"/>
      <c r="L9469" s="24"/>
      <c r="M9469" s="24"/>
      <c r="N9469" s="24"/>
      <c r="O9469" s="24"/>
      <c r="P9469" s="24"/>
      <c r="Q9469" s="24"/>
      <c r="R9469" s="24"/>
      <c r="S9469" s="24"/>
      <c r="T9469" s="24"/>
      <c r="U9469" s="24"/>
      <c r="V9469" s="24"/>
      <c r="W9469" s="24"/>
      <c r="X9469" s="24"/>
      <c r="Y9469" s="24"/>
      <c r="Z9469" s="24"/>
      <c r="AA9469" s="24"/>
    </row>
    <row r="9470">
      <c r="A9470" s="24"/>
      <c r="B9470" s="25"/>
      <c r="C9470" s="24"/>
      <c r="D9470" s="26"/>
      <c r="E9470" s="24"/>
      <c r="F9470" s="24"/>
      <c r="G9470" s="24"/>
      <c r="H9470" s="24"/>
      <c r="I9470" s="24"/>
      <c r="J9470" s="24"/>
      <c r="K9470" s="24"/>
      <c r="L9470" s="24"/>
      <c r="M9470" s="24"/>
      <c r="N9470" s="24"/>
      <c r="O9470" s="24"/>
      <c r="P9470" s="24"/>
      <c r="Q9470" s="24"/>
      <c r="R9470" s="24"/>
      <c r="S9470" s="24"/>
      <c r="T9470" s="24"/>
      <c r="U9470" s="24"/>
      <c r="V9470" s="24"/>
      <c r="W9470" s="24"/>
      <c r="X9470" s="24"/>
      <c r="Y9470" s="24"/>
      <c r="Z9470" s="24"/>
      <c r="AA9470" s="24"/>
    </row>
    <row r="9471">
      <c r="A9471" s="24"/>
      <c r="B9471" s="25"/>
      <c r="C9471" s="24"/>
      <c r="D9471" s="26"/>
      <c r="E9471" s="24"/>
      <c r="F9471" s="24"/>
      <c r="G9471" s="24"/>
      <c r="H9471" s="24"/>
      <c r="I9471" s="24"/>
      <c r="J9471" s="24"/>
      <c r="K9471" s="24"/>
      <c r="L9471" s="24"/>
      <c r="M9471" s="24"/>
      <c r="N9471" s="24"/>
      <c r="O9471" s="24"/>
      <c r="P9471" s="24"/>
      <c r="Q9471" s="24"/>
      <c r="R9471" s="24"/>
      <c r="S9471" s="24"/>
      <c r="T9471" s="24"/>
      <c r="U9471" s="24"/>
      <c r="V9471" s="24"/>
      <c r="W9471" s="24"/>
      <c r="X9471" s="24"/>
      <c r="Y9471" s="24"/>
      <c r="Z9471" s="24"/>
      <c r="AA9471" s="24"/>
    </row>
    <row r="9472">
      <c r="A9472" s="24"/>
      <c r="B9472" s="25"/>
      <c r="C9472" s="24"/>
      <c r="D9472" s="26"/>
      <c r="E9472" s="24"/>
      <c r="F9472" s="24"/>
      <c r="G9472" s="24"/>
      <c r="H9472" s="24"/>
      <c r="I9472" s="24"/>
      <c r="J9472" s="24"/>
      <c r="K9472" s="24"/>
      <c r="L9472" s="24"/>
      <c r="M9472" s="24"/>
      <c r="N9472" s="24"/>
      <c r="O9472" s="24"/>
      <c r="P9472" s="24"/>
      <c r="Q9472" s="24"/>
      <c r="R9472" s="24"/>
      <c r="S9472" s="24"/>
      <c r="T9472" s="24"/>
      <c r="U9472" s="24"/>
      <c r="V9472" s="24"/>
      <c r="W9472" s="24"/>
      <c r="X9472" s="24"/>
      <c r="Y9472" s="24"/>
      <c r="Z9472" s="24"/>
      <c r="AA9472" s="24"/>
    </row>
    <row r="9473">
      <c r="A9473" s="24"/>
      <c r="B9473" s="25"/>
      <c r="C9473" s="24"/>
      <c r="D9473" s="26"/>
      <c r="E9473" s="24"/>
      <c r="F9473" s="24"/>
      <c r="G9473" s="24"/>
      <c r="H9473" s="24"/>
      <c r="I9473" s="24"/>
      <c r="J9473" s="24"/>
      <c r="K9473" s="24"/>
      <c r="L9473" s="24"/>
      <c r="M9473" s="24"/>
      <c r="N9473" s="24"/>
      <c r="O9473" s="24"/>
      <c r="P9473" s="24"/>
      <c r="Q9473" s="24"/>
      <c r="R9473" s="24"/>
      <c r="S9473" s="24"/>
      <c r="T9473" s="24"/>
      <c r="U9473" s="24"/>
      <c r="V9473" s="24"/>
      <c r="W9473" s="24"/>
      <c r="X9473" s="24"/>
      <c r="Y9473" s="24"/>
      <c r="Z9473" s="24"/>
      <c r="AA9473" s="24"/>
    </row>
    <row r="9474">
      <c r="A9474" s="24"/>
      <c r="B9474" s="25"/>
      <c r="C9474" s="24"/>
      <c r="D9474" s="26"/>
      <c r="E9474" s="24"/>
      <c r="F9474" s="24"/>
      <c r="G9474" s="24"/>
      <c r="H9474" s="24"/>
      <c r="I9474" s="24"/>
      <c r="J9474" s="24"/>
      <c r="K9474" s="24"/>
      <c r="L9474" s="24"/>
      <c r="M9474" s="24"/>
      <c r="N9474" s="24"/>
      <c r="O9474" s="24"/>
      <c r="P9474" s="24"/>
      <c r="Q9474" s="24"/>
      <c r="R9474" s="24"/>
      <c r="S9474" s="24"/>
      <c r="T9474" s="24"/>
      <c r="U9474" s="24"/>
      <c r="V9474" s="24"/>
      <c r="W9474" s="24"/>
      <c r="X9474" s="24"/>
      <c r="Y9474" s="24"/>
      <c r="Z9474" s="24"/>
      <c r="AA9474" s="24"/>
    </row>
    <row r="9475">
      <c r="A9475" s="24"/>
      <c r="B9475" s="25"/>
      <c r="C9475" s="24"/>
      <c r="D9475" s="26"/>
      <c r="E9475" s="24"/>
      <c r="F9475" s="24"/>
      <c r="G9475" s="24"/>
      <c r="H9475" s="24"/>
      <c r="I9475" s="24"/>
      <c r="J9475" s="24"/>
      <c r="K9475" s="24"/>
      <c r="L9475" s="24"/>
      <c r="M9475" s="24"/>
      <c r="N9475" s="24"/>
      <c r="O9475" s="24"/>
      <c r="P9475" s="24"/>
      <c r="Q9475" s="24"/>
      <c r="R9475" s="24"/>
      <c r="S9475" s="24"/>
      <c r="T9475" s="24"/>
      <c r="U9475" s="24"/>
      <c r="V9475" s="24"/>
      <c r="W9475" s="24"/>
      <c r="X9475" s="24"/>
      <c r="Y9475" s="24"/>
      <c r="Z9475" s="24"/>
      <c r="AA9475" s="24"/>
    </row>
    <row r="9476">
      <c r="A9476" s="24"/>
      <c r="B9476" s="25"/>
      <c r="C9476" s="24"/>
      <c r="D9476" s="26"/>
      <c r="E9476" s="24"/>
      <c r="F9476" s="24"/>
      <c r="G9476" s="24"/>
      <c r="H9476" s="24"/>
      <c r="I9476" s="24"/>
      <c r="J9476" s="24"/>
      <c r="K9476" s="24"/>
      <c r="L9476" s="24"/>
      <c r="M9476" s="24"/>
      <c r="N9476" s="24"/>
      <c r="O9476" s="24"/>
      <c r="P9476" s="24"/>
      <c r="Q9476" s="24"/>
      <c r="R9476" s="24"/>
      <c r="S9476" s="24"/>
      <c r="T9476" s="24"/>
      <c r="U9476" s="24"/>
      <c r="V9476" s="24"/>
      <c r="W9476" s="24"/>
      <c r="X9476" s="24"/>
      <c r="Y9476" s="24"/>
      <c r="Z9476" s="24"/>
      <c r="AA9476" s="24"/>
    </row>
    <row r="9477">
      <c r="A9477" s="24"/>
      <c r="B9477" s="25"/>
      <c r="C9477" s="24"/>
      <c r="D9477" s="26"/>
      <c r="E9477" s="24"/>
      <c r="F9477" s="24"/>
      <c r="G9477" s="24"/>
      <c r="H9477" s="24"/>
      <c r="I9477" s="24"/>
      <c r="J9477" s="24"/>
      <c r="K9477" s="24"/>
      <c r="L9477" s="24"/>
      <c r="M9477" s="24"/>
      <c r="N9477" s="24"/>
      <c r="O9477" s="24"/>
      <c r="P9477" s="24"/>
      <c r="Q9477" s="24"/>
      <c r="R9477" s="24"/>
      <c r="S9477" s="24"/>
      <c r="T9477" s="24"/>
      <c r="U9477" s="24"/>
      <c r="V9477" s="24"/>
      <c r="W9477" s="24"/>
      <c r="X9477" s="24"/>
      <c r="Y9477" s="24"/>
      <c r="Z9477" s="24"/>
      <c r="AA9477" s="24"/>
    </row>
    <row r="9478">
      <c r="A9478" s="24"/>
      <c r="B9478" s="25"/>
      <c r="C9478" s="24"/>
      <c r="D9478" s="26"/>
      <c r="E9478" s="24"/>
      <c r="F9478" s="24"/>
      <c r="G9478" s="24"/>
      <c r="H9478" s="24"/>
      <c r="I9478" s="24"/>
      <c r="J9478" s="24"/>
      <c r="K9478" s="24"/>
      <c r="L9478" s="24"/>
      <c r="M9478" s="24"/>
      <c r="N9478" s="24"/>
      <c r="O9478" s="24"/>
      <c r="P9478" s="24"/>
      <c r="Q9478" s="24"/>
      <c r="R9478" s="24"/>
      <c r="S9478" s="24"/>
      <c r="T9478" s="24"/>
      <c r="U9478" s="24"/>
      <c r="V9478" s="24"/>
      <c r="W9478" s="24"/>
      <c r="X9478" s="24"/>
      <c r="Y9478" s="24"/>
      <c r="Z9478" s="24"/>
      <c r="AA9478" s="24"/>
    </row>
    <row r="9479">
      <c r="A9479" s="24"/>
      <c r="B9479" s="25"/>
      <c r="C9479" s="24"/>
      <c r="D9479" s="26"/>
      <c r="E9479" s="24"/>
      <c r="F9479" s="24"/>
      <c r="G9479" s="24"/>
      <c r="H9479" s="24"/>
      <c r="I9479" s="24"/>
      <c r="J9479" s="24"/>
      <c r="K9479" s="24"/>
      <c r="L9479" s="24"/>
      <c r="M9479" s="24"/>
      <c r="N9479" s="24"/>
      <c r="O9479" s="24"/>
      <c r="P9479" s="24"/>
      <c r="Q9479" s="24"/>
      <c r="R9479" s="24"/>
      <c r="S9479" s="24"/>
      <c r="T9479" s="24"/>
      <c r="U9479" s="24"/>
      <c r="V9479" s="24"/>
      <c r="W9479" s="24"/>
      <c r="X9479" s="24"/>
      <c r="Y9479" s="24"/>
      <c r="Z9479" s="24"/>
      <c r="AA9479" s="24"/>
    </row>
    <row r="9480">
      <c r="A9480" s="24"/>
      <c r="B9480" s="25"/>
      <c r="C9480" s="24"/>
      <c r="D9480" s="26"/>
      <c r="E9480" s="24"/>
      <c r="F9480" s="24"/>
      <c r="G9480" s="24"/>
      <c r="H9480" s="24"/>
      <c r="I9480" s="24"/>
      <c r="J9480" s="24"/>
      <c r="K9480" s="24"/>
      <c r="L9480" s="24"/>
      <c r="M9480" s="24"/>
      <c r="N9480" s="24"/>
      <c r="O9480" s="24"/>
      <c r="P9480" s="24"/>
      <c r="Q9480" s="24"/>
      <c r="R9480" s="24"/>
      <c r="S9480" s="24"/>
      <c r="T9480" s="24"/>
      <c r="U9480" s="24"/>
      <c r="V9480" s="24"/>
      <c r="W9480" s="24"/>
      <c r="X9480" s="24"/>
      <c r="Y9480" s="24"/>
      <c r="Z9480" s="24"/>
      <c r="AA9480" s="24"/>
    </row>
    <row r="9481">
      <c r="A9481" s="24"/>
      <c r="B9481" s="25"/>
      <c r="C9481" s="24"/>
      <c r="D9481" s="26"/>
      <c r="E9481" s="24"/>
      <c r="F9481" s="24"/>
      <c r="G9481" s="24"/>
      <c r="H9481" s="24"/>
      <c r="I9481" s="24"/>
      <c r="J9481" s="24"/>
      <c r="K9481" s="24"/>
      <c r="L9481" s="24"/>
      <c r="M9481" s="24"/>
      <c r="N9481" s="24"/>
      <c r="O9481" s="24"/>
      <c r="P9481" s="24"/>
      <c r="Q9481" s="24"/>
      <c r="R9481" s="24"/>
      <c r="S9481" s="24"/>
      <c r="T9481" s="24"/>
      <c r="U9481" s="24"/>
      <c r="V9481" s="24"/>
      <c r="W9481" s="24"/>
      <c r="X9481" s="24"/>
      <c r="Y9481" s="24"/>
      <c r="Z9481" s="24"/>
      <c r="AA9481" s="24"/>
    </row>
    <row r="9482">
      <c r="A9482" s="24"/>
      <c r="B9482" s="25"/>
      <c r="C9482" s="24"/>
      <c r="D9482" s="26"/>
      <c r="E9482" s="24"/>
      <c r="F9482" s="24"/>
      <c r="G9482" s="24"/>
      <c r="H9482" s="24"/>
      <c r="I9482" s="24"/>
      <c r="J9482" s="24"/>
      <c r="K9482" s="24"/>
      <c r="L9482" s="24"/>
      <c r="M9482" s="24"/>
      <c r="N9482" s="24"/>
      <c r="O9482" s="24"/>
      <c r="P9482" s="24"/>
      <c r="Q9482" s="24"/>
      <c r="R9482" s="24"/>
      <c r="S9482" s="24"/>
      <c r="T9482" s="24"/>
      <c r="U9482" s="24"/>
      <c r="V9482" s="24"/>
      <c r="W9482" s="24"/>
      <c r="X9482" s="24"/>
      <c r="Y9482" s="24"/>
      <c r="Z9482" s="24"/>
      <c r="AA9482" s="24"/>
    </row>
    <row r="9483">
      <c r="A9483" s="24"/>
      <c r="B9483" s="25"/>
      <c r="C9483" s="24"/>
      <c r="D9483" s="26"/>
      <c r="E9483" s="24"/>
      <c r="F9483" s="24"/>
      <c r="G9483" s="24"/>
      <c r="H9483" s="24"/>
      <c r="I9483" s="24"/>
      <c r="J9483" s="24"/>
      <c r="K9483" s="24"/>
      <c r="L9483" s="24"/>
      <c r="M9483" s="24"/>
      <c r="N9483" s="24"/>
      <c r="O9483" s="24"/>
      <c r="P9483" s="24"/>
      <c r="Q9483" s="24"/>
      <c r="R9483" s="24"/>
      <c r="S9483" s="24"/>
      <c r="T9483" s="24"/>
      <c r="U9483" s="24"/>
      <c r="V9483" s="24"/>
      <c r="W9483" s="24"/>
      <c r="X9483" s="24"/>
      <c r="Y9483" s="24"/>
      <c r="Z9483" s="24"/>
      <c r="AA9483" s="24"/>
    </row>
    <row r="9484">
      <c r="A9484" s="24"/>
      <c r="B9484" s="25"/>
      <c r="C9484" s="24"/>
      <c r="D9484" s="26"/>
      <c r="E9484" s="24"/>
      <c r="F9484" s="24"/>
      <c r="G9484" s="24"/>
      <c r="H9484" s="24"/>
      <c r="I9484" s="24"/>
      <c r="J9484" s="24"/>
      <c r="K9484" s="24"/>
      <c r="L9484" s="24"/>
      <c r="M9484" s="24"/>
      <c r="N9484" s="24"/>
      <c r="O9484" s="24"/>
      <c r="P9484" s="24"/>
      <c r="Q9484" s="24"/>
      <c r="R9484" s="24"/>
      <c r="S9484" s="24"/>
      <c r="T9484" s="24"/>
      <c r="U9484" s="24"/>
      <c r="V9484" s="24"/>
      <c r="W9484" s="24"/>
      <c r="X9484" s="24"/>
      <c r="Y9484" s="24"/>
      <c r="Z9484" s="24"/>
      <c r="AA9484" s="24"/>
    </row>
    <row r="9485">
      <c r="A9485" s="24"/>
      <c r="B9485" s="25"/>
      <c r="C9485" s="24"/>
      <c r="D9485" s="26"/>
      <c r="E9485" s="24"/>
      <c r="F9485" s="24"/>
      <c r="G9485" s="24"/>
      <c r="H9485" s="24"/>
      <c r="I9485" s="24"/>
      <c r="J9485" s="24"/>
      <c r="K9485" s="24"/>
      <c r="L9485" s="24"/>
      <c r="M9485" s="24"/>
      <c r="N9485" s="24"/>
      <c r="O9485" s="24"/>
      <c r="P9485" s="24"/>
      <c r="Q9485" s="24"/>
      <c r="R9485" s="24"/>
      <c r="S9485" s="24"/>
      <c r="T9485" s="24"/>
      <c r="U9485" s="24"/>
      <c r="V9485" s="24"/>
      <c r="W9485" s="24"/>
      <c r="X9485" s="24"/>
      <c r="Y9485" s="24"/>
      <c r="Z9485" s="24"/>
      <c r="AA9485" s="24"/>
    </row>
    <row r="9486">
      <c r="A9486" s="24"/>
      <c r="B9486" s="25"/>
      <c r="C9486" s="24"/>
      <c r="D9486" s="26"/>
      <c r="E9486" s="24"/>
      <c r="F9486" s="24"/>
      <c r="G9486" s="24"/>
      <c r="H9486" s="24"/>
      <c r="I9486" s="24"/>
      <c r="J9486" s="24"/>
      <c r="K9486" s="24"/>
      <c r="L9486" s="24"/>
      <c r="M9486" s="24"/>
      <c r="N9486" s="24"/>
      <c r="O9486" s="24"/>
      <c r="P9486" s="24"/>
      <c r="Q9486" s="24"/>
      <c r="R9486" s="24"/>
      <c r="S9486" s="24"/>
      <c r="T9486" s="24"/>
      <c r="U9486" s="24"/>
      <c r="V9486" s="24"/>
      <c r="W9486" s="24"/>
      <c r="X9486" s="24"/>
      <c r="Y9486" s="24"/>
      <c r="Z9486" s="24"/>
      <c r="AA9486" s="24"/>
    </row>
    <row r="9487">
      <c r="A9487" s="24"/>
      <c r="B9487" s="25"/>
      <c r="C9487" s="24"/>
      <c r="D9487" s="26"/>
      <c r="E9487" s="24"/>
      <c r="F9487" s="24"/>
      <c r="G9487" s="24"/>
      <c r="H9487" s="24"/>
      <c r="I9487" s="24"/>
      <c r="J9487" s="24"/>
      <c r="K9487" s="24"/>
      <c r="L9487" s="24"/>
      <c r="M9487" s="24"/>
      <c r="N9487" s="24"/>
      <c r="O9487" s="24"/>
      <c r="P9487" s="24"/>
      <c r="Q9487" s="24"/>
      <c r="R9487" s="24"/>
      <c r="S9487" s="24"/>
      <c r="T9487" s="24"/>
      <c r="U9487" s="24"/>
      <c r="V9487" s="24"/>
      <c r="W9487" s="24"/>
      <c r="X9487" s="24"/>
      <c r="Y9487" s="24"/>
      <c r="Z9487" s="24"/>
      <c r="AA9487" s="24"/>
    </row>
    <row r="9488">
      <c r="A9488" s="24"/>
      <c r="B9488" s="25"/>
      <c r="C9488" s="24"/>
      <c r="D9488" s="26"/>
      <c r="E9488" s="24"/>
      <c r="F9488" s="24"/>
      <c r="G9488" s="24"/>
      <c r="H9488" s="24"/>
      <c r="I9488" s="24"/>
      <c r="J9488" s="24"/>
      <c r="K9488" s="24"/>
      <c r="L9488" s="24"/>
      <c r="M9488" s="24"/>
      <c r="N9488" s="24"/>
      <c r="O9488" s="24"/>
      <c r="P9488" s="24"/>
      <c r="Q9488" s="24"/>
      <c r="R9488" s="24"/>
      <c r="S9488" s="24"/>
      <c r="T9488" s="24"/>
      <c r="U9488" s="24"/>
      <c r="V9488" s="24"/>
      <c r="W9488" s="24"/>
      <c r="X9488" s="24"/>
      <c r="Y9488" s="24"/>
      <c r="Z9488" s="24"/>
      <c r="AA9488" s="24"/>
    </row>
    <row r="9489">
      <c r="A9489" s="24"/>
      <c r="B9489" s="25"/>
      <c r="C9489" s="24"/>
      <c r="D9489" s="26"/>
      <c r="E9489" s="24"/>
      <c r="F9489" s="24"/>
      <c r="G9489" s="24"/>
      <c r="H9489" s="24"/>
      <c r="I9489" s="24"/>
      <c r="J9489" s="24"/>
      <c r="K9489" s="24"/>
      <c r="L9489" s="24"/>
      <c r="M9489" s="24"/>
      <c r="N9489" s="24"/>
      <c r="O9489" s="24"/>
      <c r="P9489" s="24"/>
      <c r="Q9489" s="24"/>
      <c r="R9489" s="24"/>
      <c r="S9489" s="24"/>
      <c r="T9489" s="24"/>
      <c r="U9489" s="24"/>
      <c r="V9489" s="24"/>
      <c r="W9489" s="24"/>
      <c r="X9489" s="24"/>
      <c r="Y9489" s="24"/>
      <c r="Z9489" s="24"/>
      <c r="AA9489" s="24"/>
    </row>
    <row r="9490">
      <c r="A9490" s="24"/>
      <c r="B9490" s="25"/>
      <c r="C9490" s="24"/>
      <c r="D9490" s="26"/>
      <c r="E9490" s="24"/>
      <c r="F9490" s="24"/>
      <c r="G9490" s="24"/>
      <c r="H9490" s="24"/>
      <c r="I9490" s="24"/>
      <c r="J9490" s="24"/>
      <c r="K9490" s="24"/>
      <c r="L9490" s="24"/>
      <c r="M9490" s="24"/>
      <c r="N9490" s="24"/>
      <c r="O9490" s="24"/>
      <c r="P9490" s="24"/>
      <c r="Q9490" s="24"/>
      <c r="R9490" s="24"/>
      <c r="S9490" s="24"/>
      <c r="T9490" s="24"/>
      <c r="U9490" s="24"/>
      <c r="V9490" s="24"/>
      <c r="W9490" s="24"/>
      <c r="X9490" s="24"/>
      <c r="Y9490" s="24"/>
      <c r="Z9490" s="24"/>
      <c r="AA9490" s="24"/>
    </row>
    <row r="9491">
      <c r="A9491" s="24"/>
      <c r="B9491" s="25"/>
      <c r="C9491" s="24"/>
      <c r="D9491" s="26"/>
      <c r="E9491" s="24"/>
      <c r="F9491" s="24"/>
      <c r="G9491" s="24"/>
      <c r="H9491" s="24"/>
      <c r="I9491" s="24"/>
      <c r="J9491" s="24"/>
      <c r="K9491" s="24"/>
      <c r="L9491" s="24"/>
      <c r="M9491" s="24"/>
      <c r="N9491" s="24"/>
      <c r="O9491" s="24"/>
      <c r="P9491" s="24"/>
      <c r="Q9491" s="24"/>
      <c r="R9491" s="24"/>
      <c r="S9491" s="24"/>
      <c r="T9491" s="24"/>
      <c r="U9491" s="24"/>
      <c r="V9491" s="24"/>
      <c r="W9491" s="24"/>
      <c r="X9491" s="24"/>
      <c r="Y9491" s="24"/>
      <c r="Z9491" s="24"/>
      <c r="AA9491" s="24"/>
    </row>
    <row r="9492">
      <c r="A9492" s="24"/>
      <c r="B9492" s="25"/>
      <c r="C9492" s="24"/>
      <c r="D9492" s="26"/>
      <c r="E9492" s="24"/>
      <c r="F9492" s="24"/>
      <c r="G9492" s="24"/>
      <c r="H9492" s="24"/>
      <c r="I9492" s="24"/>
      <c r="J9492" s="24"/>
      <c r="K9492" s="24"/>
      <c r="L9492" s="24"/>
      <c r="M9492" s="24"/>
      <c r="N9492" s="24"/>
      <c r="O9492" s="24"/>
      <c r="P9492" s="24"/>
      <c r="Q9492" s="24"/>
      <c r="R9492" s="24"/>
      <c r="S9492" s="24"/>
      <c r="T9492" s="24"/>
      <c r="U9492" s="24"/>
      <c r="V9492" s="24"/>
      <c r="W9492" s="24"/>
      <c r="X9492" s="24"/>
      <c r="Y9492" s="24"/>
      <c r="Z9492" s="24"/>
      <c r="AA9492" s="24"/>
    </row>
    <row r="9493">
      <c r="A9493" s="24"/>
      <c r="B9493" s="25"/>
      <c r="C9493" s="24"/>
      <c r="D9493" s="26"/>
      <c r="E9493" s="24"/>
      <c r="F9493" s="24"/>
      <c r="G9493" s="24"/>
      <c r="H9493" s="24"/>
      <c r="I9493" s="24"/>
      <c r="J9493" s="24"/>
      <c r="K9493" s="24"/>
      <c r="L9493" s="24"/>
      <c r="M9493" s="24"/>
      <c r="N9493" s="24"/>
      <c r="O9493" s="24"/>
      <c r="P9493" s="24"/>
      <c r="Q9493" s="24"/>
      <c r="R9493" s="24"/>
      <c r="S9493" s="24"/>
      <c r="T9493" s="24"/>
      <c r="U9493" s="24"/>
      <c r="V9493" s="24"/>
      <c r="W9493" s="24"/>
      <c r="X9493" s="24"/>
      <c r="Y9493" s="24"/>
      <c r="Z9493" s="24"/>
      <c r="AA9493" s="24"/>
    </row>
    <row r="9494">
      <c r="A9494" s="24"/>
      <c r="B9494" s="25"/>
      <c r="C9494" s="24"/>
      <c r="D9494" s="26"/>
      <c r="E9494" s="24"/>
      <c r="F9494" s="24"/>
      <c r="G9494" s="24"/>
      <c r="H9494" s="24"/>
      <c r="I9494" s="24"/>
      <c r="J9494" s="24"/>
      <c r="K9494" s="24"/>
      <c r="L9494" s="24"/>
      <c r="M9494" s="24"/>
      <c r="N9494" s="24"/>
      <c r="O9494" s="24"/>
      <c r="P9494" s="24"/>
      <c r="Q9494" s="24"/>
      <c r="R9494" s="24"/>
      <c r="S9494" s="24"/>
      <c r="T9494" s="24"/>
      <c r="U9494" s="24"/>
      <c r="V9494" s="24"/>
      <c r="W9494" s="24"/>
      <c r="X9494" s="24"/>
      <c r="Y9494" s="24"/>
      <c r="Z9494" s="24"/>
      <c r="AA9494" s="24"/>
    </row>
    <row r="9495">
      <c r="A9495" s="24"/>
      <c r="B9495" s="25"/>
      <c r="C9495" s="24"/>
      <c r="D9495" s="26"/>
      <c r="E9495" s="24"/>
      <c r="F9495" s="24"/>
      <c r="G9495" s="24"/>
      <c r="H9495" s="24"/>
      <c r="I9495" s="24"/>
      <c r="J9495" s="24"/>
      <c r="K9495" s="24"/>
      <c r="L9495" s="24"/>
      <c r="M9495" s="24"/>
      <c r="N9495" s="24"/>
      <c r="O9495" s="24"/>
      <c r="P9495" s="24"/>
      <c r="Q9495" s="24"/>
      <c r="R9495" s="24"/>
      <c r="S9495" s="24"/>
      <c r="T9495" s="24"/>
      <c r="U9495" s="24"/>
      <c r="V9495" s="24"/>
      <c r="W9495" s="24"/>
      <c r="X9495" s="24"/>
      <c r="Y9495" s="24"/>
      <c r="Z9495" s="24"/>
      <c r="AA9495" s="24"/>
    </row>
    <row r="9496">
      <c r="A9496" s="24"/>
      <c r="B9496" s="25"/>
      <c r="C9496" s="24"/>
      <c r="D9496" s="26"/>
      <c r="E9496" s="24"/>
      <c r="F9496" s="24"/>
      <c r="G9496" s="24"/>
      <c r="H9496" s="24"/>
      <c r="I9496" s="24"/>
      <c r="J9496" s="24"/>
      <c r="K9496" s="24"/>
      <c r="L9496" s="24"/>
      <c r="M9496" s="24"/>
      <c r="N9496" s="24"/>
      <c r="O9496" s="24"/>
      <c r="P9496" s="24"/>
      <c r="Q9496" s="24"/>
      <c r="R9496" s="24"/>
      <c r="S9496" s="24"/>
      <c r="T9496" s="24"/>
      <c r="U9496" s="24"/>
      <c r="V9496" s="24"/>
      <c r="W9496" s="24"/>
      <c r="X9496" s="24"/>
      <c r="Y9496" s="24"/>
      <c r="Z9496" s="24"/>
      <c r="AA9496" s="24"/>
    </row>
    <row r="9497">
      <c r="A9497" s="24"/>
      <c r="B9497" s="25"/>
      <c r="C9497" s="24"/>
      <c r="D9497" s="26"/>
      <c r="E9497" s="24"/>
      <c r="F9497" s="24"/>
      <c r="G9497" s="24"/>
      <c r="H9497" s="24"/>
      <c r="I9497" s="24"/>
      <c r="J9497" s="24"/>
      <c r="K9497" s="24"/>
      <c r="L9497" s="24"/>
      <c r="M9497" s="24"/>
      <c r="N9497" s="24"/>
      <c r="O9497" s="24"/>
      <c r="P9497" s="24"/>
      <c r="Q9497" s="24"/>
      <c r="R9497" s="24"/>
      <c r="S9497" s="24"/>
      <c r="T9497" s="24"/>
      <c r="U9497" s="24"/>
      <c r="V9497" s="24"/>
      <c r="W9497" s="24"/>
      <c r="X9497" s="24"/>
      <c r="Y9497" s="24"/>
      <c r="Z9497" s="24"/>
      <c r="AA9497" s="24"/>
    </row>
    <row r="9498">
      <c r="A9498" s="24"/>
      <c r="B9498" s="25"/>
      <c r="C9498" s="24"/>
      <c r="D9498" s="26"/>
      <c r="E9498" s="24"/>
      <c r="F9498" s="24"/>
      <c r="G9498" s="24"/>
      <c r="H9498" s="24"/>
      <c r="I9498" s="24"/>
      <c r="J9498" s="24"/>
      <c r="K9498" s="24"/>
      <c r="L9498" s="24"/>
      <c r="M9498" s="24"/>
      <c r="N9498" s="24"/>
      <c r="O9498" s="24"/>
      <c r="P9498" s="24"/>
      <c r="Q9498" s="24"/>
      <c r="R9498" s="24"/>
      <c r="S9498" s="24"/>
      <c r="T9498" s="24"/>
      <c r="U9498" s="24"/>
      <c r="V9498" s="24"/>
      <c r="W9498" s="24"/>
      <c r="X9498" s="24"/>
      <c r="Y9498" s="24"/>
      <c r="Z9498" s="24"/>
      <c r="AA9498" s="24"/>
    </row>
    <row r="9499">
      <c r="A9499" s="24"/>
      <c r="B9499" s="25"/>
      <c r="C9499" s="24"/>
      <c r="D9499" s="26"/>
      <c r="E9499" s="24"/>
      <c r="F9499" s="24"/>
      <c r="G9499" s="24"/>
      <c r="H9499" s="24"/>
      <c r="I9499" s="24"/>
      <c r="J9499" s="24"/>
      <c r="K9499" s="24"/>
      <c r="L9499" s="24"/>
      <c r="M9499" s="24"/>
      <c r="N9499" s="24"/>
      <c r="O9499" s="24"/>
      <c r="P9499" s="24"/>
      <c r="Q9499" s="24"/>
      <c r="R9499" s="24"/>
      <c r="S9499" s="24"/>
      <c r="T9499" s="24"/>
      <c r="U9499" s="24"/>
      <c r="V9499" s="24"/>
      <c r="W9499" s="24"/>
      <c r="X9499" s="24"/>
      <c r="Y9499" s="24"/>
      <c r="Z9499" s="24"/>
      <c r="AA9499" s="24"/>
    </row>
    <row r="9500">
      <c r="A9500" s="24"/>
      <c r="B9500" s="25"/>
      <c r="C9500" s="24"/>
      <c r="D9500" s="26"/>
      <c r="E9500" s="24"/>
      <c r="F9500" s="24"/>
      <c r="G9500" s="24"/>
      <c r="H9500" s="24"/>
      <c r="I9500" s="24"/>
      <c r="J9500" s="24"/>
      <c r="K9500" s="24"/>
      <c r="L9500" s="24"/>
      <c r="M9500" s="24"/>
      <c r="N9500" s="24"/>
      <c r="O9500" s="24"/>
      <c r="P9500" s="24"/>
      <c r="Q9500" s="24"/>
      <c r="R9500" s="24"/>
      <c r="S9500" s="24"/>
      <c r="T9500" s="24"/>
      <c r="U9500" s="24"/>
      <c r="V9500" s="24"/>
      <c r="W9500" s="24"/>
      <c r="X9500" s="24"/>
      <c r="Y9500" s="24"/>
      <c r="Z9500" s="24"/>
      <c r="AA9500" s="24"/>
    </row>
    <row r="9501">
      <c r="A9501" s="24"/>
      <c r="B9501" s="25"/>
      <c r="C9501" s="24"/>
      <c r="D9501" s="26"/>
      <c r="E9501" s="24"/>
      <c r="F9501" s="24"/>
      <c r="G9501" s="24"/>
      <c r="H9501" s="24"/>
      <c r="I9501" s="24"/>
      <c r="J9501" s="24"/>
      <c r="K9501" s="24"/>
      <c r="L9501" s="24"/>
      <c r="M9501" s="24"/>
      <c r="N9501" s="24"/>
      <c r="O9501" s="24"/>
      <c r="P9501" s="24"/>
      <c r="Q9501" s="24"/>
      <c r="R9501" s="24"/>
      <c r="S9501" s="24"/>
      <c r="T9501" s="24"/>
      <c r="U9501" s="24"/>
      <c r="V9501" s="24"/>
      <c r="W9501" s="24"/>
      <c r="X9501" s="24"/>
      <c r="Y9501" s="24"/>
      <c r="Z9501" s="24"/>
      <c r="AA9501" s="24"/>
    </row>
    <row r="9502">
      <c r="A9502" s="24"/>
      <c r="B9502" s="25"/>
      <c r="C9502" s="24"/>
      <c r="D9502" s="26"/>
      <c r="E9502" s="24"/>
      <c r="F9502" s="24"/>
      <c r="G9502" s="24"/>
      <c r="H9502" s="24"/>
      <c r="I9502" s="24"/>
      <c r="J9502" s="24"/>
      <c r="K9502" s="24"/>
      <c r="L9502" s="24"/>
      <c r="M9502" s="24"/>
      <c r="N9502" s="24"/>
      <c r="O9502" s="24"/>
      <c r="P9502" s="24"/>
      <c r="Q9502" s="24"/>
      <c r="R9502" s="24"/>
      <c r="S9502" s="24"/>
      <c r="T9502" s="24"/>
      <c r="U9502" s="24"/>
      <c r="V9502" s="24"/>
      <c r="W9502" s="24"/>
      <c r="X9502" s="24"/>
      <c r="Y9502" s="24"/>
      <c r="Z9502" s="24"/>
      <c r="AA9502" s="24"/>
    </row>
    <row r="9503">
      <c r="A9503" s="24"/>
      <c r="B9503" s="25"/>
      <c r="C9503" s="24"/>
      <c r="D9503" s="26"/>
      <c r="E9503" s="24"/>
      <c r="F9503" s="24"/>
      <c r="G9503" s="24"/>
      <c r="H9503" s="24"/>
      <c r="I9503" s="24"/>
      <c r="J9503" s="24"/>
      <c r="K9503" s="24"/>
      <c r="L9503" s="24"/>
      <c r="M9503" s="24"/>
      <c r="N9503" s="24"/>
      <c r="O9503" s="24"/>
      <c r="P9503" s="24"/>
      <c r="Q9503" s="24"/>
      <c r="R9503" s="24"/>
      <c r="S9503" s="24"/>
      <c r="T9503" s="24"/>
      <c r="U9503" s="24"/>
      <c r="V9503" s="24"/>
      <c r="W9503" s="24"/>
      <c r="X9503" s="24"/>
      <c r="Y9503" s="24"/>
      <c r="Z9503" s="24"/>
      <c r="AA9503" s="24"/>
    </row>
    <row r="9504">
      <c r="A9504" s="24"/>
      <c r="B9504" s="25"/>
      <c r="C9504" s="24"/>
      <c r="D9504" s="26"/>
      <c r="E9504" s="24"/>
      <c r="F9504" s="24"/>
      <c r="G9504" s="24"/>
      <c r="H9504" s="24"/>
      <c r="I9504" s="24"/>
      <c r="J9504" s="24"/>
      <c r="K9504" s="24"/>
      <c r="L9504" s="24"/>
      <c r="M9504" s="24"/>
      <c r="N9504" s="24"/>
      <c r="O9504" s="24"/>
      <c r="P9504" s="24"/>
      <c r="Q9504" s="24"/>
      <c r="R9504" s="24"/>
      <c r="S9504" s="24"/>
      <c r="T9504" s="24"/>
      <c r="U9504" s="24"/>
      <c r="V9504" s="24"/>
      <c r="W9504" s="24"/>
      <c r="X9504" s="24"/>
      <c r="Y9504" s="24"/>
      <c r="Z9504" s="24"/>
      <c r="AA9504" s="24"/>
    </row>
    <row r="9505">
      <c r="A9505" s="24"/>
      <c r="B9505" s="25"/>
      <c r="C9505" s="24"/>
      <c r="D9505" s="26"/>
      <c r="E9505" s="24"/>
      <c r="F9505" s="24"/>
      <c r="G9505" s="24"/>
      <c r="H9505" s="24"/>
      <c r="I9505" s="24"/>
      <c r="J9505" s="24"/>
      <c r="K9505" s="24"/>
      <c r="L9505" s="24"/>
      <c r="M9505" s="24"/>
      <c r="N9505" s="24"/>
      <c r="O9505" s="24"/>
      <c r="P9505" s="24"/>
      <c r="Q9505" s="24"/>
      <c r="R9505" s="24"/>
      <c r="S9505" s="24"/>
      <c r="T9505" s="24"/>
      <c r="U9505" s="24"/>
      <c r="V9505" s="24"/>
      <c r="W9505" s="24"/>
      <c r="X9505" s="24"/>
      <c r="Y9505" s="24"/>
      <c r="Z9505" s="24"/>
      <c r="AA9505" s="24"/>
    </row>
    <row r="9506">
      <c r="A9506" s="24"/>
      <c r="B9506" s="25"/>
      <c r="C9506" s="24"/>
      <c r="D9506" s="26"/>
      <c r="E9506" s="24"/>
      <c r="F9506" s="24"/>
      <c r="G9506" s="24"/>
      <c r="H9506" s="24"/>
      <c r="I9506" s="24"/>
      <c r="J9506" s="24"/>
      <c r="K9506" s="24"/>
      <c r="L9506" s="24"/>
      <c r="M9506" s="24"/>
      <c r="N9506" s="24"/>
      <c r="O9506" s="24"/>
      <c r="P9506" s="24"/>
      <c r="Q9506" s="24"/>
      <c r="R9506" s="24"/>
      <c r="S9506" s="24"/>
      <c r="T9506" s="24"/>
      <c r="U9506" s="24"/>
      <c r="V9506" s="24"/>
      <c r="W9506" s="24"/>
      <c r="X9506" s="24"/>
      <c r="Y9506" s="24"/>
      <c r="Z9506" s="24"/>
      <c r="AA9506" s="24"/>
    </row>
    <row r="9507">
      <c r="A9507" s="24"/>
      <c r="B9507" s="25"/>
      <c r="C9507" s="24"/>
      <c r="D9507" s="26"/>
      <c r="E9507" s="24"/>
      <c r="F9507" s="24"/>
      <c r="G9507" s="24"/>
      <c r="H9507" s="24"/>
      <c r="I9507" s="24"/>
      <c r="J9507" s="24"/>
      <c r="K9507" s="24"/>
      <c r="L9507" s="24"/>
      <c r="M9507" s="24"/>
      <c r="N9507" s="24"/>
      <c r="O9507" s="24"/>
      <c r="P9507" s="24"/>
      <c r="Q9507" s="24"/>
      <c r="R9507" s="24"/>
      <c r="S9507" s="24"/>
      <c r="T9507" s="24"/>
      <c r="U9507" s="24"/>
      <c r="V9507" s="24"/>
      <c r="W9507" s="24"/>
      <c r="X9507" s="24"/>
      <c r="Y9507" s="24"/>
      <c r="Z9507" s="24"/>
      <c r="AA9507" s="24"/>
    </row>
    <row r="9508">
      <c r="A9508" s="24"/>
      <c r="B9508" s="25"/>
      <c r="C9508" s="24"/>
      <c r="D9508" s="26"/>
      <c r="E9508" s="24"/>
      <c r="F9508" s="24"/>
      <c r="G9508" s="24"/>
      <c r="H9508" s="24"/>
      <c r="I9508" s="24"/>
      <c r="J9508" s="24"/>
      <c r="K9508" s="24"/>
      <c r="L9508" s="24"/>
      <c r="M9508" s="24"/>
      <c r="N9508" s="24"/>
      <c r="O9508" s="24"/>
      <c r="P9508" s="24"/>
      <c r="Q9508" s="24"/>
      <c r="R9508" s="24"/>
      <c r="S9508" s="24"/>
      <c r="T9508" s="24"/>
      <c r="U9508" s="24"/>
      <c r="V9508" s="24"/>
      <c r="W9508" s="24"/>
      <c r="X9508" s="24"/>
      <c r="Y9508" s="24"/>
      <c r="Z9508" s="24"/>
      <c r="AA9508" s="24"/>
    </row>
    <row r="9509">
      <c r="A9509" s="24"/>
      <c r="B9509" s="25"/>
      <c r="C9509" s="24"/>
      <c r="D9509" s="26"/>
      <c r="E9509" s="24"/>
      <c r="F9509" s="24"/>
      <c r="G9509" s="24"/>
      <c r="H9509" s="24"/>
      <c r="I9509" s="24"/>
      <c r="J9509" s="24"/>
      <c r="K9509" s="24"/>
      <c r="L9509" s="24"/>
      <c r="M9509" s="24"/>
      <c r="N9509" s="24"/>
      <c r="O9509" s="24"/>
      <c r="P9509" s="24"/>
      <c r="Q9509" s="24"/>
      <c r="R9509" s="24"/>
      <c r="S9509" s="24"/>
      <c r="T9509" s="24"/>
      <c r="U9509" s="24"/>
      <c r="V9509" s="24"/>
      <c r="W9509" s="24"/>
      <c r="X9509" s="24"/>
      <c r="Y9509" s="24"/>
      <c r="Z9509" s="24"/>
      <c r="AA9509" s="24"/>
    </row>
    <row r="9510">
      <c r="A9510" s="24"/>
      <c r="B9510" s="25"/>
      <c r="C9510" s="24"/>
      <c r="D9510" s="26"/>
      <c r="E9510" s="24"/>
      <c r="F9510" s="24"/>
      <c r="G9510" s="24"/>
      <c r="H9510" s="24"/>
      <c r="I9510" s="24"/>
      <c r="J9510" s="24"/>
      <c r="K9510" s="24"/>
      <c r="L9510" s="24"/>
      <c r="M9510" s="24"/>
      <c r="N9510" s="24"/>
      <c r="O9510" s="24"/>
      <c r="P9510" s="24"/>
      <c r="Q9510" s="24"/>
      <c r="R9510" s="24"/>
      <c r="S9510" s="24"/>
      <c r="T9510" s="24"/>
      <c r="U9510" s="24"/>
      <c r="V9510" s="24"/>
      <c r="W9510" s="24"/>
      <c r="X9510" s="24"/>
      <c r="Y9510" s="24"/>
      <c r="Z9510" s="24"/>
      <c r="AA9510" s="24"/>
    </row>
    <row r="9511">
      <c r="A9511" s="24"/>
      <c r="B9511" s="25"/>
      <c r="C9511" s="24"/>
      <c r="D9511" s="26"/>
      <c r="E9511" s="24"/>
      <c r="F9511" s="24"/>
      <c r="G9511" s="24"/>
      <c r="H9511" s="24"/>
      <c r="I9511" s="24"/>
      <c r="J9511" s="24"/>
      <c r="K9511" s="24"/>
      <c r="L9511" s="24"/>
      <c r="M9511" s="24"/>
      <c r="N9511" s="24"/>
      <c r="O9511" s="24"/>
      <c r="P9511" s="24"/>
      <c r="Q9511" s="24"/>
      <c r="R9511" s="24"/>
      <c r="S9511" s="24"/>
      <c r="T9511" s="24"/>
      <c r="U9511" s="24"/>
      <c r="V9511" s="24"/>
      <c r="W9511" s="24"/>
      <c r="X9511" s="24"/>
      <c r="Y9511" s="24"/>
      <c r="Z9511" s="24"/>
      <c r="AA9511" s="24"/>
    </row>
    <row r="9512">
      <c r="A9512" s="24"/>
      <c r="B9512" s="25"/>
      <c r="C9512" s="24"/>
      <c r="D9512" s="26"/>
      <c r="E9512" s="24"/>
      <c r="F9512" s="24"/>
      <c r="G9512" s="24"/>
      <c r="H9512" s="24"/>
      <c r="I9512" s="24"/>
      <c r="J9512" s="24"/>
      <c r="K9512" s="24"/>
      <c r="L9512" s="24"/>
      <c r="M9512" s="24"/>
      <c r="N9512" s="24"/>
      <c r="O9512" s="24"/>
      <c r="P9512" s="24"/>
      <c r="Q9512" s="24"/>
      <c r="R9512" s="24"/>
      <c r="S9512" s="24"/>
      <c r="T9512" s="24"/>
      <c r="U9512" s="24"/>
      <c r="V9512" s="24"/>
      <c r="W9512" s="24"/>
      <c r="X9512" s="24"/>
      <c r="Y9512" s="24"/>
      <c r="Z9512" s="24"/>
      <c r="AA9512" s="24"/>
    </row>
    <row r="9513">
      <c r="A9513" s="24"/>
      <c r="B9513" s="25"/>
      <c r="C9513" s="24"/>
      <c r="D9513" s="26"/>
      <c r="E9513" s="24"/>
      <c r="F9513" s="24"/>
      <c r="G9513" s="24"/>
      <c r="H9513" s="24"/>
      <c r="I9513" s="24"/>
      <c r="J9513" s="24"/>
      <c r="K9513" s="24"/>
      <c r="L9513" s="24"/>
      <c r="M9513" s="24"/>
      <c r="N9513" s="24"/>
      <c r="O9513" s="24"/>
      <c r="P9513" s="24"/>
      <c r="Q9513" s="24"/>
      <c r="R9513" s="24"/>
      <c r="S9513" s="24"/>
      <c r="T9513" s="24"/>
      <c r="U9513" s="24"/>
      <c r="V9513" s="24"/>
      <c r="W9513" s="24"/>
      <c r="X9513" s="24"/>
      <c r="Y9513" s="24"/>
      <c r="Z9513" s="24"/>
      <c r="AA9513" s="24"/>
    </row>
    <row r="9514">
      <c r="A9514" s="24"/>
      <c r="B9514" s="25"/>
      <c r="C9514" s="24"/>
      <c r="D9514" s="26"/>
      <c r="E9514" s="24"/>
      <c r="F9514" s="24"/>
      <c r="G9514" s="24"/>
      <c r="H9514" s="24"/>
      <c r="I9514" s="24"/>
      <c r="J9514" s="24"/>
      <c r="K9514" s="24"/>
      <c r="L9514" s="24"/>
      <c r="M9514" s="24"/>
      <c r="N9514" s="24"/>
      <c r="O9514" s="24"/>
      <c r="P9514" s="24"/>
      <c r="Q9514" s="24"/>
      <c r="R9514" s="24"/>
      <c r="S9514" s="24"/>
      <c r="T9514" s="24"/>
      <c r="U9514" s="24"/>
      <c r="V9514" s="24"/>
      <c r="W9514" s="24"/>
      <c r="X9514" s="24"/>
      <c r="Y9514" s="24"/>
      <c r="Z9514" s="24"/>
      <c r="AA9514" s="24"/>
    </row>
    <row r="9515">
      <c r="A9515" s="24"/>
      <c r="B9515" s="25"/>
      <c r="C9515" s="24"/>
      <c r="D9515" s="26"/>
      <c r="E9515" s="24"/>
      <c r="F9515" s="24"/>
      <c r="G9515" s="24"/>
      <c r="H9515" s="24"/>
      <c r="I9515" s="24"/>
      <c r="J9515" s="24"/>
      <c r="K9515" s="24"/>
      <c r="L9515" s="24"/>
      <c r="M9515" s="24"/>
      <c r="N9515" s="24"/>
      <c r="O9515" s="24"/>
      <c r="P9515" s="24"/>
      <c r="Q9515" s="24"/>
      <c r="R9515" s="24"/>
      <c r="S9515" s="24"/>
      <c r="T9515" s="24"/>
      <c r="U9515" s="24"/>
      <c r="V9515" s="24"/>
      <c r="W9515" s="24"/>
      <c r="X9515" s="24"/>
      <c r="Y9515" s="24"/>
      <c r="Z9515" s="24"/>
      <c r="AA9515" s="24"/>
    </row>
    <row r="9516">
      <c r="A9516" s="24"/>
      <c r="B9516" s="25"/>
      <c r="C9516" s="24"/>
      <c r="D9516" s="26"/>
      <c r="E9516" s="24"/>
      <c r="F9516" s="24"/>
      <c r="G9516" s="24"/>
      <c r="H9516" s="24"/>
      <c r="I9516" s="24"/>
      <c r="J9516" s="24"/>
      <c r="K9516" s="24"/>
      <c r="L9516" s="24"/>
      <c r="M9516" s="24"/>
      <c r="N9516" s="24"/>
      <c r="O9516" s="24"/>
      <c r="P9516" s="24"/>
      <c r="Q9516" s="24"/>
      <c r="R9516" s="24"/>
      <c r="S9516" s="24"/>
      <c r="T9516" s="24"/>
      <c r="U9516" s="24"/>
      <c r="V9516" s="24"/>
      <c r="W9516" s="24"/>
      <c r="X9516" s="24"/>
      <c r="Y9516" s="24"/>
      <c r="Z9516" s="24"/>
      <c r="AA9516" s="24"/>
    </row>
    <row r="9517">
      <c r="A9517" s="24"/>
      <c r="B9517" s="25"/>
      <c r="C9517" s="24"/>
      <c r="D9517" s="26"/>
      <c r="E9517" s="24"/>
      <c r="F9517" s="24"/>
      <c r="G9517" s="24"/>
      <c r="H9517" s="24"/>
      <c r="I9517" s="24"/>
      <c r="J9517" s="24"/>
      <c r="K9517" s="24"/>
      <c r="L9517" s="24"/>
      <c r="M9517" s="24"/>
      <c r="N9517" s="24"/>
      <c r="O9517" s="24"/>
      <c r="P9517" s="24"/>
      <c r="Q9517" s="24"/>
      <c r="R9517" s="24"/>
      <c r="S9517" s="24"/>
      <c r="T9517" s="24"/>
      <c r="U9517" s="24"/>
      <c r="V9517" s="24"/>
      <c r="W9517" s="24"/>
      <c r="X9517" s="24"/>
      <c r="Y9517" s="24"/>
      <c r="Z9517" s="24"/>
      <c r="AA9517" s="24"/>
    </row>
    <row r="9518">
      <c r="A9518" s="24"/>
      <c r="B9518" s="25"/>
      <c r="C9518" s="24"/>
      <c r="D9518" s="26"/>
      <c r="E9518" s="24"/>
      <c r="F9518" s="24"/>
      <c r="G9518" s="24"/>
      <c r="H9518" s="24"/>
      <c r="I9518" s="24"/>
      <c r="J9518" s="24"/>
      <c r="K9518" s="24"/>
      <c r="L9518" s="24"/>
      <c r="M9518" s="24"/>
      <c r="N9518" s="24"/>
      <c r="O9518" s="24"/>
      <c r="P9518" s="24"/>
      <c r="Q9518" s="24"/>
      <c r="R9518" s="24"/>
      <c r="S9518" s="24"/>
      <c r="T9518" s="24"/>
      <c r="U9518" s="24"/>
      <c r="V9518" s="24"/>
      <c r="W9518" s="24"/>
      <c r="X9518" s="24"/>
      <c r="Y9518" s="24"/>
      <c r="Z9518" s="24"/>
      <c r="AA9518" s="24"/>
    </row>
    <row r="9519">
      <c r="A9519" s="24"/>
      <c r="B9519" s="25"/>
      <c r="C9519" s="24"/>
      <c r="D9519" s="26"/>
      <c r="E9519" s="24"/>
      <c r="F9519" s="24"/>
      <c r="G9519" s="24"/>
      <c r="H9519" s="24"/>
      <c r="I9519" s="24"/>
      <c r="J9519" s="24"/>
      <c r="K9519" s="24"/>
      <c r="L9519" s="24"/>
      <c r="M9519" s="24"/>
      <c r="N9519" s="24"/>
      <c r="O9519" s="24"/>
      <c r="P9519" s="24"/>
      <c r="Q9519" s="24"/>
      <c r="R9519" s="24"/>
      <c r="S9519" s="24"/>
      <c r="T9519" s="24"/>
      <c r="U9519" s="24"/>
      <c r="V9519" s="24"/>
      <c r="W9519" s="24"/>
      <c r="X9519" s="24"/>
      <c r="Y9519" s="24"/>
      <c r="Z9519" s="24"/>
      <c r="AA9519" s="24"/>
    </row>
    <row r="9520">
      <c r="A9520" s="24"/>
      <c r="B9520" s="25"/>
      <c r="C9520" s="24"/>
      <c r="D9520" s="26"/>
      <c r="E9520" s="24"/>
      <c r="F9520" s="24"/>
      <c r="G9520" s="24"/>
      <c r="H9520" s="24"/>
      <c r="I9520" s="24"/>
      <c r="J9520" s="24"/>
      <c r="K9520" s="24"/>
      <c r="L9520" s="24"/>
      <c r="M9520" s="24"/>
      <c r="N9520" s="24"/>
      <c r="O9520" s="24"/>
      <c r="P9520" s="24"/>
      <c r="Q9520" s="24"/>
      <c r="R9520" s="24"/>
      <c r="S9520" s="24"/>
      <c r="T9520" s="24"/>
      <c r="U9520" s="24"/>
      <c r="V9520" s="24"/>
      <c r="W9520" s="24"/>
      <c r="X9520" s="24"/>
      <c r="Y9520" s="24"/>
      <c r="Z9520" s="24"/>
      <c r="AA9520" s="24"/>
    </row>
    <row r="9521">
      <c r="A9521" s="24"/>
      <c r="B9521" s="25"/>
      <c r="C9521" s="24"/>
      <c r="D9521" s="26"/>
      <c r="E9521" s="24"/>
      <c r="F9521" s="24"/>
      <c r="G9521" s="24"/>
      <c r="H9521" s="24"/>
      <c r="I9521" s="24"/>
      <c r="J9521" s="24"/>
      <c r="K9521" s="24"/>
      <c r="L9521" s="24"/>
      <c r="M9521" s="24"/>
      <c r="N9521" s="24"/>
      <c r="O9521" s="24"/>
      <c r="P9521" s="24"/>
      <c r="Q9521" s="24"/>
      <c r="R9521" s="24"/>
      <c r="S9521" s="24"/>
      <c r="T9521" s="24"/>
      <c r="U9521" s="24"/>
      <c r="V9521" s="24"/>
      <c r="W9521" s="24"/>
      <c r="X9521" s="24"/>
      <c r="Y9521" s="24"/>
      <c r="Z9521" s="24"/>
      <c r="AA9521" s="24"/>
    </row>
    <row r="9522">
      <c r="A9522" s="24"/>
      <c r="B9522" s="25"/>
      <c r="C9522" s="24"/>
      <c r="D9522" s="26"/>
      <c r="E9522" s="24"/>
      <c r="F9522" s="24"/>
      <c r="G9522" s="24"/>
      <c r="H9522" s="24"/>
      <c r="I9522" s="24"/>
      <c r="J9522" s="24"/>
      <c r="K9522" s="24"/>
      <c r="L9522" s="24"/>
      <c r="M9522" s="24"/>
      <c r="N9522" s="24"/>
      <c r="O9522" s="24"/>
      <c r="P9522" s="24"/>
      <c r="Q9522" s="24"/>
      <c r="R9522" s="24"/>
      <c r="S9522" s="24"/>
      <c r="T9522" s="24"/>
      <c r="U9522" s="24"/>
      <c r="V9522" s="24"/>
      <c r="W9522" s="24"/>
      <c r="X9522" s="24"/>
      <c r="Y9522" s="24"/>
      <c r="Z9522" s="24"/>
      <c r="AA9522" s="24"/>
    </row>
    <row r="9523">
      <c r="A9523" s="24"/>
      <c r="B9523" s="25"/>
      <c r="C9523" s="24"/>
      <c r="D9523" s="26"/>
      <c r="E9523" s="24"/>
      <c r="F9523" s="24"/>
      <c r="G9523" s="24"/>
      <c r="H9523" s="24"/>
      <c r="I9523" s="24"/>
      <c r="J9523" s="24"/>
      <c r="K9523" s="24"/>
      <c r="L9523" s="24"/>
      <c r="M9523" s="24"/>
      <c r="N9523" s="24"/>
      <c r="O9523" s="24"/>
      <c r="P9523" s="24"/>
      <c r="Q9523" s="24"/>
      <c r="R9523" s="24"/>
      <c r="S9523" s="24"/>
      <c r="T9523" s="24"/>
      <c r="U9523" s="24"/>
      <c r="V9523" s="24"/>
      <c r="W9523" s="24"/>
      <c r="X9523" s="24"/>
      <c r="Y9523" s="24"/>
      <c r="Z9523" s="24"/>
      <c r="AA9523" s="24"/>
    </row>
    <row r="9524">
      <c r="A9524" s="24"/>
      <c r="B9524" s="25"/>
      <c r="C9524" s="24"/>
      <c r="D9524" s="26"/>
      <c r="E9524" s="24"/>
      <c r="F9524" s="24"/>
      <c r="G9524" s="24"/>
      <c r="H9524" s="24"/>
      <c r="I9524" s="24"/>
      <c r="J9524" s="24"/>
      <c r="K9524" s="24"/>
      <c r="L9524" s="24"/>
      <c r="M9524" s="24"/>
      <c r="N9524" s="24"/>
      <c r="O9524" s="24"/>
      <c r="P9524" s="24"/>
      <c r="Q9524" s="24"/>
      <c r="R9524" s="24"/>
      <c r="S9524" s="24"/>
      <c r="T9524" s="24"/>
      <c r="U9524" s="24"/>
      <c r="V9524" s="24"/>
      <c r="W9524" s="24"/>
      <c r="X9524" s="24"/>
      <c r="Y9524" s="24"/>
      <c r="Z9524" s="24"/>
      <c r="AA9524" s="24"/>
    </row>
    <row r="9525">
      <c r="A9525" s="24"/>
      <c r="B9525" s="25"/>
      <c r="C9525" s="24"/>
      <c r="D9525" s="26"/>
      <c r="E9525" s="24"/>
      <c r="F9525" s="24"/>
      <c r="G9525" s="24"/>
      <c r="H9525" s="24"/>
      <c r="I9525" s="24"/>
      <c r="J9525" s="24"/>
      <c r="K9525" s="24"/>
      <c r="L9525" s="24"/>
      <c r="M9525" s="24"/>
      <c r="N9525" s="24"/>
      <c r="O9525" s="24"/>
      <c r="P9525" s="24"/>
      <c r="Q9525" s="24"/>
      <c r="R9525" s="24"/>
      <c r="S9525" s="24"/>
      <c r="T9525" s="24"/>
      <c r="U9525" s="24"/>
      <c r="V9525" s="24"/>
      <c r="W9525" s="24"/>
      <c r="X9525" s="24"/>
      <c r="Y9525" s="24"/>
      <c r="Z9525" s="24"/>
      <c r="AA9525" s="24"/>
    </row>
    <row r="9526">
      <c r="A9526" s="24"/>
      <c r="B9526" s="25"/>
      <c r="C9526" s="24"/>
      <c r="D9526" s="26"/>
      <c r="E9526" s="24"/>
      <c r="F9526" s="24"/>
      <c r="G9526" s="24"/>
      <c r="H9526" s="24"/>
      <c r="I9526" s="24"/>
      <c r="J9526" s="24"/>
      <c r="K9526" s="24"/>
      <c r="L9526" s="24"/>
      <c r="M9526" s="24"/>
      <c r="N9526" s="24"/>
      <c r="O9526" s="24"/>
      <c r="P9526" s="24"/>
      <c r="Q9526" s="24"/>
      <c r="R9526" s="24"/>
      <c r="S9526" s="24"/>
      <c r="T9526" s="24"/>
      <c r="U9526" s="24"/>
      <c r="V9526" s="24"/>
      <c r="W9526" s="24"/>
      <c r="X9526" s="24"/>
      <c r="Y9526" s="24"/>
      <c r="Z9526" s="24"/>
      <c r="AA9526" s="24"/>
    </row>
    <row r="9527">
      <c r="A9527" s="24"/>
      <c r="B9527" s="25"/>
      <c r="C9527" s="24"/>
      <c r="D9527" s="26"/>
      <c r="E9527" s="24"/>
      <c r="F9527" s="24"/>
      <c r="G9527" s="24"/>
      <c r="H9527" s="24"/>
      <c r="I9527" s="24"/>
      <c r="J9527" s="24"/>
      <c r="K9527" s="24"/>
      <c r="L9527" s="24"/>
      <c r="M9527" s="24"/>
      <c r="N9527" s="24"/>
      <c r="O9527" s="24"/>
      <c r="P9527" s="24"/>
      <c r="Q9527" s="24"/>
      <c r="R9527" s="24"/>
      <c r="S9527" s="24"/>
      <c r="T9527" s="24"/>
      <c r="U9527" s="24"/>
      <c r="V9527" s="24"/>
      <c r="W9527" s="24"/>
      <c r="X9527" s="24"/>
      <c r="Y9527" s="24"/>
      <c r="Z9527" s="24"/>
      <c r="AA9527" s="24"/>
    </row>
    <row r="9528">
      <c r="A9528" s="24"/>
      <c r="B9528" s="25"/>
      <c r="C9528" s="24"/>
      <c r="D9528" s="26"/>
      <c r="E9528" s="24"/>
      <c r="F9528" s="24"/>
      <c r="G9528" s="24"/>
      <c r="H9528" s="24"/>
      <c r="I9528" s="24"/>
      <c r="J9528" s="24"/>
      <c r="K9528" s="24"/>
      <c r="L9528" s="24"/>
      <c r="M9528" s="24"/>
      <c r="N9528" s="24"/>
      <c r="O9528" s="24"/>
      <c r="P9528" s="24"/>
      <c r="Q9528" s="24"/>
      <c r="R9528" s="24"/>
      <c r="S9528" s="24"/>
      <c r="T9528" s="24"/>
      <c r="U9528" s="24"/>
      <c r="V9528" s="24"/>
      <c r="W9528" s="24"/>
      <c r="X9528" s="24"/>
      <c r="Y9528" s="24"/>
      <c r="Z9528" s="24"/>
      <c r="AA9528" s="24"/>
    </row>
    <row r="9529">
      <c r="A9529" s="24"/>
      <c r="B9529" s="25"/>
      <c r="C9529" s="24"/>
      <c r="D9529" s="26"/>
      <c r="E9529" s="24"/>
      <c r="F9529" s="24"/>
      <c r="G9529" s="24"/>
      <c r="H9529" s="24"/>
      <c r="I9529" s="24"/>
      <c r="J9529" s="24"/>
      <c r="K9529" s="24"/>
      <c r="L9529" s="24"/>
      <c r="M9529" s="24"/>
      <c r="N9529" s="24"/>
      <c r="O9529" s="24"/>
      <c r="P9529" s="24"/>
      <c r="Q9529" s="24"/>
      <c r="R9529" s="24"/>
      <c r="S9529" s="24"/>
      <c r="T9529" s="24"/>
      <c r="U9529" s="24"/>
      <c r="V9529" s="24"/>
      <c r="W9529" s="24"/>
      <c r="X9529" s="24"/>
      <c r="Y9529" s="24"/>
      <c r="Z9529" s="24"/>
      <c r="AA9529" s="24"/>
    </row>
    <row r="9530">
      <c r="A9530" s="24"/>
      <c r="B9530" s="25"/>
      <c r="C9530" s="24"/>
      <c r="D9530" s="26"/>
      <c r="E9530" s="24"/>
      <c r="F9530" s="24"/>
      <c r="G9530" s="24"/>
      <c r="H9530" s="24"/>
      <c r="I9530" s="24"/>
      <c r="J9530" s="24"/>
      <c r="K9530" s="24"/>
      <c r="L9530" s="24"/>
      <c r="M9530" s="24"/>
      <c r="N9530" s="24"/>
      <c r="O9530" s="24"/>
      <c r="P9530" s="24"/>
      <c r="Q9530" s="24"/>
      <c r="R9530" s="24"/>
      <c r="S9530" s="24"/>
      <c r="T9530" s="24"/>
      <c r="U9530" s="24"/>
      <c r="V9530" s="24"/>
      <c r="W9530" s="24"/>
      <c r="X9530" s="24"/>
      <c r="Y9530" s="24"/>
      <c r="Z9530" s="24"/>
      <c r="AA9530" s="24"/>
    </row>
    <row r="9531">
      <c r="A9531" s="24"/>
      <c r="B9531" s="25"/>
      <c r="C9531" s="24"/>
      <c r="D9531" s="26"/>
      <c r="E9531" s="24"/>
      <c r="F9531" s="24"/>
      <c r="G9531" s="24"/>
      <c r="H9531" s="24"/>
      <c r="I9531" s="24"/>
      <c r="J9531" s="24"/>
      <c r="K9531" s="24"/>
      <c r="L9531" s="24"/>
      <c r="M9531" s="24"/>
      <c r="N9531" s="24"/>
      <c r="O9531" s="24"/>
      <c r="P9531" s="24"/>
      <c r="Q9531" s="24"/>
      <c r="R9531" s="24"/>
      <c r="S9531" s="24"/>
      <c r="T9531" s="24"/>
      <c r="U9531" s="24"/>
      <c r="V9531" s="24"/>
      <c r="W9531" s="24"/>
      <c r="X9531" s="24"/>
      <c r="Y9531" s="24"/>
      <c r="Z9531" s="24"/>
      <c r="AA9531" s="24"/>
    </row>
    <row r="9532">
      <c r="A9532" s="24"/>
      <c r="B9532" s="25"/>
      <c r="C9532" s="24"/>
      <c r="D9532" s="26"/>
      <c r="E9532" s="24"/>
      <c r="F9532" s="24"/>
      <c r="G9532" s="24"/>
      <c r="H9532" s="24"/>
      <c r="I9532" s="24"/>
      <c r="J9532" s="24"/>
      <c r="K9532" s="24"/>
      <c r="L9532" s="24"/>
      <c r="M9532" s="24"/>
      <c r="N9532" s="24"/>
      <c r="O9532" s="24"/>
      <c r="P9532" s="24"/>
      <c r="Q9532" s="24"/>
      <c r="R9532" s="24"/>
      <c r="S9532" s="24"/>
      <c r="T9532" s="24"/>
      <c r="U9532" s="24"/>
      <c r="V9532" s="24"/>
      <c r="W9532" s="24"/>
      <c r="X9532" s="24"/>
      <c r="Y9532" s="24"/>
      <c r="Z9532" s="24"/>
      <c r="AA9532" s="24"/>
    </row>
    <row r="9533">
      <c r="A9533" s="24"/>
      <c r="B9533" s="25"/>
      <c r="C9533" s="24"/>
      <c r="D9533" s="26"/>
      <c r="E9533" s="24"/>
      <c r="F9533" s="24"/>
      <c r="G9533" s="24"/>
      <c r="H9533" s="24"/>
      <c r="I9533" s="24"/>
      <c r="J9533" s="24"/>
      <c r="K9533" s="24"/>
      <c r="L9533" s="24"/>
      <c r="M9533" s="24"/>
      <c r="N9533" s="24"/>
      <c r="O9533" s="24"/>
      <c r="P9533" s="24"/>
      <c r="Q9533" s="24"/>
      <c r="R9533" s="24"/>
      <c r="S9533" s="24"/>
      <c r="T9533" s="24"/>
      <c r="U9533" s="24"/>
      <c r="V9533" s="24"/>
      <c r="W9533" s="24"/>
      <c r="X9533" s="24"/>
      <c r="Y9533" s="24"/>
      <c r="Z9533" s="24"/>
      <c r="AA9533" s="24"/>
    </row>
    <row r="9534">
      <c r="A9534" s="24"/>
      <c r="B9534" s="25"/>
      <c r="C9534" s="24"/>
      <c r="D9534" s="26"/>
      <c r="E9534" s="24"/>
      <c r="F9534" s="24"/>
      <c r="G9534" s="24"/>
      <c r="H9534" s="24"/>
      <c r="I9534" s="24"/>
      <c r="J9534" s="24"/>
      <c r="K9534" s="24"/>
      <c r="L9534" s="24"/>
      <c r="M9534" s="24"/>
      <c r="N9534" s="24"/>
      <c r="O9534" s="24"/>
      <c r="P9534" s="24"/>
      <c r="Q9534" s="24"/>
      <c r="R9534" s="24"/>
      <c r="S9534" s="24"/>
      <c r="T9534" s="24"/>
      <c r="U9534" s="24"/>
      <c r="V9534" s="24"/>
      <c r="W9534" s="24"/>
      <c r="X9534" s="24"/>
      <c r="Y9534" s="24"/>
      <c r="Z9534" s="24"/>
      <c r="AA9534" s="24"/>
    </row>
    <row r="9535">
      <c r="A9535" s="24"/>
      <c r="B9535" s="25"/>
      <c r="C9535" s="24"/>
      <c r="D9535" s="26"/>
      <c r="E9535" s="24"/>
      <c r="F9535" s="24"/>
      <c r="G9535" s="24"/>
      <c r="H9535" s="24"/>
      <c r="I9535" s="24"/>
      <c r="J9535" s="24"/>
      <c r="K9535" s="24"/>
      <c r="L9535" s="24"/>
      <c r="M9535" s="24"/>
      <c r="N9535" s="24"/>
      <c r="O9535" s="24"/>
      <c r="P9535" s="24"/>
      <c r="Q9535" s="24"/>
      <c r="R9535" s="24"/>
      <c r="S9535" s="24"/>
      <c r="T9535" s="24"/>
      <c r="U9535" s="24"/>
      <c r="V9535" s="24"/>
      <c r="W9535" s="24"/>
      <c r="X9535" s="24"/>
      <c r="Y9535" s="24"/>
      <c r="Z9535" s="24"/>
      <c r="AA9535" s="24"/>
    </row>
    <row r="9536">
      <c r="A9536" s="24"/>
      <c r="B9536" s="25"/>
      <c r="C9536" s="24"/>
      <c r="D9536" s="26"/>
      <c r="E9536" s="24"/>
      <c r="F9536" s="24"/>
      <c r="G9536" s="24"/>
      <c r="H9536" s="24"/>
      <c r="I9536" s="24"/>
      <c r="J9536" s="24"/>
      <c r="K9536" s="24"/>
      <c r="L9536" s="24"/>
      <c r="M9536" s="24"/>
      <c r="N9536" s="24"/>
      <c r="O9536" s="24"/>
      <c r="P9536" s="24"/>
      <c r="Q9536" s="24"/>
      <c r="R9536" s="24"/>
      <c r="S9536" s="24"/>
      <c r="T9536" s="24"/>
      <c r="U9536" s="24"/>
      <c r="V9536" s="24"/>
      <c r="W9536" s="24"/>
      <c r="X9536" s="24"/>
      <c r="Y9536" s="24"/>
      <c r="Z9536" s="24"/>
      <c r="AA9536" s="24"/>
    </row>
    <row r="9537">
      <c r="A9537" s="24"/>
      <c r="B9537" s="25"/>
      <c r="C9537" s="24"/>
      <c r="D9537" s="26"/>
      <c r="E9537" s="24"/>
      <c r="F9537" s="24"/>
      <c r="G9537" s="24"/>
      <c r="H9537" s="24"/>
      <c r="I9537" s="24"/>
      <c r="J9537" s="24"/>
      <c r="K9537" s="24"/>
      <c r="L9537" s="24"/>
      <c r="M9537" s="24"/>
      <c r="N9537" s="24"/>
      <c r="O9537" s="24"/>
      <c r="P9537" s="24"/>
      <c r="Q9537" s="24"/>
      <c r="R9537" s="24"/>
      <c r="S9537" s="24"/>
      <c r="T9537" s="24"/>
      <c r="U9537" s="24"/>
      <c r="V9537" s="24"/>
      <c r="W9537" s="24"/>
      <c r="X9537" s="24"/>
      <c r="Y9537" s="24"/>
      <c r="Z9537" s="24"/>
      <c r="AA9537" s="24"/>
    </row>
    <row r="9538">
      <c r="A9538" s="24"/>
      <c r="B9538" s="25"/>
      <c r="C9538" s="24"/>
      <c r="D9538" s="26"/>
      <c r="E9538" s="24"/>
      <c r="F9538" s="24"/>
      <c r="G9538" s="24"/>
      <c r="H9538" s="24"/>
      <c r="I9538" s="24"/>
      <c r="J9538" s="24"/>
      <c r="K9538" s="24"/>
      <c r="L9538" s="24"/>
      <c r="M9538" s="24"/>
      <c r="N9538" s="24"/>
      <c r="O9538" s="24"/>
      <c r="P9538" s="24"/>
      <c r="Q9538" s="24"/>
      <c r="R9538" s="24"/>
      <c r="S9538" s="24"/>
      <c r="T9538" s="24"/>
      <c r="U9538" s="24"/>
      <c r="V9538" s="24"/>
      <c r="W9538" s="24"/>
      <c r="X9538" s="24"/>
      <c r="Y9538" s="24"/>
      <c r="Z9538" s="24"/>
      <c r="AA9538" s="24"/>
    </row>
    <row r="9539">
      <c r="A9539" s="24"/>
      <c r="B9539" s="25"/>
      <c r="C9539" s="24"/>
      <c r="D9539" s="26"/>
      <c r="E9539" s="24"/>
      <c r="F9539" s="24"/>
      <c r="G9539" s="24"/>
      <c r="H9539" s="24"/>
      <c r="I9539" s="24"/>
      <c r="J9539" s="24"/>
      <c r="K9539" s="24"/>
      <c r="L9539" s="24"/>
      <c r="M9539" s="24"/>
      <c r="N9539" s="24"/>
      <c r="O9539" s="24"/>
      <c r="P9539" s="24"/>
      <c r="Q9539" s="24"/>
      <c r="R9539" s="24"/>
      <c r="S9539" s="24"/>
      <c r="T9539" s="24"/>
      <c r="U9539" s="24"/>
      <c r="V9539" s="24"/>
      <c r="W9539" s="24"/>
      <c r="X9539" s="24"/>
      <c r="Y9539" s="24"/>
      <c r="Z9539" s="24"/>
      <c r="AA9539" s="24"/>
    </row>
    <row r="9540">
      <c r="A9540" s="24"/>
      <c r="B9540" s="25"/>
      <c r="C9540" s="24"/>
      <c r="D9540" s="26"/>
      <c r="E9540" s="24"/>
      <c r="F9540" s="24"/>
      <c r="G9540" s="24"/>
      <c r="H9540" s="24"/>
      <c r="I9540" s="24"/>
      <c r="J9540" s="24"/>
      <c r="K9540" s="24"/>
      <c r="L9540" s="24"/>
      <c r="M9540" s="24"/>
      <c r="N9540" s="24"/>
      <c r="O9540" s="24"/>
      <c r="P9540" s="24"/>
      <c r="Q9540" s="24"/>
      <c r="R9540" s="24"/>
      <c r="S9540" s="24"/>
      <c r="T9540" s="24"/>
      <c r="U9540" s="24"/>
      <c r="V9540" s="24"/>
      <c r="W9540" s="24"/>
      <c r="X9540" s="24"/>
      <c r="Y9540" s="24"/>
      <c r="Z9540" s="24"/>
      <c r="AA9540" s="24"/>
    </row>
    <row r="9541">
      <c r="A9541" s="24"/>
      <c r="B9541" s="25"/>
      <c r="C9541" s="24"/>
      <c r="D9541" s="26"/>
      <c r="E9541" s="24"/>
      <c r="F9541" s="24"/>
      <c r="G9541" s="24"/>
      <c r="H9541" s="24"/>
      <c r="I9541" s="24"/>
      <c r="J9541" s="24"/>
      <c r="K9541" s="24"/>
      <c r="L9541" s="24"/>
      <c r="M9541" s="24"/>
      <c r="N9541" s="24"/>
      <c r="O9541" s="24"/>
      <c r="P9541" s="24"/>
      <c r="Q9541" s="24"/>
      <c r="R9541" s="24"/>
      <c r="S9541" s="24"/>
      <c r="T9541" s="24"/>
      <c r="U9541" s="24"/>
      <c r="V9541" s="24"/>
      <c r="W9541" s="24"/>
      <c r="X9541" s="24"/>
      <c r="Y9541" s="24"/>
      <c r="Z9541" s="24"/>
      <c r="AA9541" s="24"/>
    </row>
    <row r="9542">
      <c r="A9542" s="24"/>
      <c r="B9542" s="25"/>
      <c r="C9542" s="24"/>
      <c r="D9542" s="26"/>
      <c r="E9542" s="24"/>
      <c r="F9542" s="24"/>
      <c r="G9542" s="24"/>
      <c r="H9542" s="24"/>
      <c r="I9542" s="24"/>
      <c r="J9542" s="24"/>
      <c r="K9542" s="24"/>
      <c r="L9542" s="24"/>
      <c r="M9542" s="24"/>
      <c r="N9542" s="24"/>
      <c r="O9542" s="24"/>
      <c r="P9542" s="24"/>
      <c r="Q9542" s="24"/>
      <c r="R9542" s="24"/>
      <c r="S9542" s="24"/>
      <c r="T9542" s="24"/>
      <c r="U9542" s="24"/>
      <c r="V9542" s="24"/>
      <c r="W9542" s="24"/>
      <c r="X9542" s="24"/>
      <c r="Y9542" s="24"/>
      <c r="Z9542" s="24"/>
      <c r="AA9542" s="24"/>
    </row>
    <row r="9543">
      <c r="A9543" s="24"/>
      <c r="B9543" s="25"/>
      <c r="C9543" s="24"/>
      <c r="D9543" s="26"/>
      <c r="E9543" s="24"/>
      <c r="F9543" s="24"/>
      <c r="G9543" s="24"/>
      <c r="H9543" s="24"/>
      <c r="I9543" s="24"/>
      <c r="J9543" s="24"/>
      <c r="K9543" s="24"/>
      <c r="L9543" s="24"/>
      <c r="M9543" s="24"/>
      <c r="N9543" s="24"/>
      <c r="O9543" s="24"/>
      <c r="P9543" s="24"/>
      <c r="Q9543" s="24"/>
      <c r="R9543" s="24"/>
      <c r="S9543" s="24"/>
      <c r="T9543" s="24"/>
      <c r="U9543" s="24"/>
      <c r="V9543" s="24"/>
      <c r="W9543" s="24"/>
      <c r="X9543" s="24"/>
      <c r="Y9543" s="24"/>
      <c r="Z9543" s="24"/>
      <c r="AA9543" s="24"/>
    </row>
    <row r="9544">
      <c r="A9544" s="24"/>
      <c r="B9544" s="25"/>
      <c r="C9544" s="24"/>
      <c r="D9544" s="26"/>
      <c r="E9544" s="24"/>
      <c r="F9544" s="24"/>
      <c r="G9544" s="24"/>
      <c r="H9544" s="24"/>
      <c r="I9544" s="24"/>
      <c r="J9544" s="24"/>
      <c r="K9544" s="24"/>
      <c r="L9544" s="24"/>
      <c r="M9544" s="24"/>
      <c r="N9544" s="24"/>
      <c r="O9544" s="24"/>
      <c r="P9544" s="24"/>
      <c r="Q9544" s="24"/>
      <c r="R9544" s="24"/>
      <c r="S9544" s="24"/>
      <c r="T9544" s="24"/>
      <c r="U9544" s="24"/>
      <c r="V9544" s="24"/>
      <c r="W9544" s="24"/>
      <c r="X9544" s="24"/>
      <c r="Y9544" s="24"/>
      <c r="Z9544" s="24"/>
      <c r="AA9544" s="24"/>
    </row>
    <row r="9545">
      <c r="A9545" s="24"/>
      <c r="B9545" s="25"/>
      <c r="C9545" s="24"/>
      <c r="D9545" s="26"/>
      <c r="E9545" s="24"/>
      <c r="F9545" s="24"/>
      <c r="G9545" s="24"/>
      <c r="H9545" s="24"/>
      <c r="I9545" s="24"/>
      <c r="J9545" s="24"/>
      <c r="K9545" s="24"/>
      <c r="L9545" s="24"/>
      <c r="M9545" s="24"/>
      <c r="N9545" s="24"/>
      <c r="O9545" s="24"/>
      <c r="P9545" s="24"/>
      <c r="Q9545" s="24"/>
      <c r="R9545" s="24"/>
      <c r="S9545" s="24"/>
      <c r="T9545" s="24"/>
      <c r="U9545" s="24"/>
      <c r="V9545" s="24"/>
      <c r="W9545" s="24"/>
      <c r="X9545" s="24"/>
      <c r="Y9545" s="24"/>
      <c r="Z9545" s="24"/>
      <c r="AA9545" s="24"/>
    </row>
    <row r="9546">
      <c r="A9546" s="24"/>
      <c r="B9546" s="25"/>
      <c r="C9546" s="24"/>
      <c r="D9546" s="26"/>
      <c r="E9546" s="24"/>
      <c r="F9546" s="24"/>
      <c r="G9546" s="24"/>
      <c r="H9546" s="24"/>
      <c r="I9546" s="24"/>
      <c r="J9546" s="24"/>
      <c r="K9546" s="24"/>
      <c r="L9546" s="24"/>
      <c r="M9546" s="24"/>
      <c r="N9546" s="24"/>
      <c r="O9546" s="24"/>
      <c r="P9546" s="24"/>
      <c r="Q9546" s="24"/>
      <c r="R9546" s="24"/>
      <c r="S9546" s="24"/>
      <c r="T9546" s="24"/>
      <c r="U9546" s="24"/>
      <c r="V9546" s="24"/>
      <c r="W9546" s="24"/>
      <c r="X9546" s="24"/>
      <c r="Y9546" s="24"/>
      <c r="Z9546" s="24"/>
      <c r="AA9546" s="24"/>
    </row>
    <row r="9547">
      <c r="A9547" s="24"/>
      <c r="B9547" s="25"/>
      <c r="C9547" s="24"/>
      <c r="D9547" s="26"/>
      <c r="E9547" s="24"/>
      <c r="F9547" s="24"/>
      <c r="G9547" s="24"/>
      <c r="H9547" s="24"/>
      <c r="I9547" s="24"/>
      <c r="J9547" s="24"/>
      <c r="K9547" s="24"/>
      <c r="L9547" s="24"/>
      <c r="M9547" s="24"/>
      <c r="N9547" s="24"/>
      <c r="O9547" s="24"/>
      <c r="P9547" s="24"/>
      <c r="Q9547" s="24"/>
      <c r="R9547" s="24"/>
      <c r="S9547" s="24"/>
      <c r="T9547" s="24"/>
      <c r="U9547" s="24"/>
      <c r="V9547" s="24"/>
      <c r="W9547" s="24"/>
      <c r="X9547" s="24"/>
      <c r="Y9547" s="24"/>
      <c r="Z9547" s="24"/>
      <c r="AA9547" s="24"/>
    </row>
    <row r="9548">
      <c r="A9548" s="24"/>
      <c r="B9548" s="25"/>
      <c r="C9548" s="24"/>
      <c r="D9548" s="26"/>
      <c r="E9548" s="24"/>
      <c r="F9548" s="24"/>
      <c r="G9548" s="24"/>
      <c r="H9548" s="24"/>
      <c r="I9548" s="24"/>
      <c r="J9548" s="24"/>
      <c r="K9548" s="24"/>
      <c r="L9548" s="24"/>
      <c r="M9548" s="24"/>
      <c r="N9548" s="24"/>
      <c r="O9548" s="24"/>
      <c r="P9548" s="24"/>
      <c r="Q9548" s="24"/>
      <c r="R9548" s="24"/>
      <c r="S9548" s="24"/>
      <c r="T9548" s="24"/>
      <c r="U9548" s="24"/>
      <c r="V9548" s="24"/>
      <c r="W9548" s="24"/>
      <c r="X9548" s="24"/>
      <c r="Y9548" s="24"/>
      <c r="Z9548" s="24"/>
      <c r="AA9548" s="24"/>
    </row>
    <row r="9549">
      <c r="A9549" s="24"/>
      <c r="B9549" s="25"/>
      <c r="C9549" s="24"/>
      <c r="D9549" s="26"/>
      <c r="E9549" s="24"/>
      <c r="F9549" s="24"/>
      <c r="G9549" s="24"/>
      <c r="H9549" s="24"/>
      <c r="I9549" s="24"/>
      <c r="J9549" s="24"/>
      <c r="K9549" s="24"/>
      <c r="L9549" s="24"/>
      <c r="M9549" s="24"/>
      <c r="N9549" s="24"/>
      <c r="O9549" s="24"/>
      <c r="P9549" s="24"/>
      <c r="Q9549" s="24"/>
      <c r="R9549" s="24"/>
      <c r="S9549" s="24"/>
      <c r="T9549" s="24"/>
      <c r="U9549" s="24"/>
      <c r="V9549" s="24"/>
      <c r="W9549" s="24"/>
      <c r="X9549" s="24"/>
      <c r="Y9549" s="24"/>
      <c r="Z9549" s="24"/>
      <c r="AA9549" s="24"/>
    </row>
    <row r="9550">
      <c r="A9550" s="24"/>
      <c r="B9550" s="25"/>
      <c r="C9550" s="24"/>
      <c r="D9550" s="26"/>
      <c r="E9550" s="24"/>
      <c r="F9550" s="24"/>
      <c r="G9550" s="24"/>
      <c r="H9550" s="24"/>
      <c r="I9550" s="24"/>
      <c r="J9550" s="24"/>
      <c r="K9550" s="24"/>
      <c r="L9550" s="24"/>
      <c r="M9550" s="24"/>
      <c r="N9550" s="24"/>
      <c r="O9550" s="24"/>
      <c r="P9550" s="24"/>
      <c r="Q9550" s="24"/>
      <c r="R9550" s="24"/>
      <c r="S9550" s="24"/>
      <c r="T9550" s="24"/>
      <c r="U9550" s="24"/>
      <c r="V9550" s="24"/>
      <c r="W9550" s="24"/>
      <c r="X9550" s="24"/>
      <c r="Y9550" s="24"/>
      <c r="Z9550" s="24"/>
      <c r="AA9550" s="24"/>
    </row>
    <row r="9551">
      <c r="A9551" s="24"/>
      <c r="B9551" s="25"/>
      <c r="C9551" s="24"/>
      <c r="D9551" s="26"/>
      <c r="E9551" s="24"/>
      <c r="F9551" s="24"/>
      <c r="G9551" s="24"/>
      <c r="H9551" s="24"/>
      <c r="I9551" s="24"/>
      <c r="J9551" s="24"/>
      <c r="K9551" s="24"/>
      <c r="L9551" s="24"/>
      <c r="M9551" s="24"/>
      <c r="N9551" s="24"/>
      <c r="O9551" s="24"/>
      <c r="P9551" s="24"/>
      <c r="Q9551" s="24"/>
      <c r="R9551" s="24"/>
      <c r="S9551" s="24"/>
      <c r="T9551" s="24"/>
      <c r="U9551" s="24"/>
      <c r="V9551" s="24"/>
      <c r="W9551" s="24"/>
      <c r="X9551" s="24"/>
      <c r="Y9551" s="24"/>
      <c r="Z9551" s="24"/>
      <c r="AA9551" s="24"/>
    </row>
    <row r="9552">
      <c r="A9552" s="24"/>
      <c r="B9552" s="25"/>
      <c r="C9552" s="24"/>
      <c r="D9552" s="26"/>
      <c r="E9552" s="24"/>
      <c r="F9552" s="24"/>
      <c r="G9552" s="24"/>
      <c r="H9552" s="24"/>
      <c r="I9552" s="24"/>
      <c r="J9552" s="24"/>
      <c r="K9552" s="24"/>
      <c r="L9552" s="24"/>
      <c r="M9552" s="24"/>
      <c r="N9552" s="24"/>
      <c r="O9552" s="24"/>
      <c r="P9552" s="24"/>
      <c r="Q9552" s="24"/>
      <c r="R9552" s="24"/>
      <c r="S9552" s="24"/>
      <c r="T9552" s="24"/>
      <c r="U9552" s="24"/>
      <c r="V9552" s="24"/>
      <c r="W9552" s="24"/>
      <c r="X9552" s="24"/>
      <c r="Y9552" s="24"/>
      <c r="Z9552" s="24"/>
      <c r="AA9552" s="24"/>
    </row>
    <row r="9553">
      <c r="A9553" s="24"/>
      <c r="B9553" s="25"/>
      <c r="C9553" s="24"/>
      <c r="D9553" s="26"/>
      <c r="E9553" s="24"/>
      <c r="F9553" s="24"/>
      <c r="G9553" s="24"/>
      <c r="H9553" s="24"/>
      <c r="I9553" s="24"/>
      <c r="J9553" s="24"/>
      <c r="K9553" s="24"/>
      <c r="L9553" s="24"/>
      <c r="M9553" s="24"/>
      <c r="N9553" s="24"/>
      <c r="O9553" s="24"/>
      <c r="P9553" s="24"/>
      <c r="Q9553" s="24"/>
      <c r="R9553" s="24"/>
      <c r="S9553" s="24"/>
      <c r="T9553" s="24"/>
      <c r="U9553" s="24"/>
      <c r="V9553" s="24"/>
      <c r="W9553" s="24"/>
      <c r="X9553" s="24"/>
      <c r="Y9553" s="24"/>
      <c r="Z9553" s="24"/>
      <c r="AA9553" s="24"/>
    </row>
    <row r="9554">
      <c r="A9554" s="24"/>
      <c r="B9554" s="25"/>
      <c r="C9554" s="24"/>
      <c r="D9554" s="26"/>
      <c r="E9554" s="24"/>
      <c r="F9554" s="24"/>
      <c r="G9554" s="24"/>
      <c r="H9554" s="24"/>
      <c r="I9554" s="24"/>
      <c r="J9554" s="24"/>
      <c r="K9554" s="24"/>
      <c r="L9554" s="24"/>
      <c r="M9554" s="24"/>
      <c r="N9554" s="24"/>
      <c r="O9554" s="24"/>
      <c r="P9554" s="24"/>
      <c r="Q9554" s="24"/>
      <c r="R9554" s="24"/>
      <c r="S9554" s="24"/>
      <c r="T9554" s="24"/>
      <c r="U9554" s="24"/>
      <c r="V9554" s="24"/>
      <c r="W9554" s="24"/>
      <c r="X9554" s="24"/>
      <c r="Y9554" s="24"/>
      <c r="Z9554" s="24"/>
      <c r="AA9554" s="24"/>
    </row>
    <row r="9555">
      <c r="A9555" s="24"/>
      <c r="B9555" s="25"/>
      <c r="C9555" s="24"/>
      <c r="D9555" s="26"/>
      <c r="E9555" s="24"/>
      <c r="F9555" s="24"/>
      <c r="G9555" s="24"/>
      <c r="H9555" s="24"/>
      <c r="I9555" s="24"/>
      <c r="J9555" s="24"/>
      <c r="K9555" s="24"/>
      <c r="L9555" s="24"/>
      <c r="M9555" s="24"/>
      <c r="N9555" s="24"/>
      <c r="O9555" s="24"/>
      <c r="P9555" s="24"/>
      <c r="Q9555" s="24"/>
      <c r="R9555" s="24"/>
      <c r="S9555" s="24"/>
      <c r="T9555" s="24"/>
      <c r="U9555" s="24"/>
      <c r="V9555" s="24"/>
      <c r="W9555" s="24"/>
      <c r="X9555" s="24"/>
      <c r="Y9555" s="24"/>
      <c r="Z9555" s="24"/>
      <c r="AA9555" s="24"/>
    </row>
    <row r="9556">
      <c r="A9556" s="24"/>
      <c r="B9556" s="25"/>
      <c r="C9556" s="24"/>
      <c r="D9556" s="26"/>
      <c r="E9556" s="24"/>
      <c r="F9556" s="24"/>
      <c r="G9556" s="24"/>
      <c r="H9556" s="24"/>
      <c r="I9556" s="24"/>
      <c r="J9556" s="24"/>
      <c r="K9556" s="24"/>
      <c r="L9556" s="24"/>
      <c r="M9556" s="24"/>
      <c r="N9556" s="24"/>
      <c r="O9556" s="24"/>
      <c r="P9556" s="24"/>
      <c r="Q9556" s="24"/>
      <c r="R9556" s="24"/>
      <c r="S9556" s="24"/>
      <c r="T9556" s="24"/>
      <c r="U9556" s="24"/>
      <c r="V9556" s="24"/>
      <c r="W9556" s="24"/>
      <c r="X9556" s="24"/>
      <c r="Y9556" s="24"/>
      <c r="Z9556" s="24"/>
      <c r="AA9556" s="24"/>
    </row>
    <row r="9557">
      <c r="A9557" s="24"/>
      <c r="B9557" s="25"/>
      <c r="C9557" s="24"/>
      <c r="D9557" s="26"/>
      <c r="E9557" s="24"/>
      <c r="F9557" s="24"/>
      <c r="G9557" s="24"/>
      <c r="H9557" s="24"/>
      <c r="I9557" s="24"/>
      <c r="J9557" s="24"/>
      <c r="K9557" s="24"/>
      <c r="L9557" s="24"/>
      <c r="M9557" s="24"/>
      <c r="N9557" s="24"/>
      <c r="O9557" s="24"/>
      <c r="P9557" s="24"/>
      <c r="Q9557" s="24"/>
      <c r="R9557" s="24"/>
      <c r="S9557" s="24"/>
      <c r="T9557" s="24"/>
      <c r="U9557" s="24"/>
      <c r="V9557" s="24"/>
      <c r="W9557" s="24"/>
      <c r="X9557" s="24"/>
      <c r="Y9557" s="24"/>
      <c r="Z9557" s="24"/>
      <c r="AA9557" s="24"/>
    </row>
    <row r="9558">
      <c r="A9558" s="24"/>
      <c r="B9558" s="25"/>
      <c r="C9558" s="24"/>
      <c r="D9558" s="26"/>
      <c r="E9558" s="24"/>
      <c r="F9558" s="24"/>
      <c r="G9558" s="24"/>
      <c r="H9558" s="24"/>
      <c r="I9558" s="24"/>
      <c r="J9558" s="24"/>
      <c r="K9558" s="24"/>
      <c r="L9558" s="24"/>
      <c r="M9558" s="24"/>
      <c r="N9558" s="24"/>
      <c r="O9558" s="24"/>
      <c r="P9558" s="24"/>
      <c r="Q9558" s="24"/>
      <c r="R9558" s="24"/>
      <c r="S9558" s="24"/>
      <c r="T9558" s="24"/>
      <c r="U9558" s="24"/>
      <c r="V9558" s="24"/>
      <c r="W9558" s="24"/>
      <c r="X9558" s="24"/>
      <c r="Y9558" s="24"/>
      <c r="Z9558" s="24"/>
      <c r="AA9558" s="24"/>
    </row>
    <row r="9559">
      <c r="A9559" s="24"/>
      <c r="B9559" s="25"/>
      <c r="C9559" s="24"/>
      <c r="D9559" s="26"/>
      <c r="E9559" s="24"/>
      <c r="F9559" s="24"/>
      <c r="G9559" s="24"/>
      <c r="H9559" s="24"/>
      <c r="I9559" s="24"/>
      <c r="J9559" s="24"/>
      <c r="K9559" s="24"/>
      <c r="L9559" s="24"/>
      <c r="M9559" s="24"/>
      <c r="N9559" s="24"/>
      <c r="O9559" s="24"/>
      <c r="P9559" s="24"/>
      <c r="Q9559" s="24"/>
      <c r="R9559" s="24"/>
      <c r="S9559" s="24"/>
      <c r="T9559" s="24"/>
      <c r="U9559" s="24"/>
      <c r="V9559" s="24"/>
      <c r="W9559" s="24"/>
      <c r="X9559" s="24"/>
      <c r="Y9559" s="24"/>
      <c r="Z9559" s="24"/>
      <c r="AA9559" s="24"/>
    </row>
    <row r="9560">
      <c r="A9560" s="24"/>
      <c r="B9560" s="25"/>
      <c r="C9560" s="24"/>
      <c r="D9560" s="26"/>
      <c r="E9560" s="24"/>
      <c r="F9560" s="24"/>
      <c r="G9560" s="24"/>
      <c r="H9560" s="24"/>
      <c r="I9560" s="24"/>
      <c r="J9560" s="24"/>
      <c r="K9560" s="24"/>
      <c r="L9560" s="24"/>
      <c r="M9560" s="24"/>
      <c r="N9560" s="24"/>
      <c r="O9560" s="24"/>
      <c r="P9560" s="24"/>
      <c r="Q9560" s="24"/>
      <c r="R9560" s="24"/>
      <c r="S9560" s="24"/>
      <c r="T9560" s="24"/>
      <c r="U9560" s="24"/>
      <c r="V9560" s="24"/>
      <c r="W9560" s="24"/>
      <c r="X9560" s="24"/>
      <c r="Y9560" s="24"/>
      <c r="Z9560" s="24"/>
      <c r="AA9560" s="24"/>
    </row>
    <row r="9561">
      <c r="A9561" s="24"/>
      <c r="B9561" s="25"/>
      <c r="C9561" s="24"/>
      <c r="D9561" s="26"/>
      <c r="E9561" s="24"/>
      <c r="F9561" s="24"/>
      <c r="G9561" s="24"/>
      <c r="H9561" s="24"/>
      <c r="I9561" s="24"/>
      <c r="J9561" s="24"/>
      <c r="K9561" s="24"/>
      <c r="L9561" s="24"/>
      <c r="M9561" s="24"/>
      <c r="N9561" s="24"/>
      <c r="O9561" s="24"/>
      <c r="P9561" s="24"/>
      <c r="Q9561" s="24"/>
      <c r="R9561" s="24"/>
      <c r="S9561" s="24"/>
      <c r="T9561" s="24"/>
      <c r="U9561" s="24"/>
      <c r="V9561" s="24"/>
      <c r="W9561" s="24"/>
      <c r="X9561" s="24"/>
      <c r="Y9561" s="24"/>
      <c r="Z9561" s="24"/>
      <c r="AA9561" s="24"/>
    </row>
    <row r="9562">
      <c r="A9562" s="24"/>
      <c r="B9562" s="25"/>
      <c r="C9562" s="24"/>
      <c r="D9562" s="26"/>
      <c r="E9562" s="24"/>
      <c r="F9562" s="24"/>
      <c r="G9562" s="24"/>
      <c r="H9562" s="24"/>
      <c r="I9562" s="24"/>
      <c r="J9562" s="24"/>
      <c r="K9562" s="24"/>
      <c r="L9562" s="24"/>
      <c r="M9562" s="24"/>
      <c r="N9562" s="24"/>
      <c r="O9562" s="24"/>
      <c r="P9562" s="24"/>
      <c r="Q9562" s="24"/>
      <c r="R9562" s="24"/>
      <c r="S9562" s="24"/>
      <c r="T9562" s="24"/>
      <c r="U9562" s="24"/>
      <c r="V9562" s="24"/>
      <c r="W9562" s="24"/>
      <c r="X9562" s="24"/>
      <c r="Y9562" s="24"/>
      <c r="Z9562" s="24"/>
      <c r="AA9562" s="24"/>
    </row>
    <row r="9563">
      <c r="A9563" s="24"/>
      <c r="B9563" s="25"/>
      <c r="C9563" s="24"/>
      <c r="D9563" s="26"/>
      <c r="E9563" s="24"/>
      <c r="F9563" s="24"/>
      <c r="G9563" s="24"/>
      <c r="H9563" s="24"/>
      <c r="I9563" s="24"/>
      <c r="J9563" s="24"/>
      <c r="K9563" s="24"/>
      <c r="L9563" s="24"/>
      <c r="M9563" s="24"/>
      <c r="N9563" s="24"/>
      <c r="O9563" s="24"/>
      <c r="P9563" s="24"/>
      <c r="Q9563" s="24"/>
      <c r="R9563" s="24"/>
      <c r="S9563" s="24"/>
      <c r="T9563" s="24"/>
      <c r="U9563" s="24"/>
      <c r="V9563" s="24"/>
      <c r="W9563" s="24"/>
      <c r="X9563" s="24"/>
      <c r="Y9563" s="24"/>
      <c r="Z9563" s="24"/>
      <c r="AA9563" s="24"/>
    </row>
    <row r="9564">
      <c r="A9564" s="24"/>
      <c r="B9564" s="25"/>
      <c r="C9564" s="24"/>
      <c r="D9564" s="26"/>
      <c r="E9564" s="24"/>
      <c r="F9564" s="24"/>
      <c r="G9564" s="24"/>
      <c r="H9564" s="24"/>
      <c r="I9564" s="24"/>
      <c r="J9564" s="24"/>
      <c r="K9564" s="24"/>
      <c r="L9564" s="24"/>
      <c r="M9564" s="24"/>
      <c r="N9564" s="24"/>
      <c r="O9564" s="24"/>
      <c r="P9564" s="24"/>
      <c r="Q9564" s="24"/>
      <c r="R9564" s="24"/>
      <c r="S9564" s="24"/>
      <c r="T9564" s="24"/>
      <c r="U9564" s="24"/>
      <c r="V9564" s="24"/>
      <c r="W9564" s="24"/>
      <c r="X9564" s="24"/>
      <c r="Y9564" s="24"/>
      <c r="Z9564" s="24"/>
      <c r="AA9564" s="24"/>
    </row>
    <row r="9565">
      <c r="A9565" s="24"/>
      <c r="B9565" s="25"/>
      <c r="C9565" s="24"/>
      <c r="D9565" s="26"/>
      <c r="E9565" s="24"/>
      <c r="F9565" s="24"/>
      <c r="G9565" s="24"/>
      <c r="H9565" s="24"/>
      <c r="I9565" s="24"/>
      <c r="J9565" s="24"/>
      <c r="K9565" s="24"/>
      <c r="L9565" s="24"/>
      <c r="M9565" s="24"/>
      <c r="N9565" s="24"/>
      <c r="O9565" s="24"/>
      <c r="P9565" s="24"/>
      <c r="Q9565" s="24"/>
      <c r="R9565" s="24"/>
      <c r="S9565" s="24"/>
      <c r="T9565" s="24"/>
      <c r="U9565" s="24"/>
      <c r="V9565" s="24"/>
      <c r="W9565" s="24"/>
      <c r="X9565" s="24"/>
      <c r="Y9565" s="24"/>
      <c r="Z9565" s="24"/>
      <c r="AA9565" s="24"/>
    </row>
    <row r="9566">
      <c r="A9566" s="24"/>
      <c r="B9566" s="25"/>
      <c r="C9566" s="24"/>
      <c r="D9566" s="26"/>
      <c r="E9566" s="24"/>
      <c r="F9566" s="24"/>
      <c r="G9566" s="24"/>
      <c r="H9566" s="24"/>
      <c r="I9566" s="24"/>
      <c r="J9566" s="24"/>
      <c r="K9566" s="24"/>
      <c r="L9566" s="24"/>
      <c r="M9566" s="24"/>
      <c r="N9566" s="24"/>
      <c r="O9566" s="24"/>
      <c r="P9566" s="24"/>
      <c r="Q9566" s="24"/>
      <c r="R9566" s="24"/>
      <c r="S9566" s="24"/>
      <c r="T9566" s="24"/>
      <c r="U9566" s="24"/>
      <c r="V9566" s="24"/>
      <c r="W9566" s="24"/>
      <c r="X9566" s="24"/>
      <c r="Y9566" s="24"/>
      <c r="Z9566" s="24"/>
      <c r="AA9566" s="24"/>
    </row>
    <row r="9567">
      <c r="A9567" s="24"/>
      <c r="B9567" s="25"/>
      <c r="C9567" s="24"/>
      <c r="D9567" s="26"/>
      <c r="E9567" s="24"/>
      <c r="F9567" s="24"/>
      <c r="G9567" s="24"/>
      <c r="H9567" s="24"/>
      <c r="I9567" s="24"/>
      <c r="J9567" s="24"/>
      <c r="K9567" s="24"/>
      <c r="L9567" s="24"/>
      <c r="M9567" s="24"/>
      <c r="N9567" s="24"/>
      <c r="O9567" s="24"/>
      <c r="P9567" s="24"/>
      <c r="Q9567" s="24"/>
      <c r="R9567" s="24"/>
      <c r="S9567" s="24"/>
      <c r="T9567" s="24"/>
      <c r="U9567" s="24"/>
      <c r="V9567" s="24"/>
      <c r="W9567" s="24"/>
      <c r="X9567" s="24"/>
      <c r="Y9567" s="24"/>
      <c r="Z9567" s="24"/>
      <c r="AA9567" s="24"/>
    </row>
    <row r="9568">
      <c r="A9568" s="24"/>
      <c r="B9568" s="25"/>
      <c r="C9568" s="24"/>
      <c r="D9568" s="26"/>
      <c r="E9568" s="24"/>
      <c r="F9568" s="24"/>
      <c r="G9568" s="24"/>
      <c r="H9568" s="24"/>
      <c r="I9568" s="24"/>
      <c r="J9568" s="24"/>
      <c r="K9568" s="24"/>
      <c r="L9568" s="24"/>
      <c r="M9568" s="24"/>
      <c r="N9568" s="24"/>
      <c r="O9568" s="24"/>
      <c r="P9568" s="24"/>
      <c r="Q9568" s="24"/>
      <c r="R9568" s="24"/>
      <c r="S9568" s="24"/>
      <c r="T9568" s="24"/>
      <c r="U9568" s="24"/>
      <c r="V9568" s="24"/>
      <c r="W9568" s="24"/>
      <c r="X9568" s="24"/>
      <c r="Y9568" s="24"/>
      <c r="Z9568" s="24"/>
      <c r="AA9568" s="24"/>
    </row>
    <row r="9569">
      <c r="A9569" s="24"/>
      <c r="B9569" s="25"/>
      <c r="C9569" s="24"/>
      <c r="D9569" s="26"/>
      <c r="E9569" s="24"/>
      <c r="F9569" s="24"/>
      <c r="G9569" s="24"/>
      <c r="H9569" s="24"/>
      <c r="I9569" s="24"/>
      <c r="J9569" s="24"/>
      <c r="K9569" s="24"/>
      <c r="L9569" s="24"/>
      <c r="M9569" s="24"/>
      <c r="N9569" s="24"/>
      <c r="O9569" s="24"/>
      <c r="P9569" s="24"/>
      <c r="Q9569" s="24"/>
      <c r="R9569" s="24"/>
      <c r="S9569" s="24"/>
      <c r="T9569" s="24"/>
      <c r="U9569" s="24"/>
      <c r="V9569" s="24"/>
      <c r="W9569" s="24"/>
      <c r="X9569" s="24"/>
      <c r="Y9569" s="24"/>
      <c r="Z9569" s="24"/>
      <c r="AA9569" s="24"/>
    </row>
    <row r="9570">
      <c r="A9570" s="24"/>
      <c r="B9570" s="25"/>
      <c r="C9570" s="24"/>
      <c r="D9570" s="26"/>
      <c r="E9570" s="24"/>
      <c r="F9570" s="24"/>
      <c r="G9570" s="24"/>
      <c r="H9570" s="24"/>
      <c r="I9570" s="24"/>
      <c r="J9570" s="24"/>
      <c r="K9570" s="24"/>
      <c r="L9570" s="24"/>
      <c r="M9570" s="24"/>
      <c r="N9570" s="24"/>
      <c r="O9570" s="24"/>
      <c r="P9570" s="24"/>
      <c r="Q9570" s="24"/>
      <c r="R9570" s="24"/>
      <c r="S9570" s="24"/>
      <c r="T9570" s="24"/>
      <c r="U9570" s="24"/>
      <c r="V9570" s="24"/>
      <c r="W9570" s="24"/>
      <c r="X9570" s="24"/>
      <c r="Y9570" s="24"/>
      <c r="Z9570" s="24"/>
      <c r="AA9570" s="24"/>
    </row>
    <row r="9571">
      <c r="A9571" s="24"/>
      <c r="B9571" s="25"/>
      <c r="C9571" s="24"/>
      <c r="D9571" s="26"/>
      <c r="E9571" s="24"/>
      <c r="F9571" s="24"/>
      <c r="G9571" s="24"/>
      <c r="H9571" s="24"/>
      <c r="I9571" s="24"/>
      <c r="J9571" s="24"/>
      <c r="K9571" s="24"/>
      <c r="L9571" s="24"/>
      <c r="M9571" s="24"/>
      <c r="N9571" s="24"/>
      <c r="O9571" s="24"/>
      <c r="P9571" s="24"/>
      <c r="Q9571" s="24"/>
      <c r="R9571" s="24"/>
      <c r="S9571" s="24"/>
      <c r="T9571" s="24"/>
      <c r="U9571" s="24"/>
      <c r="V9571" s="24"/>
      <c r="W9571" s="24"/>
      <c r="X9571" s="24"/>
      <c r="Y9571" s="24"/>
      <c r="Z9571" s="24"/>
      <c r="AA9571" s="24"/>
    </row>
    <row r="9572">
      <c r="A9572" s="24"/>
      <c r="B9572" s="25"/>
      <c r="C9572" s="24"/>
      <c r="D9572" s="26"/>
      <c r="E9572" s="24"/>
      <c r="F9572" s="24"/>
      <c r="G9572" s="24"/>
      <c r="H9572" s="24"/>
      <c r="I9572" s="24"/>
      <c r="J9572" s="24"/>
      <c r="K9572" s="24"/>
      <c r="L9572" s="24"/>
      <c r="M9572" s="24"/>
      <c r="N9572" s="24"/>
      <c r="O9572" s="24"/>
      <c r="P9572" s="24"/>
      <c r="Q9572" s="24"/>
      <c r="R9572" s="24"/>
      <c r="S9572" s="24"/>
      <c r="T9572" s="24"/>
      <c r="U9572" s="24"/>
      <c r="V9572" s="24"/>
      <c r="W9572" s="24"/>
      <c r="X9572" s="24"/>
      <c r="Y9572" s="24"/>
      <c r="Z9572" s="24"/>
      <c r="AA9572" s="24"/>
    </row>
    <row r="9573">
      <c r="A9573" s="24"/>
      <c r="B9573" s="25"/>
      <c r="C9573" s="24"/>
      <c r="D9573" s="26"/>
      <c r="E9573" s="24"/>
      <c r="F9573" s="24"/>
      <c r="G9573" s="24"/>
      <c r="H9573" s="24"/>
      <c r="I9573" s="24"/>
      <c r="J9573" s="24"/>
      <c r="K9573" s="24"/>
      <c r="L9573" s="24"/>
      <c r="M9573" s="24"/>
      <c r="N9573" s="24"/>
      <c r="O9573" s="24"/>
      <c r="P9573" s="24"/>
      <c r="Q9573" s="24"/>
      <c r="R9573" s="24"/>
      <c r="S9573" s="24"/>
      <c r="T9573" s="24"/>
      <c r="U9573" s="24"/>
      <c r="V9573" s="24"/>
      <c r="W9573" s="24"/>
      <c r="X9573" s="24"/>
      <c r="Y9573" s="24"/>
      <c r="Z9573" s="24"/>
      <c r="AA9573" s="24"/>
    </row>
    <row r="9574">
      <c r="A9574" s="24"/>
      <c r="B9574" s="25"/>
      <c r="C9574" s="24"/>
      <c r="D9574" s="26"/>
      <c r="E9574" s="24"/>
      <c r="F9574" s="24"/>
      <c r="G9574" s="24"/>
      <c r="H9574" s="24"/>
      <c r="I9574" s="24"/>
      <c r="J9574" s="24"/>
      <c r="K9574" s="24"/>
      <c r="L9574" s="24"/>
      <c r="M9574" s="24"/>
      <c r="N9574" s="24"/>
      <c r="O9574" s="24"/>
      <c r="P9574" s="24"/>
      <c r="Q9574" s="24"/>
      <c r="R9574" s="24"/>
      <c r="S9574" s="24"/>
      <c r="T9574" s="24"/>
      <c r="U9574" s="24"/>
      <c r="V9574" s="24"/>
      <c r="W9574" s="24"/>
      <c r="X9574" s="24"/>
      <c r="Y9574" s="24"/>
      <c r="Z9574" s="24"/>
      <c r="AA9574" s="24"/>
    </row>
    <row r="9575">
      <c r="A9575" s="24"/>
      <c r="B9575" s="25"/>
      <c r="C9575" s="24"/>
      <c r="D9575" s="26"/>
      <c r="E9575" s="24"/>
      <c r="F9575" s="24"/>
      <c r="G9575" s="24"/>
      <c r="H9575" s="24"/>
      <c r="I9575" s="24"/>
      <c r="J9575" s="24"/>
      <c r="K9575" s="24"/>
      <c r="L9575" s="24"/>
      <c r="M9575" s="24"/>
      <c r="N9575" s="24"/>
      <c r="O9575" s="24"/>
      <c r="P9575" s="24"/>
      <c r="Q9575" s="24"/>
      <c r="R9575" s="24"/>
      <c r="S9575" s="24"/>
      <c r="T9575" s="24"/>
      <c r="U9575" s="24"/>
      <c r="V9575" s="24"/>
      <c r="W9575" s="24"/>
      <c r="X9575" s="24"/>
      <c r="Y9575" s="24"/>
      <c r="Z9575" s="24"/>
      <c r="AA9575" s="24"/>
    </row>
    <row r="9576">
      <c r="A9576" s="24"/>
      <c r="B9576" s="25"/>
      <c r="C9576" s="24"/>
      <c r="D9576" s="26"/>
      <c r="E9576" s="24"/>
      <c r="F9576" s="24"/>
      <c r="G9576" s="24"/>
      <c r="H9576" s="24"/>
      <c r="I9576" s="24"/>
      <c r="J9576" s="24"/>
      <c r="K9576" s="24"/>
      <c r="L9576" s="24"/>
      <c r="M9576" s="24"/>
      <c r="N9576" s="24"/>
      <c r="O9576" s="24"/>
      <c r="P9576" s="24"/>
      <c r="Q9576" s="24"/>
      <c r="R9576" s="24"/>
      <c r="S9576" s="24"/>
      <c r="T9576" s="24"/>
      <c r="U9576" s="24"/>
      <c r="V9576" s="24"/>
      <c r="W9576" s="24"/>
      <c r="X9576" s="24"/>
      <c r="Y9576" s="24"/>
      <c r="Z9576" s="24"/>
      <c r="AA9576" s="24"/>
    </row>
    <row r="9577">
      <c r="A9577" s="24"/>
      <c r="B9577" s="25"/>
      <c r="C9577" s="24"/>
      <c r="D9577" s="26"/>
      <c r="E9577" s="24"/>
      <c r="F9577" s="24"/>
      <c r="G9577" s="24"/>
      <c r="H9577" s="24"/>
      <c r="I9577" s="24"/>
      <c r="J9577" s="24"/>
      <c r="K9577" s="24"/>
      <c r="L9577" s="24"/>
      <c r="M9577" s="24"/>
      <c r="N9577" s="24"/>
      <c r="O9577" s="24"/>
      <c r="P9577" s="24"/>
      <c r="Q9577" s="24"/>
      <c r="R9577" s="24"/>
      <c r="S9577" s="24"/>
      <c r="T9577" s="24"/>
      <c r="U9577" s="24"/>
      <c r="V9577" s="24"/>
      <c r="W9577" s="24"/>
      <c r="X9577" s="24"/>
      <c r="Y9577" s="24"/>
      <c r="Z9577" s="24"/>
      <c r="AA9577" s="24"/>
    </row>
    <row r="9578">
      <c r="A9578" s="24"/>
      <c r="B9578" s="25"/>
      <c r="C9578" s="24"/>
      <c r="D9578" s="26"/>
      <c r="E9578" s="24"/>
      <c r="F9578" s="24"/>
      <c r="G9578" s="24"/>
      <c r="H9578" s="24"/>
      <c r="I9578" s="24"/>
      <c r="J9578" s="24"/>
      <c r="K9578" s="24"/>
      <c r="L9578" s="24"/>
      <c r="M9578" s="24"/>
      <c r="N9578" s="24"/>
      <c r="O9578" s="24"/>
      <c r="P9578" s="24"/>
      <c r="Q9578" s="24"/>
      <c r="R9578" s="24"/>
      <c r="S9578" s="24"/>
      <c r="T9578" s="24"/>
      <c r="U9578" s="24"/>
      <c r="V9578" s="24"/>
      <c r="W9578" s="24"/>
      <c r="X9578" s="24"/>
      <c r="Y9578" s="24"/>
      <c r="Z9578" s="24"/>
      <c r="AA9578" s="24"/>
    </row>
    <row r="9579">
      <c r="A9579" s="24"/>
      <c r="B9579" s="25"/>
      <c r="C9579" s="24"/>
      <c r="D9579" s="26"/>
      <c r="E9579" s="24"/>
      <c r="F9579" s="24"/>
      <c r="G9579" s="24"/>
      <c r="H9579" s="24"/>
      <c r="I9579" s="24"/>
      <c r="J9579" s="24"/>
      <c r="K9579" s="24"/>
      <c r="L9579" s="24"/>
      <c r="M9579" s="24"/>
      <c r="N9579" s="24"/>
      <c r="O9579" s="24"/>
      <c r="P9579" s="24"/>
      <c r="Q9579" s="24"/>
      <c r="R9579" s="24"/>
      <c r="S9579" s="24"/>
      <c r="T9579" s="24"/>
      <c r="U9579" s="24"/>
      <c r="V9579" s="24"/>
      <c r="W9579" s="24"/>
      <c r="X9579" s="24"/>
      <c r="Y9579" s="24"/>
      <c r="Z9579" s="24"/>
      <c r="AA9579" s="24"/>
    </row>
    <row r="9580">
      <c r="A9580" s="24"/>
      <c r="B9580" s="25"/>
      <c r="C9580" s="24"/>
      <c r="D9580" s="26"/>
      <c r="E9580" s="24"/>
      <c r="F9580" s="24"/>
      <c r="G9580" s="24"/>
      <c r="H9580" s="24"/>
      <c r="I9580" s="24"/>
      <c r="J9580" s="24"/>
      <c r="K9580" s="24"/>
      <c r="L9580" s="24"/>
      <c r="M9580" s="24"/>
      <c r="N9580" s="24"/>
      <c r="O9580" s="24"/>
      <c r="P9580" s="24"/>
      <c r="Q9580" s="24"/>
      <c r="R9580" s="24"/>
      <c r="S9580" s="24"/>
      <c r="T9580" s="24"/>
      <c r="U9580" s="24"/>
      <c r="V9580" s="24"/>
      <c r="W9580" s="24"/>
      <c r="X9580" s="24"/>
      <c r="Y9580" s="24"/>
      <c r="Z9580" s="24"/>
      <c r="AA9580" s="24"/>
    </row>
    <row r="9581">
      <c r="A9581" s="24"/>
      <c r="B9581" s="25"/>
      <c r="C9581" s="24"/>
      <c r="D9581" s="26"/>
      <c r="E9581" s="24"/>
      <c r="F9581" s="24"/>
      <c r="G9581" s="24"/>
      <c r="H9581" s="24"/>
      <c r="I9581" s="24"/>
      <c r="J9581" s="24"/>
      <c r="K9581" s="24"/>
      <c r="L9581" s="24"/>
      <c r="M9581" s="24"/>
      <c r="N9581" s="24"/>
      <c r="O9581" s="24"/>
      <c r="P9581" s="24"/>
      <c r="Q9581" s="24"/>
      <c r="R9581" s="24"/>
      <c r="S9581" s="24"/>
      <c r="T9581" s="24"/>
      <c r="U9581" s="24"/>
      <c r="V9581" s="24"/>
      <c r="W9581" s="24"/>
      <c r="X9581" s="24"/>
      <c r="Y9581" s="24"/>
      <c r="Z9581" s="24"/>
      <c r="AA9581" s="24"/>
    </row>
    <row r="9582">
      <c r="A9582" s="24"/>
      <c r="B9582" s="25"/>
      <c r="C9582" s="24"/>
      <c r="D9582" s="26"/>
      <c r="E9582" s="24"/>
      <c r="F9582" s="24"/>
      <c r="G9582" s="24"/>
      <c r="H9582" s="24"/>
      <c r="I9582" s="24"/>
      <c r="J9582" s="24"/>
      <c r="K9582" s="24"/>
      <c r="L9582" s="24"/>
      <c r="M9582" s="24"/>
      <c r="N9582" s="24"/>
      <c r="O9582" s="24"/>
      <c r="P9582" s="24"/>
      <c r="Q9582" s="24"/>
      <c r="R9582" s="24"/>
      <c r="S9582" s="24"/>
      <c r="T9582" s="24"/>
      <c r="U9582" s="24"/>
      <c r="V9582" s="24"/>
      <c r="W9582" s="24"/>
      <c r="X9582" s="24"/>
      <c r="Y9582" s="24"/>
      <c r="Z9582" s="24"/>
      <c r="AA9582" s="24"/>
    </row>
    <row r="9583">
      <c r="A9583" s="24"/>
      <c r="B9583" s="25"/>
      <c r="C9583" s="24"/>
      <c r="D9583" s="26"/>
      <c r="E9583" s="24"/>
      <c r="F9583" s="24"/>
      <c r="G9583" s="24"/>
      <c r="H9583" s="24"/>
      <c r="I9583" s="24"/>
      <c r="J9583" s="24"/>
      <c r="K9583" s="24"/>
      <c r="L9583" s="24"/>
      <c r="M9583" s="24"/>
      <c r="N9583" s="24"/>
      <c r="O9583" s="24"/>
      <c r="P9583" s="24"/>
      <c r="Q9583" s="24"/>
      <c r="R9583" s="24"/>
      <c r="S9583" s="24"/>
      <c r="T9583" s="24"/>
      <c r="U9583" s="24"/>
      <c r="V9583" s="24"/>
      <c r="W9583" s="24"/>
      <c r="X9583" s="24"/>
      <c r="Y9583" s="24"/>
      <c r="Z9583" s="24"/>
      <c r="AA9583" s="24"/>
    </row>
    <row r="9584">
      <c r="A9584" s="24"/>
      <c r="B9584" s="25"/>
      <c r="C9584" s="24"/>
      <c r="D9584" s="26"/>
      <c r="E9584" s="24"/>
      <c r="F9584" s="24"/>
      <c r="G9584" s="24"/>
      <c r="H9584" s="24"/>
      <c r="I9584" s="24"/>
      <c r="J9584" s="24"/>
      <c r="K9584" s="24"/>
      <c r="L9584" s="24"/>
      <c r="M9584" s="24"/>
      <c r="N9584" s="24"/>
      <c r="O9584" s="24"/>
      <c r="P9584" s="24"/>
      <c r="Q9584" s="24"/>
      <c r="R9584" s="24"/>
      <c r="S9584" s="24"/>
      <c r="T9584" s="24"/>
      <c r="U9584" s="24"/>
      <c r="V9584" s="24"/>
      <c r="W9584" s="24"/>
      <c r="X9584" s="24"/>
      <c r="Y9584" s="24"/>
      <c r="Z9584" s="24"/>
      <c r="AA9584" s="24"/>
    </row>
    <row r="9585">
      <c r="A9585" s="24"/>
      <c r="B9585" s="25"/>
      <c r="C9585" s="24"/>
      <c r="D9585" s="26"/>
      <c r="E9585" s="24"/>
      <c r="F9585" s="24"/>
      <c r="G9585" s="24"/>
      <c r="H9585" s="24"/>
      <c r="I9585" s="24"/>
      <c r="J9585" s="24"/>
      <c r="K9585" s="24"/>
      <c r="L9585" s="24"/>
      <c r="M9585" s="24"/>
      <c r="N9585" s="24"/>
      <c r="O9585" s="24"/>
      <c r="P9585" s="24"/>
      <c r="Q9585" s="24"/>
      <c r="R9585" s="24"/>
      <c r="S9585" s="24"/>
      <c r="T9585" s="24"/>
      <c r="U9585" s="24"/>
      <c r="V9585" s="24"/>
      <c r="W9585" s="24"/>
      <c r="X9585" s="24"/>
      <c r="Y9585" s="24"/>
      <c r="Z9585" s="24"/>
      <c r="AA9585" s="24"/>
    </row>
    <row r="9586">
      <c r="A9586" s="24"/>
      <c r="B9586" s="25"/>
      <c r="C9586" s="24"/>
      <c r="D9586" s="26"/>
      <c r="E9586" s="24"/>
      <c r="F9586" s="24"/>
      <c r="G9586" s="24"/>
      <c r="H9586" s="24"/>
      <c r="I9586" s="24"/>
      <c r="J9586" s="24"/>
      <c r="K9586" s="24"/>
      <c r="L9586" s="24"/>
      <c r="M9586" s="24"/>
      <c r="N9586" s="24"/>
      <c r="O9586" s="24"/>
      <c r="P9586" s="24"/>
      <c r="Q9586" s="24"/>
      <c r="R9586" s="24"/>
      <c r="S9586" s="24"/>
      <c r="T9586" s="24"/>
      <c r="U9586" s="24"/>
      <c r="V9586" s="24"/>
      <c r="W9586" s="24"/>
      <c r="X9586" s="24"/>
      <c r="Y9586" s="24"/>
      <c r="Z9586" s="24"/>
      <c r="AA9586" s="24"/>
    </row>
    <row r="9587">
      <c r="A9587" s="24"/>
      <c r="B9587" s="25"/>
      <c r="C9587" s="24"/>
      <c r="D9587" s="26"/>
      <c r="E9587" s="24"/>
      <c r="F9587" s="24"/>
      <c r="G9587" s="24"/>
      <c r="H9587" s="24"/>
      <c r="I9587" s="24"/>
      <c r="J9587" s="24"/>
      <c r="K9587" s="24"/>
      <c r="L9587" s="24"/>
      <c r="M9587" s="24"/>
      <c r="N9587" s="24"/>
      <c r="O9587" s="24"/>
      <c r="P9587" s="24"/>
      <c r="Q9587" s="24"/>
      <c r="R9587" s="24"/>
      <c r="S9587" s="24"/>
      <c r="T9587" s="24"/>
      <c r="U9587" s="24"/>
      <c r="V9587" s="24"/>
      <c r="W9587" s="24"/>
      <c r="X9587" s="24"/>
      <c r="Y9587" s="24"/>
      <c r="Z9587" s="24"/>
      <c r="AA9587" s="24"/>
    </row>
    <row r="9588">
      <c r="A9588" s="24"/>
      <c r="B9588" s="25"/>
      <c r="C9588" s="24"/>
      <c r="D9588" s="26"/>
      <c r="E9588" s="24"/>
      <c r="F9588" s="24"/>
      <c r="G9588" s="24"/>
      <c r="H9588" s="24"/>
      <c r="I9588" s="24"/>
      <c r="J9588" s="24"/>
      <c r="K9588" s="24"/>
      <c r="L9588" s="24"/>
      <c r="M9588" s="24"/>
      <c r="N9588" s="24"/>
      <c r="O9588" s="24"/>
      <c r="P9588" s="24"/>
      <c r="Q9588" s="24"/>
      <c r="R9588" s="24"/>
      <c r="S9588" s="24"/>
      <c r="T9588" s="24"/>
      <c r="U9588" s="24"/>
      <c r="V9588" s="24"/>
      <c r="W9588" s="24"/>
      <c r="X9588" s="24"/>
      <c r="Y9588" s="24"/>
      <c r="Z9588" s="24"/>
      <c r="AA9588" s="24"/>
    </row>
    <row r="9589">
      <c r="A9589" s="24"/>
      <c r="B9589" s="25"/>
      <c r="C9589" s="24"/>
      <c r="D9589" s="26"/>
      <c r="E9589" s="24"/>
      <c r="F9589" s="24"/>
      <c r="G9589" s="24"/>
      <c r="H9589" s="24"/>
      <c r="I9589" s="24"/>
      <c r="J9589" s="24"/>
      <c r="K9589" s="24"/>
      <c r="L9589" s="24"/>
      <c r="M9589" s="24"/>
      <c r="N9589" s="24"/>
      <c r="O9589" s="24"/>
      <c r="P9589" s="24"/>
      <c r="Q9589" s="24"/>
      <c r="R9589" s="24"/>
      <c r="S9589" s="24"/>
      <c r="T9589" s="24"/>
      <c r="U9589" s="24"/>
      <c r="V9589" s="24"/>
      <c r="W9589" s="24"/>
      <c r="X9589" s="24"/>
      <c r="Y9589" s="24"/>
      <c r="Z9589" s="24"/>
      <c r="AA9589" s="24"/>
    </row>
    <row r="9590">
      <c r="A9590" s="24"/>
      <c r="B9590" s="25"/>
      <c r="C9590" s="24"/>
      <c r="D9590" s="26"/>
      <c r="E9590" s="24"/>
      <c r="F9590" s="24"/>
      <c r="G9590" s="24"/>
      <c r="H9590" s="24"/>
      <c r="I9590" s="24"/>
      <c r="J9590" s="24"/>
      <c r="K9590" s="24"/>
      <c r="L9590" s="24"/>
      <c r="M9590" s="24"/>
      <c r="N9590" s="24"/>
      <c r="O9590" s="24"/>
      <c r="P9590" s="24"/>
      <c r="Q9590" s="24"/>
      <c r="R9590" s="24"/>
      <c r="S9590" s="24"/>
      <c r="T9590" s="24"/>
      <c r="U9590" s="24"/>
      <c r="V9590" s="24"/>
      <c r="W9590" s="24"/>
      <c r="X9590" s="24"/>
      <c r="Y9590" s="24"/>
      <c r="Z9590" s="24"/>
      <c r="AA9590" s="24"/>
    </row>
    <row r="9591">
      <c r="A9591" s="24"/>
      <c r="B9591" s="25"/>
      <c r="C9591" s="24"/>
      <c r="D9591" s="26"/>
      <c r="E9591" s="24"/>
      <c r="F9591" s="24"/>
      <c r="G9591" s="24"/>
      <c r="H9591" s="24"/>
      <c r="I9591" s="24"/>
      <c r="J9591" s="24"/>
      <c r="K9591" s="24"/>
      <c r="L9591" s="24"/>
      <c r="M9591" s="24"/>
      <c r="N9591" s="24"/>
      <c r="O9591" s="24"/>
      <c r="P9591" s="24"/>
      <c r="Q9591" s="24"/>
      <c r="R9591" s="24"/>
      <c r="S9591" s="24"/>
      <c r="T9591" s="24"/>
      <c r="U9591" s="24"/>
      <c r="V9591" s="24"/>
      <c r="W9591" s="24"/>
      <c r="X9591" s="24"/>
      <c r="Y9591" s="24"/>
      <c r="Z9591" s="24"/>
      <c r="AA9591" s="24"/>
    </row>
    <row r="9592">
      <c r="A9592" s="24"/>
      <c r="B9592" s="25"/>
      <c r="C9592" s="24"/>
      <c r="D9592" s="26"/>
      <c r="E9592" s="24"/>
      <c r="F9592" s="24"/>
      <c r="G9592" s="24"/>
      <c r="H9592" s="24"/>
      <c r="I9592" s="24"/>
      <c r="J9592" s="24"/>
      <c r="K9592" s="24"/>
      <c r="L9592" s="24"/>
      <c r="M9592" s="24"/>
      <c r="N9592" s="24"/>
      <c r="O9592" s="24"/>
      <c r="P9592" s="24"/>
      <c r="Q9592" s="24"/>
      <c r="R9592" s="24"/>
      <c r="S9592" s="24"/>
      <c r="T9592" s="24"/>
      <c r="U9592" s="24"/>
      <c r="V9592" s="24"/>
      <c r="W9592" s="24"/>
      <c r="X9592" s="24"/>
      <c r="Y9592" s="24"/>
      <c r="Z9592" s="24"/>
      <c r="AA9592" s="24"/>
    </row>
    <row r="9593">
      <c r="A9593" s="24"/>
      <c r="B9593" s="25"/>
      <c r="C9593" s="24"/>
      <c r="D9593" s="26"/>
      <c r="E9593" s="24"/>
      <c r="F9593" s="24"/>
      <c r="G9593" s="24"/>
      <c r="H9593" s="24"/>
      <c r="I9593" s="24"/>
      <c r="J9593" s="24"/>
      <c r="K9593" s="24"/>
      <c r="L9593" s="24"/>
      <c r="M9593" s="24"/>
      <c r="N9593" s="24"/>
      <c r="O9593" s="24"/>
      <c r="P9593" s="24"/>
      <c r="Q9593" s="24"/>
      <c r="R9593" s="24"/>
      <c r="S9593" s="24"/>
      <c r="T9593" s="24"/>
      <c r="U9593" s="24"/>
      <c r="V9593" s="24"/>
      <c r="W9593" s="24"/>
      <c r="X9593" s="24"/>
      <c r="Y9593" s="24"/>
      <c r="Z9593" s="24"/>
      <c r="AA9593" s="24"/>
    </row>
    <row r="9594">
      <c r="A9594" s="24"/>
      <c r="B9594" s="25"/>
      <c r="C9594" s="24"/>
      <c r="D9594" s="26"/>
      <c r="E9594" s="24"/>
      <c r="F9594" s="24"/>
      <c r="G9594" s="24"/>
      <c r="H9594" s="24"/>
      <c r="I9594" s="24"/>
      <c r="J9594" s="24"/>
      <c r="K9594" s="24"/>
      <c r="L9594" s="24"/>
      <c r="M9594" s="24"/>
      <c r="N9594" s="24"/>
      <c r="O9594" s="24"/>
      <c r="P9594" s="24"/>
      <c r="Q9594" s="24"/>
      <c r="R9594" s="24"/>
      <c r="S9594" s="24"/>
      <c r="T9594" s="24"/>
      <c r="U9594" s="24"/>
      <c r="V9594" s="24"/>
      <c r="W9594" s="24"/>
      <c r="X9594" s="24"/>
      <c r="Y9594" s="24"/>
      <c r="Z9594" s="24"/>
      <c r="AA9594" s="24"/>
    </row>
    <row r="9595">
      <c r="A9595" s="24"/>
      <c r="B9595" s="25"/>
      <c r="C9595" s="24"/>
      <c r="D9595" s="26"/>
      <c r="E9595" s="24"/>
      <c r="F9595" s="24"/>
      <c r="G9595" s="24"/>
      <c r="H9595" s="24"/>
      <c r="I9595" s="24"/>
      <c r="J9595" s="24"/>
      <c r="K9595" s="24"/>
      <c r="L9595" s="24"/>
      <c r="M9595" s="24"/>
      <c r="N9595" s="24"/>
      <c r="O9595" s="24"/>
      <c r="P9595" s="24"/>
      <c r="Q9595" s="24"/>
      <c r="R9595" s="24"/>
      <c r="S9595" s="24"/>
      <c r="T9595" s="24"/>
      <c r="U9595" s="24"/>
      <c r="V9595" s="24"/>
      <c r="W9595" s="24"/>
      <c r="X9595" s="24"/>
      <c r="Y9595" s="24"/>
      <c r="Z9595" s="24"/>
      <c r="AA9595" s="24"/>
    </row>
    <row r="9596">
      <c r="A9596" s="24"/>
      <c r="B9596" s="25"/>
      <c r="C9596" s="24"/>
      <c r="D9596" s="26"/>
      <c r="E9596" s="24"/>
      <c r="F9596" s="24"/>
      <c r="G9596" s="24"/>
      <c r="H9596" s="24"/>
      <c r="I9596" s="24"/>
      <c r="J9596" s="24"/>
      <c r="K9596" s="24"/>
      <c r="L9596" s="24"/>
      <c r="M9596" s="24"/>
      <c r="N9596" s="24"/>
      <c r="O9596" s="24"/>
      <c r="P9596" s="24"/>
      <c r="Q9596" s="24"/>
      <c r="R9596" s="24"/>
      <c r="S9596" s="24"/>
      <c r="T9596" s="24"/>
      <c r="U9596" s="24"/>
      <c r="V9596" s="24"/>
      <c r="W9596" s="24"/>
      <c r="X9596" s="24"/>
      <c r="Y9596" s="24"/>
      <c r="Z9596" s="24"/>
      <c r="AA9596" s="24"/>
    </row>
    <row r="9597">
      <c r="A9597" s="24"/>
      <c r="B9597" s="25"/>
      <c r="C9597" s="24"/>
      <c r="D9597" s="26"/>
      <c r="E9597" s="24"/>
      <c r="F9597" s="24"/>
      <c r="G9597" s="24"/>
      <c r="H9597" s="24"/>
      <c r="I9597" s="24"/>
      <c r="J9597" s="24"/>
      <c r="K9597" s="24"/>
      <c r="L9597" s="24"/>
      <c r="M9597" s="24"/>
      <c r="N9597" s="24"/>
      <c r="O9597" s="24"/>
      <c r="P9597" s="24"/>
      <c r="Q9597" s="24"/>
      <c r="R9597" s="24"/>
      <c r="S9597" s="24"/>
      <c r="T9597" s="24"/>
      <c r="U9597" s="24"/>
      <c r="V9597" s="24"/>
      <c r="W9597" s="24"/>
      <c r="X9597" s="24"/>
      <c r="Y9597" s="24"/>
      <c r="Z9597" s="24"/>
      <c r="AA9597" s="24"/>
    </row>
    <row r="9598">
      <c r="A9598" s="24"/>
      <c r="B9598" s="25"/>
      <c r="C9598" s="24"/>
      <c r="D9598" s="26"/>
      <c r="E9598" s="24"/>
      <c r="F9598" s="24"/>
      <c r="G9598" s="24"/>
      <c r="H9598" s="24"/>
      <c r="I9598" s="24"/>
      <c r="J9598" s="24"/>
      <c r="K9598" s="24"/>
      <c r="L9598" s="24"/>
      <c r="M9598" s="24"/>
      <c r="N9598" s="24"/>
      <c r="O9598" s="24"/>
      <c r="P9598" s="24"/>
      <c r="Q9598" s="24"/>
      <c r="R9598" s="24"/>
      <c r="S9598" s="24"/>
      <c r="T9598" s="24"/>
      <c r="U9598" s="24"/>
      <c r="V9598" s="24"/>
      <c r="W9598" s="24"/>
      <c r="X9598" s="24"/>
      <c r="Y9598" s="24"/>
      <c r="Z9598" s="24"/>
      <c r="AA9598" s="24"/>
    </row>
    <row r="9599">
      <c r="A9599" s="24"/>
      <c r="B9599" s="25"/>
      <c r="C9599" s="24"/>
      <c r="D9599" s="26"/>
      <c r="E9599" s="24"/>
      <c r="F9599" s="24"/>
      <c r="G9599" s="24"/>
      <c r="H9599" s="24"/>
      <c r="I9599" s="24"/>
      <c r="J9599" s="24"/>
      <c r="K9599" s="24"/>
      <c r="L9599" s="24"/>
      <c r="M9599" s="24"/>
      <c r="N9599" s="24"/>
      <c r="O9599" s="24"/>
      <c r="P9599" s="24"/>
      <c r="Q9599" s="24"/>
      <c r="R9599" s="24"/>
      <c r="S9599" s="24"/>
      <c r="T9599" s="24"/>
      <c r="U9599" s="24"/>
      <c r="V9599" s="24"/>
      <c r="W9599" s="24"/>
      <c r="X9599" s="24"/>
      <c r="Y9599" s="24"/>
      <c r="Z9599" s="24"/>
      <c r="AA9599" s="24"/>
    </row>
    <row r="9600">
      <c r="A9600" s="24"/>
      <c r="B9600" s="25"/>
      <c r="C9600" s="24"/>
      <c r="D9600" s="26"/>
      <c r="E9600" s="24"/>
      <c r="F9600" s="24"/>
      <c r="G9600" s="24"/>
      <c r="H9600" s="24"/>
      <c r="I9600" s="24"/>
      <c r="J9600" s="24"/>
      <c r="K9600" s="24"/>
      <c r="L9600" s="24"/>
      <c r="M9600" s="24"/>
      <c r="N9600" s="24"/>
      <c r="O9600" s="24"/>
      <c r="P9600" s="24"/>
      <c r="Q9600" s="24"/>
      <c r="R9600" s="24"/>
      <c r="S9600" s="24"/>
      <c r="T9600" s="24"/>
      <c r="U9600" s="24"/>
      <c r="V9600" s="24"/>
      <c r="W9600" s="24"/>
      <c r="X9600" s="24"/>
      <c r="Y9600" s="24"/>
      <c r="Z9600" s="24"/>
      <c r="AA9600" s="24"/>
    </row>
    <row r="9601">
      <c r="A9601" s="24"/>
      <c r="B9601" s="25"/>
      <c r="C9601" s="24"/>
      <c r="D9601" s="26"/>
      <c r="E9601" s="24"/>
      <c r="F9601" s="24"/>
      <c r="G9601" s="24"/>
      <c r="H9601" s="24"/>
      <c r="I9601" s="24"/>
      <c r="J9601" s="24"/>
      <c r="K9601" s="24"/>
      <c r="L9601" s="24"/>
      <c r="M9601" s="24"/>
      <c r="N9601" s="24"/>
      <c r="O9601" s="24"/>
      <c r="P9601" s="24"/>
      <c r="Q9601" s="24"/>
      <c r="R9601" s="24"/>
      <c r="S9601" s="24"/>
      <c r="T9601" s="24"/>
      <c r="U9601" s="24"/>
      <c r="V9601" s="24"/>
      <c r="W9601" s="24"/>
      <c r="X9601" s="24"/>
      <c r="Y9601" s="24"/>
      <c r="Z9601" s="24"/>
      <c r="AA9601" s="24"/>
    </row>
    <row r="9602">
      <c r="A9602" s="24"/>
      <c r="B9602" s="25"/>
      <c r="C9602" s="24"/>
      <c r="D9602" s="26"/>
      <c r="E9602" s="24"/>
      <c r="F9602" s="24"/>
      <c r="G9602" s="24"/>
      <c r="H9602" s="24"/>
      <c r="I9602" s="24"/>
      <c r="J9602" s="24"/>
      <c r="K9602" s="24"/>
      <c r="L9602" s="24"/>
      <c r="M9602" s="24"/>
      <c r="N9602" s="24"/>
      <c r="O9602" s="24"/>
      <c r="P9602" s="24"/>
      <c r="Q9602" s="24"/>
      <c r="R9602" s="24"/>
      <c r="S9602" s="24"/>
      <c r="T9602" s="24"/>
      <c r="U9602" s="24"/>
      <c r="V9602" s="24"/>
      <c r="W9602" s="24"/>
      <c r="X9602" s="24"/>
      <c r="Y9602" s="24"/>
      <c r="Z9602" s="24"/>
      <c r="AA9602" s="24"/>
    </row>
    <row r="9603">
      <c r="A9603" s="24"/>
      <c r="B9603" s="25"/>
      <c r="C9603" s="24"/>
      <c r="D9603" s="26"/>
      <c r="E9603" s="24"/>
      <c r="F9603" s="24"/>
      <c r="G9603" s="24"/>
      <c r="H9603" s="24"/>
      <c r="I9603" s="24"/>
      <c r="J9603" s="24"/>
      <c r="K9603" s="24"/>
      <c r="L9603" s="24"/>
      <c r="M9603" s="24"/>
      <c r="N9603" s="24"/>
      <c r="O9603" s="24"/>
      <c r="P9603" s="24"/>
      <c r="Q9603" s="24"/>
      <c r="R9603" s="24"/>
      <c r="S9603" s="24"/>
      <c r="T9603" s="24"/>
      <c r="U9603" s="24"/>
      <c r="V9603" s="24"/>
      <c r="W9603" s="24"/>
      <c r="X9603" s="24"/>
      <c r="Y9603" s="24"/>
      <c r="Z9603" s="24"/>
      <c r="AA9603" s="24"/>
    </row>
    <row r="9604">
      <c r="A9604" s="24"/>
      <c r="B9604" s="25"/>
      <c r="C9604" s="24"/>
      <c r="D9604" s="26"/>
      <c r="E9604" s="24"/>
      <c r="F9604" s="24"/>
      <c r="G9604" s="24"/>
      <c r="H9604" s="24"/>
      <c r="I9604" s="24"/>
      <c r="J9604" s="24"/>
      <c r="K9604" s="24"/>
      <c r="L9604" s="24"/>
      <c r="M9604" s="24"/>
      <c r="N9604" s="24"/>
      <c r="O9604" s="24"/>
      <c r="P9604" s="24"/>
      <c r="Q9604" s="24"/>
      <c r="R9604" s="24"/>
      <c r="S9604" s="24"/>
      <c r="T9604" s="24"/>
      <c r="U9604" s="24"/>
      <c r="V9604" s="24"/>
      <c r="W9604" s="24"/>
      <c r="X9604" s="24"/>
      <c r="Y9604" s="24"/>
      <c r="Z9604" s="24"/>
      <c r="AA9604" s="24"/>
    </row>
    <row r="9605">
      <c r="A9605" s="24"/>
      <c r="B9605" s="25"/>
      <c r="C9605" s="24"/>
      <c r="D9605" s="26"/>
      <c r="E9605" s="24"/>
      <c r="F9605" s="24"/>
      <c r="G9605" s="24"/>
      <c r="H9605" s="24"/>
      <c r="I9605" s="24"/>
      <c r="J9605" s="24"/>
      <c r="K9605" s="24"/>
      <c r="L9605" s="24"/>
      <c r="M9605" s="24"/>
      <c r="N9605" s="24"/>
      <c r="O9605" s="24"/>
      <c r="P9605" s="24"/>
      <c r="Q9605" s="24"/>
      <c r="R9605" s="24"/>
      <c r="S9605" s="24"/>
      <c r="T9605" s="24"/>
      <c r="U9605" s="24"/>
      <c r="V9605" s="24"/>
      <c r="W9605" s="24"/>
      <c r="X9605" s="24"/>
      <c r="Y9605" s="24"/>
      <c r="Z9605" s="24"/>
      <c r="AA9605" s="24"/>
    </row>
    <row r="9606">
      <c r="A9606" s="24"/>
      <c r="B9606" s="25"/>
      <c r="C9606" s="24"/>
      <c r="D9606" s="26"/>
      <c r="E9606" s="24"/>
      <c r="F9606" s="24"/>
      <c r="G9606" s="24"/>
      <c r="H9606" s="24"/>
      <c r="I9606" s="24"/>
      <c r="J9606" s="24"/>
      <c r="K9606" s="24"/>
      <c r="L9606" s="24"/>
      <c r="M9606" s="24"/>
      <c r="N9606" s="24"/>
      <c r="O9606" s="24"/>
      <c r="P9606" s="24"/>
      <c r="Q9606" s="24"/>
      <c r="R9606" s="24"/>
      <c r="S9606" s="24"/>
      <c r="T9606" s="24"/>
      <c r="U9606" s="24"/>
      <c r="V9606" s="24"/>
      <c r="W9606" s="24"/>
      <c r="X9606" s="24"/>
      <c r="Y9606" s="24"/>
      <c r="Z9606" s="24"/>
      <c r="AA9606" s="24"/>
    </row>
    <row r="9607">
      <c r="A9607" s="24"/>
      <c r="B9607" s="25"/>
      <c r="C9607" s="24"/>
      <c r="D9607" s="26"/>
      <c r="E9607" s="24"/>
      <c r="F9607" s="24"/>
      <c r="G9607" s="24"/>
      <c r="H9607" s="24"/>
      <c r="I9607" s="24"/>
      <c r="J9607" s="24"/>
      <c r="K9607" s="24"/>
      <c r="L9607" s="24"/>
      <c r="M9607" s="24"/>
      <c r="N9607" s="24"/>
      <c r="O9607" s="24"/>
      <c r="P9607" s="24"/>
      <c r="Q9607" s="24"/>
      <c r="R9607" s="24"/>
      <c r="S9607" s="24"/>
      <c r="T9607" s="24"/>
      <c r="U9607" s="24"/>
      <c r="V9607" s="24"/>
      <c r="W9607" s="24"/>
      <c r="X9607" s="24"/>
      <c r="Y9607" s="24"/>
      <c r="Z9607" s="24"/>
      <c r="AA9607" s="24"/>
    </row>
    <row r="9608">
      <c r="A9608" s="24"/>
      <c r="B9608" s="25"/>
      <c r="C9608" s="24"/>
      <c r="D9608" s="26"/>
      <c r="E9608" s="24"/>
      <c r="F9608" s="24"/>
      <c r="G9608" s="24"/>
      <c r="H9608" s="24"/>
      <c r="I9608" s="24"/>
      <c r="J9608" s="24"/>
      <c r="K9608" s="24"/>
      <c r="L9608" s="24"/>
      <c r="M9608" s="24"/>
      <c r="N9608" s="24"/>
      <c r="O9608" s="24"/>
      <c r="P9608" s="24"/>
      <c r="Q9608" s="24"/>
      <c r="R9608" s="24"/>
      <c r="S9608" s="24"/>
      <c r="T9608" s="24"/>
      <c r="U9608" s="24"/>
      <c r="V9608" s="24"/>
      <c r="W9608" s="24"/>
      <c r="X9608" s="24"/>
      <c r="Y9608" s="24"/>
      <c r="Z9608" s="24"/>
      <c r="AA9608" s="24"/>
    </row>
    <row r="9609">
      <c r="A9609" s="24"/>
      <c r="B9609" s="25"/>
      <c r="C9609" s="24"/>
      <c r="D9609" s="26"/>
      <c r="E9609" s="24"/>
      <c r="F9609" s="24"/>
      <c r="G9609" s="24"/>
      <c r="H9609" s="24"/>
      <c r="I9609" s="24"/>
      <c r="J9609" s="24"/>
      <c r="K9609" s="24"/>
      <c r="L9609" s="24"/>
      <c r="M9609" s="24"/>
      <c r="N9609" s="24"/>
      <c r="O9609" s="24"/>
      <c r="P9609" s="24"/>
      <c r="Q9609" s="24"/>
      <c r="R9609" s="24"/>
      <c r="S9609" s="24"/>
      <c r="T9609" s="24"/>
      <c r="U9609" s="24"/>
      <c r="V9609" s="24"/>
      <c r="W9609" s="24"/>
      <c r="X9609" s="24"/>
      <c r="Y9609" s="24"/>
      <c r="Z9609" s="24"/>
      <c r="AA9609" s="24"/>
    </row>
    <row r="9610">
      <c r="A9610" s="24"/>
      <c r="B9610" s="25"/>
      <c r="C9610" s="24"/>
      <c r="D9610" s="26"/>
      <c r="E9610" s="24"/>
      <c r="F9610" s="24"/>
      <c r="G9610" s="24"/>
      <c r="H9610" s="24"/>
      <c r="I9610" s="24"/>
      <c r="J9610" s="24"/>
      <c r="K9610" s="24"/>
      <c r="L9610" s="24"/>
      <c r="M9610" s="24"/>
      <c r="N9610" s="24"/>
      <c r="O9610" s="24"/>
      <c r="P9610" s="24"/>
      <c r="Q9610" s="24"/>
      <c r="R9610" s="24"/>
      <c r="S9610" s="24"/>
      <c r="T9610" s="24"/>
      <c r="U9610" s="24"/>
      <c r="V9610" s="24"/>
      <c r="W9610" s="24"/>
      <c r="X9610" s="24"/>
      <c r="Y9610" s="24"/>
      <c r="Z9610" s="24"/>
      <c r="AA9610" s="24"/>
    </row>
    <row r="9611">
      <c r="A9611" s="24"/>
      <c r="B9611" s="25"/>
      <c r="C9611" s="24"/>
      <c r="D9611" s="26"/>
      <c r="E9611" s="24"/>
      <c r="F9611" s="24"/>
      <c r="G9611" s="24"/>
      <c r="H9611" s="24"/>
      <c r="I9611" s="24"/>
      <c r="J9611" s="24"/>
      <c r="K9611" s="24"/>
      <c r="L9611" s="24"/>
      <c r="M9611" s="24"/>
      <c r="N9611" s="24"/>
      <c r="O9611" s="24"/>
      <c r="P9611" s="24"/>
      <c r="Q9611" s="24"/>
      <c r="R9611" s="24"/>
      <c r="S9611" s="24"/>
      <c r="T9611" s="24"/>
      <c r="U9611" s="24"/>
      <c r="V9611" s="24"/>
      <c r="W9611" s="24"/>
      <c r="X9611" s="24"/>
      <c r="Y9611" s="24"/>
      <c r="Z9611" s="24"/>
      <c r="AA9611" s="24"/>
    </row>
    <row r="9612">
      <c r="A9612" s="24"/>
      <c r="B9612" s="25"/>
      <c r="C9612" s="24"/>
      <c r="D9612" s="26"/>
      <c r="E9612" s="24"/>
      <c r="F9612" s="24"/>
      <c r="G9612" s="24"/>
      <c r="H9612" s="24"/>
      <c r="I9612" s="24"/>
      <c r="J9612" s="24"/>
      <c r="K9612" s="24"/>
      <c r="L9612" s="24"/>
      <c r="M9612" s="24"/>
      <c r="N9612" s="24"/>
      <c r="O9612" s="24"/>
      <c r="P9612" s="24"/>
      <c r="Q9612" s="24"/>
      <c r="R9612" s="24"/>
      <c r="S9612" s="24"/>
      <c r="T9612" s="24"/>
      <c r="U9612" s="24"/>
      <c r="V9612" s="24"/>
      <c r="W9612" s="24"/>
      <c r="X9612" s="24"/>
      <c r="Y9612" s="24"/>
      <c r="Z9612" s="24"/>
      <c r="AA9612" s="24"/>
    </row>
    <row r="9613">
      <c r="A9613" s="24"/>
      <c r="B9613" s="25"/>
      <c r="C9613" s="24"/>
      <c r="D9613" s="26"/>
      <c r="E9613" s="24"/>
      <c r="F9613" s="24"/>
      <c r="G9613" s="24"/>
      <c r="H9613" s="24"/>
      <c r="I9613" s="24"/>
      <c r="J9613" s="24"/>
      <c r="K9613" s="24"/>
      <c r="L9613" s="24"/>
      <c r="M9613" s="24"/>
      <c r="N9613" s="24"/>
      <c r="O9613" s="24"/>
      <c r="P9613" s="24"/>
      <c r="Q9613" s="24"/>
      <c r="R9613" s="24"/>
      <c r="S9613" s="24"/>
      <c r="T9613" s="24"/>
      <c r="U9613" s="24"/>
      <c r="V9613" s="24"/>
      <c r="W9613" s="24"/>
      <c r="X9613" s="24"/>
      <c r="Y9613" s="24"/>
      <c r="Z9613" s="24"/>
      <c r="AA9613" s="24"/>
    </row>
    <row r="9614">
      <c r="A9614" s="24"/>
      <c r="B9614" s="25"/>
      <c r="C9614" s="24"/>
      <c r="D9614" s="26"/>
      <c r="E9614" s="24"/>
      <c r="F9614" s="24"/>
      <c r="G9614" s="24"/>
      <c r="H9614" s="24"/>
      <c r="I9614" s="24"/>
      <c r="J9614" s="24"/>
      <c r="K9614" s="24"/>
      <c r="L9614" s="24"/>
      <c r="M9614" s="24"/>
      <c r="N9614" s="24"/>
      <c r="O9614" s="24"/>
      <c r="P9614" s="24"/>
      <c r="Q9614" s="24"/>
      <c r="R9614" s="24"/>
      <c r="S9614" s="24"/>
      <c r="T9614" s="24"/>
      <c r="U9614" s="24"/>
      <c r="V9614" s="24"/>
      <c r="W9614" s="24"/>
      <c r="X9614" s="24"/>
      <c r="Y9614" s="24"/>
      <c r="Z9614" s="24"/>
      <c r="AA9614" s="24"/>
    </row>
    <row r="9615">
      <c r="A9615" s="24"/>
      <c r="B9615" s="25"/>
      <c r="C9615" s="24"/>
      <c r="D9615" s="26"/>
      <c r="E9615" s="24"/>
      <c r="F9615" s="24"/>
      <c r="G9615" s="24"/>
      <c r="H9615" s="24"/>
      <c r="I9615" s="24"/>
      <c r="J9615" s="24"/>
      <c r="K9615" s="24"/>
      <c r="L9615" s="24"/>
      <c r="M9615" s="24"/>
      <c r="N9615" s="24"/>
      <c r="O9615" s="24"/>
      <c r="P9615" s="24"/>
      <c r="Q9615" s="24"/>
      <c r="R9615" s="24"/>
      <c r="S9615" s="24"/>
      <c r="T9615" s="24"/>
      <c r="U9615" s="24"/>
      <c r="V9615" s="24"/>
      <c r="W9615" s="24"/>
      <c r="X9615" s="24"/>
      <c r="Y9615" s="24"/>
      <c r="Z9615" s="24"/>
      <c r="AA9615" s="24"/>
    </row>
    <row r="9616">
      <c r="A9616" s="24"/>
      <c r="B9616" s="25"/>
      <c r="C9616" s="24"/>
      <c r="D9616" s="26"/>
      <c r="E9616" s="24"/>
      <c r="F9616" s="24"/>
      <c r="G9616" s="24"/>
      <c r="H9616" s="24"/>
      <c r="I9616" s="24"/>
      <c r="J9616" s="24"/>
      <c r="K9616" s="24"/>
      <c r="L9616" s="24"/>
      <c r="M9616" s="24"/>
      <c r="N9616" s="24"/>
      <c r="O9616" s="24"/>
      <c r="P9616" s="24"/>
      <c r="Q9616" s="24"/>
      <c r="R9616" s="24"/>
      <c r="S9616" s="24"/>
      <c r="T9616" s="24"/>
      <c r="U9616" s="24"/>
      <c r="V9616" s="24"/>
      <c r="W9616" s="24"/>
      <c r="X9616" s="24"/>
      <c r="Y9616" s="24"/>
      <c r="Z9616" s="24"/>
      <c r="AA9616" s="24"/>
    </row>
    <row r="9617">
      <c r="A9617" s="24"/>
      <c r="B9617" s="25"/>
      <c r="C9617" s="24"/>
      <c r="D9617" s="26"/>
      <c r="E9617" s="24"/>
      <c r="F9617" s="24"/>
      <c r="G9617" s="24"/>
      <c r="H9617" s="24"/>
      <c r="I9617" s="24"/>
      <c r="J9617" s="24"/>
      <c r="K9617" s="24"/>
      <c r="L9617" s="24"/>
      <c r="M9617" s="24"/>
      <c r="N9617" s="24"/>
      <c r="O9617" s="24"/>
      <c r="P9617" s="24"/>
      <c r="Q9617" s="24"/>
      <c r="R9617" s="24"/>
      <c r="S9617" s="24"/>
      <c r="T9617" s="24"/>
      <c r="U9617" s="24"/>
      <c r="V9617" s="24"/>
      <c r="W9617" s="24"/>
      <c r="X9617" s="24"/>
      <c r="Y9617" s="24"/>
      <c r="Z9617" s="24"/>
      <c r="AA9617" s="24"/>
    </row>
    <row r="9618">
      <c r="A9618" s="24"/>
      <c r="B9618" s="25"/>
      <c r="C9618" s="24"/>
      <c r="D9618" s="26"/>
      <c r="E9618" s="24"/>
      <c r="F9618" s="24"/>
      <c r="G9618" s="24"/>
      <c r="H9618" s="24"/>
      <c r="I9618" s="24"/>
      <c r="J9618" s="24"/>
      <c r="K9618" s="24"/>
      <c r="L9618" s="24"/>
      <c r="M9618" s="24"/>
      <c r="N9618" s="24"/>
      <c r="O9618" s="24"/>
      <c r="P9618" s="24"/>
      <c r="Q9618" s="24"/>
      <c r="R9618" s="24"/>
      <c r="S9618" s="24"/>
      <c r="T9618" s="24"/>
      <c r="U9618" s="24"/>
      <c r="V9618" s="24"/>
      <c r="W9618" s="24"/>
      <c r="X9618" s="24"/>
      <c r="Y9618" s="24"/>
      <c r="Z9618" s="24"/>
      <c r="AA9618" s="24"/>
    </row>
    <row r="9619">
      <c r="A9619" s="24"/>
      <c r="B9619" s="25"/>
      <c r="C9619" s="24"/>
      <c r="D9619" s="26"/>
      <c r="E9619" s="24"/>
      <c r="F9619" s="24"/>
      <c r="G9619" s="24"/>
      <c r="H9619" s="24"/>
      <c r="I9619" s="24"/>
      <c r="J9619" s="24"/>
      <c r="K9619" s="24"/>
      <c r="L9619" s="24"/>
      <c r="M9619" s="24"/>
      <c r="N9619" s="24"/>
      <c r="O9619" s="24"/>
      <c r="P9619" s="24"/>
      <c r="Q9619" s="24"/>
      <c r="R9619" s="24"/>
      <c r="S9619" s="24"/>
      <c r="T9619" s="24"/>
      <c r="U9619" s="24"/>
      <c r="V9619" s="24"/>
      <c r="W9619" s="24"/>
      <c r="X9619" s="24"/>
      <c r="Y9619" s="24"/>
      <c r="Z9619" s="24"/>
      <c r="AA9619" s="24"/>
    </row>
    <row r="9620">
      <c r="A9620" s="24"/>
      <c r="B9620" s="25"/>
      <c r="C9620" s="24"/>
      <c r="D9620" s="26"/>
      <c r="E9620" s="24"/>
      <c r="F9620" s="24"/>
      <c r="G9620" s="24"/>
      <c r="H9620" s="24"/>
      <c r="I9620" s="24"/>
      <c r="J9620" s="24"/>
      <c r="K9620" s="24"/>
      <c r="L9620" s="24"/>
      <c r="M9620" s="24"/>
      <c r="N9620" s="24"/>
      <c r="O9620" s="24"/>
      <c r="P9620" s="24"/>
      <c r="Q9620" s="24"/>
      <c r="R9620" s="24"/>
      <c r="S9620" s="24"/>
      <c r="T9620" s="24"/>
      <c r="U9620" s="24"/>
      <c r="V9620" s="24"/>
      <c r="W9620" s="24"/>
      <c r="X9620" s="24"/>
      <c r="Y9620" s="24"/>
      <c r="Z9620" s="24"/>
      <c r="AA9620" s="24"/>
    </row>
    <row r="9621">
      <c r="A9621" s="24"/>
      <c r="B9621" s="25"/>
      <c r="C9621" s="24"/>
      <c r="D9621" s="26"/>
      <c r="E9621" s="24"/>
      <c r="F9621" s="24"/>
      <c r="G9621" s="24"/>
      <c r="H9621" s="24"/>
      <c r="I9621" s="24"/>
      <c r="J9621" s="24"/>
      <c r="K9621" s="24"/>
      <c r="L9621" s="24"/>
      <c r="M9621" s="24"/>
      <c r="N9621" s="24"/>
      <c r="O9621" s="24"/>
      <c r="P9621" s="24"/>
      <c r="Q9621" s="24"/>
      <c r="R9621" s="24"/>
      <c r="S9621" s="24"/>
      <c r="T9621" s="24"/>
      <c r="U9621" s="24"/>
      <c r="V9621" s="24"/>
      <c r="W9621" s="24"/>
      <c r="X9621" s="24"/>
      <c r="Y9621" s="24"/>
      <c r="Z9621" s="24"/>
      <c r="AA9621" s="24"/>
    </row>
    <row r="9622">
      <c r="A9622" s="24"/>
      <c r="B9622" s="25"/>
      <c r="C9622" s="24"/>
      <c r="D9622" s="26"/>
      <c r="E9622" s="24"/>
      <c r="F9622" s="24"/>
      <c r="G9622" s="24"/>
      <c r="H9622" s="24"/>
      <c r="I9622" s="24"/>
      <c r="J9622" s="24"/>
      <c r="K9622" s="24"/>
      <c r="L9622" s="24"/>
      <c r="M9622" s="24"/>
      <c r="N9622" s="24"/>
      <c r="O9622" s="24"/>
      <c r="P9622" s="24"/>
      <c r="Q9622" s="24"/>
      <c r="R9622" s="24"/>
      <c r="S9622" s="24"/>
      <c r="T9622" s="24"/>
      <c r="U9622" s="24"/>
      <c r="V9622" s="24"/>
      <c r="W9622" s="24"/>
      <c r="X9622" s="24"/>
      <c r="Y9622" s="24"/>
      <c r="Z9622" s="24"/>
      <c r="AA9622" s="24"/>
    </row>
    <row r="9623">
      <c r="A9623" s="24"/>
      <c r="B9623" s="25"/>
      <c r="C9623" s="24"/>
      <c r="D9623" s="26"/>
      <c r="E9623" s="24"/>
      <c r="F9623" s="24"/>
      <c r="G9623" s="24"/>
      <c r="H9623" s="24"/>
      <c r="I9623" s="24"/>
      <c r="J9623" s="24"/>
      <c r="K9623" s="24"/>
      <c r="L9623" s="24"/>
      <c r="M9623" s="24"/>
      <c r="N9623" s="24"/>
      <c r="O9623" s="24"/>
      <c r="P9623" s="24"/>
      <c r="Q9623" s="24"/>
      <c r="R9623" s="24"/>
      <c r="S9623" s="24"/>
      <c r="T9623" s="24"/>
      <c r="U9623" s="24"/>
      <c r="V9623" s="24"/>
      <c r="W9623" s="24"/>
      <c r="X9623" s="24"/>
      <c r="Y9623" s="24"/>
      <c r="Z9623" s="24"/>
      <c r="AA9623" s="24"/>
    </row>
    <row r="9624">
      <c r="A9624" s="24"/>
      <c r="B9624" s="25"/>
      <c r="C9624" s="24"/>
      <c r="D9624" s="26"/>
      <c r="E9624" s="24"/>
      <c r="F9624" s="24"/>
      <c r="G9624" s="24"/>
      <c r="H9624" s="24"/>
      <c r="I9624" s="24"/>
      <c r="J9624" s="24"/>
      <c r="K9624" s="24"/>
      <c r="L9624" s="24"/>
      <c r="M9624" s="24"/>
      <c r="N9624" s="24"/>
      <c r="O9624" s="24"/>
      <c r="P9624" s="24"/>
      <c r="Q9624" s="24"/>
      <c r="R9624" s="24"/>
      <c r="S9624" s="24"/>
      <c r="T9624" s="24"/>
      <c r="U9624" s="24"/>
      <c r="V9624" s="24"/>
      <c r="W9624" s="24"/>
      <c r="X9624" s="24"/>
      <c r="Y9624" s="24"/>
      <c r="Z9624" s="24"/>
      <c r="AA9624" s="24"/>
    </row>
    <row r="9625">
      <c r="A9625" s="24"/>
      <c r="B9625" s="25"/>
      <c r="C9625" s="24"/>
      <c r="D9625" s="26"/>
      <c r="E9625" s="24"/>
      <c r="F9625" s="24"/>
      <c r="G9625" s="24"/>
      <c r="H9625" s="24"/>
      <c r="I9625" s="24"/>
      <c r="J9625" s="24"/>
      <c r="K9625" s="24"/>
      <c r="L9625" s="24"/>
      <c r="M9625" s="24"/>
      <c r="N9625" s="24"/>
      <c r="O9625" s="24"/>
      <c r="P9625" s="24"/>
      <c r="Q9625" s="24"/>
      <c r="R9625" s="24"/>
      <c r="S9625" s="24"/>
      <c r="T9625" s="24"/>
      <c r="U9625" s="24"/>
      <c r="V9625" s="24"/>
      <c r="W9625" s="24"/>
      <c r="X9625" s="24"/>
      <c r="Y9625" s="24"/>
      <c r="Z9625" s="24"/>
      <c r="AA9625" s="24"/>
    </row>
    <row r="9626">
      <c r="A9626" s="24"/>
      <c r="B9626" s="25"/>
      <c r="C9626" s="24"/>
      <c r="D9626" s="26"/>
      <c r="E9626" s="24"/>
      <c r="F9626" s="24"/>
      <c r="G9626" s="24"/>
      <c r="H9626" s="24"/>
      <c r="I9626" s="24"/>
      <c r="J9626" s="24"/>
      <c r="K9626" s="24"/>
      <c r="L9626" s="24"/>
      <c r="M9626" s="24"/>
      <c r="N9626" s="24"/>
      <c r="O9626" s="24"/>
      <c r="P9626" s="24"/>
      <c r="Q9626" s="24"/>
      <c r="R9626" s="24"/>
      <c r="S9626" s="24"/>
      <c r="T9626" s="24"/>
      <c r="U9626" s="24"/>
      <c r="V9626" s="24"/>
      <c r="W9626" s="24"/>
      <c r="X9626" s="24"/>
      <c r="Y9626" s="24"/>
      <c r="Z9626" s="24"/>
      <c r="AA9626" s="24"/>
    </row>
    <row r="9627">
      <c r="A9627" s="24"/>
      <c r="B9627" s="25"/>
      <c r="C9627" s="24"/>
      <c r="D9627" s="26"/>
      <c r="E9627" s="24"/>
      <c r="F9627" s="24"/>
      <c r="G9627" s="24"/>
      <c r="H9627" s="24"/>
      <c r="I9627" s="24"/>
      <c r="J9627" s="24"/>
      <c r="K9627" s="24"/>
      <c r="L9627" s="24"/>
      <c r="M9627" s="24"/>
      <c r="N9627" s="24"/>
      <c r="O9627" s="24"/>
      <c r="P9627" s="24"/>
      <c r="Q9627" s="24"/>
      <c r="R9627" s="24"/>
      <c r="S9627" s="24"/>
      <c r="T9627" s="24"/>
      <c r="U9627" s="24"/>
      <c r="V9627" s="24"/>
      <c r="W9627" s="24"/>
      <c r="X9627" s="24"/>
      <c r="Y9627" s="24"/>
      <c r="Z9627" s="24"/>
      <c r="AA9627" s="24"/>
    </row>
    <row r="9628">
      <c r="A9628" s="24"/>
      <c r="B9628" s="25"/>
      <c r="C9628" s="24"/>
      <c r="D9628" s="26"/>
      <c r="E9628" s="24"/>
      <c r="F9628" s="24"/>
      <c r="G9628" s="24"/>
      <c r="H9628" s="24"/>
      <c r="I9628" s="24"/>
      <c r="J9628" s="24"/>
      <c r="K9628" s="24"/>
      <c r="L9628" s="24"/>
      <c r="M9628" s="24"/>
      <c r="N9628" s="24"/>
      <c r="O9628" s="24"/>
      <c r="P9628" s="24"/>
      <c r="Q9628" s="24"/>
      <c r="R9628" s="24"/>
      <c r="S9628" s="24"/>
      <c r="T9628" s="24"/>
      <c r="U9628" s="24"/>
      <c r="V9628" s="24"/>
      <c r="W9628" s="24"/>
      <c r="X9628" s="24"/>
      <c r="Y9628" s="24"/>
      <c r="Z9628" s="24"/>
      <c r="AA9628" s="24"/>
    </row>
    <row r="9629">
      <c r="A9629" s="24"/>
      <c r="B9629" s="25"/>
      <c r="C9629" s="24"/>
      <c r="D9629" s="26"/>
      <c r="E9629" s="24"/>
      <c r="F9629" s="24"/>
      <c r="G9629" s="24"/>
      <c r="H9629" s="24"/>
      <c r="I9629" s="24"/>
      <c r="J9629" s="24"/>
      <c r="K9629" s="24"/>
      <c r="L9629" s="24"/>
      <c r="M9629" s="24"/>
      <c r="N9629" s="24"/>
      <c r="O9629" s="24"/>
      <c r="P9629" s="24"/>
      <c r="Q9629" s="24"/>
      <c r="R9629" s="24"/>
      <c r="S9629" s="24"/>
      <c r="T9629" s="24"/>
      <c r="U9629" s="24"/>
      <c r="V9629" s="24"/>
      <c r="W9629" s="24"/>
      <c r="X9629" s="24"/>
      <c r="Y9629" s="24"/>
      <c r="Z9629" s="24"/>
      <c r="AA9629" s="24"/>
    </row>
    <row r="9630">
      <c r="A9630" s="24"/>
      <c r="B9630" s="25"/>
      <c r="C9630" s="24"/>
      <c r="D9630" s="26"/>
      <c r="E9630" s="24"/>
      <c r="F9630" s="24"/>
      <c r="G9630" s="24"/>
      <c r="H9630" s="24"/>
      <c r="I9630" s="24"/>
      <c r="J9630" s="24"/>
      <c r="K9630" s="24"/>
      <c r="L9630" s="24"/>
      <c r="M9630" s="24"/>
      <c r="N9630" s="24"/>
      <c r="O9630" s="24"/>
      <c r="P9630" s="24"/>
      <c r="Q9630" s="24"/>
      <c r="R9630" s="24"/>
      <c r="S9630" s="24"/>
      <c r="T9630" s="24"/>
      <c r="U9630" s="24"/>
      <c r="V9630" s="24"/>
      <c r="W9630" s="24"/>
      <c r="X9630" s="24"/>
      <c r="Y9630" s="24"/>
      <c r="Z9630" s="24"/>
      <c r="AA9630" s="24"/>
    </row>
    <row r="9631">
      <c r="A9631" s="24"/>
      <c r="B9631" s="25"/>
      <c r="C9631" s="24"/>
      <c r="D9631" s="26"/>
      <c r="E9631" s="24"/>
      <c r="F9631" s="24"/>
      <c r="G9631" s="24"/>
      <c r="H9631" s="24"/>
      <c r="I9631" s="24"/>
      <c r="J9631" s="24"/>
      <c r="K9631" s="24"/>
      <c r="L9631" s="24"/>
      <c r="M9631" s="24"/>
      <c r="N9631" s="24"/>
      <c r="O9631" s="24"/>
      <c r="P9631" s="24"/>
      <c r="Q9631" s="24"/>
      <c r="R9631" s="24"/>
      <c r="S9631" s="24"/>
      <c r="T9631" s="24"/>
      <c r="U9631" s="24"/>
      <c r="V9631" s="24"/>
      <c r="W9631" s="24"/>
      <c r="X9631" s="24"/>
      <c r="Y9631" s="24"/>
      <c r="Z9631" s="24"/>
      <c r="AA9631" s="24"/>
    </row>
    <row r="9632">
      <c r="A9632" s="24"/>
      <c r="B9632" s="25"/>
      <c r="C9632" s="24"/>
      <c r="D9632" s="26"/>
      <c r="E9632" s="24"/>
      <c r="F9632" s="24"/>
      <c r="G9632" s="24"/>
      <c r="H9632" s="24"/>
      <c r="I9632" s="24"/>
      <c r="J9632" s="24"/>
      <c r="K9632" s="24"/>
      <c r="L9632" s="24"/>
      <c r="M9632" s="24"/>
      <c r="N9632" s="24"/>
      <c r="O9632" s="24"/>
      <c r="P9632" s="24"/>
      <c r="Q9632" s="24"/>
      <c r="R9632" s="24"/>
      <c r="S9632" s="24"/>
      <c r="T9632" s="24"/>
      <c r="U9632" s="24"/>
      <c r="V9632" s="24"/>
      <c r="W9632" s="24"/>
      <c r="X9632" s="24"/>
      <c r="Y9632" s="24"/>
      <c r="Z9632" s="24"/>
      <c r="AA9632" s="24"/>
    </row>
    <row r="9633">
      <c r="A9633" s="24"/>
      <c r="B9633" s="25"/>
      <c r="C9633" s="24"/>
      <c r="D9633" s="26"/>
      <c r="E9633" s="24"/>
      <c r="F9633" s="24"/>
      <c r="G9633" s="24"/>
      <c r="H9633" s="24"/>
      <c r="I9633" s="24"/>
      <c r="J9633" s="24"/>
      <c r="K9633" s="24"/>
      <c r="L9633" s="24"/>
      <c r="M9633" s="24"/>
      <c r="N9633" s="24"/>
      <c r="O9633" s="24"/>
      <c r="P9633" s="24"/>
      <c r="Q9633" s="24"/>
      <c r="R9633" s="24"/>
      <c r="S9633" s="24"/>
      <c r="T9633" s="24"/>
      <c r="U9633" s="24"/>
      <c r="V9633" s="24"/>
      <c r="W9633" s="24"/>
      <c r="X9633" s="24"/>
      <c r="Y9633" s="24"/>
      <c r="Z9633" s="24"/>
      <c r="AA9633" s="24"/>
    </row>
    <row r="9634">
      <c r="A9634" s="24"/>
      <c r="B9634" s="25"/>
      <c r="C9634" s="24"/>
      <c r="D9634" s="26"/>
      <c r="E9634" s="24"/>
      <c r="F9634" s="24"/>
      <c r="G9634" s="24"/>
      <c r="H9634" s="24"/>
      <c r="I9634" s="24"/>
      <c r="J9634" s="24"/>
      <c r="K9634" s="24"/>
      <c r="L9634" s="24"/>
      <c r="M9634" s="24"/>
      <c r="N9634" s="24"/>
      <c r="O9634" s="24"/>
      <c r="P9634" s="24"/>
      <c r="Q9634" s="24"/>
      <c r="R9634" s="24"/>
      <c r="S9634" s="24"/>
      <c r="T9634" s="24"/>
      <c r="U9634" s="24"/>
      <c r="V9634" s="24"/>
      <c r="W9634" s="24"/>
      <c r="X9634" s="24"/>
      <c r="Y9634" s="24"/>
      <c r="Z9634" s="24"/>
      <c r="AA9634" s="24"/>
    </row>
    <row r="9635">
      <c r="A9635" s="24"/>
      <c r="B9635" s="25"/>
      <c r="C9635" s="24"/>
      <c r="D9635" s="26"/>
      <c r="E9635" s="24"/>
      <c r="F9635" s="24"/>
      <c r="G9635" s="24"/>
      <c r="H9635" s="24"/>
      <c r="I9635" s="24"/>
      <c r="J9635" s="24"/>
      <c r="K9635" s="24"/>
      <c r="L9635" s="24"/>
      <c r="M9635" s="24"/>
      <c r="N9635" s="24"/>
      <c r="O9635" s="24"/>
      <c r="P9635" s="24"/>
      <c r="Q9635" s="24"/>
      <c r="R9635" s="24"/>
      <c r="S9635" s="24"/>
      <c r="T9635" s="24"/>
      <c r="U9635" s="24"/>
      <c r="V9635" s="24"/>
      <c r="W9635" s="24"/>
      <c r="X9635" s="24"/>
      <c r="Y9635" s="24"/>
      <c r="Z9635" s="24"/>
      <c r="AA9635" s="24"/>
    </row>
    <row r="9636">
      <c r="A9636" s="24"/>
      <c r="B9636" s="25"/>
      <c r="C9636" s="24"/>
      <c r="D9636" s="26"/>
      <c r="E9636" s="24"/>
      <c r="F9636" s="24"/>
      <c r="G9636" s="24"/>
      <c r="H9636" s="24"/>
      <c r="I9636" s="24"/>
      <c r="J9636" s="24"/>
      <c r="K9636" s="24"/>
      <c r="L9636" s="24"/>
      <c r="M9636" s="24"/>
      <c r="N9636" s="24"/>
      <c r="O9636" s="24"/>
      <c r="P9636" s="24"/>
      <c r="Q9636" s="24"/>
      <c r="R9636" s="24"/>
      <c r="S9636" s="24"/>
      <c r="T9636" s="24"/>
      <c r="U9636" s="24"/>
      <c r="V9636" s="24"/>
      <c r="W9636" s="24"/>
      <c r="X9636" s="24"/>
      <c r="Y9636" s="24"/>
      <c r="Z9636" s="24"/>
      <c r="AA9636" s="24"/>
    </row>
    <row r="9637">
      <c r="A9637" s="24"/>
      <c r="B9637" s="25"/>
      <c r="C9637" s="24"/>
      <c r="D9637" s="26"/>
      <c r="E9637" s="24"/>
      <c r="F9637" s="24"/>
      <c r="G9637" s="24"/>
      <c r="H9637" s="24"/>
      <c r="I9637" s="24"/>
      <c r="J9637" s="24"/>
      <c r="K9637" s="24"/>
      <c r="L9637" s="24"/>
      <c r="M9637" s="24"/>
      <c r="N9637" s="24"/>
      <c r="O9637" s="24"/>
      <c r="P9637" s="24"/>
      <c r="Q9637" s="24"/>
      <c r="R9637" s="24"/>
      <c r="S9637" s="24"/>
      <c r="T9637" s="24"/>
      <c r="U9637" s="24"/>
      <c r="V9637" s="24"/>
      <c r="W9637" s="24"/>
      <c r="X9637" s="24"/>
      <c r="Y9637" s="24"/>
      <c r="Z9637" s="24"/>
      <c r="AA9637" s="24"/>
    </row>
    <row r="9638">
      <c r="A9638" s="24"/>
      <c r="B9638" s="25"/>
      <c r="C9638" s="24"/>
      <c r="D9638" s="26"/>
      <c r="E9638" s="24"/>
      <c r="F9638" s="24"/>
      <c r="G9638" s="24"/>
      <c r="H9638" s="24"/>
      <c r="I9638" s="24"/>
      <c r="J9638" s="24"/>
      <c r="K9638" s="24"/>
      <c r="L9638" s="24"/>
      <c r="M9638" s="24"/>
      <c r="N9638" s="24"/>
      <c r="O9638" s="24"/>
      <c r="P9638" s="24"/>
      <c r="Q9638" s="24"/>
      <c r="R9638" s="24"/>
      <c r="S9638" s="24"/>
      <c r="T9638" s="24"/>
      <c r="U9638" s="24"/>
      <c r="V9638" s="24"/>
      <c r="W9638" s="24"/>
      <c r="X9638" s="24"/>
      <c r="Y9638" s="24"/>
      <c r="Z9638" s="24"/>
      <c r="AA9638" s="24"/>
    </row>
    <row r="9639">
      <c r="A9639" s="24"/>
      <c r="B9639" s="25"/>
      <c r="C9639" s="24"/>
      <c r="D9639" s="26"/>
      <c r="E9639" s="24"/>
      <c r="F9639" s="24"/>
      <c r="G9639" s="24"/>
      <c r="H9639" s="24"/>
      <c r="I9639" s="24"/>
      <c r="J9639" s="24"/>
      <c r="K9639" s="24"/>
      <c r="L9639" s="24"/>
      <c r="M9639" s="24"/>
      <c r="N9639" s="24"/>
      <c r="O9639" s="24"/>
      <c r="P9639" s="24"/>
      <c r="Q9639" s="24"/>
      <c r="R9639" s="24"/>
      <c r="S9639" s="24"/>
      <c r="T9639" s="24"/>
      <c r="U9639" s="24"/>
      <c r="V9639" s="24"/>
      <c r="W9639" s="24"/>
      <c r="X9639" s="24"/>
      <c r="Y9639" s="24"/>
      <c r="Z9639" s="24"/>
      <c r="AA9639" s="24"/>
    </row>
    <row r="9640">
      <c r="A9640" s="24"/>
      <c r="B9640" s="25"/>
      <c r="C9640" s="24"/>
      <c r="D9640" s="26"/>
      <c r="E9640" s="24"/>
      <c r="F9640" s="24"/>
      <c r="G9640" s="24"/>
      <c r="H9640" s="24"/>
      <c r="I9640" s="24"/>
      <c r="J9640" s="24"/>
      <c r="K9640" s="24"/>
      <c r="L9640" s="24"/>
      <c r="M9640" s="24"/>
      <c r="N9640" s="24"/>
      <c r="O9640" s="24"/>
      <c r="P9640" s="24"/>
      <c r="Q9640" s="24"/>
      <c r="R9640" s="24"/>
      <c r="S9640" s="24"/>
      <c r="T9640" s="24"/>
      <c r="U9640" s="24"/>
      <c r="V9640" s="24"/>
      <c r="W9640" s="24"/>
      <c r="X9640" s="24"/>
      <c r="Y9640" s="24"/>
      <c r="Z9640" s="24"/>
      <c r="AA9640" s="24"/>
    </row>
    <row r="9641">
      <c r="A9641" s="24"/>
      <c r="B9641" s="25"/>
      <c r="C9641" s="24"/>
      <c r="D9641" s="26"/>
      <c r="E9641" s="24"/>
      <c r="F9641" s="24"/>
      <c r="G9641" s="24"/>
      <c r="H9641" s="24"/>
      <c r="I9641" s="24"/>
      <c r="J9641" s="24"/>
      <c r="K9641" s="24"/>
      <c r="L9641" s="24"/>
      <c r="M9641" s="24"/>
      <c r="N9641" s="24"/>
      <c r="O9641" s="24"/>
      <c r="P9641" s="24"/>
      <c r="Q9641" s="24"/>
      <c r="R9641" s="24"/>
      <c r="S9641" s="24"/>
      <c r="T9641" s="24"/>
      <c r="U9641" s="24"/>
      <c r="V9641" s="24"/>
      <c r="W9641" s="24"/>
      <c r="X9641" s="24"/>
      <c r="Y9641" s="24"/>
      <c r="Z9641" s="24"/>
      <c r="AA9641" s="24"/>
    </row>
    <row r="9642">
      <c r="A9642" s="24"/>
      <c r="B9642" s="25"/>
      <c r="C9642" s="24"/>
      <c r="D9642" s="26"/>
      <c r="E9642" s="24"/>
      <c r="F9642" s="24"/>
      <c r="G9642" s="24"/>
      <c r="H9642" s="24"/>
      <c r="I9642" s="24"/>
      <c r="J9642" s="24"/>
      <c r="K9642" s="24"/>
      <c r="L9642" s="24"/>
      <c r="M9642" s="24"/>
      <c r="N9642" s="24"/>
      <c r="O9642" s="24"/>
      <c r="P9642" s="24"/>
      <c r="Q9642" s="24"/>
      <c r="R9642" s="24"/>
      <c r="S9642" s="24"/>
      <c r="T9642" s="24"/>
      <c r="U9642" s="24"/>
      <c r="V9642" s="24"/>
      <c r="W9642" s="24"/>
      <c r="X9642" s="24"/>
      <c r="Y9642" s="24"/>
      <c r="Z9642" s="24"/>
      <c r="AA9642" s="24"/>
    </row>
    <row r="9643">
      <c r="A9643" s="24"/>
      <c r="B9643" s="25"/>
      <c r="C9643" s="24"/>
      <c r="D9643" s="26"/>
      <c r="E9643" s="24"/>
      <c r="F9643" s="24"/>
      <c r="G9643" s="24"/>
      <c r="H9643" s="24"/>
      <c r="I9643" s="24"/>
      <c r="J9643" s="24"/>
      <c r="K9643" s="24"/>
      <c r="L9643" s="24"/>
      <c r="M9643" s="24"/>
      <c r="N9643" s="24"/>
      <c r="O9643" s="24"/>
      <c r="P9643" s="24"/>
      <c r="Q9643" s="24"/>
      <c r="R9643" s="24"/>
      <c r="S9643" s="24"/>
      <c r="T9643" s="24"/>
      <c r="U9643" s="24"/>
      <c r="V9643" s="24"/>
      <c r="W9643" s="24"/>
      <c r="X9643" s="24"/>
      <c r="Y9643" s="24"/>
      <c r="Z9643" s="24"/>
      <c r="AA9643" s="24"/>
    </row>
    <row r="9644">
      <c r="A9644" s="24"/>
      <c r="B9644" s="25"/>
      <c r="C9644" s="24"/>
      <c r="D9644" s="26"/>
      <c r="E9644" s="24"/>
      <c r="F9644" s="24"/>
      <c r="G9644" s="24"/>
      <c r="H9644" s="24"/>
      <c r="I9644" s="24"/>
      <c r="J9644" s="24"/>
      <c r="K9644" s="24"/>
      <c r="L9644" s="24"/>
      <c r="M9644" s="24"/>
      <c r="N9644" s="24"/>
      <c r="O9644" s="24"/>
      <c r="P9644" s="24"/>
      <c r="Q9644" s="24"/>
      <c r="R9644" s="24"/>
      <c r="S9644" s="24"/>
      <c r="T9644" s="24"/>
      <c r="U9644" s="24"/>
      <c r="V9644" s="24"/>
      <c r="W9644" s="24"/>
      <c r="X9644" s="24"/>
      <c r="Y9644" s="24"/>
      <c r="Z9644" s="24"/>
      <c r="AA9644" s="24"/>
    </row>
    <row r="9645">
      <c r="A9645" s="24"/>
      <c r="B9645" s="25"/>
      <c r="C9645" s="24"/>
      <c r="D9645" s="26"/>
      <c r="E9645" s="24"/>
      <c r="F9645" s="24"/>
      <c r="G9645" s="24"/>
      <c r="H9645" s="24"/>
      <c r="I9645" s="24"/>
      <c r="J9645" s="24"/>
      <c r="K9645" s="24"/>
      <c r="L9645" s="24"/>
      <c r="M9645" s="24"/>
      <c r="N9645" s="24"/>
      <c r="O9645" s="24"/>
      <c r="P9645" s="24"/>
      <c r="Q9645" s="24"/>
      <c r="R9645" s="24"/>
      <c r="S9645" s="24"/>
      <c r="T9645" s="24"/>
      <c r="U9645" s="24"/>
      <c r="V9645" s="24"/>
      <c r="W9645" s="24"/>
      <c r="X9645" s="24"/>
      <c r="Y9645" s="24"/>
      <c r="Z9645" s="24"/>
      <c r="AA9645" s="24"/>
    </row>
    <row r="9646">
      <c r="A9646" s="24"/>
      <c r="B9646" s="25"/>
      <c r="C9646" s="24"/>
      <c r="D9646" s="26"/>
      <c r="E9646" s="24"/>
      <c r="F9646" s="24"/>
      <c r="G9646" s="24"/>
      <c r="H9646" s="24"/>
      <c r="I9646" s="24"/>
      <c r="J9646" s="24"/>
      <c r="K9646" s="24"/>
      <c r="L9646" s="24"/>
      <c r="M9646" s="24"/>
      <c r="N9646" s="24"/>
      <c r="O9646" s="24"/>
      <c r="P9646" s="24"/>
      <c r="Q9646" s="24"/>
      <c r="R9646" s="24"/>
      <c r="S9646" s="24"/>
      <c r="T9646" s="24"/>
      <c r="U9646" s="24"/>
      <c r="V9646" s="24"/>
      <c r="W9646" s="24"/>
      <c r="X9646" s="24"/>
      <c r="Y9646" s="24"/>
      <c r="Z9646" s="24"/>
      <c r="AA9646" s="24"/>
    </row>
    <row r="9647">
      <c r="A9647" s="24"/>
      <c r="B9647" s="25"/>
      <c r="C9647" s="24"/>
      <c r="D9647" s="26"/>
      <c r="E9647" s="24"/>
      <c r="F9647" s="24"/>
      <c r="G9647" s="24"/>
      <c r="H9647" s="24"/>
      <c r="I9647" s="24"/>
      <c r="J9647" s="24"/>
      <c r="K9647" s="24"/>
      <c r="L9647" s="24"/>
      <c r="M9647" s="24"/>
      <c r="N9647" s="24"/>
      <c r="O9647" s="24"/>
      <c r="P9647" s="24"/>
      <c r="Q9647" s="24"/>
      <c r="R9647" s="24"/>
      <c r="S9647" s="24"/>
      <c r="T9647" s="24"/>
      <c r="U9647" s="24"/>
      <c r="V9647" s="24"/>
      <c r="W9647" s="24"/>
      <c r="X9647" s="24"/>
      <c r="Y9647" s="24"/>
      <c r="Z9647" s="24"/>
      <c r="AA9647" s="24"/>
    </row>
    <row r="9648">
      <c r="A9648" s="24"/>
      <c r="B9648" s="25"/>
      <c r="C9648" s="24"/>
      <c r="D9648" s="26"/>
      <c r="E9648" s="24"/>
      <c r="F9648" s="24"/>
      <c r="G9648" s="24"/>
      <c r="H9648" s="24"/>
      <c r="I9648" s="24"/>
      <c r="J9648" s="24"/>
      <c r="K9648" s="24"/>
      <c r="L9648" s="24"/>
      <c r="M9648" s="24"/>
      <c r="N9648" s="24"/>
      <c r="O9648" s="24"/>
      <c r="P9648" s="24"/>
      <c r="Q9648" s="24"/>
      <c r="R9648" s="24"/>
      <c r="S9648" s="24"/>
      <c r="T9648" s="24"/>
      <c r="U9648" s="24"/>
      <c r="V9648" s="24"/>
      <c r="W9648" s="24"/>
      <c r="X9648" s="24"/>
      <c r="Y9648" s="24"/>
      <c r="Z9648" s="24"/>
      <c r="AA9648" s="24"/>
    </row>
    <row r="9649">
      <c r="A9649" s="24"/>
      <c r="B9649" s="25"/>
      <c r="C9649" s="24"/>
      <c r="D9649" s="26"/>
      <c r="E9649" s="24"/>
      <c r="F9649" s="24"/>
      <c r="G9649" s="24"/>
      <c r="H9649" s="24"/>
      <c r="I9649" s="24"/>
      <c r="J9649" s="24"/>
      <c r="K9649" s="24"/>
      <c r="L9649" s="24"/>
      <c r="M9649" s="24"/>
      <c r="N9649" s="24"/>
      <c r="O9649" s="24"/>
      <c r="P9649" s="24"/>
      <c r="Q9649" s="24"/>
      <c r="R9649" s="24"/>
      <c r="S9649" s="24"/>
      <c r="T9649" s="24"/>
      <c r="U9649" s="24"/>
      <c r="V9649" s="24"/>
      <c r="W9649" s="24"/>
      <c r="X9649" s="24"/>
      <c r="Y9649" s="24"/>
      <c r="Z9649" s="24"/>
      <c r="AA9649" s="24"/>
    </row>
    <row r="9650">
      <c r="A9650" s="24"/>
      <c r="B9650" s="25"/>
      <c r="C9650" s="24"/>
      <c r="D9650" s="26"/>
      <c r="E9650" s="24"/>
      <c r="F9650" s="24"/>
      <c r="G9650" s="24"/>
      <c r="H9650" s="24"/>
      <c r="I9650" s="24"/>
      <c r="J9650" s="24"/>
      <c r="K9650" s="24"/>
      <c r="L9650" s="24"/>
      <c r="M9650" s="24"/>
      <c r="N9650" s="24"/>
      <c r="O9650" s="24"/>
      <c r="P9650" s="24"/>
      <c r="Q9650" s="24"/>
      <c r="R9650" s="24"/>
      <c r="S9650" s="24"/>
      <c r="T9650" s="24"/>
      <c r="U9650" s="24"/>
      <c r="V9650" s="24"/>
      <c r="W9650" s="24"/>
      <c r="X9650" s="24"/>
      <c r="Y9650" s="24"/>
      <c r="Z9650" s="24"/>
      <c r="AA9650" s="24"/>
    </row>
    <row r="9651">
      <c r="A9651" s="24"/>
      <c r="B9651" s="25"/>
      <c r="C9651" s="24"/>
      <c r="D9651" s="26"/>
      <c r="E9651" s="24"/>
      <c r="F9651" s="24"/>
      <c r="G9651" s="24"/>
      <c r="H9651" s="24"/>
      <c r="I9651" s="24"/>
      <c r="J9651" s="24"/>
      <c r="K9651" s="24"/>
      <c r="L9651" s="24"/>
      <c r="M9651" s="24"/>
      <c r="N9651" s="24"/>
      <c r="O9651" s="24"/>
      <c r="P9651" s="24"/>
      <c r="Q9651" s="24"/>
      <c r="R9651" s="24"/>
      <c r="S9651" s="24"/>
      <c r="T9651" s="24"/>
      <c r="U9651" s="24"/>
      <c r="V9651" s="24"/>
      <c r="W9651" s="24"/>
      <c r="X9651" s="24"/>
      <c r="Y9651" s="24"/>
      <c r="Z9651" s="24"/>
      <c r="AA9651" s="24"/>
    </row>
    <row r="9652">
      <c r="A9652" s="24"/>
      <c r="B9652" s="25"/>
      <c r="C9652" s="24"/>
      <c r="D9652" s="26"/>
      <c r="E9652" s="24"/>
      <c r="F9652" s="24"/>
      <c r="G9652" s="24"/>
      <c r="H9652" s="24"/>
      <c r="I9652" s="24"/>
      <c r="J9652" s="24"/>
      <c r="K9652" s="24"/>
      <c r="L9652" s="24"/>
      <c r="M9652" s="24"/>
      <c r="N9652" s="24"/>
      <c r="O9652" s="24"/>
      <c r="P9652" s="24"/>
      <c r="Q9652" s="24"/>
      <c r="R9652" s="24"/>
      <c r="S9652" s="24"/>
      <c r="T9652" s="24"/>
      <c r="U9652" s="24"/>
      <c r="V9652" s="24"/>
      <c r="W9652" s="24"/>
      <c r="X9652" s="24"/>
      <c r="Y9652" s="24"/>
      <c r="Z9652" s="24"/>
      <c r="AA9652" s="24"/>
    </row>
    <row r="9653">
      <c r="A9653" s="24"/>
      <c r="B9653" s="25"/>
      <c r="C9653" s="24"/>
      <c r="D9653" s="26"/>
      <c r="E9653" s="24"/>
      <c r="F9653" s="24"/>
      <c r="G9653" s="24"/>
      <c r="H9653" s="24"/>
      <c r="I9653" s="24"/>
      <c r="J9653" s="24"/>
      <c r="K9653" s="24"/>
      <c r="L9653" s="24"/>
      <c r="M9653" s="24"/>
      <c r="N9653" s="24"/>
      <c r="O9653" s="24"/>
      <c r="P9653" s="24"/>
      <c r="Q9653" s="24"/>
      <c r="R9653" s="24"/>
      <c r="S9653" s="24"/>
      <c r="T9653" s="24"/>
      <c r="U9653" s="24"/>
      <c r="V9653" s="24"/>
      <c r="W9653" s="24"/>
      <c r="X9653" s="24"/>
      <c r="Y9653" s="24"/>
      <c r="Z9653" s="24"/>
      <c r="AA9653" s="24"/>
    </row>
    <row r="9654">
      <c r="A9654" s="24"/>
      <c r="B9654" s="25"/>
      <c r="C9654" s="24"/>
      <c r="D9654" s="26"/>
      <c r="E9654" s="24"/>
      <c r="F9654" s="24"/>
      <c r="G9654" s="24"/>
      <c r="H9654" s="24"/>
      <c r="I9654" s="24"/>
      <c r="J9654" s="24"/>
      <c r="K9654" s="24"/>
      <c r="L9654" s="24"/>
      <c r="M9654" s="24"/>
      <c r="N9654" s="24"/>
      <c r="O9654" s="24"/>
      <c r="P9654" s="24"/>
      <c r="Q9654" s="24"/>
      <c r="R9654" s="24"/>
      <c r="S9654" s="24"/>
      <c r="T9654" s="24"/>
      <c r="U9654" s="24"/>
      <c r="V9654" s="24"/>
      <c r="W9654" s="24"/>
      <c r="X9654" s="24"/>
      <c r="Y9654" s="24"/>
      <c r="Z9654" s="24"/>
      <c r="AA9654" s="24"/>
    </row>
    <row r="9655">
      <c r="A9655" s="24"/>
      <c r="B9655" s="25"/>
      <c r="C9655" s="24"/>
      <c r="D9655" s="26"/>
      <c r="E9655" s="24"/>
      <c r="F9655" s="24"/>
      <c r="G9655" s="24"/>
      <c r="H9655" s="24"/>
      <c r="I9655" s="24"/>
      <c r="J9655" s="24"/>
      <c r="K9655" s="24"/>
      <c r="L9655" s="24"/>
      <c r="M9655" s="24"/>
      <c r="N9655" s="24"/>
      <c r="O9655" s="24"/>
      <c r="P9655" s="24"/>
      <c r="Q9655" s="24"/>
      <c r="R9655" s="24"/>
      <c r="S9655" s="24"/>
      <c r="T9655" s="24"/>
      <c r="U9655" s="24"/>
      <c r="V9655" s="24"/>
      <c r="W9655" s="24"/>
      <c r="X9655" s="24"/>
      <c r="Y9655" s="24"/>
      <c r="Z9655" s="24"/>
      <c r="AA9655" s="24"/>
    </row>
    <row r="9656">
      <c r="A9656" s="24"/>
      <c r="B9656" s="25"/>
      <c r="C9656" s="24"/>
      <c r="D9656" s="26"/>
      <c r="E9656" s="24"/>
      <c r="F9656" s="24"/>
      <c r="G9656" s="24"/>
      <c r="H9656" s="24"/>
      <c r="I9656" s="24"/>
      <c r="J9656" s="24"/>
      <c r="K9656" s="24"/>
      <c r="L9656" s="24"/>
      <c r="M9656" s="24"/>
      <c r="N9656" s="24"/>
      <c r="O9656" s="24"/>
      <c r="P9656" s="24"/>
      <c r="Q9656" s="24"/>
      <c r="R9656" s="24"/>
      <c r="S9656" s="24"/>
      <c r="T9656" s="24"/>
      <c r="U9656" s="24"/>
      <c r="V9656" s="24"/>
      <c r="W9656" s="24"/>
      <c r="X9656" s="24"/>
      <c r="Y9656" s="24"/>
      <c r="Z9656" s="24"/>
      <c r="AA9656" s="24"/>
    </row>
    <row r="9657">
      <c r="A9657" s="24"/>
      <c r="B9657" s="25"/>
      <c r="C9657" s="24"/>
      <c r="D9657" s="26"/>
      <c r="E9657" s="24"/>
      <c r="F9657" s="24"/>
      <c r="G9657" s="24"/>
      <c r="H9657" s="24"/>
      <c r="I9657" s="24"/>
      <c r="J9657" s="24"/>
      <c r="K9657" s="24"/>
      <c r="L9657" s="24"/>
      <c r="M9657" s="24"/>
      <c r="N9657" s="24"/>
      <c r="O9657" s="24"/>
      <c r="P9657" s="24"/>
      <c r="Q9657" s="24"/>
      <c r="R9657" s="24"/>
      <c r="S9657" s="24"/>
      <c r="T9657" s="24"/>
      <c r="U9657" s="24"/>
      <c r="V9657" s="24"/>
      <c r="W9657" s="24"/>
      <c r="X9657" s="24"/>
      <c r="Y9657" s="24"/>
      <c r="Z9657" s="24"/>
      <c r="AA9657" s="24"/>
    </row>
    <row r="9658">
      <c r="A9658" s="24"/>
      <c r="B9658" s="25"/>
      <c r="C9658" s="24"/>
      <c r="D9658" s="26"/>
      <c r="E9658" s="24"/>
      <c r="F9658" s="24"/>
      <c r="G9658" s="24"/>
      <c r="H9658" s="24"/>
      <c r="I9658" s="24"/>
      <c r="J9658" s="24"/>
      <c r="K9658" s="24"/>
      <c r="L9658" s="24"/>
      <c r="M9658" s="24"/>
      <c r="N9658" s="24"/>
      <c r="O9658" s="24"/>
      <c r="P9658" s="24"/>
      <c r="Q9658" s="24"/>
      <c r="R9658" s="24"/>
      <c r="S9658" s="24"/>
      <c r="T9658" s="24"/>
      <c r="U9658" s="24"/>
      <c r="V9658" s="24"/>
      <c r="W9658" s="24"/>
      <c r="X9658" s="24"/>
      <c r="Y9658" s="24"/>
      <c r="Z9658" s="24"/>
      <c r="AA9658" s="24"/>
    </row>
    <row r="9659">
      <c r="A9659" s="24"/>
      <c r="B9659" s="25"/>
      <c r="C9659" s="24"/>
      <c r="D9659" s="26"/>
      <c r="E9659" s="24"/>
      <c r="F9659" s="24"/>
      <c r="G9659" s="24"/>
      <c r="H9659" s="24"/>
      <c r="I9659" s="24"/>
      <c r="J9659" s="24"/>
      <c r="K9659" s="24"/>
      <c r="L9659" s="24"/>
      <c r="M9659" s="24"/>
      <c r="N9659" s="24"/>
      <c r="O9659" s="24"/>
      <c r="P9659" s="24"/>
      <c r="Q9659" s="24"/>
      <c r="R9659" s="24"/>
      <c r="S9659" s="24"/>
      <c r="T9659" s="24"/>
      <c r="U9659" s="24"/>
      <c r="V9659" s="24"/>
      <c r="W9659" s="24"/>
      <c r="X9659" s="24"/>
      <c r="Y9659" s="24"/>
      <c r="Z9659" s="24"/>
      <c r="AA9659" s="24"/>
    </row>
    <row r="9660">
      <c r="A9660" s="24"/>
      <c r="B9660" s="25"/>
      <c r="C9660" s="24"/>
      <c r="D9660" s="26"/>
      <c r="E9660" s="24"/>
      <c r="F9660" s="24"/>
      <c r="G9660" s="24"/>
      <c r="H9660" s="24"/>
      <c r="I9660" s="24"/>
      <c r="J9660" s="24"/>
      <c r="K9660" s="24"/>
      <c r="L9660" s="24"/>
      <c r="M9660" s="24"/>
      <c r="N9660" s="24"/>
      <c r="O9660" s="24"/>
      <c r="P9660" s="24"/>
      <c r="Q9660" s="24"/>
      <c r="R9660" s="24"/>
      <c r="S9660" s="24"/>
      <c r="T9660" s="24"/>
      <c r="U9660" s="24"/>
      <c r="V9660" s="24"/>
      <c r="W9660" s="24"/>
      <c r="X9660" s="24"/>
      <c r="Y9660" s="24"/>
      <c r="Z9660" s="24"/>
      <c r="AA9660" s="24"/>
    </row>
    <row r="9661">
      <c r="A9661" s="24"/>
      <c r="B9661" s="25"/>
      <c r="C9661" s="24"/>
      <c r="D9661" s="26"/>
      <c r="E9661" s="24"/>
      <c r="F9661" s="24"/>
      <c r="G9661" s="24"/>
      <c r="H9661" s="24"/>
      <c r="I9661" s="24"/>
      <c r="J9661" s="24"/>
      <c r="K9661" s="24"/>
      <c r="L9661" s="24"/>
      <c r="M9661" s="24"/>
      <c r="N9661" s="24"/>
      <c r="O9661" s="24"/>
      <c r="P9661" s="24"/>
      <c r="Q9661" s="24"/>
      <c r="R9661" s="24"/>
      <c r="S9661" s="24"/>
      <c r="T9661" s="24"/>
      <c r="U9661" s="24"/>
      <c r="V9661" s="24"/>
      <c r="W9661" s="24"/>
      <c r="X9661" s="24"/>
      <c r="Y9661" s="24"/>
      <c r="Z9661" s="24"/>
      <c r="AA9661" s="24"/>
    </row>
    <row r="9662">
      <c r="A9662" s="24"/>
      <c r="B9662" s="25"/>
      <c r="C9662" s="24"/>
      <c r="D9662" s="26"/>
      <c r="E9662" s="24"/>
      <c r="F9662" s="24"/>
      <c r="G9662" s="24"/>
      <c r="H9662" s="24"/>
      <c r="I9662" s="24"/>
      <c r="J9662" s="24"/>
      <c r="K9662" s="24"/>
      <c r="L9662" s="24"/>
      <c r="M9662" s="24"/>
      <c r="N9662" s="24"/>
      <c r="O9662" s="24"/>
      <c r="P9662" s="24"/>
      <c r="Q9662" s="24"/>
      <c r="R9662" s="24"/>
      <c r="S9662" s="24"/>
      <c r="T9662" s="24"/>
      <c r="U9662" s="24"/>
      <c r="V9662" s="24"/>
      <c r="W9662" s="24"/>
      <c r="X9662" s="24"/>
      <c r="Y9662" s="24"/>
      <c r="Z9662" s="24"/>
      <c r="AA9662" s="24"/>
    </row>
    <row r="9663">
      <c r="A9663" s="24"/>
      <c r="B9663" s="25"/>
      <c r="C9663" s="24"/>
      <c r="D9663" s="26"/>
      <c r="E9663" s="24"/>
      <c r="F9663" s="24"/>
      <c r="G9663" s="24"/>
      <c r="H9663" s="24"/>
      <c r="I9663" s="24"/>
      <c r="J9663" s="24"/>
      <c r="K9663" s="24"/>
      <c r="L9663" s="24"/>
      <c r="M9663" s="24"/>
      <c r="N9663" s="24"/>
      <c r="O9663" s="24"/>
      <c r="P9663" s="24"/>
      <c r="Q9663" s="24"/>
      <c r="R9663" s="24"/>
      <c r="S9663" s="24"/>
      <c r="T9663" s="24"/>
      <c r="U9663" s="24"/>
      <c r="V9663" s="24"/>
      <c r="W9663" s="24"/>
      <c r="X9663" s="24"/>
      <c r="Y9663" s="24"/>
      <c r="Z9663" s="24"/>
      <c r="AA9663" s="24"/>
    </row>
    <row r="9664">
      <c r="A9664" s="24"/>
      <c r="B9664" s="25"/>
      <c r="C9664" s="24"/>
      <c r="D9664" s="26"/>
      <c r="E9664" s="24"/>
      <c r="F9664" s="24"/>
      <c r="G9664" s="24"/>
      <c r="H9664" s="24"/>
      <c r="I9664" s="24"/>
      <c r="J9664" s="24"/>
      <c r="K9664" s="24"/>
      <c r="L9664" s="24"/>
      <c r="M9664" s="24"/>
      <c r="N9664" s="24"/>
      <c r="O9664" s="24"/>
      <c r="P9664" s="24"/>
      <c r="Q9664" s="24"/>
      <c r="R9664" s="24"/>
      <c r="S9664" s="24"/>
      <c r="T9664" s="24"/>
      <c r="U9664" s="24"/>
      <c r="V9664" s="24"/>
      <c r="W9664" s="24"/>
      <c r="X9664" s="24"/>
      <c r="Y9664" s="24"/>
      <c r="Z9664" s="24"/>
      <c r="AA9664" s="24"/>
    </row>
    <row r="9665">
      <c r="A9665" s="24"/>
      <c r="B9665" s="25"/>
      <c r="C9665" s="24"/>
      <c r="D9665" s="26"/>
      <c r="E9665" s="24"/>
      <c r="F9665" s="24"/>
      <c r="G9665" s="24"/>
      <c r="H9665" s="24"/>
      <c r="I9665" s="24"/>
      <c r="J9665" s="24"/>
      <c r="K9665" s="24"/>
      <c r="L9665" s="24"/>
      <c r="M9665" s="24"/>
      <c r="N9665" s="24"/>
      <c r="O9665" s="24"/>
      <c r="P9665" s="24"/>
      <c r="Q9665" s="24"/>
      <c r="R9665" s="24"/>
      <c r="S9665" s="24"/>
      <c r="T9665" s="24"/>
      <c r="U9665" s="24"/>
      <c r="V9665" s="24"/>
      <c r="W9665" s="24"/>
      <c r="X9665" s="24"/>
      <c r="Y9665" s="24"/>
      <c r="Z9665" s="24"/>
      <c r="AA9665" s="24"/>
    </row>
    <row r="9666">
      <c r="A9666" s="24"/>
      <c r="B9666" s="25"/>
      <c r="C9666" s="24"/>
      <c r="D9666" s="26"/>
      <c r="E9666" s="24"/>
      <c r="F9666" s="24"/>
      <c r="G9666" s="24"/>
      <c r="H9666" s="24"/>
      <c r="I9666" s="24"/>
      <c r="J9666" s="24"/>
      <c r="K9666" s="24"/>
      <c r="L9666" s="24"/>
      <c r="M9666" s="24"/>
      <c r="N9666" s="24"/>
      <c r="O9666" s="24"/>
      <c r="P9666" s="24"/>
      <c r="Q9666" s="24"/>
      <c r="R9666" s="24"/>
      <c r="S9666" s="24"/>
      <c r="T9666" s="24"/>
      <c r="U9666" s="24"/>
      <c r="V9666" s="24"/>
      <c r="W9666" s="24"/>
      <c r="X9666" s="24"/>
      <c r="Y9666" s="24"/>
      <c r="Z9666" s="24"/>
      <c r="AA9666" s="24"/>
    </row>
    <row r="9667">
      <c r="A9667" s="24"/>
      <c r="B9667" s="25"/>
      <c r="C9667" s="24"/>
      <c r="D9667" s="26"/>
      <c r="E9667" s="24"/>
      <c r="F9667" s="24"/>
      <c r="G9667" s="24"/>
      <c r="H9667" s="24"/>
      <c r="I9667" s="24"/>
      <c r="J9667" s="24"/>
      <c r="K9667" s="24"/>
      <c r="L9667" s="24"/>
      <c r="M9667" s="24"/>
      <c r="N9667" s="24"/>
      <c r="O9667" s="24"/>
      <c r="P9667" s="24"/>
      <c r="Q9667" s="24"/>
      <c r="R9667" s="24"/>
      <c r="S9667" s="24"/>
      <c r="T9667" s="24"/>
      <c r="U9667" s="24"/>
      <c r="V9667" s="24"/>
      <c r="W9667" s="24"/>
      <c r="X9667" s="24"/>
      <c r="Y9667" s="24"/>
      <c r="Z9667" s="24"/>
      <c r="AA9667" s="24"/>
    </row>
    <row r="9668">
      <c r="A9668" s="24"/>
      <c r="B9668" s="25"/>
      <c r="C9668" s="24"/>
      <c r="D9668" s="26"/>
      <c r="E9668" s="24"/>
      <c r="F9668" s="24"/>
      <c r="G9668" s="24"/>
      <c r="H9668" s="24"/>
      <c r="I9668" s="24"/>
      <c r="J9668" s="24"/>
      <c r="K9668" s="24"/>
      <c r="L9668" s="24"/>
      <c r="M9668" s="24"/>
      <c r="N9668" s="24"/>
      <c r="O9668" s="24"/>
      <c r="P9668" s="24"/>
      <c r="Q9668" s="24"/>
      <c r="R9668" s="24"/>
      <c r="S9668" s="24"/>
      <c r="T9668" s="24"/>
      <c r="U9668" s="24"/>
      <c r="V9668" s="24"/>
      <c r="W9668" s="24"/>
      <c r="X9668" s="24"/>
      <c r="Y9668" s="24"/>
      <c r="Z9668" s="24"/>
      <c r="AA9668" s="24"/>
    </row>
    <row r="9669">
      <c r="A9669" s="24"/>
      <c r="B9669" s="25"/>
      <c r="C9669" s="24"/>
      <c r="D9669" s="26"/>
      <c r="E9669" s="24"/>
      <c r="F9669" s="24"/>
      <c r="G9669" s="24"/>
      <c r="H9669" s="24"/>
      <c r="I9669" s="24"/>
      <c r="J9669" s="24"/>
      <c r="K9669" s="24"/>
      <c r="L9669" s="24"/>
      <c r="M9669" s="24"/>
      <c r="N9669" s="24"/>
      <c r="O9669" s="24"/>
      <c r="P9669" s="24"/>
      <c r="Q9669" s="24"/>
      <c r="R9669" s="24"/>
      <c r="S9669" s="24"/>
      <c r="T9669" s="24"/>
      <c r="U9669" s="24"/>
      <c r="V9669" s="24"/>
      <c r="W9669" s="24"/>
      <c r="X9669" s="24"/>
      <c r="Y9669" s="24"/>
      <c r="Z9669" s="24"/>
      <c r="AA9669" s="24"/>
    </row>
    <row r="9670">
      <c r="A9670" s="24"/>
      <c r="B9670" s="25"/>
      <c r="C9670" s="24"/>
      <c r="D9670" s="26"/>
      <c r="E9670" s="24"/>
      <c r="F9670" s="24"/>
      <c r="G9670" s="24"/>
      <c r="H9670" s="24"/>
      <c r="I9670" s="24"/>
      <c r="J9670" s="24"/>
      <c r="K9670" s="24"/>
      <c r="L9670" s="24"/>
      <c r="M9670" s="24"/>
      <c r="N9670" s="24"/>
      <c r="O9670" s="24"/>
      <c r="P9670" s="24"/>
      <c r="Q9670" s="24"/>
      <c r="R9670" s="24"/>
      <c r="S9670" s="24"/>
      <c r="T9670" s="24"/>
      <c r="U9670" s="24"/>
      <c r="V9670" s="24"/>
      <c r="W9670" s="24"/>
      <c r="X9670" s="24"/>
      <c r="Y9670" s="24"/>
      <c r="Z9670" s="24"/>
      <c r="AA9670" s="24"/>
    </row>
    <row r="9671">
      <c r="A9671" s="24"/>
      <c r="B9671" s="25"/>
      <c r="C9671" s="24"/>
      <c r="D9671" s="26"/>
      <c r="E9671" s="24"/>
      <c r="F9671" s="24"/>
      <c r="G9671" s="24"/>
      <c r="H9671" s="24"/>
      <c r="I9671" s="24"/>
      <c r="J9671" s="24"/>
      <c r="K9671" s="24"/>
      <c r="L9671" s="24"/>
      <c r="M9671" s="24"/>
      <c r="N9671" s="24"/>
      <c r="O9671" s="24"/>
      <c r="P9671" s="24"/>
      <c r="Q9671" s="24"/>
      <c r="R9671" s="24"/>
      <c r="S9671" s="24"/>
      <c r="T9671" s="24"/>
      <c r="U9671" s="24"/>
      <c r="V9671" s="24"/>
      <c r="W9671" s="24"/>
      <c r="X9671" s="24"/>
      <c r="Y9671" s="24"/>
      <c r="Z9671" s="24"/>
      <c r="AA9671" s="24"/>
    </row>
    <row r="9672">
      <c r="A9672" s="24"/>
      <c r="B9672" s="25"/>
      <c r="C9672" s="24"/>
      <c r="D9672" s="26"/>
      <c r="E9672" s="24"/>
      <c r="F9672" s="24"/>
      <c r="G9672" s="24"/>
      <c r="H9672" s="24"/>
      <c r="I9672" s="24"/>
      <c r="J9672" s="24"/>
      <c r="K9672" s="24"/>
      <c r="L9672" s="24"/>
      <c r="M9672" s="24"/>
      <c r="N9672" s="24"/>
      <c r="O9672" s="24"/>
      <c r="P9672" s="24"/>
      <c r="Q9672" s="24"/>
      <c r="R9672" s="24"/>
      <c r="S9672" s="24"/>
      <c r="T9672" s="24"/>
      <c r="U9672" s="24"/>
      <c r="V9672" s="24"/>
      <c r="W9672" s="24"/>
      <c r="X9672" s="24"/>
      <c r="Y9672" s="24"/>
      <c r="Z9672" s="24"/>
      <c r="AA9672" s="24"/>
    </row>
    <row r="9673">
      <c r="A9673" s="24"/>
      <c r="B9673" s="25"/>
      <c r="C9673" s="24"/>
      <c r="D9673" s="26"/>
      <c r="E9673" s="24"/>
      <c r="F9673" s="24"/>
      <c r="G9673" s="24"/>
      <c r="H9673" s="24"/>
      <c r="I9673" s="24"/>
      <c r="J9673" s="24"/>
      <c r="K9673" s="24"/>
      <c r="L9673" s="24"/>
      <c r="M9673" s="24"/>
      <c r="N9673" s="24"/>
      <c r="O9673" s="24"/>
      <c r="P9673" s="24"/>
      <c r="Q9673" s="24"/>
      <c r="R9673" s="24"/>
      <c r="S9673" s="24"/>
      <c r="T9673" s="24"/>
      <c r="U9673" s="24"/>
      <c r="V9673" s="24"/>
      <c r="W9673" s="24"/>
      <c r="X9673" s="24"/>
      <c r="Y9673" s="24"/>
      <c r="Z9673" s="24"/>
      <c r="AA9673" s="24"/>
    </row>
    <row r="9674">
      <c r="A9674" s="24"/>
      <c r="B9674" s="25"/>
      <c r="C9674" s="24"/>
      <c r="D9674" s="26"/>
      <c r="E9674" s="24"/>
      <c r="F9674" s="24"/>
      <c r="G9674" s="24"/>
      <c r="H9674" s="24"/>
      <c r="I9674" s="24"/>
      <c r="J9674" s="24"/>
      <c r="K9674" s="24"/>
      <c r="L9674" s="24"/>
      <c r="M9674" s="24"/>
      <c r="N9674" s="24"/>
      <c r="O9674" s="24"/>
      <c r="P9674" s="24"/>
      <c r="Q9674" s="24"/>
      <c r="R9674" s="24"/>
      <c r="S9674" s="24"/>
      <c r="T9674" s="24"/>
      <c r="U9674" s="24"/>
      <c r="V9674" s="24"/>
      <c r="W9674" s="24"/>
      <c r="X9674" s="24"/>
      <c r="Y9674" s="24"/>
      <c r="Z9674" s="24"/>
      <c r="AA9674" s="24"/>
    </row>
    <row r="9675">
      <c r="A9675" s="24"/>
      <c r="B9675" s="25"/>
      <c r="C9675" s="24"/>
      <c r="D9675" s="26"/>
      <c r="E9675" s="24"/>
      <c r="F9675" s="24"/>
      <c r="G9675" s="24"/>
      <c r="H9675" s="24"/>
      <c r="I9675" s="24"/>
      <c r="J9675" s="24"/>
      <c r="K9675" s="24"/>
      <c r="L9675" s="24"/>
      <c r="M9675" s="24"/>
      <c r="N9675" s="24"/>
      <c r="O9675" s="24"/>
      <c r="P9675" s="24"/>
      <c r="Q9675" s="24"/>
      <c r="R9675" s="24"/>
      <c r="S9675" s="24"/>
      <c r="T9675" s="24"/>
      <c r="U9675" s="24"/>
      <c r="V9675" s="24"/>
      <c r="W9675" s="24"/>
      <c r="X9675" s="24"/>
      <c r="Y9675" s="24"/>
      <c r="Z9675" s="24"/>
      <c r="AA9675" s="24"/>
    </row>
    <row r="9676">
      <c r="A9676" s="24"/>
      <c r="B9676" s="25"/>
      <c r="C9676" s="24"/>
      <c r="D9676" s="26"/>
      <c r="E9676" s="24"/>
      <c r="F9676" s="24"/>
      <c r="G9676" s="24"/>
      <c r="H9676" s="24"/>
      <c r="I9676" s="24"/>
      <c r="J9676" s="24"/>
      <c r="K9676" s="24"/>
      <c r="L9676" s="24"/>
      <c r="M9676" s="24"/>
      <c r="N9676" s="24"/>
      <c r="O9676" s="24"/>
      <c r="P9676" s="24"/>
      <c r="Q9676" s="24"/>
      <c r="R9676" s="24"/>
      <c r="S9676" s="24"/>
      <c r="T9676" s="24"/>
      <c r="U9676" s="24"/>
      <c r="V9676" s="24"/>
      <c r="W9676" s="24"/>
      <c r="X9676" s="24"/>
      <c r="Y9676" s="24"/>
      <c r="Z9676" s="24"/>
      <c r="AA9676" s="24"/>
    </row>
    <row r="9677">
      <c r="A9677" s="24"/>
      <c r="B9677" s="25"/>
      <c r="C9677" s="24"/>
      <c r="D9677" s="26"/>
      <c r="E9677" s="24"/>
      <c r="F9677" s="24"/>
      <c r="G9677" s="24"/>
      <c r="H9677" s="24"/>
      <c r="I9677" s="24"/>
      <c r="J9677" s="24"/>
      <c r="K9677" s="24"/>
      <c r="L9677" s="24"/>
      <c r="M9677" s="24"/>
      <c r="N9677" s="24"/>
      <c r="O9677" s="24"/>
      <c r="P9677" s="24"/>
      <c r="Q9677" s="24"/>
      <c r="R9677" s="24"/>
      <c r="S9677" s="24"/>
      <c r="T9677" s="24"/>
      <c r="U9677" s="24"/>
      <c r="V9677" s="24"/>
      <c r="W9677" s="24"/>
      <c r="X9677" s="24"/>
      <c r="Y9677" s="24"/>
      <c r="Z9677" s="24"/>
      <c r="AA9677" s="24"/>
    </row>
    <row r="9678">
      <c r="A9678" s="24"/>
      <c r="B9678" s="25"/>
      <c r="C9678" s="24"/>
      <c r="D9678" s="26"/>
      <c r="E9678" s="24"/>
      <c r="F9678" s="24"/>
      <c r="G9678" s="24"/>
      <c r="H9678" s="24"/>
      <c r="I9678" s="24"/>
      <c r="J9678" s="24"/>
      <c r="K9678" s="24"/>
      <c r="L9678" s="24"/>
      <c r="M9678" s="24"/>
      <c r="N9678" s="24"/>
      <c r="O9678" s="24"/>
      <c r="P9678" s="24"/>
      <c r="Q9678" s="24"/>
      <c r="R9678" s="24"/>
      <c r="S9678" s="24"/>
      <c r="T9678" s="24"/>
      <c r="U9678" s="24"/>
      <c r="V9678" s="24"/>
      <c r="W9678" s="24"/>
      <c r="X9678" s="24"/>
      <c r="Y9678" s="24"/>
      <c r="Z9678" s="24"/>
      <c r="AA9678" s="24"/>
    </row>
    <row r="9679">
      <c r="A9679" s="24"/>
      <c r="B9679" s="25"/>
      <c r="C9679" s="24"/>
      <c r="D9679" s="26"/>
      <c r="E9679" s="24"/>
      <c r="F9679" s="24"/>
      <c r="G9679" s="24"/>
      <c r="H9679" s="24"/>
      <c r="I9679" s="24"/>
      <c r="J9679" s="24"/>
      <c r="K9679" s="24"/>
      <c r="L9679" s="24"/>
      <c r="M9679" s="24"/>
      <c r="N9679" s="24"/>
      <c r="O9679" s="24"/>
      <c r="P9679" s="24"/>
      <c r="Q9679" s="24"/>
      <c r="R9679" s="24"/>
      <c r="S9679" s="24"/>
      <c r="T9679" s="24"/>
      <c r="U9679" s="24"/>
      <c r="V9679" s="24"/>
      <c r="W9679" s="24"/>
      <c r="X9679" s="24"/>
      <c r="Y9679" s="24"/>
      <c r="Z9679" s="24"/>
      <c r="AA9679" s="24"/>
    </row>
    <row r="9680">
      <c r="A9680" s="24"/>
      <c r="B9680" s="25"/>
      <c r="C9680" s="24"/>
      <c r="D9680" s="26"/>
      <c r="E9680" s="24"/>
      <c r="F9680" s="24"/>
      <c r="G9680" s="24"/>
      <c r="H9680" s="24"/>
      <c r="I9680" s="24"/>
      <c r="J9680" s="24"/>
      <c r="K9680" s="24"/>
      <c r="L9680" s="24"/>
      <c r="M9680" s="24"/>
      <c r="N9680" s="24"/>
      <c r="O9680" s="24"/>
      <c r="P9680" s="24"/>
      <c r="Q9680" s="24"/>
      <c r="R9680" s="24"/>
      <c r="S9680" s="24"/>
      <c r="T9680" s="24"/>
      <c r="U9680" s="24"/>
      <c r="V9680" s="24"/>
      <c r="W9680" s="24"/>
      <c r="X9680" s="24"/>
      <c r="Y9680" s="24"/>
      <c r="Z9680" s="24"/>
      <c r="AA9680" s="24"/>
    </row>
    <row r="9681">
      <c r="A9681" s="24"/>
      <c r="B9681" s="25"/>
      <c r="C9681" s="24"/>
      <c r="D9681" s="26"/>
      <c r="E9681" s="24"/>
      <c r="F9681" s="24"/>
      <c r="G9681" s="24"/>
      <c r="H9681" s="24"/>
      <c r="I9681" s="24"/>
      <c r="J9681" s="24"/>
      <c r="K9681" s="24"/>
      <c r="L9681" s="24"/>
      <c r="M9681" s="24"/>
      <c r="N9681" s="24"/>
      <c r="O9681" s="24"/>
      <c r="P9681" s="24"/>
      <c r="Q9681" s="24"/>
      <c r="R9681" s="24"/>
      <c r="S9681" s="24"/>
      <c r="T9681" s="24"/>
      <c r="U9681" s="24"/>
      <c r="V9681" s="24"/>
      <c r="W9681" s="24"/>
      <c r="X9681" s="24"/>
      <c r="Y9681" s="24"/>
      <c r="Z9681" s="24"/>
      <c r="AA9681" s="24"/>
    </row>
    <row r="9682">
      <c r="A9682" s="24"/>
      <c r="B9682" s="25"/>
      <c r="C9682" s="24"/>
      <c r="D9682" s="26"/>
      <c r="E9682" s="24"/>
      <c r="F9682" s="24"/>
      <c r="G9682" s="24"/>
      <c r="H9682" s="24"/>
      <c r="I9682" s="24"/>
      <c r="J9682" s="24"/>
      <c r="K9682" s="24"/>
      <c r="L9682" s="24"/>
      <c r="M9682" s="24"/>
      <c r="N9682" s="24"/>
      <c r="O9682" s="24"/>
      <c r="P9682" s="24"/>
      <c r="Q9682" s="24"/>
      <c r="R9682" s="24"/>
      <c r="S9682" s="24"/>
      <c r="T9682" s="24"/>
      <c r="U9682" s="24"/>
      <c r="V9682" s="24"/>
      <c r="W9682" s="24"/>
      <c r="X9682" s="24"/>
      <c r="Y9682" s="24"/>
      <c r="Z9682" s="24"/>
      <c r="AA9682" s="24"/>
    </row>
    <row r="9683">
      <c r="A9683" s="24"/>
      <c r="B9683" s="25"/>
      <c r="C9683" s="24"/>
      <c r="D9683" s="26"/>
      <c r="E9683" s="24"/>
      <c r="F9683" s="24"/>
      <c r="G9683" s="24"/>
      <c r="H9683" s="24"/>
      <c r="I9683" s="24"/>
      <c r="J9683" s="24"/>
      <c r="K9683" s="24"/>
      <c r="L9683" s="24"/>
      <c r="M9683" s="24"/>
      <c r="N9683" s="24"/>
      <c r="O9683" s="24"/>
      <c r="P9683" s="24"/>
      <c r="Q9683" s="24"/>
      <c r="R9683" s="24"/>
      <c r="S9683" s="24"/>
      <c r="T9683" s="24"/>
      <c r="U9683" s="24"/>
      <c r="V9683" s="24"/>
      <c r="W9683" s="24"/>
      <c r="X9683" s="24"/>
      <c r="Y9683" s="24"/>
      <c r="Z9683" s="24"/>
      <c r="AA9683" s="24"/>
    </row>
    <row r="9684">
      <c r="A9684" s="24"/>
      <c r="B9684" s="25"/>
      <c r="C9684" s="24"/>
      <c r="D9684" s="26"/>
      <c r="E9684" s="24"/>
      <c r="F9684" s="24"/>
      <c r="G9684" s="24"/>
      <c r="H9684" s="24"/>
      <c r="I9684" s="24"/>
      <c r="J9684" s="24"/>
      <c r="K9684" s="24"/>
      <c r="L9684" s="24"/>
      <c r="M9684" s="24"/>
      <c r="N9684" s="24"/>
      <c r="O9684" s="24"/>
      <c r="P9684" s="24"/>
      <c r="Q9684" s="24"/>
      <c r="R9684" s="24"/>
      <c r="S9684" s="24"/>
      <c r="T9684" s="24"/>
      <c r="U9684" s="24"/>
      <c r="V9684" s="24"/>
      <c r="W9684" s="24"/>
      <c r="X9684" s="24"/>
      <c r="Y9684" s="24"/>
      <c r="Z9684" s="24"/>
      <c r="AA9684" s="24"/>
    </row>
    <row r="9685">
      <c r="A9685" s="24"/>
      <c r="B9685" s="25"/>
      <c r="C9685" s="24"/>
      <c r="D9685" s="26"/>
      <c r="E9685" s="24"/>
      <c r="F9685" s="24"/>
      <c r="G9685" s="24"/>
      <c r="H9685" s="24"/>
      <c r="I9685" s="24"/>
      <c r="J9685" s="24"/>
      <c r="K9685" s="24"/>
      <c r="L9685" s="24"/>
      <c r="M9685" s="24"/>
      <c r="N9685" s="24"/>
      <c r="O9685" s="24"/>
      <c r="P9685" s="24"/>
      <c r="Q9685" s="24"/>
      <c r="R9685" s="24"/>
      <c r="S9685" s="24"/>
      <c r="T9685" s="24"/>
      <c r="U9685" s="24"/>
      <c r="V9685" s="24"/>
      <c r="W9685" s="24"/>
      <c r="X9685" s="24"/>
      <c r="Y9685" s="24"/>
      <c r="Z9685" s="24"/>
      <c r="AA9685" s="24"/>
    </row>
    <row r="9686">
      <c r="A9686" s="24"/>
      <c r="B9686" s="25"/>
      <c r="C9686" s="24"/>
      <c r="D9686" s="26"/>
      <c r="E9686" s="24"/>
      <c r="F9686" s="24"/>
      <c r="G9686" s="24"/>
      <c r="H9686" s="24"/>
      <c r="I9686" s="24"/>
      <c r="J9686" s="24"/>
      <c r="K9686" s="24"/>
      <c r="L9686" s="24"/>
      <c r="M9686" s="24"/>
      <c r="N9686" s="24"/>
      <c r="O9686" s="24"/>
      <c r="P9686" s="24"/>
      <c r="Q9686" s="24"/>
      <c r="R9686" s="24"/>
      <c r="S9686" s="24"/>
      <c r="T9686" s="24"/>
      <c r="U9686" s="24"/>
      <c r="V9686" s="24"/>
      <c r="W9686" s="24"/>
      <c r="X9686" s="24"/>
      <c r="Y9686" s="24"/>
      <c r="Z9686" s="24"/>
      <c r="AA9686" s="24"/>
    </row>
    <row r="9687">
      <c r="A9687" s="24"/>
      <c r="B9687" s="25"/>
      <c r="C9687" s="24"/>
      <c r="D9687" s="26"/>
      <c r="E9687" s="24"/>
      <c r="F9687" s="24"/>
      <c r="G9687" s="24"/>
      <c r="H9687" s="24"/>
      <c r="I9687" s="24"/>
      <c r="J9687" s="24"/>
      <c r="K9687" s="24"/>
      <c r="L9687" s="24"/>
      <c r="M9687" s="24"/>
      <c r="N9687" s="24"/>
      <c r="O9687" s="24"/>
      <c r="P9687" s="24"/>
      <c r="Q9687" s="24"/>
      <c r="R9687" s="24"/>
      <c r="S9687" s="24"/>
      <c r="T9687" s="24"/>
      <c r="U9687" s="24"/>
      <c r="V9687" s="24"/>
      <c r="W9687" s="24"/>
      <c r="X9687" s="24"/>
      <c r="Y9687" s="24"/>
      <c r="Z9687" s="24"/>
      <c r="AA9687" s="24"/>
    </row>
    <row r="9688">
      <c r="A9688" s="24"/>
      <c r="B9688" s="25"/>
      <c r="C9688" s="24"/>
      <c r="D9688" s="26"/>
      <c r="E9688" s="24"/>
      <c r="F9688" s="24"/>
      <c r="G9688" s="24"/>
      <c r="H9688" s="24"/>
      <c r="I9688" s="24"/>
      <c r="J9688" s="24"/>
      <c r="K9688" s="24"/>
      <c r="L9688" s="24"/>
      <c r="M9688" s="24"/>
      <c r="N9688" s="24"/>
      <c r="O9688" s="24"/>
      <c r="P9688" s="24"/>
      <c r="Q9688" s="24"/>
      <c r="R9688" s="24"/>
      <c r="S9688" s="24"/>
      <c r="T9688" s="24"/>
      <c r="U9688" s="24"/>
      <c r="V9688" s="24"/>
      <c r="W9688" s="24"/>
      <c r="X9688" s="24"/>
      <c r="Y9688" s="24"/>
      <c r="Z9688" s="24"/>
      <c r="AA9688" s="24"/>
    </row>
    <row r="9689">
      <c r="A9689" s="24"/>
      <c r="B9689" s="25"/>
      <c r="C9689" s="24"/>
      <c r="D9689" s="26"/>
      <c r="E9689" s="24"/>
      <c r="F9689" s="24"/>
      <c r="G9689" s="24"/>
      <c r="H9689" s="24"/>
      <c r="I9689" s="24"/>
      <c r="J9689" s="24"/>
      <c r="K9689" s="24"/>
      <c r="L9689" s="24"/>
      <c r="M9689" s="24"/>
      <c r="N9689" s="24"/>
      <c r="O9689" s="24"/>
      <c r="P9689" s="24"/>
      <c r="Q9689" s="24"/>
      <c r="R9689" s="24"/>
      <c r="S9689" s="24"/>
      <c r="T9689" s="24"/>
      <c r="U9689" s="24"/>
      <c r="V9689" s="24"/>
      <c r="W9689" s="24"/>
      <c r="X9689" s="24"/>
      <c r="Y9689" s="24"/>
      <c r="Z9689" s="24"/>
      <c r="AA9689" s="24"/>
    </row>
    <row r="9690">
      <c r="A9690" s="24"/>
      <c r="B9690" s="25"/>
      <c r="C9690" s="24"/>
      <c r="D9690" s="26"/>
      <c r="E9690" s="24"/>
      <c r="F9690" s="24"/>
      <c r="G9690" s="24"/>
      <c r="H9690" s="24"/>
      <c r="I9690" s="24"/>
      <c r="J9690" s="24"/>
      <c r="K9690" s="24"/>
      <c r="L9690" s="24"/>
      <c r="M9690" s="24"/>
      <c r="N9690" s="24"/>
      <c r="O9690" s="24"/>
      <c r="P9690" s="24"/>
      <c r="Q9690" s="24"/>
      <c r="R9690" s="24"/>
      <c r="S9690" s="24"/>
      <c r="T9690" s="24"/>
      <c r="U9690" s="24"/>
      <c r="V9690" s="24"/>
      <c r="W9690" s="24"/>
      <c r="X9690" s="24"/>
      <c r="Y9690" s="24"/>
      <c r="Z9690" s="24"/>
      <c r="AA9690" s="24"/>
    </row>
    <row r="9691">
      <c r="A9691" s="24"/>
      <c r="B9691" s="25"/>
      <c r="C9691" s="24"/>
      <c r="D9691" s="26"/>
      <c r="E9691" s="24"/>
      <c r="F9691" s="24"/>
      <c r="G9691" s="24"/>
      <c r="H9691" s="24"/>
      <c r="I9691" s="24"/>
      <c r="J9691" s="24"/>
      <c r="K9691" s="24"/>
      <c r="L9691" s="24"/>
      <c r="M9691" s="24"/>
      <c r="N9691" s="24"/>
      <c r="O9691" s="24"/>
      <c r="P9691" s="24"/>
      <c r="Q9691" s="24"/>
      <c r="R9691" s="24"/>
      <c r="S9691" s="24"/>
      <c r="T9691" s="24"/>
      <c r="U9691" s="24"/>
      <c r="V9691" s="24"/>
      <c r="W9691" s="24"/>
      <c r="X9691" s="24"/>
      <c r="Y9691" s="24"/>
      <c r="Z9691" s="24"/>
      <c r="AA9691" s="24"/>
    </row>
    <row r="9692">
      <c r="A9692" s="24"/>
      <c r="B9692" s="25"/>
      <c r="C9692" s="24"/>
      <c r="D9692" s="26"/>
      <c r="E9692" s="24"/>
      <c r="F9692" s="24"/>
      <c r="G9692" s="24"/>
      <c r="H9692" s="24"/>
      <c r="I9692" s="24"/>
      <c r="J9692" s="24"/>
      <c r="K9692" s="24"/>
      <c r="L9692" s="24"/>
      <c r="M9692" s="24"/>
      <c r="N9692" s="24"/>
      <c r="O9692" s="24"/>
      <c r="P9692" s="24"/>
      <c r="Q9692" s="24"/>
      <c r="R9692" s="24"/>
      <c r="S9692" s="24"/>
      <c r="T9692" s="24"/>
      <c r="U9692" s="24"/>
      <c r="V9692" s="24"/>
      <c r="W9692" s="24"/>
      <c r="X9692" s="24"/>
      <c r="Y9692" s="24"/>
      <c r="Z9692" s="24"/>
      <c r="AA9692" s="24"/>
    </row>
    <row r="9693">
      <c r="A9693" s="24"/>
      <c r="B9693" s="25"/>
      <c r="C9693" s="24"/>
      <c r="D9693" s="26"/>
      <c r="E9693" s="24"/>
      <c r="F9693" s="24"/>
      <c r="G9693" s="24"/>
      <c r="H9693" s="24"/>
      <c r="I9693" s="24"/>
      <c r="J9693" s="24"/>
      <c r="K9693" s="24"/>
      <c r="L9693" s="24"/>
      <c r="M9693" s="24"/>
      <c r="N9693" s="24"/>
      <c r="O9693" s="24"/>
      <c r="P9693" s="24"/>
      <c r="Q9693" s="24"/>
      <c r="R9693" s="24"/>
      <c r="S9693" s="24"/>
      <c r="T9693" s="24"/>
      <c r="U9693" s="24"/>
      <c r="V9693" s="24"/>
      <c r="W9693" s="24"/>
      <c r="X9693" s="24"/>
      <c r="Y9693" s="24"/>
      <c r="Z9693" s="24"/>
      <c r="AA9693" s="24"/>
    </row>
    <row r="9694">
      <c r="A9694" s="24"/>
      <c r="B9694" s="25"/>
      <c r="C9694" s="24"/>
      <c r="D9694" s="26"/>
      <c r="E9694" s="24"/>
      <c r="F9694" s="24"/>
      <c r="G9694" s="24"/>
      <c r="H9694" s="24"/>
      <c r="I9694" s="24"/>
      <c r="J9694" s="24"/>
      <c r="K9694" s="24"/>
      <c r="L9694" s="24"/>
      <c r="M9694" s="24"/>
      <c r="N9694" s="24"/>
      <c r="O9694" s="24"/>
      <c r="P9694" s="24"/>
      <c r="Q9694" s="24"/>
      <c r="R9694" s="24"/>
      <c r="S9694" s="24"/>
      <c r="T9694" s="24"/>
      <c r="U9694" s="24"/>
      <c r="V9694" s="24"/>
      <c r="W9694" s="24"/>
      <c r="X9694" s="24"/>
      <c r="Y9694" s="24"/>
      <c r="Z9694" s="24"/>
      <c r="AA9694" s="24"/>
    </row>
    <row r="9695">
      <c r="A9695" s="24"/>
      <c r="B9695" s="25"/>
      <c r="C9695" s="24"/>
      <c r="D9695" s="26"/>
      <c r="E9695" s="24"/>
      <c r="F9695" s="24"/>
      <c r="G9695" s="24"/>
      <c r="H9695" s="24"/>
      <c r="I9695" s="24"/>
      <c r="J9695" s="24"/>
      <c r="K9695" s="24"/>
      <c r="L9695" s="24"/>
      <c r="M9695" s="24"/>
      <c r="N9695" s="24"/>
      <c r="O9695" s="24"/>
      <c r="P9695" s="24"/>
      <c r="Q9695" s="24"/>
      <c r="R9695" s="24"/>
      <c r="S9695" s="24"/>
      <c r="T9695" s="24"/>
      <c r="U9695" s="24"/>
      <c r="V9695" s="24"/>
      <c r="W9695" s="24"/>
      <c r="X9695" s="24"/>
      <c r="Y9695" s="24"/>
      <c r="Z9695" s="24"/>
      <c r="AA9695" s="24"/>
    </row>
    <row r="9696">
      <c r="A9696" s="24"/>
      <c r="B9696" s="25"/>
      <c r="C9696" s="24"/>
      <c r="D9696" s="26"/>
      <c r="E9696" s="24"/>
      <c r="F9696" s="24"/>
      <c r="G9696" s="24"/>
      <c r="H9696" s="24"/>
      <c r="I9696" s="24"/>
      <c r="J9696" s="24"/>
      <c r="K9696" s="24"/>
      <c r="L9696" s="24"/>
      <c r="M9696" s="24"/>
      <c r="N9696" s="24"/>
      <c r="O9696" s="24"/>
      <c r="P9696" s="24"/>
      <c r="Q9696" s="24"/>
      <c r="R9696" s="24"/>
      <c r="S9696" s="24"/>
      <c r="T9696" s="24"/>
      <c r="U9696" s="24"/>
      <c r="V9696" s="24"/>
      <c r="W9696" s="24"/>
      <c r="X9696" s="24"/>
      <c r="Y9696" s="24"/>
      <c r="Z9696" s="24"/>
      <c r="AA9696" s="24"/>
    </row>
    <row r="9697">
      <c r="A9697" s="24"/>
      <c r="B9697" s="25"/>
      <c r="C9697" s="24"/>
      <c r="D9697" s="26"/>
      <c r="E9697" s="24"/>
      <c r="F9697" s="24"/>
      <c r="G9697" s="24"/>
      <c r="H9697" s="24"/>
      <c r="I9697" s="24"/>
      <c r="J9697" s="24"/>
      <c r="K9697" s="24"/>
      <c r="L9697" s="24"/>
      <c r="M9697" s="24"/>
      <c r="N9697" s="24"/>
      <c r="O9697" s="24"/>
      <c r="P9697" s="24"/>
      <c r="Q9697" s="24"/>
      <c r="R9697" s="24"/>
      <c r="S9697" s="24"/>
      <c r="T9697" s="24"/>
      <c r="U9697" s="24"/>
      <c r="V9697" s="24"/>
      <c r="W9697" s="24"/>
      <c r="X9697" s="24"/>
      <c r="Y9697" s="24"/>
      <c r="Z9697" s="24"/>
      <c r="AA9697" s="24"/>
    </row>
    <row r="9698">
      <c r="A9698" s="24"/>
      <c r="B9698" s="25"/>
      <c r="C9698" s="24"/>
      <c r="D9698" s="26"/>
      <c r="E9698" s="24"/>
      <c r="F9698" s="24"/>
      <c r="G9698" s="24"/>
      <c r="H9698" s="24"/>
      <c r="I9698" s="24"/>
      <c r="J9698" s="24"/>
      <c r="K9698" s="24"/>
      <c r="L9698" s="24"/>
      <c r="M9698" s="24"/>
      <c r="N9698" s="24"/>
      <c r="O9698" s="24"/>
      <c r="P9698" s="24"/>
      <c r="Q9698" s="24"/>
      <c r="R9698" s="24"/>
      <c r="S9698" s="24"/>
      <c r="T9698" s="24"/>
      <c r="U9698" s="24"/>
      <c r="V9698" s="24"/>
      <c r="W9698" s="24"/>
      <c r="X9698" s="24"/>
      <c r="Y9698" s="24"/>
      <c r="Z9698" s="24"/>
      <c r="AA9698" s="24"/>
    </row>
    <row r="9699">
      <c r="A9699" s="24"/>
      <c r="B9699" s="25"/>
      <c r="C9699" s="24"/>
      <c r="D9699" s="26"/>
      <c r="E9699" s="24"/>
      <c r="F9699" s="24"/>
      <c r="G9699" s="24"/>
      <c r="H9699" s="24"/>
      <c r="I9699" s="24"/>
      <c r="J9699" s="24"/>
      <c r="K9699" s="24"/>
      <c r="L9699" s="24"/>
      <c r="M9699" s="24"/>
      <c r="N9699" s="24"/>
      <c r="O9699" s="24"/>
      <c r="P9699" s="24"/>
      <c r="Q9699" s="24"/>
      <c r="R9699" s="24"/>
      <c r="S9699" s="24"/>
      <c r="T9699" s="24"/>
      <c r="U9699" s="24"/>
      <c r="V9699" s="24"/>
      <c r="W9699" s="24"/>
      <c r="X9699" s="24"/>
      <c r="Y9699" s="24"/>
      <c r="Z9699" s="24"/>
      <c r="AA9699" s="24"/>
    </row>
    <row r="9700">
      <c r="A9700" s="24"/>
      <c r="B9700" s="25"/>
      <c r="C9700" s="24"/>
      <c r="D9700" s="26"/>
      <c r="E9700" s="24"/>
      <c r="F9700" s="24"/>
      <c r="G9700" s="24"/>
      <c r="H9700" s="24"/>
      <c r="I9700" s="24"/>
      <c r="J9700" s="24"/>
      <c r="K9700" s="24"/>
      <c r="L9700" s="24"/>
      <c r="M9700" s="24"/>
      <c r="N9700" s="24"/>
      <c r="O9700" s="24"/>
      <c r="P9700" s="24"/>
      <c r="Q9700" s="24"/>
      <c r="R9700" s="24"/>
      <c r="S9700" s="24"/>
      <c r="T9700" s="24"/>
      <c r="U9700" s="24"/>
      <c r="V9700" s="24"/>
      <c r="W9700" s="24"/>
      <c r="X9700" s="24"/>
      <c r="Y9700" s="24"/>
      <c r="Z9700" s="24"/>
      <c r="AA9700" s="24"/>
    </row>
    <row r="9701">
      <c r="A9701" s="24"/>
      <c r="B9701" s="25"/>
      <c r="C9701" s="24"/>
      <c r="D9701" s="26"/>
      <c r="E9701" s="24"/>
      <c r="F9701" s="24"/>
      <c r="G9701" s="24"/>
      <c r="H9701" s="24"/>
      <c r="I9701" s="24"/>
      <c r="J9701" s="24"/>
      <c r="K9701" s="24"/>
      <c r="L9701" s="24"/>
      <c r="M9701" s="24"/>
      <c r="N9701" s="24"/>
      <c r="O9701" s="24"/>
      <c r="P9701" s="24"/>
      <c r="Q9701" s="24"/>
      <c r="R9701" s="24"/>
      <c r="S9701" s="24"/>
      <c r="T9701" s="24"/>
      <c r="U9701" s="24"/>
      <c r="V9701" s="24"/>
      <c r="W9701" s="24"/>
      <c r="X9701" s="24"/>
      <c r="Y9701" s="24"/>
      <c r="Z9701" s="24"/>
      <c r="AA9701" s="24"/>
    </row>
    <row r="9702">
      <c r="A9702" s="24"/>
      <c r="B9702" s="25"/>
      <c r="C9702" s="24"/>
      <c r="D9702" s="26"/>
      <c r="E9702" s="24"/>
      <c r="F9702" s="24"/>
      <c r="G9702" s="24"/>
      <c r="H9702" s="24"/>
      <c r="I9702" s="24"/>
      <c r="J9702" s="24"/>
      <c r="K9702" s="24"/>
      <c r="L9702" s="24"/>
      <c r="M9702" s="24"/>
      <c r="N9702" s="24"/>
      <c r="O9702" s="24"/>
      <c r="P9702" s="24"/>
      <c r="Q9702" s="24"/>
      <c r="R9702" s="24"/>
      <c r="S9702" s="24"/>
      <c r="T9702" s="24"/>
      <c r="U9702" s="24"/>
      <c r="V9702" s="24"/>
      <c r="W9702" s="24"/>
      <c r="X9702" s="24"/>
      <c r="Y9702" s="24"/>
      <c r="Z9702" s="24"/>
      <c r="AA9702" s="24"/>
    </row>
    <row r="9703">
      <c r="A9703" s="24"/>
      <c r="B9703" s="25"/>
      <c r="C9703" s="24"/>
      <c r="D9703" s="26"/>
      <c r="E9703" s="24"/>
      <c r="F9703" s="24"/>
      <c r="G9703" s="24"/>
      <c r="H9703" s="24"/>
      <c r="I9703" s="24"/>
      <c r="J9703" s="24"/>
      <c r="K9703" s="24"/>
      <c r="L9703" s="24"/>
      <c r="M9703" s="24"/>
      <c r="N9703" s="24"/>
      <c r="O9703" s="24"/>
      <c r="P9703" s="24"/>
      <c r="Q9703" s="24"/>
      <c r="R9703" s="24"/>
      <c r="S9703" s="24"/>
      <c r="T9703" s="24"/>
      <c r="U9703" s="24"/>
      <c r="V9703" s="24"/>
      <c r="W9703" s="24"/>
      <c r="X9703" s="24"/>
      <c r="Y9703" s="24"/>
      <c r="Z9703" s="24"/>
      <c r="AA9703" s="24"/>
    </row>
    <row r="9704">
      <c r="A9704" s="24"/>
      <c r="B9704" s="25"/>
      <c r="C9704" s="24"/>
      <c r="D9704" s="26"/>
      <c r="E9704" s="24"/>
      <c r="F9704" s="24"/>
      <c r="G9704" s="24"/>
      <c r="H9704" s="24"/>
      <c r="I9704" s="24"/>
      <c r="J9704" s="24"/>
      <c r="K9704" s="24"/>
      <c r="L9704" s="24"/>
      <c r="M9704" s="24"/>
      <c r="N9704" s="24"/>
      <c r="O9704" s="24"/>
      <c r="P9704" s="24"/>
      <c r="Q9704" s="24"/>
      <c r="R9704" s="24"/>
      <c r="S9704" s="24"/>
      <c r="T9704" s="24"/>
      <c r="U9704" s="24"/>
      <c r="V9704" s="24"/>
      <c r="W9704" s="24"/>
      <c r="X9704" s="24"/>
      <c r="Y9704" s="24"/>
      <c r="Z9704" s="24"/>
      <c r="AA9704" s="24"/>
    </row>
    <row r="9705">
      <c r="A9705" s="24"/>
      <c r="B9705" s="25"/>
      <c r="C9705" s="24"/>
      <c r="D9705" s="26"/>
      <c r="E9705" s="24"/>
      <c r="F9705" s="24"/>
      <c r="G9705" s="24"/>
      <c r="H9705" s="24"/>
      <c r="I9705" s="24"/>
      <c r="J9705" s="24"/>
      <c r="K9705" s="24"/>
      <c r="L9705" s="24"/>
      <c r="M9705" s="24"/>
      <c r="N9705" s="24"/>
      <c r="O9705" s="24"/>
      <c r="P9705" s="24"/>
      <c r="Q9705" s="24"/>
      <c r="R9705" s="24"/>
      <c r="S9705" s="24"/>
      <c r="T9705" s="24"/>
      <c r="U9705" s="24"/>
      <c r="V9705" s="24"/>
      <c r="W9705" s="24"/>
      <c r="X9705" s="24"/>
      <c r="Y9705" s="24"/>
      <c r="Z9705" s="24"/>
      <c r="AA9705" s="24"/>
    </row>
    <row r="9706">
      <c r="A9706" s="24"/>
      <c r="B9706" s="25"/>
      <c r="C9706" s="24"/>
      <c r="D9706" s="26"/>
      <c r="E9706" s="24"/>
      <c r="F9706" s="24"/>
      <c r="G9706" s="24"/>
      <c r="H9706" s="24"/>
      <c r="I9706" s="24"/>
      <c r="J9706" s="24"/>
      <c r="K9706" s="24"/>
      <c r="L9706" s="24"/>
      <c r="M9706" s="24"/>
      <c r="N9706" s="24"/>
      <c r="O9706" s="24"/>
      <c r="P9706" s="24"/>
      <c r="Q9706" s="24"/>
      <c r="R9706" s="24"/>
      <c r="S9706" s="24"/>
      <c r="T9706" s="24"/>
      <c r="U9706" s="24"/>
      <c r="V9706" s="24"/>
      <c r="W9706" s="24"/>
      <c r="X9706" s="24"/>
      <c r="Y9706" s="24"/>
      <c r="Z9706" s="24"/>
      <c r="AA9706" s="24"/>
    </row>
    <row r="9707">
      <c r="A9707" s="24"/>
      <c r="B9707" s="25"/>
      <c r="C9707" s="24"/>
      <c r="D9707" s="26"/>
      <c r="E9707" s="24"/>
      <c r="F9707" s="24"/>
      <c r="G9707" s="24"/>
      <c r="H9707" s="24"/>
      <c r="I9707" s="24"/>
      <c r="J9707" s="24"/>
      <c r="K9707" s="24"/>
      <c r="L9707" s="24"/>
      <c r="M9707" s="24"/>
      <c r="N9707" s="24"/>
      <c r="O9707" s="24"/>
      <c r="P9707" s="24"/>
      <c r="Q9707" s="24"/>
      <c r="R9707" s="24"/>
      <c r="S9707" s="24"/>
      <c r="T9707" s="24"/>
      <c r="U9707" s="24"/>
      <c r="V9707" s="24"/>
      <c r="W9707" s="24"/>
      <c r="X9707" s="24"/>
      <c r="Y9707" s="24"/>
      <c r="Z9707" s="24"/>
      <c r="AA9707" s="24"/>
    </row>
    <row r="9708">
      <c r="A9708" s="24"/>
      <c r="B9708" s="25"/>
      <c r="C9708" s="24"/>
      <c r="D9708" s="26"/>
      <c r="E9708" s="24"/>
      <c r="F9708" s="24"/>
      <c r="G9708" s="24"/>
      <c r="H9708" s="24"/>
      <c r="I9708" s="24"/>
      <c r="J9708" s="24"/>
      <c r="K9708" s="24"/>
      <c r="L9708" s="24"/>
      <c r="M9708" s="24"/>
      <c r="N9708" s="24"/>
      <c r="O9708" s="24"/>
      <c r="P9708" s="24"/>
      <c r="Q9708" s="24"/>
      <c r="R9708" s="24"/>
      <c r="S9708" s="24"/>
      <c r="T9708" s="24"/>
      <c r="U9708" s="24"/>
      <c r="V9708" s="24"/>
      <c r="W9708" s="24"/>
      <c r="X9708" s="24"/>
      <c r="Y9708" s="24"/>
      <c r="Z9708" s="24"/>
      <c r="AA9708" s="24"/>
    </row>
    <row r="9709">
      <c r="A9709" s="24"/>
      <c r="B9709" s="25"/>
      <c r="C9709" s="24"/>
      <c r="D9709" s="26"/>
      <c r="E9709" s="24"/>
      <c r="F9709" s="24"/>
      <c r="G9709" s="24"/>
      <c r="H9709" s="24"/>
      <c r="I9709" s="24"/>
      <c r="J9709" s="24"/>
      <c r="K9709" s="24"/>
      <c r="L9709" s="24"/>
      <c r="M9709" s="24"/>
      <c r="N9709" s="24"/>
      <c r="O9709" s="24"/>
      <c r="P9709" s="24"/>
      <c r="Q9709" s="24"/>
      <c r="R9709" s="24"/>
      <c r="S9709" s="24"/>
      <c r="T9709" s="24"/>
      <c r="U9709" s="24"/>
      <c r="V9709" s="24"/>
      <c r="W9709" s="24"/>
      <c r="X9709" s="24"/>
      <c r="Y9709" s="24"/>
      <c r="Z9709" s="24"/>
      <c r="AA9709" s="24"/>
    </row>
    <row r="9710">
      <c r="A9710" s="24"/>
      <c r="B9710" s="25"/>
      <c r="C9710" s="24"/>
      <c r="D9710" s="26"/>
      <c r="E9710" s="24"/>
      <c r="F9710" s="24"/>
      <c r="G9710" s="24"/>
      <c r="H9710" s="24"/>
      <c r="I9710" s="24"/>
      <c r="J9710" s="24"/>
      <c r="K9710" s="24"/>
      <c r="L9710" s="24"/>
      <c r="M9710" s="24"/>
      <c r="N9710" s="24"/>
      <c r="O9710" s="24"/>
      <c r="P9710" s="24"/>
      <c r="Q9710" s="24"/>
      <c r="R9710" s="24"/>
      <c r="S9710" s="24"/>
      <c r="T9710" s="24"/>
      <c r="U9710" s="24"/>
      <c r="V9710" s="24"/>
      <c r="W9710" s="24"/>
      <c r="X9710" s="24"/>
      <c r="Y9710" s="24"/>
      <c r="Z9710" s="24"/>
      <c r="AA9710" s="24"/>
    </row>
    <row r="9711">
      <c r="A9711" s="24"/>
      <c r="B9711" s="25"/>
      <c r="C9711" s="24"/>
      <c r="D9711" s="26"/>
      <c r="E9711" s="24"/>
      <c r="F9711" s="24"/>
      <c r="G9711" s="24"/>
      <c r="H9711" s="24"/>
      <c r="I9711" s="24"/>
      <c r="J9711" s="24"/>
      <c r="K9711" s="24"/>
      <c r="L9711" s="24"/>
      <c r="M9711" s="24"/>
      <c r="N9711" s="24"/>
      <c r="O9711" s="24"/>
      <c r="P9711" s="24"/>
      <c r="Q9711" s="24"/>
      <c r="R9711" s="24"/>
      <c r="S9711" s="24"/>
      <c r="T9711" s="24"/>
      <c r="U9711" s="24"/>
      <c r="V9711" s="24"/>
      <c r="W9711" s="24"/>
      <c r="X9711" s="24"/>
      <c r="Y9711" s="24"/>
      <c r="Z9711" s="24"/>
      <c r="AA9711" s="24"/>
    </row>
    <row r="9712">
      <c r="A9712" s="24"/>
      <c r="B9712" s="25"/>
      <c r="C9712" s="24"/>
      <c r="D9712" s="26"/>
      <c r="E9712" s="24"/>
      <c r="F9712" s="24"/>
      <c r="G9712" s="24"/>
      <c r="H9712" s="24"/>
      <c r="I9712" s="24"/>
      <c r="J9712" s="24"/>
      <c r="K9712" s="24"/>
      <c r="L9712" s="24"/>
      <c r="M9712" s="24"/>
      <c r="N9712" s="24"/>
      <c r="O9712" s="24"/>
      <c r="P9712" s="24"/>
      <c r="Q9712" s="24"/>
      <c r="R9712" s="24"/>
      <c r="S9712" s="24"/>
      <c r="T9712" s="24"/>
      <c r="U9712" s="24"/>
      <c r="V9712" s="24"/>
      <c r="W9712" s="24"/>
      <c r="X9712" s="24"/>
      <c r="Y9712" s="24"/>
      <c r="Z9712" s="24"/>
      <c r="AA9712" s="24"/>
    </row>
    <row r="9713">
      <c r="A9713" s="24"/>
      <c r="B9713" s="25"/>
      <c r="C9713" s="24"/>
      <c r="D9713" s="26"/>
      <c r="E9713" s="24"/>
      <c r="F9713" s="24"/>
      <c r="G9713" s="24"/>
      <c r="H9713" s="24"/>
      <c r="I9713" s="24"/>
      <c r="J9713" s="24"/>
      <c r="K9713" s="24"/>
      <c r="L9713" s="24"/>
      <c r="M9713" s="24"/>
      <c r="N9713" s="24"/>
      <c r="O9713" s="24"/>
      <c r="P9713" s="24"/>
      <c r="Q9713" s="24"/>
      <c r="R9713" s="24"/>
      <c r="S9713" s="24"/>
      <c r="T9713" s="24"/>
      <c r="U9713" s="24"/>
      <c r="V9713" s="24"/>
      <c r="W9713" s="24"/>
      <c r="X9713" s="24"/>
      <c r="Y9713" s="24"/>
      <c r="Z9713" s="24"/>
      <c r="AA9713" s="24"/>
    </row>
    <row r="9714">
      <c r="A9714" s="24"/>
      <c r="B9714" s="25"/>
      <c r="C9714" s="24"/>
      <c r="D9714" s="26"/>
      <c r="E9714" s="24"/>
      <c r="F9714" s="24"/>
      <c r="G9714" s="24"/>
      <c r="H9714" s="24"/>
      <c r="I9714" s="24"/>
      <c r="J9714" s="24"/>
      <c r="K9714" s="24"/>
      <c r="L9714" s="24"/>
      <c r="M9714" s="24"/>
      <c r="N9714" s="24"/>
      <c r="O9714" s="24"/>
      <c r="P9714" s="24"/>
      <c r="Q9714" s="24"/>
      <c r="R9714" s="24"/>
      <c r="S9714" s="24"/>
      <c r="T9714" s="24"/>
      <c r="U9714" s="24"/>
      <c r="V9714" s="24"/>
      <c r="W9714" s="24"/>
      <c r="X9714" s="24"/>
      <c r="Y9714" s="24"/>
      <c r="Z9714" s="24"/>
      <c r="AA9714" s="24"/>
    </row>
    <row r="9715">
      <c r="A9715" s="24"/>
      <c r="B9715" s="25"/>
      <c r="C9715" s="24"/>
      <c r="D9715" s="26"/>
      <c r="E9715" s="24"/>
      <c r="F9715" s="24"/>
      <c r="G9715" s="24"/>
      <c r="H9715" s="24"/>
      <c r="I9715" s="24"/>
      <c r="J9715" s="24"/>
      <c r="K9715" s="24"/>
      <c r="L9715" s="24"/>
      <c r="M9715" s="24"/>
      <c r="N9715" s="24"/>
      <c r="O9715" s="24"/>
      <c r="P9715" s="24"/>
      <c r="Q9715" s="24"/>
      <c r="R9715" s="24"/>
      <c r="S9715" s="24"/>
      <c r="T9715" s="24"/>
      <c r="U9715" s="24"/>
      <c r="V9715" s="24"/>
      <c r="W9715" s="24"/>
      <c r="X9715" s="24"/>
      <c r="Y9715" s="24"/>
      <c r="Z9715" s="24"/>
      <c r="AA9715" s="24"/>
    </row>
    <row r="9716">
      <c r="A9716" s="24"/>
      <c r="B9716" s="25"/>
      <c r="C9716" s="24"/>
      <c r="D9716" s="26"/>
      <c r="E9716" s="24"/>
      <c r="F9716" s="24"/>
      <c r="G9716" s="24"/>
      <c r="H9716" s="24"/>
      <c r="I9716" s="24"/>
      <c r="J9716" s="24"/>
      <c r="K9716" s="24"/>
      <c r="L9716" s="24"/>
      <c r="M9716" s="24"/>
      <c r="N9716" s="24"/>
      <c r="O9716" s="24"/>
      <c r="P9716" s="24"/>
      <c r="Q9716" s="24"/>
      <c r="R9716" s="24"/>
      <c r="S9716" s="24"/>
      <c r="T9716" s="24"/>
      <c r="U9716" s="24"/>
      <c r="V9716" s="24"/>
      <c r="W9716" s="24"/>
      <c r="X9716" s="24"/>
      <c r="Y9716" s="24"/>
      <c r="Z9716" s="24"/>
      <c r="AA9716" s="24"/>
    </row>
    <row r="9717">
      <c r="A9717" s="24"/>
      <c r="B9717" s="25"/>
      <c r="C9717" s="24"/>
      <c r="D9717" s="26"/>
      <c r="E9717" s="24"/>
      <c r="F9717" s="24"/>
      <c r="G9717" s="24"/>
      <c r="H9717" s="24"/>
      <c r="I9717" s="24"/>
      <c r="J9717" s="24"/>
      <c r="K9717" s="24"/>
      <c r="L9717" s="24"/>
      <c r="M9717" s="24"/>
      <c r="N9717" s="24"/>
      <c r="O9717" s="24"/>
      <c r="P9717" s="24"/>
      <c r="Q9717" s="24"/>
      <c r="R9717" s="24"/>
      <c r="S9717" s="24"/>
      <c r="T9717" s="24"/>
      <c r="U9717" s="24"/>
      <c r="V9717" s="24"/>
      <c r="W9717" s="24"/>
      <c r="X9717" s="24"/>
      <c r="Y9717" s="24"/>
      <c r="Z9717" s="24"/>
      <c r="AA9717" s="24"/>
    </row>
    <row r="9718">
      <c r="A9718" s="24"/>
      <c r="B9718" s="25"/>
      <c r="C9718" s="24"/>
      <c r="D9718" s="26"/>
      <c r="E9718" s="24"/>
      <c r="F9718" s="24"/>
      <c r="G9718" s="24"/>
      <c r="H9718" s="24"/>
      <c r="I9718" s="24"/>
      <c r="J9718" s="24"/>
      <c r="K9718" s="24"/>
      <c r="L9718" s="24"/>
      <c r="M9718" s="24"/>
      <c r="N9718" s="24"/>
      <c r="O9718" s="24"/>
      <c r="P9718" s="24"/>
      <c r="Q9718" s="24"/>
      <c r="R9718" s="24"/>
      <c r="S9718" s="24"/>
      <c r="T9718" s="24"/>
      <c r="U9718" s="24"/>
      <c r="V9718" s="24"/>
      <c r="W9718" s="24"/>
      <c r="X9718" s="24"/>
      <c r="Y9718" s="24"/>
      <c r="Z9718" s="24"/>
      <c r="AA9718" s="24"/>
    </row>
    <row r="9719">
      <c r="A9719" s="24"/>
      <c r="B9719" s="25"/>
      <c r="C9719" s="24"/>
      <c r="D9719" s="26"/>
      <c r="E9719" s="24"/>
      <c r="F9719" s="24"/>
      <c r="G9719" s="24"/>
      <c r="H9719" s="24"/>
      <c r="I9719" s="24"/>
      <c r="J9719" s="24"/>
      <c r="K9719" s="24"/>
      <c r="L9719" s="24"/>
      <c r="M9719" s="24"/>
      <c r="N9719" s="24"/>
      <c r="O9719" s="24"/>
      <c r="P9719" s="24"/>
      <c r="Q9719" s="24"/>
      <c r="R9719" s="24"/>
      <c r="S9719" s="24"/>
      <c r="T9719" s="24"/>
      <c r="U9719" s="24"/>
      <c r="V9719" s="24"/>
      <c r="W9719" s="24"/>
      <c r="X9719" s="24"/>
      <c r="Y9719" s="24"/>
      <c r="Z9719" s="24"/>
      <c r="AA9719" s="24"/>
    </row>
    <row r="9720">
      <c r="A9720" s="24"/>
      <c r="B9720" s="25"/>
      <c r="C9720" s="24"/>
      <c r="D9720" s="26"/>
      <c r="E9720" s="24"/>
      <c r="F9720" s="24"/>
      <c r="G9720" s="24"/>
      <c r="H9720" s="24"/>
      <c r="I9720" s="24"/>
      <c r="J9720" s="24"/>
      <c r="K9720" s="24"/>
      <c r="L9720" s="24"/>
      <c r="M9720" s="24"/>
      <c r="N9720" s="24"/>
      <c r="O9720" s="24"/>
      <c r="P9720" s="24"/>
      <c r="Q9720" s="24"/>
      <c r="R9720" s="24"/>
      <c r="S9720" s="24"/>
      <c r="T9720" s="24"/>
      <c r="U9720" s="24"/>
      <c r="V9720" s="24"/>
      <c r="W9720" s="24"/>
      <c r="X9720" s="24"/>
      <c r="Y9720" s="24"/>
      <c r="Z9720" s="24"/>
      <c r="AA9720" s="24"/>
    </row>
    <row r="9721">
      <c r="A9721" s="24"/>
      <c r="B9721" s="25"/>
      <c r="C9721" s="24"/>
      <c r="D9721" s="26"/>
      <c r="E9721" s="24"/>
      <c r="F9721" s="24"/>
      <c r="G9721" s="24"/>
      <c r="H9721" s="24"/>
      <c r="I9721" s="24"/>
      <c r="J9721" s="24"/>
      <c r="K9721" s="24"/>
      <c r="L9721" s="24"/>
      <c r="M9721" s="24"/>
      <c r="N9721" s="24"/>
      <c r="O9721" s="24"/>
      <c r="P9721" s="24"/>
      <c r="Q9721" s="24"/>
      <c r="R9721" s="24"/>
      <c r="S9721" s="24"/>
      <c r="T9721" s="24"/>
      <c r="U9721" s="24"/>
      <c r="V9721" s="24"/>
      <c r="W9721" s="24"/>
      <c r="X9721" s="24"/>
      <c r="Y9721" s="24"/>
      <c r="Z9721" s="24"/>
      <c r="AA9721" s="24"/>
    </row>
    <row r="9722">
      <c r="A9722" s="24"/>
      <c r="B9722" s="25"/>
      <c r="C9722" s="24"/>
      <c r="D9722" s="26"/>
      <c r="E9722" s="24"/>
      <c r="F9722" s="24"/>
      <c r="G9722" s="24"/>
      <c r="H9722" s="24"/>
      <c r="I9722" s="24"/>
      <c r="J9722" s="24"/>
      <c r="K9722" s="24"/>
      <c r="L9722" s="24"/>
      <c r="M9722" s="24"/>
      <c r="N9722" s="24"/>
      <c r="O9722" s="24"/>
      <c r="P9722" s="24"/>
      <c r="Q9722" s="24"/>
      <c r="R9722" s="24"/>
      <c r="S9722" s="24"/>
      <c r="T9722" s="24"/>
      <c r="U9722" s="24"/>
      <c r="V9722" s="24"/>
      <c r="W9722" s="24"/>
      <c r="X9722" s="24"/>
      <c r="Y9722" s="24"/>
      <c r="Z9722" s="24"/>
      <c r="AA9722" s="24"/>
    </row>
    <row r="9723">
      <c r="A9723" s="24"/>
      <c r="B9723" s="25"/>
      <c r="C9723" s="24"/>
      <c r="D9723" s="26"/>
      <c r="E9723" s="24"/>
      <c r="F9723" s="24"/>
      <c r="G9723" s="24"/>
      <c r="H9723" s="24"/>
      <c r="I9723" s="24"/>
      <c r="J9723" s="24"/>
      <c r="K9723" s="24"/>
      <c r="L9723" s="24"/>
      <c r="M9723" s="24"/>
      <c r="N9723" s="24"/>
      <c r="O9723" s="24"/>
      <c r="P9723" s="24"/>
      <c r="Q9723" s="24"/>
      <c r="R9723" s="24"/>
      <c r="S9723" s="24"/>
      <c r="T9723" s="24"/>
      <c r="U9723" s="24"/>
      <c r="V9723" s="24"/>
      <c r="W9723" s="24"/>
      <c r="X9723" s="24"/>
      <c r="Y9723" s="24"/>
      <c r="Z9723" s="24"/>
      <c r="AA9723" s="24"/>
    </row>
    <row r="9724">
      <c r="A9724" s="24"/>
      <c r="B9724" s="25"/>
      <c r="C9724" s="24"/>
      <c r="D9724" s="26"/>
      <c r="E9724" s="24"/>
      <c r="F9724" s="24"/>
      <c r="G9724" s="24"/>
      <c r="H9724" s="24"/>
      <c r="I9724" s="24"/>
      <c r="J9724" s="24"/>
      <c r="K9724" s="24"/>
      <c r="L9724" s="24"/>
      <c r="M9724" s="24"/>
      <c r="N9724" s="24"/>
      <c r="O9724" s="24"/>
      <c r="P9724" s="24"/>
      <c r="Q9724" s="24"/>
      <c r="R9724" s="24"/>
      <c r="S9724" s="24"/>
      <c r="T9724" s="24"/>
      <c r="U9724" s="24"/>
      <c r="V9724" s="24"/>
      <c r="W9724" s="24"/>
      <c r="X9724" s="24"/>
      <c r="Y9724" s="24"/>
      <c r="Z9724" s="24"/>
      <c r="AA9724" s="24"/>
    </row>
    <row r="9725">
      <c r="A9725" s="24"/>
      <c r="B9725" s="25"/>
      <c r="C9725" s="24"/>
      <c r="D9725" s="26"/>
      <c r="E9725" s="24"/>
      <c r="F9725" s="24"/>
      <c r="G9725" s="24"/>
      <c r="H9725" s="24"/>
      <c r="I9725" s="24"/>
      <c r="J9725" s="24"/>
      <c r="K9725" s="24"/>
      <c r="L9725" s="24"/>
      <c r="M9725" s="24"/>
      <c r="N9725" s="24"/>
      <c r="O9725" s="24"/>
      <c r="P9725" s="24"/>
      <c r="Q9725" s="24"/>
      <c r="R9725" s="24"/>
      <c r="S9725" s="24"/>
      <c r="T9725" s="24"/>
      <c r="U9725" s="24"/>
      <c r="V9725" s="24"/>
      <c r="W9725" s="24"/>
      <c r="X9725" s="24"/>
      <c r="Y9725" s="24"/>
      <c r="Z9725" s="24"/>
      <c r="AA9725" s="24"/>
    </row>
    <row r="9726">
      <c r="A9726" s="24"/>
      <c r="B9726" s="25"/>
      <c r="C9726" s="24"/>
      <c r="D9726" s="26"/>
      <c r="E9726" s="24"/>
      <c r="F9726" s="24"/>
      <c r="G9726" s="24"/>
      <c r="H9726" s="24"/>
      <c r="I9726" s="24"/>
      <c r="J9726" s="24"/>
      <c r="K9726" s="24"/>
      <c r="L9726" s="24"/>
      <c r="M9726" s="24"/>
      <c r="N9726" s="24"/>
      <c r="O9726" s="24"/>
      <c r="P9726" s="24"/>
      <c r="Q9726" s="24"/>
      <c r="R9726" s="24"/>
      <c r="S9726" s="24"/>
      <c r="T9726" s="24"/>
      <c r="U9726" s="24"/>
      <c r="V9726" s="24"/>
      <c r="W9726" s="24"/>
      <c r="X9726" s="24"/>
      <c r="Y9726" s="24"/>
      <c r="Z9726" s="24"/>
      <c r="AA9726" s="24"/>
    </row>
    <row r="9727">
      <c r="A9727" s="24"/>
      <c r="B9727" s="25"/>
      <c r="C9727" s="24"/>
      <c r="D9727" s="26"/>
      <c r="E9727" s="24"/>
      <c r="F9727" s="24"/>
      <c r="G9727" s="24"/>
      <c r="H9727" s="24"/>
      <c r="I9727" s="24"/>
      <c r="J9727" s="24"/>
      <c r="K9727" s="24"/>
      <c r="L9727" s="24"/>
      <c r="M9727" s="24"/>
      <c r="N9727" s="24"/>
      <c r="O9727" s="24"/>
      <c r="P9727" s="24"/>
      <c r="Q9727" s="24"/>
      <c r="R9727" s="24"/>
      <c r="S9727" s="24"/>
      <c r="T9727" s="24"/>
      <c r="U9727" s="24"/>
      <c r="V9727" s="24"/>
      <c r="W9727" s="24"/>
      <c r="X9727" s="24"/>
      <c r="Y9727" s="24"/>
      <c r="Z9727" s="24"/>
      <c r="AA9727" s="24"/>
    </row>
    <row r="9728">
      <c r="A9728" s="24"/>
      <c r="B9728" s="25"/>
      <c r="C9728" s="24"/>
      <c r="D9728" s="26"/>
      <c r="E9728" s="24"/>
      <c r="F9728" s="24"/>
      <c r="G9728" s="24"/>
      <c r="H9728" s="24"/>
      <c r="I9728" s="24"/>
      <c r="J9728" s="24"/>
      <c r="K9728" s="24"/>
      <c r="L9728" s="24"/>
      <c r="M9728" s="24"/>
      <c r="N9728" s="24"/>
      <c r="O9728" s="24"/>
      <c r="P9728" s="24"/>
      <c r="Q9728" s="24"/>
      <c r="R9728" s="24"/>
      <c r="S9728" s="24"/>
      <c r="T9728" s="24"/>
      <c r="U9728" s="24"/>
      <c r="V9728" s="24"/>
      <c r="W9728" s="24"/>
      <c r="X9728" s="24"/>
      <c r="Y9728" s="24"/>
      <c r="Z9728" s="24"/>
      <c r="AA9728" s="24"/>
    </row>
    <row r="9729">
      <c r="A9729" s="24"/>
      <c r="B9729" s="25"/>
      <c r="C9729" s="24"/>
      <c r="D9729" s="26"/>
      <c r="E9729" s="24"/>
      <c r="F9729" s="24"/>
      <c r="G9729" s="24"/>
      <c r="H9729" s="24"/>
      <c r="I9729" s="24"/>
      <c r="J9729" s="24"/>
      <c r="K9729" s="24"/>
      <c r="L9729" s="24"/>
      <c r="M9729" s="24"/>
      <c r="N9729" s="24"/>
      <c r="O9729" s="24"/>
      <c r="P9729" s="24"/>
      <c r="Q9729" s="24"/>
      <c r="R9729" s="24"/>
      <c r="S9729" s="24"/>
      <c r="T9729" s="24"/>
      <c r="U9729" s="24"/>
      <c r="V9729" s="24"/>
      <c r="W9729" s="24"/>
      <c r="X9729" s="24"/>
      <c r="Y9729" s="24"/>
      <c r="Z9729" s="24"/>
      <c r="AA9729" s="24"/>
    </row>
    <row r="9730">
      <c r="A9730" s="24"/>
      <c r="B9730" s="25"/>
      <c r="C9730" s="24"/>
      <c r="D9730" s="26"/>
      <c r="E9730" s="24"/>
      <c r="F9730" s="24"/>
      <c r="G9730" s="24"/>
      <c r="H9730" s="24"/>
      <c r="I9730" s="24"/>
      <c r="J9730" s="24"/>
      <c r="K9730" s="24"/>
      <c r="L9730" s="24"/>
      <c r="M9730" s="24"/>
      <c r="N9730" s="24"/>
      <c r="O9730" s="24"/>
      <c r="P9730" s="24"/>
      <c r="Q9730" s="24"/>
      <c r="R9730" s="24"/>
      <c r="S9730" s="24"/>
      <c r="T9730" s="24"/>
      <c r="U9730" s="24"/>
      <c r="V9730" s="24"/>
      <c r="W9730" s="24"/>
      <c r="X9730" s="24"/>
      <c r="Y9730" s="24"/>
      <c r="Z9730" s="24"/>
      <c r="AA9730" s="24"/>
    </row>
    <row r="9731">
      <c r="A9731" s="24"/>
      <c r="B9731" s="25"/>
      <c r="C9731" s="24"/>
      <c r="D9731" s="26"/>
      <c r="E9731" s="24"/>
      <c r="F9731" s="24"/>
      <c r="G9731" s="24"/>
      <c r="H9731" s="24"/>
      <c r="I9731" s="24"/>
      <c r="J9731" s="24"/>
      <c r="K9731" s="24"/>
      <c r="L9731" s="24"/>
      <c r="M9731" s="24"/>
      <c r="N9731" s="24"/>
      <c r="O9731" s="24"/>
      <c r="P9731" s="24"/>
      <c r="Q9731" s="24"/>
      <c r="R9731" s="24"/>
      <c r="S9731" s="24"/>
      <c r="T9731" s="24"/>
      <c r="U9731" s="24"/>
      <c r="V9731" s="24"/>
      <c r="W9731" s="24"/>
      <c r="X9731" s="24"/>
      <c r="Y9731" s="24"/>
      <c r="Z9731" s="24"/>
      <c r="AA9731" s="24"/>
    </row>
    <row r="9732">
      <c r="A9732" s="24"/>
      <c r="B9732" s="25"/>
      <c r="C9732" s="24"/>
      <c r="D9732" s="26"/>
      <c r="E9732" s="24"/>
      <c r="F9732" s="24"/>
      <c r="G9732" s="24"/>
      <c r="H9732" s="24"/>
      <c r="I9732" s="24"/>
      <c r="J9732" s="24"/>
      <c r="K9732" s="24"/>
      <c r="L9732" s="24"/>
      <c r="M9732" s="24"/>
      <c r="N9732" s="24"/>
      <c r="O9732" s="24"/>
      <c r="P9732" s="24"/>
      <c r="Q9732" s="24"/>
      <c r="R9732" s="24"/>
      <c r="S9732" s="24"/>
      <c r="T9732" s="24"/>
      <c r="U9732" s="24"/>
      <c r="V9732" s="24"/>
      <c r="W9732" s="24"/>
      <c r="X9732" s="24"/>
      <c r="Y9732" s="24"/>
      <c r="Z9732" s="24"/>
      <c r="AA9732" s="24"/>
    </row>
    <row r="9733">
      <c r="A9733" s="24"/>
      <c r="B9733" s="25"/>
      <c r="C9733" s="24"/>
      <c r="D9733" s="26"/>
      <c r="E9733" s="24"/>
      <c r="F9733" s="24"/>
      <c r="G9733" s="24"/>
      <c r="H9733" s="24"/>
      <c r="I9733" s="24"/>
      <c r="J9733" s="24"/>
      <c r="K9733" s="24"/>
      <c r="L9733" s="24"/>
      <c r="M9733" s="24"/>
      <c r="N9733" s="24"/>
      <c r="O9733" s="24"/>
      <c r="P9733" s="24"/>
      <c r="Q9733" s="24"/>
      <c r="R9733" s="24"/>
      <c r="S9733" s="24"/>
      <c r="T9733" s="24"/>
      <c r="U9733" s="24"/>
      <c r="V9733" s="24"/>
      <c r="W9733" s="24"/>
      <c r="X9733" s="24"/>
      <c r="Y9733" s="24"/>
      <c r="Z9733" s="24"/>
      <c r="AA9733" s="24"/>
    </row>
    <row r="9734">
      <c r="A9734" s="24"/>
      <c r="B9734" s="25"/>
      <c r="C9734" s="24"/>
      <c r="D9734" s="26"/>
      <c r="E9734" s="24"/>
      <c r="F9734" s="24"/>
      <c r="G9734" s="24"/>
      <c r="H9734" s="24"/>
      <c r="I9734" s="24"/>
      <c r="J9734" s="24"/>
      <c r="K9734" s="24"/>
      <c r="L9734" s="24"/>
      <c r="M9734" s="24"/>
      <c r="N9734" s="24"/>
      <c r="O9734" s="24"/>
      <c r="P9734" s="24"/>
      <c r="Q9734" s="24"/>
      <c r="R9734" s="24"/>
      <c r="S9734" s="24"/>
      <c r="T9734" s="24"/>
      <c r="U9734" s="24"/>
      <c r="V9734" s="24"/>
      <c r="W9734" s="24"/>
      <c r="X9734" s="24"/>
      <c r="Y9734" s="24"/>
      <c r="Z9734" s="24"/>
      <c r="AA9734" s="24"/>
    </row>
    <row r="9735">
      <c r="A9735" s="24"/>
      <c r="B9735" s="25"/>
      <c r="C9735" s="24"/>
      <c r="D9735" s="26"/>
      <c r="E9735" s="24"/>
      <c r="F9735" s="24"/>
      <c r="G9735" s="24"/>
      <c r="H9735" s="24"/>
      <c r="I9735" s="24"/>
      <c r="J9735" s="24"/>
      <c r="K9735" s="24"/>
      <c r="L9735" s="24"/>
      <c r="M9735" s="24"/>
      <c r="N9735" s="24"/>
      <c r="O9735" s="24"/>
      <c r="P9735" s="24"/>
      <c r="Q9735" s="24"/>
      <c r="R9735" s="24"/>
      <c r="S9735" s="24"/>
      <c r="T9735" s="24"/>
      <c r="U9735" s="24"/>
      <c r="V9735" s="24"/>
      <c r="W9735" s="24"/>
      <c r="X9735" s="24"/>
      <c r="Y9735" s="24"/>
      <c r="Z9735" s="24"/>
      <c r="AA9735" s="24"/>
    </row>
    <row r="9736">
      <c r="A9736" s="24"/>
      <c r="B9736" s="25"/>
      <c r="C9736" s="24"/>
      <c r="D9736" s="26"/>
      <c r="E9736" s="24"/>
      <c r="F9736" s="24"/>
      <c r="G9736" s="24"/>
      <c r="H9736" s="24"/>
      <c r="I9736" s="24"/>
      <c r="J9736" s="24"/>
      <c r="K9736" s="24"/>
      <c r="L9736" s="24"/>
      <c r="M9736" s="24"/>
      <c r="N9736" s="24"/>
      <c r="O9736" s="24"/>
      <c r="P9736" s="24"/>
      <c r="Q9736" s="24"/>
      <c r="R9736" s="24"/>
      <c r="S9736" s="24"/>
      <c r="T9736" s="24"/>
      <c r="U9736" s="24"/>
      <c r="V9736" s="24"/>
      <c r="W9736" s="24"/>
      <c r="X9736" s="24"/>
      <c r="Y9736" s="24"/>
      <c r="Z9736" s="24"/>
      <c r="AA9736" s="24"/>
    </row>
    <row r="9737">
      <c r="A9737" s="24"/>
      <c r="B9737" s="25"/>
      <c r="C9737" s="24"/>
      <c r="D9737" s="26"/>
      <c r="E9737" s="24"/>
      <c r="F9737" s="24"/>
      <c r="G9737" s="24"/>
      <c r="H9737" s="24"/>
      <c r="I9737" s="24"/>
      <c r="J9737" s="24"/>
      <c r="K9737" s="24"/>
      <c r="L9737" s="24"/>
      <c r="M9737" s="24"/>
      <c r="N9737" s="24"/>
      <c r="O9737" s="24"/>
      <c r="P9737" s="24"/>
      <c r="Q9737" s="24"/>
      <c r="R9737" s="24"/>
      <c r="S9737" s="24"/>
      <c r="T9737" s="24"/>
      <c r="U9737" s="24"/>
      <c r="V9737" s="24"/>
      <c r="W9737" s="24"/>
      <c r="X9737" s="24"/>
      <c r="Y9737" s="24"/>
      <c r="Z9737" s="24"/>
      <c r="AA9737" s="24"/>
    </row>
    <row r="9738">
      <c r="A9738" s="24"/>
      <c r="B9738" s="25"/>
      <c r="C9738" s="24"/>
      <c r="D9738" s="26"/>
      <c r="E9738" s="24"/>
      <c r="F9738" s="24"/>
      <c r="G9738" s="24"/>
      <c r="H9738" s="24"/>
      <c r="I9738" s="24"/>
      <c r="J9738" s="24"/>
      <c r="K9738" s="24"/>
      <c r="L9738" s="24"/>
      <c r="M9738" s="24"/>
      <c r="N9738" s="24"/>
      <c r="O9738" s="24"/>
      <c r="P9738" s="24"/>
      <c r="Q9738" s="24"/>
      <c r="R9738" s="24"/>
      <c r="S9738" s="24"/>
      <c r="T9738" s="24"/>
      <c r="U9738" s="24"/>
      <c r="V9738" s="24"/>
      <c r="W9738" s="24"/>
      <c r="X9738" s="24"/>
      <c r="Y9738" s="24"/>
      <c r="Z9738" s="24"/>
      <c r="AA9738" s="24"/>
    </row>
    <row r="9739">
      <c r="A9739" s="24"/>
      <c r="B9739" s="25"/>
      <c r="C9739" s="24"/>
      <c r="D9739" s="26"/>
      <c r="E9739" s="24"/>
      <c r="F9739" s="24"/>
      <c r="G9739" s="24"/>
      <c r="H9739" s="24"/>
      <c r="I9739" s="24"/>
      <c r="J9739" s="24"/>
      <c r="K9739" s="24"/>
      <c r="L9739" s="24"/>
      <c r="M9739" s="24"/>
      <c r="N9739" s="24"/>
      <c r="O9739" s="24"/>
      <c r="P9739" s="24"/>
      <c r="Q9739" s="24"/>
      <c r="R9739" s="24"/>
      <c r="S9739" s="24"/>
      <c r="T9739" s="24"/>
      <c r="U9739" s="24"/>
      <c r="V9739" s="24"/>
      <c r="W9739" s="24"/>
      <c r="X9739" s="24"/>
      <c r="Y9739" s="24"/>
      <c r="Z9739" s="24"/>
      <c r="AA9739" s="24"/>
    </row>
    <row r="9740">
      <c r="A9740" s="24"/>
      <c r="B9740" s="25"/>
      <c r="C9740" s="24"/>
      <c r="D9740" s="26"/>
      <c r="E9740" s="24"/>
      <c r="F9740" s="24"/>
      <c r="G9740" s="24"/>
      <c r="H9740" s="24"/>
      <c r="I9740" s="24"/>
      <c r="J9740" s="24"/>
      <c r="K9740" s="24"/>
      <c r="L9740" s="24"/>
      <c r="M9740" s="24"/>
      <c r="N9740" s="24"/>
      <c r="O9740" s="24"/>
      <c r="P9740" s="24"/>
      <c r="Q9740" s="24"/>
      <c r="R9740" s="24"/>
      <c r="S9740" s="24"/>
      <c r="T9740" s="24"/>
      <c r="U9740" s="24"/>
      <c r="V9740" s="24"/>
      <c r="W9740" s="24"/>
      <c r="X9740" s="24"/>
      <c r="Y9740" s="24"/>
      <c r="Z9740" s="24"/>
      <c r="AA9740" s="24"/>
    </row>
    <row r="9741">
      <c r="A9741" s="24"/>
      <c r="B9741" s="25"/>
      <c r="C9741" s="24"/>
      <c r="D9741" s="26"/>
      <c r="E9741" s="24"/>
      <c r="F9741" s="24"/>
      <c r="G9741" s="24"/>
      <c r="H9741" s="24"/>
      <c r="I9741" s="24"/>
      <c r="J9741" s="24"/>
      <c r="K9741" s="24"/>
      <c r="L9741" s="24"/>
      <c r="M9741" s="24"/>
      <c r="N9741" s="24"/>
      <c r="O9741" s="24"/>
      <c r="P9741" s="24"/>
      <c r="Q9741" s="24"/>
      <c r="R9741" s="24"/>
      <c r="S9741" s="24"/>
      <c r="T9741" s="24"/>
      <c r="U9741" s="24"/>
      <c r="V9741" s="24"/>
      <c r="W9741" s="24"/>
      <c r="X9741" s="24"/>
      <c r="Y9741" s="24"/>
      <c r="Z9741" s="24"/>
      <c r="AA9741" s="24"/>
    </row>
    <row r="9742">
      <c r="A9742" s="24"/>
      <c r="B9742" s="25"/>
      <c r="C9742" s="24"/>
      <c r="D9742" s="26"/>
      <c r="E9742" s="24"/>
      <c r="F9742" s="24"/>
      <c r="G9742" s="24"/>
      <c r="H9742" s="24"/>
      <c r="I9742" s="24"/>
      <c r="J9742" s="24"/>
      <c r="K9742" s="24"/>
      <c r="L9742" s="24"/>
      <c r="M9742" s="24"/>
      <c r="N9742" s="24"/>
      <c r="O9742" s="24"/>
      <c r="P9742" s="24"/>
      <c r="Q9742" s="24"/>
      <c r="R9742" s="24"/>
      <c r="S9742" s="24"/>
      <c r="T9742" s="24"/>
      <c r="U9742" s="24"/>
      <c r="V9742" s="24"/>
      <c r="W9742" s="24"/>
      <c r="X9742" s="24"/>
      <c r="Y9742" s="24"/>
      <c r="Z9742" s="24"/>
      <c r="AA9742" s="24"/>
    </row>
    <row r="9743">
      <c r="A9743" s="24"/>
      <c r="B9743" s="25"/>
      <c r="C9743" s="24"/>
      <c r="D9743" s="26"/>
      <c r="E9743" s="24"/>
      <c r="F9743" s="24"/>
      <c r="G9743" s="24"/>
      <c r="H9743" s="24"/>
      <c r="I9743" s="24"/>
      <c r="J9743" s="24"/>
      <c r="K9743" s="24"/>
      <c r="L9743" s="24"/>
      <c r="M9743" s="24"/>
      <c r="N9743" s="24"/>
      <c r="O9743" s="24"/>
      <c r="P9743" s="24"/>
      <c r="Q9743" s="24"/>
      <c r="R9743" s="24"/>
      <c r="S9743" s="24"/>
      <c r="T9743" s="24"/>
      <c r="U9743" s="24"/>
      <c r="V9743" s="24"/>
      <c r="W9743" s="24"/>
      <c r="X9743" s="24"/>
      <c r="Y9743" s="24"/>
      <c r="Z9743" s="24"/>
      <c r="AA9743" s="24"/>
    </row>
    <row r="9744">
      <c r="A9744" s="24"/>
      <c r="B9744" s="25"/>
      <c r="C9744" s="24"/>
      <c r="D9744" s="26"/>
      <c r="E9744" s="24"/>
      <c r="F9744" s="24"/>
      <c r="G9744" s="24"/>
      <c r="H9744" s="24"/>
      <c r="I9744" s="24"/>
      <c r="J9744" s="24"/>
      <c r="K9744" s="24"/>
      <c r="L9744" s="24"/>
      <c r="M9744" s="24"/>
      <c r="N9744" s="24"/>
      <c r="O9744" s="24"/>
      <c r="P9744" s="24"/>
      <c r="Q9744" s="24"/>
      <c r="R9744" s="24"/>
      <c r="S9744" s="24"/>
      <c r="T9744" s="24"/>
      <c r="U9744" s="24"/>
      <c r="V9744" s="24"/>
      <c r="W9744" s="24"/>
      <c r="X9744" s="24"/>
      <c r="Y9744" s="24"/>
      <c r="Z9744" s="24"/>
      <c r="AA9744" s="24"/>
    </row>
    <row r="9745">
      <c r="A9745" s="24"/>
      <c r="B9745" s="25"/>
      <c r="C9745" s="24"/>
      <c r="D9745" s="26"/>
      <c r="E9745" s="24"/>
      <c r="F9745" s="24"/>
      <c r="G9745" s="24"/>
      <c r="H9745" s="24"/>
      <c r="I9745" s="24"/>
      <c r="J9745" s="24"/>
      <c r="K9745" s="24"/>
      <c r="L9745" s="24"/>
      <c r="M9745" s="24"/>
      <c r="N9745" s="24"/>
      <c r="O9745" s="24"/>
      <c r="P9745" s="24"/>
      <c r="Q9745" s="24"/>
      <c r="R9745" s="24"/>
      <c r="S9745" s="24"/>
      <c r="T9745" s="24"/>
      <c r="U9745" s="24"/>
      <c r="V9745" s="24"/>
      <c r="W9745" s="24"/>
      <c r="X9745" s="24"/>
      <c r="Y9745" s="24"/>
      <c r="Z9745" s="24"/>
      <c r="AA9745" s="24"/>
    </row>
    <row r="9746">
      <c r="A9746" s="24"/>
      <c r="B9746" s="25"/>
      <c r="C9746" s="24"/>
      <c r="D9746" s="26"/>
      <c r="E9746" s="24"/>
      <c r="F9746" s="24"/>
      <c r="G9746" s="24"/>
      <c r="H9746" s="24"/>
      <c r="I9746" s="24"/>
      <c r="J9746" s="24"/>
      <c r="K9746" s="24"/>
      <c r="L9746" s="24"/>
      <c r="M9746" s="24"/>
      <c r="N9746" s="24"/>
      <c r="O9746" s="24"/>
      <c r="P9746" s="24"/>
      <c r="Q9746" s="24"/>
      <c r="R9746" s="24"/>
      <c r="S9746" s="24"/>
      <c r="T9746" s="24"/>
      <c r="U9746" s="24"/>
      <c r="V9746" s="24"/>
      <c r="W9746" s="24"/>
      <c r="X9746" s="24"/>
      <c r="Y9746" s="24"/>
      <c r="Z9746" s="24"/>
      <c r="AA9746" s="24"/>
    </row>
    <row r="9747">
      <c r="A9747" s="24"/>
      <c r="B9747" s="25"/>
      <c r="C9747" s="24"/>
      <c r="D9747" s="26"/>
      <c r="E9747" s="24"/>
      <c r="F9747" s="24"/>
      <c r="G9747" s="24"/>
      <c r="H9747" s="24"/>
      <c r="I9747" s="24"/>
      <c r="J9747" s="24"/>
      <c r="K9747" s="24"/>
      <c r="L9747" s="24"/>
      <c r="M9747" s="24"/>
      <c r="N9747" s="24"/>
      <c r="O9747" s="24"/>
      <c r="P9747" s="24"/>
      <c r="Q9747" s="24"/>
      <c r="R9747" s="24"/>
      <c r="S9747" s="24"/>
      <c r="T9747" s="24"/>
      <c r="U9747" s="24"/>
      <c r="V9747" s="24"/>
      <c r="W9747" s="24"/>
      <c r="X9747" s="24"/>
      <c r="Y9747" s="24"/>
      <c r="Z9747" s="24"/>
      <c r="AA9747" s="24"/>
    </row>
    <row r="9748">
      <c r="A9748" s="24"/>
      <c r="B9748" s="25"/>
      <c r="C9748" s="24"/>
      <c r="D9748" s="26"/>
      <c r="E9748" s="24"/>
      <c r="F9748" s="24"/>
      <c r="G9748" s="24"/>
      <c r="H9748" s="24"/>
      <c r="I9748" s="24"/>
      <c r="J9748" s="24"/>
      <c r="K9748" s="24"/>
      <c r="L9748" s="24"/>
      <c r="M9748" s="24"/>
      <c r="N9748" s="24"/>
      <c r="O9748" s="24"/>
      <c r="P9748" s="24"/>
      <c r="Q9748" s="24"/>
      <c r="R9748" s="24"/>
      <c r="S9748" s="24"/>
      <c r="T9748" s="24"/>
      <c r="U9748" s="24"/>
      <c r="V9748" s="24"/>
      <c r="W9748" s="24"/>
      <c r="X9748" s="24"/>
      <c r="Y9748" s="24"/>
      <c r="Z9748" s="24"/>
      <c r="AA9748" s="24"/>
    </row>
    <row r="9749">
      <c r="A9749" s="24"/>
      <c r="B9749" s="25"/>
      <c r="C9749" s="24"/>
      <c r="D9749" s="26"/>
      <c r="E9749" s="24"/>
      <c r="F9749" s="24"/>
      <c r="G9749" s="24"/>
      <c r="H9749" s="24"/>
      <c r="I9749" s="24"/>
      <c r="J9749" s="24"/>
      <c r="K9749" s="24"/>
      <c r="L9749" s="24"/>
      <c r="M9749" s="24"/>
      <c r="N9749" s="24"/>
      <c r="O9749" s="24"/>
      <c r="P9749" s="24"/>
      <c r="Q9749" s="24"/>
      <c r="R9749" s="24"/>
      <c r="S9749" s="24"/>
      <c r="T9749" s="24"/>
      <c r="U9749" s="24"/>
      <c r="V9749" s="24"/>
      <c r="W9749" s="24"/>
      <c r="X9749" s="24"/>
      <c r="Y9749" s="24"/>
      <c r="Z9749" s="24"/>
      <c r="AA9749" s="24"/>
    </row>
    <row r="9750">
      <c r="A9750" s="24"/>
      <c r="B9750" s="25"/>
      <c r="C9750" s="24"/>
      <c r="D9750" s="26"/>
      <c r="E9750" s="24"/>
      <c r="F9750" s="24"/>
      <c r="G9750" s="24"/>
      <c r="H9750" s="24"/>
      <c r="I9750" s="24"/>
      <c r="J9750" s="24"/>
      <c r="K9750" s="24"/>
      <c r="L9750" s="24"/>
      <c r="M9750" s="24"/>
      <c r="N9750" s="24"/>
      <c r="O9750" s="24"/>
      <c r="P9750" s="24"/>
      <c r="Q9750" s="24"/>
      <c r="R9750" s="24"/>
      <c r="S9750" s="24"/>
      <c r="T9750" s="24"/>
      <c r="U9750" s="24"/>
      <c r="V9750" s="24"/>
      <c r="W9750" s="24"/>
      <c r="X9750" s="24"/>
      <c r="Y9750" s="24"/>
      <c r="Z9750" s="24"/>
      <c r="AA9750" s="24"/>
    </row>
    <row r="9751">
      <c r="A9751" s="24"/>
      <c r="B9751" s="25"/>
      <c r="C9751" s="24"/>
      <c r="D9751" s="26"/>
      <c r="E9751" s="24"/>
      <c r="F9751" s="24"/>
      <c r="G9751" s="24"/>
      <c r="H9751" s="24"/>
      <c r="I9751" s="24"/>
      <c r="J9751" s="24"/>
      <c r="K9751" s="24"/>
      <c r="L9751" s="24"/>
      <c r="M9751" s="24"/>
      <c r="N9751" s="24"/>
      <c r="O9751" s="24"/>
      <c r="P9751" s="24"/>
      <c r="Q9751" s="24"/>
      <c r="R9751" s="24"/>
      <c r="S9751" s="24"/>
      <c r="T9751" s="24"/>
      <c r="U9751" s="24"/>
      <c r="V9751" s="24"/>
      <c r="W9751" s="24"/>
      <c r="X9751" s="24"/>
      <c r="Y9751" s="24"/>
      <c r="Z9751" s="24"/>
      <c r="AA9751" s="24"/>
    </row>
    <row r="9752">
      <c r="A9752" s="24"/>
      <c r="B9752" s="25"/>
      <c r="C9752" s="24"/>
      <c r="D9752" s="26"/>
      <c r="E9752" s="24"/>
      <c r="F9752" s="24"/>
      <c r="G9752" s="24"/>
      <c r="H9752" s="24"/>
      <c r="I9752" s="24"/>
      <c r="J9752" s="24"/>
      <c r="K9752" s="24"/>
      <c r="L9752" s="24"/>
      <c r="M9752" s="24"/>
      <c r="N9752" s="24"/>
      <c r="O9752" s="24"/>
      <c r="P9752" s="24"/>
      <c r="Q9752" s="24"/>
      <c r="R9752" s="24"/>
      <c r="S9752" s="24"/>
      <c r="T9752" s="24"/>
      <c r="U9752" s="24"/>
      <c r="V9752" s="24"/>
      <c r="W9752" s="24"/>
      <c r="X9752" s="24"/>
      <c r="Y9752" s="24"/>
      <c r="Z9752" s="24"/>
      <c r="AA9752" s="24"/>
    </row>
    <row r="9753">
      <c r="A9753" s="24"/>
      <c r="B9753" s="25"/>
      <c r="C9753" s="24"/>
      <c r="D9753" s="26"/>
      <c r="E9753" s="24"/>
      <c r="F9753" s="24"/>
      <c r="G9753" s="24"/>
      <c r="H9753" s="24"/>
      <c r="I9753" s="24"/>
      <c r="J9753" s="24"/>
      <c r="K9753" s="24"/>
      <c r="L9753" s="24"/>
      <c r="M9753" s="24"/>
      <c r="N9753" s="24"/>
      <c r="O9753" s="24"/>
      <c r="P9753" s="24"/>
      <c r="Q9753" s="24"/>
      <c r="R9753" s="24"/>
      <c r="S9753" s="24"/>
      <c r="T9753" s="24"/>
      <c r="U9753" s="24"/>
      <c r="V9753" s="24"/>
      <c r="W9753" s="24"/>
      <c r="X9753" s="24"/>
      <c r="Y9753" s="24"/>
      <c r="Z9753" s="24"/>
      <c r="AA9753" s="24"/>
    </row>
    <row r="9754">
      <c r="A9754" s="24"/>
      <c r="B9754" s="25"/>
      <c r="C9754" s="24"/>
      <c r="D9754" s="26"/>
      <c r="E9754" s="24"/>
      <c r="F9754" s="24"/>
      <c r="G9754" s="24"/>
      <c r="H9754" s="24"/>
      <c r="I9754" s="24"/>
      <c r="J9754" s="24"/>
      <c r="K9754" s="24"/>
      <c r="L9754" s="24"/>
      <c r="M9754" s="24"/>
      <c r="N9754" s="24"/>
      <c r="O9754" s="24"/>
      <c r="P9754" s="24"/>
      <c r="Q9754" s="24"/>
      <c r="R9754" s="24"/>
      <c r="S9754" s="24"/>
      <c r="T9754" s="24"/>
      <c r="U9754" s="24"/>
      <c r="V9754" s="24"/>
      <c r="W9754" s="24"/>
      <c r="X9754" s="24"/>
      <c r="Y9754" s="24"/>
      <c r="Z9754" s="24"/>
      <c r="AA9754" s="24"/>
    </row>
    <row r="9755">
      <c r="A9755" s="24"/>
      <c r="B9755" s="25"/>
      <c r="C9755" s="24"/>
      <c r="D9755" s="26"/>
      <c r="E9755" s="24"/>
      <c r="F9755" s="24"/>
      <c r="G9755" s="24"/>
      <c r="H9755" s="24"/>
      <c r="I9755" s="24"/>
      <c r="J9755" s="24"/>
      <c r="K9755" s="24"/>
      <c r="L9755" s="24"/>
      <c r="M9755" s="24"/>
      <c r="N9755" s="24"/>
      <c r="O9755" s="24"/>
      <c r="P9755" s="24"/>
      <c r="Q9755" s="24"/>
      <c r="R9755" s="24"/>
      <c r="S9755" s="24"/>
      <c r="T9755" s="24"/>
      <c r="U9755" s="24"/>
      <c r="V9755" s="24"/>
      <c r="W9755" s="24"/>
      <c r="X9755" s="24"/>
      <c r="Y9755" s="24"/>
      <c r="Z9755" s="24"/>
      <c r="AA9755" s="24"/>
    </row>
    <row r="9756">
      <c r="A9756" s="24"/>
      <c r="B9756" s="25"/>
      <c r="C9756" s="24"/>
      <c r="D9756" s="26"/>
      <c r="E9756" s="24"/>
      <c r="F9756" s="24"/>
      <c r="G9756" s="24"/>
      <c r="H9756" s="24"/>
      <c r="I9756" s="24"/>
      <c r="J9756" s="24"/>
      <c r="K9756" s="24"/>
      <c r="L9756" s="24"/>
      <c r="M9756" s="24"/>
      <c r="N9756" s="24"/>
      <c r="O9756" s="24"/>
      <c r="P9756" s="24"/>
      <c r="Q9756" s="24"/>
      <c r="R9756" s="24"/>
      <c r="S9756" s="24"/>
      <c r="T9756" s="24"/>
      <c r="U9756" s="24"/>
      <c r="V9756" s="24"/>
      <c r="W9756" s="24"/>
      <c r="X9756" s="24"/>
      <c r="Y9756" s="24"/>
      <c r="Z9756" s="24"/>
      <c r="AA9756" s="24"/>
    </row>
    <row r="9757">
      <c r="A9757" s="24"/>
      <c r="B9757" s="25"/>
      <c r="C9757" s="24"/>
      <c r="D9757" s="26"/>
      <c r="E9757" s="24"/>
      <c r="F9757" s="24"/>
      <c r="G9757" s="24"/>
      <c r="H9757" s="24"/>
      <c r="I9757" s="24"/>
      <c r="J9757" s="24"/>
      <c r="K9757" s="24"/>
      <c r="L9757" s="24"/>
      <c r="M9757" s="24"/>
      <c r="N9757" s="24"/>
      <c r="O9757" s="24"/>
      <c r="P9757" s="24"/>
      <c r="Q9757" s="24"/>
      <c r="R9757" s="24"/>
      <c r="S9757" s="24"/>
      <c r="T9757" s="24"/>
      <c r="U9757" s="24"/>
      <c r="V9757" s="24"/>
      <c r="W9757" s="24"/>
      <c r="X9757" s="24"/>
      <c r="Y9757" s="24"/>
      <c r="Z9757" s="24"/>
      <c r="AA9757" s="24"/>
    </row>
    <row r="9758">
      <c r="A9758" s="24"/>
      <c r="B9758" s="25"/>
      <c r="C9758" s="24"/>
      <c r="D9758" s="26"/>
      <c r="E9758" s="24"/>
      <c r="F9758" s="24"/>
      <c r="G9758" s="24"/>
      <c r="H9758" s="24"/>
      <c r="I9758" s="24"/>
      <c r="J9758" s="24"/>
      <c r="K9758" s="24"/>
      <c r="L9758" s="24"/>
      <c r="M9758" s="24"/>
      <c r="N9758" s="24"/>
      <c r="O9758" s="24"/>
      <c r="P9758" s="24"/>
      <c r="Q9758" s="24"/>
      <c r="R9758" s="24"/>
      <c r="S9758" s="24"/>
      <c r="T9758" s="24"/>
      <c r="U9758" s="24"/>
      <c r="V9758" s="24"/>
      <c r="W9758" s="24"/>
      <c r="X9758" s="24"/>
      <c r="Y9758" s="24"/>
      <c r="Z9758" s="24"/>
      <c r="AA9758" s="24"/>
    </row>
    <row r="9759">
      <c r="A9759" s="24"/>
      <c r="B9759" s="25"/>
      <c r="C9759" s="24"/>
      <c r="D9759" s="26"/>
      <c r="E9759" s="24"/>
      <c r="F9759" s="24"/>
      <c r="G9759" s="24"/>
      <c r="H9759" s="24"/>
      <c r="I9759" s="24"/>
      <c r="J9759" s="24"/>
      <c r="K9759" s="24"/>
      <c r="L9759" s="24"/>
      <c r="M9759" s="24"/>
      <c r="N9759" s="24"/>
      <c r="O9759" s="24"/>
      <c r="P9759" s="24"/>
      <c r="Q9759" s="24"/>
      <c r="R9759" s="24"/>
      <c r="S9759" s="24"/>
      <c r="T9759" s="24"/>
      <c r="U9759" s="24"/>
      <c r="V9759" s="24"/>
      <c r="W9759" s="24"/>
      <c r="X9759" s="24"/>
      <c r="Y9759" s="24"/>
      <c r="Z9759" s="24"/>
      <c r="AA9759" s="24"/>
    </row>
    <row r="9760">
      <c r="A9760" s="24"/>
      <c r="B9760" s="25"/>
      <c r="C9760" s="24"/>
      <c r="D9760" s="26"/>
      <c r="E9760" s="24"/>
      <c r="F9760" s="24"/>
      <c r="G9760" s="24"/>
      <c r="H9760" s="24"/>
      <c r="I9760" s="24"/>
      <c r="J9760" s="24"/>
      <c r="K9760" s="24"/>
      <c r="L9760" s="24"/>
      <c r="M9760" s="24"/>
      <c r="N9760" s="24"/>
      <c r="O9760" s="24"/>
      <c r="P9760" s="24"/>
      <c r="Q9760" s="24"/>
      <c r="R9760" s="24"/>
      <c r="S9760" s="24"/>
      <c r="T9760" s="24"/>
      <c r="U9760" s="24"/>
      <c r="V9760" s="24"/>
      <c r="W9760" s="24"/>
      <c r="X9760" s="24"/>
      <c r="Y9760" s="24"/>
      <c r="Z9760" s="24"/>
      <c r="AA9760" s="24"/>
    </row>
    <row r="9761">
      <c r="A9761" s="24"/>
      <c r="B9761" s="25"/>
      <c r="C9761" s="24"/>
      <c r="D9761" s="26"/>
      <c r="E9761" s="24"/>
      <c r="F9761" s="24"/>
      <c r="G9761" s="24"/>
      <c r="H9761" s="24"/>
      <c r="I9761" s="24"/>
      <c r="J9761" s="24"/>
      <c r="K9761" s="24"/>
      <c r="L9761" s="24"/>
      <c r="M9761" s="24"/>
      <c r="N9761" s="24"/>
      <c r="O9761" s="24"/>
      <c r="P9761" s="24"/>
      <c r="Q9761" s="24"/>
      <c r="R9761" s="24"/>
      <c r="S9761" s="24"/>
      <c r="T9761" s="24"/>
      <c r="U9761" s="24"/>
      <c r="V9761" s="24"/>
      <c r="W9761" s="24"/>
      <c r="X9761" s="24"/>
      <c r="Y9761" s="24"/>
      <c r="Z9761" s="24"/>
      <c r="AA9761" s="24"/>
    </row>
    <row r="9762">
      <c r="A9762" s="24"/>
      <c r="B9762" s="25"/>
      <c r="C9762" s="24"/>
      <c r="D9762" s="26"/>
      <c r="E9762" s="24"/>
      <c r="F9762" s="24"/>
      <c r="G9762" s="24"/>
      <c r="H9762" s="24"/>
      <c r="I9762" s="24"/>
      <c r="J9762" s="24"/>
      <c r="K9762" s="24"/>
      <c r="L9762" s="24"/>
      <c r="M9762" s="24"/>
      <c r="N9762" s="24"/>
      <c r="O9762" s="24"/>
      <c r="P9762" s="24"/>
      <c r="Q9762" s="24"/>
      <c r="R9762" s="24"/>
      <c r="S9762" s="24"/>
      <c r="T9762" s="24"/>
      <c r="U9762" s="24"/>
      <c r="V9762" s="24"/>
      <c r="W9762" s="24"/>
      <c r="X9762" s="24"/>
      <c r="Y9762" s="24"/>
      <c r="Z9762" s="24"/>
      <c r="AA9762" s="24"/>
    </row>
    <row r="9763">
      <c r="A9763" s="24"/>
      <c r="B9763" s="25"/>
      <c r="C9763" s="24"/>
      <c r="D9763" s="26"/>
      <c r="E9763" s="24"/>
      <c r="F9763" s="24"/>
      <c r="G9763" s="24"/>
      <c r="H9763" s="24"/>
      <c r="I9763" s="24"/>
      <c r="J9763" s="24"/>
      <c r="K9763" s="24"/>
      <c r="L9763" s="24"/>
      <c r="M9763" s="24"/>
      <c r="N9763" s="24"/>
      <c r="O9763" s="24"/>
      <c r="P9763" s="24"/>
      <c r="Q9763" s="24"/>
      <c r="R9763" s="24"/>
      <c r="S9763" s="24"/>
      <c r="T9763" s="24"/>
      <c r="U9763" s="24"/>
      <c r="V9763" s="24"/>
      <c r="W9763" s="24"/>
      <c r="X9763" s="24"/>
      <c r="Y9763" s="24"/>
      <c r="Z9763" s="24"/>
      <c r="AA9763" s="24"/>
    </row>
    <row r="9764">
      <c r="A9764" s="24"/>
      <c r="B9764" s="25"/>
      <c r="C9764" s="24"/>
      <c r="D9764" s="26"/>
      <c r="E9764" s="24"/>
      <c r="F9764" s="24"/>
      <c r="G9764" s="24"/>
      <c r="H9764" s="24"/>
      <c r="I9764" s="24"/>
      <c r="J9764" s="24"/>
      <c r="K9764" s="24"/>
      <c r="L9764" s="24"/>
      <c r="M9764" s="24"/>
      <c r="N9764" s="24"/>
      <c r="O9764" s="24"/>
      <c r="P9764" s="24"/>
      <c r="Q9764" s="24"/>
      <c r="R9764" s="24"/>
      <c r="S9764" s="24"/>
      <c r="T9764" s="24"/>
      <c r="U9764" s="24"/>
      <c r="V9764" s="24"/>
      <c r="W9764" s="24"/>
      <c r="X9764" s="24"/>
      <c r="Y9764" s="24"/>
      <c r="Z9764" s="24"/>
      <c r="AA9764" s="24"/>
    </row>
    <row r="9765">
      <c r="A9765" s="24"/>
      <c r="B9765" s="25"/>
      <c r="C9765" s="24"/>
      <c r="D9765" s="26"/>
      <c r="E9765" s="24"/>
      <c r="F9765" s="24"/>
      <c r="G9765" s="24"/>
      <c r="H9765" s="24"/>
      <c r="I9765" s="24"/>
      <c r="J9765" s="24"/>
      <c r="K9765" s="24"/>
      <c r="L9765" s="24"/>
      <c r="M9765" s="24"/>
      <c r="N9765" s="24"/>
      <c r="O9765" s="24"/>
      <c r="P9765" s="24"/>
      <c r="Q9765" s="24"/>
      <c r="R9765" s="24"/>
      <c r="S9765" s="24"/>
      <c r="T9765" s="24"/>
      <c r="U9765" s="24"/>
      <c r="V9765" s="24"/>
      <c r="W9765" s="24"/>
      <c r="X9765" s="24"/>
      <c r="Y9765" s="24"/>
      <c r="Z9765" s="24"/>
      <c r="AA9765" s="24"/>
    </row>
    <row r="9766">
      <c r="A9766" s="24"/>
      <c r="B9766" s="25"/>
      <c r="C9766" s="24"/>
      <c r="D9766" s="26"/>
      <c r="E9766" s="24"/>
      <c r="F9766" s="24"/>
      <c r="G9766" s="24"/>
      <c r="H9766" s="24"/>
      <c r="I9766" s="24"/>
      <c r="J9766" s="24"/>
      <c r="K9766" s="24"/>
      <c r="L9766" s="24"/>
      <c r="M9766" s="24"/>
      <c r="N9766" s="24"/>
      <c r="O9766" s="24"/>
      <c r="P9766" s="24"/>
      <c r="Q9766" s="24"/>
      <c r="R9766" s="24"/>
      <c r="S9766" s="24"/>
      <c r="T9766" s="24"/>
      <c r="U9766" s="24"/>
      <c r="V9766" s="24"/>
      <c r="W9766" s="24"/>
      <c r="X9766" s="24"/>
      <c r="Y9766" s="24"/>
      <c r="Z9766" s="24"/>
      <c r="AA9766" s="24"/>
    </row>
    <row r="9767">
      <c r="A9767" s="24"/>
      <c r="B9767" s="25"/>
      <c r="C9767" s="24"/>
      <c r="D9767" s="26"/>
      <c r="E9767" s="24"/>
      <c r="F9767" s="24"/>
      <c r="G9767" s="24"/>
      <c r="H9767" s="24"/>
      <c r="I9767" s="24"/>
      <c r="J9767" s="24"/>
      <c r="K9767" s="24"/>
      <c r="L9767" s="24"/>
      <c r="M9767" s="24"/>
      <c r="N9767" s="24"/>
      <c r="O9767" s="24"/>
      <c r="P9767" s="24"/>
      <c r="Q9767" s="24"/>
      <c r="R9767" s="24"/>
      <c r="S9767" s="24"/>
      <c r="T9767" s="24"/>
      <c r="U9767" s="24"/>
      <c r="V9767" s="24"/>
      <c r="W9767" s="24"/>
      <c r="X9767" s="24"/>
      <c r="Y9767" s="24"/>
      <c r="Z9767" s="24"/>
      <c r="AA9767" s="24"/>
    </row>
    <row r="9768">
      <c r="A9768" s="24"/>
      <c r="B9768" s="25"/>
      <c r="C9768" s="24"/>
      <c r="D9768" s="26"/>
      <c r="E9768" s="24"/>
      <c r="F9768" s="24"/>
      <c r="G9768" s="24"/>
      <c r="H9768" s="24"/>
      <c r="I9768" s="24"/>
      <c r="J9768" s="24"/>
      <c r="K9768" s="24"/>
      <c r="L9768" s="24"/>
      <c r="M9768" s="24"/>
      <c r="N9768" s="24"/>
      <c r="O9768" s="24"/>
      <c r="P9768" s="24"/>
      <c r="Q9768" s="24"/>
      <c r="R9768" s="24"/>
      <c r="S9768" s="24"/>
      <c r="T9768" s="24"/>
      <c r="U9768" s="24"/>
      <c r="V9768" s="24"/>
      <c r="W9768" s="24"/>
      <c r="X9768" s="24"/>
      <c r="Y9768" s="24"/>
      <c r="Z9768" s="24"/>
      <c r="AA9768" s="24"/>
    </row>
    <row r="9769">
      <c r="A9769" s="24"/>
      <c r="B9769" s="25"/>
      <c r="C9769" s="24"/>
      <c r="D9769" s="26"/>
      <c r="E9769" s="24"/>
      <c r="F9769" s="24"/>
      <c r="G9769" s="24"/>
      <c r="H9769" s="24"/>
      <c r="I9769" s="24"/>
      <c r="J9769" s="24"/>
      <c r="K9769" s="24"/>
      <c r="L9769" s="24"/>
      <c r="M9769" s="24"/>
      <c r="N9769" s="24"/>
      <c r="O9769" s="24"/>
      <c r="P9769" s="24"/>
      <c r="Q9769" s="24"/>
      <c r="R9769" s="24"/>
      <c r="S9769" s="24"/>
      <c r="T9769" s="24"/>
      <c r="U9769" s="24"/>
      <c r="V9769" s="24"/>
      <c r="W9769" s="24"/>
      <c r="X9769" s="24"/>
      <c r="Y9769" s="24"/>
      <c r="Z9769" s="24"/>
      <c r="AA9769" s="24"/>
    </row>
    <row r="9770">
      <c r="A9770" s="24"/>
      <c r="B9770" s="25"/>
      <c r="C9770" s="24"/>
      <c r="D9770" s="26"/>
      <c r="E9770" s="24"/>
      <c r="F9770" s="24"/>
      <c r="G9770" s="24"/>
      <c r="H9770" s="24"/>
      <c r="I9770" s="24"/>
      <c r="J9770" s="24"/>
      <c r="K9770" s="24"/>
      <c r="L9770" s="24"/>
      <c r="M9770" s="24"/>
      <c r="N9770" s="24"/>
      <c r="O9770" s="24"/>
      <c r="P9770" s="24"/>
      <c r="Q9770" s="24"/>
      <c r="R9770" s="24"/>
      <c r="S9770" s="24"/>
      <c r="T9770" s="24"/>
      <c r="U9770" s="24"/>
      <c r="V9770" s="24"/>
      <c r="W9770" s="24"/>
      <c r="X9770" s="24"/>
      <c r="Y9770" s="24"/>
      <c r="Z9770" s="24"/>
      <c r="AA9770" s="24"/>
    </row>
    <row r="9771">
      <c r="A9771" s="24"/>
      <c r="B9771" s="25"/>
      <c r="C9771" s="24"/>
      <c r="D9771" s="26"/>
      <c r="E9771" s="24"/>
      <c r="F9771" s="24"/>
      <c r="G9771" s="24"/>
      <c r="H9771" s="24"/>
      <c r="I9771" s="24"/>
      <c r="J9771" s="24"/>
      <c r="K9771" s="24"/>
      <c r="L9771" s="24"/>
      <c r="M9771" s="24"/>
      <c r="N9771" s="24"/>
      <c r="O9771" s="24"/>
      <c r="P9771" s="24"/>
      <c r="Q9771" s="24"/>
      <c r="R9771" s="24"/>
      <c r="S9771" s="24"/>
      <c r="T9771" s="24"/>
      <c r="U9771" s="24"/>
      <c r="V9771" s="24"/>
      <c r="W9771" s="24"/>
      <c r="X9771" s="24"/>
      <c r="Y9771" s="24"/>
      <c r="Z9771" s="24"/>
      <c r="AA9771" s="24"/>
    </row>
    <row r="9772">
      <c r="A9772" s="24"/>
      <c r="B9772" s="25"/>
      <c r="C9772" s="24"/>
      <c r="D9772" s="26"/>
      <c r="E9772" s="24"/>
      <c r="F9772" s="24"/>
      <c r="G9772" s="24"/>
      <c r="H9772" s="24"/>
      <c r="I9772" s="24"/>
      <c r="J9772" s="24"/>
      <c r="K9772" s="24"/>
      <c r="L9772" s="24"/>
      <c r="M9772" s="24"/>
      <c r="N9772" s="24"/>
      <c r="O9772" s="24"/>
      <c r="P9772" s="24"/>
      <c r="Q9772" s="24"/>
      <c r="R9772" s="24"/>
      <c r="S9772" s="24"/>
      <c r="T9772" s="24"/>
      <c r="U9772" s="24"/>
      <c r="V9772" s="24"/>
      <c r="W9772" s="24"/>
      <c r="X9772" s="24"/>
      <c r="Y9772" s="24"/>
      <c r="Z9772" s="24"/>
      <c r="AA9772" s="24"/>
    </row>
    <row r="9773">
      <c r="A9773" s="24"/>
      <c r="B9773" s="25"/>
      <c r="C9773" s="24"/>
      <c r="D9773" s="26"/>
      <c r="E9773" s="24"/>
      <c r="F9773" s="24"/>
      <c r="G9773" s="24"/>
      <c r="H9773" s="24"/>
      <c r="I9773" s="24"/>
      <c r="J9773" s="24"/>
      <c r="K9773" s="24"/>
      <c r="L9773" s="24"/>
      <c r="M9773" s="24"/>
      <c r="N9773" s="24"/>
      <c r="O9773" s="24"/>
      <c r="P9773" s="24"/>
      <c r="Q9773" s="24"/>
      <c r="R9773" s="24"/>
      <c r="S9773" s="24"/>
      <c r="T9773" s="24"/>
      <c r="U9773" s="24"/>
      <c r="V9773" s="24"/>
      <c r="W9773" s="24"/>
      <c r="X9773" s="24"/>
      <c r="Y9773" s="24"/>
      <c r="Z9773" s="24"/>
      <c r="AA9773" s="24"/>
    </row>
    <row r="9774">
      <c r="A9774" s="24"/>
      <c r="B9774" s="25"/>
      <c r="C9774" s="24"/>
      <c r="D9774" s="26"/>
      <c r="E9774" s="24"/>
      <c r="F9774" s="24"/>
      <c r="G9774" s="24"/>
      <c r="H9774" s="24"/>
      <c r="I9774" s="24"/>
      <c r="J9774" s="24"/>
      <c r="K9774" s="24"/>
      <c r="L9774" s="24"/>
      <c r="M9774" s="24"/>
      <c r="N9774" s="24"/>
      <c r="O9774" s="24"/>
      <c r="P9774" s="24"/>
      <c r="Q9774" s="24"/>
      <c r="R9774" s="24"/>
      <c r="S9774" s="24"/>
      <c r="T9774" s="24"/>
      <c r="U9774" s="24"/>
      <c r="V9774" s="24"/>
      <c r="W9774" s="24"/>
      <c r="X9774" s="24"/>
      <c r="Y9774" s="24"/>
      <c r="Z9774" s="24"/>
      <c r="AA9774" s="24"/>
    </row>
    <row r="9775">
      <c r="A9775" s="24"/>
      <c r="B9775" s="25"/>
      <c r="C9775" s="24"/>
      <c r="D9775" s="26"/>
      <c r="E9775" s="24"/>
      <c r="F9775" s="24"/>
      <c r="G9775" s="24"/>
      <c r="H9775" s="24"/>
      <c r="I9775" s="24"/>
      <c r="J9775" s="24"/>
      <c r="K9775" s="24"/>
      <c r="L9775" s="24"/>
      <c r="M9775" s="24"/>
      <c r="N9775" s="24"/>
      <c r="O9775" s="24"/>
      <c r="P9775" s="24"/>
      <c r="Q9775" s="24"/>
      <c r="R9775" s="24"/>
      <c r="S9775" s="24"/>
      <c r="T9775" s="24"/>
      <c r="U9775" s="24"/>
      <c r="V9775" s="24"/>
      <c r="W9775" s="24"/>
      <c r="X9775" s="24"/>
      <c r="Y9775" s="24"/>
      <c r="Z9775" s="24"/>
      <c r="AA9775" s="24"/>
    </row>
    <row r="9776">
      <c r="A9776" s="24"/>
      <c r="B9776" s="25"/>
      <c r="C9776" s="24"/>
      <c r="D9776" s="26"/>
      <c r="E9776" s="24"/>
      <c r="F9776" s="24"/>
      <c r="G9776" s="24"/>
      <c r="H9776" s="24"/>
      <c r="I9776" s="24"/>
      <c r="J9776" s="24"/>
      <c r="K9776" s="24"/>
      <c r="L9776" s="24"/>
      <c r="M9776" s="24"/>
      <c r="N9776" s="24"/>
      <c r="O9776" s="24"/>
      <c r="P9776" s="24"/>
      <c r="Q9776" s="24"/>
      <c r="R9776" s="24"/>
      <c r="S9776" s="24"/>
      <c r="T9776" s="24"/>
      <c r="U9776" s="24"/>
      <c r="V9776" s="24"/>
      <c r="W9776" s="24"/>
      <c r="X9776" s="24"/>
      <c r="Y9776" s="24"/>
      <c r="Z9776" s="24"/>
      <c r="AA9776" s="24"/>
    </row>
    <row r="9777">
      <c r="A9777" s="24"/>
      <c r="B9777" s="25"/>
      <c r="C9777" s="24"/>
      <c r="D9777" s="26"/>
      <c r="E9777" s="24"/>
      <c r="F9777" s="24"/>
      <c r="G9777" s="24"/>
      <c r="H9777" s="24"/>
      <c r="I9777" s="24"/>
      <c r="J9777" s="24"/>
      <c r="K9777" s="24"/>
      <c r="L9777" s="24"/>
      <c r="M9777" s="24"/>
      <c r="N9777" s="24"/>
      <c r="O9777" s="24"/>
      <c r="P9777" s="24"/>
      <c r="Q9777" s="24"/>
      <c r="R9777" s="24"/>
      <c r="S9777" s="24"/>
      <c r="T9777" s="24"/>
      <c r="U9777" s="24"/>
      <c r="V9777" s="24"/>
      <c r="W9777" s="24"/>
      <c r="X9777" s="24"/>
      <c r="Y9777" s="24"/>
      <c r="Z9777" s="24"/>
      <c r="AA9777" s="24"/>
    </row>
    <row r="9778">
      <c r="A9778" s="24"/>
      <c r="B9778" s="25"/>
      <c r="C9778" s="24"/>
      <c r="D9778" s="26"/>
      <c r="E9778" s="24"/>
      <c r="F9778" s="24"/>
      <c r="G9778" s="24"/>
      <c r="H9778" s="24"/>
      <c r="I9778" s="24"/>
      <c r="J9778" s="24"/>
      <c r="K9778" s="24"/>
      <c r="L9778" s="24"/>
      <c r="M9778" s="24"/>
      <c r="N9778" s="24"/>
      <c r="O9778" s="24"/>
      <c r="P9778" s="24"/>
      <c r="Q9778" s="24"/>
      <c r="R9778" s="24"/>
      <c r="S9778" s="24"/>
      <c r="T9778" s="24"/>
      <c r="U9778" s="24"/>
      <c r="V9778" s="24"/>
      <c r="W9778" s="24"/>
      <c r="X9778" s="24"/>
      <c r="Y9778" s="24"/>
      <c r="Z9778" s="24"/>
      <c r="AA9778" s="24"/>
    </row>
    <row r="9779">
      <c r="A9779" s="24"/>
      <c r="B9779" s="25"/>
      <c r="C9779" s="24"/>
      <c r="D9779" s="26"/>
      <c r="E9779" s="24"/>
      <c r="F9779" s="24"/>
      <c r="G9779" s="24"/>
      <c r="H9779" s="24"/>
      <c r="I9779" s="24"/>
      <c r="J9779" s="24"/>
      <c r="K9779" s="24"/>
      <c r="L9779" s="24"/>
      <c r="M9779" s="24"/>
      <c r="N9779" s="24"/>
      <c r="O9779" s="24"/>
      <c r="P9779" s="24"/>
      <c r="Q9779" s="24"/>
      <c r="R9779" s="24"/>
      <c r="S9779" s="24"/>
      <c r="T9779" s="24"/>
      <c r="U9779" s="24"/>
      <c r="V9779" s="24"/>
      <c r="W9779" s="24"/>
      <c r="X9779" s="24"/>
      <c r="Y9779" s="24"/>
      <c r="Z9779" s="24"/>
      <c r="AA9779" s="24"/>
    </row>
    <row r="9780">
      <c r="A9780" s="24"/>
      <c r="B9780" s="25"/>
      <c r="C9780" s="24"/>
      <c r="D9780" s="26"/>
      <c r="E9780" s="24"/>
      <c r="F9780" s="24"/>
      <c r="G9780" s="24"/>
      <c r="H9780" s="24"/>
      <c r="I9780" s="24"/>
      <c r="J9780" s="24"/>
      <c r="K9780" s="24"/>
      <c r="L9780" s="24"/>
      <c r="M9780" s="24"/>
      <c r="N9780" s="24"/>
      <c r="O9780" s="24"/>
      <c r="P9780" s="24"/>
      <c r="Q9780" s="24"/>
      <c r="R9780" s="24"/>
      <c r="S9780" s="24"/>
      <c r="T9780" s="24"/>
      <c r="U9780" s="24"/>
      <c r="V9780" s="24"/>
      <c r="W9780" s="24"/>
      <c r="X9780" s="24"/>
      <c r="Y9780" s="24"/>
      <c r="Z9780" s="24"/>
      <c r="AA9780" s="24"/>
    </row>
    <row r="9781">
      <c r="A9781" s="24"/>
      <c r="B9781" s="25"/>
      <c r="C9781" s="24"/>
      <c r="D9781" s="26"/>
      <c r="E9781" s="24"/>
      <c r="F9781" s="24"/>
      <c r="G9781" s="24"/>
      <c r="H9781" s="24"/>
      <c r="I9781" s="24"/>
      <c r="J9781" s="24"/>
      <c r="K9781" s="24"/>
      <c r="L9781" s="24"/>
      <c r="M9781" s="24"/>
      <c r="N9781" s="24"/>
      <c r="O9781" s="24"/>
      <c r="P9781" s="24"/>
      <c r="Q9781" s="24"/>
      <c r="R9781" s="24"/>
      <c r="S9781" s="24"/>
      <c r="T9781" s="24"/>
      <c r="U9781" s="24"/>
      <c r="V9781" s="24"/>
      <c r="W9781" s="24"/>
      <c r="X9781" s="24"/>
      <c r="Y9781" s="24"/>
      <c r="Z9781" s="24"/>
      <c r="AA9781" s="24"/>
    </row>
    <row r="9782">
      <c r="A9782" s="24"/>
      <c r="B9782" s="25"/>
      <c r="C9782" s="24"/>
      <c r="D9782" s="26"/>
      <c r="E9782" s="24"/>
      <c r="F9782" s="24"/>
      <c r="G9782" s="24"/>
      <c r="H9782" s="24"/>
      <c r="I9782" s="24"/>
      <c r="J9782" s="24"/>
      <c r="K9782" s="24"/>
      <c r="L9782" s="24"/>
      <c r="M9782" s="24"/>
      <c r="N9782" s="24"/>
      <c r="O9782" s="24"/>
      <c r="P9782" s="24"/>
      <c r="Q9782" s="24"/>
      <c r="R9782" s="24"/>
      <c r="S9782" s="24"/>
      <c r="T9782" s="24"/>
      <c r="U9782" s="24"/>
      <c r="V9782" s="24"/>
      <c r="W9782" s="24"/>
      <c r="X9782" s="24"/>
      <c r="Y9782" s="24"/>
      <c r="Z9782" s="24"/>
      <c r="AA9782" s="24"/>
    </row>
    <row r="9783">
      <c r="A9783" s="24"/>
      <c r="B9783" s="25"/>
      <c r="C9783" s="24"/>
      <c r="D9783" s="26"/>
      <c r="E9783" s="24"/>
      <c r="F9783" s="24"/>
      <c r="G9783" s="24"/>
      <c r="H9783" s="24"/>
      <c r="I9783" s="24"/>
      <c r="J9783" s="24"/>
      <c r="K9783" s="24"/>
      <c r="L9783" s="24"/>
      <c r="M9783" s="24"/>
      <c r="N9783" s="24"/>
      <c r="O9783" s="24"/>
      <c r="P9783" s="24"/>
      <c r="Q9783" s="24"/>
      <c r="R9783" s="24"/>
      <c r="S9783" s="24"/>
      <c r="T9783" s="24"/>
      <c r="U9783" s="24"/>
      <c r="V9783" s="24"/>
      <c r="W9783" s="24"/>
      <c r="X9783" s="24"/>
      <c r="Y9783" s="24"/>
      <c r="Z9783" s="24"/>
      <c r="AA9783" s="24"/>
    </row>
    <row r="9784">
      <c r="A9784" s="24"/>
      <c r="B9784" s="25"/>
      <c r="C9784" s="24"/>
      <c r="D9784" s="26"/>
      <c r="E9784" s="24"/>
      <c r="F9784" s="24"/>
      <c r="G9784" s="24"/>
      <c r="H9784" s="24"/>
      <c r="I9784" s="24"/>
      <c r="J9784" s="24"/>
      <c r="K9784" s="24"/>
      <c r="L9784" s="24"/>
      <c r="M9784" s="24"/>
      <c r="N9784" s="24"/>
      <c r="O9784" s="24"/>
      <c r="P9784" s="24"/>
      <c r="Q9784" s="24"/>
      <c r="R9784" s="24"/>
      <c r="S9784" s="24"/>
      <c r="T9784" s="24"/>
      <c r="U9784" s="24"/>
      <c r="V9784" s="24"/>
      <c r="W9784" s="24"/>
      <c r="X9784" s="24"/>
      <c r="Y9784" s="24"/>
      <c r="Z9784" s="24"/>
      <c r="AA9784" s="24"/>
    </row>
    <row r="9785">
      <c r="A9785" s="24"/>
      <c r="B9785" s="25"/>
      <c r="C9785" s="24"/>
      <c r="D9785" s="26"/>
      <c r="E9785" s="24"/>
      <c r="F9785" s="24"/>
      <c r="G9785" s="24"/>
      <c r="H9785" s="24"/>
      <c r="I9785" s="24"/>
      <c r="J9785" s="24"/>
      <c r="K9785" s="24"/>
      <c r="L9785" s="24"/>
      <c r="M9785" s="24"/>
      <c r="N9785" s="24"/>
      <c r="O9785" s="24"/>
      <c r="P9785" s="24"/>
      <c r="Q9785" s="24"/>
      <c r="R9785" s="24"/>
      <c r="S9785" s="24"/>
      <c r="T9785" s="24"/>
      <c r="U9785" s="24"/>
      <c r="V9785" s="24"/>
      <c r="W9785" s="24"/>
      <c r="X9785" s="24"/>
      <c r="Y9785" s="24"/>
      <c r="Z9785" s="24"/>
      <c r="AA9785" s="24"/>
    </row>
    <row r="9786">
      <c r="A9786" s="24"/>
      <c r="B9786" s="25"/>
      <c r="C9786" s="24"/>
      <c r="D9786" s="26"/>
      <c r="E9786" s="24"/>
      <c r="F9786" s="24"/>
      <c r="G9786" s="24"/>
      <c r="H9786" s="24"/>
      <c r="I9786" s="24"/>
      <c r="J9786" s="24"/>
      <c r="K9786" s="24"/>
      <c r="L9786" s="24"/>
      <c r="M9786" s="24"/>
      <c r="N9786" s="24"/>
      <c r="O9786" s="24"/>
      <c r="P9786" s="24"/>
      <c r="Q9786" s="24"/>
      <c r="R9786" s="24"/>
      <c r="S9786" s="24"/>
      <c r="T9786" s="24"/>
      <c r="U9786" s="24"/>
      <c r="V9786" s="24"/>
      <c r="W9786" s="24"/>
      <c r="X9786" s="24"/>
      <c r="Y9786" s="24"/>
      <c r="Z9786" s="24"/>
      <c r="AA9786" s="24"/>
    </row>
    <row r="9787">
      <c r="A9787" s="24"/>
      <c r="B9787" s="25"/>
      <c r="C9787" s="24"/>
      <c r="D9787" s="26"/>
      <c r="E9787" s="24"/>
      <c r="F9787" s="24"/>
      <c r="G9787" s="24"/>
      <c r="H9787" s="24"/>
      <c r="I9787" s="24"/>
      <c r="J9787" s="24"/>
      <c r="K9787" s="24"/>
      <c r="L9787" s="24"/>
      <c r="M9787" s="24"/>
      <c r="N9787" s="24"/>
      <c r="O9787" s="24"/>
      <c r="P9787" s="24"/>
      <c r="Q9787" s="24"/>
      <c r="R9787" s="24"/>
      <c r="S9787" s="24"/>
      <c r="T9787" s="24"/>
      <c r="U9787" s="24"/>
      <c r="V9787" s="24"/>
      <c r="W9787" s="24"/>
      <c r="X9787" s="24"/>
      <c r="Y9787" s="24"/>
      <c r="Z9787" s="24"/>
      <c r="AA9787" s="24"/>
    </row>
    <row r="9788">
      <c r="A9788" s="24"/>
      <c r="B9788" s="25"/>
      <c r="C9788" s="24"/>
      <c r="D9788" s="26"/>
      <c r="E9788" s="24"/>
      <c r="F9788" s="24"/>
      <c r="G9788" s="24"/>
      <c r="H9788" s="24"/>
      <c r="I9788" s="24"/>
      <c r="J9788" s="24"/>
      <c r="K9788" s="24"/>
      <c r="L9788" s="24"/>
      <c r="M9788" s="24"/>
      <c r="N9788" s="24"/>
      <c r="O9788" s="24"/>
      <c r="P9788" s="24"/>
      <c r="Q9788" s="24"/>
      <c r="R9788" s="24"/>
      <c r="S9788" s="24"/>
      <c r="T9788" s="24"/>
      <c r="U9788" s="24"/>
      <c r="V9788" s="24"/>
      <c r="W9788" s="24"/>
      <c r="X9788" s="24"/>
      <c r="Y9788" s="24"/>
      <c r="Z9788" s="24"/>
      <c r="AA9788" s="24"/>
    </row>
    <row r="9789">
      <c r="A9789" s="24"/>
      <c r="B9789" s="25"/>
      <c r="C9789" s="24"/>
      <c r="D9789" s="26"/>
      <c r="E9789" s="24"/>
      <c r="F9789" s="24"/>
      <c r="G9789" s="24"/>
      <c r="H9789" s="24"/>
      <c r="I9789" s="24"/>
      <c r="J9789" s="24"/>
      <c r="K9789" s="24"/>
      <c r="L9789" s="24"/>
      <c r="M9789" s="24"/>
      <c r="N9789" s="24"/>
      <c r="O9789" s="24"/>
      <c r="P9789" s="24"/>
      <c r="Q9789" s="24"/>
      <c r="R9789" s="24"/>
      <c r="S9789" s="24"/>
      <c r="T9789" s="24"/>
      <c r="U9789" s="24"/>
      <c r="V9789" s="24"/>
      <c r="W9789" s="24"/>
      <c r="X9789" s="24"/>
      <c r="Y9789" s="24"/>
      <c r="Z9789" s="24"/>
      <c r="AA9789" s="24"/>
    </row>
    <row r="9790">
      <c r="A9790" s="24"/>
      <c r="B9790" s="25"/>
      <c r="C9790" s="24"/>
      <c r="D9790" s="26"/>
      <c r="E9790" s="24"/>
      <c r="F9790" s="24"/>
      <c r="G9790" s="24"/>
      <c r="H9790" s="24"/>
      <c r="I9790" s="24"/>
      <c r="J9790" s="24"/>
      <c r="K9790" s="24"/>
      <c r="L9790" s="24"/>
      <c r="M9790" s="24"/>
      <c r="N9790" s="24"/>
      <c r="O9790" s="24"/>
      <c r="P9790" s="24"/>
      <c r="Q9790" s="24"/>
      <c r="R9790" s="24"/>
      <c r="S9790" s="24"/>
      <c r="T9790" s="24"/>
      <c r="U9790" s="24"/>
      <c r="V9790" s="24"/>
      <c r="W9790" s="24"/>
      <c r="X9790" s="24"/>
      <c r="Y9790" s="24"/>
      <c r="Z9790" s="24"/>
      <c r="AA9790" s="24"/>
    </row>
    <row r="9791">
      <c r="A9791" s="24"/>
      <c r="B9791" s="25"/>
      <c r="C9791" s="24"/>
      <c r="D9791" s="26"/>
      <c r="E9791" s="24"/>
      <c r="F9791" s="24"/>
      <c r="G9791" s="24"/>
      <c r="H9791" s="24"/>
      <c r="I9791" s="24"/>
      <c r="J9791" s="24"/>
      <c r="K9791" s="24"/>
      <c r="L9791" s="24"/>
      <c r="M9791" s="24"/>
      <c r="N9791" s="24"/>
      <c r="O9791" s="24"/>
      <c r="P9791" s="24"/>
      <c r="Q9791" s="24"/>
      <c r="R9791" s="24"/>
      <c r="S9791" s="24"/>
      <c r="T9791" s="24"/>
      <c r="U9791" s="24"/>
      <c r="V9791" s="24"/>
      <c r="W9791" s="24"/>
      <c r="X9791" s="24"/>
      <c r="Y9791" s="24"/>
      <c r="Z9791" s="24"/>
      <c r="AA9791" s="24"/>
    </row>
    <row r="9792">
      <c r="A9792" s="24"/>
      <c r="B9792" s="25"/>
      <c r="C9792" s="24"/>
      <c r="D9792" s="26"/>
      <c r="E9792" s="24"/>
      <c r="F9792" s="24"/>
      <c r="G9792" s="24"/>
      <c r="H9792" s="24"/>
      <c r="I9792" s="24"/>
      <c r="J9792" s="24"/>
      <c r="K9792" s="24"/>
      <c r="L9792" s="24"/>
      <c r="M9792" s="24"/>
      <c r="N9792" s="24"/>
      <c r="O9792" s="24"/>
      <c r="P9792" s="24"/>
      <c r="Q9792" s="24"/>
      <c r="R9792" s="24"/>
      <c r="S9792" s="24"/>
      <c r="T9792" s="24"/>
      <c r="U9792" s="24"/>
      <c r="V9792" s="24"/>
      <c r="W9792" s="24"/>
      <c r="X9792" s="24"/>
      <c r="Y9792" s="24"/>
      <c r="Z9792" s="24"/>
      <c r="AA9792" s="24"/>
    </row>
    <row r="9793">
      <c r="A9793" s="24"/>
      <c r="B9793" s="25"/>
      <c r="C9793" s="24"/>
      <c r="D9793" s="26"/>
      <c r="E9793" s="24"/>
      <c r="F9793" s="24"/>
      <c r="G9793" s="24"/>
      <c r="H9793" s="24"/>
      <c r="I9793" s="24"/>
      <c r="J9793" s="24"/>
      <c r="K9793" s="24"/>
      <c r="L9793" s="24"/>
      <c r="M9793" s="24"/>
      <c r="N9793" s="24"/>
      <c r="O9793" s="24"/>
      <c r="P9793" s="24"/>
      <c r="Q9793" s="24"/>
      <c r="R9793" s="24"/>
      <c r="S9793" s="24"/>
      <c r="T9793" s="24"/>
      <c r="U9793" s="24"/>
      <c r="V9793" s="24"/>
      <c r="W9793" s="24"/>
      <c r="X9793" s="24"/>
      <c r="Y9793" s="24"/>
      <c r="Z9793" s="24"/>
      <c r="AA9793" s="24"/>
    </row>
    <row r="9794">
      <c r="A9794" s="24"/>
      <c r="B9794" s="25"/>
      <c r="C9794" s="24"/>
      <c r="D9794" s="26"/>
      <c r="E9794" s="24"/>
      <c r="F9794" s="24"/>
      <c r="G9794" s="24"/>
      <c r="H9794" s="24"/>
      <c r="I9794" s="24"/>
      <c r="J9794" s="24"/>
      <c r="K9794" s="24"/>
      <c r="L9794" s="24"/>
      <c r="M9794" s="24"/>
      <c r="N9794" s="24"/>
      <c r="O9794" s="24"/>
      <c r="P9794" s="24"/>
      <c r="Q9794" s="24"/>
      <c r="R9794" s="24"/>
      <c r="S9794" s="24"/>
      <c r="T9794" s="24"/>
      <c r="U9794" s="24"/>
      <c r="V9794" s="24"/>
      <c r="W9794" s="24"/>
      <c r="X9794" s="24"/>
      <c r="Y9794" s="24"/>
      <c r="Z9794" s="24"/>
      <c r="AA9794" s="24"/>
    </row>
    <row r="9795">
      <c r="A9795" s="24"/>
      <c r="B9795" s="25"/>
      <c r="C9795" s="24"/>
      <c r="D9795" s="26"/>
      <c r="E9795" s="24"/>
      <c r="F9795" s="24"/>
      <c r="G9795" s="24"/>
      <c r="H9795" s="24"/>
      <c r="I9795" s="24"/>
      <c r="J9795" s="24"/>
      <c r="K9795" s="24"/>
      <c r="L9795" s="24"/>
      <c r="M9795" s="24"/>
      <c r="N9795" s="24"/>
      <c r="O9795" s="24"/>
      <c r="P9795" s="24"/>
      <c r="Q9795" s="24"/>
      <c r="R9795" s="24"/>
      <c r="S9795" s="24"/>
      <c r="T9795" s="24"/>
      <c r="U9795" s="24"/>
      <c r="V9795" s="24"/>
      <c r="W9795" s="24"/>
      <c r="X9795" s="24"/>
      <c r="Y9795" s="24"/>
      <c r="Z9795" s="24"/>
      <c r="AA9795" s="24"/>
    </row>
    <row r="9796">
      <c r="A9796" s="24"/>
      <c r="B9796" s="25"/>
      <c r="C9796" s="24"/>
      <c r="D9796" s="26"/>
      <c r="E9796" s="24"/>
      <c r="F9796" s="24"/>
      <c r="G9796" s="24"/>
      <c r="H9796" s="24"/>
      <c r="I9796" s="24"/>
      <c r="J9796" s="24"/>
      <c r="K9796" s="24"/>
      <c r="L9796" s="24"/>
      <c r="M9796" s="24"/>
      <c r="N9796" s="24"/>
      <c r="O9796" s="24"/>
      <c r="P9796" s="24"/>
      <c r="Q9796" s="24"/>
      <c r="R9796" s="24"/>
      <c r="S9796" s="24"/>
      <c r="T9796" s="24"/>
      <c r="U9796" s="24"/>
      <c r="V9796" s="24"/>
      <c r="W9796" s="24"/>
      <c r="X9796" s="24"/>
      <c r="Y9796" s="24"/>
      <c r="Z9796" s="24"/>
      <c r="AA9796" s="24"/>
    </row>
    <row r="9797">
      <c r="A9797" s="24"/>
      <c r="B9797" s="25"/>
      <c r="C9797" s="24"/>
      <c r="D9797" s="26"/>
      <c r="E9797" s="24"/>
      <c r="F9797" s="24"/>
      <c r="G9797" s="24"/>
      <c r="H9797" s="24"/>
      <c r="I9797" s="24"/>
      <c r="J9797" s="24"/>
      <c r="K9797" s="24"/>
      <c r="L9797" s="24"/>
      <c r="M9797" s="24"/>
      <c r="N9797" s="24"/>
      <c r="O9797" s="24"/>
      <c r="P9797" s="24"/>
      <c r="Q9797" s="24"/>
      <c r="R9797" s="24"/>
      <c r="S9797" s="24"/>
      <c r="T9797" s="24"/>
      <c r="U9797" s="24"/>
      <c r="V9797" s="24"/>
      <c r="W9797" s="24"/>
      <c r="X9797" s="24"/>
      <c r="Y9797" s="24"/>
      <c r="Z9797" s="24"/>
      <c r="AA9797" s="24"/>
    </row>
    <row r="9798">
      <c r="A9798" s="24"/>
      <c r="B9798" s="25"/>
      <c r="C9798" s="24"/>
      <c r="D9798" s="26"/>
      <c r="E9798" s="24"/>
      <c r="F9798" s="24"/>
      <c r="G9798" s="24"/>
      <c r="H9798" s="24"/>
      <c r="I9798" s="24"/>
      <c r="J9798" s="24"/>
      <c r="K9798" s="24"/>
      <c r="L9798" s="24"/>
      <c r="M9798" s="24"/>
      <c r="N9798" s="24"/>
      <c r="O9798" s="24"/>
      <c r="P9798" s="24"/>
      <c r="Q9798" s="24"/>
      <c r="R9798" s="24"/>
      <c r="S9798" s="24"/>
      <c r="T9798" s="24"/>
      <c r="U9798" s="24"/>
      <c r="V9798" s="24"/>
      <c r="W9798" s="24"/>
      <c r="X9798" s="24"/>
      <c r="Y9798" s="24"/>
      <c r="Z9798" s="24"/>
      <c r="AA9798" s="24"/>
    </row>
    <row r="9799">
      <c r="A9799" s="24"/>
      <c r="B9799" s="25"/>
      <c r="C9799" s="24"/>
      <c r="D9799" s="26"/>
      <c r="E9799" s="24"/>
      <c r="F9799" s="24"/>
      <c r="G9799" s="24"/>
      <c r="H9799" s="24"/>
      <c r="I9799" s="24"/>
      <c r="J9799" s="24"/>
      <c r="K9799" s="24"/>
      <c r="L9799" s="24"/>
      <c r="M9799" s="24"/>
      <c r="N9799" s="24"/>
      <c r="O9799" s="24"/>
      <c r="P9799" s="24"/>
      <c r="Q9799" s="24"/>
      <c r="R9799" s="24"/>
      <c r="S9799" s="24"/>
      <c r="T9799" s="24"/>
      <c r="U9799" s="24"/>
      <c r="V9799" s="24"/>
      <c r="W9799" s="24"/>
      <c r="X9799" s="24"/>
      <c r="Y9799" s="24"/>
      <c r="Z9799" s="24"/>
      <c r="AA9799" s="24"/>
    </row>
    <row r="9800">
      <c r="A9800" s="24"/>
      <c r="B9800" s="25"/>
      <c r="C9800" s="24"/>
      <c r="D9800" s="26"/>
      <c r="E9800" s="24"/>
      <c r="F9800" s="24"/>
      <c r="G9800" s="24"/>
      <c r="H9800" s="24"/>
      <c r="I9800" s="24"/>
      <c r="J9800" s="24"/>
      <c r="K9800" s="24"/>
      <c r="L9800" s="24"/>
      <c r="M9800" s="24"/>
      <c r="N9800" s="24"/>
      <c r="O9800" s="24"/>
      <c r="P9800" s="24"/>
      <c r="Q9800" s="24"/>
      <c r="R9800" s="24"/>
      <c r="S9800" s="24"/>
      <c r="T9800" s="24"/>
      <c r="U9800" s="24"/>
      <c r="V9800" s="24"/>
      <c r="W9800" s="24"/>
      <c r="X9800" s="24"/>
      <c r="Y9800" s="24"/>
      <c r="Z9800" s="24"/>
      <c r="AA9800" s="24"/>
    </row>
    <row r="9801">
      <c r="A9801" s="24"/>
      <c r="B9801" s="25"/>
      <c r="C9801" s="24"/>
      <c r="D9801" s="26"/>
      <c r="E9801" s="24"/>
      <c r="F9801" s="24"/>
      <c r="G9801" s="24"/>
      <c r="H9801" s="24"/>
      <c r="I9801" s="24"/>
      <c r="J9801" s="24"/>
      <c r="K9801" s="24"/>
      <c r="L9801" s="24"/>
      <c r="M9801" s="24"/>
      <c r="N9801" s="24"/>
      <c r="O9801" s="24"/>
      <c r="P9801" s="24"/>
      <c r="Q9801" s="24"/>
      <c r="R9801" s="24"/>
      <c r="S9801" s="24"/>
      <c r="T9801" s="24"/>
      <c r="U9801" s="24"/>
      <c r="V9801" s="24"/>
      <c r="W9801" s="24"/>
      <c r="X9801" s="24"/>
      <c r="Y9801" s="24"/>
      <c r="Z9801" s="24"/>
      <c r="AA9801" s="24"/>
    </row>
    <row r="9802">
      <c r="A9802" s="24"/>
      <c r="B9802" s="25"/>
      <c r="C9802" s="24"/>
      <c r="D9802" s="26"/>
      <c r="E9802" s="24"/>
      <c r="F9802" s="24"/>
      <c r="G9802" s="24"/>
      <c r="H9802" s="24"/>
      <c r="I9802" s="24"/>
      <c r="J9802" s="24"/>
      <c r="K9802" s="24"/>
      <c r="L9802" s="24"/>
      <c r="M9802" s="24"/>
      <c r="N9802" s="24"/>
      <c r="O9802" s="24"/>
      <c r="P9802" s="24"/>
      <c r="Q9802" s="24"/>
      <c r="R9802" s="24"/>
      <c r="S9802" s="24"/>
      <c r="T9802" s="24"/>
      <c r="U9802" s="24"/>
      <c r="V9802" s="24"/>
      <c r="W9802" s="24"/>
      <c r="X9802" s="24"/>
      <c r="Y9802" s="24"/>
      <c r="Z9802" s="24"/>
      <c r="AA9802" s="24"/>
    </row>
    <row r="9803">
      <c r="A9803" s="24"/>
      <c r="B9803" s="25"/>
      <c r="C9803" s="24"/>
      <c r="D9803" s="26"/>
      <c r="E9803" s="24"/>
      <c r="F9803" s="24"/>
      <c r="G9803" s="24"/>
      <c r="H9803" s="24"/>
      <c r="I9803" s="24"/>
      <c r="J9803" s="24"/>
      <c r="K9803" s="24"/>
      <c r="L9803" s="24"/>
      <c r="M9803" s="24"/>
      <c r="N9803" s="24"/>
      <c r="O9803" s="24"/>
      <c r="P9803" s="24"/>
      <c r="Q9803" s="24"/>
      <c r="R9803" s="24"/>
      <c r="S9803" s="24"/>
      <c r="T9803" s="24"/>
      <c r="U9803" s="24"/>
      <c r="V9803" s="24"/>
      <c r="W9803" s="24"/>
      <c r="X9803" s="24"/>
      <c r="Y9803" s="24"/>
      <c r="Z9803" s="24"/>
      <c r="AA9803" s="24"/>
    </row>
    <row r="9804">
      <c r="A9804" s="24"/>
      <c r="B9804" s="25"/>
      <c r="C9804" s="24"/>
      <c r="D9804" s="26"/>
      <c r="E9804" s="24"/>
      <c r="F9804" s="24"/>
      <c r="G9804" s="24"/>
      <c r="H9804" s="24"/>
      <c r="I9804" s="24"/>
      <c r="J9804" s="24"/>
      <c r="K9804" s="24"/>
      <c r="L9804" s="24"/>
      <c r="M9804" s="24"/>
      <c r="N9804" s="24"/>
      <c r="O9804" s="24"/>
      <c r="P9804" s="24"/>
      <c r="Q9804" s="24"/>
      <c r="R9804" s="24"/>
      <c r="S9804" s="24"/>
      <c r="T9804" s="24"/>
      <c r="U9804" s="24"/>
      <c r="V9804" s="24"/>
      <c r="W9804" s="24"/>
      <c r="X9804" s="24"/>
      <c r="Y9804" s="24"/>
      <c r="Z9804" s="24"/>
      <c r="AA9804" s="24"/>
    </row>
    <row r="9805">
      <c r="A9805" s="24"/>
      <c r="B9805" s="25"/>
      <c r="C9805" s="24"/>
      <c r="D9805" s="26"/>
      <c r="E9805" s="24"/>
      <c r="F9805" s="24"/>
      <c r="G9805" s="24"/>
      <c r="H9805" s="24"/>
      <c r="I9805" s="24"/>
      <c r="J9805" s="24"/>
      <c r="K9805" s="24"/>
      <c r="L9805" s="24"/>
      <c r="M9805" s="24"/>
      <c r="N9805" s="24"/>
      <c r="O9805" s="24"/>
      <c r="P9805" s="24"/>
      <c r="Q9805" s="24"/>
      <c r="R9805" s="24"/>
      <c r="S9805" s="24"/>
      <c r="T9805" s="24"/>
      <c r="U9805" s="24"/>
      <c r="V9805" s="24"/>
      <c r="W9805" s="24"/>
      <c r="X9805" s="24"/>
      <c r="Y9805" s="24"/>
      <c r="Z9805" s="24"/>
      <c r="AA9805" s="24"/>
    </row>
    <row r="9806">
      <c r="A9806" s="24"/>
      <c r="B9806" s="25"/>
      <c r="C9806" s="24"/>
      <c r="D9806" s="26"/>
      <c r="E9806" s="24"/>
      <c r="F9806" s="24"/>
      <c r="G9806" s="24"/>
      <c r="H9806" s="24"/>
      <c r="I9806" s="24"/>
      <c r="J9806" s="24"/>
      <c r="K9806" s="24"/>
      <c r="L9806" s="24"/>
      <c r="M9806" s="24"/>
      <c r="N9806" s="24"/>
      <c r="O9806" s="24"/>
      <c r="P9806" s="24"/>
      <c r="Q9806" s="24"/>
      <c r="R9806" s="24"/>
      <c r="S9806" s="24"/>
      <c r="T9806" s="24"/>
      <c r="U9806" s="24"/>
      <c r="V9806" s="24"/>
      <c r="W9806" s="24"/>
      <c r="X9806" s="24"/>
      <c r="Y9806" s="24"/>
      <c r="Z9806" s="24"/>
      <c r="AA9806" s="24"/>
    </row>
    <row r="9807">
      <c r="A9807" s="24"/>
      <c r="B9807" s="25"/>
      <c r="C9807" s="24"/>
      <c r="D9807" s="26"/>
      <c r="E9807" s="24"/>
      <c r="F9807" s="24"/>
      <c r="G9807" s="24"/>
      <c r="H9807" s="24"/>
      <c r="I9807" s="24"/>
      <c r="J9807" s="24"/>
      <c r="K9807" s="24"/>
      <c r="L9807" s="24"/>
      <c r="M9807" s="24"/>
      <c r="N9807" s="24"/>
      <c r="O9807" s="24"/>
      <c r="P9807" s="24"/>
      <c r="Q9807" s="24"/>
      <c r="R9807" s="24"/>
      <c r="S9807" s="24"/>
      <c r="T9807" s="24"/>
      <c r="U9807" s="24"/>
      <c r="V9807" s="24"/>
      <c r="W9807" s="24"/>
      <c r="X9807" s="24"/>
      <c r="Y9807" s="24"/>
      <c r="Z9807" s="24"/>
      <c r="AA9807" s="24"/>
    </row>
    <row r="9808">
      <c r="A9808" s="24"/>
      <c r="B9808" s="25"/>
      <c r="C9808" s="24"/>
      <c r="D9808" s="26"/>
      <c r="E9808" s="24"/>
      <c r="F9808" s="24"/>
      <c r="G9808" s="24"/>
      <c r="H9808" s="24"/>
      <c r="I9808" s="24"/>
      <c r="J9808" s="24"/>
      <c r="K9808" s="24"/>
      <c r="L9808" s="24"/>
      <c r="M9808" s="24"/>
      <c r="N9808" s="24"/>
      <c r="O9808" s="24"/>
      <c r="P9808" s="24"/>
      <c r="Q9808" s="24"/>
      <c r="R9808" s="24"/>
      <c r="S9808" s="24"/>
      <c r="T9808" s="24"/>
      <c r="U9808" s="24"/>
      <c r="V9808" s="24"/>
      <c r="W9808" s="24"/>
      <c r="X9808" s="24"/>
      <c r="Y9808" s="24"/>
      <c r="Z9808" s="24"/>
      <c r="AA9808" s="24"/>
    </row>
    <row r="9809">
      <c r="A9809" s="24"/>
      <c r="B9809" s="25"/>
      <c r="C9809" s="24"/>
      <c r="D9809" s="26"/>
      <c r="E9809" s="24"/>
      <c r="F9809" s="24"/>
      <c r="G9809" s="24"/>
      <c r="H9809" s="24"/>
      <c r="I9809" s="24"/>
      <c r="J9809" s="24"/>
      <c r="K9809" s="24"/>
      <c r="L9809" s="24"/>
      <c r="M9809" s="24"/>
      <c r="N9809" s="24"/>
      <c r="O9809" s="24"/>
      <c r="P9809" s="24"/>
      <c r="Q9809" s="24"/>
      <c r="R9809" s="24"/>
      <c r="S9809" s="24"/>
      <c r="T9809" s="24"/>
      <c r="U9809" s="24"/>
      <c r="V9809" s="24"/>
      <c r="W9809" s="24"/>
      <c r="X9809" s="24"/>
      <c r="Y9809" s="24"/>
      <c r="Z9809" s="24"/>
      <c r="AA9809" s="24"/>
    </row>
    <row r="9810">
      <c r="A9810" s="24"/>
      <c r="B9810" s="25"/>
      <c r="C9810" s="24"/>
      <c r="D9810" s="26"/>
      <c r="E9810" s="24"/>
      <c r="F9810" s="24"/>
      <c r="G9810" s="24"/>
      <c r="H9810" s="24"/>
      <c r="I9810" s="24"/>
      <c r="J9810" s="24"/>
      <c r="K9810" s="24"/>
      <c r="L9810" s="24"/>
      <c r="M9810" s="24"/>
      <c r="N9810" s="24"/>
      <c r="O9810" s="24"/>
      <c r="P9810" s="24"/>
      <c r="Q9810" s="24"/>
      <c r="R9810" s="24"/>
      <c r="S9810" s="24"/>
      <c r="T9810" s="24"/>
      <c r="U9810" s="24"/>
      <c r="V9810" s="24"/>
      <c r="W9810" s="24"/>
      <c r="X9810" s="24"/>
      <c r="Y9810" s="24"/>
      <c r="Z9810" s="24"/>
      <c r="AA9810" s="24"/>
    </row>
    <row r="9811">
      <c r="A9811" s="24"/>
      <c r="B9811" s="25"/>
      <c r="C9811" s="24"/>
      <c r="D9811" s="26"/>
      <c r="E9811" s="24"/>
      <c r="F9811" s="24"/>
      <c r="G9811" s="24"/>
      <c r="H9811" s="24"/>
      <c r="I9811" s="24"/>
      <c r="J9811" s="24"/>
      <c r="K9811" s="24"/>
      <c r="L9811" s="24"/>
      <c r="M9811" s="24"/>
      <c r="N9811" s="24"/>
      <c r="O9811" s="24"/>
      <c r="P9811" s="24"/>
      <c r="Q9811" s="24"/>
      <c r="R9811" s="24"/>
      <c r="S9811" s="24"/>
      <c r="T9811" s="24"/>
      <c r="U9811" s="24"/>
      <c r="V9811" s="24"/>
      <c r="W9811" s="24"/>
      <c r="X9811" s="24"/>
      <c r="Y9811" s="24"/>
      <c r="Z9811" s="24"/>
      <c r="AA9811" s="24"/>
    </row>
    <row r="9812">
      <c r="A9812" s="24"/>
      <c r="B9812" s="25"/>
      <c r="C9812" s="24"/>
      <c r="D9812" s="26"/>
      <c r="E9812" s="24"/>
      <c r="F9812" s="24"/>
      <c r="G9812" s="24"/>
      <c r="H9812" s="24"/>
      <c r="I9812" s="24"/>
      <c r="J9812" s="24"/>
      <c r="K9812" s="24"/>
      <c r="L9812" s="24"/>
      <c r="M9812" s="24"/>
      <c r="N9812" s="24"/>
      <c r="O9812" s="24"/>
      <c r="P9812" s="24"/>
      <c r="Q9812" s="24"/>
      <c r="R9812" s="24"/>
      <c r="S9812" s="24"/>
      <c r="T9812" s="24"/>
      <c r="U9812" s="24"/>
      <c r="V9812" s="24"/>
      <c r="W9812" s="24"/>
      <c r="X9812" s="24"/>
      <c r="Y9812" s="24"/>
      <c r="Z9812" s="24"/>
      <c r="AA9812" s="24"/>
    </row>
    <row r="9813">
      <c r="A9813" s="24"/>
      <c r="B9813" s="25"/>
      <c r="C9813" s="24"/>
      <c r="D9813" s="26"/>
      <c r="E9813" s="24"/>
      <c r="F9813" s="24"/>
      <c r="G9813" s="24"/>
      <c r="H9813" s="24"/>
      <c r="I9813" s="24"/>
      <c r="J9813" s="24"/>
      <c r="K9813" s="24"/>
      <c r="L9813" s="24"/>
      <c r="M9813" s="24"/>
      <c r="N9813" s="24"/>
      <c r="O9813" s="24"/>
      <c r="P9813" s="24"/>
      <c r="Q9813" s="24"/>
      <c r="R9813" s="24"/>
      <c r="S9813" s="24"/>
      <c r="T9813" s="24"/>
      <c r="U9813" s="24"/>
      <c r="V9813" s="24"/>
      <c r="W9813" s="24"/>
      <c r="X9813" s="24"/>
      <c r="Y9813" s="24"/>
      <c r="Z9813" s="24"/>
      <c r="AA9813" s="24"/>
    </row>
    <row r="9814">
      <c r="A9814" s="24"/>
      <c r="B9814" s="25"/>
      <c r="C9814" s="24"/>
      <c r="D9814" s="26"/>
      <c r="E9814" s="24"/>
      <c r="F9814" s="24"/>
      <c r="G9814" s="24"/>
      <c r="H9814" s="24"/>
      <c r="I9814" s="24"/>
      <c r="J9814" s="24"/>
      <c r="K9814" s="24"/>
      <c r="L9814" s="24"/>
      <c r="M9814" s="24"/>
      <c r="N9814" s="24"/>
      <c r="O9814" s="24"/>
      <c r="P9814" s="24"/>
      <c r="Q9814" s="24"/>
      <c r="R9814" s="24"/>
      <c r="S9814" s="24"/>
      <c r="T9814" s="24"/>
      <c r="U9814" s="24"/>
      <c r="V9814" s="24"/>
      <c r="W9814" s="24"/>
      <c r="X9814" s="24"/>
      <c r="Y9814" s="24"/>
      <c r="Z9814" s="24"/>
      <c r="AA9814" s="24"/>
    </row>
    <row r="9815">
      <c r="A9815" s="24"/>
      <c r="B9815" s="25"/>
      <c r="C9815" s="24"/>
      <c r="D9815" s="26"/>
      <c r="E9815" s="24"/>
      <c r="F9815" s="24"/>
      <c r="G9815" s="24"/>
      <c r="H9815" s="24"/>
      <c r="I9815" s="24"/>
      <c r="J9815" s="24"/>
      <c r="K9815" s="24"/>
      <c r="L9815" s="24"/>
      <c r="M9815" s="24"/>
      <c r="N9815" s="24"/>
      <c r="O9815" s="24"/>
      <c r="P9815" s="24"/>
      <c r="Q9815" s="24"/>
      <c r="R9815" s="24"/>
      <c r="S9815" s="24"/>
      <c r="T9815" s="24"/>
      <c r="U9815" s="24"/>
      <c r="V9815" s="24"/>
      <c r="W9815" s="24"/>
      <c r="X9815" s="24"/>
      <c r="Y9815" s="24"/>
      <c r="Z9815" s="24"/>
      <c r="AA9815" s="24"/>
    </row>
    <row r="9816">
      <c r="A9816" s="24"/>
      <c r="B9816" s="25"/>
      <c r="C9816" s="24"/>
      <c r="D9816" s="26"/>
      <c r="E9816" s="24"/>
      <c r="F9816" s="24"/>
      <c r="G9816" s="24"/>
      <c r="H9816" s="24"/>
      <c r="I9816" s="24"/>
      <c r="J9816" s="24"/>
      <c r="K9816" s="24"/>
      <c r="L9816" s="24"/>
      <c r="M9816" s="24"/>
      <c r="N9816" s="24"/>
      <c r="O9816" s="24"/>
      <c r="P9816" s="24"/>
      <c r="Q9816" s="24"/>
      <c r="R9816" s="24"/>
      <c r="S9816" s="24"/>
      <c r="T9816" s="24"/>
      <c r="U9816" s="24"/>
      <c r="V9816" s="24"/>
      <c r="W9816" s="24"/>
      <c r="X9816" s="24"/>
      <c r="Y9816" s="24"/>
      <c r="Z9816" s="24"/>
      <c r="AA9816" s="24"/>
    </row>
    <row r="9817">
      <c r="A9817" s="24"/>
      <c r="B9817" s="25"/>
      <c r="C9817" s="24"/>
      <c r="D9817" s="26"/>
      <c r="E9817" s="24"/>
      <c r="F9817" s="24"/>
      <c r="G9817" s="24"/>
      <c r="H9817" s="24"/>
      <c r="I9817" s="24"/>
      <c r="J9817" s="24"/>
      <c r="K9817" s="24"/>
      <c r="L9817" s="24"/>
      <c r="M9817" s="24"/>
      <c r="N9817" s="24"/>
      <c r="O9817" s="24"/>
      <c r="P9817" s="24"/>
      <c r="Q9817" s="24"/>
      <c r="R9817" s="24"/>
      <c r="S9817" s="24"/>
      <c r="T9817" s="24"/>
      <c r="U9817" s="24"/>
      <c r="V9817" s="24"/>
      <c r="W9817" s="24"/>
      <c r="X9817" s="24"/>
      <c r="Y9817" s="24"/>
      <c r="Z9817" s="24"/>
      <c r="AA9817" s="24"/>
    </row>
    <row r="9818">
      <c r="A9818" s="24"/>
      <c r="B9818" s="25"/>
      <c r="C9818" s="24"/>
      <c r="D9818" s="26"/>
      <c r="E9818" s="24"/>
      <c r="F9818" s="24"/>
      <c r="G9818" s="24"/>
      <c r="H9818" s="24"/>
      <c r="I9818" s="24"/>
      <c r="J9818" s="24"/>
      <c r="K9818" s="24"/>
      <c r="L9818" s="24"/>
      <c r="M9818" s="24"/>
      <c r="N9818" s="24"/>
      <c r="O9818" s="24"/>
      <c r="P9818" s="24"/>
      <c r="Q9818" s="24"/>
      <c r="R9818" s="24"/>
      <c r="S9818" s="24"/>
      <c r="T9818" s="24"/>
      <c r="U9818" s="24"/>
      <c r="V9818" s="24"/>
      <c r="W9818" s="24"/>
      <c r="X9818" s="24"/>
      <c r="Y9818" s="24"/>
      <c r="Z9818" s="24"/>
      <c r="AA9818" s="24"/>
    </row>
    <row r="9819">
      <c r="A9819" s="24"/>
      <c r="B9819" s="25"/>
      <c r="C9819" s="24"/>
      <c r="D9819" s="26"/>
      <c r="E9819" s="24"/>
      <c r="F9819" s="24"/>
      <c r="G9819" s="24"/>
      <c r="H9819" s="24"/>
      <c r="I9819" s="24"/>
      <c r="J9819" s="24"/>
      <c r="K9819" s="24"/>
      <c r="L9819" s="24"/>
      <c r="M9819" s="24"/>
      <c r="N9819" s="24"/>
      <c r="O9819" s="24"/>
      <c r="P9819" s="24"/>
      <c r="Q9819" s="24"/>
      <c r="R9819" s="24"/>
      <c r="S9819" s="24"/>
      <c r="T9819" s="24"/>
      <c r="U9819" s="24"/>
      <c r="V9819" s="24"/>
      <c r="W9819" s="24"/>
      <c r="X9819" s="24"/>
      <c r="Y9819" s="24"/>
      <c r="Z9819" s="24"/>
      <c r="AA9819" s="24"/>
    </row>
    <row r="9820">
      <c r="A9820" s="24"/>
      <c r="B9820" s="25"/>
      <c r="C9820" s="24"/>
      <c r="D9820" s="26"/>
      <c r="E9820" s="24"/>
      <c r="F9820" s="24"/>
      <c r="G9820" s="24"/>
      <c r="H9820" s="24"/>
      <c r="I9820" s="24"/>
      <c r="J9820" s="24"/>
      <c r="K9820" s="24"/>
      <c r="L9820" s="24"/>
      <c r="M9820" s="24"/>
      <c r="N9820" s="24"/>
      <c r="O9820" s="24"/>
      <c r="P9820" s="24"/>
      <c r="Q9820" s="24"/>
      <c r="R9820" s="24"/>
      <c r="S9820" s="24"/>
      <c r="T9820" s="24"/>
      <c r="U9820" s="24"/>
      <c r="V9820" s="24"/>
      <c r="W9820" s="24"/>
      <c r="X9820" s="24"/>
      <c r="Y9820" s="24"/>
      <c r="Z9820" s="24"/>
      <c r="AA9820" s="24"/>
    </row>
    <row r="9821">
      <c r="A9821" s="24"/>
      <c r="B9821" s="25"/>
      <c r="C9821" s="24"/>
      <c r="D9821" s="26"/>
      <c r="E9821" s="24"/>
      <c r="F9821" s="24"/>
      <c r="G9821" s="24"/>
      <c r="H9821" s="24"/>
      <c r="I9821" s="24"/>
      <c r="J9821" s="24"/>
      <c r="K9821" s="24"/>
      <c r="L9821" s="24"/>
      <c r="M9821" s="24"/>
      <c r="N9821" s="24"/>
      <c r="O9821" s="24"/>
      <c r="P9821" s="24"/>
      <c r="Q9821" s="24"/>
      <c r="R9821" s="24"/>
      <c r="S9821" s="24"/>
      <c r="T9821" s="24"/>
      <c r="U9821" s="24"/>
      <c r="V9821" s="24"/>
      <c r="W9821" s="24"/>
      <c r="X9821" s="24"/>
      <c r="Y9821" s="24"/>
      <c r="Z9821" s="24"/>
      <c r="AA9821" s="24"/>
    </row>
    <row r="9822">
      <c r="A9822" s="24"/>
      <c r="B9822" s="25"/>
      <c r="C9822" s="24"/>
      <c r="D9822" s="26"/>
      <c r="E9822" s="24"/>
      <c r="F9822" s="24"/>
      <c r="G9822" s="24"/>
      <c r="H9822" s="24"/>
      <c r="I9822" s="24"/>
      <c r="J9822" s="24"/>
      <c r="K9822" s="24"/>
      <c r="L9822" s="24"/>
      <c r="M9822" s="24"/>
      <c r="N9822" s="24"/>
      <c r="O9822" s="24"/>
      <c r="P9822" s="24"/>
      <c r="Q9822" s="24"/>
      <c r="R9822" s="24"/>
      <c r="S9822" s="24"/>
      <c r="T9822" s="24"/>
      <c r="U9822" s="24"/>
      <c r="V9822" s="24"/>
      <c r="W9822" s="24"/>
      <c r="X9822" s="24"/>
      <c r="Y9822" s="24"/>
      <c r="Z9822" s="24"/>
      <c r="AA9822" s="24"/>
    </row>
    <row r="9823">
      <c r="A9823" s="24"/>
      <c r="B9823" s="25"/>
      <c r="C9823" s="24"/>
      <c r="D9823" s="26"/>
      <c r="E9823" s="24"/>
      <c r="F9823" s="24"/>
      <c r="G9823" s="24"/>
      <c r="H9823" s="24"/>
      <c r="I9823" s="24"/>
      <c r="J9823" s="24"/>
      <c r="K9823" s="24"/>
      <c r="L9823" s="24"/>
      <c r="M9823" s="24"/>
      <c r="N9823" s="24"/>
      <c r="O9823" s="24"/>
      <c r="P9823" s="24"/>
      <c r="Q9823" s="24"/>
      <c r="R9823" s="24"/>
      <c r="S9823" s="24"/>
      <c r="T9823" s="24"/>
      <c r="U9823" s="24"/>
      <c r="V9823" s="24"/>
      <c r="W9823" s="24"/>
      <c r="X9823" s="24"/>
      <c r="Y9823" s="24"/>
      <c r="Z9823" s="24"/>
      <c r="AA9823" s="24"/>
    </row>
    <row r="9824">
      <c r="A9824" s="24"/>
      <c r="B9824" s="25"/>
      <c r="C9824" s="24"/>
      <c r="D9824" s="26"/>
      <c r="E9824" s="24"/>
      <c r="F9824" s="24"/>
      <c r="G9824" s="24"/>
      <c r="H9824" s="24"/>
      <c r="I9824" s="24"/>
      <c r="J9824" s="24"/>
      <c r="K9824" s="24"/>
      <c r="L9824" s="24"/>
      <c r="M9824" s="24"/>
      <c r="N9824" s="24"/>
      <c r="O9824" s="24"/>
      <c r="P9824" s="24"/>
      <c r="Q9824" s="24"/>
      <c r="R9824" s="24"/>
      <c r="S9824" s="24"/>
      <c r="T9824" s="24"/>
      <c r="U9824" s="24"/>
      <c r="V9824" s="24"/>
      <c r="W9824" s="24"/>
      <c r="X9824" s="24"/>
      <c r="Y9824" s="24"/>
      <c r="Z9824" s="24"/>
      <c r="AA9824" s="24"/>
    </row>
    <row r="9825">
      <c r="A9825" s="24"/>
      <c r="B9825" s="25"/>
      <c r="C9825" s="24"/>
      <c r="D9825" s="26"/>
      <c r="E9825" s="24"/>
      <c r="F9825" s="24"/>
      <c r="G9825" s="24"/>
      <c r="H9825" s="24"/>
      <c r="I9825" s="24"/>
      <c r="J9825" s="24"/>
      <c r="K9825" s="24"/>
      <c r="L9825" s="24"/>
      <c r="M9825" s="24"/>
      <c r="N9825" s="24"/>
      <c r="O9825" s="24"/>
      <c r="P9825" s="24"/>
      <c r="Q9825" s="24"/>
      <c r="R9825" s="24"/>
      <c r="S9825" s="24"/>
      <c r="T9825" s="24"/>
      <c r="U9825" s="24"/>
      <c r="V9825" s="24"/>
      <c r="W9825" s="24"/>
      <c r="X9825" s="24"/>
      <c r="Y9825" s="24"/>
      <c r="Z9825" s="24"/>
      <c r="AA9825" s="24"/>
    </row>
    <row r="9826">
      <c r="A9826" s="24"/>
      <c r="B9826" s="25"/>
      <c r="C9826" s="24"/>
      <c r="D9826" s="26"/>
      <c r="E9826" s="24"/>
      <c r="F9826" s="24"/>
      <c r="G9826" s="24"/>
      <c r="H9826" s="24"/>
      <c r="I9826" s="24"/>
      <c r="J9826" s="24"/>
      <c r="K9826" s="24"/>
      <c r="L9826" s="24"/>
      <c r="M9826" s="24"/>
      <c r="N9826" s="24"/>
      <c r="O9826" s="24"/>
      <c r="P9826" s="24"/>
      <c r="Q9826" s="24"/>
      <c r="R9826" s="24"/>
      <c r="S9826" s="24"/>
      <c r="T9826" s="24"/>
      <c r="U9826" s="24"/>
      <c r="V9826" s="24"/>
      <c r="W9826" s="24"/>
      <c r="X9826" s="24"/>
      <c r="Y9826" s="24"/>
      <c r="Z9826" s="24"/>
      <c r="AA9826" s="24"/>
    </row>
    <row r="9827">
      <c r="A9827" s="24"/>
      <c r="B9827" s="25"/>
      <c r="C9827" s="24"/>
      <c r="D9827" s="26"/>
      <c r="E9827" s="24"/>
      <c r="F9827" s="24"/>
      <c r="G9827" s="24"/>
      <c r="H9827" s="24"/>
      <c r="I9827" s="24"/>
      <c r="J9827" s="24"/>
      <c r="K9827" s="24"/>
      <c r="L9827" s="24"/>
      <c r="M9827" s="24"/>
      <c r="N9827" s="24"/>
      <c r="O9827" s="24"/>
      <c r="P9827" s="24"/>
      <c r="Q9827" s="24"/>
      <c r="R9827" s="24"/>
      <c r="S9827" s="24"/>
      <c r="T9827" s="24"/>
      <c r="U9827" s="24"/>
      <c r="V9827" s="24"/>
      <c r="W9827" s="24"/>
      <c r="X9827" s="24"/>
      <c r="Y9827" s="24"/>
      <c r="Z9827" s="24"/>
      <c r="AA9827" s="24"/>
    </row>
    <row r="9828">
      <c r="A9828" s="24"/>
      <c r="B9828" s="25"/>
      <c r="C9828" s="24"/>
      <c r="D9828" s="26"/>
      <c r="E9828" s="24"/>
      <c r="F9828" s="24"/>
      <c r="G9828" s="24"/>
      <c r="H9828" s="24"/>
      <c r="I9828" s="24"/>
      <c r="J9828" s="24"/>
      <c r="K9828" s="24"/>
      <c r="L9828" s="24"/>
      <c r="M9828" s="24"/>
      <c r="N9828" s="24"/>
      <c r="O9828" s="24"/>
      <c r="P9828" s="24"/>
      <c r="Q9828" s="24"/>
      <c r="R9828" s="24"/>
      <c r="S9828" s="24"/>
      <c r="T9828" s="24"/>
      <c r="U9828" s="24"/>
      <c r="V9828" s="24"/>
      <c r="W9828" s="24"/>
      <c r="X9828" s="24"/>
      <c r="Y9828" s="24"/>
      <c r="Z9828" s="24"/>
      <c r="AA9828" s="24"/>
    </row>
    <row r="9829">
      <c r="A9829" s="24"/>
      <c r="B9829" s="25"/>
      <c r="C9829" s="24"/>
      <c r="D9829" s="26"/>
      <c r="E9829" s="24"/>
      <c r="F9829" s="24"/>
      <c r="G9829" s="24"/>
      <c r="H9829" s="24"/>
      <c r="I9829" s="24"/>
      <c r="J9829" s="24"/>
      <c r="K9829" s="24"/>
      <c r="L9829" s="24"/>
      <c r="M9829" s="24"/>
      <c r="N9829" s="24"/>
      <c r="O9829" s="24"/>
      <c r="P9829" s="24"/>
      <c r="Q9829" s="24"/>
      <c r="R9829" s="24"/>
      <c r="S9829" s="24"/>
      <c r="T9829" s="24"/>
      <c r="U9829" s="24"/>
      <c r="V9829" s="24"/>
      <c r="W9829" s="24"/>
      <c r="X9829" s="24"/>
      <c r="Y9829" s="24"/>
      <c r="Z9829" s="24"/>
      <c r="AA9829" s="24"/>
    </row>
    <row r="9830">
      <c r="A9830" s="24"/>
      <c r="B9830" s="25"/>
      <c r="C9830" s="24"/>
      <c r="D9830" s="26"/>
      <c r="E9830" s="24"/>
      <c r="F9830" s="24"/>
      <c r="G9830" s="24"/>
      <c r="H9830" s="24"/>
      <c r="I9830" s="24"/>
      <c r="J9830" s="24"/>
      <c r="K9830" s="24"/>
      <c r="L9830" s="24"/>
      <c r="M9830" s="24"/>
      <c r="N9830" s="24"/>
      <c r="O9830" s="24"/>
      <c r="P9830" s="24"/>
      <c r="Q9830" s="24"/>
      <c r="R9830" s="24"/>
      <c r="S9830" s="24"/>
      <c r="T9830" s="24"/>
      <c r="U9830" s="24"/>
      <c r="V9830" s="24"/>
      <c r="W9830" s="24"/>
      <c r="X9830" s="24"/>
      <c r="Y9830" s="24"/>
      <c r="Z9830" s="24"/>
      <c r="AA9830" s="24"/>
    </row>
    <row r="9831">
      <c r="A9831" s="24"/>
      <c r="B9831" s="25"/>
      <c r="C9831" s="24"/>
      <c r="D9831" s="26"/>
      <c r="E9831" s="24"/>
      <c r="F9831" s="24"/>
      <c r="G9831" s="24"/>
      <c r="H9831" s="24"/>
      <c r="I9831" s="24"/>
      <c r="J9831" s="24"/>
      <c r="K9831" s="24"/>
      <c r="L9831" s="24"/>
      <c r="M9831" s="24"/>
      <c r="N9831" s="24"/>
      <c r="O9831" s="24"/>
      <c r="P9831" s="24"/>
      <c r="Q9831" s="24"/>
      <c r="R9831" s="24"/>
      <c r="S9831" s="24"/>
      <c r="T9831" s="24"/>
      <c r="U9831" s="24"/>
      <c r="V9831" s="24"/>
      <c r="W9831" s="24"/>
      <c r="X9831" s="24"/>
      <c r="Y9831" s="24"/>
      <c r="Z9831" s="24"/>
      <c r="AA9831" s="24"/>
    </row>
    <row r="9832">
      <c r="A9832" s="24"/>
      <c r="B9832" s="25"/>
      <c r="C9832" s="24"/>
      <c r="D9832" s="26"/>
      <c r="E9832" s="24"/>
      <c r="F9832" s="24"/>
      <c r="G9832" s="24"/>
      <c r="H9832" s="24"/>
      <c r="I9832" s="24"/>
      <c r="J9832" s="24"/>
      <c r="K9832" s="24"/>
      <c r="L9832" s="24"/>
      <c r="M9832" s="24"/>
      <c r="N9832" s="24"/>
      <c r="O9832" s="24"/>
      <c r="P9832" s="24"/>
      <c r="Q9832" s="24"/>
      <c r="R9832" s="24"/>
      <c r="S9832" s="24"/>
      <c r="T9832" s="24"/>
      <c r="U9832" s="24"/>
      <c r="V9832" s="24"/>
      <c r="W9832" s="24"/>
      <c r="X9832" s="24"/>
      <c r="Y9832" s="24"/>
      <c r="Z9832" s="24"/>
      <c r="AA9832" s="24"/>
    </row>
    <row r="9833">
      <c r="A9833" s="24"/>
      <c r="B9833" s="25"/>
      <c r="C9833" s="24"/>
      <c r="D9833" s="26"/>
      <c r="E9833" s="24"/>
      <c r="F9833" s="24"/>
      <c r="G9833" s="24"/>
      <c r="H9833" s="24"/>
      <c r="I9833" s="24"/>
      <c r="J9833" s="24"/>
      <c r="K9833" s="24"/>
      <c r="L9833" s="24"/>
      <c r="M9833" s="24"/>
      <c r="N9833" s="24"/>
      <c r="O9833" s="24"/>
      <c r="P9833" s="24"/>
      <c r="Q9833" s="24"/>
      <c r="R9833" s="24"/>
      <c r="S9833" s="24"/>
      <c r="T9833" s="24"/>
      <c r="U9833" s="24"/>
      <c r="V9833" s="24"/>
      <c r="W9833" s="24"/>
      <c r="X9833" s="24"/>
      <c r="Y9833" s="24"/>
      <c r="Z9833" s="24"/>
      <c r="AA9833" s="24"/>
    </row>
    <row r="9834">
      <c r="A9834" s="24"/>
      <c r="B9834" s="25"/>
      <c r="C9834" s="24"/>
      <c r="D9834" s="26"/>
      <c r="E9834" s="24"/>
      <c r="F9834" s="24"/>
      <c r="G9834" s="24"/>
      <c r="H9834" s="24"/>
      <c r="I9834" s="24"/>
      <c r="J9834" s="24"/>
      <c r="K9834" s="24"/>
      <c r="L9834" s="24"/>
      <c r="M9834" s="24"/>
      <c r="N9834" s="24"/>
      <c r="O9834" s="24"/>
      <c r="P9834" s="24"/>
      <c r="Q9834" s="24"/>
      <c r="R9834" s="24"/>
      <c r="S9834" s="24"/>
      <c r="T9834" s="24"/>
      <c r="U9834" s="24"/>
      <c r="V9834" s="24"/>
      <c r="W9834" s="24"/>
      <c r="X9834" s="24"/>
      <c r="Y9834" s="24"/>
      <c r="Z9834" s="24"/>
      <c r="AA9834" s="24"/>
    </row>
    <row r="9835">
      <c r="A9835" s="24"/>
      <c r="B9835" s="25"/>
      <c r="C9835" s="24"/>
      <c r="D9835" s="26"/>
      <c r="E9835" s="24"/>
      <c r="F9835" s="24"/>
      <c r="G9835" s="24"/>
      <c r="H9835" s="24"/>
      <c r="I9835" s="24"/>
      <c r="J9835" s="24"/>
      <c r="K9835" s="24"/>
      <c r="L9835" s="24"/>
      <c r="M9835" s="24"/>
      <c r="N9835" s="24"/>
      <c r="O9835" s="24"/>
      <c r="P9835" s="24"/>
      <c r="Q9835" s="24"/>
      <c r="R9835" s="24"/>
      <c r="S9835" s="24"/>
      <c r="T9835" s="24"/>
      <c r="U9835" s="24"/>
      <c r="V9835" s="24"/>
      <c r="W9835" s="24"/>
      <c r="X9835" s="24"/>
      <c r="Y9835" s="24"/>
      <c r="Z9835" s="24"/>
      <c r="AA9835" s="24"/>
    </row>
    <row r="9836">
      <c r="A9836" s="24"/>
      <c r="B9836" s="25"/>
      <c r="C9836" s="24"/>
      <c r="D9836" s="26"/>
      <c r="E9836" s="24"/>
      <c r="F9836" s="24"/>
      <c r="G9836" s="24"/>
      <c r="H9836" s="24"/>
      <c r="I9836" s="24"/>
      <c r="J9836" s="24"/>
      <c r="K9836" s="24"/>
      <c r="L9836" s="24"/>
      <c r="M9836" s="24"/>
      <c r="N9836" s="24"/>
      <c r="O9836" s="24"/>
      <c r="P9836" s="24"/>
      <c r="Q9836" s="24"/>
      <c r="R9836" s="24"/>
      <c r="S9836" s="24"/>
      <c r="T9836" s="24"/>
      <c r="U9836" s="24"/>
      <c r="V9836" s="24"/>
      <c r="W9836" s="24"/>
      <c r="X9836" s="24"/>
      <c r="Y9836" s="24"/>
      <c r="Z9836" s="24"/>
      <c r="AA9836" s="24"/>
    </row>
    <row r="9837">
      <c r="A9837" s="24"/>
      <c r="B9837" s="25"/>
      <c r="C9837" s="24"/>
      <c r="D9837" s="26"/>
      <c r="E9837" s="24"/>
      <c r="F9837" s="24"/>
      <c r="G9837" s="24"/>
      <c r="H9837" s="24"/>
      <c r="I9837" s="24"/>
      <c r="J9837" s="24"/>
      <c r="K9837" s="24"/>
      <c r="L9837" s="24"/>
      <c r="M9837" s="24"/>
      <c r="N9837" s="24"/>
      <c r="O9837" s="24"/>
      <c r="P9837" s="24"/>
      <c r="Q9837" s="24"/>
      <c r="R9837" s="24"/>
      <c r="S9837" s="24"/>
      <c r="T9837" s="24"/>
      <c r="U9837" s="24"/>
      <c r="V9837" s="24"/>
      <c r="W9837" s="24"/>
      <c r="X9837" s="24"/>
      <c r="Y9837" s="24"/>
      <c r="Z9837" s="24"/>
      <c r="AA9837" s="24"/>
    </row>
    <row r="9838">
      <c r="A9838" s="24"/>
      <c r="B9838" s="25"/>
      <c r="C9838" s="24"/>
      <c r="D9838" s="26"/>
      <c r="E9838" s="24"/>
      <c r="F9838" s="24"/>
      <c r="G9838" s="24"/>
      <c r="H9838" s="24"/>
      <c r="I9838" s="24"/>
      <c r="J9838" s="24"/>
      <c r="K9838" s="24"/>
      <c r="L9838" s="24"/>
      <c r="M9838" s="24"/>
      <c r="N9838" s="24"/>
      <c r="O9838" s="24"/>
      <c r="P9838" s="24"/>
      <c r="Q9838" s="24"/>
      <c r="R9838" s="24"/>
      <c r="S9838" s="24"/>
      <c r="T9838" s="24"/>
      <c r="U9838" s="24"/>
      <c r="V9838" s="24"/>
      <c r="W9838" s="24"/>
      <c r="X9838" s="24"/>
      <c r="Y9838" s="24"/>
      <c r="Z9838" s="24"/>
      <c r="AA9838" s="24"/>
    </row>
    <row r="9839">
      <c r="A9839" s="24"/>
      <c r="B9839" s="25"/>
      <c r="C9839" s="24"/>
      <c r="D9839" s="26"/>
      <c r="E9839" s="24"/>
      <c r="F9839" s="24"/>
      <c r="G9839" s="24"/>
      <c r="H9839" s="24"/>
      <c r="I9839" s="24"/>
      <c r="J9839" s="24"/>
      <c r="K9839" s="24"/>
      <c r="L9839" s="24"/>
      <c r="M9839" s="24"/>
      <c r="N9839" s="24"/>
      <c r="O9839" s="24"/>
      <c r="P9839" s="24"/>
      <c r="Q9839" s="24"/>
      <c r="R9839" s="24"/>
      <c r="S9839" s="24"/>
      <c r="T9839" s="24"/>
      <c r="U9839" s="24"/>
      <c r="V9839" s="24"/>
      <c r="W9839" s="24"/>
      <c r="X9839" s="24"/>
      <c r="Y9839" s="24"/>
      <c r="Z9839" s="24"/>
      <c r="AA9839" s="24"/>
    </row>
    <row r="9840">
      <c r="A9840" s="24"/>
      <c r="B9840" s="25"/>
      <c r="C9840" s="24"/>
      <c r="D9840" s="26"/>
      <c r="E9840" s="24"/>
      <c r="F9840" s="24"/>
      <c r="G9840" s="24"/>
      <c r="H9840" s="24"/>
      <c r="I9840" s="24"/>
      <c r="J9840" s="24"/>
      <c r="K9840" s="24"/>
      <c r="L9840" s="24"/>
      <c r="M9840" s="24"/>
      <c r="N9840" s="24"/>
      <c r="O9840" s="24"/>
      <c r="P9840" s="24"/>
      <c r="Q9840" s="24"/>
      <c r="R9840" s="24"/>
      <c r="S9840" s="24"/>
      <c r="T9840" s="24"/>
      <c r="U9840" s="24"/>
      <c r="V9840" s="24"/>
      <c r="W9840" s="24"/>
      <c r="X9840" s="24"/>
      <c r="Y9840" s="24"/>
      <c r="Z9840" s="24"/>
      <c r="AA9840" s="24"/>
    </row>
    <row r="9841">
      <c r="A9841" s="24"/>
      <c r="B9841" s="25"/>
      <c r="C9841" s="24"/>
      <c r="D9841" s="26"/>
      <c r="E9841" s="24"/>
      <c r="F9841" s="24"/>
      <c r="G9841" s="24"/>
      <c r="H9841" s="24"/>
      <c r="I9841" s="24"/>
      <c r="J9841" s="24"/>
      <c r="K9841" s="24"/>
      <c r="L9841" s="24"/>
      <c r="M9841" s="24"/>
      <c r="N9841" s="24"/>
      <c r="O9841" s="24"/>
      <c r="P9841" s="24"/>
      <c r="Q9841" s="24"/>
      <c r="R9841" s="24"/>
      <c r="S9841" s="24"/>
      <c r="T9841" s="24"/>
      <c r="U9841" s="24"/>
      <c r="V9841" s="24"/>
      <c r="W9841" s="24"/>
      <c r="X9841" s="24"/>
      <c r="Y9841" s="24"/>
      <c r="Z9841" s="24"/>
      <c r="AA9841" s="24"/>
    </row>
    <row r="9842">
      <c r="A9842" s="24"/>
      <c r="B9842" s="25"/>
      <c r="C9842" s="24"/>
      <c r="D9842" s="26"/>
      <c r="E9842" s="24"/>
      <c r="F9842" s="24"/>
      <c r="G9842" s="24"/>
      <c r="H9842" s="24"/>
      <c r="I9842" s="24"/>
      <c r="J9842" s="24"/>
      <c r="K9842" s="24"/>
      <c r="L9842" s="24"/>
      <c r="M9842" s="24"/>
      <c r="N9842" s="24"/>
      <c r="O9842" s="24"/>
      <c r="P9842" s="24"/>
      <c r="Q9842" s="24"/>
      <c r="R9842" s="24"/>
      <c r="S9842" s="24"/>
      <c r="T9842" s="24"/>
      <c r="U9842" s="24"/>
      <c r="V9842" s="24"/>
      <c r="W9842" s="24"/>
      <c r="X9842" s="24"/>
      <c r="Y9842" s="24"/>
      <c r="Z9842" s="24"/>
      <c r="AA9842" s="24"/>
    </row>
    <row r="9843">
      <c r="A9843" s="24"/>
      <c r="B9843" s="25"/>
      <c r="C9843" s="24"/>
      <c r="D9843" s="26"/>
      <c r="E9843" s="24"/>
      <c r="F9843" s="24"/>
      <c r="G9843" s="24"/>
      <c r="H9843" s="24"/>
      <c r="I9843" s="24"/>
      <c r="J9843" s="24"/>
      <c r="K9843" s="24"/>
      <c r="L9843" s="24"/>
      <c r="M9843" s="24"/>
      <c r="N9843" s="24"/>
      <c r="O9843" s="24"/>
      <c r="P9843" s="24"/>
      <c r="Q9843" s="24"/>
      <c r="R9843" s="24"/>
      <c r="S9843" s="24"/>
      <c r="T9843" s="24"/>
      <c r="U9843" s="24"/>
      <c r="V9843" s="24"/>
      <c r="W9843" s="24"/>
      <c r="X9843" s="24"/>
      <c r="Y9843" s="24"/>
      <c r="Z9843" s="24"/>
      <c r="AA9843" s="24"/>
    </row>
    <row r="9844">
      <c r="A9844" s="24"/>
      <c r="B9844" s="25"/>
      <c r="C9844" s="24"/>
      <c r="D9844" s="26"/>
      <c r="E9844" s="24"/>
      <c r="F9844" s="24"/>
      <c r="G9844" s="24"/>
      <c r="H9844" s="24"/>
      <c r="I9844" s="24"/>
      <c r="J9844" s="24"/>
      <c r="K9844" s="24"/>
      <c r="L9844" s="24"/>
      <c r="M9844" s="24"/>
      <c r="N9844" s="24"/>
      <c r="O9844" s="24"/>
      <c r="P9844" s="24"/>
      <c r="Q9844" s="24"/>
      <c r="R9844" s="24"/>
      <c r="S9844" s="24"/>
      <c r="T9844" s="24"/>
      <c r="U9844" s="24"/>
      <c r="V9844" s="24"/>
      <c r="W9844" s="24"/>
      <c r="X9844" s="24"/>
      <c r="Y9844" s="24"/>
      <c r="Z9844" s="24"/>
      <c r="AA9844" s="24"/>
    </row>
    <row r="9845">
      <c r="A9845" s="24"/>
      <c r="B9845" s="25"/>
      <c r="C9845" s="24"/>
      <c r="D9845" s="26"/>
      <c r="E9845" s="24"/>
      <c r="F9845" s="24"/>
      <c r="G9845" s="24"/>
      <c r="H9845" s="24"/>
      <c r="I9845" s="24"/>
      <c r="J9845" s="24"/>
      <c r="K9845" s="24"/>
      <c r="L9845" s="24"/>
      <c r="M9845" s="24"/>
      <c r="N9845" s="24"/>
      <c r="O9845" s="24"/>
      <c r="P9845" s="24"/>
      <c r="Q9845" s="24"/>
      <c r="R9845" s="24"/>
      <c r="S9845" s="24"/>
      <c r="T9845" s="24"/>
      <c r="U9845" s="24"/>
      <c r="V9845" s="24"/>
      <c r="W9845" s="24"/>
      <c r="X9845" s="24"/>
      <c r="Y9845" s="24"/>
      <c r="Z9845" s="24"/>
      <c r="AA9845" s="24"/>
    </row>
    <row r="9846">
      <c r="A9846" s="24"/>
      <c r="B9846" s="25"/>
      <c r="C9846" s="24"/>
      <c r="D9846" s="26"/>
      <c r="E9846" s="24"/>
      <c r="F9846" s="24"/>
      <c r="G9846" s="24"/>
      <c r="H9846" s="24"/>
      <c r="I9846" s="24"/>
      <c r="J9846" s="24"/>
      <c r="K9846" s="24"/>
      <c r="L9846" s="24"/>
      <c r="M9846" s="24"/>
      <c r="N9846" s="24"/>
      <c r="O9846" s="24"/>
      <c r="P9846" s="24"/>
      <c r="Q9846" s="24"/>
      <c r="R9846" s="24"/>
      <c r="S9846" s="24"/>
      <c r="T9846" s="24"/>
      <c r="U9846" s="24"/>
      <c r="V9846" s="24"/>
      <c r="W9846" s="24"/>
      <c r="X9846" s="24"/>
      <c r="Y9846" s="24"/>
      <c r="Z9846" s="24"/>
      <c r="AA9846" s="24"/>
    </row>
    <row r="9847">
      <c r="A9847" s="24"/>
      <c r="B9847" s="25"/>
      <c r="C9847" s="24"/>
      <c r="D9847" s="26"/>
      <c r="E9847" s="24"/>
      <c r="F9847" s="24"/>
      <c r="G9847" s="24"/>
      <c r="H9847" s="24"/>
      <c r="I9847" s="24"/>
      <c r="J9847" s="24"/>
      <c r="K9847" s="24"/>
      <c r="L9847" s="24"/>
      <c r="M9847" s="24"/>
      <c r="N9847" s="24"/>
      <c r="O9847" s="24"/>
      <c r="P9847" s="24"/>
      <c r="Q9847" s="24"/>
      <c r="R9847" s="24"/>
      <c r="S9847" s="24"/>
      <c r="T9847" s="24"/>
      <c r="U9847" s="24"/>
      <c r="V9847" s="24"/>
      <c r="W9847" s="24"/>
      <c r="X9847" s="24"/>
      <c r="Y9847" s="24"/>
      <c r="Z9847" s="24"/>
      <c r="AA9847" s="24"/>
    </row>
    <row r="9848">
      <c r="A9848" s="24"/>
      <c r="B9848" s="25"/>
      <c r="C9848" s="24"/>
      <c r="D9848" s="26"/>
      <c r="E9848" s="24"/>
      <c r="F9848" s="24"/>
      <c r="G9848" s="24"/>
      <c r="H9848" s="24"/>
      <c r="I9848" s="24"/>
      <c r="J9848" s="24"/>
      <c r="K9848" s="24"/>
      <c r="L9848" s="24"/>
      <c r="M9848" s="24"/>
      <c r="N9848" s="24"/>
      <c r="O9848" s="24"/>
      <c r="P9848" s="24"/>
      <c r="Q9848" s="24"/>
      <c r="R9848" s="24"/>
      <c r="S9848" s="24"/>
      <c r="T9848" s="24"/>
      <c r="U9848" s="24"/>
      <c r="V9848" s="24"/>
      <c r="W9848" s="24"/>
      <c r="X9848" s="24"/>
      <c r="Y9848" s="24"/>
      <c r="Z9848" s="24"/>
      <c r="AA9848" s="24"/>
    </row>
    <row r="9849">
      <c r="A9849" s="24"/>
      <c r="B9849" s="25"/>
      <c r="C9849" s="24"/>
      <c r="D9849" s="26"/>
      <c r="E9849" s="24"/>
      <c r="F9849" s="24"/>
      <c r="G9849" s="24"/>
      <c r="H9849" s="24"/>
      <c r="I9849" s="24"/>
      <c r="J9849" s="24"/>
      <c r="K9849" s="24"/>
      <c r="L9849" s="24"/>
      <c r="M9849" s="24"/>
      <c r="N9849" s="24"/>
      <c r="O9849" s="24"/>
      <c r="P9849" s="24"/>
      <c r="Q9849" s="24"/>
      <c r="R9849" s="24"/>
      <c r="S9849" s="24"/>
      <c r="T9849" s="24"/>
      <c r="U9849" s="24"/>
      <c r="V9849" s="24"/>
      <c r="W9849" s="24"/>
      <c r="X9849" s="24"/>
      <c r="Y9849" s="24"/>
      <c r="Z9849" s="24"/>
      <c r="AA9849" s="24"/>
    </row>
    <row r="9850">
      <c r="A9850" s="24"/>
      <c r="B9850" s="25"/>
      <c r="C9850" s="24"/>
      <c r="D9850" s="26"/>
      <c r="E9850" s="24"/>
      <c r="F9850" s="24"/>
      <c r="G9850" s="24"/>
      <c r="H9850" s="24"/>
      <c r="I9850" s="24"/>
      <c r="J9850" s="24"/>
      <c r="K9850" s="24"/>
      <c r="L9850" s="24"/>
      <c r="M9850" s="24"/>
      <c r="N9850" s="24"/>
      <c r="O9850" s="24"/>
      <c r="P9850" s="24"/>
      <c r="Q9850" s="24"/>
      <c r="R9850" s="24"/>
      <c r="S9850" s="24"/>
      <c r="T9850" s="24"/>
      <c r="U9850" s="24"/>
      <c r="V9850" s="24"/>
      <c r="W9850" s="24"/>
      <c r="X9850" s="24"/>
      <c r="Y9850" s="24"/>
      <c r="Z9850" s="24"/>
      <c r="AA9850" s="24"/>
    </row>
    <row r="9851">
      <c r="A9851" s="24"/>
      <c r="B9851" s="25"/>
      <c r="C9851" s="24"/>
      <c r="D9851" s="26"/>
      <c r="E9851" s="24"/>
      <c r="F9851" s="24"/>
      <c r="G9851" s="24"/>
      <c r="H9851" s="24"/>
      <c r="I9851" s="24"/>
      <c r="J9851" s="24"/>
      <c r="K9851" s="24"/>
      <c r="L9851" s="24"/>
      <c r="M9851" s="24"/>
      <c r="N9851" s="24"/>
      <c r="O9851" s="24"/>
      <c r="P9851" s="24"/>
      <c r="Q9851" s="24"/>
      <c r="R9851" s="24"/>
      <c r="S9851" s="24"/>
      <c r="T9851" s="24"/>
      <c r="U9851" s="24"/>
      <c r="V9851" s="24"/>
      <c r="W9851" s="24"/>
      <c r="X9851" s="24"/>
      <c r="Y9851" s="24"/>
      <c r="Z9851" s="24"/>
      <c r="AA9851" s="24"/>
    </row>
    <row r="9852">
      <c r="A9852" s="24"/>
      <c r="B9852" s="25"/>
      <c r="C9852" s="24"/>
      <c r="D9852" s="26"/>
      <c r="E9852" s="24"/>
      <c r="F9852" s="24"/>
      <c r="G9852" s="24"/>
      <c r="H9852" s="24"/>
      <c r="I9852" s="24"/>
      <c r="J9852" s="24"/>
      <c r="K9852" s="24"/>
      <c r="L9852" s="24"/>
      <c r="M9852" s="24"/>
      <c r="N9852" s="24"/>
      <c r="O9852" s="24"/>
      <c r="P9852" s="24"/>
      <c r="Q9852" s="24"/>
      <c r="R9852" s="24"/>
      <c r="S9852" s="24"/>
      <c r="T9852" s="24"/>
      <c r="U9852" s="24"/>
      <c r="V9852" s="24"/>
      <c r="W9852" s="24"/>
      <c r="X9852" s="24"/>
      <c r="Y9852" s="24"/>
      <c r="Z9852" s="24"/>
      <c r="AA9852" s="24"/>
    </row>
    <row r="9853">
      <c r="A9853" s="24"/>
      <c r="B9853" s="25"/>
      <c r="C9853" s="24"/>
      <c r="D9853" s="26"/>
      <c r="E9853" s="24"/>
      <c r="F9853" s="24"/>
      <c r="G9853" s="24"/>
      <c r="H9853" s="24"/>
      <c r="I9853" s="24"/>
      <c r="J9853" s="24"/>
      <c r="K9853" s="24"/>
      <c r="L9853" s="24"/>
      <c r="M9853" s="24"/>
      <c r="N9853" s="24"/>
      <c r="O9853" s="24"/>
      <c r="P9853" s="24"/>
      <c r="Q9853" s="24"/>
      <c r="R9853" s="24"/>
      <c r="S9853" s="24"/>
      <c r="T9853" s="24"/>
      <c r="U9853" s="24"/>
      <c r="V9853" s="24"/>
      <c r="W9853" s="24"/>
      <c r="X9853" s="24"/>
      <c r="Y9853" s="24"/>
      <c r="Z9853" s="24"/>
      <c r="AA9853" s="24"/>
    </row>
    <row r="9854">
      <c r="A9854" s="24"/>
      <c r="B9854" s="25"/>
      <c r="C9854" s="24"/>
      <c r="D9854" s="26"/>
      <c r="E9854" s="24"/>
      <c r="F9854" s="24"/>
      <c r="G9854" s="24"/>
      <c r="H9854" s="24"/>
      <c r="I9854" s="24"/>
      <c r="J9854" s="24"/>
      <c r="K9854" s="24"/>
      <c r="L9854" s="24"/>
      <c r="M9854" s="24"/>
      <c r="N9854" s="24"/>
      <c r="O9854" s="24"/>
      <c r="P9854" s="24"/>
      <c r="Q9854" s="24"/>
      <c r="R9854" s="24"/>
      <c r="S9854" s="24"/>
      <c r="T9854" s="24"/>
      <c r="U9854" s="24"/>
      <c r="V9854" s="24"/>
      <c r="W9854" s="24"/>
      <c r="X9854" s="24"/>
      <c r="Y9854" s="24"/>
      <c r="Z9854" s="24"/>
      <c r="AA9854" s="24"/>
    </row>
    <row r="9855">
      <c r="A9855" s="24"/>
      <c r="B9855" s="25"/>
      <c r="C9855" s="24"/>
      <c r="D9855" s="26"/>
      <c r="E9855" s="24"/>
      <c r="F9855" s="24"/>
      <c r="G9855" s="24"/>
      <c r="H9855" s="24"/>
      <c r="I9855" s="24"/>
      <c r="J9855" s="24"/>
      <c r="K9855" s="24"/>
      <c r="L9855" s="24"/>
      <c r="M9855" s="24"/>
      <c r="N9855" s="24"/>
      <c r="O9855" s="24"/>
      <c r="P9855" s="24"/>
      <c r="Q9855" s="24"/>
      <c r="R9855" s="24"/>
      <c r="S9855" s="24"/>
      <c r="T9855" s="24"/>
      <c r="U9855" s="24"/>
      <c r="V9855" s="24"/>
      <c r="W9855" s="24"/>
      <c r="X9855" s="24"/>
      <c r="Y9855" s="24"/>
      <c r="Z9855" s="24"/>
      <c r="AA9855" s="24"/>
    </row>
    <row r="9856">
      <c r="A9856" s="24"/>
      <c r="B9856" s="25"/>
      <c r="C9856" s="24"/>
      <c r="D9856" s="26"/>
      <c r="E9856" s="24"/>
      <c r="F9856" s="24"/>
      <c r="G9856" s="24"/>
      <c r="H9856" s="24"/>
      <c r="I9856" s="24"/>
      <c r="J9856" s="24"/>
      <c r="K9856" s="24"/>
      <c r="L9856" s="24"/>
      <c r="M9856" s="24"/>
      <c r="N9856" s="24"/>
      <c r="O9856" s="24"/>
      <c r="P9856" s="24"/>
      <c r="Q9856" s="24"/>
      <c r="R9856" s="24"/>
      <c r="S9856" s="24"/>
      <c r="T9856" s="24"/>
      <c r="U9856" s="24"/>
      <c r="V9856" s="24"/>
      <c r="W9856" s="24"/>
      <c r="X9856" s="24"/>
      <c r="Y9856" s="24"/>
      <c r="Z9856" s="24"/>
      <c r="AA9856" s="24"/>
    </row>
    <row r="9857">
      <c r="A9857" s="24"/>
      <c r="B9857" s="25"/>
      <c r="C9857" s="24"/>
      <c r="D9857" s="26"/>
      <c r="E9857" s="24"/>
      <c r="F9857" s="24"/>
      <c r="G9857" s="24"/>
      <c r="H9857" s="24"/>
      <c r="I9857" s="24"/>
      <c r="J9857" s="24"/>
      <c r="K9857" s="24"/>
      <c r="L9857" s="24"/>
      <c r="M9857" s="24"/>
      <c r="N9857" s="24"/>
      <c r="O9857" s="24"/>
      <c r="P9857" s="24"/>
      <c r="Q9857" s="24"/>
      <c r="R9857" s="24"/>
      <c r="S9857" s="24"/>
      <c r="T9857" s="24"/>
      <c r="U9857" s="24"/>
      <c r="V9857" s="24"/>
      <c r="W9857" s="24"/>
      <c r="X9857" s="24"/>
      <c r="Y9857" s="24"/>
      <c r="Z9857" s="24"/>
      <c r="AA9857" s="24"/>
    </row>
    <row r="9858">
      <c r="A9858" s="24"/>
      <c r="B9858" s="25"/>
      <c r="C9858" s="24"/>
      <c r="D9858" s="26"/>
      <c r="E9858" s="24"/>
      <c r="F9858" s="24"/>
      <c r="G9858" s="24"/>
      <c r="H9858" s="24"/>
      <c r="I9858" s="24"/>
      <c r="J9858" s="24"/>
      <c r="K9858" s="24"/>
      <c r="L9858" s="24"/>
      <c r="M9858" s="24"/>
      <c r="N9858" s="24"/>
      <c r="O9858" s="24"/>
      <c r="P9858" s="24"/>
      <c r="Q9858" s="24"/>
      <c r="R9858" s="24"/>
      <c r="S9858" s="24"/>
      <c r="T9858" s="24"/>
      <c r="U9858" s="24"/>
      <c r="V9858" s="24"/>
      <c r="W9858" s="24"/>
      <c r="X9858" s="24"/>
      <c r="Y9858" s="24"/>
      <c r="Z9858" s="24"/>
      <c r="AA9858" s="24"/>
    </row>
    <row r="9859">
      <c r="A9859" s="24"/>
      <c r="B9859" s="25"/>
      <c r="C9859" s="24"/>
      <c r="D9859" s="26"/>
      <c r="E9859" s="24"/>
      <c r="F9859" s="24"/>
      <c r="G9859" s="24"/>
      <c r="H9859" s="24"/>
      <c r="I9859" s="24"/>
      <c r="J9859" s="24"/>
      <c r="K9859" s="24"/>
      <c r="L9859" s="24"/>
      <c r="M9859" s="24"/>
      <c r="N9859" s="24"/>
      <c r="O9859" s="24"/>
      <c r="P9859" s="24"/>
      <c r="Q9859" s="24"/>
      <c r="R9859" s="24"/>
      <c r="S9859" s="24"/>
      <c r="T9859" s="24"/>
      <c r="U9859" s="24"/>
      <c r="V9859" s="24"/>
      <c r="W9859" s="24"/>
      <c r="X9859" s="24"/>
      <c r="Y9859" s="24"/>
      <c r="Z9859" s="24"/>
      <c r="AA9859" s="24"/>
    </row>
    <row r="9860">
      <c r="A9860" s="24"/>
      <c r="B9860" s="25"/>
      <c r="C9860" s="24"/>
      <c r="D9860" s="26"/>
      <c r="E9860" s="24"/>
      <c r="F9860" s="24"/>
      <c r="G9860" s="24"/>
      <c r="H9860" s="24"/>
      <c r="I9860" s="24"/>
      <c r="J9860" s="24"/>
      <c r="K9860" s="24"/>
      <c r="L9860" s="24"/>
      <c r="M9860" s="24"/>
      <c r="N9860" s="24"/>
      <c r="O9860" s="24"/>
      <c r="P9860" s="24"/>
      <c r="Q9860" s="24"/>
      <c r="R9860" s="24"/>
      <c r="S9860" s="24"/>
      <c r="T9860" s="24"/>
      <c r="U9860" s="24"/>
      <c r="V9860" s="24"/>
      <c r="W9860" s="24"/>
      <c r="X9860" s="24"/>
      <c r="Y9860" s="24"/>
      <c r="Z9860" s="24"/>
      <c r="AA9860" s="24"/>
    </row>
    <row r="9861">
      <c r="A9861" s="24"/>
      <c r="B9861" s="25"/>
      <c r="C9861" s="24"/>
      <c r="D9861" s="26"/>
      <c r="E9861" s="24"/>
      <c r="F9861" s="24"/>
      <c r="G9861" s="24"/>
      <c r="H9861" s="24"/>
      <c r="I9861" s="24"/>
      <c r="J9861" s="24"/>
      <c r="K9861" s="24"/>
      <c r="L9861" s="24"/>
      <c r="M9861" s="24"/>
      <c r="N9861" s="24"/>
      <c r="O9861" s="24"/>
      <c r="P9861" s="24"/>
      <c r="Q9861" s="24"/>
      <c r="R9861" s="24"/>
      <c r="S9861" s="24"/>
      <c r="T9861" s="24"/>
      <c r="U9861" s="24"/>
      <c r="V9861" s="24"/>
      <c r="W9861" s="24"/>
      <c r="X9861" s="24"/>
      <c r="Y9861" s="24"/>
      <c r="Z9861" s="24"/>
      <c r="AA9861" s="24"/>
    </row>
    <row r="9862">
      <c r="A9862" s="24"/>
      <c r="B9862" s="25"/>
      <c r="C9862" s="24"/>
      <c r="D9862" s="26"/>
      <c r="E9862" s="24"/>
      <c r="F9862" s="24"/>
      <c r="G9862" s="24"/>
      <c r="H9862" s="24"/>
      <c r="I9862" s="24"/>
      <c r="J9862" s="24"/>
      <c r="K9862" s="24"/>
      <c r="L9862" s="24"/>
      <c r="M9862" s="24"/>
      <c r="N9862" s="24"/>
      <c r="O9862" s="24"/>
      <c r="P9862" s="24"/>
      <c r="Q9862" s="24"/>
      <c r="R9862" s="24"/>
      <c r="S9862" s="24"/>
      <c r="T9862" s="24"/>
      <c r="U9862" s="24"/>
      <c r="V9862" s="24"/>
      <c r="W9862" s="24"/>
      <c r="X9862" s="24"/>
      <c r="Y9862" s="24"/>
      <c r="Z9862" s="24"/>
      <c r="AA9862" s="24"/>
    </row>
    <row r="9863">
      <c r="A9863" s="24"/>
      <c r="B9863" s="25"/>
      <c r="C9863" s="24"/>
      <c r="D9863" s="26"/>
      <c r="E9863" s="24"/>
      <c r="F9863" s="24"/>
      <c r="G9863" s="24"/>
      <c r="H9863" s="24"/>
      <c r="I9863" s="24"/>
      <c r="J9863" s="24"/>
      <c r="K9863" s="24"/>
      <c r="L9863" s="24"/>
      <c r="M9863" s="24"/>
      <c r="N9863" s="24"/>
      <c r="O9863" s="24"/>
      <c r="P9863" s="24"/>
      <c r="Q9863" s="24"/>
      <c r="R9863" s="24"/>
      <c r="S9863" s="24"/>
      <c r="T9863" s="24"/>
      <c r="U9863" s="24"/>
      <c r="V9863" s="24"/>
      <c r="W9863" s="24"/>
      <c r="X9863" s="24"/>
      <c r="Y9863" s="24"/>
      <c r="Z9863" s="24"/>
      <c r="AA9863" s="24"/>
    </row>
    <row r="9864">
      <c r="A9864" s="24"/>
      <c r="B9864" s="25"/>
      <c r="C9864" s="24"/>
      <c r="D9864" s="26"/>
      <c r="E9864" s="24"/>
      <c r="F9864" s="24"/>
      <c r="G9864" s="24"/>
      <c r="H9864" s="24"/>
      <c r="I9864" s="24"/>
      <c r="J9864" s="24"/>
      <c r="K9864" s="24"/>
      <c r="L9864" s="24"/>
      <c r="M9864" s="24"/>
      <c r="N9864" s="24"/>
      <c r="O9864" s="24"/>
      <c r="P9864" s="24"/>
      <c r="Q9864" s="24"/>
      <c r="R9864" s="24"/>
      <c r="S9864" s="24"/>
      <c r="T9864" s="24"/>
      <c r="U9864" s="24"/>
      <c r="V9864" s="24"/>
      <c r="W9864" s="24"/>
      <c r="X9864" s="24"/>
      <c r="Y9864" s="24"/>
      <c r="Z9864" s="24"/>
      <c r="AA9864" s="24"/>
    </row>
    <row r="9865">
      <c r="A9865" s="24"/>
      <c r="B9865" s="25"/>
      <c r="C9865" s="24"/>
      <c r="D9865" s="26"/>
      <c r="E9865" s="24"/>
      <c r="F9865" s="24"/>
      <c r="G9865" s="24"/>
      <c r="H9865" s="24"/>
      <c r="I9865" s="24"/>
      <c r="J9865" s="24"/>
      <c r="K9865" s="24"/>
      <c r="L9865" s="24"/>
      <c r="M9865" s="24"/>
      <c r="N9865" s="24"/>
      <c r="O9865" s="24"/>
      <c r="P9865" s="24"/>
      <c r="Q9865" s="24"/>
      <c r="R9865" s="24"/>
      <c r="S9865" s="24"/>
      <c r="T9865" s="24"/>
      <c r="U9865" s="24"/>
      <c r="V9865" s="24"/>
      <c r="W9865" s="24"/>
      <c r="X9865" s="24"/>
      <c r="Y9865" s="24"/>
      <c r="Z9865" s="24"/>
      <c r="AA9865" s="24"/>
    </row>
    <row r="9866">
      <c r="A9866" s="24"/>
      <c r="B9866" s="25"/>
      <c r="C9866" s="24"/>
      <c r="D9866" s="26"/>
      <c r="E9866" s="24"/>
      <c r="F9866" s="24"/>
      <c r="G9866" s="24"/>
      <c r="H9866" s="24"/>
      <c r="I9866" s="24"/>
      <c r="J9866" s="24"/>
      <c r="K9866" s="24"/>
      <c r="L9866" s="24"/>
      <c r="M9866" s="24"/>
      <c r="N9866" s="24"/>
      <c r="O9866" s="24"/>
      <c r="P9866" s="24"/>
      <c r="Q9866" s="24"/>
      <c r="R9866" s="24"/>
      <c r="S9866" s="24"/>
      <c r="T9866" s="24"/>
      <c r="U9866" s="24"/>
      <c r="V9866" s="24"/>
      <c r="W9866" s="24"/>
      <c r="X9866" s="24"/>
      <c r="Y9866" s="24"/>
      <c r="Z9866" s="24"/>
      <c r="AA9866" s="24"/>
    </row>
    <row r="9867">
      <c r="A9867" s="24"/>
      <c r="B9867" s="25"/>
      <c r="C9867" s="24"/>
      <c r="D9867" s="26"/>
      <c r="E9867" s="24"/>
      <c r="F9867" s="24"/>
      <c r="G9867" s="24"/>
      <c r="H9867" s="24"/>
      <c r="I9867" s="24"/>
      <c r="J9867" s="24"/>
      <c r="K9867" s="24"/>
      <c r="L9867" s="24"/>
      <c r="M9867" s="24"/>
      <c r="N9867" s="24"/>
      <c r="O9867" s="24"/>
      <c r="P9867" s="24"/>
      <c r="Q9867" s="24"/>
      <c r="R9867" s="24"/>
      <c r="S9867" s="24"/>
      <c r="T9867" s="24"/>
      <c r="U9867" s="24"/>
      <c r="V9867" s="24"/>
      <c r="W9867" s="24"/>
      <c r="X9867" s="24"/>
      <c r="Y9867" s="24"/>
      <c r="Z9867" s="24"/>
      <c r="AA9867" s="24"/>
    </row>
    <row r="9868">
      <c r="A9868" s="24"/>
      <c r="B9868" s="25"/>
      <c r="C9868" s="24"/>
      <c r="D9868" s="26"/>
      <c r="E9868" s="24"/>
      <c r="F9868" s="24"/>
      <c r="G9868" s="24"/>
      <c r="H9868" s="24"/>
      <c r="I9868" s="24"/>
      <c r="J9868" s="24"/>
      <c r="K9868" s="24"/>
      <c r="L9868" s="24"/>
      <c r="M9868" s="24"/>
      <c r="N9868" s="24"/>
      <c r="O9868" s="24"/>
      <c r="P9868" s="24"/>
      <c r="Q9868" s="24"/>
      <c r="R9868" s="24"/>
      <c r="S9868" s="24"/>
      <c r="T9868" s="24"/>
      <c r="U9868" s="24"/>
      <c r="V9868" s="24"/>
      <c r="W9868" s="24"/>
      <c r="X9868" s="24"/>
      <c r="Y9868" s="24"/>
      <c r="Z9868" s="24"/>
      <c r="AA9868" s="24"/>
    </row>
    <row r="9869">
      <c r="A9869" s="24"/>
      <c r="B9869" s="25"/>
      <c r="C9869" s="24"/>
      <c r="D9869" s="26"/>
      <c r="E9869" s="24"/>
      <c r="F9869" s="24"/>
      <c r="G9869" s="24"/>
      <c r="H9869" s="24"/>
      <c r="I9869" s="24"/>
      <c r="J9869" s="24"/>
      <c r="K9869" s="24"/>
      <c r="L9869" s="24"/>
      <c r="M9869" s="24"/>
      <c r="N9869" s="24"/>
      <c r="O9869" s="24"/>
      <c r="P9869" s="24"/>
      <c r="Q9869" s="24"/>
      <c r="R9869" s="24"/>
      <c r="S9869" s="24"/>
      <c r="T9869" s="24"/>
      <c r="U9869" s="24"/>
      <c r="V9869" s="24"/>
      <c r="W9869" s="24"/>
      <c r="X9869" s="24"/>
      <c r="Y9869" s="24"/>
      <c r="Z9869" s="24"/>
      <c r="AA9869" s="24"/>
    </row>
    <row r="9870">
      <c r="A9870" s="24"/>
      <c r="B9870" s="25"/>
      <c r="C9870" s="24"/>
      <c r="D9870" s="26"/>
      <c r="E9870" s="24"/>
      <c r="F9870" s="24"/>
      <c r="G9870" s="24"/>
      <c r="H9870" s="24"/>
      <c r="I9870" s="24"/>
      <c r="J9870" s="24"/>
      <c r="K9870" s="24"/>
      <c r="L9870" s="24"/>
      <c r="M9870" s="24"/>
      <c r="N9870" s="24"/>
      <c r="O9870" s="24"/>
      <c r="P9870" s="24"/>
      <c r="Q9870" s="24"/>
      <c r="R9870" s="24"/>
      <c r="S9870" s="24"/>
      <c r="T9870" s="24"/>
      <c r="U9870" s="24"/>
      <c r="V9870" s="24"/>
      <c r="W9870" s="24"/>
      <c r="X9870" s="24"/>
      <c r="Y9870" s="24"/>
      <c r="Z9870" s="24"/>
      <c r="AA9870" s="24"/>
    </row>
    <row r="9871">
      <c r="A9871" s="24"/>
      <c r="B9871" s="25"/>
      <c r="C9871" s="24"/>
      <c r="D9871" s="26"/>
      <c r="E9871" s="24"/>
      <c r="F9871" s="24"/>
      <c r="G9871" s="24"/>
      <c r="H9871" s="24"/>
      <c r="I9871" s="24"/>
      <c r="J9871" s="24"/>
      <c r="K9871" s="24"/>
      <c r="L9871" s="24"/>
      <c r="M9871" s="24"/>
      <c r="N9871" s="24"/>
      <c r="O9871" s="24"/>
      <c r="P9871" s="24"/>
      <c r="Q9871" s="24"/>
      <c r="R9871" s="24"/>
      <c r="S9871" s="24"/>
      <c r="T9871" s="24"/>
      <c r="U9871" s="24"/>
      <c r="V9871" s="24"/>
      <c r="W9871" s="24"/>
      <c r="X9871" s="24"/>
      <c r="Y9871" s="24"/>
      <c r="Z9871" s="24"/>
      <c r="AA9871" s="24"/>
    </row>
    <row r="9872">
      <c r="A9872" s="24"/>
      <c r="B9872" s="25"/>
      <c r="C9872" s="24"/>
      <c r="D9872" s="26"/>
      <c r="E9872" s="24"/>
      <c r="F9872" s="24"/>
      <c r="G9872" s="24"/>
      <c r="H9872" s="24"/>
      <c r="I9872" s="24"/>
      <c r="J9872" s="24"/>
      <c r="K9872" s="24"/>
      <c r="L9872" s="24"/>
      <c r="M9872" s="24"/>
      <c r="N9872" s="24"/>
      <c r="O9872" s="24"/>
      <c r="P9872" s="24"/>
      <c r="Q9872" s="24"/>
      <c r="R9872" s="24"/>
      <c r="S9872" s="24"/>
      <c r="T9872" s="24"/>
      <c r="U9872" s="24"/>
      <c r="V9872" s="24"/>
      <c r="W9872" s="24"/>
      <c r="X9872" s="24"/>
      <c r="Y9872" s="24"/>
      <c r="Z9872" s="24"/>
      <c r="AA9872" s="24"/>
    </row>
    <row r="9873">
      <c r="A9873" s="24"/>
      <c r="B9873" s="25"/>
      <c r="C9873" s="24"/>
      <c r="D9873" s="26"/>
      <c r="E9873" s="24"/>
      <c r="F9873" s="24"/>
      <c r="G9873" s="24"/>
      <c r="H9873" s="24"/>
      <c r="I9873" s="24"/>
      <c r="J9873" s="24"/>
      <c r="K9873" s="24"/>
      <c r="L9873" s="24"/>
      <c r="M9873" s="24"/>
      <c r="N9873" s="24"/>
      <c r="O9873" s="24"/>
      <c r="P9873" s="24"/>
      <c r="Q9873" s="24"/>
      <c r="R9873" s="24"/>
      <c r="S9873" s="24"/>
      <c r="T9873" s="24"/>
      <c r="U9873" s="24"/>
      <c r="V9873" s="24"/>
      <c r="W9873" s="24"/>
      <c r="X9873" s="24"/>
      <c r="Y9873" s="24"/>
      <c r="Z9873" s="24"/>
      <c r="AA9873" s="24"/>
    </row>
    <row r="9874">
      <c r="A9874" s="24"/>
      <c r="B9874" s="25"/>
      <c r="C9874" s="24"/>
      <c r="D9874" s="26"/>
      <c r="E9874" s="24"/>
      <c r="F9874" s="24"/>
      <c r="G9874" s="24"/>
      <c r="H9874" s="24"/>
      <c r="I9874" s="24"/>
      <c r="J9874" s="24"/>
      <c r="K9874" s="24"/>
      <c r="L9874" s="24"/>
      <c r="M9874" s="24"/>
      <c r="N9874" s="24"/>
      <c r="O9874" s="24"/>
      <c r="P9874" s="24"/>
      <c r="Q9874" s="24"/>
      <c r="R9874" s="24"/>
      <c r="S9874" s="24"/>
      <c r="T9874" s="24"/>
      <c r="U9874" s="24"/>
      <c r="V9874" s="24"/>
      <c r="W9874" s="24"/>
      <c r="X9874" s="24"/>
      <c r="Y9874" s="24"/>
      <c r="Z9874" s="24"/>
      <c r="AA9874" s="24"/>
    </row>
    <row r="9875">
      <c r="A9875" s="24"/>
      <c r="B9875" s="25"/>
      <c r="C9875" s="24"/>
      <c r="D9875" s="26"/>
      <c r="E9875" s="24"/>
      <c r="F9875" s="24"/>
      <c r="G9875" s="24"/>
      <c r="H9875" s="24"/>
      <c r="I9875" s="24"/>
      <c r="J9875" s="24"/>
      <c r="K9875" s="24"/>
      <c r="L9875" s="24"/>
      <c r="M9875" s="24"/>
      <c r="N9875" s="24"/>
      <c r="O9875" s="24"/>
      <c r="P9875" s="24"/>
      <c r="Q9875" s="24"/>
      <c r="R9875" s="24"/>
      <c r="S9875" s="24"/>
      <c r="T9875" s="24"/>
      <c r="U9875" s="24"/>
      <c r="V9875" s="24"/>
      <c r="W9875" s="24"/>
      <c r="X9875" s="24"/>
      <c r="Y9875" s="24"/>
      <c r="Z9875" s="24"/>
      <c r="AA9875" s="24"/>
    </row>
    <row r="9876">
      <c r="A9876" s="24"/>
      <c r="B9876" s="25"/>
      <c r="C9876" s="24"/>
      <c r="D9876" s="26"/>
      <c r="E9876" s="24"/>
      <c r="F9876" s="24"/>
      <c r="G9876" s="24"/>
      <c r="H9876" s="24"/>
      <c r="I9876" s="24"/>
      <c r="J9876" s="24"/>
      <c r="K9876" s="24"/>
      <c r="L9876" s="24"/>
      <c r="M9876" s="24"/>
      <c r="N9876" s="24"/>
      <c r="O9876" s="24"/>
      <c r="P9876" s="24"/>
      <c r="Q9876" s="24"/>
      <c r="R9876" s="24"/>
      <c r="S9876" s="24"/>
      <c r="T9876" s="24"/>
      <c r="U9876" s="24"/>
      <c r="V9876" s="24"/>
      <c r="W9876" s="24"/>
      <c r="X9876" s="24"/>
      <c r="Y9876" s="24"/>
      <c r="Z9876" s="24"/>
      <c r="AA9876" s="24"/>
    </row>
    <row r="9877">
      <c r="A9877" s="24"/>
      <c r="B9877" s="25"/>
      <c r="C9877" s="24"/>
      <c r="D9877" s="26"/>
      <c r="E9877" s="24"/>
      <c r="F9877" s="24"/>
      <c r="G9877" s="24"/>
      <c r="H9877" s="24"/>
      <c r="I9877" s="24"/>
      <c r="J9877" s="24"/>
      <c r="K9877" s="24"/>
      <c r="L9877" s="24"/>
      <c r="M9877" s="24"/>
      <c r="N9877" s="24"/>
      <c r="O9877" s="24"/>
      <c r="P9877" s="24"/>
      <c r="Q9877" s="24"/>
      <c r="R9877" s="24"/>
      <c r="S9877" s="24"/>
      <c r="T9877" s="24"/>
      <c r="U9877" s="24"/>
      <c r="V9877" s="24"/>
      <c r="W9877" s="24"/>
      <c r="X9877" s="24"/>
      <c r="Y9877" s="24"/>
      <c r="Z9877" s="24"/>
      <c r="AA9877" s="24"/>
    </row>
    <row r="9878">
      <c r="A9878" s="24"/>
      <c r="B9878" s="25"/>
      <c r="C9878" s="24"/>
      <c r="D9878" s="26"/>
      <c r="E9878" s="24"/>
      <c r="F9878" s="24"/>
      <c r="G9878" s="24"/>
      <c r="H9878" s="24"/>
      <c r="I9878" s="24"/>
      <c r="J9878" s="24"/>
      <c r="K9878" s="24"/>
      <c r="L9878" s="24"/>
      <c r="M9878" s="24"/>
      <c r="N9878" s="24"/>
      <c r="O9878" s="24"/>
      <c r="P9878" s="24"/>
      <c r="Q9878" s="24"/>
      <c r="R9878" s="24"/>
      <c r="S9878" s="24"/>
      <c r="T9878" s="24"/>
      <c r="U9878" s="24"/>
      <c r="V9878" s="24"/>
      <c r="W9878" s="24"/>
      <c r="X9878" s="24"/>
      <c r="Y9878" s="24"/>
      <c r="Z9878" s="24"/>
      <c r="AA9878" s="24"/>
    </row>
    <row r="9879">
      <c r="A9879" s="24"/>
      <c r="B9879" s="25"/>
      <c r="C9879" s="24"/>
      <c r="D9879" s="26"/>
      <c r="E9879" s="24"/>
      <c r="F9879" s="24"/>
      <c r="G9879" s="24"/>
      <c r="H9879" s="24"/>
      <c r="I9879" s="24"/>
      <c r="J9879" s="24"/>
      <c r="K9879" s="24"/>
      <c r="L9879" s="24"/>
      <c r="M9879" s="24"/>
      <c r="N9879" s="24"/>
      <c r="O9879" s="24"/>
      <c r="P9879" s="24"/>
      <c r="Q9879" s="24"/>
      <c r="R9879" s="24"/>
      <c r="S9879" s="24"/>
      <c r="T9879" s="24"/>
      <c r="U9879" s="24"/>
      <c r="V9879" s="24"/>
      <c r="W9879" s="24"/>
      <c r="X9879" s="24"/>
      <c r="Y9879" s="24"/>
      <c r="Z9879" s="24"/>
      <c r="AA9879" s="24"/>
    </row>
    <row r="9880">
      <c r="A9880" s="24"/>
      <c r="B9880" s="25"/>
      <c r="C9880" s="24"/>
      <c r="D9880" s="26"/>
      <c r="E9880" s="24"/>
      <c r="F9880" s="24"/>
      <c r="G9880" s="24"/>
      <c r="H9880" s="24"/>
      <c r="I9880" s="24"/>
      <c r="J9880" s="24"/>
      <c r="K9880" s="24"/>
      <c r="L9880" s="24"/>
      <c r="M9880" s="24"/>
      <c r="N9880" s="24"/>
      <c r="O9880" s="24"/>
      <c r="P9880" s="24"/>
      <c r="Q9880" s="24"/>
      <c r="R9880" s="24"/>
      <c r="S9880" s="24"/>
      <c r="T9880" s="24"/>
      <c r="U9880" s="24"/>
      <c r="V9880" s="24"/>
      <c r="W9880" s="24"/>
      <c r="X9880" s="24"/>
      <c r="Y9880" s="24"/>
      <c r="Z9880" s="24"/>
      <c r="AA9880" s="24"/>
    </row>
    <row r="9881">
      <c r="A9881" s="24"/>
      <c r="B9881" s="25"/>
      <c r="C9881" s="24"/>
      <c r="D9881" s="26"/>
      <c r="E9881" s="24"/>
      <c r="F9881" s="24"/>
      <c r="G9881" s="24"/>
      <c r="H9881" s="24"/>
      <c r="I9881" s="24"/>
      <c r="J9881" s="24"/>
      <c r="K9881" s="24"/>
      <c r="L9881" s="24"/>
      <c r="M9881" s="24"/>
      <c r="N9881" s="24"/>
      <c r="O9881" s="24"/>
      <c r="P9881" s="24"/>
      <c r="Q9881" s="24"/>
      <c r="R9881" s="24"/>
      <c r="S9881" s="24"/>
      <c r="T9881" s="24"/>
      <c r="U9881" s="24"/>
      <c r="V9881" s="24"/>
      <c r="W9881" s="24"/>
      <c r="X9881" s="24"/>
      <c r="Y9881" s="24"/>
      <c r="Z9881" s="24"/>
      <c r="AA9881" s="24"/>
    </row>
    <row r="9882">
      <c r="A9882" s="24"/>
      <c r="B9882" s="25"/>
      <c r="C9882" s="24"/>
      <c r="D9882" s="26"/>
      <c r="E9882" s="24"/>
      <c r="F9882" s="24"/>
      <c r="G9882" s="24"/>
      <c r="H9882" s="24"/>
      <c r="I9882" s="24"/>
      <c r="J9882" s="24"/>
      <c r="K9882" s="24"/>
      <c r="L9882" s="24"/>
      <c r="M9882" s="24"/>
      <c r="N9882" s="24"/>
      <c r="O9882" s="24"/>
      <c r="P9882" s="24"/>
      <c r="Q9882" s="24"/>
      <c r="R9882" s="24"/>
      <c r="S9882" s="24"/>
      <c r="T9882" s="24"/>
      <c r="U9882" s="24"/>
      <c r="V9882" s="24"/>
      <c r="W9882" s="24"/>
      <c r="X9882" s="24"/>
      <c r="Y9882" s="24"/>
      <c r="Z9882" s="24"/>
      <c r="AA9882" s="24"/>
    </row>
    <row r="9883">
      <c r="A9883" s="24"/>
      <c r="B9883" s="25"/>
      <c r="C9883" s="24"/>
      <c r="D9883" s="26"/>
      <c r="E9883" s="24"/>
      <c r="F9883" s="24"/>
      <c r="G9883" s="24"/>
      <c r="H9883" s="24"/>
      <c r="I9883" s="24"/>
      <c r="J9883" s="24"/>
      <c r="K9883" s="24"/>
      <c r="L9883" s="24"/>
      <c r="M9883" s="24"/>
      <c r="N9883" s="24"/>
      <c r="O9883" s="24"/>
      <c r="P9883" s="24"/>
      <c r="Q9883" s="24"/>
      <c r="R9883" s="24"/>
      <c r="S9883" s="24"/>
      <c r="T9883" s="24"/>
      <c r="U9883" s="24"/>
      <c r="V9883" s="24"/>
      <c r="W9883" s="24"/>
      <c r="X9883" s="24"/>
      <c r="Y9883" s="24"/>
      <c r="Z9883" s="24"/>
      <c r="AA9883" s="24"/>
    </row>
    <row r="9884">
      <c r="A9884" s="24"/>
      <c r="B9884" s="25"/>
      <c r="C9884" s="24"/>
      <c r="D9884" s="26"/>
      <c r="E9884" s="24"/>
      <c r="F9884" s="24"/>
      <c r="G9884" s="24"/>
      <c r="H9884" s="24"/>
      <c r="I9884" s="24"/>
      <c r="J9884" s="24"/>
      <c r="K9884" s="24"/>
      <c r="L9884" s="24"/>
      <c r="M9884" s="24"/>
      <c r="N9884" s="24"/>
      <c r="O9884" s="24"/>
      <c r="P9884" s="24"/>
      <c r="Q9884" s="24"/>
      <c r="R9884" s="24"/>
      <c r="S9884" s="24"/>
      <c r="T9884" s="24"/>
      <c r="U9884" s="24"/>
      <c r="V9884" s="24"/>
      <c r="W9884" s="24"/>
      <c r="X9884" s="24"/>
      <c r="Y9884" s="24"/>
      <c r="Z9884" s="24"/>
      <c r="AA9884" s="24"/>
    </row>
    <row r="9885">
      <c r="A9885" s="24"/>
      <c r="B9885" s="25"/>
      <c r="C9885" s="24"/>
      <c r="D9885" s="26"/>
      <c r="E9885" s="24"/>
      <c r="F9885" s="24"/>
      <c r="G9885" s="24"/>
      <c r="H9885" s="24"/>
      <c r="I9885" s="24"/>
      <c r="J9885" s="24"/>
      <c r="K9885" s="24"/>
      <c r="L9885" s="24"/>
      <c r="M9885" s="24"/>
      <c r="N9885" s="24"/>
      <c r="O9885" s="24"/>
      <c r="P9885" s="24"/>
      <c r="Q9885" s="24"/>
      <c r="R9885" s="24"/>
      <c r="S9885" s="24"/>
      <c r="T9885" s="24"/>
      <c r="U9885" s="24"/>
      <c r="V9885" s="24"/>
      <c r="W9885" s="24"/>
      <c r="X9885" s="24"/>
      <c r="Y9885" s="24"/>
      <c r="Z9885" s="24"/>
      <c r="AA9885" s="24"/>
    </row>
    <row r="9886">
      <c r="A9886" s="24"/>
      <c r="B9886" s="25"/>
      <c r="C9886" s="24"/>
      <c r="D9886" s="26"/>
      <c r="E9886" s="24"/>
      <c r="F9886" s="24"/>
      <c r="G9886" s="24"/>
      <c r="H9886" s="24"/>
      <c r="I9886" s="24"/>
      <c r="J9886" s="24"/>
      <c r="K9886" s="24"/>
      <c r="L9886" s="24"/>
      <c r="M9886" s="24"/>
      <c r="N9886" s="24"/>
      <c r="O9886" s="24"/>
      <c r="P9886" s="24"/>
      <c r="Q9886" s="24"/>
      <c r="R9886" s="24"/>
      <c r="S9886" s="24"/>
      <c r="T9886" s="24"/>
      <c r="U9886" s="24"/>
      <c r="V9886" s="24"/>
      <c r="W9886" s="24"/>
      <c r="X9886" s="24"/>
      <c r="Y9886" s="24"/>
      <c r="Z9886" s="24"/>
      <c r="AA9886" s="24"/>
    </row>
    <row r="9887">
      <c r="A9887" s="24"/>
      <c r="B9887" s="25"/>
      <c r="C9887" s="24"/>
      <c r="D9887" s="26"/>
      <c r="E9887" s="24"/>
      <c r="F9887" s="24"/>
      <c r="G9887" s="24"/>
      <c r="H9887" s="24"/>
      <c r="I9887" s="24"/>
      <c r="J9887" s="24"/>
      <c r="K9887" s="24"/>
      <c r="L9887" s="24"/>
      <c r="M9887" s="24"/>
      <c r="N9887" s="24"/>
      <c r="O9887" s="24"/>
      <c r="P9887" s="24"/>
      <c r="Q9887" s="24"/>
      <c r="R9887" s="24"/>
      <c r="S9887" s="24"/>
      <c r="T9887" s="24"/>
      <c r="U9887" s="24"/>
      <c r="V9887" s="24"/>
      <c r="W9887" s="24"/>
      <c r="X9887" s="24"/>
      <c r="Y9887" s="24"/>
      <c r="Z9887" s="24"/>
      <c r="AA9887" s="24"/>
    </row>
    <row r="9888">
      <c r="A9888" s="24"/>
      <c r="B9888" s="25"/>
      <c r="C9888" s="24"/>
      <c r="D9888" s="26"/>
      <c r="E9888" s="24"/>
      <c r="F9888" s="24"/>
      <c r="G9888" s="24"/>
      <c r="H9888" s="24"/>
      <c r="I9888" s="24"/>
      <c r="J9888" s="24"/>
      <c r="K9888" s="24"/>
      <c r="L9888" s="24"/>
      <c r="M9888" s="24"/>
      <c r="N9888" s="24"/>
      <c r="O9888" s="24"/>
      <c r="P9888" s="24"/>
      <c r="Q9888" s="24"/>
      <c r="R9888" s="24"/>
      <c r="S9888" s="24"/>
      <c r="T9888" s="24"/>
      <c r="U9888" s="24"/>
      <c r="V9888" s="24"/>
      <c r="W9888" s="24"/>
      <c r="X9888" s="24"/>
      <c r="Y9888" s="24"/>
      <c r="Z9888" s="24"/>
      <c r="AA9888" s="24"/>
    </row>
    <row r="9889">
      <c r="A9889" s="24"/>
      <c r="B9889" s="25"/>
      <c r="C9889" s="24"/>
      <c r="D9889" s="26"/>
      <c r="E9889" s="24"/>
      <c r="F9889" s="24"/>
      <c r="G9889" s="24"/>
      <c r="H9889" s="24"/>
      <c r="I9889" s="24"/>
      <c r="J9889" s="24"/>
      <c r="K9889" s="24"/>
      <c r="L9889" s="24"/>
      <c r="M9889" s="24"/>
      <c r="N9889" s="24"/>
      <c r="O9889" s="24"/>
      <c r="P9889" s="24"/>
      <c r="Q9889" s="24"/>
      <c r="R9889" s="24"/>
      <c r="S9889" s="24"/>
      <c r="T9889" s="24"/>
      <c r="U9889" s="24"/>
      <c r="V9889" s="24"/>
      <c r="W9889" s="24"/>
      <c r="X9889" s="24"/>
      <c r="Y9889" s="24"/>
      <c r="Z9889" s="24"/>
      <c r="AA9889" s="24"/>
    </row>
    <row r="9890">
      <c r="A9890" s="24"/>
      <c r="B9890" s="25"/>
      <c r="C9890" s="24"/>
      <c r="D9890" s="26"/>
      <c r="E9890" s="24"/>
      <c r="F9890" s="24"/>
      <c r="G9890" s="24"/>
      <c r="H9890" s="24"/>
      <c r="I9890" s="24"/>
      <c r="J9890" s="24"/>
      <c r="K9890" s="24"/>
      <c r="L9890" s="24"/>
      <c r="M9890" s="24"/>
      <c r="N9890" s="24"/>
      <c r="O9890" s="24"/>
      <c r="P9890" s="24"/>
      <c r="Q9890" s="24"/>
      <c r="R9890" s="24"/>
      <c r="S9890" s="24"/>
      <c r="T9890" s="24"/>
      <c r="U9890" s="24"/>
      <c r="V9890" s="24"/>
      <c r="W9890" s="24"/>
      <c r="X9890" s="24"/>
      <c r="Y9890" s="24"/>
      <c r="Z9890" s="24"/>
      <c r="AA9890" s="24"/>
    </row>
    <row r="9891">
      <c r="A9891" s="24"/>
      <c r="B9891" s="25"/>
      <c r="C9891" s="24"/>
      <c r="D9891" s="26"/>
      <c r="E9891" s="24"/>
      <c r="F9891" s="24"/>
      <c r="G9891" s="24"/>
      <c r="H9891" s="24"/>
      <c r="I9891" s="24"/>
      <c r="J9891" s="24"/>
      <c r="K9891" s="24"/>
      <c r="L9891" s="24"/>
      <c r="M9891" s="24"/>
      <c r="N9891" s="24"/>
      <c r="O9891" s="24"/>
      <c r="P9891" s="24"/>
      <c r="Q9891" s="24"/>
      <c r="R9891" s="24"/>
      <c r="S9891" s="24"/>
      <c r="T9891" s="24"/>
      <c r="U9891" s="24"/>
      <c r="V9891" s="24"/>
      <c r="W9891" s="24"/>
      <c r="X9891" s="24"/>
      <c r="Y9891" s="24"/>
      <c r="Z9891" s="24"/>
      <c r="AA9891" s="24"/>
    </row>
    <row r="9892">
      <c r="A9892" s="24"/>
      <c r="B9892" s="25"/>
      <c r="C9892" s="24"/>
      <c r="D9892" s="26"/>
      <c r="E9892" s="24"/>
      <c r="F9892" s="24"/>
      <c r="G9892" s="24"/>
      <c r="H9892" s="24"/>
      <c r="I9892" s="24"/>
      <c r="J9892" s="24"/>
      <c r="K9892" s="24"/>
      <c r="L9892" s="24"/>
      <c r="M9892" s="24"/>
      <c r="N9892" s="24"/>
      <c r="O9892" s="24"/>
      <c r="P9892" s="24"/>
      <c r="Q9892" s="24"/>
      <c r="R9892" s="24"/>
      <c r="S9892" s="24"/>
      <c r="T9892" s="24"/>
      <c r="U9892" s="24"/>
      <c r="V9892" s="24"/>
      <c r="W9892" s="24"/>
      <c r="X9892" s="24"/>
      <c r="Y9892" s="24"/>
      <c r="Z9892" s="24"/>
      <c r="AA9892" s="24"/>
    </row>
    <row r="9893">
      <c r="A9893" s="24"/>
      <c r="B9893" s="25"/>
      <c r="C9893" s="24"/>
      <c r="D9893" s="26"/>
      <c r="E9893" s="24"/>
      <c r="F9893" s="24"/>
      <c r="G9893" s="24"/>
      <c r="H9893" s="24"/>
      <c r="I9893" s="24"/>
      <c r="J9893" s="24"/>
      <c r="K9893" s="24"/>
      <c r="L9893" s="24"/>
      <c r="M9893" s="24"/>
      <c r="N9893" s="24"/>
      <c r="O9893" s="24"/>
      <c r="P9893" s="24"/>
      <c r="Q9893" s="24"/>
      <c r="R9893" s="24"/>
      <c r="S9893" s="24"/>
      <c r="T9893" s="24"/>
      <c r="U9893" s="24"/>
      <c r="V9893" s="24"/>
      <c r="W9893" s="24"/>
      <c r="X9893" s="24"/>
      <c r="Y9893" s="24"/>
      <c r="Z9893" s="24"/>
      <c r="AA9893" s="24"/>
    </row>
    <row r="9894">
      <c r="A9894" s="24"/>
      <c r="B9894" s="25"/>
      <c r="C9894" s="24"/>
      <c r="D9894" s="26"/>
      <c r="E9894" s="24"/>
      <c r="F9894" s="24"/>
      <c r="G9894" s="24"/>
      <c r="H9894" s="24"/>
      <c r="I9894" s="24"/>
      <c r="J9894" s="24"/>
      <c r="K9894" s="24"/>
      <c r="L9894" s="24"/>
      <c r="M9894" s="24"/>
      <c r="N9894" s="24"/>
      <c r="O9894" s="24"/>
      <c r="P9894" s="24"/>
      <c r="Q9894" s="24"/>
      <c r="R9894" s="24"/>
      <c r="S9894" s="24"/>
      <c r="T9894" s="24"/>
      <c r="U9894" s="24"/>
      <c r="V9894" s="24"/>
      <c r="W9894" s="24"/>
      <c r="X9894" s="24"/>
      <c r="Y9894" s="24"/>
      <c r="Z9894" s="24"/>
      <c r="AA9894" s="24"/>
    </row>
    <row r="9895">
      <c r="A9895" s="24"/>
      <c r="B9895" s="25"/>
      <c r="C9895" s="24"/>
      <c r="D9895" s="26"/>
      <c r="E9895" s="24"/>
      <c r="F9895" s="24"/>
      <c r="G9895" s="24"/>
      <c r="H9895" s="24"/>
      <c r="I9895" s="24"/>
      <c r="J9895" s="24"/>
      <c r="K9895" s="24"/>
      <c r="L9895" s="24"/>
      <c r="M9895" s="24"/>
      <c r="N9895" s="24"/>
      <c r="O9895" s="24"/>
      <c r="P9895" s="24"/>
      <c r="Q9895" s="24"/>
      <c r="R9895" s="24"/>
      <c r="S9895" s="24"/>
      <c r="T9895" s="24"/>
      <c r="U9895" s="24"/>
      <c r="V9895" s="24"/>
      <c r="W9895" s="24"/>
      <c r="X9895" s="24"/>
      <c r="Y9895" s="24"/>
      <c r="Z9895" s="24"/>
      <c r="AA9895" s="24"/>
    </row>
    <row r="9896">
      <c r="A9896" s="24"/>
      <c r="B9896" s="25"/>
      <c r="C9896" s="24"/>
      <c r="D9896" s="26"/>
      <c r="E9896" s="24"/>
      <c r="F9896" s="24"/>
      <c r="G9896" s="24"/>
      <c r="H9896" s="24"/>
      <c r="I9896" s="24"/>
      <c r="J9896" s="24"/>
      <c r="K9896" s="24"/>
      <c r="L9896" s="24"/>
      <c r="M9896" s="24"/>
      <c r="N9896" s="24"/>
      <c r="O9896" s="24"/>
      <c r="P9896" s="24"/>
      <c r="Q9896" s="24"/>
      <c r="R9896" s="24"/>
      <c r="S9896" s="24"/>
      <c r="T9896" s="24"/>
      <c r="U9896" s="24"/>
      <c r="V9896" s="24"/>
      <c r="W9896" s="24"/>
      <c r="X9896" s="24"/>
      <c r="Y9896" s="24"/>
      <c r="Z9896" s="24"/>
      <c r="AA9896" s="24"/>
    </row>
    <row r="9897">
      <c r="A9897" s="24"/>
      <c r="B9897" s="25"/>
      <c r="C9897" s="24"/>
      <c r="D9897" s="26"/>
      <c r="E9897" s="24"/>
      <c r="F9897" s="24"/>
      <c r="G9897" s="24"/>
      <c r="H9897" s="24"/>
      <c r="I9897" s="24"/>
      <c r="J9897" s="24"/>
      <c r="K9897" s="24"/>
      <c r="L9897" s="24"/>
      <c r="M9897" s="24"/>
      <c r="N9897" s="24"/>
      <c r="O9897" s="24"/>
      <c r="P9897" s="24"/>
      <c r="Q9897" s="24"/>
      <c r="R9897" s="24"/>
      <c r="S9897" s="24"/>
      <c r="T9897" s="24"/>
      <c r="U9897" s="24"/>
      <c r="V9897" s="24"/>
      <c r="W9897" s="24"/>
      <c r="X9897" s="24"/>
      <c r="Y9897" s="24"/>
      <c r="Z9897" s="24"/>
      <c r="AA9897" s="24"/>
    </row>
    <row r="9898">
      <c r="A9898" s="24"/>
      <c r="B9898" s="25"/>
      <c r="C9898" s="24"/>
      <c r="D9898" s="26"/>
      <c r="E9898" s="24"/>
      <c r="F9898" s="24"/>
      <c r="G9898" s="24"/>
      <c r="H9898" s="24"/>
      <c r="I9898" s="24"/>
      <c r="J9898" s="24"/>
      <c r="K9898" s="24"/>
      <c r="L9898" s="24"/>
      <c r="M9898" s="24"/>
      <c r="N9898" s="24"/>
      <c r="O9898" s="24"/>
      <c r="P9898" s="24"/>
      <c r="Q9898" s="24"/>
      <c r="R9898" s="24"/>
      <c r="S9898" s="24"/>
      <c r="T9898" s="24"/>
      <c r="U9898" s="24"/>
      <c r="V9898" s="24"/>
      <c r="W9898" s="24"/>
      <c r="X9898" s="24"/>
      <c r="Y9898" s="24"/>
      <c r="Z9898" s="24"/>
      <c r="AA9898" s="24"/>
    </row>
    <row r="9899">
      <c r="A9899" s="24"/>
      <c r="B9899" s="25"/>
      <c r="C9899" s="24"/>
      <c r="D9899" s="26"/>
      <c r="E9899" s="24"/>
      <c r="F9899" s="24"/>
      <c r="G9899" s="24"/>
      <c r="H9899" s="24"/>
      <c r="I9899" s="24"/>
      <c r="J9899" s="24"/>
      <c r="K9899" s="24"/>
      <c r="L9899" s="24"/>
      <c r="M9899" s="24"/>
      <c r="N9899" s="24"/>
      <c r="O9899" s="24"/>
      <c r="P9899" s="24"/>
      <c r="Q9899" s="24"/>
      <c r="R9899" s="24"/>
      <c r="S9899" s="24"/>
      <c r="T9899" s="24"/>
      <c r="U9899" s="24"/>
      <c r="V9899" s="24"/>
      <c r="W9899" s="24"/>
      <c r="X9899" s="24"/>
      <c r="Y9899" s="24"/>
      <c r="Z9899" s="24"/>
      <c r="AA9899" s="24"/>
    </row>
    <row r="9900">
      <c r="A9900" s="24"/>
      <c r="B9900" s="25"/>
      <c r="C9900" s="24"/>
      <c r="D9900" s="26"/>
      <c r="E9900" s="24"/>
      <c r="F9900" s="24"/>
      <c r="G9900" s="24"/>
      <c r="H9900" s="24"/>
      <c r="I9900" s="24"/>
      <c r="J9900" s="24"/>
      <c r="K9900" s="24"/>
      <c r="L9900" s="24"/>
      <c r="M9900" s="24"/>
      <c r="N9900" s="24"/>
      <c r="O9900" s="24"/>
      <c r="P9900" s="24"/>
      <c r="Q9900" s="24"/>
      <c r="R9900" s="24"/>
      <c r="S9900" s="24"/>
      <c r="T9900" s="24"/>
      <c r="U9900" s="24"/>
      <c r="V9900" s="24"/>
      <c r="W9900" s="24"/>
      <c r="X9900" s="24"/>
      <c r="Y9900" s="24"/>
      <c r="Z9900" s="24"/>
      <c r="AA9900" s="24"/>
    </row>
    <row r="9901">
      <c r="A9901" s="24"/>
      <c r="B9901" s="25"/>
      <c r="C9901" s="24"/>
      <c r="D9901" s="26"/>
      <c r="E9901" s="24"/>
      <c r="F9901" s="24"/>
      <c r="G9901" s="24"/>
      <c r="H9901" s="24"/>
      <c r="I9901" s="24"/>
      <c r="J9901" s="24"/>
      <c r="K9901" s="24"/>
      <c r="L9901" s="24"/>
      <c r="M9901" s="24"/>
      <c r="N9901" s="24"/>
      <c r="O9901" s="24"/>
      <c r="P9901" s="24"/>
      <c r="Q9901" s="24"/>
      <c r="R9901" s="24"/>
      <c r="S9901" s="24"/>
      <c r="T9901" s="24"/>
      <c r="U9901" s="24"/>
      <c r="V9901" s="24"/>
      <c r="W9901" s="24"/>
      <c r="X9901" s="24"/>
      <c r="Y9901" s="24"/>
      <c r="Z9901" s="24"/>
      <c r="AA9901" s="24"/>
    </row>
    <row r="9902">
      <c r="A9902" s="24"/>
      <c r="B9902" s="25"/>
      <c r="C9902" s="24"/>
      <c r="D9902" s="26"/>
      <c r="E9902" s="24"/>
      <c r="F9902" s="24"/>
      <c r="G9902" s="24"/>
      <c r="H9902" s="24"/>
      <c r="I9902" s="24"/>
      <c r="J9902" s="24"/>
      <c r="K9902" s="24"/>
      <c r="L9902" s="24"/>
      <c r="M9902" s="24"/>
      <c r="N9902" s="24"/>
      <c r="O9902" s="24"/>
      <c r="P9902" s="24"/>
      <c r="Q9902" s="24"/>
      <c r="R9902" s="24"/>
      <c r="S9902" s="24"/>
      <c r="T9902" s="24"/>
      <c r="U9902" s="24"/>
      <c r="V9902" s="24"/>
      <c r="W9902" s="24"/>
      <c r="X9902" s="24"/>
      <c r="Y9902" s="24"/>
      <c r="Z9902" s="24"/>
      <c r="AA9902" s="24"/>
    </row>
    <row r="9903">
      <c r="A9903" s="24"/>
      <c r="B9903" s="25"/>
      <c r="C9903" s="24"/>
      <c r="D9903" s="26"/>
      <c r="E9903" s="24"/>
      <c r="F9903" s="24"/>
      <c r="G9903" s="24"/>
      <c r="H9903" s="24"/>
      <c r="I9903" s="24"/>
      <c r="J9903" s="24"/>
      <c r="K9903" s="24"/>
      <c r="L9903" s="24"/>
      <c r="M9903" s="24"/>
      <c r="N9903" s="24"/>
      <c r="O9903" s="24"/>
      <c r="P9903" s="24"/>
      <c r="Q9903" s="24"/>
      <c r="R9903" s="24"/>
      <c r="S9903" s="24"/>
      <c r="T9903" s="24"/>
      <c r="U9903" s="24"/>
      <c r="V9903" s="24"/>
      <c r="W9903" s="24"/>
      <c r="X9903" s="24"/>
      <c r="Y9903" s="24"/>
      <c r="Z9903" s="24"/>
      <c r="AA9903" s="24"/>
    </row>
    <row r="9904">
      <c r="A9904" s="24"/>
      <c r="B9904" s="25"/>
      <c r="C9904" s="24"/>
      <c r="D9904" s="26"/>
      <c r="E9904" s="24"/>
      <c r="F9904" s="24"/>
      <c r="G9904" s="24"/>
      <c r="H9904" s="24"/>
      <c r="I9904" s="24"/>
      <c r="J9904" s="24"/>
      <c r="K9904" s="24"/>
      <c r="L9904" s="24"/>
      <c r="M9904" s="24"/>
      <c r="N9904" s="24"/>
      <c r="O9904" s="24"/>
      <c r="P9904" s="24"/>
      <c r="Q9904" s="24"/>
      <c r="R9904" s="24"/>
      <c r="S9904" s="24"/>
      <c r="T9904" s="24"/>
      <c r="U9904" s="24"/>
      <c r="V9904" s="24"/>
      <c r="W9904" s="24"/>
      <c r="X9904" s="24"/>
      <c r="Y9904" s="24"/>
      <c r="Z9904" s="24"/>
      <c r="AA9904" s="24"/>
    </row>
    <row r="9905">
      <c r="A9905" s="24"/>
      <c r="B9905" s="25"/>
      <c r="C9905" s="24"/>
      <c r="D9905" s="26"/>
      <c r="E9905" s="24"/>
      <c r="F9905" s="24"/>
      <c r="G9905" s="24"/>
      <c r="H9905" s="24"/>
      <c r="I9905" s="24"/>
      <c r="J9905" s="24"/>
      <c r="K9905" s="24"/>
      <c r="L9905" s="24"/>
      <c r="M9905" s="24"/>
      <c r="N9905" s="24"/>
      <c r="O9905" s="24"/>
      <c r="P9905" s="24"/>
      <c r="Q9905" s="24"/>
      <c r="R9905" s="24"/>
      <c r="S9905" s="24"/>
      <c r="T9905" s="24"/>
      <c r="U9905" s="24"/>
      <c r="V9905" s="24"/>
      <c r="W9905" s="24"/>
      <c r="X9905" s="24"/>
      <c r="Y9905" s="24"/>
      <c r="Z9905" s="24"/>
      <c r="AA9905" s="24"/>
    </row>
    <row r="9906">
      <c r="A9906" s="24"/>
      <c r="B9906" s="25"/>
      <c r="C9906" s="24"/>
      <c r="D9906" s="26"/>
      <c r="E9906" s="24"/>
      <c r="F9906" s="24"/>
      <c r="G9906" s="24"/>
      <c r="H9906" s="24"/>
      <c r="I9906" s="24"/>
      <c r="J9906" s="24"/>
      <c r="K9906" s="24"/>
      <c r="L9906" s="24"/>
      <c r="M9906" s="24"/>
      <c r="N9906" s="24"/>
      <c r="O9906" s="24"/>
      <c r="P9906" s="24"/>
      <c r="Q9906" s="24"/>
      <c r="R9906" s="24"/>
      <c r="S9906" s="24"/>
      <c r="T9906" s="24"/>
      <c r="U9906" s="24"/>
      <c r="V9906" s="24"/>
      <c r="W9906" s="24"/>
      <c r="X9906" s="24"/>
      <c r="Y9906" s="24"/>
      <c r="Z9906" s="24"/>
      <c r="AA9906" s="24"/>
    </row>
    <row r="9907">
      <c r="A9907" s="24"/>
      <c r="B9907" s="25"/>
      <c r="C9907" s="24"/>
      <c r="D9907" s="26"/>
      <c r="E9907" s="24"/>
      <c r="F9907" s="24"/>
      <c r="G9907" s="24"/>
      <c r="H9907" s="24"/>
      <c r="I9907" s="24"/>
      <c r="J9907" s="24"/>
      <c r="K9907" s="24"/>
      <c r="L9907" s="24"/>
      <c r="M9907" s="24"/>
      <c r="N9907" s="24"/>
      <c r="O9907" s="24"/>
      <c r="P9907" s="24"/>
      <c r="Q9907" s="24"/>
      <c r="R9907" s="24"/>
      <c r="S9907" s="24"/>
      <c r="T9907" s="24"/>
      <c r="U9907" s="24"/>
      <c r="V9907" s="24"/>
      <c r="W9907" s="24"/>
      <c r="X9907" s="24"/>
      <c r="Y9907" s="24"/>
      <c r="Z9907" s="24"/>
      <c r="AA9907" s="24"/>
    </row>
    <row r="9908">
      <c r="A9908" s="24"/>
      <c r="B9908" s="25"/>
      <c r="C9908" s="24"/>
      <c r="D9908" s="26"/>
      <c r="E9908" s="24"/>
      <c r="F9908" s="24"/>
      <c r="G9908" s="24"/>
      <c r="H9908" s="24"/>
      <c r="I9908" s="24"/>
      <c r="J9908" s="24"/>
      <c r="K9908" s="24"/>
      <c r="L9908" s="24"/>
      <c r="M9908" s="24"/>
      <c r="N9908" s="24"/>
      <c r="O9908" s="24"/>
      <c r="P9908" s="24"/>
      <c r="Q9908" s="24"/>
      <c r="R9908" s="24"/>
      <c r="S9908" s="24"/>
      <c r="T9908" s="24"/>
      <c r="U9908" s="24"/>
      <c r="V9908" s="24"/>
      <c r="W9908" s="24"/>
      <c r="X9908" s="24"/>
      <c r="Y9908" s="24"/>
      <c r="Z9908" s="24"/>
      <c r="AA9908" s="24"/>
    </row>
    <row r="9909">
      <c r="A9909" s="24"/>
      <c r="B9909" s="25"/>
      <c r="C9909" s="24"/>
      <c r="D9909" s="26"/>
      <c r="E9909" s="24"/>
      <c r="F9909" s="24"/>
      <c r="G9909" s="24"/>
      <c r="H9909" s="24"/>
      <c r="I9909" s="24"/>
      <c r="J9909" s="24"/>
      <c r="K9909" s="24"/>
      <c r="L9909" s="24"/>
      <c r="M9909" s="24"/>
      <c r="N9909" s="24"/>
      <c r="O9909" s="24"/>
      <c r="P9909" s="24"/>
      <c r="Q9909" s="24"/>
      <c r="R9909" s="24"/>
      <c r="S9909" s="24"/>
      <c r="T9909" s="24"/>
      <c r="U9909" s="24"/>
      <c r="V9909" s="24"/>
      <c r="W9909" s="24"/>
      <c r="X9909" s="24"/>
      <c r="Y9909" s="24"/>
      <c r="Z9909" s="24"/>
      <c r="AA9909" s="24"/>
    </row>
    <row r="9910">
      <c r="A9910" s="24"/>
      <c r="B9910" s="25"/>
      <c r="C9910" s="24"/>
      <c r="D9910" s="26"/>
      <c r="E9910" s="24"/>
      <c r="F9910" s="24"/>
      <c r="G9910" s="24"/>
      <c r="H9910" s="24"/>
      <c r="I9910" s="24"/>
      <c r="J9910" s="24"/>
      <c r="K9910" s="24"/>
      <c r="L9910" s="24"/>
      <c r="M9910" s="24"/>
      <c r="N9910" s="24"/>
      <c r="O9910" s="24"/>
      <c r="P9910" s="24"/>
      <c r="Q9910" s="24"/>
      <c r="R9910" s="24"/>
      <c r="S9910" s="24"/>
      <c r="T9910" s="24"/>
      <c r="U9910" s="24"/>
      <c r="V9910" s="24"/>
      <c r="W9910" s="24"/>
      <c r="X9910" s="24"/>
      <c r="Y9910" s="24"/>
      <c r="Z9910" s="24"/>
      <c r="AA9910" s="24"/>
    </row>
    <row r="9911">
      <c r="A9911" s="24"/>
      <c r="B9911" s="25"/>
      <c r="C9911" s="24"/>
      <c r="D9911" s="26"/>
      <c r="E9911" s="24"/>
      <c r="F9911" s="24"/>
      <c r="G9911" s="24"/>
      <c r="H9911" s="24"/>
      <c r="I9911" s="24"/>
      <c r="J9911" s="24"/>
      <c r="K9911" s="24"/>
      <c r="L9911" s="24"/>
      <c r="M9911" s="24"/>
      <c r="N9911" s="24"/>
      <c r="O9911" s="24"/>
      <c r="P9911" s="24"/>
      <c r="Q9911" s="24"/>
      <c r="R9911" s="24"/>
      <c r="S9911" s="24"/>
      <c r="T9911" s="24"/>
      <c r="U9911" s="24"/>
      <c r="V9911" s="24"/>
      <c r="W9911" s="24"/>
      <c r="X9911" s="24"/>
      <c r="Y9911" s="24"/>
      <c r="Z9911" s="24"/>
      <c r="AA9911" s="24"/>
    </row>
    <row r="9912">
      <c r="A9912" s="24"/>
      <c r="B9912" s="25"/>
      <c r="C9912" s="24"/>
      <c r="D9912" s="26"/>
      <c r="E9912" s="24"/>
      <c r="F9912" s="24"/>
      <c r="G9912" s="24"/>
      <c r="H9912" s="24"/>
      <c r="I9912" s="24"/>
      <c r="J9912" s="24"/>
      <c r="K9912" s="24"/>
      <c r="L9912" s="24"/>
      <c r="M9912" s="24"/>
      <c r="N9912" s="24"/>
      <c r="O9912" s="24"/>
      <c r="P9912" s="24"/>
      <c r="Q9912" s="24"/>
      <c r="R9912" s="24"/>
      <c r="S9912" s="24"/>
      <c r="T9912" s="24"/>
      <c r="U9912" s="24"/>
      <c r="V9912" s="24"/>
      <c r="W9912" s="24"/>
      <c r="X9912" s="24"/>
      <c r="Y9912" s="24"/>
      <c r="Z9912" s="24"/>
      <c r="AA9912" s="24"/>
    </row>
    <row r="9913">
      <c r="A9913" s="24"/>
      <c r="B9913" s="25"/>
      <c r="C9913" s="24"/>
      <c r="D9913" s="26"/>
      <c r="E9913" s="24"/>
      <c r="F9913" s="24"/>
      <c r="G9913" s="24"/>
      <c r="H9913" s="24"/>
      <c r="I9913" s="24"/>
      <c r="J9913" s="24"/>
      <c r="K9913" s="24"/>
      <c r="L9913" s="24"/>
      <c r="M9913" s="24"/>
      <c r="N9913" s="24"/>
      <c r="O9913" s="24"/>
      <c r="P9913" s="24"/>
      <c r="Q9913" s="24"/>
      <c r="R9913" s="24"/>
      <c r="S9913" s="24"/>
      <c r="T9913" s="24"/>
      <c r="U9913" s="24"/>
      <c r="V9913" s="24"/>
      <c r="W9913" s="24"/>
      <c r="X9913" s="24"/>
      <c r="Y9913" s="24"/>
      <c r="Z9913" s="24"/>
      <c r="AA9913" s="24"/>
    </row>
    <row r="9914">
      <c r="A9914" s="24"/>
      <c r="B9914" s="25"/>
      <c r="C9914" s="24"/>
      <c r="D9914" s="26"/>
      <c r="E9914" s="24"/>
      <c r="F9914" s="24"/>
      <c r="G9914" s="24"/>
      <c r="H9914" s="24"/>
      <c r="I9914" s="24"/>
      <c r="J9914" s="24"/>
      <c r="K9914" s="24"/>
      <c r="L9914" s="24"/>
      <c r="M9914" s="24"/>
      <c r="N9914" s="24"/>
      <c r="O9914" s="24"/>
      <c r="P9914" s="24"/>
      <c r="Q9914" s="24"/>
      <c r="R9914" s="24"/>
      <c r="S9914" s="24"/>
      <c r="T9914" s="24"/>
      <c r="U9914" s="24"/>
      <c r="V9914" s="24"/>
      <c r="W9914" s="24"/>
      <c r="X9914" s="24"/>
      <c r="Y9914" s="24"/>
      <c r="Z9914" s="24"/>
      <c r="AA9914" s="24"/>
    </row>
    <row r="9915">
      <c r="A9915" s="24"/>
      <c r="B9915" s="25"/>
      <c r="C9915" s="24"/>
      <c r="D9915" s="26"/>
      <c r="E9915" s="24"/>
      <c r="F9915" s="24"/>
      <c r="G9915" s="24"/>
      <c r="H9915" s="24"/>
      <c r="I9915" s="24"/>
      <c r="J9915" s="24"/>
      <c r="K9915" s="24"/>
      <c r="L9915" s="24"/>
      <c r="M9915" s="24"/>
      <c r="N9915" s="24"/>
      <c r="O9915" s="24"/>
      <c r="P9915" s="24"/>
      <c r="Q9915" s="24"/>
      <c r="R9915" s="24"/>
      <c r="S9915" s="24"/>
      <c r="T9915" s="24"/>
      <c r="U9915" s="24"/>
      <c r="V9915" s="24"/>
      <c r="W9915" s="24"/>
      <c r="X9915" s="24"/>
      <c r="Y9915" s="24"/>
      <c r="Z9915" s="24"/>
      <c r="AA9915" s="24"/>
    </row>
    <row r="9916">
      <c r="A9916" s="24"/>
      <c r="B9916" s="25"/>
      <c r="C9916" s="24"/>
      <c r="D9916" s="26"/>
      <c r="E9916" s="24"/>
      <c r="F9916" s="24"/>
      <c r="G9916" s="24"/>
      <c r="H9916" s="24"/>
      <c r="I9916" s="24"/>
      <c r="J9916" s="24"/>
      <c r="K9916" s="24"/>
      <c r="L9916" s="24"/>
      <c r="M9916" s="24"/>
      <c r="N9916" s="24"/>
      <c r="O9916" s="24"/>
      <c r="P9916" s="24"/>
      <c r="Q9916" s="24"/>
      <c r="R9916" s="24"/>
      <c r="S9916" s="24"/>
      <c r="T9916" s="24"/>
      <c r="U9916" s="24"/>
      <c r="V9916" s="24"/>
      <c r="W9916" s="24"/>
      <c r="X9916" s="24"/>
      <c r="Y9916" s="24"/>
      <c r="Z9916" s="24"/>
      <c r="AA9916" s="24"/>
    </row>
    <row r="9917">
      <c r="A9917" s="24"/>
      <c r="B9917" s="25"/>
      <c r="C9917" s="24"/>
      <c r="D9917" s="26"/>
      <c r="E9917" s="24"/>
      <c r="F9917" s="24"/>
      <c r="G9917" s="24"/>
      <c r="H9917" s="24"/>
      <c r="I9917" s="24"/>
      <c r="J9917" s="24"/>
      <c r="K9917" s="24"/>
      <c r="L9917" s="24"/>
      <c r="M9917" s="24"/>
      <c r="N9917" s="24"/>
      <c r="O9917" s="24"/>
      <c r="P9917" s="24"/>
      <c r="Q9917" s="24"/>
      <c r="R9917" s="24"/>
      <c r="S9917" s="24"/>
      <c r="T9917" s="24"/>
      <c r="U9917" s="24"/>
      <c r="V9917" s="24"/>
      <c r="W9917" s="24"/>
      <c r="X9917" s="24"/>
      <c r="Y9917" s="24"/>
      <c r="Z9917" s="24"/>
      <c r="AA9917" s="24"/>
    </row>
    <row r="9918">
      <c r="A9918" s="24"/>
      <c r="B9918" s="25"/>
      <c r="C9918" s="24"/>
      <c r="D9918" s="26"/>
      <c r="E9918" s="24"/>
      <c r="F9918" s="24"/>
      <c r="G9918" s="24"/>
      <c r="H9918" s="24"/>
      <c r="I9918" s="24"/>
      <c r="J9918" s="24"/>
      <c r="K9918" s="24"/>
      <c r="L9918" s="24"/>
      <c r="M9918" s="24"/>
      <c r="N9918" s="24"/>
      <c r="O9918" s="24"/>
      <c r="P9918" s="24"/>
      <c r="Q9918" s="24"/>
      <c r="R9918" s="24"/>
      <c r="S9918" s="24"/>
      <c r="T9918" s="24"/>
      <c r="U9918" s="24"/>
      <c r="V9918" s="24"/>
      <c r="W9918" s="24"/>
      <c r="X9918" s="24"/>
      <c r="Y9918" s="24"/>
      <c r="Z9918" s="24"/>
      <c r="AA9918" s="24"/>
    </row>
    <row r="9919">
      <c r="A9919" s="24"/>
      <c r="B9919" s="25"/>
      <c r="C9919" s="24"/>
      <c r="D9919" s="26"/>
      <c r="E9919" s="24"/>
      <c r="F9919" s="24"/>
      <c r="G9919" s="24"/>
      <c r="H9919" s="24"/>
      <c r="I9919" s="24"/>
      <c r="J9919" s="24"/>
      <c r="K9919" s="24"/>
      <c r="L9919" s="24"/>
      <c r="M9919" s="24"/>
      <c r="N9919" s="24"/>
      <c r="O9919" s="24"/>
      <c r="P9919" s="24"/>
      <c r="Q9919" s="24"/>
      <c r="R9919" s="24"/>
      <c r="S9919" s="24"/>
      <c r="T9919" s="24"/>
      <c r="U9919" s="24"/>
      <c r="V9919" s="24"/>
      <c r="W9919" s="24"/>
      <c r="X9919" s="24"/>
      <c r="Y9919" s="24"/>
      <c r="Z9919" s="24"/>
      <c r="AA9919" s="24"/>
    </row>
    <row r="9920">
      <c r="A9920" s="24"/>
      <c r="B9920" s="25"/>
      <c r="C9920" s="24"/>
      <c r="D9920" s="26"/>
      <c r="E9920" s="24"/>
      <c r="F9920" s="24"/>
      <c r="G9920" s="24"/>
      <c r="H9920" s="24"/>
      <c r="I9920" s="24"/>
      <c r="J9920" s="24"/>
      <c r="K9920" s="24"/>
      <c r="L9920" s="24"/>
      <c r="M9920" s="24"/>
      <c r="N9920" s="24"/>
      <c r="O9920" s="24"/>
      <c r="P9920" s="24"/>
      <c r="Q9920" s="24"/>
      <c r="R9920" s="24"/>
      <c r="S9920" s="24"/>
      <c r="T9920" s="24"/>
      <c r="U9920" s="24"/>
      <c r="V9920" s="24"/>
      <c r="W9920" s="24"/>
      <c r="X9920" s="24"/>
      <c r="Y9920" s="24"/>
      <c r="Z9920" s="24"/>
      <c r="AA9920" s="24"/>
    </row>
    <row r="9921">
      <c r="A9921" s="24"/>
      <c r="B9921" s="25"/>
      <c r="C9921" s="24"/>
      <c r="D9921" s="26"/>
      <c r="E9921" s="24"/>
      <c r="F9921" s="24"/>
      <c r="G9921" s="24"/>
      <c r="H9921" s="24"/>
      <c r="I9921" s="24"/>
      <c r="J9921" s="24"/>
      <c r="K9921" s="24"/>
      <c r="L9921" s="24"/>
      <c r="M9921" s="24"/>
      <c r="N9921" s="24"/>
      <c r="O9921" s="24"/>
      <c r="P9921" s="24"/>
      <c r="Q9921" s="24"/>
      <c r="R9921" s="24"/>
      <c r="S9921" s="24"/>
      <c r="T9921" s="24"/>
      <c r="U9921" s="24"/>
      <c r="V9921" s="24"/>
      <c r="W9921" s="24"/>
      <c r="X9921" s="24"/>
      <c r="Y9921" s="24"/>
      <c r="Z9921" s="24"/>
      <c r="AA9921" s="24"/>
    </row>
    <row r="9922">
      <c r="A9922" s="24"/>
      <c r="B9922" s="25"/>
      <c r="C9922" s="24"/>
      <c r="D9922" s="26"/>
      <c r="E9922" s="24"/>
      <c r="F9922" s="24"/>
      <c r="G9922" s="24"/>
      <c r="H9922" s="24"/>
      <c r="I9922" s="24"/>
      <c r="J9922" s="24"/>
      <c r="K9922" s="24"/>
      <c r="L9922" s="24"/>
      <c r="M9922" s="24"/>
      <c r="N9922" s="24"/>
      <c r="O9922" s="24"/>
      <c r="P9922" s="24"/>
      <c r="Q9922" s="24"/>
      <c r="R9922" s="24"/>
      <c r="S9922" s="24"/>
      <c r="T9922" s="24"/>
      <c r="U9922" s="24"/>
      <c r="V9922" s="24"/>
      <c r="W9922" s="24"/>
      <c r="X9922" s="24"/>
      <c r="Y9922" s="24"/>
      <c r="Z9922" s="24"/>
      <c r="AA9922" s="24"/>
    </row>
    <row r="9923">
      <c r="A9923" s="24"/>
      <c r="B9923" s="25"/>
      <c r="C9923" s="24"/>
      <c r="D9923" s="26"/>
      <c r="E9923" s="24"/>
      <c r="F9923" s="24"/>
      <c r="G9923" s="24"/>
      <c r="H9923" s="24"/>
      <c r="I9923" s="24"/>
      <c r="J9923" s="24"/>
      <c r="K9923" s="24"/>
      <c r="L9923" s="24"/>
      <c r="M9923" s="24"/>
      <c r="N9923" s="24"/>
      <c r="O9923" s="24"/>
      <c r="P9923" s="24"/>
      <c r="Q9923" s="24"/>
      <c r="R9923" s="24"/>
      <c r="S9923" s="24"/>
      <c r="T9923" s="24"/>
      <c r="U9923" s="24"/>
      <c r="V9923" s="24"/>
      <c r="W9923" s="24"/>
      <c r="X9923" s="24"/>
      <c r="Y9923" s="24"/>
      <c r="Z9923" s="24"/>
      <c r="AA9923" s="24"/>
    </row>
    <row r="9924">
      <c r="A9924" s="24"/>
      <c r="B9924" s="25"/>
      <c r="C9924" s="24"/>
      <c r="D9924" s="26"/>
      <c r="E9924" s="24"/>
      <c r="F9924" s="24"/>
      <c r="G9924" s="24"/>
      <c r="H9924" s="24"/>
      <c r="I9924" s="24"/>
      <c r="J9924" s="24"/>
      <c r="K9924" s="24"/>
      <c r="L9924" s="24"/>
      <c r="M9924" s="24"/>
      <c r="N9924" s="24"/>
      <c r="O9924" s="24"/>
      <c r="P9924" s="24"/>
      <c r="Q9924" s="24"/>
      <c r="R9924" s="24"/>
      <c r="S9924" s="24"/>
      <c r="T9924" s="24"/>
      <c r="U9924" s="24"/>
      <c r="V9924" s="24"/>
      <c r="W9924" s="24"/>
      <c r="X9924" s="24"/>
      <c r="Y9924" s="24"/>
      <c r="Z9924" s="24"/>
      <c r="AA9924" s="24"/>
    </row>
    <row r="9925">
      <c r="A9925" s="24"/>
      <c r="B9925" s="25"/>
      <c r="C9925" s="24"/>
      <c r="D9925" s="26"/>
      <c r="E9925" s="24"/>
      <c r="F9925" s="24"/>
      <c r="G9925" s="24"/>
      <c r="H9925" s="24"/>
      <c r="I9925" s="24"/>
      <c r="J9925" s="24"/>
      <c r="K9925" s="24"/>
      <c r="L9925" s="24"/>
      <c r="M9925" s="24"/>
      <c r="N9925" s="24"/>
      <c r="O9925" s="24"/>
      <c r="P9925" s="24"/>
      <c r="Q9925" s="24"/>
      <c r="R9925" s="24"/>
      <c r="S9925" s="24"/>
      <c r="T9925" s="24"/>
      <c r="U9925" s="24"/>
      <c r="V9925" s="24"/>
      <c r="W9925" s="24"/>
      <c r="X9925" s="24"/>
      <c r="Y9925" s="24"/>
      <c r="Z9925" s="24"/>
      <c r="AA9925" s="24"/>
    </row>
    <row r="9926">
      <c r="A9926" s="24"/>
      <c r="B9926" s="25"/>
      <c r="C9926" s="24"/>
      <c r="D9926" s="26"/>
      <c r="E9926" s="24"/>
      <c r="F9926" s="24"/>
      <c r="G9926" s="24"/>
      <c r="H9926" s="24"/>
      <c r="I9926" s="24"/>
      <c r="J9926" s="24"/>
      <c r="K9926" s="24"/>
      <c r="L9926" s="24"/>
      <c r="M9926" s="24"/>
      <c r="N9926" s="24"/>
      <c r="O9926" s="24"/>
      <c r="P9926" s="24"/>
      <c r="Q9926" s="24"/>
      <c r="R9926" s="24"/>
      <c r="S9926" s="24"/>
      <c r="T9926" s="24"/>
      <c r="U9926" s="24"/>
      <c r="V9926" s="24"/>
      <c r="W9926" s="24"/>
      <c r="X9926" s="24"/>
      <c r="Y9926" s="24"/>
      <c r="Z9926" s="24"/>
      <c r="AA9926" s="24"/>
    </row>
    <row r="9927">
      <c r="A9927" s="24"/>
      <c r="B9927" s="25"/>
      <c r="C9927" s="24"/>
      <c r="D9927" s="26"/>
      <c r="E9927" s="24"/>
      <c r="F9927" s="24"/>
      <c r="G9927" s="24"/>
      <c r="H9927" s="24"/>
      <c r="I9927" s="24"/>
      <c r="J9927" s="24"/>
      <c r="K9927" s="24"/>
      <c r="L9927" s="24"/>
      <c r="M9927" s="24"/>
      <c r="N9927" s="24"/>
      <c r="O9927" s="24"/>
      <c r="P9927" s="24"/>
      <c r="Q9927" s="24"/>
      <c r="R9927" s="24"/>
      <c r="S9927" s="24"/>
      <c r="T9927" s="24"/>
      <c r="U9927" s="24"/>
      <c r="V9927" s="24"/>
      <c r="W9927" s="24"/>
      <c r="X9927" s="24"/>
      <c r="Y9927" s="24"/>
      <c r="Z9927" s="24"/>
      <c r="AA9927" s="24"/>
    </row>
    <row r="9928">
      <c r="A9928" s="24"/>
      <c r="B9928" s="25"/>
      <c r="C9928" s="24"/>
      <c r="D9928" s="26"/>
      <c r="E9928" s="24"/>
      <c r="F9928" s="24"/>
      <c r="G9928" s="24"/>
      <c r="H9928" s="24"/>
      <c r="I9928" s="24"/>
      <c r="J9928" s="24"/>
      <c r="K9928" s="24"/>
      <c r="L9928" s="24"/>
      <c r="M9928" s="24"/>
      <c r="N9928" s="24"/>
      <c r="O9928" s="24"/>
      <c r="P9928" s="24"/>
      <c r="Q9928" s="24"/>
      <c r="R9928" s="24"/>
      <c r="S9928" s="24"/>
      <c r="T9928" s="24"/>
      <c r="U9928" s="24"/>
      <c r="V9928" s="24"/>
      <c r="W9928" s="24"/>
      <c r="X9928" s="24"/>
      <c r="Y9928" s="24"/>
      <c r="Z9928" s="24"/>
      <c r="AA9928" s="24"/>
    </row>
    <row r="9929">
      <c r="A9929" s="24"/>
      <c r="B9929" s="25"/>
      <c r="C9929" s="24"/>
      <c r="D9929" s="26"/>
      <c r="E9929" s="24"/>
      <c r="F9929" s="24"/>
      <c r="G9929" s="24"/>
      <c r="H9929" s="24"/>
      <c r="I9929" s="24"/>
      <c r="J9929" s="24"/>
      <c r="K9929" s="24"/>
      <c r="L9929" s="24"/>
      <c r="M9929" s="24"/>
      <c r="N9929" s="24"/>
      <c r="O9929" s="24"/>
      <c r="P9929" s="24"/>
      <c r="Q9929" s="24"/>
      <c r="R9929" s="24"/>
      <c r="S9929" s="24"/>
      <c r="T9929" s="24"/>
      <c r="U9929" s="24"/>
      <c r="V9929" s="24"/>
      <c r="W9929" s="24"/>
      <c r="X9929" s="24"/>
      <c r="Y9929" s="24"/>
      <c r="Z9929" s="24"/>
      <c r="AA9929" s="24"/>
    </row>
    <row r="9930">
      <c r="A9930" s="24"/>
      <c r="B9930" s="25"/>
      <c r="C9930" s="24"/>
      <c r="D9930" s="26"/>
      <c r="E9930" s="24"/>
      <c r="F9930" s="24"/>
      <c r="G9930" s="24"/>
      <c r="H9930" s="24"/>
      <c r="I9930" s="24"/>
      <c r="J9930" s="24"/>
      <c r="K9930" s="24"/>
      <c r="L9930" s="24"/>
      <c r="M9930" s="24"/>
      <c r="N9930" s="24"/>
      <c r="O9930" s="24"/>
      <c r="P9930" s="24"/>
      <c r="Q9930" s="24"/>
      <c r="R9930" s="24"/>
      <c r="S9930" s="24"/>
      <c r="T9930" s="24"/>
      <c r="U9930" s="24"/>
      <c r="V9930" s="24"/>
      <c r="W9930" s="24"/>
      <c r="X9930" s="24"/>
      <c r="Y9930" s="24"/>
      <c r="Z9930" s="24"/>
      <c r="AA9930" s="24"/>
    </row>
    <row r="9931">
      <c r="A9931" s="24"/>
      <c r="B9931" s="25"/>
      <c r="C9931" s="24"/>
      <c r="D9931" s="26"/>
      <c r="E9931" s="24"/>
      <c r="F9931" s="24"/>
      <c r="G9931" s="24"/>
      <c r="H9931" s="24"/>
      <c r="I9931" s="24"/>
      <c r="J9931" s="24"/>
      <c r="K9931" s="24"/>
      <c r="L9931" s="24"/>
      <c r="M9931" s="24"/>
      <c r="N9931" s="24"/>
      <c r="O9931" s="24"/>
      <c r="P9931" s="24"/>
      <c r="Q9931" s="24"/>
      <c r="R9931" s="24"/>
      <c r="S9931" s="24"/>
      <c r="T9931" s="24"/>
      <c r="U9931" s="24"/>
      <c r="V9931" s="24"/>
      <c r="W9931" s="24"/>
      <c r="X9931" s="24"/>
      <c r="Y9931" s="24"/>
      <c r="Z9931" s="24"/>
      <c r="AA9931" s="24"/>
    </row>
    <row r="9932">
      <c r="A9932" s="24"/>
      <c r="B9932" s="25"/>
      <c r="C9932" s="24"/>
      <c r="D9932" s="26"/>
      <c r="E9932" s="24"/>
      <c r="F9932" s="24"/>
      <c r="G9932" s="24"/>
      <c r="H9932" s="24"/>
      <c r="I9932" s="24"/>
      <c r="J9932" s="24"/>
      <c r="K9932" s="24"/>
      <c r="L9932" s="24"/>
      <c r="M9932" s="24"/>
      <c r="N9932" s="24"/>
      <c r="O9932" s="24"/>
      <c r="P9932" s="24"/>
      <c r="Q9932" s="24"/>
      <c r="R9932" s="24"/>
      <c r="S9932" s="24"/>
      <c r="T9932" s="24"/>
      <c r="U9932" s="24"/>
      <c r="V9932" s="24"/>
      <c r="W9932" s="24"/>
      <c r="X9932" s="24"/>
      <c r="Y9932" s="24"/>
      <c r="Z9932" s="24"/>
      <c r="AA9932" s="24"/>
    </row>
    <row r="9933">
      <c r="A9933" s="24"/>
      <c r="B9933" s="25"/>
      <c r="C9933" s="24"/>
      <c r="D9933" s="26"/>
      <c r="E9933" s="24"/>
      <c r="F9933" s="24"/>
      <c r="G9933" s="24"/>
      <c r="H9933" s="24"/>
      <c r="I9933" s="24"/>
      <c r="J9933" s="24"/>
      <c r="K9933" s="24"/>
      <c r="L9933" s="24"/>
      <c r="M9933" s="24"/>
      <c r="N9933" s="24"/>
      <c r="O9933" s="24"/>
      <c r="P9933" s="24"/>
      <c r="Q9933" s="24"/>
      <c r="R9933" s="24"/>
      <c r="S9933" s="24"/>
      <c r="T9933" s="24"/>
      <c r="U9933" s="24"/>
      <c r="V9933" s="24"/>
      <c r="W9933" s="24"/>
      <c r="X9933" s="24"/>
      <c r="Y9933" s="24"/>
      <c r="Z9933" s="24"/>
      <c r="AA9933" s="24"/>
    </row>
    <row r="9934">
      <c r="A9934" s="24"/>
      <c r="B9934" s="25"/>
      <c r="C9934" s="24"/>
      <c r="D9934" s="26"/>
      <c r="E9934" s="24"/>
      <c r="F9934" s="24"/>
      <c r="G9934" s="24"/>
      <c r="H9934" s="24"/>
      <c r="I9934" s="24"/>
      <c r="J9934" s="24"/>
      <c r="K9934" s="24"/>
      <c r="L9934" s="24"/>
      <c r="M9934" s="24"/>
      <c r="N9934" s="24"/>
      <c r="O9934" s="24"/>
      <c r="P9934" s="24"/>
      <c r="Q9934" s="24"/>
      <c r="R9934" s="24"/>
      <c r="S9934" s="24"/>
      <c r="T9934" s="24"/>
      <c r="U9934" s="24"/>
      <c r="V9934" s="24"/>
      <c r="W9934" s="24"/>
      <c r="X9934" s="24"/>
      <c r="Y9934" s="24"/>
      <c r="Z9934" s="24"/>
      <c r="AA9934" s="24"/>
    </row>
    <row r="9935">
      <c r="A9935" s="24"/>
      <c r="B9935" s="25"/>
      <c r="C9935" s="24"/>
      <c r="D9935" s="26"/>
      <c r="E9935" s="24"/>
      <c r="F9935" s="24"/>
      <c r="G9935" s="24"/>
      <c r="H9935" s="24"/>
      <c r="I9935" s="24"/>
      <c r="J9935" s="24"/>
      <c r="K9935" s="24"/>
      <c r="L9935" s="24"/>
      <c r="M9935" s="24"/>
      <c r="N9935" s="24"/>
      <c r="O9935" s="24"/>
      <c r="P9935" s="24"/>
      <c r="Q9935" s="24"/>
      <c r="R9935" s="24"/>
      <c r="S9935" s="24"/>
      <c r="T9935" s="24"/>
      <c r="U9935" s="24"/>
      <c r="V9935" s="24"/>
      <c r="W9935" s="24"/>
      <c r="X9935" s="24"/>
      <c r="Y9935" s="24"/>
      <c r="Z9935" s="24"/>
      <c r="AA9935" s="24"/>
    </row>
    <row r="9936">
      <c r="A9936" s="24"/>
      <c r="B9936" s="25"/>
      <c r="C9936" s="24"/>
      <c r="D9936" s="26"/>
      <c r="E9936" s="24"/>
      <c r="F9936" s="24"/>
      <c r="G9936" s="24"/>
      <c r="H9936" s="24"/>
      <c r="I9936" s="24"/>
      <c r="J9936" s="24"/>
      <c r="K9936" s="24"/>
      <c r="L9936" s="24"/>
      <c r="M9936" s="24"/>
      <c r="N9936" s="24"/>
      <c r="O9936" s="24"/>
      <c r="P9936" s="24"/>
      <c r="Q9936" s="24"/>
      <c r="R9936" s="24"/>
      <c r="S9936" s="24"/>
      <c r="T9936" s="24"/>
      <c r="U9936" s="24"/>
      <c r="V9936" s="24"/>
      <c r="W9936" s="24"/>
      <c r="X9936" s="24"/>
      <c r="Y9936" s="24"/>
      <c r="Z9936" s="24"/>
      <c r="AA9936" s="24"/>
    </row>
    <row r="9937">
      <c r="A9937" s="24"/>
      <c r="B9937" s="25"/>
      <c r="C9937" s="24"/>
      <c r="D9937" s="26"/>
      <c r="E9937" s="24"/>
      <c r="F9937" s="24"/>
      <c r="G9937" s="24"/>
      <c r="H9937" s="24"/>
      <c r="I9937" s="24"/>
      <c r="J9937" s="24"/>
      <c r="K9937" s="24"/>
      <c r="L9937" s="24"/>
      <c r="M9937" s="24"/>
      <c r="N9937" s="24"/>
      <c r="O9937" s="24"/>
      <c r="P9937" s="24"/>
      <c r="Q9937" s="24"/>
      <c r="R9937" s="24"/>
      <c r="S9937" s="24"/>
      <c r="T9937" s="24"/>
      <c r="U9937" s="24"/>
      <c r="V9937" s="24"/>
      <c r="W9937" s="24"/>
      <c r="X9937" s="24"/>
      <c r="Y9937" s="24"/>
      <c r="Z9937" s="24"/>
      <c r="AA9937" s="24"/>
    </row>
    <row r="9938">
      <c r="A9938" s="24"/>
      <c r="B9938" s="25"/>
      <c r="C9938" s="24"/>
      <c r="D9938" s="26"/>
      <c r="E9938" s="24"/>
      <c r="F9938" s="24"/>
      <c r="G9938" s="24"/>
      <c r="H9938" s="24"/>
      <c r="I9938" s="24"/>
      <c r="J9938" s="24"/>
      <c r="K9938" s="24"/>
      <c r="L9938" s="24"/>
      <c r="M9938" s="24"/>
      <c r="N9938" s="24"/>
      <c r="O9938" s="24"/>
      <c r="P9938" s="24"/>
      <c r="Q9938" s="24"/>
      <c r="R9938" s="24"/>
      <c r="S9938" s="24"/>
      <c r="T9938" s="24"/>
      <c r="U9938" s="24"/>
      <c r="V9938" s="24"/>
      <c r="W9938" s="24"/>
      <c r="X9938" s="24"/>
      <c r="Y9938" s="24"/>
      <c r="Z9938" s="24"/>
      <c r="AA9938" s="24"/>
    </row>
    <row r="9939">
      <c r="A9939" s="24"/>
      <c r="B9939" s="25"/>
      <c r="C9939" s="24"/>
      <c r="D9939" s="26"/>
      <c r="E9939" s="24"/>
      <c r="F9939" s="24"/>
      <c r="G9939" s="24"/>
      <c r="H9939" s="24"/>
      <c r="I9939" s="24"/>
      <c r="J9939" s="24"/>
      <c r="K9939" s="24"/>
      <c r="L9939" s="24"/>
      <c r="M9939" s="24"/>
      <c r="N9939" s="24"/>
      <c r="O9939" s="24"/>
      <c r="P9939" s="24"/>
      <c r="Q9939" s="24"/>
      <c r="R9939" s="24"/>
      <c r="S9939" s="24"/>
      <c r="T9939" s="24"/>
      <c r="U9939" s="24"/>
      <c r="V9939" s="24"/>
      <c r="W9939" s="24"/>
      <c r="X9939" s="24"/>
      <c r="Y9939" s="24"/>
      <c r="Z9939" s="24"/>
      <c r="AA9939" s="24"/>
    </row>
    <row r="9940">
      <c r="A9940" s="24"/>
      <c r="B9940" s="25"/>
      <c r="C9940" s="24"/>
      <c r="D9940" s="26"/>
      <c r="E9940" s="24"/>
      <c r="F9940" s="24"/>
      <c r="G9940" s="24"/>
      <c r="H9940" s="24"/>
      <c r="I9940" s="24"/>
      <c r="J9940" s="24"/>
      <c r="K9940" s="24"/>
      <c r="L9940" s="24"/>
      <c r="M9940" s="24"/>
      <c r="N9940" s="24"/>
      <c r="O9940" s="24"/>
      <c r="P9940" s="24"/>
      <c r="Q9940" s="24"/>
      <c r="R9940" s="24"/>
      <c r="S9940" s="24"/>
      <c r="T9940" s="24"/>
      <c r="U9940" s="24"/>
      <c r="V9940" s="24"/>
      <c r="W9940" s="24"/>
      <c r="X9940" s="24"/>
      <c r="Y9940" s="24"/>
      <c r="Z9940" s="24"/>
      <c r="AA9940" s="24"/>
    </row>
    <row r="9941">
      <c r="A9941" s="24"/>
      <c r="B9941" s="25"/>
      <c r="C9941" s="24"/>
      <c r="D9941" s="26"/>
      <c r="E9941" s="24"/>
      <c r="F9941" s="24"/>
      <c r="G9941" s="24"/>
      <c r="H9941" s="24"/>
      <c r="I9941" s="24"/>
      <c r="J9941" s="24"/>
      <c r="K9941" s="24"/>
      <c r="L9941" s="24"/>
      <c r="M9941" s="24"/>
      <c r="N9941" s="24"/>
      <c r="O9941" s="24"/>
      <c r="P9941" s="24"/>
      <c r="Q9941" s="24"/>
      <c r="R9941" s="24"/>
      <c r="S9941" s="24"/>
      <c r="T9941" s="24"/>
      <c r="U9941" s="24"/>
      <c r="V9941" s="24"/>
      <c r="W9941" s="24"/>
      <c r="X9941" s="24"/>
      <c r="Y9941" s="24"/>
      <c r="Z9941" s="24"/>
      <c r="AA9941" s="24"/>
    </row>
    <row r="9942">
      <c r="A9942" s="24"/>
      <c r="B9942" s="25"/>
      <c r="C9942" s="24"/>
      <c r="D9942" s="26"/>
      <c r="E9942" s="24"/>
      <c r="F9942" s="24"/>
      <c r="G9942" s="24"/>
      <c r="H9942" s="24"/>
      <c r="I9942" s="24"/>
      <c r="J9942" s="24"/>
      <c r="K9942" s="24"/>
      <c r="L9942" s="24"/>
      <c r="M9942" s="24"/>
      <c r="N9942" s="24"/>
      <c r="O9942" s="24"/>
      <c r="P9942" s="24"/>
      <c r="Q9942" s="24"/>
      <c r="R9942" s="24"/>
      <c r="S9942" s="24"/>
      <c r="T9942" s="24"/>
      <c r="U9942" s="24"/>
      <c r="V9942" s="24"/>
      <c r="W9942" s="24"/>
      <c r="X9942" s="24"/>
      <c r="Y9942" s="24"/>
      <c r="Z9942" s="24"/>
      <c r="AA9942" s="24"/>
    </row>
    <row r="9943">
      <c r="A9943" s="24"/>
      <c r="B9943" s="25"/>
      <c r="C9943" s="24"/>
      <c r="D9943" s="26"/>
      <c r="E9943" s="24"/>
      <c r="F9943" s="24"/>
      <c r="G9943" s="24"/>
      <c r="H9943" s="24"/>
      <c r="I9943" s="24"/>
      <c r="J9943" s="24"/>
      <c r="K9943" s="24"/>
      <c r="L9943" s="24"/>
      <c r="M9943" s="24"/>
      <c r="N9943" s="24"/>
      <c r="O9943" s="24"/>
      <c r="P9943" s="24"/>
      <c r="Q9943" s="24"/>
      <c r="R9943" s="24"/>
      <c r="S9943" s="24"/>
      <c r="T9943" s="24"/>
      <c r="U9943" s="24"/>
      <c r="V9943" s="24"/>
      <c r="W9943" s="24"/>
      <c r="X9943" s="24"/>
      <c r="Y9943" s="24"/>
      <c r="Z9943" s="24"/>
      <c r="AA9943" s="24"/>
    </row>
    <row r="9944">
      <c r="A9944" s="24"/>
      <c r="B9944" s="25"/>
      <c r="C9944" s="24"/>
      <c r="D9944" s="26"/>
      <c r="E9944" s="24"/>
      <c r="F9944" s="24"/>
      <c r="G9944" s="24"/>
      <c r="H9944" s="24"/>
      <c r="I9944" s="24"/>
      <c r="J9944" s="24"/>
      <c r="K9944" s="24"/>
      <c r="L9944" s="24"/>
      <c r="M9944" s="24"/>
      <c r="N9944" s="24"/>
      <c r="O9944" s="24"/>
      <c r="P9944" s="24"/>
      <c r="Q9944" s="24"/>
      <c r="R9944" s="24"/>
      <c r="S9944" s="24"/>
      <c r="T9944" s="24"/>
      <c r="U9944" s="24"/>
      <c r="V9944" s="24"/>
      <c r="W9944" s="24"/>
      <c r="X9944" s="24"/>
      <c r="Y9944" s="24"/>
      <c r="Z9944" s="24"/>
      <c r="AA9944" s="24"/>
    </row>
    <row r="9945">
      <c r="A9945" s="24"/>
      <c r="B9945" s="25"/>
      <c r="C9945" s="24"/>
      <c r="D9945" s="26"/>
      <c r="E9945" s="24"/>
      <c r="F9945" s="24"/>
      <c r="G9945" s="24"/>
      <c r="H9945" s="24"/>
      <c r="I9945" s="24"/>
      <c r="J9945" s="24"/>
      <c r="K9945" s="24"/>
      <c r="L9945" s="24"/>
      <c r="M9945" s="24"/>
      <c r="N9945" s="24"/>
      <c r="O9945" s="24"/>
      <c r="P9945" s="24"/>
      <c r="Q9945" s="24"/>
      <c r="R9945" s="24"/>
      <c r="S9945" s="24"/>
      <c r="T9945" s="24"/>
      <c r="U9945" s="24"/>
      <c r="V9945" s="24"/>
      <c r="W9945" s="24"/>
      <c r="X9945" s="24"/>
      <c r="Y9945" s="24"/>
      <c r="Z9945" s="24"/>
      <c r="AA9945" s="24"/>
    </row>
    <row r="9946">
      <c r="A9946" s="24"/>
      <c r="B9946" s="25"/>
      <c r="C9946" s="24"/>
      <c r="D9946" s="26"/>
      <c r="E9946" s="24"/>
      <c r="F9946" s="24"/>
      <c r="G9946" s="24"/>
      <c r="H9946" s="24"/>
      <c r="I9946" s="24"/>
      <c r="J9946" s="24"/>
      <c r="K9946" s="24"/>
      <c r="L9946" s="24"/>
      <c r="M9946" s="24"/>
      <c r="N9946" s="24"/>
      <c r="O9946" s="24"/>
      <c r="P9946" s="24"/>
      <c r="Q9946" s="24"/>
      <c r="R9946" s="24"/>
      <c r="S9946" s="24"/>
      <c r="T9946" s="24"/>
      <c r="U9946" s="24"/>
      <c r="V9946" s="24"/>
      <c r="W9946" s="24"/>
      <c r="X9946" s="24"/>
      <c r="Y9946" s="24"/>
      <c r="Z9946" s="24"/>
      <c r="AA9946" s="24"/>
    </row>
    <row r="9947">
      <c r="A9947" s="24"/>
      <c r="B9947" s="25"/>
      <c r="C9947" s="24"/>
      <c r="D9947" s="26"/>
      <c r="E9947" s="24"/>
      <c r="F9947" s="24"/>
      <c r="G9947" s="24"/>
      <c r="H9947" s="24"/>
      <c r="I9947" s="24"/>
      <c r="J9947" s="24"/>
      <c r="K9947" s="24"/>
      <c r="L9947" s="24"/>
      <c r="M9947" s="24"/>
      <c r="N9947" s="24"/>
      <c r="O9947" s="24"/>
      <c r="P9947" s="24"/>
      <c r="Q9947" s="24"/>
      <c r="R9947" s="24"/>
      <c r="S9947" s="24"/>
      <c r="T9947" s="24"/>
      <c r="U9947" s="24"/>
      <c r="V9947" s="24"/>
      <c r="W9947" s="24"/>
      <c r="X9947" s="24"/>
      <c r="Y9947" s="24"/>
      <c r="Z9947" s="24"/>
      <c r="AA9947" s="24"/>
    </row>
    <row r="9948">
      <c r="A9948" s="24"/>
      <c r="B9948" s="25"/>
      <c r="C9948" s="24"/>
      <c r="D9948" s="26"/>
      <c r="E9948" s="24"/>
      <c r="F9948" s="24"/>
      <c r="G9948" s="24"/>
      <c r="H9948" s="24"/>
      <c r="I9948" s="24"/>
      <c r="J9948" s="24"/>
      <c r="K9948" s="24"/>
      <c r="L9948" s="24"/>
      <c r="M9948" s="24"/>
      <c r="N9948" s="24"/>
      <c r="O9948" s="24"/>
      <c r="P9948" s="24"/>
      <c r="Q9948" s="24"/>
      <c r="R9948" s="24"/>
      <c r="S9948" s="24"/>
      <c r="T9948" s="24"/>
      <c r="U9948" s="24"/>
      <c r="V9948" s="24"/>
      <c r="W9948" s="24"/>
      <c r="X9948" s="24"/>
      <c r="Y9948" s="24"/>
      <c r="Z9948" s="24"/>
      <c r="AA9948" s="24"/>
    </row>
    <row r="9949">
      <c r="A9949" s="24"/>
      <c r="B9949" s="25"/>
      <c r="C9949" s="24"/>
      <c r="D9949" s="26"/>
      <c r="E9949" s="24"/>
      <c r="F9949" s="24"/>
      <c r="G9949" s="24"/>
      <c r="H9949" s="24"/>
      <c r="I9949" s="24"/>
      <c r="J9949" s="24"/>
      <c r="K9949" s="24"/>
      <c r="L9949" s="24"/>
      <c r="M9949" s="24"/>
      <c r="N9949" s="24"/>
      <c r="O9949" s="24"/>
      <c r="P9949" s="24"/>
      <c r="Q9949" s="24"/>
      <c r="R9949" s="24"/>
      <c r="S9949" s="24"/>
      <c r="T9949" s="24"/>
      <c r="U9949" s="24"/>
      <c r="V9949" s="24"/>
      <c r="W9949" s="24"/>
      <c r="X9949" s="24"/>
      <c r="Y9949" s="24"/>
      <c r="Z9949" s="24"/>
      <c r="AA9949" s="24"/>
    </row>
    <row r="9950">
      <c r="A9950" s="24"/>
      <c r="B9950" s="25"/>
      <c r="C9950" s="24"/>
      <c r="D9950" s="26"/>
      <c r="E9950" s="24"/>
      <c r="F9950" s="24"/>
      <c r="G9950" s="24"/>
      <c r="H9950" s="24"/>
      <c r="I9950" s="24"/>
      <c r="J9950" s="24"/>
      <c r="K9950" s="24"/>
      <c r="L9950" s="24"/>
      <c r="M9950" s="24"/>
      <c r="N9950" s="24"/>
      <c r="O9950" s="24"/>
      <c r="P9950" s="24"/>
      <c r="Q9950" s="24"/>
      <c r="R9950" s="24"/>
      <c r="S9950" s="24"/>
      <c r="T9950" s="24"/>
      <c r="U9950" s="24"/>
      <c r="V9950" s="24"/>
      <c r="W9950" s="24"/>
      <c r="X9950" s="24"/>
      <c r="Y9950" s="24"/>
      <c r="Z9950" s="24"/>
      <c r="AA9950" s="24"/>
    </row>
    <row r="9951">
      <c r="A9951" s="24"/>
      <c r="B9951" s="25"/>
      <c r="C9951" s="24"/>
      <c r="D9951" s="26"/>
      <c r="E9951" s="24"/>
      <c r="F9951" s="24"/>
      <c r="G9951" s="24"/>
      <c r="H9951" s="24"/>
      <c r="I9951" s="24"/>
      <c r="J9951" s="24"/>
      <c r="K9951" s="24"/>
      <c r="L9951" s="24"/>
      <c r="M9951" s="24"/>
      <c r="N9951" s="24"/>
      <c r="O9951" s="24"/>
      <c r="P9951" s="24"/>
      <c r="Q9951" s="24"/>
      <c r="R9951" s="24"/>
      <c r="S9951" s="24"/>
      <c r="T9951" s="24"/>
      <c r="U9951" s="24"/>
      <c r="V9951" s="24"/>
      <c r="W9951" s="24"/>
      <c r="X9951" s="24"/>
      <c r="Y9951" s="24"/>
      <c r="Z9951" s="24"/>
      <c r="AA9951" s="24"/>
    </row>
    <row r="9952">
      <c r="A9952" s="24"/>
      <c r="B9952" s="25"/>
      <c r="C9952" s="24"/>
      <c r="D9952" s="26"/>
      <c r="E9952" s="24"/>
      <c r="F9952" s="24"/>
      <c r="G9952" s="24"/>
      <c r="H9952" s="24"/>
      <c r="I9952" s="24"/>
      <c r="J9952" s="24"/>
      <c r="K9952" s="24"/>
      <c r="L9952" s="24"/>
      <c r="M9952" s="24"/>
      <c r="N9952" s="24"/>
      <c r="O9952" s="24"/>
      <c r="P9952" s="24"/>
      <c r="Q9952" s="24"/>
      <c r="R9952" s="24"/>
      <c r="S9952" s="24"/>
      <c r="T9952" s="24"/>
      <c r="U9952" s="24"/>
      <c r="V9952" s="24"/>
      <c r="W9952" s="24"/>
      <c r="X9952" s="24"/>
      <c r="Y9952" s="24"/>
      <c r="Z9952" s="24"/>
      <c r="AA9952" s="24"/>
    </row>
    <row r="9953">
      <c r="A9953" s="24"/>
      <c r="B9953" s="25"/>
      <c r="C9953" s="24"/>
      <c r="D9953" s="26"/>
      <c r="E9953" s="24"/>
      <c r="F9953" s="24"/>
      <c r="G9953" s="24"/>
      <c r="H9953" s="24"/>
      <c r="I9953" s="24"/>
      <c r="J9953" s="24"/>
      <c r="K9953" s="24"/>
      <c r="L9953" s="24"/>
      <c r="M9953" s="24"/>
      <c r="N9953" s="24"/>
      <c r="O9953" s="24"/>
      <c r="P9953" s="24"/>
      <c r="Q9953" s="24"/>
      <c r="R9953" s="24"/>
      <c r="S9953" s="24"/>
      <c r="T9953" s="24"/>
      <c r="U9953" s="24"/>
      <c r="V9953" s="24"/>
      <c r="W9953" s="24"/>
      <c r="X9953" s="24"/>
      <c r="Y9953" s="24"/>
      <c r="Z9953" s="24"/>
      <c r="AA9953" s="24"/>
    </row>
    <row r="9954">
      <c r="A9954" s="24"/>
      <c r="B9954" s="25"/>
      <c r="C9954" s="24"/>
      <c r="D9954" s="26"/>
      <c r="E9954" s="24"/>
      <c r="F9954" s="24"/>
      <c r="G9954" s="24"/>
      <c r="H9954" s="24"/>
      <c r="I9954" s="24"/>
      <c r="J9954" s="24"/>
      <c r="K9954" s="24"/>
      <c r="L9954" s="24"/>
      <c r="M9954" s="24"/>
      <c r="N9954" s="24"/>
      <c r="O9954" s="24"/>
      <c r="P9954" s="24"/>
      <c r="Q9954" s="24"/>
      <c r="R9954" s="24"/>
      <c r="S9954" s="24"/>
      <c r="T9954" s="24"/>
      <c r="U9954" s="24"/>
      <c r="V9954" s="24"/>
      <c r="W9954" s="24"/>
      <c r="X9954" s="24"/>
      <c r="Y9954" s="24"/>
      <c r="Z9954" s="24"/>
      <c r="AA9954" s="24"/>
    </row>
    <row r="9955">
      <c r="A9955" s="24"/>
      <c r="B9955" s="25"/>
      <c r="C9955" s="24"/>
      <c r="D9955" s="26"/>
      <c r="E9955" s="24"/>
      <c r="F9955" s="24"/>
      <c r="G9955" s="24"/>
      <c r="H9955" s="24"/>
      <c r="I9955" s="24"/>
      <c r="J9955" s="24"/>
      <c r="K9955" s="24"/>
      <c r="L9955" s="24"/>
      <c r="M9955" s="24"/>
      <c r="N9955" s="24"/>
      <c r="O9955" s="24"/>
      <c r="P9955" s="24"/>
      <c r="Q9955" s="24"/>
      <c r="R9955" s="24"/>
      <c r="S9955" s="24"/>
      <c r="T9955" s="24"/>
      <c r="U9955" s="24"/>
      <c r="V9955" s="24"/>
      <c r="W9955" s="24"/>
      <c r="X9955" s="24"/>
      <c r="Y9955" s="24"/>
      <c r="Z9955" s="24"/>
      <c r="AA9955" s="24"/>
    </row>
    <row r="9956">
      <c r="A9956" s="24"/>
      <c r="B9956" s="25"/>
      <c r="C9956" s="24"/>
      <c r="D9956" s="26"/>
      <c r="E9956" s="24"/>
      <c r="F9956" s="24"/>
      <c r="G9956" s="24"/>
      <c r="H9956" s="24"/>
      <c r="I9956" s="24"/>
      <c r="J9956" s="24"/>
      <c r="K9956" s="24"/>
      <c r="L9956" s="24"/>
      <c r="M9956" s="24"/>
      <c r="N9956" s="24"/>
      <c r="O9956" s="24"/>
      <c r="P9956" s="24"/>
      <c r="Q9956" s="24"/>
      <c r="R9956" s="24"/>
      <c r="S9956" s="24"/>
      <c r="T9956" s="24"/>
      <c r="U9956" s="24"/>
      <c r="V9956" s="24"/>
      <c r="W9956" s="24"/>
      <c r="X9956" s="24"/>
      <c r="Y9956" s="24"/>
      <c r="Z9956" s="24"/>
      <c r="AA9956" s="24"/>
    </row>
    <row r="9957">
      <c r="A9957" s="24"/>
      <c r="B9957" s="25"/>
      <c r="C9957" s="24"/>
      <c r="D9957" s="26"/>
      <c r="E9957" s="24"/>
      <c r="F9957" s="24"/>
      <c r="G9957" s="24"/>
      <c r="H9957" s="24"/>
      <c r="I9957" s="24"/>
      <c r="J9957" s="24"/>
      <c r="K9957" s="24"/>
      <c r="L9957" s="24"/>
      <c r="M9957" s="24"/>
      <c r="N9957" s="24"/>
      <c r="O9957" s="24"/>
      <c r="P9957" s="24"/>
      <c r="Q9957" s="24"/>
      <c r="R9957" s="24"/>
      <c r="S9957" s="24"/>
      <c r="T9957" s="24"/>
      <c r="U9957" s="24"/>
      <c r="V9957" s="24"/>
      <c r="W9957" s="24"/>
      <c r="X9957" s="24"/>
      <c r="Y9957" s="24"/>
      <c r="Z9957" s="24"/>
      <c r="AA9957" s="24"/>
    </row>
    <row r="9958">
      <c r="A9958" s="24"/>
      <c r="B9958" s="25"/>
      <c r="C9958" s="24"/>
      <c r="D9958" s="26"/>
      <c r="E9958" s="24"/>
      <c r="F9958" s="24"/>
      <c r="G9958" s="24"/>
      <c r="H9958" s="24"/>
      <c r="I9958" s="24"/>
      <c r="J9958" s="24"/>
      <c r="K9958" s="24"/>
      <c r="L9958" s="24"/>
      <c r="M9958" s="24"/>
      <c r="N9958" s="24"/>
      <c r="O9958" s="24"/>
      <c r="P9958" s="24"/>
      <c r="Q9958" s="24"/>
      <c r="R9958" s="24"/>
      <c r="S9958" s="24"/>
      <c r="T9958" s="24"/>
      <c r="U9958" s="24"/>
      <c r="V9958" s="24"/>
      <c r="W9958" s="24"/>
      <c r="X9958" s="24"/>
      <c r="Y9958" s="24"/>
      <c r="Z9958" s="24"/>
      <c r="AA9958" s="24"/>
    </row>
    <row r="9959">
      <c r="A9959" s="24"/>
      <c r="B9959" s="25"/>
      <c r="C9959" s="24"/>
      <c r="D9959" s="26"/>
      <c r="E9959" s="24"/>
      <c r="F9959" s="24"/>
      <c r="G9959" s="24"/>
      <c r="H9959" s="24"/>
      <c r="I9959" s="24"/>
      <c r="J9959" s="24"/>
      <c r="K9959" s="24"/>
      <c r="L9959" s="24"/>
      <c r="M9959" s="24"/>
      <c r="N9959" s="24"/>
      <c r="O9959" s="24"/>
      <c r="P9959" s="24"/>
      <c r="Q9959" s="24"/>
      <c r="R9959" s="24"/>
      <c r="S9959" s="24"/>
      <c r="T9959" s="24"/>
      <c r="U9959" s="24"/>
      <c r="V9959" s="24"/>
      <c r="W9959" s="24"/>
      <c r="X9959" s="24"/>
      <c r="Y9959" s="24"/>
      <c r="Z9959" s="24"/>
      <c r="AA9959" s="24"/>
    </row>
    <row r="9960">
      <c r="A9960" s="24"/>
      <c r="B9960" s="25"/>
      <c r="C9960" s="24"/>
      <c r="D9960" s="26"/>
      <c r="E9960" s="24"/>
      <c r="F9960" s="24"/>
      <c r="G9960" s="24"/>
      <c r="H9960" s="24"/>
      <c r="I9960" s="24"/>
      <c r="J9960" s="24"/>
      <c r="K9960" s="24"/>
      <c r="L9960" s="24"/>
      <c r="M9960" s="24"/>
      <c r="N9960" s="24"/>
      <c r="O9960" s="24"/>
      <c r="P9960" s="24"/>
      <c r="Q9960" s="24"/>
      <c r="R9960" s="24"/>
      <c r="S9960" s="24"/>
      <c r="T9960" s="24"/>
      <c r="U9960" s="24"/>
      <c r="V9960" s="24"/>
      <c r="W9960" s="24"/>
      <c r="X9960" s="24"/>
      <c r="Y9960" s="24"/>
      <c r="Z9960" s="24"/>
      <c r="AA9960" s="24"/>
    </row>
    <row r="9961">
      <c r="A9961" s="24"/>
      <c r="B9961" s="25"/>
      <c r="C9961" s="24"/>
      <c r="D9961" s="26"/>
      <c r="E9961" s="24"/>
      <c r="F9961" s="24"/>
      <c r="G9961" s="24"/>
      <c r="H9961" s="24"/>
      <c r="I9961" s="24"/>
      <c r="J9961" s="24"/>
      <c r="K9961" s="24"/>
      <c r="L9961" s="24"/>
      <c r="M9961" s="24"/>
      <c r="N9961" s="24"/>
      <c r="O9961" s="24"/>
      <c r="P9961" s="24"/>
      <c r="Q9961" s="24"/>
      <c r="R9961" s="24"/>
      <c r="S9961" s="24"/>
      <c r="T9961" s="24"/>
      <c r="U9961" s="24"/>
      <c r="V9961" s="24"/>
      <c r="W9961" s="24"/>
      <c r="X9961" s="24"/>
      <c r="Y9961" s="24"/>
      <c r="Z9961" s="24"/>
      <c r="AA9961" s="24"/>
    </row>
    <row r="9962">
      <c r="A9962" s="24"/>
      <c r="B9962" s="25"/>
      <c r="C9962" s="24"/>
      <c r="D9962" s="26"/>
      <c r="E9962" s="24"/>
      <c r="F9962" s="24"/>
      <c r="G9962" s="24"/>
      <c r="H9962" s="24"/>
      <c r="I9962" s="24"/>
      <c r="J9962" s="24"/>
      <c r="K9962" s="24"/>
      <c r="L9962" s="24"/>
      <c r="M9962" s="24"/>
      <c r="N9962" s="24"/>
      <c r="O9962" s="24"/>
      <c r="P9962" s="24"/>
      <c r="Q9962" s="24"/>
      <c r="R9962" s="24"/>
      <c r="S9962" s="24"/>
      <c r="T9962" s="24"/>
      <c r="U9962" s="24"/>
      <c r="V9962" s="24"/>
      <c r="W9962" s="24"/>
      <c r="X9962" s="24"/>
      <c r="Y9962" s="24"/>
      <c r="Z9962" s="24"/>
      <c r="AA9962" s="24"/>
    </row>
    <row r="9963">
      <c r="A9963" s="24"/>
      <c r="B9963" s="25"/>
      <c r="C9963" s="24"/>
      <c r="D9963" s="26"/>
      <c r="E9963" s="24"/>
      <c r="F9963" s="24"/>
      <c r="G9963" s="24"/>
      <c r="H9963" s="24"/>
      <c r="I9963" s="24"/>
      <c r="J9963" s="24"/>
      <c r="K9963" s="24"/>
      <c r="L9963" s="24"/>
      <c r="M9963" s="24"/>
      <c r="N9963" s="24"/>
      <c r="O9963" s="24"/>
      <c r="P9963" s="24"/>
      <c r="Q9963" s="24"/>
      <c r="R9963" s="24"/>
      <c r="S9963" s="24"/>
      <c r="T9963" s="24"/>
      <c r="U9963" s="24"/>
      <c r="V9963" s="24"/>
      <c r="W9963" s="24"/>
      <c r="X9963" s="24"/>
      <c r="Y9963" s="24"/>
      <c r="Z9963" s="24"/>
      <c r="AA9963" s="24"/>
    </row>
    <row r="9964">
      <c r="A9964" s="24"/>
      <c r="B9964" s="25"/>
      <c r="C9964" s="24"/>
      <c r="D9964" s="26"/>
      <c r="E9964" s="24"/>
      <c r="F9964" s="24"/>
      <c r="G9964" s="24"/>
      <c r="H9964" s="24"/>
      <c r="I9964" s="24"/>
      <c r="J9964" s="24"/>
      <c r="K9964" s="24"/>
      <c r="L9964" s="24"/>
      <c r="M9964" s="24"/>
      <c r="N9964" s="24"/>
      <c r="O9964" s="24"/>
      <c r="P9964" s="24"/>
      <c r="Q9964" s="24"/>
      <c r="R9964" s="24"/>
      <c r="S9964" s="24"/>
      <c r="T9964" s="24"/>
      <c r="U9964" s="24"/>
      <c r="V9964" s="24"/>
      <c r="W9964" s="24"/>
      <c r="X9964" s="24"/>
      <c r="Y9964" s="24"/>
      <c r="Z9964" s="24"/>
      <c r="AA9964" s="24"/>
    </row>
    <row r="9965">
      <c r="A9965" s="24"/>
      <c r="B9965" s="25"/>
      <c r="C9965" s="24"/>
      <c r="D9965" s="26"/>
      <c r="E9965" s="24"/>
      <c r="F9965" s="24"/>
      <c r="G9965" s="24"/>
      <c r="H9965" s="24"/>
      <c r="I9965" s="24"/>
      <c r="J9965" s="24"/>
      <c r="K9965" s="24"/>
      <c r="L9965" s="24"/>
      <c r="M9965" s="24"/>
      <c r="N9965" s="24"/>
      <c r="O9965" s="24"/>
      <c r="P9965" s="24"/>
      <c r="Q9965" s="24"/>
      <c r="R9965" s="24"/>
      <c r="S9965" s="24"/>
      <c r="T9965" s="24"/>
      <c r="U9965" s="24"/>
      <c r="V9965" s="24"/>
      <c r="W9965" s="24"/>
      <c r="X9965" s="24"/>
      <c r="Y9965" s="24"/>
      <c r="Z9965" s="24"/>
      <c r="AA9965" s="24"/>
    </row>
    <row r="9966">
      <c r="A9966" s="24"/>
      <c r="B9966" s="25"/>
      <c r="C9966" s="24"/>
      <c r="D9966" s="26"/>
      <c r="E9966" s="24"/>
      <c r="F9966" s="24"/>
      <c r="G9966" s="24"/>
      <c r="H9966" s="24"/>
      <c r="I9966" s="24"/>
      <c r="J9966" s="24"/>
      <c r="K9966" s="24"/>
      <c r="L9966" s="24"/>
      <c r="M9966" s="24"/>
      <c r="N9966" s="24"/>
      <c r="O9966" s="24"/>
      <c r="P9966" s="24"/>
      <c r="Q9966" s="24"/>
      <c r="R9966" s="24"/>
      <c r="S9966" s="24"/>
      <c r="T9966" s="24"/>
      <c r="U9966" s="24"/>
      <c r="V9966" s="24"/>
      <c r="W9966" s="24"/>
      <c r="X9966" s="24"/>
      <c r="Y9966" s="24"/>
      <c r="Z9966" s="24"/>
      <c r="AA9966" s="24"/>
    </row>
    <row r="9967">
      <c r="A9967" s="24"/>
      <c r="B9967" s="25"/>
      <c r="C9967" s="24"/>
      <c r="D9967" s="26"/>
      <c r="E9967" s="24"/>
      <c r="F9967" s="24"/>
      <c r="G9967" s="24"/>
      <c r="H9967" s="24"/>
      <c r="I9967" s="24"/>
      <c r="J9967" s="24"/>
      <c r="K9967" s="24"/>
      <c r="L9967" s="24"/>
      <c r="M9967" s="24"/>
      <c r="N9967" s="24"/>
      <c r="O9967" s="24"/>
      <c r="P9967" s="24"/>
      <c r="Q9967" s="24"/>
      <c r="R9967" s="24"/>
      <c r="S9967" s="24"/>
      <c r="T9967" s="24"/>
      <c r="U9967" s="24"/>
      <c r="V9967" s="24"/>
      <c r="W9967" s="24"/>
      <c r="X9967" s="24"/>
      <c r="Y9967" s="24"/>
      <c r="Z9967" s="24"/>
      <c r="AA9967" s="24"/>
    </row>
    <row r="9968">
      <c r="A9968" s="24"/>
      <c r="B9968" s="25"/>
      <c r="C9968" s="24"/>
      <c r="D9968" s="26"/>
      <c r="E9968" s="24"/>
      <c r="F9968" s="24"/>
      <c r="G9968" s="24"/>
      <c r="H9968" s="24"/>
      <c r="I9968" s="24"/>
      <c r="J9968" s="24"/>
      <c r="K9968" s="24"/>
      <c r="L9968" s="24"/>
      <c r="M9968" s="24"/>
      <c r="N9968" s="24"/>
      <c r="O9968" s="24"/>
      <c r="P9968" s="24"/>
      <c r="Q9968" s="24"/>
      <c r="R9968" s="24"/>
      <c r="S9968" s="24"/>
      <c r="T9968" s="24"/>
      <c r="U9968" s="24"/>
      <c r="V9968" s="24"/>
      <c r="W9968" s="24"/>
      <c r="X9968" s="24"/>
      <c r="Y9968" s="24"/>
      <c r="Z9968" s="24"/>
      <c r="AA9968" s="24"/>
    </row>
    <row r="9969">
      <c r="A9969" s="24"/>
      <c r="B9969" s="25"/>
      <c r="C9969" s="24"/>
      <c r="D9969" s="26"/>
      <c r="E9969" s="24"/>
      <c r="F9969" s="24"/>
      <c r="G9969" s="24"/>
      <c r="H9969" s="24"/>
      <c r="I9969" s="24"/>
      <c r="J9969" s="24"/>
      <c r="K9969" s="24"/>
      <c r="L9969" s="24"/>
      <c r="M9969" s="24"/>
      <c r="N9969" s="24"/>
      <c r="O9969" s="24"/>
      <c r="P9969" s="24"/>
      <c r="Q9969" s="24"/>
      <c r="R9969" s="24"/>
      <c r="S9969" s="24"/>
      <c r="T9969" s="24"/>
      <c r="U9969" s="24"/>
      <c r="V9969" s="24"/>
      <c r="W9969" s="24"/>
      <c r="X9969" s="24"/>
      <c r="Y9969" s="24"/>
      <c r="Z9969" s="24"/>
      <c r="AA9969" s="24"/>
    </row>
    <row r="9970">
      <c r="A9970" s="24"/>
      <c r="B9970" s="25"/>
      <c r="C9970" s="24"/>
      <c r="D9970" s="26"/>
      <c r="E9970" s="24"/>
      <c r="F9970" s="24"/>
      <c r="G9970" s="24"/>
      <c r="H9970" s="24"/>
      <c r="I9970" s="24"/>
      <c r="J9970" s="24"/>
      <c r="K9970" s="24"/>
      <c r="L9970" s="24"/>
      <c r="M9970" s="24"/>
      <c r="N9970" s="24"/>
      <c r="O9970" s="24"/>
      <c r="P9970" s="24"/>
      <c r="Q9970" s="24"/>
      <c r="R9970" s="24"/>
      <c r="S9970" s="24"/>
      <c r="T9970" s="24"/>
      <c r="U9970" s="24"/>
      <c r="V9970" s="24"/>
      <c r="W9970" s="24"/>
      <c r="X9970" s="24"/>
      <c r="Y9970" s="24"/>
      <c r="Z9970" s="24"/>
      <c r="AA9970" s="24"/>
    </row>
    <row r="9971">
      <c r="A9971" s="24"/>
      <c r="B9971" s="25"/>
      <c r="C9971" s="24"/>
      <c r="D9971" s="26"/>
      <c r="E9971" s="24"/>
      <c r="F9971" s="24"/>
      <c r="G9971" s="24"/>
      <c r="H9971" s="24"/>
      <c r="I9971" s="24"/>
      <c r="J9971" s="24"/>
      <c r="K9971" s="24"/>
      <c r="L9971" s="24"/>
      <c r="M9971" s="24"/>
      <c r="N9971" s="24"/>
      <c r="O9971" s="24"/>
      <c r="P9971" s="24"/>
      <c r="Q9971" s="24"/>
      <c r="R9971" s="24"/>
      <c r="S9971" s="24"/>
      <c r="T9971" s="24"/>
      <c r="U9971" s="24"/>
      <c r="V9971" s="24"/>
      <c r="W9971" s="24"/>
      <c r="X9971" s="24"/>
      <c r="Y9971" s="24"/>
      <c r="Z9971" s="24"/>
      <c r="AA9971" s="24"/>
    </row>
    <row r="9972">
      <c r="A9972" s="24"/>
      <c r="B9972" s="25"/>
      <c r="C9972" s="24"/>
      <c r="D9972" s="26"/>
      <c r="E9972" s="24"/>
      <c r="F9972" s="24"/>
      <c r="G9972" s="24"/>
      <c r="H9972" s="24"/>
      <c r="I9972" s="24"/>
      <c r="J9972" s="24"/>
      <c r="K9972" s="24"/>
      <c r="L9972" s="24"/>
      <c r="M9972" s="24"/>
      <c r="N9972" s="24"/>
      <c r="O9972" s="24"/>
      <c r="P9972" s="24"/>
      <c r="Q9972" s="24"/>
      <c r="R9972" s="24"/>
      <c r="S9972" s="24"/>
      <c r="T9972" s="24"/>
      <c r="U9972" s="24"/>
      <c r="V9972" s="24"/>
      <c r="W9972" s="24"/>
      <c r="X9972" s="24"/>
      <c r="Y9972" s="24"/>
      <c r="Z9972" s="24"/>
      <c r="AA9972" s="24"/>
    </row>
    <row r="9973">
      <c r="A9973" s="24"/>
      <c r="B9973" s="25"/>
      <c r="C9973" s="24"/>
      <c r="D9973" s="26"/>
      <c r="E9973" s="24"/>
      <c r="F9973" s="24"/>
      <c r="G9973" s="24"/>
      <c r="H9973" s="24"/>
      <c r="I9973" s="24"/>
      <c r="J9973" s="24"/>
      <c r="K9973" s="24"/>
      <c r="L9973" s="24"/>
      <c r="M9973" s="24"/>
      <c r="N9973" s="24"/>
      <c r="O9973" s="24"/>
      <c r="P9973" s="24"/>
      <c r="Q9973" s="24"/>
      <c r="R9973" s="24"/>
      <c r="S9973" s="24"/>
      <c r="T9973" s="24"/>
      <c r="U9973" s="24"/>
      <c r="V9973" s="24"/>
      <c r="W9973" s="24"/>
      <c r="X9973" s="24"/>
      <c r="Y9973" s="24"/>
      <c r="Z9973" s="24"/>
      <c r="AA9973" s="24"/>
    </row>
    <row r="9974">
      <c r="A9974" s="24"/>
      <c r="B9974" s="25"/>
      <c r="C9974" s="24"/>
      <c r="D9974" s="26"/>
      <c r="E9974" s="24"/>
      <c r="F9974" s="24"/>
      <c r="G9974" s="24"/>
      <c r="H9974" s="24"/>
      <c r="I9974" s="24"/>
      <c r="J9974" s="24"/>
      <c r="K9974" s="24"/>
      <c r="L9974" s="24"/>
      <c r="M9974" s="24"/>
      <c r="N9974" s="24"/>
      <c r="O9974" s="24"/>
      <c r="P9974" s="24"/>
      <c r="Q9974" s="24"/>
      <c r="R9974" s="24"/>
      <c r="S9974" s="24"/>
      <c r="T9974" s="24"/>
      <c r="U9974" s="24"/>
      <c r="V9974" s="24"/>
      <c r="W9974" s="24"/>
      <c r="X9974" s="24"/>
      <c r="Y9974" s="24"/>
      <c r="Z9974" s="24"/>
      <c r="AA9974" s="24"/>
    </row>
    <row r="9975">
      <c r="A9975" s="24"/>
      <c r="B9975" s="25"/>
      <c r="C9975" s="24"/>
      <c r="D9975" s="26"/>
      <c r="E9975" s="24"/>
      <c r="F9975" s="24"/>
      <c r="G9975" s="24"/>
      <c r="H9975" s="24"/>
      <c r="I9975" s="24"/>
      <c r="J9975" s="24"/>
      <c r="K9975" s="24"/>
      <c r="L9975" s="24"/>
      <c r="M9975" s="24"/>
      <c r="N9975" s="24"/>
      <c r="O9975" s="24"/>
      <c r="P9975" s="24"/>
      <c r="Q9975" s="24"/>
      <c r="R9975" s="24"/>
      <c r="S9975" s="24"/>
      <c r="T9975" s="24"/>
      <c r="U9975" s="24"/>
      <c r="V9975" s="24"/>
      <c r="W9975" s="24"/>
      <c r="X9975" s="24"/>
      <c r="Y9975" s="24"/>
      <c r="Z9975" s="24"/>
      <c r="AA9975" s="24"/>
    </row>
    <row r="9976">
      <c r="A9976" s="24"/>
      <c r="B9976" s="25"/>
      <c r="C9976" s="24"/>
      <c r="D9976" s="26"/>
      <c r="E9976" s="24"/>
      <c r="F9976" s="24"/>
      <c r="G9976" s="24"/>
      <c r="H9976" s="24"/>
      <c r="I9976" s="24"/>
      <c r="J9976" s="24"/>
      <c r="K9976" s="24"/>
      <c r="L9976" s="24"/>
      <c r="M9976" s="24"/>
      <c r="N9976" s="24"/>
      <c r="O9976" s="24"/>
      <c r="P9976" s="24"/>
      <c r="Q9976" s="24"/>
      <c r="R9976" s="24"/>
      <c r="S9976" s="24"/>
      <c r="T9976" s="24"/>
      <c r="U9976" s="24"/>
      <c r="V9976" s="24"/>
      <c r="W9976" s="24"/>
      <c r="X9976" s="24"/>
      <c r="Y9976" s="24"/>
      <c r="Z9976" s="24"/>
      <c r="AA9976" s="24"/>
    </row>
    <row r="9977">
      <c r="A9977" s="24"/>
      <c r="B9977" s="25"/>
      <c r="C9977" s="24"/>
      <c r="D9977" s="26"/>
      <c r="E9977" s="24"/>
      <c r="F9977" s="24"/>
      <c r="G9977" s="24"/>
      <c r="H9977" s="24"/>
      <c r="I9977" s="24"/>
      <c r="J9977" s="24"/>
      <c r="K9977" s="24"/>
      <c r="L9977" s="24"/>
      <c r="M9977" s="24"/>
      <c r="N9977" s="24"/>
      <c r="O9977" s="24"/>
      <c r="P9977" s="24"/>
      <c r="Q9977" s="24"/>
      <c r="R9977" s="24"/>
      <c r="S9977" s="24"/>
      <c r="T9977" s="24"/>
      <c r="U9977" s="24"/>
      <c r="V9977" s="24"/>
      <c r="W9977" s="24"/>
      <c r="X9977" s="24"/>
      <c r="Y9977" s="24"/>
      <c r="Z9977" s="24"/>
      <c r="AA9977" s="24"/>
    </row>
    <row r="9978">
      <c r="A9978" s="24"/>
      <c r="B9978" s="25"/>
      <c r="C9978" s="24"/>
      <c r="D9978" s="26"/>
      <c r="E9978" s="24"/>
      <c r="F9978" s="24"/>
      <c r="G9978" s="24"/>
      <c r="H9978" s="24"/>
      <c r="I9978" s="24"/>
      <c r="J9978" s="24"/>
      <c r="K9978" s="24"/>
      <c r="L9978" s="24"/>
      <c r="M9978" s="24"/>
      <c r="N9978" s="24"/>
      <c r="O9978" s="24"/>
      <c r="P9978" s="24"/>
      <c r="Q9978" s="24"/>
      <c r="R9978" s="24"/>
      <c r="S9978" s="24"/>
      <c r="T9978" s="24"/>
      <c r="U9978" s="24"/>
      <c r="V9978" s="24"/>
      <c r="W9978" s="24"/>
      <c r="X9978" s="24"/>
      <c r="Y9978" s="24"/>
      <c r="Z9978" s="24"/>
      <c r="AA9978" s="24"/>
    </row>
    <row r="9979">
      <c r="A9979" s="24"/>
      <c r="B9979" s="25"/>
      <c r="C9979" s="24"/>
      <c r="D9979" s="26"/>
      <c r="E9979" s="24"/>
      <c r="F9979" s="24"/>
      <c r="G9979" s="24"/>
      <c r="H9979" s="24"/>
      <c r="I9979" s="24"/>
      <c r="J9979" s="24"/>
      <c r="K9979" s="24"/>
      <c r="L9979" s="24"/>
      <c r="M9979" s="24"/>
      <c r="N9979" s="24"/>
      <c r="O9979" s="24"/>
      <c r="P9979" s="24"/>
      <c r="Q9979" s="24"/>
      <c r="R9979" s="24"/>
      <c r="S9979" s="24"/>
      <c r="T9979" s="24"/>
      <c r="U9979" s="24"/>
      <c r="V9979" s="24"/>
      <c r="W9979" s="24"/>
      <c r="X9979" s="24"/>
      <c r="Y9979" s="24"/>
      <c r="Z9979" s="24"/>
      <c r="AA9979" s="24"/>
    </row>
    <row r="9980">
      <c r="A9980" s="24"/>
      <c r="B9980" s="25"/>
      <c r="C9980" s="24"/>
      <c r="D9980" s="26"/>
      <c r="E9980" s="24"/>
      <c r="F9980" s="24"/>
      <c r="G9980" s="24"/>
      <c r="H9980" s="24"/>
      <c r="I9980" s="24"/>
      <c r="J9980" s="24"/>
      <c r="K9980" s="24"/>
      <c r="L9980" s="24"/>
      <c r="M9980" s="24"/>
      <c r="N9980" s="24"/>
      <c r="O9980" s="24"/>
      <c r="P9980" s="24"/>
      <c r="Q9980" s="24"/>
      <c r="R9980" s="24"/>
      <c r="S9980" s="24"/>
      <c r="T9980" s="24"/>
      <c r="U9980" s="24"/>
      <c r="V9980" s="24"/>
      <c r="W9980" s="24"/>
      <c r="X9980" s="24"/>
      <c r="Y9980" s="24"/>
      <c r="Z9980" s="24"/>
      <c r="AA9980" s="24"/>
    </row>
    <row r="9981">
      <c r="A9981" s="24"/>
      <c r="B9981" s="25"/>
      <c r="C9981" s="24"/>
      <c r="D9981" s="26"/>
      <c r="E9981" s="24"/>
      <c r="F9981" s="24"/>
      <c r="G9981" s="24"/>
      <c r="H9981" s="24"/>
      <c r="I9981" s="24"/>
      <c r="J9981" s="24"/>
      <c r="K9981" s="24"/>
      <c r="L9981" s="24"/>
      <c r="M9981" s="24"/>
      <c r="N9981" s="24"/>
      <c r="O9981" s="24"/>
      <c r="P9981" s="24"/>
      <c r="Q9981" s="24"/>
      <c r="R9981" s="24"/>
      <c r="S9981" s="24"/>
      <c r="T9981" s="24"/>
      <c r="U9981" s="24"/>
      <c r="V9981" s="24"/>
      <c r="W9981" s="24"/>
      <c r="X9981" s="24"/>
      <c r="Y9981" s="24"/>
      <c r="Z9981" s="24"/>
      <c r="AA9981" s="24"/>
    </row>
    <row r="9982">
      <c r="A9982" s="24"/>
      <c r="B9982" s="25"/>
      <c r="C9982" s="24"/>
      <c r="D9982" s="26"/>
      <c r="E9982" s="24"/>
      <c r="F9982" s="24"/>
      <c r="G9982" s="24"/>
      <c r="H9982" s="24"/>
      <c r="I9982" s="24"/>
      <c r="J9982" s="24"/>
      <c r="K9982" s="24"/>
      <c r="L9982" s="24"/>
      <c r="M9982" s="24"/>
      <c r="N9982" s="24"/>
      <c r="O9982" s="24"/>
      <c r="P9982" s="24"/>
      <c r="Q9982" s="24"/>
      <c r="R9982" s="24"/>
      <c r="S9982" s="24"/>
      <c r="T9982" s="24"/>
      <c r="U9982" s="24"/>
      <c r="V9982" s="24"/>
      <c r="W9982" s="24"/>
      <c r="X9982" s="24"/>
      <c r="Y9982" s="24"/>
      <c r="Z9982" s="24"/>
      <c r="AA9982" s="24"/>
    </row>
    <row r="9983">
      <c r="A9983" s="24"/>
      <c r="B9983" s="25"/>
      <c r="C9983" s="24"/>
      <c r="D9983" s="26"/>
      <c r="E9983" s="24"/>
      <c r="F9983" s="24"/>
      <c r="G9983" s="24"/>
      <c r="H9983" s="24"/>
      <c r="I9983" s="24"/>
      <c r="J9983" s="24"/>
      <c r="K9983" s="24"/>
      <c r="L9983" s="24"/>
      <c r="M9983" s="24"/>
      <c r="N9983" s="24"/>
      <c r="O9983" s="24"/>
      <c r="P9983" s="24"/>
      <c r="Q9983" s="24"/>
      <c r="R9983" s="24"/>
      <c r="S9983" s="24"/>
      <c r="T9983" s="24"/>
      <c r="U9983" s="24"/>
      <c r="V9983" s="24"/>
      <c r="W9983" s="24"/>
      <c r="X9983" s="24"/>
      <c r="Y9983" s="24"/>
      <c r="Z9983" s="24"/>
      <c r="AA9983" s="24"/>
    </row>
    <row r="9984">
      <c r="A9984" s="24"/>
      <c r="B9984" s="25"/>
      <c r="C9984" s="24"/>
      <c r="D9984" s="26"/>
      <c r="E9984" s="24"/>
      <c r="F9984" s="24"/>
      <c r="G9984" s="24"/>
      <c r="H9984" s="24"/>
      <c r="I9984" s="24"/>
      <c r="J9984" s="24"/>
      <c r="K9984" s="24"/>
      <c r="L9984" s="24"/>
      <c r="M9984" s="24"/>
      <c r="N9984" s="24"/>
      <c r="O9984" s="24"/>
      <c r="P9984" s="24"/>
      <c r="Q9984" s="24"/>
      <c r="R9984" s="24"/>
      <c r="S9984" s="24"/>
      <c r="T9984" s="24"/>
      <c r="U9984" s="24"/>
      <c r="V9984" s="24"/>
      <c r="W9984" s="24"/>
      <c r="X9984" s="24"/>
      <c r="Y9984" s="24"/>
      <c r="Z9984" s="24"/>
      <c r="AA9984" s="24"/>
    </row>
    <row r="9985">
      <c r="A9985" s="24"/>
      <c r="B9985" s="25"/>
      <c r="C9985" s="24"/>
      <c r="D9985" s="26"/>
      <c r="E9985" s="24"/>
      <c r="F9985" s="24"/>
      <c r="G9985" s="24"/>
      <c r="H9985" s="24"/>
      <c r="I9985" s="24"/>
      <c r="J9985" s="24"/>
      <c r="K9985" s="24"/>
      <c r="L9985" s="24"/>
      <c r="M9985" s="24"/>
      <c r="N9985" s="24"/>
      <c r="O9985" s="24"/>
      <c r="P9985" s="24"/>
      <c r="Q9985" s="24"/>
      <c r="R9985" s="24"/>
      <c r="S9985" s="24"/>
      <c r="T9985" s="24"/>
      <c r="U9985" s="24"/>
      <c r="V9985" s="24"/>
      <c r="W9985" s="24"/>
      <c r="X9985" s="24"/>
      <c r="Y9985" s="24"/>
      <c r="Z9985" s="24"/>
      <c r="AA9985" s="24"/>
    </row>
    <row r="9986">
      <c r="A9986" s="24"/>
      <c r="B9986" s="25"/>
      <c r="C9986" s="24"/>
      <c r="D9986" s="26"/>
      <c r="E9986" s="24"/>
      <c r="F9986" s="24"/>
      <c r="G9986" s="24"/>
      <c r="H9986" s="24"/>
      <c r="I9986" s="24"/>
      <c r="J9986" s="24"/>
      <c r="K9986" s="24"/>
      <c r="L9986" s="24"/>
      <c r="M9986" s="24"/>
      <c r="N9986" s="24"/>
      <c r="O9986" s="24"/>
      <c r="P9986" s="24"/>
      <c r="Q9986" s="24"/>
      <c r="R9986" s="24"/>
      <c r="S9986" s="24"/>
      <c r="T9986" s="24"/>
      <c r="U9986" s="24"/>
      <c r="V9986" s="24"/>
      <c r="W9986" s="24"/>
      <c r="X9986" s="24"/>
      <c r="Y9986" s="24"/>
      <c r="Z9986" s="24"/>
      <c r="AA9986" s="24"/>
    </row>
    <row r="9987">
      <c r="A9987" s="24"/>
      <c r="B9987" s="25"/>
      <c r="C9987" s="24"/>
      <c r="D9987" s="26"/>
      <c r="E9987" s="24"/>
      <c r="F9987" s="24"/>
      <c r="G9987" s="24"/>
      <c r="H9987" s="24"/>
      <c r="I9987" s="24"/>
      <c r="J9987" s="24"/>
      <c r="K9987" s="24"/>
      <c r="L9987" s="24"/>
      <c r="M9987" s="24"/>
      <c r="N9987" s="24"/>
      <c r="O9987" s="24"/>
      <c r="P9987" s="24"/>
      <c r="Q9987" s="24"/>
      <c r="R9987" s="24"/>
      <c r="S9987" s="24"/>
      <c r="T9987" s="24"/>
      <c r="U9987" s="24"/>
      <c r="V9987" s="24"/>
      <c r="W9987" s="24"/>
      <c r="X9987" s="24"/>
      <c r="Y9987" s="24"/>
      <c r="Z9987" s="24"/>
      <c r="AA9987" s="24"/>
    </row>
    <row r="9988">
      <c r="A9988" s="24"/>
      <c r="B9988" s="25"/>
      <c r="C9988" s="24"/>
      <c r="D9988" s="26"/>
      <c r="E9988" s="24"/>
      <c r="F9988" s="24"/>
      <c r="G9988" s="24"/>
      <c r="H9988" s="24"/>
      <c r="I9988" s="24"/>
      <c r="J9988" s="24"/>
      <c r="K9988" s="24"/>
      <c r="L9988" s="24"/>
      <c r="M9988" s="24"/>
      <c r="N9988" s="24"/>
      <c r="O9988" s="24"/>
      <c r="P9988" s="24"/>
      <c r="Q9988" s="24"/>
      <c r="R9988" s="24"/>
      <c r="S9988" s="24"/>
      <c r="T9988" s="24"/>
      <c r="U9988" s="24"/>
      <c r="V9988" s="24"/>
      <c r="W9988" s="24"/>
      <c r="X9988" s="24"/>
      <c r="Y9988" s="24"/>
      <c r="Z9988" s="24"/>
      <c r="AA9988" s="24"/>
    </row>
    <row r="9989">
      <c r="A9989" s="24"/>
      <c r="B9989" s="25"/>
      <c r="C9989" s="24"/>
      <c r="D9989" s="26"/>
      <c r="E9989" s="24"/>
      <c r="F9989" s="24"/>
      <c r="G9989" s="24"/>
      <c r="H9989" s="24"/>
      <c r="I9989" s="24"/>
      <c r="J9989" s="24"/>
      <c r="K9989" s="24"/>
      <c r="L9989" s="24"/>
      <c r="M9989" s="24"/>
      <c r="N9989" s="24"/>
      <c r="O9989" s="24"/>
      <c r="P9989" s="24"/>
      <c r="Q9989" s="24"/>
      <c r="R9989" s="24"/>
      <c r="S9989" s="24"/>
      <c r="T9989" s="24"/>
      <c r="U9989" s="24"/>
      <c r="V9989" s="24"/>
      <c r="W9989" s="24"/>
      <c r="X9989" s="24"/>
      <c r="Y9989" s="24"/>
      <c r="Z9989" s="24"/>
      <c r="AA9989" s="24"/>
    </row>
    <row r="9990">
      <c r="A9990" s="24"/>
      <c r="B9990" s="25"/>
      <c r="C9990" s="24"/>
      <c r="D9990" s="26"/>
      <c r="E9990" s="24"/>
      <c r="F9990" s="24"/>
      <c r="G9990" s="24"/>
      <c r="H9990" s="24"/>
      <c r="I9990" s="24"/>
      <c r="J9990" s="24"/>
      <c r="K9990" s="24"/>
      <c r="L9990" s="24"/>
      <c r="M9990" s="24"/>
      <c r="N9990" s="24"/>
      <c r="O9990" s="24"/>
      <c r="P9990" s="24"/>
      <c r="Q9990" s="24"/>
      <c r="R9990" s="24"/>
      <c r="S9990" s="24"/>
      <c r="T9990" s="24"/>
      <c r="U9990" s="24"/>
      <c r="V9990" s="24"/>
      <c r="W9990" s="24"/>
      <c r="X9990" s="24"/>
      <c r="Y9990" s="24"/>
      <c r="Z9990" s="24"/>
      <c r="AA9990" s="24"/>
    </row>
    <row r="9991">
      <c r="A9991" s="24"/>
      <c r="B9991" s="25"/>
      <c r="C9991" s="24"/>
      <c r="D9991" s="26"/>
      <c r="E9991" s="24"/>
      <c r="F9991" s="24"/>
      <c r="G9991" s="24"/>
      <c r="H9991" s="24"/>
      <c r="I9991" s="24"/>
      <c r="J9991" s="24"/>
      <c r="K9991" s="24"/>
      <c r="L9991" s="24"/>
      <c r="M9991" s="24"/>
      <c r="N9991" s="24"/>
      <c r="O9991" s="24"/>
      <c r="P9991" s="24"/>
      <c r="Q9991" s="24"/>
      <c r="R9991" s="24"/>
      <c r="S9991" s="24"/>
      <c r="T9991" s="24"/>
      <c r="U9991" s="24"/>
      <c r="V9991" s="24"/>
      <c r="W9991" s="24"/>
      <c r="X9991" s="24"/>
      <c r="Y9991" s="24"/>
      <c r="Z9991" s="24"/>
      <c r="AA9991" s="24"/>
    </row>
    <row r="9992">
      <c r="A9992" s="24"/>
      <c r="B9992" s="25"/>
      <c r="C9992" s="24"/>
      <c r="D9992" s="26"/>
      <c r="E9992" s="24"/>
      <c r="F9992" s="24"/>
      <c r="G9992" s="24"/>
      <c r="H9992" s="24"/>
      <c r="I9992" s="24"/>
      <c r="J9992" s="24"/>
      <c r="K9992" s="24"/>
      <c r="L9992" s="24"/>
      <c r="M9992" s="24"/>
      <c r="N9992" s="24"/>
      <c r="O9992" s="24"/>
      <c r="P9992" s="24"/>
      <c r="Q9992" s="24"/>
      <c r="R9992" s="24"/>
      <c r="S9992" s="24"/>
      <c r="T9992" s="24"/>
      <c r="U9992" s="24"/>
      <c r="V9992" s="24"/>
      <c r="W9992" s="24"/>
      <c r="X9992" s="24"/>
      <c r="Y9992" s="24"/>
      <c r="Z9992" s="24"/>
      <c r="AA9992" s="24"/>
    </row>
    <row r="9993">
      <c r="A9993" s="24"/>
      <c r="B9993" s="25"/>
      <c r="C9993" s="24"/>
      <c r="D9993" s="26"/>
      <c r="E9993" s="24"/>
      <c r="F9993" s="24"/>
      <c r="G9993" s="24"/>
      <c r="H9993" s="24"/>
      <c r="I9993" s="24"/>
      <c r="J9993" s="24"/>
      <c r="K9993" s="24"/>
      <c r="L9993" s="24"/>
      <c r="M9993" s="24"/>
      <c r="N9993" s="24"/>
      <c r="O9993" s="24"/>
      <c r="P9993" s="24"/>
      <c r="Q9993" s="24"/>
      <c r="R9993" s="24"/>
      <c r="S9993" s="24"/>
      <c r="T9993" s="24"/>
      <c r="U9993" s="24"/>
      <c r="V9993" s="24"/>
      <c r="W9993" s="24"/>
      <c r="X9993" s="24"/>
      <c r="Y9993" s="24"/>
      <c r="Z9993" s="24"/>
      <c r="AA9993" s="24"/>
    </row>
    <row r="9994">
      <c r="A9994" s="24"/>
      <c r="B9994" s="25"/>
      <c r="C9994" s="24"/>
      <c r="D9994" s="26"/>
      <c r="E9994" s="24"/>
      <c r="F9994" s="24"/>
      <c r="G9994" s="24"/>
      <c r="H9994" s="24"/>
      <c r="I9994" s="24"/>
      <c r="J9994" s="24"/>
      <c r="K9994" s="24"/>
      <c r="L9994" s="24"/>
      <c r="M9994" s="24"/>
      <c r="N9994" s="24"/>
      <c r="O9994" s="24"/>
      <c r="P9994" s="24"/>
      <c r="Q9994" s="24"/>
      <c r="R9994" s="24"/>
      <c r="S9994" s="24"/>
      <c r="T9994" s="24"/>
      <c r="U9994" s="24"/>
      <c r="V9994" s="24"/>
      <c r="W9994" s="24"/>
      <c r="X9994" s="24"/>
      <c r="Y9994" s="24"/>
      <c r="Z9994" s="24"/>
      <c r="AA9994" s="24"/>
    </row>
    <row r="9995">
      <c r="A9995" s="24"/>
      <c r="B9995" s="25"/>
      <c r="C9995" s="24"/>
      <c r="D9995" s="26"/>
      <c r="E9995" s="24"/>
      <c r="F9995" s="24"/>
      <c r="G9995" s="24"/>
      <c r="H9995" s="24"/>
      <c r="I9995" s="24"/>
      <c r="J9995" s="24"/>
      <c r="K9995" s="24"/>
      <c r="L9995" s="24"/>
      <c r="M9995" s="24"/>
      <c r="N9995" s="24"/>
      <c r="O9995" s="24"/>
      <c r="P9995" s="24"/>
      <c r="Q9995" s="24"/>
      <c r="R9995" s="24"/>
      <c r="S9995" s="24"/>
      <c r="T9995" s="24"/>
      <c r="U9995" s="24"/>
      <c r="V9995" s="24"/>
      <c r="W9995" s="24"/>
      <c r="X9995" s="24"/>
      <c r="Y9995" s="24"/>
      <c r="Z9995" s="24"/>
      <c r="AA9995" s="24"/>
    </row>
    <row r="9996">
      <c r="A9996" s="24"/>
      <c r="B9996" s="25"/>
      <c r="C9996" s="24"/>
      <c r="D9996" s="26"/>
      <c r="E9996" s="24"/>
      <c r="F9996" s="24"/>
      <c r="G9996" s="24"/>
      <c r="H9996" s="24"/>
      <c r="I9996" s="24"/>
      <c r="J9996" s="24"/>
      <c r="K9996" s="24"/>
      <c r="L9996" s="24"/>
      <c r="M9996" s="24"/>
      <c r="N9996" s="24"/>
      <c r="O9996" s="24"/>
      <c r="P9996" s="24"/>
      <c r="Q9996" s="24"/>
      <c r="R9996" s="24"/>
      <c r="S9996" s="24"/>
      <c r="T9996" s="24"/>
      <c r="U9996" s="24"/>
      <c r="V9996" s="24"/>
      <c r="W9996" s="24"/>
      <c r="X9996" s="24"/>
      <c r="Y9996" s="24"/>
      <c r="Z9996" s="24"/>
      <c r="AA9996" s="24"/>
    </row>
    <row r="9997">
      <c r="A9997" s="24"/>
      <c r="B9997" s="25"/>
      <c r="C9997" s="24"/>
      <c r="D9997" s="26"/>
      <c r="E9997" s="24"/>
      <c r="F9997" s="24"/>
      <c r="G9997" s="24"/>
      <c r="H9997" s="24"/>
      <c r="I9997" s="24"/>
      <c r="J9997" s="24"/>
      <c r="K9997" s="24"/>
      <c r="L9997" s="24"/>
      <c r="M9997" s="24"/>
      <c r="N9997" s="24"/>
      <c r="O9997" s="24"/>
      <c r="P9997" s="24"/>
      <c r="Q9997" s="24"/>
      <c r="R9997" s="24"/>
      <c r="S9997" s="24"/>
      <c r="T9997" s="24"/>
      <c r="U9997" s="24"/>
      <c r="V9997" s="24"/>
      <c r="W9997" s="24"/>
      <c r="X9997" s="24"/>
      <c r="Y9997" s="24"/>
      <c r="Z9997" s="24"/>
      <c r="AA9997" s="24"/>
    </row>
    <row r="9998">
      <c r="A9998" s="24"/>
      <c r="B9998" s="25"/>
      <c r="C9998" s="24"/>
      <c r="D9998" s="26"/>
      <c r="E9998" s="24"/>
      <c r="F9998" s="24"/>
      <c r="G9998" s="24"/>
      <c r="H9998" s="24"/>
      <c r="I9998" s="24"/>
      <c r="J9998" s="24"/>
      <c r="K9998" s="24"/>
      <c r="L9998" s="24"/>
      <c r="M9998" s="24"/>
      <c r="N9998" s="24"/>
      <c r="O9998" s="24"/>
      <c r="P9998" s="24"/>
      <c r="Q9998" s="24"/>
      <c r="R9998" s="24"/>
      <c r="S9998" s="24"/>
      <c r="T9998" s="24"/>
      <c r="U9998" s="24"/>
      <c r="V9998" s="24"/>
      <c r="W9998" s="24"/>
      <c r="X9998" s="24"/>
      <c r="Y9998" s="24"/>
      <c r="Z9998" s="24"/>
      <c r="AA9998" s="24"/>
    </row>
    <row r="9999">
      <c r="A9999" s="24"/>
      <c r="B9999" s="25"/>
      <c r="C9999" s="24"/>
      <c r="D9999" s="26"/>
      <c r="E9999" s="24"/>
      <c r="F9999" s="24"/>
      <c r="G9999" s="24"/>
      <c r="H9999" s="24"/>
      <c r="I9999" s="24"/>
      <c r="J9999" s="24"/>
      <c r="K9999" s="24"/>
      <c r="L9999" s="24"/>
      <c r="M9999" s="24"/>
      <c r="N9999" s="24"/>
      <c r="O9999" s="24"/>
      <c r="P9999" s="24"/>
      <c r="Q9999" s="24"/>
      <c r="R9999" s="24"/>
      <c r="S9999" s="24"/>
      <c r="T9999" s="24"/>
      <c r="U9999" s="24"/>
      <c r="V9999" s="24"/>
      <c r="W9999" s="24"/>
      <c r="X9999" s="24"/>
      <c r="Y9999" s="24"/>
      <c r="Z9999" s="24"/>
      <c r="AA9999" s="24"/>
    </row>
    <row r="10000">
      <c r="A10000" s="24"/>
      <c r="B10000" s="25"/>
      <c r="C10000" s="24"/>
      <c r="D10000" s="26"/>
      <c r="E10000" s="24"/>
      <c r="F10000" s="24"/>
      <c r="G10000" s="24"/>
      <c r="H10000" s="24"/>
      <c r="I10000" s="24"/>
      <c r="J10000" s="24"/>
      <c r="K10000" s="24"/>
      <c r="L10000" s="24"/>
      <c r="M10000" s="24"/>
      <c r="N10000" s="24"/>
      <c r="O10000" s="24"/>
      <c r="P10000" s="24"/>
      <c r="Q10000" s="24"/>
      <c r="R10000" s="24"/>
      <c r="S10000" s="24"/>
      <c r="T10000" s="24"/>
      <c r="U10000" s="24"/>
      <c r="V10000" s="24"/>
      <c r="W10000" s="24"/>
      <c r="X10000" s="24"/>
      <c r="Y10000" s="24"/>
      <c r="Z10000" s="24"/>
      <c r="AA10000" s="24"/>
    </row>
    <row r="10001">
      <c r="A10001" s="24"/>
      <c r="B10001" s="25"/>
      <c r="C10001" s="24"/>
      <c r="D10001" s="26"/>
      <c r="E10001" s="24"/>
      <c r="F10001" s="24"/>
      <c r="G10001" s="24"/>
      <c r="H10001" s="24"/>
      <c r="I10001" s="24"/>
      <c r="J10001" s="24"/>
      <c r="K10001" s="24"/>
      <c r="L10001" s="24"/>
      <c r="M10001" s="24"/>
      <c r="N10001" s="24"/>
      <c r="O10001" s="24"/>
      <c r="P10001" s="24"/>
      <c r="Q10001" s="24"/>
      <c r="R10001" s="24"/>
      <c r="S10001" s="24"/>
      <c r="T10001" s="24"/>
      <c r="U10001" s="24"/>
      <c r="V10001" s="24"/>
      <c r="W10001" s="24"/>
      <c r="X10001" s="24"/>
      <c r="Y10001" s="24"/>
      <c r="Z10001" s="24"/>
      <c r="AA10001" s="24"/>
    </row>
    <row r="10002">
      <c r="A10002" s="24"/>
      <c r="B10002" s="25"/>
      <c r="C10002" s="24"/>
      <c r="D10002" s="26"/>
      <c r="E10002" s="24"/>
      <c r="F10002" s="24"/>
      <c r="G10002" s="24"/>
      <c r="H10002" s="24"/>
      <c r="I10002" s="24"/>
      <c r="J10002" s="24"/>
      <c r="K10002" s="24"/>
      <c r="L10002" s="24"/>
      <c r="M10002" s="24"/>
      <c r="N10002" s="24"/>
      <c r="O10002" s="24"/>
      <c r="P10002" s="24"/>
      <c r="Q10002" s="24"/>
      <c r="R10002" s="24"/>
      <c r="S10002" s="24"/>
      <c r="T10002" s="24"/>
      <c r="U10002" s="24"/>
      <c r="V10002" s="24"/>
      <c r="W10002" s="24"/>
      <c r="X10002" s="24"/>
      <c r="Y10002" s="24"/>
      <c r="Z10002" s="24"/>
      <c r="AA10002" s="24"/>
    </row>
    <row r="10003">
      <c r="A10003" s="24"/>
      <c r="B10003" s="25"/>
      <c r="C10003" s="24"/>
      <c r="D10003" s="26"/>
      <c r="E10003" s="24"/>
      <c r="F10003" s="24"/>
      <c r="G10003" s="24"/>
      <c r="H10003" s="24"/>
      <c r="I10003" s="24"/>
      <c r="J10003" s="24"/>
      <c r="K10003" s="24"/>
      <c r="L10003" s="24"/>
      <c r="M10003" s="24"/>
      <c r="N10003" s="24"/>
      <c r="O10003" s="24"/>
      <c r="P10003" s="24"/>
      <c r="Q10003" s="24"/>
      <c r="R10003" s="24"/>
      <c r="S10003" s="24"/>
      <c r="T10003" s="24"/>
      <c r="U10003" s="24"/>
      <c r="V10003" s="24"/>
      <c r="W10003" s="24"/>
      <c r="X10003" s="24"/>
      <c r="Y10003" s="24"/>
      <c r="Z10003" s="24"/>
      <c r="AA10003" s="24"/>
    </row>
    <row r="10004">
      <c r="A10004" s="24"/>
      <c r="B10004" s="25"/>
      <c r="C10004" s="24"/>
      <c r="D10004" s="26"/>
      <c r="E10004" s="24"/>
      <c r="F10004" s="24"/>
      <c r="G10004" s="24"/>
      <c r="H10004" s="24"/>
      <c r="I10004" s="24"/>
      <c r="J10004" s="24"/>
      <c r="K10004" s="24"/>
      <c r="L10004" s="24"/>
      <c r="M10004" s="24"/>
      <c r="N10004" s="24"/>
      <c r="O10004" s="24"/>
      <c r="P10004" s="24"/>
      <c r="Q10004" s="24"/>
      <c r="R10004" s="24"/>
      <c r="S10004" s="24"/>
      <c r="T10004" s="24"/>
      <c r="U10004" s="24"/>
      <c r="V10004" s="24"/>
      <c r="W10004" s="24"/>
      <c r="X10004" s="24"/>
      <c r="Y10004" s="24"/>
      <c r="Z10004" s="24"/>
      <c r="AA10004" s="24"/>
    </row>
    <row r="10005">
      <c r="A10005" s="24"/>
      <c r="B10005" s="25"/>
      <c r="C10005" s="24"/>
      <c r="D10005" s="26"/>
      <c r="E10005" s="24"/>
      <c r="F10005" s="24"/>
      <c r="G10005" s="24"/>
      <c r="H10005" s="24"/>
      <c r="I10005" s="24"/>
      <c r="J10005" s="24"/>
      <c r="K10005" s="24"/>
      <c r="L10005" s="24"/>
      <c r="M10005" s="24"/>
      <c r="N10005" s="24"/>
      <c r="O10005" s="24"/>
      <c r="P10005" s="24"/>
      <c r="Q10005" s="24"/>
      <c r="R10005" s="24"/>
      <c r="S10005" s="24"/>
      <c r="T10005" s="24"/>
      <c r="U10005" s="24"/>
      <c r="V10005" s="24"/>
      <c r="W10005" s="24"/>
      <c r="X10005" s="24"/>
      <c r="Y10005" s="24"/>
      <c r="Z10005" s="24"/>
      <c r="AA10005" s="24"/>
    </row>
    <row r="10006">
      <c r="A10006" s="24"/>
      <c r="B10006" s="25"/>
      <c r="C10006" s="24"/>
      <c r="D10006" s="26"/>
      <c r="E10006" s="24"/>
      <c r="F10006" s="24"/>
      <c r="G10006" s="24"/>
      <c r="H10006" s="24"/>
      <c r="I10006" s="24"/>
      <c r="J10006" s="24"/>
      <c r="K10006" s="24"/>
      <c r="L10006" s="24"/>
      <c r="M10006" s="24"/>
      <c r="N10006" s="24"/>
      <c r="O10006" s="24"/>
      <c r="P10006" s="24"/>
      <c r="Q10006" s="24"/>
      <c r="R10006" s="24"/>
      <c r="S10006" s="24"/>
      <c r="T10006" s="24"/>
      <c r="U10006" s="24"/>
      <c r="V10006" s="24"/>
      <c r="W10006" s="24"/>
      <c r="X10006" s="24"/>
      <c r="Y10006" s="24"/>
      <c r="Z10006" s="24"/>
      <c r="AA10006" s="24"/>
    </row>
    <row r="10007">
      <c r="A10007" s="24"/>
      <c r="B10007" s="25"/>
      <c r="C10007" s="24"/>
      <c r="D10007" s="26"/>
      <c r="E10007" s="24"/>
      <c r="F10007" s="24"/>
      <c r="G10007" s="24"/>
      <c r="H10007" s="24"/>
      <c r="I10007" s="24"/>
      <c r="J10007" s="24"/>
      <c r="K10007" s="24"/>
      <c r="L10007" s="24"/>
      <c r="M10007" s="24"/>
      <c r="N10007" s="24"/>
      <c r="O10007" s="24"/>
      <c r="P10007" s="24"/>
      <c r="Q10007" s="24"/>
      <c r="R10007" s="24"/>
      <c r="S10007" s="24"/>
      <c r="T10007" s="24"/>
      <c r="U10007" s="24"/>
      <c r="V10007" s="24"/>
      <c r="W10007" s="24"/>
      <c r="X10007" s="24"/>
      <c r="Y10007" s="24"/>
      <c r="Z10007" s="24"/>
      <c r="AA10007" s="24"/>
    </row>
    <row r="10008">
      <c r="A10008" s="24"/>
      <c r="B10008" s="25"/>
      <c r="C10008" s="24"/>
      <c r="D10008" s="26"/>
      <c r="E10008" s="24"/>
      <c r="F10008" s="24"/>
      <c r="G10008" s="24"/>
      <c r="H10008" s="24"/>
      <c r="I10008" s="24"/>
      <c r="J10008" s="24"/>
      <c r="K10008" s="24"/>
      <c r="L10008" s="24"/>
      <c r="M10008" s="24"/>
      <c r="N10008" s="24"/>
      <c r="O10008" s="24"/>
      <c r="P10008" s="24"/>
      <c r="Q10008" s="24"/>
      <c r="R10008" s="24"/>
      <c r="S10008" s="24"/>
      <c r="T10008" s="24"/>
      <c r="U10008" s="24"/>
      <c r="V10008" s="24"/>
      <c r="W10008" s="24"/>
      <c r="X10008" s="24"/>
      <c r="Y10008" s="24"/>
      <c r="Z10008" s="24"/>
      <c r="AA10008" s="24"/>
    </row>
    <row r="10009">
      <c r="A10009" s="24"/>
      <c r="B10009" s="25"/>
      <c r="C10009" s="24"/>
      <c r="D10009" s="26"/>
      <c r="E10009" s="24"/>
      <c r="F10009" s="24"/>
      <c r="G10009" s="24"/>
      <c r="H10009" s="24"/>
      <c r="I10009" s="24"/>
      <c r="J10009" s="24"/>
      <c r="K10009" s="24"/>
      <c r="L10009" s="24"/>
      <c r="M10009" s="24"/>
      <c r="N10009" s="24"/>
      <c r="O10009" s="24"/>
      <c r="P10009" s="24"/>
      <c r="Q10009" s="24"/>
      <c r="R10009" s="24"/>
      <c r="S10009" s="24"/>
      <c r="T10009" s="24"/>
      <c r="U10009" s="24"/>
      <c r="V10009" s="24"/>
      <c r="W10009" s="24"/>
      <c r="X10009" s="24"/>
      <c r="Y10009" s="24"/>
      <c r="Z10009" s="24"/>
      <c r="AA10009" s="24"/>
    </row>
    <row r="10010">
      <c r="A10010" s="24"/>
      <c r="B10010" s="25"/>
      <c r="C10010" s="24"/>
      <c r="D10010" s="26"/>
      <c r="E10010" s="24"/>
      <c r="F10010" s="24"/>
      <c r="G10010" s="24"/>
      <c r="H10010" s="24"/>
      <c r="I10010" s="24"/>
      <c r="J10010" s="24"/>
      <c r="K10010" s="24"/>
      <c r="L10010" s="24"/>
      <c r="M10010" s="24"/>
      <c r="N10010" s="24"/>
      <c r="O10010" s="24"/>
      <c r="P10010" s="24"/>
      <c r="Q10010" s="24"/>
      <c r="R10010" s="24"/>
      <c r="S10010" s="24"/>
      <c r="T10010" s="24"/>
      <c r="U10010" s="24"/>
      <c r="V10010" s="24"/>
      <c r="W10010" s="24"/>
      <c r="X10010" s="24"/>
      <c r="Y10010" s="24"/>
      <c r="Z10010" s="24"/>
      <c r="AA10010" s="24"/>
    </row>
    <row r="10011">
      <c r="A10011" s="24"/>
      <c r="B10011" s="25"/>
      <c r="C10011" s="24"/>
      <c r="D10011" s="26"/>
      <c r="E10011" s="24"/>
      <c r="F10011" s="24"/>
      <c r="G10011" s="24"/>
      <c r="H10011" s="24"/>
      <c r="I10011" s="24"/>
      <c r="J10011" s="24"/>
      <c r="K10011" s="24"/>
      <c r="L10011" s="24"/>
      <c r="M10011" s="24"/>
      <c r="N10011" s="24"/>
      <c r="O10011" s="24"/>
      <c r="P10011" s="24"/>
      <c r="Q10011" s="24"/>
      <c r="R10011" s="24"/>
      <c r="S10011" s="24"/>
      <c r="T10011" s="24"/>
      <c r="U10011" s="24"/>
      <c r="V10011" s="24"/>
      <c r="W10011" s="24"/>
      <c r="X10011" s="24"/>
      <c r="Y10011" s="24"/>
      <c r="Z10011" s="24"/>
      <c r="AA10011" s="24"/>
    </row>
    <row r="10012">
      <c r="A10012" s="24"/>
      <c r="B10012" s="25"/>
      <c r="C10012" s="24"/>
      <c r="D10012" s="26"/>
      <c r="E10012" s="24"/>
      <c r="F10012" s="24"/>
      <c r="G10012" s="24"/>
      <c r="H10012" s="24"/>
      <c r="I10012" s="24"/>
      <c r="J10012" s="24"/>
      <c r="K10012" s="24"/>
      <c r="L10012" s="24"/>
      <c r="M10012" s="24"/>
      <c r="N10012" s="24"/>
      <c r="O10012" s="24"/>
      <c r="P10012" s="24"/>
      <c r="Q10012" s="24"/>
      <c r="R10012" s="24"/>
      <c r="S10012" s="24"/>
      <c r="T10012" s="24"/>
      <c r="U10012" s="24"/>
      <c r="V10012" s="24"/>
      <c r="W10012" s="24"/>
      <c r="X10012" s="24"/>
      <c r="Y10012" s="24"/>
      <c r="Z10012" s="24"/>
      <c r="AA10012" s="24"/>
    </row>
    <row r="10013">
      <c r="A10013" s="24"/>
      <c r="B10013" s="25"/>
      <c r="C10013" s="24"/>
      <c r="D10013" s="26"/>
      <c r="E10013" s="24"/>
      <c r="F10013" s="24"/>
      <c r="G10013" s="24"/>
      <c r="H10013" s="24"/>
      <c r="I10013" s="24"/>
      <c r="J10013" s="24"/>
      <c r="K10013" s="24"/>
      <c r="L10013" s="24"/>
      <c r="M10013" s="24"/>
      <c r="N10013" s="24"/>
      <c r="O10013" s="24"/>
      <c r="P10013" s="24"/>
      <c r="Q10013" s="24"/>
      <c r="R10013" s="24"/>
      <c r="S10013" s="24"/>
      <c r="T10013" s="24"/>
      <c r="U10013" s="24"/>
      <c r="V10013" s="24"/>
      <c r="W10013" s="24"/>
      <c r="X10013" s="24"/>
      <c r="Y10013" s="24"/>
      <c r="Z10013" s="24"/>
      <c r="AA10013" s="24"/>
    </row>
    <row r="10014">
      <c r="A10014" s="24"/>
      <c r="B10014" s="25"/>
      <c r="C10014" s="24"/>
      <c r="D10014" s="26"/>
      <c r="E10014" s="24"/>
      <c r="F10014" s="24"/>
      <c r="G10014" s="24"/>
      <c r="H10014" s="24"/>
      <c r="I10014" s="24"/>
      <c r="J10014" s="24"/>
      <c r="K10014" s="24"/>
      <c r="L10014" s="24"/>
      <c r="M10014" s="24"/>
      <c r="N10014" s="24"/>
      <c r="O10014" s="24"/>
      <c r="P10014" s="24"/>
      <c r="Q10014" s="24"/>
      <c r="R10014" s="24"/>
      <c r="S10014" s="24"/>
      <c r="T10014" s="24"/>
      <c r="U10014" s="24"/>
      <c r="V10014" s="24"/>
      <c r="W10014" s="24"/>
      <c r="X10014" s="24"/>
      <c r="Y10014" s="24"/>
      <c r="Z10014" s="24"/>
      <c r="AA10014" s="24"/>
    </row>
    <row r="10015">
      <c r="A10015" s="24"/>
      <c r="B10015" s="25"/>
      <c r="C10015" s="24"/>
      <c r="D10015" s="26"/>
      <c r="E10015" s="24"/>
      <c r="F10015" s="24"/>
      <c r="G10015" s="24"/>
      <c r="H10015" s="24"/>
      <c r="I10015" s="24"/>
      <c r="J10015" s="24"/>
      <c r="K10015" s="24"/>
      <c r="L10015" s="24"/>
      <c r="M10015" s="24"/>
      <c r="N10015" s="24"/>
      <c r="O10015" s="24"/>
      <c r="P10015" s="24"/>
      <c r="Q10015" s="24"/>
      <c r="R10015" s="24"/>
      <c r="S10015" s="24"/>
      <c r="T10015" s="24"/>
      <c r="U10015" s="24"/>
      <c r="V10015" s="24"/>
      <c r="W10015" s="24"/>
      <c r="X10015" s="24"/>
      <c r="Y10015" s="24"/>
      <c r="Z10015" s="24"/>
      <c r="AA10015" s="24"/>
    </row>
    <row r="10016">
      <c r="A10016" s="24"/>
      <c r="B10016" s="25"/>
      <c r="C10016" s="24"/>
      <c r="D10016" s="26"/>
      <c r="E10016" s="24"/>
      <c r="F10016" s="24"/>
      <c r="G10016" s="24"/>
      <c r="H10016" s="24"/>
      <c r="I10016" s="24"/>
      <c r="J10016" s="24"/>
      <c r="K10016" s="24"/>
      <c r="L10016" s="24"/>
      <c r="M10016" s="24"/>
      <c r="N10016" s="24"/>
      <c r="O10016" s="24"/>
      <c r="P10016" s="24"/>
      <c r="Q10016" s="24"/>
      <c r="R10016" s="24"/>
      <c r="S10016" s="24"/>
      <c r="T10016" s="24"/>
      <c r="U10016" s="24"/>
      <c r="V10016" s="24"/>
      <c r="W10016" s="24"/>
      <c r="X10016" s="24"/>
      <c r="Y10016" s="24"/>
      <c r="Z10016" s="24"/>
      <c r="AA10016" s="24"/>
    </row>
    <row r="10017">
      <c r="A10017" s="24"/>
      <c r="B10017" s="25"/>
      <c r="C10017" s="24"/>
      <c r="D10017" s="26"/>
      <c r="E10017" s="24"/>
      <c r="F10017" s="24"/>
      <c r="G10017" s="24"/>
      <c r="H10017" s="24"/>
      <c r="I10017" s="24"/>
      <c r="J10017" s="24"/>
      <c r="K10017" s="24"/>
      <c r="L10017" s="24"/>
      <c r="M10017" s="24"/>
      <c r="N10017" s="24"/>
      <c r="O10017" s="24"/>
      <c r="P10017" s="24"/>
      <c r="Q10017" s="24"/>
      <c r="R10017" s="24"/>
      <c r="S10017" s="24"/>
      <c r="T10017" s="24"/>
      <c r="U10017" s="24"/>
      <c r="V10017" s="24"/>
      <c r="W10017" s="24"/>
      <c r="X10017" s="24"/>
      <c r="Y10017" s="24"/>
      <c r="Z10017" s="24"/>
      <c r="AA10017" s="24"/>
    </row>
    <row r="10018">
      <c r="A10018" s="24"/>
      <c r="B10018" s="25"/>
      <c r="C10018" s="24"/>
      <c r="D10018" s="26"/>
      <c r="E10018" s="24"/>
      <c r="F10018" s="24"/>
      <c r="G10018" s="24"/>
      <c r="H10018" s="24"/>
      <c r="I10018" s="24"/>
      <c r="J10018" s="24"/>
      <c r="K10018" s="24"/>
      <c r="L10018" s="24"/>
      <c r="M10018" s="24"/>
      <c r="N10018" s="24"/>
      <c r="O10018" s="24"/>
      <c r="P10018" s="24"/>
      <c r="Q10018" s="24"/>
      <c r="R10018" s="24"/>
      <c r="S10018" s="24"/>
      <c r="T10018" s="24"/>
      <c r="U10018" s="24"/>
      <c r="V10018" s="24"/>
      <c r="W10018" s="24"/>
      <c r="X10018" s="24"/>
      <c r="Y10018" s="24"/>
      <c r="Z10018" s="24"/>
      <c r="AA10018" s="24"/>
    </row>
    <row r="10019">
      <c r="A10019" s="24"/>
      <c r="B10019" s="25"/>
      <c r="C10019" s="24"/>
      <c r="D10019" s="26"/>
      <c r="E10019" s="24"/>
      <c r="F10019" s="24"/>
      <c r="G10019" s="24"/>
      <c r="H10019" s="24"/>
      <c r="I10019" s="24"/>
      <c r="J10019" s="24"/>
      <c r="K10019" s="24"/>
      <c r="L10019" s="24"/>
      <c r="M10019" s="24"/>
      <c r="N10019" s="24"/>
      <c r="O10019" s="24"/>
      <c r="P10019" s="24"/>
      <c r="Q10019" s="24"/>
      <c r="R10019" s="24"/>
      <c r="S10019" s="24"/>
      <c r="T10019" s="24"/>
      <c r="U10019" s="24"/>
      <c r="V10019" s="24"/>
      <c r="W10019" s="24"/>
      <c r="X10019" s="24"/>
      <c r="Y10019" s="24"/>
      <c r="Z10019" s="24"/>
      <c r="AA10019" s="24"/>
    </row>
    <row r="10020">
      <c r="A10020" s="24"/>
      <c r="B10020" s="25"/>
      <c r="C10020" s="24"/>
      <c r="D10020" s="26"/>
      <c r="E10020" s="24"/>
      <c r="F10020" s="24"/>
      <c r="G10020" s="24"/>
      <c r="H10020" s="24"/>
      <c r="I10020" s="24"/>
      <c r="J10020" s="24"/>
      <c r="K10020" s="24"/>
      <c r="L10020" s="24"/>
      <c r="M10020" s="24"/>
      <c r="N10020" s="24"/>
      <c r="O10020" s="24"/>
      <c r="P10020" s="24"/>
      <c r="Q10020" s="24"/>
      <c r="R10020" s="24"/>
      <c r="S10020" s="24"/>
      <c r="T10020" s="24"/>
      <c r="U10020" s="24"/>
      <c r="V10020" s="24"/>
      <c r="W10020" s="24"/>
      <c r="X10020" s="24"/>
      <c r="Y10020" s="24"/>
      <c r="Z10020" s="24"/>
      <c r="AA10020" s="24"/>
    </row>
    <row r="10021">
      <c r="A10021" s="24"/>
      <c r="B10021" s="25"/>
      <c r="C10021" s="24"/>
      <c r="D10021" s="26"/>
      <c r="E10021" s="24"/>
      <c r="F10021" s="24"/>
      <c r="G10021" s="24"/>
      <c r="H10021" s="24"/>
      <c r="I10021" s="24"/>
      <c r="J10021" s="24"/>
      <c r="K10021" s="24"/>
      <c r="L10021" s="24"/>
      <c r="M10021" s="24"/>
      <c r="N10021" s="24"/>
      <c r="O10021" s="24"/>
      <c r="P10021" s="24"/>
      <c r="Q10021" s="24"/>
      <c r="R10021" s="24"/>
      <c r="S10021" s="24"/>
      <c r="T10021" s="24"/>
      <c r="U10021" s="24"/>
      <c r="V10021" s="24"/>
      <c r="W10021" s="24"/>
      <c r="X10021" s="24"/>
      <c r="Y10021" s="24"/>
      <c r="Z10021" s="24"/>
      <c r="AA10021" s="24"/>
    </row>
    <row r="10022">
      <c r="A10022" s="24"/>
      <c r="B10022" s="25"/>
      <c r="C10022" s="24"/>
      <c r="D10022" s="26"/>
      <c r="E10022" s="24"/>
      <c r="F10022" s="24"/>
      <c r="G10022" s="24"/>
      <c r="H10022" s="24"/>
      <c r="I10022" s="24"/>
      <c r="J10022" s="24"/>
      <c r="K10022" s="24"/>
      <c r="L10022" s="24"/>
      <c r="M10022" s="24"/>
      <c r="N10022" s="24"/>
      <c r="O10022" s="24"/>
      <c r="P10022" s="24"/>
      <c r="Q10022" s="24"/>
      <c r="R10022" s="24"/>
      <c r="S10022" s="24"/>
      <c r="T10022" s="24"/>
      <c r="U10022" s="24"/>
      <c r="V10022" s="24"/>
      <c r="W10022" s="24"/>
      <c r="X10022" s="24"/>
      <c r="Y10022" s="24"/>
      <c r="Z10022" s="24"/>
      <c r="AA10022" s="24"/>
    </row>
    <row r="10023">
      <c r="A10023" s="24"/>
      <c r="B10023" s="25"/>
      <c r="C10023" s="24"/>
      <c r="D10023" s="26"/>
      <c r="E10023" s="24"/>
      <c r="F10023" s="24"/>
      <c r="G10023" s="24"/>
      <c r="H10023" s="24"/>
      <c r="I10023" s="24"/>
      <c r="J10023" s="24"/>
      <c r="K10023" s="24"/>
      <c r="L10023" s="24"/>
      <c r="M10023" s="24"/>
      <c r="N10023" s="24"/>
      <c r="O10023" s="24"/>
      <c r="P10023" s="24"/>
      <c r="Q10023" s="24"/>
      <c r="R10023" s="24"/>
      <c r="S10023" s="24"/>
      <c r="T10023" s="24"/>
      <c r="U10023" s="24"/>
      <c r="V10023" s="24"/>
      <c r="W10023" s="24"/>
      <c r="X10023" s="24"/>
      <c r="Y10023" s="24"/>
      <c r="Z10023" s="24"/>
      <c r="AA10023" s="24"/>
    </row>
    <row r="10024">
      <c r="A10024" s="24"/>
      <c r="B10024" s="25"/>
      <c r="C10024" s="24"/>
      <c r="D10024" s="26"/>
      <c r="E10024" s="24"/>
      <c r="F10024" s="24"/>
      <c r="G10024" s="24"/>
      <c r="H10024" s="24"/>
      <c r="I10024" s="24"/>
      <c r="J10024" s="24"/>
      <c r="K10024" s="24"/>
      <c r="L10024" s="24"/>
      <c r="M10024" s="24"/>
      <c r="N10024" s="24"/>
      <c r="O10024" s="24"/>
      <c r="P10024" s="24"/>
      <c r="Q10024" s="24"/>
      <c r="R10024" s="24"/>
      <c r="S10024" s="24"/>
      <c r="T10024" s="24"/>
      <c r="U10024" s="24"/>
      <c r="V10024" s="24"/>
      <c r="W10024" s="24"/>
      <c r="X10024" s="24"/>
      <c r="Y10024" s="24"/>
      <c r="Z10024" s="24"/>
      <c r="AA10024" s="24"/>
    </row>
    <row r="10025">
      <c r="A10025" s="24"/>
      <c r="B10025" s="25"/>
      <c r="C10025" s="24"/>
      <c r="D10025" s="26"/>
      <c r="E10025" s="24"/>
      <c r="F10025" s="24"/>
      <c r="G10025" s="24"/>
      <c r="H10025" s="24"/>
      <c r="I10025" s="24"/>
      <c r="J10025" s="24"/>
      <c r="K10025" s="24"/>
      <c r="L10025" s="24"/>
      <c r="M10025" s="24"/>
      <c r="N10025" s="24"/>
      <c r="O10025" s="24"/>
      <c r="P10025" s="24"/>
      <c r="Q10025" s="24"/>
      <c r="R10025" s="24"/>
      <c r="S10025" s="24"/>
      <c r="T10025" s="24"/>
      <c r="U10025" s="24"/>
      <c r="V10025" s="24"/>
      <c r="W10025" s="24"/>
      <c r="X10025" s="24"/>
      <c r="Y10025" s="24"/>
      <c r="Z10025" s="24"/>
      <c r="AA10025" s="24"/>
    </row>
    <row r="10026">
      <c r="A10026" s="24"/>
      <c r="B10026" s="25"/>
      <c r="C10026" s="24"/>
      <c r="D10026" s="26"/>
      <c r="E10026" s="24"/>
      <c r="F10026" s="24"/>
      <c r="G10026" s="24"/>
      <c r="H10026" s="24"/>
      <c r="I10026" s="24"/>
      <c r="J10026" s="24"/>
      <c r="K10026" s="24"/>
      <c r="L10026" s="24"/>
      <c r="M10026" s="24"/>
      <c r="N10026" s="24"/>
      <c r="O10026" s="24"/>
      <c r="P10026" s="24"/>
      <c r="Q10026" s="24"/>
      <c r="R10026" s="24"/>
      <c r="S10026" s="24"/>
      <c r="T10026" s="24"/>
      <c r="U10026" s="24"/>
      <c r="V10026" s="24"/>
      <c r="W10026" s="24"/>
      <c r="X10026" s="24"/>
      <c r="Y10026" s="24"/>
      <c r="Z10026" s="24"/>
      <c r="AA10026" s="24"/>
    </row>
    <row r="10027">
      <c r="A10027" s="24"/>
      <c r="B10027" s="25"/>
      <c r="C10027" s="24"/>
      <c r="D10027" s="26"/>
      <c r="E10027" s="24"/>
      <c r="F10027" s="24"/>
      <c r="G10027" s="24"/>
      <c r="H10027" s="24"/>
      <c r="I10027" s="24"/>
      <c r="J10027" s="24"/>
      <c r="K10027" s="24"/>
      <c r="L10027" s="24"/>
      <c r="M10027" s="24"/>
      <c r="N10027" s="24"/>
      <c r="O10027" s="24"/>
      <c r="P10027" s="24"/>
      <c r="Q10027" s="24"/>
      <c r="R10027" s="24"/>
      <c r="S10027" s="24"/>
      <c r="T10027" s="24"/>
      <c r="U10027" s="24"/>
      <c r="V10027" s="24"/>
      <c r="W10027" s="24"/>
      <c r="X10027" s="24"/>
      <c r="Y10027" s="24"/>
      <c r="Z10027" s="24"/>
      <c r="AA10027" s="24"/>
    </row>
    <row r="10028">
      <c r="A10028" s="24"/>
      <c r="B10028" s="25"/>
      <c r="C10028" s="24"/>
      <c r="D10028" s="26"/>
      <c r="E10028" s="24"/>
      <c r="F10028" s="24"/>
      <c r="G10028" s="24"/>
      <c r="H10028" s="24"/>
      <c r="I10028" s="24"/>
      <c r="J10028" s="24"/>
      <c r="K10028" s="24"/>
      <c r="L10028" s="24"/>
      <c r="M10028" s="24"/>
      <c r="N10028" s="24"/>
      <c r="O10028" s="24"/>
      <c r="P10028" s="24"/>
      <c r="Q10028" s="24"/>
      <c r="R10028" s="24"/>
      <c r="S10028" s="24"/>
      <c r="T10028" s="24"/>
      <c r="U10028" s="24"/>
      <c r="V10028" s="24"/>
      <c r="W10028" s="24"/>
      <c r="X10028" s="24"/>
      <c r="Y10028" s="24"/>
      <c r="Z10028" s="24"/>
      <c r="AA10028" s="24"/>
    </row>
    <row r="10029">
      <c r="A10029" s="24"/>
      <c r="B10029" s="25"/>
      <c r="C10029" s="24"/>
      <c r="D10029" s="26"/>
      <c r="E10029" s="24"/>
      <c r="F10029" s="24"/>
      <c r="G10029" s="24"/>
      <c r="H10029" s="24"/>
      <c r="I10029" s="24"/>
      <c r="J10029" s="24"/>
      <c r="K10029" s="24"/>
      <c r="L10029" s="24"/>
      <c r="M10029" s="24"/>
      <c r="N10029" s="24"/>
      <c r="O10029" s="24"/>
      <c r="P10029" s="24"/>
      <c r="Q10029" s="24"/>
      <c r="R10029" s="24"/>
      <c r="S10029" s="24"/>
      <c r="T10029" s="24"/>
      <c r="U10029" s="24"/>
      <c r="V10029" s="24"/>
      <c r="W10029" s="24"/>
      <c r="X10029" s="24"/>
      <c r="Y10029" s="24"/>
      <c r="Z10029" s="24"/>
      <c r="AA10029" s="24"/>
    </row>
    <row r="10030">
      <c r="A10030" s="24"/>
      <c r="B10030" s="25"/>
      <c r="C10030" s="24"/>
      <c r="D10030" s="26"/>
      <c r="E10030" s="24"/>
      <c r="F10030" s="24"/>
      <c r="G10030" s="24"/>
      <c r="H10030" s="24"/>
      <c r="I10030" s="24"/>
      <c r="J10030" s="24"/>
      <c r="K10030" s="24"/>
      <c r="L10030" s="24"/>
      <c r="M10030" s="24"/>
      <c r="N10030" s="24"/>
      <c r="O10030" s="24"/>
      <c r="P10030" s="24"/>
      <c r="Q10030" s="24"/>
      <c r="R10030" s="24"/>
      <c r="S10030" s="24"/>
      <c r="T10030" s="24"/>
      <c r="U10030" s="24"/>
      <c r="V10030" s="24"/>
      <c r="W10030" s="24"/>
      <c r="X10030" s="24"/>
      <c r="Y10030" s="24"/>
      <c r="Z10030" s="24"/>
      <c r="AA10030" s="24"/>
    </row>
    <row r="10031">
      <c r="A10031" s="24"/>
      <c r="B10031" s="25"/>
      <c r="C10031" s="24"/>
      <c r="D10031" s="26"/>
      <c r="E10031" s="24"/>
      <c r="F10031" s="24"/>
      <c r="G10031" s="24"/>
      <c r="H10031" s="24"/>
      <c r="I10031" s="24"/>
      <c r="J10031" s="24"/>
      <c r="K10031" s="24"/>
      <c r="L10031" s="24"/>
      <c r="M10031" s="24"/>
      <c r="N10031" s="24"/>
      <c r="O10031" s="24"/>
      <c r="P10031" s="24"/>
      <c r="Q10031" s="24"/>
      <c r="R10031" s="24"/>
      <c r="S10031" s="24"/>
      <c r="T10031" s="24"/>
      <c r="U10031" s="24"/>
      <c r="V10031" s="24"/>
      <c r="W10031" s="24"/>
      <c r="X10031" s="24"/>
      <c r="Y10031" s="24"/>
      <c r="Z10031" s="24"/>
      <c r="AA10031" s="24"/>
    </row>
    <row r="10032">
      <c r="A10032" s="24"/>
      <c r="B10032" s="25"/>
      <c r="C10032" s="24"/>
      <c r="D10032" s="26"/>
      <c r="E10032" s="24"/>
      <c r="F10032" s="24"/>
      <c r="G10032" s="24"/>
      <c r="H10032" s="24"/>
      <c r="I10032" s="24"/>
      <c r="J10032" s="24"/>
      <c r="K10032" s="24"/>
      <c r="L10032" s="24"/>
      <c r="M10032" s="24"/>
      <c r="N10032" s="24"/>
      <c r="O10032" s="24"/>
      <c r="P10032" s="24"/>
      <c r="Q10032" s="24"/>
      <c r="R10032" s="24"/>
      <c r="S10032" s="24"/>
      <c r="T10032" s="24"/>
      <c r="U10032" s="24"/>
      <c r="V10032" s="24"/>
      <c r="W10032" s="24"/>
      <c r="X10032" s="24"/>
      <c r="Y10032" s="24"/>
      <c r="Z10032" s="24"/>
      <c r="AA10032" s="24"/>
    </row>
    <row r="10033">
      <c r="A10033" s="24"/>
      <c r="B10033" s="25"/>
      <c r="C10033" s="24"/>
      <c r="D10033" s="26"/>
      <c r="E10033" s="24"/>
      <c r="F10033" s="24"/>
      <c r="G10033" s="24"/>
      <c r="H10033" s="24"/>
      <c r="I10033" s="24"/>
      <c r="J10033" s="24"/>
      <c r="K10033" s="24"/>
      <c r="L10033" s="24"/>
      <c r="M10033" s="24"/>
      <c r="N10033" s="24"/>
      <c r="O10033" s="24"/>
      <c r="P10033" s="24"/>
      <c r="Q10033" s="24"/>
      <c r="R10033" s="24"/>
      <c r="S10033" s="24"/>
      <c r="T10033" s="24"/>
      <c r="U10033" s="24"/>
      <c r="V10033" s="24"/>
      <c r="W10033" s="24"/>
      <c r="X10033" s="24"/>
      <c r="Y10033" s="24"/>
      <c r="Z10033" s="24"/>
      <c r="AA10033" s="24"/>
    </row>
    <row r="10034">
      <c r="A10034" s="24"/>
      <c r="B10034" s="25"/>
      <c r="C10034" s="24"/>
      <c r="D10034" s="26"/>
      <c r="E10034" s="24"/>
      <c r="F10034" s="24"/>
      <c r="G10034" s="24"/>
      <c r="H10034" s="24"/>
      <c r="I10034" s="24"/>
      <c r="J10034" s="24"/>
      <c r="K10034" s="24"/>
      <c r="L10034" s="24"/>
      <c r="M10034" s="24"/>
      <c r="N10034" s="24"/>
      <c r="O10034" s="24"/>
      <c r="P10034" s="24"/>
      <c r="Q10034" s="24"/>
      <c r="R10034" s="24"/>
      <c r="S10034" s="24"/>
      <c r="T10034" s="24"/>
      <c r="U10034" s="24"/>
      <c r="V10034" s="24"/>
      <c r="W10034" s="24"/>
      <c r="X10034" s="24"/>
      <c r="Y10034" s="24"/>
      <c r="Z10034" s="24"/>
      <c r="AA10034" s="24"/>
    </row>
    <row r="10035">
      <c r="A10035" s="24"/>
      <c r="B10035" s="25"/>
      <c r="C10035" s="24"/>
      <c r="D10035" s="26"/>
      <c r="E10035" s="24"/>
      <c r="F10035" s="24"/>
      <c r="G10035" s="24"/>
      <c r="H10035" s="24"/>
      <c r="I10035" s="24"/>
      <c r="J10035" s="24"/>
      <c r="K10035" s="24"/>
      <c r="L10035" s="24"/>
      <c r="M10035" s="24"/>
      <c r="N10035" s="24"/>
      <c r="O10035" s="24"/>
      <c r="P10035" s="24"/>
      <c r="Q10035" s="24"/>
      <c r="R10035" s="24"/>
      <c r="S10035" s="24"/>
      <c r="T10035" s="24"/>
      <c r="U10035" s="24"/>
      <c r="V10035" s="24"/>
      <c r="W10035" s="24"/>
      <c r="X10035" s="24"/>
      <c r="Y10035" s="24"/>
      <c r="Z10035" s="24"/>
      <c r="AA10035" s="24"/>
    </row>
    <row r="10036">
      <c r="A10036" s="24"/>
      <c r="B10036" s="25"/>
      <c r="C10036" s="24"/>
      <c r="D10036" s="26"/>
      <c r="E10036" s="24"/>
      <c r="F10036" s="24"/>
      <c r="G10036" s="24"/>
      <c r="H10036" s="24"/>
      <c r="I10036" s="24"/>
      <c r="J10036" s="24"/>
      <c r="K10036" s="24"/>
      <c r="L10036" s="24"/>
      <c r="M10036" s="24"/>
      <c r="N10036" s="24"/>
      <c r="O10036" s="24"/>
      <c r="P10036" s="24"/>
      <c r="Q10036" s="24"/>
      <c r="R10036" s="24"/>
      <c r="S10036" s="24"/>
      <c r="T10036" s="24"/>
      <c r="U10036" s="24"/>
      <c r="V10036" s="24"/>
      <c r="W10036" s="24"/>
      <c r="X10036" s="24"/>
      <c r="Y10036" s="24"/>
      <c r="Z10036" s="24"/>
      <c r="AA10036" s="24"/>
    </row>
    <row r="10037">
      <c r="A10037" s="24"/>
      <c r="B10037" s="25"/>
      <c r="C10037" s="24"/>
      <c r="D10037" s="26"/>
      <c r="E10037" s="24"/>
      <c r="F10037" s="24"/>
      <c r="G10037" s="24"/>
      <c r="H10037" s="24"/>
      <c r="I10037" s="24"/>
      <c r="J10037" s="24"/>
      <c r="K10037" s="24"/>
      <c r="L10037" s="24"/>
      <c r="M10037" s="24"/>
      <c r="N10037" s="24"/>
      <c r="O10037" s="24"/>
      <c r="P10037" s="24"/>
      <c r="Q10037" s="24"/>
      <c r="R10037" s="24"/>
      <c r="S10037" s="24"/>
      <c r="T10037" s="24"/>
      <c r="U10037" s="24"/>
      <c r="V10037" s="24"/>
      <c r="W10037" s="24"/>
      <c r="X10037" s="24"/>
      <c r="Y10037" s="24"/>
      <c r="Z10037" s="24"/>
      <c r="AA10037" s="24"/>
    </row>
    <row r="10038">
      <c r="A10038" s="24"/>
      <c r="B10038" s="25"/>
      <c r="C10038" s="24"/>
      <c r="D10038" s="26"/>
      <c r="E10038" s="24"/>
      <c r="F10038" s="24"/>
      <c r="G10038" s="24"/>
      <c r="H10038" s="24"/>
      <c r="I10038" s="24"/>
      <c r="J10038" s="24"/>
      <c r="K10038" s="24"/>
      <c r="L10038" s="24"/>
      <c r="M10038" s="24"/>
      <c r="N10038" s="24"/>
      <c r="O10038" s="24"/>
      <c r="P10038" s="24"/>
      <c r="Q10038" s="24"/>
      <c r="R10038" s="24"/>
      <c r="S10038" s="24"/>
      <c r="T10038" s="24"/>
      <c r="U10038" s="24"/>
      <c r="V10038" s="24"/>
      <c r="W10038" s="24"/>
      <c r="X10038" s="24"/>
      <c r="Y10038" s="24"/>
      <c r="Z10038" s="24"/>
      <c r="AA10038" s="24"/>
    </row>
    <row r="10039">
      <c r="A10039" s="24"/>
      <c r="B10039" s="25"/>
      <c r="C10039" s="24"/>
      <c r="D10039" s="26"/>
      <c r="E10039" s="24"/>
      <c r="F10039" s="24"/>
      <c r="G10039" s="24"/>
      <c r="H10039" s="24"/>
      <c r="I10039" s="24"/>
      <c r="J10039" s="24"/>
      <c r="K10039" s="24"/>
      <c r="L10039" s="24"/>
      <c r="M10039" s="24"/>
      <c r="N10039" s="24"/>
      <c r="O10039" s="24"/>
      <c r="P10039" s="24"/>
      <c r="Q10039" s="24"/>
      <c r="R10039" s="24"/>
      <c r="S10039" s="24"/>
      <c r="T10039" s="24"/>
      <c r="U10039" s="24"/>
      <c r="V10039" s="24"/>
      <c r="W10039" s="24"/>
      <c r="X10039" s="24"/>
      <c r="Y10039" s="24"/>
      <c r="Z10039" s="24"/>
      <c r="AA10039" s="24"/>
    </row>
    <row r="10040">
      <c r="A10040" s="24"/>
      <c r="B10040" s="25"/>
      <c r="C10040" s="24"/>
      <c r="D10040" s="26"/>
      <c r="E10040" s="24"/>
      <c r="F10040" s="24"/>
      <c r="G10040" s="24"/>
      <c r="H10040" s="24"/>
      <c r="I10040" s="24"/>
      <c r="J10040" s="24"/>
      <c r="K10040" s="24"/>
      <c r="L10040" s="24"/>
      <c r="M10040" s="24"/>
      <c r="N10040" s="24"/>
      <c r="O10040" s="24"/>
      <c r="P10040" s="24"/>
      <c r="Q10040" s="24"/>
      <c r="R10040" s="24"/>
      <c r="S10040" s="24"/>
      <c r="T10040" s="24"/>
      <c r="U10040" s="24"/>
      <c r="V10040" s="24"/>
      <c r="W10040" s="24"/>
      <c r="X10040" s="24"/>
      <c r="Y10040" s="24"/>
      <c r="Z10040" s="24"/>
      <c r="AA10040" s="24"/>
    </row>
    <row r="10041">
      <c r="A10041" s="24"/>
      <c r="B10041" s="25"/>
      <c r="C10041" s="24"/>
      <c r="D10041" s="26"/>
      <c r="E10041" s="24"/>
      <c r="F10041" s="24"/>
      <c r="G10041" s="24"/>
      <c r="H10041" s="24"/>
      <c r="I10041" s="24"/>
      <c r="J10041" s="24"/>
      <c r="K10041" s="24"/>
      <c r="L10041" s="24"/>
      <c r="M10041" s="24"/>
      <c r="N10041" s="24"/>
      <c r="O10041" s="24"/>
      <c r="P10041" s="24"/>
      <c r="Q10041" s="24"/>
      <c r="R10041" s="24"/>
      <c r="S10041" s="24"/>
      <c r="T10041" s="24"/>
      <c r="U10041" s="24"/>
      <c r="V10041" s="24"/>
      <c r="W10041" s="24"/>
      <c r="X10041" s="24"/>
      <c r="Y10041" s="24"/>
      <c r="Z10041" s="24"/>
      <c r="AA10041" s="24"/>
    </row>
    <row r="10042">
      <c r="A10042" s="24"/>
      <c r="B10042" s="25"/>
      <c r="C10042" s="24"/>
      <c r="D10042" s="26"/>
      <c r="E10042" s="24"/>
      <c r="F10042" s="24"/>
      <c r="G10042" s="24"/>
      <c r="H10042" s="24"/>
      <c r="I10042" s="24"/>
      <c r="J10042" s="24"/>
      <c r="K10042" s="24"/>
      <c r="L10042" s="24"/>
      <c r="M10042" s="24"/>
      <c r="N10042" s="24"/>
      <c r="O10042" s="24"/>
      <c r="P10042" s="24"/>
      <c r="Q10042" s="24"/>
      <c r="R10042" s="24"/>
      <c r="S10042" s="24"/>
      <c r="T10042" s="24"/>
      <c r="U10042" s="24"/>
      <c r="V10042" s="24"/>
      <c r="W10042" s="24"/>
      <c r="X10042" s="24"/>
      <c r="Y10042" s="24"/>
      <c r="Z10042" s="24"/>
      <c r="AA10042" s="24"/>
    </row>
    <row r="10043">
      <c r="A10043" s="24"/>
      <c r="B10043" s="25"/>
      <c r="C10043" s="24"/>
      <c r="D10043" s="26"/>
      <c r="E10043" s="24"/>
      <c r="F10043" s="24"/>
      <c r="G10043" s="24"/>
      <c r="H10043" s="24"/>
      <c r="I10043" s="24"/>
      <c r="J10043" s="24"/>
      <c r="K10043" s="24"/>
      <c r="L10043" s="24"/>
      <c r="M10043" s="24"/>
      <c r="N10043" s="24"/>
      <c r="O10043" s="24"/>
      <c r="P10043" s="24"/>
      <c r="Q10043" s="24"/>
      <c r="R10043" s="24"/>
      <c r="S10043" s="24"/>
      <c r="T10043" s="24"/>
      <c r="U10043" s="24"/>
      <c r="V10043" s="24"/>
      <c r="W10043" s="24"/>
      <c r="X10043" s="24"/>
      <c r="Y10043" s="24"/>
      <c r="Z10043" s="24"/>
      <c r="AA10043" s="24"/>
    </row>
    <row r="10044">
      <c r="A10044" s="24"/>
      <c r="B10044" s="25"/>
      <c r="C10044" s="24"/>
      <c r="D10044" s="26"/>
      <c r="E10044" s="24"/>
      <c r="F10044" s="24"/>
      <c r="G10044" s="24"/>
      <c r="H10044" s="24"/>
      <c r="I10044" s="24"/>
      <c r="J10044" s="24"/>
      <c r="K10044" s="24"/>
      <c r="L10044" s="24"/>
      <c r="M10044" s="24"/>
      <c r="N10044" s="24"/>
      <c r="O10044" s="24"/>
      <c r="P10044" s="24"/>
      <c r="Q10044" s="24"/>
      <c r="R10044" s="24"/>
      <c r="S10044" s="24"/>
      <c r="T10044" s="24"/>
      <c r="U10044" s="24"/>
      <c r="V10044" s="24"/>
      <c r="W10044" s="24"/>
      <c r="X10044" s="24"/>
      <c r="Y10044" s="24"/>
      <c r="Z10044" s="24"/>
      <c r="AA10044" s="24"/>
    </row>
    <row r="10045">
      <c r="A10045" s="24"/>
      <c r="B10045" s="25"/>
      <c r="C10045" s="24"/>
      <c r="D10045" s="26"/>
      <c r="E10045" s="24"/>
      <c r="F10045" s="24"/>
      <c r="G10045" s="24"/>
      <c r="H10045" s="24"/>
      <c r="I10045" s="24"/>
      <c r="J10045" s="24"/>
      <c r="K10045" s="24"/>
      <c r="L10045" s="24"/>
      <c r="M10045" s="24"/>
      <c r="N10045" s="24"/>
      <c r="O10045" s="24"/>
      <c r="P10045" s="24"/>
      <c r="Q10045" s="24"/>
      <c r="R10045" s="24"/>
      <c r="S10045" s="24"/>
      <c r="T10045" s="24"/>
      <c r="U10045" s="24"/>
      <c r="V10045" s="24"/>
      <c r="W10045" s="24"/>
      <c r="X10045" s="24"/>
      <c r="Y10045" s="24"/>
      <c r="Z10045" s="24"/>
      <c r="AA10045" s="24"/>
    </row>
    <row r="10046">
      <c r="A10046" s="24"/>
      <c r="B10046" s="25"/>
      <c r="C10046" s="24"/>
      <c r="D10046" s="26"/>
      <c r="E10046" s="24"/>
      <c r="F10046" s="24"/>
      <c r="G10046" s="24"/>
      <c r="H10046" s="24"/>
      <c r="I10046" s="24"/>
      <c r="J10046" s="24"/>
      <c r="K10046" s="24"/>
      <c r="L10046" s="24"/>
      <c r="M10046" s="24"/>
      <c r="N10046" s="24"/>
      <c r="O10046" s="24"/>
      <c r="P10046" s="24"/>
      <c r="Q10046" s="24"/>
      <c r="R10046" s="24"/>
      <c r="S10046" s="24"/>
      <c r="T10046" s="24"/>
      <c r="U10046" s="24"/>
      <c r="V10046" s="24"/>
      <c r="W10046" s="24"/>
      <c r="X10046" s="24"/>
      <c r="Y10046" s="24"/>
      <c r="Z10046" s="24"/>
      <c r="AA10046" s="24"/>
    </row>
    <row r="10047">
      <c r="A10047" s="24"/>
      <c r="B10047" s="25"/>
      <c r="C10047" s="24"/>
      <c r="D10047" s="26"/>
      <c r="E10047" s="24"/>
      <c r="F10047" s="24"/>
      <c r="G10047" s="24"/>
      <c r="H10047" s="24"/>
      <c r="I10047" s="24"/>
      <c r="J10047" s="24"/>
      <c r="K10047" s="24"/>
      <c r="L10047" s="24"/>
      <c r="M10047" s="24"/>
      <c r="N10047" s="24"/>
      <c r="O10047" s="24"/>
      <c r="P10047" s="24"/>
      <c r="Q10047" s="24"/>
      <c r="R10047" s="24"/>
      <c r="S10047" s="24"/>
      <c r="T10047" s="24"/>
      <c r="U10047" s="24"/>
      <c r="V10047" s="24"/>
      <c r="W10047" s="24"/>
      <c r="X10047" s="24"/>
      <c r="Y10047" s="24"/>
      <c r="Z10047" s="24"/>
      <c r="AA10047" s="24"/>
    </row>
    <row r="10048">
      <c r="A10048" s="24"/>
      <c r="B10048" s="25"/>
      <c r="C10048" s="24"/>
      <c r="D10048" s="26"/>
      <c r="E10048" s="24"/>
      <c r="F10048" s="24"/>
      <c r="G10048" s="24"/>
      <c r="H10048" s="24"/>
      <c r="I10048" s="24"/>
      <c r="J10048" s="24"/>
      <c r="K10048" s="24"/>
      <c r="L10048" s="24"/>
      <c r="M10048" s="24"/>
      <c r="N10048" s="24"/>
      <c r="O10048" s="24"/>
      <c r="P10048" s="24"/>
      <c r="Q10048" s="24"/>
      <c r="R10048" s="24"/>
      <c r="S10048" s="24"/>
      <c r="T10048" s="24"/>
      <c r="U10048" s="24"/>
      <c r="V10048" s="24"/>
      <c r="W10048" s="24"/>
      <c r="X10048" s="24"/>
      <c r="Y10048" s="24"/>
      <c r="Z10048" s="24"/>
      <c r="AA10048" s="24"/>
    </row>
    <row r="10049">
      <c r="A10049" s="24"/>
      <c r="B10049" s="25"/>
      <c r="C10049" s="24"/>
      <c r="D10049" s="26"/>
      <c r="E10049" s="24"/>
      <c r="F10049" s="24"/>
      <c r="G10049" s="24"/>
      <c r="H10049" s="24"/>
      <c r="I10049" s="24"/>
      <c r="J10049" s="24"/>
      <c r="K10049" s="24"/>
      <c r="L10049" s="24"/>
      <c r="M10049" s="24"/>
      <c r="N10049" s="24"/>
      <c r="O10049" s="24"/>
      <c r="P10049" s="24"/>
      <c r="Q10049" s="24"/>
      <c r="R10049" s="24"/>
      <c r="S10049" s="24"/>
      <c r="T10049" s="24"/>
      <c r="U10049" s="24"/>
      <c r="V10049" s="24"/>
      <c r="W10049" s="24"/>
      <c r="X10049" s="24"/>
      <c r="Y10049" s="24"/>
      <c r="Z10049" s="24"/>
      <c r="AA10049" s="24"/>
    </row>
    <row r="10050">
      <c r="A10050" s="24"/>
      <c r="B10050" s="25"/>
      <c r="C10050" s="24"/>
      <c r="D10050" s="26"/>
      <c r="E10050" s="24"/>
      <c r="F10050" s="24"/>
      <c r="G10050" s="24"/>
      <c r="H10050" s="24"/>
      <c r="I10050" s="24"/>
      <c r="J10050" s="24"/>
      <c r="K10050" s="24"/>
      <c r="L10050" s="24"/>
      <c r="M10050" s="24"/>
      <c r="N10050" s="24"/>
      <c r="O10050" s="24"/>
      <c r="P10050" s="24"/>
      <c r="Q10050" s="24"/>
      <c r="R10050" s="24"/>
      <c r="S10050" s="24"/>
      <c r="T10050" s="24"/>
      <c r="U10050" s="24"/>
      <c r="V10050" s="24"/>
      <c r="W10050" s="24"/>
      <c r="X10050" s="24"/>
      <c r="Y10050" s="24"/>
      <c r="Z10050" s="24"/>
      <c r="AA10050" s="24"/>
    </row>
    <row r="10051">
      <c r="A10051" s="24"/>
      <c r="B10051" s="25"/>
      <c r="C10051" s="24"/>
      <c r="D10051" s="26"/>
      <c r="E10051" s="24"/>
      <c r="F10051" s="24"/>
      <c r="G10051" s="24"/>
      <c r="H10051" s="24"/>
      <c r="I10051" s="24"/>
      <c r="J10051" s="24"/>
      <c r="K10051" s="24"/>
      <c r="L10051" s="24"/>
      <c r="M10051" s="24"/>
      <c r="N10051" s="24"/>
      <c r="O10051" s="24"/>
      <c r="P10051" s="24"/>
      <c r="Q10051" s="24"/>
      <c r="R10051" s="24"/>
      <c r="S10051" s="24"/>
      <c r="T10051" s="24"/>
      <c r="U10051" s="24"/>
      <c r="V10051" s="24"/>
      <c r="W10051" s="24"/>
      <c r="X10051" s="24"/>
      <c r="Y10051" s="24"/>
      <c r="Z10051" s="24"/>
      <c r="AA10051" s="24"/>
    </row>
    <row r="10052">
      <c r="A10052" s="24"/>
      <c r="B10052" s="25"/>
      <c r="C10052" s="24"/>
      <c r="D10052" s="26"/>
      <c r="E10052" s="24"/>
      <c r="F10052" s="24"/>
      <c r="G10052" s="24"/>
      <c r="H10052" s="24"/>
      <c r="I10052" s="24"/>
      <c r="J10052" s="24"/>
      <c r="K10052" s="24"/>
      <c r="L10052" s="24"/>
      <c r="M10052" s="24"/>
      <c r="N10052" s="24"/>
      <c r="O10052" s="24"/>
      <c r="P10052" s="24"/>
      <c r="Q10052" s="24"/>
      <c r="R10052" s="24"/>
      <c r="S10052" s="24"/>
      <c r="T10052" s="24"/>
      <c r="U10052" s="24"/>
      <c r="V10052" s="24"/>
      <c r="W10052" s="24"/>
      <c r="X10052" s="24"/>
      <c r="Y10052" s="24"/>
      <c r="Z10052" s="24"/>
      <c r="AA10052" s="24"/>
    </row>
    <row r="10053">
      <c r="A10053" s="24"/>
      <c r="B10053" s="25"/>
      <c r="C10053" s="24"/>
      <c r="D10053" s="26"/>
      <c r="E10053" s="24"/>
      <c r="F10053" s="24"/>
      <c r="G10053" s="24"/>
      <c r="H10053" s="24"/>
      <c r="I10053" s="24"/>
      <c r="J10053" s="24"/>
      <c r="K10053" s="24"/>
      <c r="L10053" s="24"/>
      <c r="M10053" s="24"/>
      <c r="N10053" s="24"/>
      <c r="O10053" s="24"/>
      <c r="P10053" s="24"/>
      <c r="Q10053" s="24"/>
      <c r="R10053" s="24"/>
      <c r="S10053" s="24"/>
      <c r="T10053" s="24"/>
      <c r="U10053" s="24"/>
      <c r="V10053" s="24"/>
      <c r="W10053" s="24"/>
      <c r="X10053" s="24"/>
      <c r="Y10053" s="24"/>
      <c r="Z10053" s="24"/>
      <c r="AA10053" s="24"/>
    </row>
    <row r="10054">
      <c r="A10054" s="24"/>
      <c r="B10054" s="25"/>
      <c r="C10054" s="24"/>
      <c r="D10054" s="26"/>
      <c r="E10054" s="24"/>
      <c r="F10054" s="24"/>
      <c r="G10054" s="24"/>
      <c r="H10054" s="24"/>
      <c r="I10054" s="24"/>
      <c r="J10054" s="24"/>
      <c r="K10054" s="24"/>
      <c r="L10054" s="24"/>
      <c r="M10054" s="24"/>
      <c r="N10054" s="24"/>
      <c r="O10054" s="24"/>
      <c r="P10054" s="24"/>
      <c r="Q10054" s="24"/>
      <c r="R10054" s="24"/>
      <c r="S10054" s="24"/>
      <c r="T10054" s="24"/>
      <c r="U10054" s="24"/>
      <c r="V10054" s="24"/>
      <c r="W10054" s="24"/>
      <c r="X10054" s="24"/>
      <c r="Y10054" s="24"/>
      <c r="Z10054" s="24"/>
      <c r="AA10054" s="24"/>
    </row>
    <row r="10055">
      <c r="A10055" s="24"/>
      <c r="B10055" s="25"/>
      <c r="C10055" s="24"/>
      <c r="D10055" s="26"/>
      <c r="E10055" s="24"/>
      <c r="F10055" s="24"/>
      <c r="G10055" s="24"/>
      <c r="H10055" s="24"/>
      <c r="I10055" s="24"/>
      <c r="J10055" s="24"/>
      <c r="K10055" s="24"/>
      <c r="L10055" s="24"/>
      <c r="M10055" s="24"/>
      <c r="N10055" s="24"/>
      <c r="O10055" s="24"/>
      <c r="P10055" s="24"/>
      <c r="Q10055" s="24"/>
      <c r="R10055" s="24"/>
      <c r="S10055" s="24"/>
      <c r="T10055" s="24"/>
      <c r="U10055" s="24"/>
      <c r="V10055" s="24"/>
      <c r="W10055" s="24"/>
      <c r="X10055" s="24"/>
      <c r="Y10055" s="24"/>
      <c r="Z10055" s="24"/>
      <c r="AA10055" s="24"/>
    </row>
    <row r="10056">
      <c r="A10056" s="24"/>
      <c r="B10056" s="25"/>
      <c r="C10056" s="24"/>
      <c r="D10056" s="26"/>
      <c r="E10056" s="24"/>
      <c r="F10056" s="24"/>
      <c r="G10056" s="24"/>
      <c r="H10056" s="24"/>
      <c r="I10056" s="24"/>
      <c r="J10056" s="24"/>
      <c r="K10056" s="24"/>
      <c r="L10056" s="24"/>
      <c r="M10056" s="24"/>
      <c r="N10056" s="24"/>
      <c r="O10056" s="24"/>
      <c r="P10056" s="24"/>
      <c r="Q10056" s="24"/>
      <c r="R10056" s="24"/>
      <c r="S10056" s="24"/>
      <c r="T10056" s="24"/>
      <c r="U10056" s="24"/>
      <c r="V10056" s="24"/>
      <c r="W10056" s="24"/>
      <c r="X10056" s="24"/>
      <c r="Y10056" s="24"/>
      <c r="Z10056" s="24"/>
      <c r="AA10056" s="24"/>
    </row>
    <row r="10057">
      <c r="A10057" s="24"/>
      <c r="B10057" s="25"/>
      <c r="C10057" s="24"/>
      <c r="D10057" s="26"/>
      <c r="E10057" s="24"/>
      <c r="F10057" s="24"/>
      <c r="G10057" s="24"/>
      <c r="H10057" s="24"/>
      <c r="I10057" s="24"/>
      <c r="J10057" s="24"/>
      <c r="K10057" s="24"/>
      <c r="L10057" s="24"/>
      <c r="M10057" s="24"/>
      <c r="N10057" s="24"/>
      <c r="O10057" s="24"/>
      <c r="P10057" s="24"/>
      <c r="Q10057" s="24"/>
      <c r="R10057" s="24"/>
      <c r="S10057" s="24"/>
      <c r="T10057" s="24"/>
      <c r="U10057" s="24"/>
      <c r="V10057" s="24"/>
      <c r="W10057" s="24"/>
      <c r="X10057" s="24"/>
      <c r="Y10057" s="24"/>
      <c r="Z10057" s="24"/>
      <c r="AA10057" s="24"/>
    </row>
    <row r="10058">
      <c r="A10058" s="24"/>
      <c r="B10058" s="25"/>
      <c r="C10058" s="24"/>
      <c r="D10058" s="26"/>
      <c r="E10058" s="24"/>
      <c r="F10058" s="24"/>
      <c r="G10058" s="24"/>
      <c r="H10058" s="24"/>
      <c r="I10058" s="24"/>
      <c r="J10058" s="24"/>
      <c r="K10058" s="24"/>
      <c r="L10058" s="24"/>
      <c r="M10058" s="24"/>
      <c r="N10058" s="24"/>
      <c r="O10058" s="24"/>
      <c r="P10058" s="24"/>
      <c r="Q10058" s="24"/>
      <c r="R10058" s="24"/>
      <c r="S10058" s="24"/>
      <c r="T10058" s="24"/>
      <c r="U10058" s="24"/>
      <c r="V10058" s="24"/>
      <c r="W10058" s="24"/>
      <c r="X10058" s="24"/>
      <c r="Y10058" s="24"/>
      <c r="Z10058" s="24"/>
      <c r="AA10058" s="24"/>
    </row>
    <row r="10059">
      <c r="A10059" s="24"/>
      <c r="B10059" s="25"/>
      <c r="C10059" s="24"/>
      <c r="D10059" s="26"/>
      <c r="E10059" s="24"/>
      <c r="F10059" s="24"/>
      <c r="G10059" s="24"/>
      <c r="H10059" s="24"/>
      <c r="I10059" s="24"/>
      <c r="J10059" s="24"/>
      <c r="K10059" s="24"/>
      <c r="L10059" s="24"/>
      <c r="M10059" s="24"/>
      <c r="N10059" s="24"/>
      <c r="O10059" s="24"/>
      <c r="P10059" s="24"/>
      <c r="Q10059" s="24"/>
      <c r="R10059" s="24"/>
      <c r="S10059" s="24"/>
      <c r="T10059" s="24"/>
      <c r="U10059" s="24"/>
      <c r="V10059" s="24"/>
      <c r="W10059" s="24"/>
      <c r="X10059" s="24"/>
      <c r="Y10059" s="24"/>
      <c r="Z10059" s="24"/>
      <c r="AA10059" s="24"/>
    </row>
    <row r="10060">
      <c r="A10060" s="24"/>
      <c r="B10060" s="25"/>
      <c r="C10060" s="24"/>
      <c r="D10060" s="26"/>
      <c r="E10060" s="24"/>
      <c r="F10060" s="24"/>
      <c r="G10060" s="24"/>
      <c r="H10060" s="24"/>
      <c r="I10060" s="24"/>
      <c r="J10060" s="24"/>
      <c r="K10060" s="24"/>
      <c r="L10060" s="24"/>
      <c r="M10060" s="24"/>
      <c r="N10060" s="24"/>
      <c r="O10060" s="24"/>
      <c r="P10060" s="24"/>
      <c r="Q10060" s="24"/>
      <c r="R10060" s="24"/>
      <c r="S10060" s="24"/>
      <c r="T10060" s="24"/>
      <c r="U10060" s="24"/>
      <c r="V10060" s="24"/>
      <c r="W10060" s="24"/>
      <c r="X10060" s="24"/>
      <c r="Y10060" s="24"/>
      <c r="Z10060" s="24"/>
      <c r="AA10060" s="24"/>
    </row>
    <row r="10061">
      <c r="A10061" s="24"/>
      <c r="B10061" s="25"/>
      <c r="C10061" s="24"/>
      <c r="D10061" s="26"/>
      <c r="E10061" s="24"/>
      <c r="F10061" s="24"/>
      <c r="G10061" s="24"/>
      <c r="H10061" s="24"/>
      <c r="I10061" s="24"/>
      <c r="J10061" s="24"/>
      <c r="K10061" s="24"/>
      <c r="L10061" s="24"/>
      <c r="M10061" s="24"/>
      <c r="N10061" s="24"/>
      <c r="O10061" s="24"/>
      <c r="P10061" s="24"/>
      <c r="Q10061" s="24"/>
      <c r="R10061" s="24"/>
      <c r="S10061" s="24"/>
      <c r="T10061" s="24"/>
      <c r="U10061" s="24"/>
      <c r="V10061" s="24"/>
      <c r="W10061" s="24"/>
      <c r="X10061" s="24"/>
      <c r="Y10061" s="24"/>
      <c r="Z10061" s="24"/>
      <c r="AA10061" s="24"/>
    </row>
    <row r="10062">
      <c r="A10062" s="24"/>
      <c r="B10062" s="25"/>
      <c r="C10062" s="24"/>
      <c r="D10062" s="26"/>
      <c r="E10062" s="24"/>
      <c r="F10062" s="24"/>
      <c r="G10062" s="24"/>
      <c r="H10062" s="24"/>
      <c r="I10062" s="24"/>
      <c r="J10062" s="24"/>
      <c r="K10062" s="24"/>
      <c r="L10062" s="24"/>
      <c r="M10062" s="24"/>
      <c r="N10062" s="24"/>
      <c r="O10062" s="24"/>
      <c r="P10062" s="24"/>
      <c r="Q10062" s="24"/>
      <c r="R10062" s="24"/>
      <c r="S10062" s="24"/>
      <c r="T10062" s="24"/>
      <c r="U10062" s="24"/>
      <c r="V10062" s="24"/>
      <c r="W10062" s="24"/>
      <c r="X10062" s="24"/>
      <c r="Y10062" s="24"/>
      <c r="Z10062" s="24"/>
      <c r="AA10062" s="24"/>
    </row>
    <row r="10063">
      <c r="A10063" s="24"/>
      <c r="B10063" s="25"/>
      <c r="C10063" s="24"/>
      <c r="D10063" s="26"/>
      <c r="E10063" s="24"/>
      <c r="F10063" s="24"/>
      <c r="G10063" s="24"/>
      <c r="H10063" s="24"/>
      <c r="I10063" s="24"/>
      <c r="J10063" s="24"/>
      <c r="K10063" s="24"/>
      <c r="L10063" s="24"/>
      <c r="M10063" s="24"/>
      <c r="N10063" s="24"/>
      <c r="O10063" s="24"/>
      <c r="P10063" s="24"/>
      <c r="Q10063" s="24"/>
      <c r="R10063" s="24"/>
      <c r="S10063" s="24"/>
      <c r="T10063" s="24"/>
      <c r="U10063" s="24"/>
      <c r="V10063" s="24"/>
      <c r="W10063" s="24"/>
      <c r="X10063" s="24"/>
      <c r="Y10063" s="24"/>
      <c r="Z10063" s="24"/>
      <c r="AA10063" s="24"/>
    </row>
    <row r="10064">
      <c r="A10064" s="24"/>
      <c r="B10064" s="25"/>
      <c r="C10064" s="24"/>
      <c r="D10064" s="26"/>
      <c r="E10064" s="24"/>
      <c r="F10064" s="24"/>
      <c r="G10064" s="24"/>
      <c r="H10064" s="24"/>
      <c r="I10064" s="24"/>
      <c r="J10064" s="24"/>
      <c r="K10064" s="24"/>
      <c r="L10064" s="24"/>
      <c r="M10064" s="24"/>
      <c r="N10064" s="24"/>
      <c r="O10064" s="24"/>
      <c r="P10064" s="24"/>
      <c r="Q10064" s="24"/>
      <c r="R10064" s="24"/>
      <c r="S10064" s="24"/>
      <c r="T10064" s="24"/>
      <c r="U10064" s="24"/>
      <c r="V10064" s="24"/>
      <c r="W10064" s="24"/>
      <c r="X10064" s="24"/>
      <c r="Y10064" s="24"/>
      <c r="Z10064" s="24"/>
      <c r="AA10064" s="24"/>
    </row>
    <row r="10065">
      <c r="A10065" s="24"/>
      <c r="B10065" s="25"/>
      <c r="C10065" s="24"/>
      <c r="D10065" s="26"/>
      <c r="E10065" s="24"/>
      <c r="F10065" s="24"/>
      <c r="G10065" s="24"/>
      <c r="H10065" s="24"/>
      <c r="I10065" s="24"/>
      <c r="J10065" s="24"/>
      <c r="K10065" s="24"/>
      <c r="L10065" s="24"/>
      <c r="M10065" s="24"/>
      <c r="N10065" s="24"/>
      <c r="O10065" s="24"/>
      <c r="P10065" s="24"/>
      <c r="Q10065" s="24"/>
      <c r="R10065" s="24"/>
      <c r="S10065" s="24"/>
      <c r="T10065" s="24"/>
      <c r="U10065" s="24"/>
      <c r="V10065" s="24"/>
      <c r="W10065" s="24"/>
      <c r="X10065" s="24"/>
      <c r="Y10065" s="24"/>
      <c r="Z10065" s="24"/>
      <c r="AA10065" s="24"/>
    </row>
    <row r="10066">
      <c r="A10066" s="24"/>
      <c r="B10066" s="25"/>
      <c r="C10066" s="24"/>
      <c r="D10066" s="26"/>
      <c r="E10066" s="24"/>
      <c r="F10066" s="24"/>
      <c r="G10066" s="24"/>
      <c r="H10066" s="24"/>
      <c r="I10066" s="24"/>
      <c r="J10066" s="24"/>
      <c r="K10066" s="24"/>
      <c r="L10066" s="24"/>
      <c r="M10066" s="24"/>
      <c r="N10066" s="24"/>
      <c r="O10066" s="24"/>
      <c r="P10066" s="24"/>
      <c r="Q10066" s="24"/>
      <c r="R10066" s="24"/>
      <c r="S10066" s="24"/>
      <c r="T10066" s="24"/>
      <c r="U10066" s="24"/>
      <c r="V10066" s="24"/>
      <c r="W10066" s="24"/>
      <c r="X10066" s="24"/>
      <c r="Y10066" s="24"/>
      <c r="Z10066" s="24"/>
      <c r="AA10066" s="24"/>
    </row>
    <row r="10067">
      <c r="A10067" s="24"/>
      <c r="B10067" s="25"/>
      <c r="C10067" s="24"/>
      <c r="D10067" s="26"/>
      <c r="E10067" s="24"/>
      <c r="F10067" s="24"/>
      <c r="G10067" s="24"/>
      <c r="H10067" s="24"/>
      <c r="I10067" s="24"/>
      <c r="J10067" s="24"/>
      <c r="K10067" s="24"/>
      <c r="L10067" s="24"/>
      <c r="M10067" s="24"/>
      <c r="N10067" s="24"/>
      <c r="O10067" s="24"/>
      <c r="P10067" s="24"/>
      <c r="Q10067" s="24"/>
      <c r="R10067" s="24"/>
      <c r="S10067" s="24"/>
      <c r="T10067" s="24"/>
      <c r="U10067" s="24"/>
      <c r="V10067" s="24"/>
      <c r="W10067" s="24"/>
      <c r="X10067" s="24"/>
      <c r="Y10067" s="24"/>
      <c r="Z10067" s="24"/>
      <c r="AA10067" s="24"/>
    </row>
    <row r="10068">
      <c r="A10068" s="24"/>
      <c r="B10068" s="25"/>
      <c r="C10068" s="24"/>
      <c r="D10068" s="26"/>
      <c r="E10068" s="24"/>
      <c r="F10068" s="24"/>
      <c r="G10068" s="24"/>
      <c r="H10068" s="24"/>
      <c r="I10068" s="24"/>
      <c r="J10068" s="24"/>
      <c r="K10068" s="24"/>
      <c r="L10068" s="24"/>
      <c r="M10068" s="24"/>
      <c r="N10068" s="24"/>
      <c r="O10068" s="24"/>
      <c r="P10068" s="24"/>
      <c r="Q10068" s="24"/>
      <c r="R10068" s="24"/>
      <c r="S10068" s="24"/>
      <c r="T10068" s="24"/>
      <c r="U10068" s="24"/>
      <c r="V10068" s="24"/>
      <c r="W10068" s="24"/>
      <c r="X10068" s="24"/>
      <c r="Y10068" s="24"/>
      <c r="Z10068" s="24"/>
      <c r="AA10068" s="24"/>
    </row>
    <row r="10069">
      <c r="A10069" s="24"/>
      <c r="B10069" s="25"/>
      <c r="C10069" s="24"/>
      <c r="D10069" s="26"/>
      <c r="E10069" s="24"/>
      <c r="F10069" s="24"/>
      <c r="G10069" s="24"/>
      <c r="H10069" s="24"/>
      <c r="I10069" s="24"/>
      <c r="J10069" s="24"/>
      <c r="K10069" s="24"/>
      <c r="L10069" s="24"/>
      <c r="M10069" s="24"/>
      <c r="N10069" s="24"/>
      <c r="O10069" s="24"/>
      <c r="P10069" s="24"/>
      <c r="Q10069" s="24"/>
      <c r="R10069" s="24"/>
      <c r="S10069" s="24"/>
      <c r="T10069" s="24"/>
      <c r="U10069" s="24"/>
      <c r="V10069" s="24"/>
      <c r="W10069" s="24"/>
      <c r="X10069" s="24"/>
      <c r="Y10069" s="24"/>
      <c r="Z10069" s="24"/>
      <c r="AA10069" s="24"/>
    </row>
    <row r="10070">
      <c r="A10070" s="24"/>
      <c r="B10070" s="25"/>
      <c r="C10070" s="24"/>
      <c r="D10070" s="26"/>
      <c r="E10070" s="24"/>
      <c r="F10070" s="24"/>
      <c r="G10070" s="24"/>
      <c r="H10070" s="24"/>
      <c r="I10070" s="24"/>
      <c r="J10070" s="24"/>
      <c r="K10070" s="24"/>
      <c r="L10070" s="24"/>
      <c r="M10070" s="24"/>
      <c r="N10070" s="24"/>
      <c r="O10070" s="24"/>
      <c r="P10070" s="24"/>
      <c r="Q10070" s="24"/>
      <c r="R10070" s="24"/>
      <c r="S10070" s="24"/>
      <c r="T10070" s="24"/>
      <c r="U10070" s="24"/>
      <c r="V10070" s="24"/>
      <c r="W10070" s="24"/>
      <c r="X10070" s="24"/>
      <c r="Y10070" s="24"/>
      <c r="Z10070" s="24"/>
      <c r="AA10070" s="24"/>
    </row>
    <row r="10071">
      <c r="A10071" s="24"/>
      <c r="B10071" s="25"/>
      <c r="C10071" s="24"/>
      <c r="D10071" s="26"/>
      <c r="E10071" s="24"/>
      <c r="F10071" s="24"/>
      <c r="G10071" s="24"/>
      <c r="H10071" s="24"/>
      <c r="I10071" s="24"/>
      <c r="J10071" s="24"/>
      <c r="K10071" s="24"/>
      <c r="L10071" s="24"/>
      <c r="M10071" s="24"/>
      <c r="N10071" s="24"/>
      <c r="O10071" s="24"/>
      <c r="P10071" s="24"/>
      <c r="Q10071" s="24"/>
      <c r="R10071" s="24"/>
      <c r="S10071" s="24"/>
      <c r="T10071" s="24"/>
      <c r="U10071" s="24"/>
      <c r="V10071" s="24"/>
      <c r="W10071" s="24"/>
      <c r="X10071" s="24"/>
      <c r="Y10071" s="24"/>
      <c r="Z10071" s="24"/>
      <c r="AA10071" s="24"/>
    </row>
    <row r="10072">
      <c r="A10072" s="24"/>
      <c r="B10072" s="25"/>
      <c r="C10072" s="24"/>
      <c r="D10072" s="26"/>
      <c r="E10072" s="24"/>
      <c r="F10072" s="24"/>
      <c r="G10072" s="24"/>
      <c r="H10072" s="24"/>
      <c r="I10072" s="24"/>
      <c r="J10072" s="24"/>
      <c r="K10072" s="24"/>
      <c r="L10072" s="24"/>
      <c r="M10072" s="24"/>
      <c r="N10072" s="24"/>
      <c r="O10072" s="24"/>
      <c r="P10072" s="24"/>
      <c r="Q10072" s="24"/>
      <c r="R10072" s="24"/>
      <c r="S10072" s="24"/>
      <c r="T10072" s="24"/>
      <c r="U10072" s="24"/>
      <c r="V10072" s="24"/>
      <c r="W10072" s="24"/>
      <c r="X10072" s="24"/>
      <c r="Y10072" s="24"/>
      <c r="Z10072" s="24"/>
      <c r="AA10072" s="24"/>
    </row>
    <row r="10073">
      <c r="A10073" s="24"/>
      <c r="B10073" s="25"/>
      <c r="C10073" s="24"/>
      <c r="D10073" s="26"/>
      <c r="E10073" s="24"/>
      <c r="F10073" s="24"/>
      <c r="G10073" s="24"/>
      <c r="H10073" s="24"/>
      <c r="I10073" s="24"/>
      <c r="J10073" s="24"/>
      <c r="K10073" s="24"/>
      <c r="L10073" s="24"/>
      <c r="M10073" s="24"/>
      <c r="N10073" s="24"/>
      <c r="O10073" s="24"/>
      <c r="P10073" s="24"/>
      <c r="Q10073" s="24"/>
      <c r="R10073" s="24"/>
      <c r="S10073" s="24"/>
      <c r="T10073" s="24"/>
      <c r="U10073" s="24"/>
      <c r="V10073" s="24"/>
      <c r="W10073" s="24"/>
      <c r="X10073" s="24"/>
      <c r="Y10073" s="24"/>
      <c r="Z10073" s="24"/>
      <c r="AA10073" s="24"/>
    </row>
    <row r="10074">
      <c r="A10074" s="24"/>
      <c r="B10074" s="25"/>
      <c r="C10074" s="24"/>
      <c r="D10074" s="26"/>
      <c r="E10074" s="24"/>
      <c r="F10074" s="24"/>
      <c r="G10074" s="24"/>
      <c r="H10074" s="24"/>
      <c r="I10074" s="24"/>
      <c r="J10074" s="24"/>
      <c r="K10074" s="24"/>
      <c r="L10074" s="24"/>
      <c r="M10074" s="24"/>
      <c r="N10074" s="24"/>
      <c r="O10074" s="24"/>
      <c r="P10074" s="24"/>
      <c r="Q10074" s="24"/>
      <c r="R10074" s="24"/>
      <c r="S10074" s="24"/>
      <c r="T10074" s="24"/>
      <c r="U10074" s="24"/>
      <c r="V10074" s="24"/>
      <c r="W10074" s="24"/>
      <c r="X10074" s="24"/>
      <c r="Y10074" s="24"/>
      <c r="Z10074" s="24"/>
      <c r="AA10074" s="24"/>
    </row>
    <row r="10075">
      <c r="A10075" s="24"/>
      <c r="B10075" s="25"/>
      <c r="C10075" s="24"/>
      <c r="D10075" s="26"/>
      <c r="E10075" s="24"/>
      <c r="F10075" s="24"/>
      <c r="G10075" s="24"/>
      <c r="H10075" s="24"/>
      <c r="I10075" s="24"/>
      <c r="J10075" s="24"/>
      <c r="K10075" s="24"/>
      <c r="L10075" s="24"/>
      <c r="M10075" s="24"/>
      <c r="N10075" s="24"/>
      <c r="O10075" s="24"/>
      <c r="P10075" s="24"/>
      <c r="Q10075" s="24"/>
      <c r="R10075" s="24"/>
      <c r="S10075" s="24"/>
      <c r="T10075" s="24"/>
      <c r="U10075" s="24"/>
      <c r="V10075" s="24"/>
      <c r="W10075" s="24"/>
      <c r="X10075" s="24"/>
      <c r="Y10075" s="24"/>
      <c r="Z10075" s="24"/>
      <c r="AA10075" s="24"/>
    </row>
    <row r="10076">
      <c r="A10076" s="24"/>
      <c r="B10076" s="25"/>
      <c r="C10076" s="24"/>
      <c r="D10076" s="26"/>
      <c r="E10076" s="24"/>
      <c r="F10076" s="24"/>
      <c r="G10076" s="24"/>
      <c r="H10076" s="24"/>
      <c r="I10076" s="24"/>
      <c r="J10076" s="24"/>
      <c r="K10076" s="24"/>
      <c r="L10076" s="24"/>
      <c r="M10076" s="24"/>
      <c r="N10076" s="24"/>
      <c r="O10076" s="24"/>
      <c r="P10076" s="24"/>
      <c r="Q10076" s="24"/>
      <c r="R10076" s="24"/>
      <c r="S10076" s="24"/>
      <c r="T10076" s="24"/>
      <c r="U10076" s="24"/>
      <c r="V10076" s="24"/>
      <c r="W10076" s="24"/>
      <c r="X10076" s="24"/>
      <c r="Y10076" s="24"/>
      <c r="Z10076" s="24"/>
      <c r="AA10076" s="24"/>
    </row>
    <row r="10077">
      <c r="A10077" s="24"/>
      <c r="B10077" s="25"/>
      <c r="C10077" s="24"/>
      <c r="D10077" s="26"/>
      <c r="E10077" s="24"/>
      <c r="F10077" s="24"/>
      <c r="G10077" s="24"/>
      <c r="H10077" s="24"/>
      <c r="I10077" s="24"/>
      <c r="J10077" s="24"/>
      <c r="K10077" s="24"/>
      <c r="L10077" s="24"/>
      <c r="M10077" s="24"/>
      <c r="N10077" s="24"/>
      <c r="O10077" s="24"/>
      <c r="P10077" s="24"/>
      <c r="Q10077" s="24"/>
      <c r="R10077" s="24"/>
      <c r="S10077" s="24"/>
      <c r="T10077" s="24"/>
      <c r="U10077" s="24"/>
      <c r="V10077" s="24"/>
      <c r="W10077" s="24"/>
      <c r="X10077" s="24"/>
      <c r="Y10077" s="24"/>
      <c r="Z10077" s="24"/>
      <c r="AA10077" s="24"/>
    </row>
    <row r="10078">
      <c r="A10078" s="24"/>
      <c r="B10078" s="25"/>
      <c r="C10078" s="24"/>
      <c r="D10078" s="26"/>
      <c r="E10078" s="24"/>
      <c r="F10078" s="24"/>
      <c r="G10078" s="24"/>
      <c r="H10078" s="24"/>
      <c r="I10078" s="24"/>
      <c r="J10078" s="24"/>
      <c r="K10078" s="24"/>
      <c r="L10078" s="24"/>
      <c r="M10078" s="24"/>
      <c r="N10078" s="24"/>
      <c r="O10078" s="24"/>
      <c r="P10078" s="24"/>
      <c r="Q10078" s="24"/>
      <c r="R10078" s="24"/>
      <c r="S10078" s="24"/>
      <c r="T10078" s="24"/>
      <c r="U10078" s="24"/>
      <c r="V10078" s="24"/>
      <c r="W10078" s="24"/>
      <c r="X10078" s="24"/>
      <c r="Y10078" s="24"/>
      <c r="Z10078" s="24"/>
      <c r="AA10078" s="24"/>
    </row>
    <row r="10079">
      <c r="A10079" s="24"/>
      <c r="B10079" s="25"/>
      <c r="C10079" s="24"/>
      <c r="D10079" s="26"/>
      <c r="E10079" s="24"/>
      <c r="F10079" s="24"/>
      <c r="G10079" s="24"/>
      <c r="H10079" s="24"/>
      <c r="I10079" s="24"/>
      <c r="J10079" s="24"/>
      <c r="K10079" s="24"/>
      <c r="L10079" s="24"/>
      <c r="M10079" s="24"/>
      <c r="N10079" s="24"/>
      <c r="O10079" s="24"/>
      <c r="P10079" s="24"/>
      <c r="Q10079" s="24"/>
      <c r="R10079" s="24"/>
      <c r="S10079" s="24"/>
      <c r="T10079" s="24"/>
      <c r="U10079" s="24"/>
      <c r="V10079" s="24"/>
      <c r="W10079" s="24"/>
      <c r="X10079" s="24"/>
      <c r="Y10079" s="24"/>
      <c r="Z10079" s="24"/>
      <c r="AA10079" s="24"/>
    </row>
    <row r="10080">
      <c r="A10080" s="24"/>
      <c r="B10080" s="25"/>
      <c r="C10080" s="24"/>
      <c r="D10080" s="26"/>
      <c r="E10080" s="24"/>
      <c r="F10080" s="24"/>
      <c r="G10080" s="24"/>
      <c r="H10080" s="24"/>
      <c r="I10080" s="24"/>
      <c r="J10080" s="24"/>
      <c r="K10080" s="24"/>
      <c r="L10080" s="24"/>
      <c r="M10080" s="24"/>
      <c r="N10080" s="24"/>
      <c r="O10080" s="24"/>
      <c r="P10080" s="24"/>
      <c r="Q10080" s="24"/>
      <c r="R10080" s="24"/>
      <c r="S10080" s="24"/>
      <c r="T10080" s="24"/>
      <c r="U10080" s="24"/>
      <c r="V10080" s="24"/>
      <c r="W10080" s="24"/>
      <c r="X10080" s="24"/>
      <c r="Y10080" s="24"/>
      <c r="Z10080" s="24"/>
      <c r="AA10080" s="24"/>
    </row>
    <row r="10081">
      <c r="A10081" s="24"/>
      <c r="B10081" s="25"/>
      <c r="C10081" s="24"/>
      <c r="D10081" s="26"/>
      <c r="E10081" s="24"/>
      <c r="F10081" s="24"/>
      <c r="G10081" s="24"/>
      <c r="H10081" s="24"/>
      <c r="I10081" s="24"/>
      <c r="J10081" s="24"/>
      <c r="K10081" s="24"/>
      <c r="L10081" s="24"/>
      <c r="M10081" s="24"/>
      <c r="N10081" s="24"/>
      <c r="O10081" s="24"/>
      <c r="P10081" s="24"/>
      <c r="Q10081" s="24"/>
      <c r="R10081" s="24"/>
      <c r="S10081" s="24"/>
      <c r="T10081" s="24"/>
      <c r="U10081" s="24"/>
      <c r="V10081" s="24"/>
      <c r="W10081" s="24"/>
      <c r="X10081" s="24"/>
      <c r="Y10081" s="24"/>
      <c r="Z10081" s="24"/>
      <c r="AA10081" s="24"/>
    </row>
    <row r="10082">
      <c r="A10082" s="24"/>
      <c r="B10082" s="25"/>
      <c r="C10082" s="24"/>
      <c r="D10082" s="26"/>
      <c r="E10082" s="24"/>
      <c r="F10082" s="24"/>
      <c r="G10082" s="24"/>
      <c r="H10082" s="24"/>
      <c r="I10082" s="24"/>
      <c r="J10082" s="24"/>
      <c r="K10082" s="24"/>
      <c r="L10082" s="24"/>
      <c r="M10082" s="24"/>
      <c r="N10082" s="24"/>
      <c r="O10082" s="24"/>
      <c r="P10082" s="24"/>
      <c r="Q10082" s="24"/>
      <c r="R10082" s="24"/>
      <c r="S10082" s="24"/>
      <c r="T10082" s="24"/>
      <c r="U10082" s="24"/>
      <c r="V10082" s="24"/>
      <c r="W10082" s="24"/>
      <c r="X10082" s="24"/>
      <c r="Y10082" s="24"/>
      <c r="Z10082" s="24"/>
      <c r="AA10082" s="24"/>
    </row>
    <row r="10083">
      <c r="A10083" s="24"/>
      <c r="B10083" s="25"/>
      <c r="C10083" s="24"/>
      <c r="D10083" s="26"/>
      <c r="E10083" s="24"/>
      <c r="F10083" s="24"/>
      <c r="G10083" s="24"/>
      <c r="H10083" s="24"/>
      <c r="I10083" s="24"/>
      <c r="J10083" s="24"/>
      <c r="K10083" s="24"/>
      <c r="L10083" s="24"/>
      <c r="M10083" s="24"/>
      <c r="N10083" s="24"/>
      <c r="O10083" s="24"/>
      <c r="P10083" s="24"/>
      <c r="Q10083" s="24"/>
      <c r="R10083" s="24"/>
      <c r="S10083" s="24"/>
      <c r="T10083" s="24"/>
      <c r="U10083" s="24"/>
      <c r="V10083" s="24"/>
      <c r="W10083" s="24"/>
      <c r="X10083" s="24"/>
      <c r="Y10083" s="24"/>
      <c r="Z10083" s="24"/>
      <c r="AA10083" s="24"/>
    </row>
    <row r="10084">
      <c r="A10084" s="24"/>
      <c r="B10084" s="25"/>
      <c r="C10084" s="24"/>
      <c r="D10084" s="26"/>
      <c r="E10084" s="24"/>
      <c r="F10084" s="24"/>
      <c r="G10084" s="24"/>
      <c r="H10084" s="24"/>
      <c r="I10084" s="24"/>
      <c r="J10084" s="24"/>
      <c r="K10084" s="24"/>
      <c r="L10084" s="24"/>
      <c r="M10084" s="24"/>
      <c r="N10084" s="24"/>
      <c r="O10084" s="24"/>
      <c r="P10084" s="24"/>
      <c r="Q10084" s="24"/>
      <c r="R10084" s="24"/>
      <c r="S10084" s="24"/>
      <c r="T10084" s="24"/>
      <c r="U10084" s="24"/>
      <c r="V10084" s="24"/>
      <c r="W10084" s="24"/>
      <c r="X10084" s="24"/>
      <c r="Y10084" s="24"/>
      <c r="Z10084" s="24"/>
      <c r="AA10084" s="24"/>
    </row>
    <row r="10085">
      <c r="A10085" s="24"/>
      <c r="B10085" s="25"/>
      <c r="C10085" s="24"/>
      <c r="D10085" s="26"/>
      <c r="E10085" s="24"/>
      <c r="F10085" s="24"/>
      <c r="G10085" s="24"/>
      <c r="H10085" s="24"/>
      <c r="I10085" s="24"/>
      <c r="J10085" s="24"/>
      <c r="K10085" s="24"/>
      <c r="L10085" s="24"/>
      <c r="M10085" s="24"/>
      <c r="N10085" s="24"/>
      <c r="O10085" s="24"/>
      <c r="P10085" s="24"/>
      <c r="Q10085" s="24"/>
      <c r="R10085" s="24"/>
      <c r="S10085" s="24"/>
      <c r="T10085" s="24"/>
      <c r="U10085" s="24"/>
      <c r="V10085" s="24"/>
      <c r="W10085" s="24"/>
      <c r="X10085" s="24"/>
      <c r="Y10085" s="24"/>
      <c r="Z10085" s="24"/>
      <c r="AA10085" s="24"/>
    </row>
    <row r="10086">
      <c r="A10086" s="24"/>
      <c r="B10086" s="25"/>
      <c r="C10086" s="24"/>
      <c r="D10086" s="26"/>
      <c r="E10086" s="24"/>
      <c r="F10086" s="24"/>
      <c r="G10086" s="24"/>
      <c r="H10086" s="24"/>
      <c r="I10086" s="24"/>
      <c r="J10086" s="24"/>
      <c r="K10086" s="24"/>
      <c r="L10086" s="24"/>
      <c r="M10086" s="24"/>
      <c r="N10086" s="24"/>
      <c r="O10086" s="24"/>
      <c r="P10086" s="24"/>
      <c r="Q10086" s="24"/>
      <c r="R10086" s="24"/>
      <c r="S10086" s="24"/>
      <c r="T10086" s="24"/>
      <c r="U10086" s="24"/>
      <c r="V10086" s="24"/>
      <c r="W10086" s="24"/>
      <c r="X10086" s="24"/>
      <c r="Y10086" s="24"/>
      <c r="Z10086" s="24"/>
      <c r="AA10086" s="24"/>
    </row>
    <row r="10087">
      <c r="A10087" s="24"/>
      <c r="B10087" s="25"/>
      <c r="C10087" s="24"/>
      <c r="D10087" s="26"/>
      <c r="E10087" s="24"/>
      <c r="F10087" s="24"/>
      <c r="G10087" s="24"/>
      <c r="H10087" s="24"/>
      <c r="I10087" s="24"/>
      <c r="J10087" s="24"/>
      <c r="K10087" s="24"/>
      <c r="L10087" s="24"/>
      <c r="M10087" s="24"/>
      <c r="N10087" s="24"/>
      <c r="O10087" s="24"/>
      <c r="P10087" s="24"/>
      <c r="Q10087" s="24"/>
      <c r="R10087" s="24"/>
      <c r="S10087" s="24"/>
      <c r="T10087" s="24"/>
      <c r="U10087" s="24"/>
      <c r="V10087" s="24"/>
      <c r="W10087" s="24"/>
      <c r="X10087" s="24"/>
      <c r="Y10087" s="24"/>
      <c r="Z10087" s="24"/>
      <c r="AA10087" s="24"/>
    </row>
    <row r="10088">
      <c r="A10088" s="24"/>
      <c r="B10088" s="25"/>
      <c r="C10088" s="24"/>
      <c r="D10088" s="26"/>
      <c r="E10088" s="24"/>
      <c r="F10088" s="24"/>
      <c r="G10088" s="24"/>
      <c r="H10088" s="24"/>
      <c r="I10088" s="24"/>
      <c r="J10088" s="24"/>
      <c r="K10088" s="24"/>
      <c r="L10088" s="24"/>
      <c r="M10088" s="24"/>
      <c r="N10088" s="24"/>
      <c r="O10088" s="24"/>
      <c r="P10088" s="24"/>
      <c r="Q10088" s="24"/>
      <c r="R10088" s="24"/>
      <c r="S10088" s="24"/>
      <c r="T10088" s="24"/>
      <c r="U10088" s="24"/>
      <c r="V10088" s="24"/>
      <c r="W10088" s="24"/>
      <c r="X10088" s="24"/>
      <c r="Y10088" s="24"/>
      <c r="Z10088" s="24"/>
      <c r="AA10088" s="24"/>
    </row>
    <row r="10089">
      <c r="A10089" s="24"/>
      <c r="B10089" s="25"/>
      <c r="C10089" s="24"/>
      <c r="D10089" s="26"/>
      <c r="E10089" s="24"/>
      <c r="F10089" s="24"/>
      <c r="G10089" s="24"/>
      <c r="H10089" s="24"/>
      <c r="I10089" s="24"/>
      <c r="J10089" s="24"/>
      <c r="K10089" s="24"/>
      <c r="L10089" s="24"/>
      <c r="M10089" s="24"/>
      <c r="N10089" s="24"/>
      <c r="O10089" s="24"/>
      <c r="P10089" s="24"/>
      <c r="Q10089" s="24"/>
      <c r="R10089" s="24"/>
      <c r="S10089" s="24"/>
      <c r="T10089" s="24"/>
      <c r="U10089" s="24"/>
      <c r="V10089" s="24"/>
      <c r="W10089" s="24"/>
      <c r="X10089" s="24"/>
      <c r="Y10089" s="24"/>
      <c r="Z10089" s="24"/>
      <c r="AA10089" s="24"/>
    </row>
    <row r="10090">
      <c r="A10090" s="24"/>
      <c r="B10090" s="25"/>
      <c r="C10090" s="24"/>
      <c r="D10090" s="26"/>
      <c r="E10090" s="24"/>
      <c r="F10090" s="24"/>
      <c r="G10090" s="24"/>
      <c r="H10090" s="24"/>
      <c r="I10090" s="24"/>
      <c r="J10090" s="24"/>
      <c r="K10090" s="24"/>
      <c r="L10090" s="24"/>
      <c r="M10090" s="24"/>
      <c r="N10090" s="24"/>
      <c r="O10090" s="24"/>
      <c r="P10090" s="24"/>
      <c r="Q10090" s="24"/>
      <c r="R10090" s="24"/>
      <c r="S10090" s="24"/>
      <c r="T10090" s="24"/>
      <c r="U10090" s="24"/>
      <c r="V10090" s="24"/>
      <c r="W10090" s="24"/>
      <c r="X10090" s="24"/>
      <c r="Y10090" s="24"/>
      <c r="Z10090" s="24"/>
      <c r="AA10090" s="24"/>
    </row>
    <row r="10091">
      <c r="A10091" s="24"/>
      <c r="B10091" s="25"/>
      <c r="C10091" s="24"/>
      <c r="D10091" s="26"/>
      <c r="E10091" s="24"/>
      <c r="F10091" s="24"/>
      <c r="G10091" s="24"/>
      <c r="H10091" s="24"/>
      <c r="I10091" s="24"/>
      <c r="J10091" s="24"/>
      <c r="K10091" s="24"/>
      <c r="L10091" s="24"/>
      <c r="M10091" s="24"/>
      <c r="N10091" s="24"/>
      <c r="O10091" s="24"/>
      <c r="P10091" s="24"/>
      <c r="Q10091" s="24"/>
      <c r="R10091" s="24"/>
      <c r="S10091" s="24"/>
      <c r="T10091" s="24"/>
      <c r="U10091" s="24"/>
      <c r="V10091" s="24"/>
      <c r="W10091" s="24"/>
      <c r="X10091" s="24"/>
      <c r="Y10091" s="24"/>
      <c r="Z10091" s="24"/>
      <c r="AA10091" s="24"/>
    </row>
    <row r="10092">
      <c r="A10092" s="24"/>
      <c r="B10092" s="25"/>
      <c r="C10092" s="24"/>
      <c r="D10092" s="26"/>
      <c r="E10092" s="24"/>
      <c r="F10092" s="24"/>
      <c r="G10092" s="24"/>
      <c r="H10092" s="24"/>
      <c r="I10092" s="24"/>
      <c r="J10092" s="24"/>
      <c r="K10092" s="24"/>
      <c r="L10092" s="24"/>
      <c r="M10092" s="24"/>
      <c r="N10092" s="24"/>
      <c r="O10092" s="24"/>
      <c r="P10092" s="24"/>
      <c r="Q10092" s="24"/>
      <c r="R10092" s="24"/>
      <c r="S10092" s="24"/>
      <c r="T10092" s="24"/>
      <c r="U10092" s="24"/>
      <c r="V10092" s="24"/>
      <c r="W10092" s="24"/>
      <c r="X10092" s="24"/>
      <c r="Y10092" s="24"/>
      <c r="Z10092" s="24"/>
      <c r="AA10092" s="24"/>
    </row>
    <row r="10093">
      <c r="A10093" s="24"/>
      <c r="B10093" s="25"/>
      <c r="C10093" s="24"/>
      <c r="D10093" s="26"/>
      <c r="E10093" s="24"/>
      <c r="F10093" s="24"/>
      <c r="G10093" s="24"/>
      <c r="H10093" s="24"/>
      <c r="I10093" s="24"/>
      <c r="J10093" s="24"/>
      <c r="K10093" s="24"/>
      <c r="L10093" s="24"/>
      <c r="M10093" s="24"/>
      <c r="N10093" s="24"/>
      <c r="O10093" s="24"/>
      <c r="P10093" s="24"/>
      <c r="Q10093" s="24"/>
      <c r="R10093" s="24"/>
      <c r="S10093" s="24"/>
      <c r="T10093" s="24"/>
      <c r="U10093" s="24"/>
      <c r="V10093" s="24"/>
      <c r="W10093" s="24"/>
      <c r="X10093" s="24"/>
      <c r="Y10093" s="24"/>
      <c r="Z10093" s="24"/>
      <c r="AA10093" s="24"/>
    </row>
    <row r="10094">
      <c r="A10094" s="24"/>
      <c r="B10094" s="25"/>
      <c r="C10094" s="24"/>
      <c r="D10094" s="26"/>
      <c r="E10094" s="24"/>
      <c r="F10094" s="24"/>
      <c r="G10094" s="24"/>
      <c r="H10094" s="24"/>
      <c r="I10094" s="24"/>
      <c r="J10094" s="24"/>
      <c r="K10094" s="24"/>
      <c r="L10094" s="24"/>
      <c r="M10094" s="24"/>
      <c r="N10094" s="24"/>
      <c r="O10094" s="24"/>
      <c r="P10094" s="24"/>
      <c r="Q10094" s="24"/>
      <c r="R10094" s="24"/>
      <c r="S10094" s="24"/>
      <c r="T10094" s="24"/>
      <c r="U10094" s="24"/>
      <c r="V10094" s="24"/>
      <c r="W10094" s="24"/>
      <c r="X10094" s="24"/>
      <c r="Y10094" s="24"/>
      <c r="Z10094" s="24"/>
      <c r="AA10094" s="24"/>
    </row>
    <row r="10095">
      <c r="A10095" s="24"/>
      <c r="B10095" s="25"/>
      <c r="C10095" s="24"/>
      <c r="D10095" s="26"/>
      <c r="E10095" s="24"/>
      <c r="F10095" s="24"/>
      <c r="G10095" s="24"/>
      <c r="H10095" s="24"/>
      <c r="I10095" s="24"/>
      <c r="J10095" s="24"/>
      <c r="K10095" s="24"/>
      <c r="L10095" s="24"/>
      <c r="M10095" s="24"/>
      <c r="N10095" s="24"/>
      <c r="O10095" s="24"/>
      <c r="P10095" s="24"/>
      <c r="Q10095" s="24"/>
      <c r="R10095" s="24"/>
      <c r="S10095" s="24"/>
      <c r="T10095" s="24"/>
      <c r="U10095" s="24"/>
      <c r="V10095" s="24"/>
      <c r="W10095" s="24"/>
      <c r="X10095" s="24"/>
      <c r="Y10095" s="24"/>
      <c r="Z10095" s="24"/>
      <c r="AA10095" s="24"/>
    </row>
    <row r="10096">
      <c r="A10096" s="24"/>
      <c r="B10096" s="25"/>
      <c r="C10096" s="24"/>
      <c r="D10096" s="26"/>
      <c r="E10096" s="24"/>
      <c r="F10096" s="24"/>
      <c r="G10096" s="24"/>
      <c r="H10096" s="24"/>
      <c r="I10096" s="24"/>
      <c r="J10096" s="24"/>
      <c r="K10096" s="24"/>
      <c r="L10096" s="24"/>
      <c r="M10096" s="24"/>
      <c r="N10096" s="24"/>
      <c r="O10096" s="24"/>
      <c r="P10096" s="24"/>
      <c r="Q10096" s="24"/>
      <c r="R10096" s="24"/>
      <c r="S10096" s="24"/>
      <c r="T10096" s="24"/>
      <c r="U10096" s="24"/>
      <c r="V10096" s="24"/>
      <c r="W10096" s="24"/>
      <c r="X10096" s="24"/>
      <c r="Y10096" s="24"/>
      <c r="Z10096" s="24"/>
      <c r="AA10096" s="24"/>
    </row>
    <row r="10097">
      <c r="A10097" s="24"/>
      <c r="B10097" s="25"/>
      <c r="C10097" s="24"/>
      <c r="D10097" s="26"/>
      <c r="E10097" s="24"/>
      <c r="F10097" s="24"/>
      <c r="G10097" s="24"/>
      <c r="H10097" s="24"/>
      <c r="I10097" s="24"/>
      <c r="J10097" s="24"/>
      <c r="K10097" s="24"/>
      <c r="L10097" s="24"/>
      <c r="M10097" s="24"/>
      <c r="N10097" s="24"/>
      <c r="O10097" s="24"/>
      <c r="P10097" s="24"/>
      <c r="Q10097" s="24"/>
      <c r="R10097" s="24"/>
      <c r="S10097" s="24"/>
      <c r="T10097" s="24"/>
      <c r="U10097" s="24"/>
      <c r="V10097" s="24"/>
      <c r="W10097" s="24"/>
      <c r="X10097" s="24"/>
      <c r="Y10097" s="24"/>
      <c r="Z10097" s="24"/>
      <c r="AA10097" s="24"/>
    </row>
    <row r="10098">
      <c r="A10098" s="24"/>
      <c r="B10098" s="25"/>
      <c r="C10098" s="24"/>
      <c r="D10098" s="26"/>
      <c r="E10098" s="24"/>
      <c r="F10098" s="24"/>
      <c r="G10098" s="24"/>
      <c r="H10098" s="24"/>
      <c r="I10098" s="24"/>
      <c r="J10098" s="24"/>
      <c r="K10098" s="24"/>
      <c r="L10098" s="24"/>
      <c r="M10098" s="24"/>
      <c r="N10098" s="24"/>
      <c r="O10098" s="24"/>
      <c r="P10098" s="24"/>
      <c r="Q10098" s="24"/>
      <c r="R10098" s="24"/>
      <c r="S10098" s="24"/>
      <c r="T10098" s="24"/>
      <c r="U10098" s="24"/>
      <c r="V10098" s="24"/>
      <c r="W10098" s="24"/>
      <c r="X10098" s="24"/>
      <c r="Y10098" s="24"/>
      <c r="Z10098" s="24"/>
      <c r="AA10098" s="24"/>
    </row>
    <row r="10099">
      <c r="A10099" s="24"/>
      <c r="B10099" s="25"/>
      <c r="C10099" s="24"/>
      <c r="D10099" s="26"/>
      <c r="E10099" s="24"/>
      <c r="F10099" s="24"/>
      <c r="G10099" s="24"/>
      <c r="H10099" s="24"/>
      <c r="I10099" s="24"/>
      <c r="J10099" s="24"/>
      <c r="K10099" s="24"/>
      <c r="L10099" s="24"/>
      <c r="M10099" s="24"/>
      <c r="N10099" s="24"/>
      <c r="O10099" s="24"/>
      <c r="P10099" s="24"/>
      <c r="Q10099" s="24"/>
      <c r="R10099" s="24"/>
      <c r="S10099" s="24"/>
      <c r="T10099" s="24"/>
      <c r="U10099" s="24"/>
      <c r="V10099" s="24"/>
      <c r="W10099" s="24"/>
      <c r="X10099" s="24"/>
      <c r="Y10099" s="24"/>
      <c r="Z10099" s="24"/>
      <c r="AA10099" s="24"/>
    </row>
    <row r="10100">
      <c r="A10100" s="24"/>
      <c r="B10100" s="25"/>
      <c r="C10100" s="24"/>
      <c r="D10100" s="26"/>
      <c r="E10100" s="24"/>
      <c r="F10100" s="24"/>
      <c r="G10100" s="24"/>
      <c r="H10100" s="24"/>
      <c r="I10100" s="24"/>
      <c r="J10100" s="24"/>
      <c r="K10100" s="24"/>
      <c r="L10100" s="24"/>
      <c r="M10100" s="24"/>
      <c r="N10100" s="24"/>
      <c r="O10100" s="24"/>
      <c r="P10100" s="24"/>
      <c r="Q10100" s="24"/>
      <c r="R10100" s="24"/>
      <c r="S10100" s="24"/>
      <c r="T10100" s="24"/>
      <c r="U10100" s="24"/>
      <c r="V10100" s="24"/>
      <c r="W10100" s="24"/>
      <c r="X10100" s="24"/>
      <c r="Y10100" s="24"/>
      <c r="Z10100" s="24"/>
      <c r="AA10100" s="24"/>
    </row>
    <row r="10101">
      <c r="A10101" s="24"/>
      <c r="B10101" s="25"/>
      <c r="C10101" s="24"/>
      <c r="D10101" s="26"/>
      <c r="E10101" s="24"/>
      <c r="F10101" s="24"/>
      <c r="G10101" s="24"/>
      <c r="H10101" s="24"/>
      <c r="I10101" s="24"/>
      <c r="J10101" s="24"/>
      <c r="K10101" s="24"/>
      <c r="L10101" s="24"/>
      <c r="M10101" s="24"/>
      <c r="N10101" s="24"/>
      <c r="O10101" s="24"/>
      <c r="P10101" s="24"/>
      <c r="Q10101" s="24"/>
      <c r="R10101" s="24"/>
      <c r="S10101" s="24"/>
      <c r="T10101" s="24"/>
      <c r="U10101" s="24"/>
      <c r="V10101" s="24"/>
      <c r="W10101" s="24"/>
      <c r="X10101" s="24"/>
      <c r="Y10101" s="24"/>
      <c r="Z10101" s="24"/>
      <c r="AA10101" s="24"/>
    </row>
    <row r="10102">
      <c r="A10102" s="24"/>
      <c r="B10102" s="25"/>
      <c r="C10102" s="24"/>
      <c r="D10102" s="26"/>
      <c r="E10102" s="24"/>
      <c r="F10102" s="24"/>
      <c r="G10102" s="24"/>
      <c r="H10102" s="24"/>
      <c r="I10102" s="24"/>
      <c r="J10102" s="24"/>
      <c r="K10102" s="24"/>
      <c r="L10102" s="24"/>
      <c r="M10102" s="24"/>
      <c r="N10102" s="24"/>
      <c r="O10102" s="24"/>
      <c r="P10102" s="24"/>
      <c r="Q10102" s="24"/>
      <c r="R10102" s="24"/>
      <c r="S10102" s="24"/>
      <c r="T10102" s="24"/>
      <c r="U10102" s="24"/>
      <c r="V10102" s="24"/>
      <c r="W10102" s="24"/>
      <c r="X10102" s="24"/>
      <c r="Y10102" s="24"/>
      <c r="Z10102" s="24"/>
      <c r="AA10102" s="24"/>
    </row>
    <row r="10103">
      <c r="A10103" s="24"/>
      <c r="B10103" s="25"/>
      <c r="C10103" s="24"/>
      <c r="D10103" s="26"/>
      <c r="E10103" s="24"/>
      <c r="F10103" s="24"/>
      <c r="G10103" s="24"/>
      <c r="H10103" s="24"/>
      <c r="I10103" s="24"/>
      <c r="J10103" s="24"/>
      <c r="K10103" s="24"/>
      <c r="L10103" s="24"/>
      <c r="M10103" s="24"/>
      <c r="N10103" s="24"/>
      <c r="O10103" s="24"/>
      <c r="P10103" s="24"/>
      <c r="Q10103" s="24"/>
      <c r="R10103" s="24"/>
      <c r="S10103" s="24"/>
      <c r="T10103" s="24"/>
      <c r="U10103" s="24"/>
      <c r="V10103" s="24"/>
      <c r="W10103" s="24"/>
      <c r="X10103" s="24"/>
      <c r="Y10103" s="24"/>
      <c r="Z10103" s="24"/>
      <c r="AA10103" s="24"/>
    </row>
    <row r="10104">
      <c r="A10104" s="24"/>
      <c r="B10104" s="25"/>
      <c r="C10104" s="24"/>
      <c r="D10104" s="26"/>
      <c r="E10104" s="24"/>
      <c r="F10104" s="24"/>
      <c r="G10104" s="24"/>
      <c r="H10104" s="24"/>
      <c r="I10104" s="24"/>
      <c r="J10104" s="24"/>
      <c r="K10104" s="24"/>
      <c r="L10104" s="24"/>
      <c r="M10104" s="24"/>
      <c r="N10104" s="24"/>
      <c r="O10104" s="24"/>
      <c r="P10104" s="24"/>
      <c r="Q10104" s="24"/>
      <c r="R10104" s="24"/>
      <c r="S10104" s="24"/>
      <c r="T10104" s="24"/>
      <c r="U10104" s="24"/>
      <c r="V10104" s="24"/>
      <c r="W10104" s="24"/>
      <c r="X10104" s="24"/>
      <c r="Y10104" s="24"/>
      <c r="Z10104" s="24"/>
      <c r="AA10104" s="24"/>
    </row>
    <row r="10105">
      <c r="A10105" s="24"/>
      <c r="B10105" s="25"/>
      <c r="C10105" s="24"/>
      <c r="D10105" s="26"/>
      <c r="E10105" s="24"/>
      <c r="F10105" s="24"/>
      <c r="G10105" s="24"/>
      <c r="H10105" s="24"/>
      <c r="I10105" s="24"/>
      <c r="J10105" s="24"/>
      <c r="K10105" s="24"/>
      <c r="L10105" s="24"/>
      <c r="M10105" s="24"/>
      <c r="N10105" s="24"/>
      <c r="O10105" s="24"/>
      <c r="P10105" s="24"/>
      <c r="Q10105" s="24"/>
      <c r="R10105" s="24"/>
      <c r="S10105" s="24"/>
      <c r="T10105" s="24"/>
      <c r="U10105" s="24"/>
      <c r="V10105" s="24"/>
      <c r="W10105" s="24"/>
      <c r="X10105" s="24"/>
      <c r="Y10105" s="24"/>
      <c r="Z10105" s="24"/>
      <c r="AA10105" s="24"/>
    </row>
    <row r="10106">
      <c r="A10106" s="24"/>
      <c r="B10106" s="25"/>
      <c r="C10106" s="24"/>
      <c r="D10106" s="26"/>
      <c r="E10106" s="24"/>
      <c r="F10106" s="24"/>
      <c r="G10106" s="24"/>
      <c r="H10106" s="24"/>
      <c r="I10106" s="24"/>
      <c r="J10106" s="24"/>
      <c r="K10106" s="24"/>
      <c r="L10106" s="24"/>
      <c r="M10106" s="24"/>
      <c r="N10106" s="24"/>
      <c r="O10106" s="24"/>
      <c r="P10106" s="24"/>
      <c r="Q10106" s="24"/>
      <c r="R10106" s="24"/>
      <c r="S10106" s="24"/>
      <c r="T10106" s="24"/>
      <c r="U10106" s="24"/>
      <c r="V10106" s="24"/>
      <c r="W10106" s="24"/>
      <c r="X10106" s="24"/>
      <c r="Y10106" s="24"/>
      <c r="Z10106" s="24"/>
      <c r="AA10106" s="24"/>
    </row>
    <row r="10107">
      <c r="A10107" s="24"/>
      <c r="B10107" s="25"/>
      <c r="C10107" s="24"/>
      <c r="D10107" s="26"/>
      <c r="E10107" s="24"/>
      <c r="F10107" s="24"/>
      <c r="G10107" s="24"/>
      <c r="H10107" s="24"/>
      <c r="I10107" s="24"/>
      <c r="J10107" s="24"/>
      <c r="K10107" s="24"/>
      <c r="L10107" s="24"/>
      <c r="M10107" s="24"/>
      <c r="N10107" s="24"/>
      <c r="O10107" s="24"/>
      <c r="P10107" s="24"/>
      <c r="Q10107" s="24"/>
      <c r="R10107" s="24"/>
      <c r="S10107" s="24"/>
      <c r="T10107" s="24"/>
      <c r="U10107" s="24"/>
      <c r="V10107" s="24"/>
      <c r="W10107" s="24"/>
      <c r="X10107" s="24"/>
      <c r="Y10107" s="24"/>
      <c r="Z10107" s="24"/>
      <c r="AA10107" s="24"/>
    </row>
    <row r="10108">
      <c r="A10108" s="24"/>
      <c r="B10108" s="25"/>
      <c r="C10108" s="24"/>
      <c r="D10108" s="26"/>
      <c r="E10108" s="24"/>
      <c r="F10108" s="24"/>
      <c r="G10108" s="24"/>
      <c r="H10108" s="24"/>
      <c r="I10108" s="24"/>
      <c r="J10108" s="24"/>
      <c r="K10108" s="24"/>
      <c r="L10108" s="24"/>
      <c r="M10108" s="24"/>
      <c r="N10108" s="24"/>
      <c r="O10108" s="24"/>
      <c r="P10108" s="24"/>
      <c r="Q10108" s="24"/>
      <c r="R10108" s="24"/>
      <c r="S10108" s="24"/>
      <c r="T10108" s="24"/>
      <c r="U10108" s="24"/>
      <c r="V10108" s="24"/>
      <c r="W10108" s="24"/>
      <c r="X10108" s="24"/>
      <c r="Y10108" s="24"/>
      <c r="Z10108" s="24"/>
      <c r="AA10108" s="24"/>
    </row>
    <row r="10109">
      <c r="A10109" s="24"/>
      <c r="B10109" s="25"/>
      <c r="C10109" s="24"/>
      <c r="D10109" s="26"/>
      <c r="E10109" s="24"/>
      <c r="F10109" s="24"/>
      <c r="G10109" s="24"/>
      <c r="H10109" s="24"/>
      <c r="I10109" s="24"/>
      <c r="J10109" s="24"/>
      <c r="K10109" s="24"/>
      <c r="L10109" s="24"/>
      <c r="M10109" s="24"/>
      <c r="N10109" s="24"/>
      <c r="O10109" s="24"/>
      <c r="P10109" s="24"/>
      <c r="Q10109" s="24"/>
      <c r="R10109" s="24"/>
      <c r="S10109" s="24"/>
      <c r="T10109" s="24"/>
      <c r="U10109" s="24"/>
      <c r="V10109" s="24"/>
      <c r="W10109" s="24"/>
      <c r="X10109" s="24"/>
      <c r="Y10109" s="24"/>
      <c r="Z10109" s="24"/>
      <c r="AA10109" s="24"/>
    </row>
    <row r="10110">
      <c r="A10110" s="24"/>
      <c r="B10110" s="25"/>
      <c r="C10110" s="24"/>
      <c r="D10110" s="26"/>
      <c r="E10110" s="24"/>
      <c r="F10110" s="24"/>
      <c r="G10110" s="24"/>
      <c r="H10110" s="24"/>
      <c r="I10110" s="24"/>
      <c r="J10110" s="24"/>
      <c r="K10110" s="24"/>
      <c r="L10110" s="24"/>
      <c r="M10110" s="24"/>
      <c r="N10110" s="24"/>
      <c r="O10110" s="24"/>
      <c r="P10110" s="24"/>
      <c r="Q10110" s="24"/>
      <c r="R10110" s="24"/>
      <c r="S10110" s="24"/>
      <c r="T10110" s="24"/>
      <c r="U10110" s="24"/>
      <c r="V10110" s="24"/>
      <c r="W10110" s="24"/>
      <c r="X10110" s="24"/>
      <c r="Y10110" s="24"/>
      <c r="Z10110" s="24"/>
      <c r="AA10110" s="24"/>
    </row>
    <row r="10111">
      <c r="A10111" s="24"/>
      <c r="B10111" s="25"/>
      <c r="C10111" s="24"/>
      <c r="D10111" s="26"/>
      <c r="E10111" s="24"/>
      <c r="F10111" s="24"/>
      <c r="G10111" s="24"/>
      <c r="H10111" s="24"/>
      <c r="I10111" s="24"/>
      <c r="J10111" s="24"/>
      <c r="K10111" s="24"/>
      <c r="L10111" s="24"/>
      <c r="M10111" s="24"/>
      <c r="N10111" s="24"/>
      <c r="O10111" s="24"/>
      <c r="P10111" s="24"/>
      <c r="Q10111" s="24"/>
      <c r="R10111" s="24"/>
      <c r="S10111" s="24"/>
      <c r="T10111" s="24"/>
      <c r="U10111" s="24"/>
      <c r="V10111" s="24"/>
      <c r="W10111" s="24"/>
      <c r="X10111" s="24"/>
      <c r="Y10111" s="24"/>
      <c r="Z10111" s="24"/>
      <c r="AA10111" s="24"/>
    </row>
    <row r="10112">
      <c r="A10112" s="24"/>
      <c r="B10112" s="25"/>
      <c r="C10112" s="24"/>
      <c r="D10112" s="26"/>
      <c r="E10112" s="24"/>
      <c r="F10112" s="24"/>
      <c r="G10112" s="24"/>
      <c r="H10112" s="24"/>
      <c r="I10112" s="24"/>
      <c r="J10112" s="24"/>
      <c r="K10112" s="24"/>
      <c r="L10112" s="24"/>
      <c r="M10112" s="24"/>
      <c r="N10112" s="24"/>
      <c r="O10112" s="24"/>
      <c r="P10112" s="24"/>
      <c r="Q10112" s="24"/>
      <c r="R10112" s="24"/>
      <c r="S10112" s="24"/>
      <c r="T10112" s="24"/>
      <c r="U10112" s="24"/>
      <c r="V10112" s="24"/>
      <c r="W10112" s="24"/>
      <c r="X10112" s="24"/>
      <c r="Y10112" s="24"/>
      <c r="Z10112" s="24"/>
      <c r="AA10112" s="24"/>
    </row>
    <row r="10113">
      <c r="A10113" s="24"/>
      <c r="B10113" s="25"/>
      <c r="C10113" s="24"/>
      <c r="D10113" s="26"/>
      <c r="E10113" s="24"/>
      <c r="F10113" s="24"/>
      <c r="G10113" s="24"/>
      <c r="H10113" s="24"/>
      <c r="I10113" s="24"/>
      <c r="J10113" s="24"/>
      <c r="K10113" s="24"/>
      <c r="L10113" s="24"/>
      <c r="M10113" s="24"/>
      <c r="N10113" s="24"/>
      <c r="O10113" s="24"/>
      <c r="P10113" s="24"/>
      <c r="Q10113" s="24"/>
      <c r="R10113" s="24"/>
      <c r="S10113" s="24"/>
      <c r="T10113" s="24"/>
      <c r="U10113" s="24"/>
      <c r="V10113" s="24"/>
      <c r="W10113" s="24"/>
      <c r="X10113" s="24"/>
      <c r="Y10113" s="24"/>
      <c r="Z10113" s="24"/>
      <c r="AA10113" s="24"/>
    </row>
    <row r="10114">
      <c r="A10114" s="24"/>
      <c r="B10114" s="25"/>
      <c r="C10114" s="24"/>
      <c r="D10114" s="26"/>
      <c r="E10114" s="24"/>
      <c r="F10114" s="24"/>
      <c r="G10114" s="24"/>
      <c r="H10114" s="24"/>
      <c r="I10114" s="24"/>
      <c r="J10114" s="24"/>
      <c r="K10114" s="24"/>
      <c r="L10114" s="24"/>
      <c r="M10114" s="24"/>
      <c r="N10114" s="24"/>
      <c r="O10114" s="24"/>
      <c r="P10114" s="24"/>
      <c r="Q10114" s="24"/>
      <c r="R10114" s="24"/>
      <c r="S10114" s="24"/>
      <c r="T10114" s="24"/>
      <c r="U10114" s="24"/>
      <c r="V10114" s="24"/>
      <c r="W10114" s="24"/>
      <c r="X10114" s="24"/>
      <c r="Y10114" s="24"/>
      <c r="Z10114" s="24"/>
      <c r="AA10114" s="24"/>
    </row>
    <row r="10115">
      <c r="A10115" s="24"/>
      <c r="B10115" s="25"/>
      <c r="C10115" s="24"/>
      <c r="D10115" s="26"/>
      <c r="E10115" s="24"/>
      <c r="F10115" s="24"/>
      <c r="G10115" s="24"/>
      <c r="H10115" s="24"/>
      <c r="I10115" s="24"/>
      <c r="J10115" s="24"/>
      <c r="K10115" s="24"/>
      <c r="L10115" s="24"/>
      <c r="M10115" s="24"/>
      <c r="N10115" s="24"/>
      <c r="O10115" s="24"/>
      <c r="P10115" s="24"/>
      <c r="Q10115" s="24"/>
      <c r="R10115" s="24"/>
      <c r="S10115" s="24"/>
      <c r="T10115" s="24"/>
      <c r="U10115" s="24"/>
      <c r="V10115" s="24"/>
      <c r="W10115" s="24"/>
      <c r="X10115" s="24"/>
      <c r="Y10115" s="24"/>
      <c r="Z10115" s="24"/>
      <c r="AA10115" s="24"/>
    </row>
    <row r="10116">
      <c r="A10116" s="24"/>
      <c r="B10116" s="25"/>
      <c r="C10116" s="24"/>
      <c r="D10116" s="26"/>
      <c r="E10116" s="24"/>
      <c r="F10116" s="24"/>
      <c r="G10116" s="24"/>
      <c r="H10116" s="24"/>
      <c r="I10116" s="24"/>
      <c r="J10116" s="24"/>
      <c r="K10116" s="24"/>
      <c r="L10116" s="24"/>
      <c r="M10116" s="24"/>
      <c r="N10116" s="24"/>
      <c r="O10116" s="24"/>
      <c r="P10116" s="24"/>
      <c r="Q10116" s="24"/>
      <c r="R10116" s="24"/>
      <c r="S10116" s="24"/>
      <c r="T10116" s="24"/>
      <c r="U10116" s="24"/>
      <c r="V10116" s="24"/>
      <c r="W10116" s="24"/>
      <c r="X10116" s="24"/>
      <c r="Y10116" s="24"/>
      <c r="Z10116" s="24"/>
      <c r="AA10116" s="24"/>
    </row>
    <row r="10117">
      <c r="A10117" s="24"/>
      <c r="B10117" s="25"/>
      <c r="C10117" s="24"/>
      <c r="D10117" s="26"/>
      <c r="E10117" s="24"/>
      <c r="F10117" s="24"/>
      <c r="G10117" s="24"/>
      <c r="H10117" s="24"/>
      <c r="I10117" s="24"/>
      <c r="J10117" s="24"/>
      <c r="K10117" s="24"/>
      <c r="L10117" s="24"/>
      <c r="M10117" s="24"/>
      <c r="N10117" s="24"/>
      <c r="O10117" s="24"/>
      <c r="P10117" s="24"/>
      <c r="Q10117" s="24"/>
      <c r="R10117" s="24"/>
      <c r="S10117" s="24"/>
      <c r="T10117" s="24"/>
      <c r="U10117" s="24"/>
      <c r="V10117" s="24"/>
      <c r="W10117" s="24"/>
      <c r="X10117" s="24"/>
      <c r="Y10117" s="24"/>
      <c r="Z10117" s="24"/>
      <c r="AA10117" s="24"/>
    </row>
    <row r="10118">
      <c r="A10118" s="24"/>
      <c r="B10118" s="25"/>
      <c r="C10118" s="24"/>
      <c r="D10118" s="26"/>
      <c r="E10118" s="24"/>
      <c r="F10118" s="24"/>
      <c r="G10118" s="24"/>
      <c r="H10118" s="24"/>
      <c r="I10118" s="24"/>
      <c r="J10118" s="24"/>
      <c r="K10118" s="24"/>
      <c r="L10118" s="24"/>
      <c r="M10118" s="24"/>
      <c r="N10118" s="24"/>
      <c r="O10118" s="24"/>
      <c r="P10118" s="24"/>
      <c r="Q10118" s="24"/>
      <c r="R10118" s="24"/>
      <c r="S10118" s="24"/>
      <c r="T10118" s="24"/>
      <c r="U10118" s="24"/>
      <c r="V10118" s="24"/>
      <c r="W10118" s="24"/>
      <c r="X10118" s="24"/>
      <c r="Y10118" s="24"/>
      <c r="Z10118" s="24"/>
      <c r="AA10118" s="24"/>
    </row>
    <row r="10119">
      <c r="A10119" s="24"/>
      <c r="B10119" s="25"/>
      <c r="C10119" s="24"/>
      <c r="D10119" s="26"/>
      <c r="E10119" s="24"/>
      <c r="F10119" s="24"/>
      <c r="G10119" s="24"/>
      <c r="H10119" s="24"/>
      <c r="I10119" s="24"/>
      <c r="J10119" s="24"/>
      <c r="K10119" s="24"/>
      <c r="L10119" s="24"/>
      <c r="M10119" s="24"/>
      <c r="N10119" s="24"/>
      <c r="O10119" s="24"/>
      <c r="P10119" s="24"/>
      <c r="Q10119" s="24"/>
      <c r="R10119" s="24"/>
      <c r="S10119" s="24"/>
      <c r="T10119" s="24"/>
      <c r="U10119" s="24"/>
      <c r="V10119" s="24"/>
      <c r="W10119" s="24"/>
      <c r="X10119" s="24"/>
      <c r="Y10119" s="24"/>
      <c r="Z10119" s="24"/>
      <c r="AA10119" s="24"/>
    </row>
    <row r="10120">
      <c r="A10120" s="24"/>
      <c r="B10120" s="25"/>
      <c r="C10120" s="24"/>
      <c r="D10120" s="26"/>
      <c r="E10120" s="24"/>
      <c r="F10120" s="24"/>
      <c r="G10120" s="24"/>
      <c r="H10120" s="24"/>
      <c r="I10120" s="24"/>
      <c r="J10120" s="24"/>
      <c r="K10120" s="24"/>
      <c r="L10120" s="24"/>
      <c r="M10120" s="24"/>
      <c r="N10120" s="24"/>
      <c r="O10120" s="24"/>
      <c r="P10120" s="24"/>
      <c r="Q10120" s="24"/>
      <c r="R10120" s="24"/>
      <c r="S10120" s="24"/>
      <c r="T10120" s="24"/>
      <c r="U10120" s="24"/>
      <c r="V10120" s="24"/>
      <c r="W10120" s="24"/>
      <c r="X10120" s="24"/>
      <c r="Y10120" s="24"/>
      <c r="Z10120" s="24"/>
      <c r="AA10120" s="24"/>
    </row>
    <row r="10121">
      <c r="A10121" s="24"/>
      <c r="B10121" s="25"/>
      <c r="C10121" s="24"/>
      <c r="D10121" s="26"/>
      <c r="E10121" s="24"/>
      <c r="F10121" s="24"/>
      <c r="G10121" s="24"/>
      <c r="H10121" s="24"/>
      <c r="I10121" s="24"/>
      <c r="J10121" s="24"/>
      <c r="K10121" s="24"/>
      <c r="L10121" s="24"/>
      <c r="M10121" s="24"/>
      <c r="N10121" s="24"/>
      <c r="O10121" s="24"/>
      <c r="P10121" s="24"/>
      <c r="Q10121" s="24"/>
      <c r="R10121" s="24"/>
      <c r="S10121" s="24"/>
      <c r="T10121" s="24"/>
      <c r="U10121" s="24"/>
      <c r="V10121" s="24"/>
      <c r="W10121" s="24"/>
      <c r="X10121" s="24"/>
      <c r="Y10121" s="24"/>
      <c r="Z10121" s="24"/>
      <c r="AA10121" s="24"/>
    </row>
    <row r="10122">
      <c r="A10122" s="24"/>
      <c r="B10122" s="25"/>
      <c r="C10122" s="24"/>
      <c r="D10122" s="26"/>
      <c r="E10122" s="24"/>
      <c r="F10122" s="24"/>
      <c r="G10122" s="24"/>
      <c r="H10122" s="24"/>
      <c r="I10122" s="24"/>
      <c r="J10122" s="24"/>
      <c r="K10122" s="24"/>
      <c r="L10122" s="24"/>
      <c r="M10122" s="24"/>
      <c r="N10122" s="24"/>
      <c r="O10122" s="24"/>
      <c r="P10122" s="24"/>
      <c r="Q10122" s="24"/>
      <c r="R10122" s="24"/>
      <c r="S10122" s="24"/>
      <c r="T10122" s="24"/>
      <c r="U10122" s="24"/>
      <c r="V10122" s="24"/>
      <c r="W10122" s="24"/>
      <c r="X10122" s="24"/>
      <c r="Y10122" s="24"/>
      <c r="Z10122" s="24"/>
      <c r="AA10122" s="24"/>
    </row>
    <row r="10123">
      <c r="A10123" s="24"/>
      <c r="B10123" s="25"/>
      <c r="C10123" s="24"/>
      <c r="D10123" s="26"/>
      <c r="E10123" s="24"/>
      <c r="F10123" s="24"/>
      <c r="G10123" s="24"/>
      <c r="H10123" s="24"/>
      <c r="I10123" s="24"/>
      <c r="J10123" s="24"/>
      <c r="K10123" s="24"/>
      <c r="L10123" s="24"/>
      <c r="M10123" s="24"/>
      <c r="N10123" s="24"/>
      <c r="O10123" s="24"/>
      <c r="P10123" s="24"/>
      <c r="Q10123" s="24"/>
      <c r="R10123" s="24"/>
      <c r="S10123" s="24"/>
      <c r="T10123" s="24"/>
      <c r="U10123" s="24"/>
      <c r="V10123" s="24"/>
      <c r="W10123" s="24"/>
      <c r="X10123" s="24"/>
      <c r="Y10123" s="24"/>
      <c r="Z10123" s="24"/>
      <c r="AA10123" s="24"/>
    </row>
    <row r="10124">
      <c r="A10124" s="24"/>
      <c r="B10124" s="25"/>
      <c r="C10124" s="24"/>
      <c r="D10124" s="26"/>
      <c r="E10124" s="24"/>
      <c r="F10124" s="24"/>
      <c r="G10124" s="24"/>
      <c r="H10124" s="24"/>
      <c r="I10124" s="24"/>
      <c r="J10124" s="24"/>
      <c r="K10124" s="24"/>
      <c r="L10124" s="24"/>
      <c r="M10124" s="24"/>
      <c r="N10124" s="24"/>
      <c r="O10124" s="24"/>
      <c r="P10124" s="24"/>
      <c r="Q10124" s="24"/>
      <c r="R10124" s="24"/>
      <c r="S10124" s="24"/>
      <c r="T10124" s="24"/>
      <c r="U10124" s="24"/>
      <c r="V10124" s="24"/>
      <c r="W10124" s="24"/>
      <c r="X10124" s="24"/>
      <c r="Y10124" s="24"/>
      <c r="Z10124" s="24"/>
      <c r="AA10124" s="24"/>
    </row>
    <row r="10125">
      <c r="A10125" s="24"/>
      <c r="B10125" s="25"/>
      <c r="C10125" s="24"/>
      <c r="D10125" s="26"/>
      <c r="E10125" s="24"/>
      <c r="F10125" s="24"/>
      <c r="G10125" s="24"/>
      <c r="H10125" s="24"/>
      <c r="I10125" s="24"/>
      <c r="J10125" s="24"/>
      <c r="K10125" s="24"/>
      <c r="L10125" s="24"/>
      <c r="M10125" s="24"/>
      <c r="N10125" s="24"/>
      <c r="O10125" s="24"/>
      <c r="P10125" s="24"/>
      <c r="Q10125" s="24"/>
      <c r="R10125" s="24"/>
      <c r="S10125" s="24"/>
      <c r="T10125" s="24"/>
      <c r="U10125" s="24"/>
      <c r="V10125" s="24"/>
      <c r="W10125" s="24"/>
      <c r="X10125" s="24"/>
      <c r="Y10125" s="24"/>
      <c r="Z10125" s="24"/>
      <c r="AA10125" s="24"/>
    </row>
    <row r="10126">
      <c r="A10126" s="24"/>
      <c r="B10126" s="25"/>
      <c r="C10126" s="24"/>
      <c r="D10126" s="26"/>
      <c r="E10126" s="24"/>
      <c r="F10126" s="24"/>
      <c r="G10126" s="24"/>
      <c r="H10126" s="24"/>
      <c r="I10126" s="24"/>
      <c r="J10126" s="24"/>
      <c r="K10126" s="24"/>
      <c r="L10126" s="24"/>
      <c r="M10126" s="24"/>
      <c r="N10126" s="24"/>
      <c r="O10126" s="24"/>
      <c r="P10126" s="24"/>
      <c r="Q10126" s="24"/>
      <c r="R10126" s="24"/>
      <c r="S10126" s="24"/>
      <c r="T10126" s="24"/>
      <c r="U10126" s="24"/>
      <c r="V10126" s="24"/>
      <c r="W10126" s="24"/>
      <c r="X10126" s="24"/>
      <c r="Y10126" s="24"/>
      <c r="Z10126" s="24"/>
      <c r="AA10126" s="24"/>
    </row>
    <row r="10127">
      <c r="A10127" s="24"/>
      <c r="B10127" s="25"/>
      <c r="C10127" s="24"/>
      <c r="D10127" s="26"/>
      <c r="E10127" s="24"/>
      <c r="F10127" s="24"/>
      <c r="G10127" s="24"/>
      <c r="H10127" s="24"/>
      <c r="I10127" s="24"/>
      <c r="J10127" s="24"/>
      <c r="K10127" s="24"/>
      <c r="L10127" s="24"/>
      <c r="M10127" s="24"/>
      <c r="N10127" s="24"/>
      <c r="O10127" s="24"/>
      <c r="P10127" s="24"/>
      <c r="Q10127" s="24"/>
      <c r="R10127" s="24"/>
      <c r="S10127" s="24"/>
      <c r="T10127" s="24"/>
      <c r="U10127" s="24"/>
      <c r="V10127" s="24"/>
      <c r="W10127" s="24"/>
      <c r="X10127" s="24"/>
      <c r="Y10127" s="24"/>
      <c r="Z10127" s="24"/>
      <c r="AA10127" s="24"/>
    </row>
    <row r="10128">
      <c r="A10128" s="24"/>
      <c r="B10128" s="25"/>
      <c r="C10128" s="24"/>
      <c r="D10128" s="26"/>
      <c r="E10128" s="24"/>
      <c r="F10128" s="24"/>
      <c r="G10128" s="24"/>
      <c r="H10128" s="24"/>
      <c r="I10128" s="24"/>
      <c r="J10128" s="24"/>
      <c r="K10128" s="24"/>
      <c r="L10128" s="24"/>
      <c r="M10128" s="24"/>
      <c r="N10128" s="24"/>
      <c r="O10128" s="24"/>
      <c r="P10128" s="24"/>
      <c r="Q10128" s="24"/>
      <c r="R10128" s="24"/>
      <c r="S10128" s="24"/>
      <c r="T10128" s="24"/>
      <c r="U10128" s="24"/>
      <c r="V10128" s="24"/>
      <c r="W10128" s="24"/>
      <c r="X10128" s="24"/>
      <c r="Y10128" s="24"/>
      <c r="Z10128" s="24"/>
      <c r="AA10128" s="24"/>
    </row>
    <row r="10129">
      <c r="A10129" s="24"/>
      <c r="B10129" s="25"/>
      <c r="C10129" s="24"/>
      <c r="D10129" s="26"/>
      <c r="E10129" s="24"/>
      <c r="F10129" s="24"/>
      <c r="G10129" s="24"/>
      <c r="H10129" s="24"/>
      <c r="I10129" s="24"/>
      <c r="J10129" s="24"/>
      <c r="K10129" s="24"/>
      <c r="L10129" s="24"/>
      <c r="M10129" s="24"/>
      <c r="N10129" s="24"/>
      <c r="O10129" s="24"/>
      <c r="P10129" s="24"/>
      <c r="Q10129" s="24"/>
      <c r="R10129" s="24"/>
      <c r="S10129" s="24"/>
      <c r="T10129" s="24"/>
      <c r="U10129" s="24"/>
      <c r="V10129" s="24"/>
      <c r="W10129" s="24"/>
      <c r="X10129" s="24"/>
      <c r="Y10129" s="24"/>
      <c r="Z10129" s="24"/>
      <c r="AA10129" s="24"/>
    </row>
    <row r="10130">
      <c r="A10130" s="24"/>
      <c r="B10130" s="25"/>
      <c r="C10130" s="24"/>
      <c r="D10130" s="26"/>
      <c r="E10130" s="24"/>
      <c r="F10130" s="24"/>
      <c r="G10130" s="24"/>
      <c r="H10130" s="24"/>
      <c r="I10130" s="24"/>
      <c r="J10130" s="24"/>
      <c r="K10130" s="24"/>
      <c r="L10130" s="24"/>
      <c r="M10130" s="24"/>
      <c r="N10130" s="24"/>
      <c r="O10130" s="24"/>
      <c r="P10130" s="24"/>
      <c r="Q10130" s="24"/>
      <c r="R10130" s="24"/>
      <c r="S10130" s="24"/>
      <c r="T10130" s="24"/>
      <c r="U10130" s="24"/>
      <c r="V10130" s="24"/>
      <c r="W10130" s="24"/>
      <c r="X10130" s="24"/>
      <c r="Y10130" s="24"/>
      <c r="Z10130" s="24"/>
      <c r="AA10130" s="24"/>
    </row>
    <row r="10131">
      <c r="A10131" s="24"/>
      <c r="B10131" s="25"/>
      <c r="C10131" s="24"/>
      <c r="D10131" s="26"/>
      <c r="E10131" s="24"/>
      <c r="F10131" s="24"/>
      <c r="G10131" s="24"/>
      <c r="H10131" s="24"/>
      <c r="I10131" s="24"/>
      <c r="J10131" s="24"/>
      <c r="K10131" s="24"/>
      <c r="L10131" s="24"/>
      <c r="M10131" s="24"/>
      <c r="N10131" s="24"/>
      <c r="O10131" s="24"/>
      <c r="P10131" s="24"/>
      <c r="Q10131" s="24"/>
      <c r="R10131" s="24"/>
      <c r="S10131" s="24"/>
      <c r="T10131" s="24"/>
      <c r="U10131" s="24"/>
      <c r="V10131" s="24"/>
      <c r="W10131" s="24"/>
      <c r="X10131" s="24"/>
      <c r="Y10131" s="24"/>
      <c r="Z10131" s="24"/>
      <c r="AA10131" s="24"/>
    </row>
    <row r="10132">
      <c r="A10132" s="24"/>
      <c r="B10132" s="25"/>
      <c r="C10132" s="24"/>
      <c r="D10132" s="26"/>
      <c r="E10132" s="24"/>
      <c r="F10132" s="24"/>
      <c r="G10132" s="24"/>
      <c r="H10132" s="24"/>
      <c r="I10132" s="24"/>
      <c r="J10132" s="24"/>
      <c r="K10132" s="24"/>
      <c r="L10132" s="24"/>
      <c r="M10132" s="24"/>
      <c r="N10132" s="24"/>
      <c r="O10132" s="24"/>
      <c r="P10132" s="24"/>
      <c r="Q10132" s="24"/>
      <c r="R10132" s="24"/>
      <c r="S10132" s="24"/>
      <c r="T10132" s="24"/>
      <c r="U10132" s="24"/>
      <c r="V10132" s="24"/>
      <c r="W10132" s="24"/>
      <c r="X10132" s="24"/>
      <c r="Y10132" s="24"/>
      <c r="Z10132" s="24"/>
      <c r="AA10132" s="24"/>
    </row>
    <row r="10133">
      <c r="A10133" s="24"/>
      <c r="B10133" s="25"/>
      <c r="C10133" s="24"/>
      <c r="D10133" s="26"/>
      <c r="E10133" s="24"/>
      <c r="F10133" s="24"/>
      <c r="G10133" s="24"/>
      <c r="H10133" s="24"/>
      <c r="I10133" s="24"/>
      <c r="J10133" s="24"/>
      <c r="K10133" s="24"/>
      <c r="L10133" s="24"/>
      <c r="M10133" s="24"/>
      <c r="N10133" s="24"/>
      <c r="O10133" s="24"/>
      <c r="P10133" s="24"/>
      <c r="Q10133" s="24"/>
      <c r="R10133" s="24"/>
      <c r="S10133" s="24"/>
      <c r="T10133" s="24"/>
      <c r="U10133" s="24"/>
      <c r="V10133" s="24"/>
      <c r="W10133" s="24"/>
      <c r="X10133" s="24"/>
      <c r="Y10133" s="24"/>
      <c r="Z10133" s="24"/>
      <c r="AA10133" s="24"/>
    </row>
    <row r="10134">
      <c r="A10134" s="24"/>
      <c r="B10134" s="25"/>
      <c r="C10134" s="24"/>
      <c r="D10134" s="26"/>
      <c r="E10134" s="24"/>
      <c r="F10134" s="24"/>
      <c r="G10134" s="24"/>
      <c r="H10134" s="24"/>
      <c r="I10134" s="24"/>
      <c r="J10134" s="24"/>
      <c r="K10134" s="24"/>
      <c r="L10134" s="24"/>
      <c r="M10134" s="24"/>
      <c r="N10134" s="24"/>
      <c r="O10134" s="24"/>
      <c r="P10134" s="24"/>
      <c r="Q10134" s="24"/>
      <c r="R10134" s="24"/>
      <c r="S10134" s="24"/>
      <c r="T10134" s="24"/>
      <c r="U10134" s="24"/>
      <c r="V10134" s="24"/>
      <c r="W10134" s="24"/>
      <c r="X10134" s="24"/>
      <c r="Y10134" s="24"/>
      <c r="Z10134" s="24"/>
      <c r="AA10134" s="24"/>
    </row>
    <row r="10135">
      <c r="A10135" s="24"/>
      <c r="B10135" s="25"/>
      <c r="C10135" s="24"/>
      <c r="D10135" s="26"/>
      <c r="E10135" s="24"/>
      <c r="F10135" s="24"/>
      <c r="G10135" s="24"/>
      <c r="H10135" s="24"/>
      <c r="I10135" s="24"/>
      <c r="J10135" s="24"/>
      <c r="K10135" s="24"/>
      <c r="L10135" s="24"/>
      <c r="M10135" s="24"/>
      <c r="N10135" s="24"/>
      <c r="O10135" s="24"/>
      <c r="P10135" s="24"/>
      <c r="Q10135" s="24"/>
      <c r="R10135" s="24"/>
      <c r="S10135" s="24"/>
      <c r="T10135" s="24"/>
      <c r="U10135" s="24"/>
      <c r="V10135" s="24"/>
      <c r="W10135" s="24"/>
      <c r="X10135" s="24"/>
      <c r="Y10135" s="24"/>
      <c r="Z10135" s="24"/>
      <c r="AA10135" s="24"/>
    </row>
    <row r="10136">
      <c r="A10136" s="24"/>
      <c r="B10136" s="25"/>
      <c r="C10136" s="24"/>
      <c r="D10136" s="26"/>
      <c r="E10136" s="24"/>
      <c r="F10136" s="24"/>
      <c r="G10136" s="24"/>
      <c r="H10136" s="24"/>
      <c r="I10136" s="24"/>
      <c r="J10136" s="24"/>
      <c r="K10136" s="24"/>
      <c r="L10136" s="24"/>
      <c r="M10136" s="24"/>
      <c r="N10136" s="24"/>
      <c r="O10136" s="24"/>
      <c r="P10136" s="24"/>
      <c r="Q10136" s="24"/>
      <c r="R10136" s="24"/>
      <c r="S10136" s="24"/>
      <c r="T10136" s="24"/>
      <c r="U10136" s="24"/>
      <c r="V10136" s="24"/>
      <c r="W10136" s="24"/>
      <c r="X10136" s="24"/>
      <c r="Y10136" s="24"/>
      <c r="Z10136" s="24"/>
      <c r="AA10136" s="24"/>
    </row>
    <row r="10137">
      <c r="A10137" s="24"/>
      <c r="B10137" s="25"/>
      <c r="C10137" s="24"/>
      <c r="D10137" s="26"/>
      <c r="E10137" s="24"/>
      <c r="F10137" s="24"/>
      <c r="G10137" s="24"/>
      <c r="H10137" s="24"/>
      <c r="I10137" s="24"/>
      <c r="J10137" s="24"/>
      <c r="K10137" s="24"/>
      <c r="L10137" s="24"/>
      <c r="M10137" s="24"/>
      <c r="N10137" s="24"/>
      <c r="O10137" s="24"/>
      <c r="P10137" s="24"/>
      <c r="Q10137" s="24"/>
      <c r="R10137" s="24"/>
      <c r="S10137" s="24"/>
      <c r="T10137" s="24"/>
      <c r="U10137" s="24"/>
      <c r="V10137" s="24"/>
      <c r="W10137" s="24"/>
      <c r="X10137" s="24"/>
      <c r="Y10137" s="24"/>
      <c r="Z10137" s="24"/>
      <c r="AA10137" s="24"/>
    </row>
    <row r="10138">
      <c r="A10138" s="24"/>
      <c r="B10138" s="25"/>
      <c r="C10138" s="24"/>
      <c r="D10138" s="26"/>
      <c r="E10138" s="24"/>
      <c r="F10138" s="24"/>
      <c r="G10138" s="24"/>
      <c r="H10138" s="24"/>
      <c r="I10138" s="24"/>
      <c r="J10138" s="24"/>
      <c r="K10138" s="24"/>
      <c r="L10138" s="24"/>
      <c r="M10138" s="24"/>
      <c r="N10138" s="24"/>
      <c r="O10138" s="24"/>
      <c r="P10138" s="24"/>
      <c r="Q10138" s="24"/>
      <c r="R10138" s="24"/>
      <c r="S10138" s="24"/>
      <c r="T10138" s="24"/>
      <c r="U10138" s="24"/>
      <c r="V10138" s="24"/>
      <c r="W10138" s="24"/>
      <c r="X10138" s="24"/>
      <c r="Y10138" s="24"/>
      <c r="Z10138" s="24"/>
      <c r="AA10138" s="24"/>
    </row>
    <row r="10139">
      <c r="A10139" s="24"/>
      <c r="B10139" s="25"/>
      <c r="C10139" s="24"/>
      <c r="D10139" s="26"/>
      <c r="E10139" s="24"/>
      <c r="F10139" s="24"/>
      <c r="G10139" s="24"/>
      <c r="H10139" s="24"/>
      <c r="I10139" s="24"/>
      <c r="J10139" s="24"/>
      <c r="K10139" s="24"/>
      <c r="L10139" s="24"/>
      <c r="M10139" s="24"/>
      <c r="N10139" s="24"/>
      <c r="O10139" s="24"/>
      <c r="P10139" s="24"/>
      <c r="Q10139" s="24"/>
      <c r="R10139" s="24"/>
      <c r="S10139" s="24"/>
      <c r="T10139" s="24"/>
      <c r="U10139" s="24"/>
      <c r="V10139" s="24"/>
      <c r="W10139" s="24"/>
      <c r="X10139" s="24"/>
      <c r="Y10139" s="24"/>
      <c r="Z10139" s="24"/>
      <c r="AA10139" s="24"/>
    </row>
    <row r="10140">
      <c r="A10140" s="24"/>
      <c r="B10140" s="25"/>
      <c r="C10140" s="24"/>
      <c r="D10140" s="26"/>
      <c r="E10140" s="24"/>
      <c r="F10140" s="24"/>
      <c r="G10140" s="24"/>
      <c r="H10140" s="24"/>
      <c r="I10140" s="24"/>
      <c r="J10140" s="24"/>
      <c r="K10140" s="24"/>
      <c r="L10140" s="24"/>
      <c r="M10140" s="24"/>
      <c r="N10140" s="24"/>
      <c r="O10140" s="24"/>
      <c r="P10140" s="24"/>
      <c r="Q10140" s="24"/>
      <c r="R10140" s="24"/>
      <c r="S10140" s="24"/>
      <c r="T10140" s="24"/>
      <c r="U10140" s="24"/>
      <c r="V10140" s="24"/>
      <c r="W10140" s="24"/>
      <c r="X10140" s="24"/>
      <c r="Y10140" s="24"/>
      <c r="Z10140" s="24"/>
      <c r="AA10140" s="24"/>
    </row>
    <row r="10141">
      <c r="A10141" s="24"/>
      <c r="B10141" s="25"/>
      <c r="C10141" s="24"/>
      <c r="D10141" s="26"/>
      <c r="E10141" s="24"/>
      <c r="F10141" s="24"/>
      <c r="G10141" s="24"/>
      <c r="H10141" s="24"/>
      <c r="I10141" s="24"/>
      <c r="J10141" s="24"/>
      <c r="K10141" s="24"/>
      <c r="L10141" s="24"/>
      <c r="M10141" s="24"/>
      <c r="N10141" s="24"/>
      <c r="O10141" s="24"/>
      <c r="P10141" s="24"/>
      <c r="Q10141" s="24"/>
      <c r="R10141" s="24"/>
      <c r="S10141" s="24"/>
      <c r="T10141" s="24"/>
      <c r="U10141" s="24"/>
      <c r="V10141" s="24"/>
      <c r="W10141" s="24"/>
      <c r="X10141" s="24"/>
      <c r="Y10141" s="24"/>
      <c r="Z10141" s="24"/>
      <c r="AA10141" s="24"/>
    </row>
    <row r="10142">
      <c r="A10142" s="24"/>
      <c r="B10142" s="25"/>
      <c r="C10142" s="24"/>
      <c r="D10142" s="26"/>
      <c r="E10142" s="24"/>
      <c r="F10142" s="24"/>
      <c r="G10142" s="24"/>
      <c r="H10142" s="24"/>
      <c r="I10142" s="24"/>
      <c r="J10142" s="24"/>
      <c r="K10142" s="24"/>
      <c r="L10142" s="24"/>
      <c r="M10142" s="24"/>
      <c r="N10142" s="24"/>
      <c r="O10142" s="24"/>
      <c r="P10142" s="24"/>
      <c r="Q10142" s="24"/>
      <c r="R10142" s="24"/>
      <c r="S10142" s="24"/>
      <c r="T10142" s="24"/>
      <c r="U10142" s="24"/>
      <c r="V10142" s="24"/>
      <c r="W10142" s="24"/>
      <c r="X10142" s="24"/>
      <c r="Y10142" s="24"/>
      <c r="Z10142" s="24"/>
      <c r="AA10142" s="24"/>
    </row>
    <row r="10143">
      <c r="A10143" s="24"/>
      <c r="B10143" s="25"/>
      <c r="C10143" s="24"/>
      <c r="D10143" s="26"/>
      <c r="E10143" s="24"/>
      <c r="F10143" s="24"/>
      <c r="G10143" s="24"/>
      <c r="H10143" s="24"/>
      <c r="I10143" s="24"/>
      <c r="J10143" s="24"/>
      <c r="K10143" s="24"/>
      <c r="L10143" s="24"/>
      <c r="M10143" s="24"/>
      <c r="N10143" s="24"/>
      <c r="O10143" s="24"/>
      <c r="P10143" s="24"/>
      <c r="Q10143" s="24"/>
      <c r="R10143" s="24"/>
      <c r="S10143" s="24"/>
      <c r="T10143" s="24"/>
      <c r="U10143" s="24"/>
      <c r="V10143" s="24"/>
      <c r="W10143" s="24"/>
      <c r="X10143" s="24"/>
      <c r="Y10143" s="24"/>
      <c r="Z10143" s="24"/>
      <c r="AA10143" s="24"/>
    </row>
    <row r="10144">
      <c r="A10144" s="24"/>
      <c r="B10144" s="25"/>
      <c r="C10144" s="24"/>
      <c r="D10144" s="26"/>
      <c r="E10144" s="24"/>
      <c r="F10144" s="24"/>
      <c r="G10144" s="24"/>
      <c r="H10144" s="24"/>
      <c r="I10144" s="24"/>
      <c r="J10144" s="24"/>
      <c r="K10144" s="24"/>
      <c r="L10144" s="24"/>
      <c r="M10144" s="24"/>
      <c r="N10144" s="24"/>
      <c r="O10144" s="24"/>
      <c r="P10144" s="24"/>
      <c r="Q10144" s="24"/>
      <c r="R10144" s="24"/>
      <c r="S10144" s="24"/>
      <c r="T10144" s="24"/>
      <c r="U10144" s="24"/>
      <c r="V10144" s="24"/>
      <c r="W10144" s="24"/>
      <c r="X10144" s="24"/>
      <c r="Y10144" s="24"/>
      <c r="Z10144" s="24"/>
      <c r="AA10144" s="24"/>
    </row>
    <row r="10145">
      <c r="A10145" s="24"/>
      <c r="B10145" s="25"/>
      <c r="C10145" s="24"/>
      <c r="D10145" s="26"/>
      <c r="E10145" s="24"/>
      <c r="F10145" s="24"/>
      <c r="G10145" s="24"/>
      <c r="H10145" s="24"/>
      <c r="I10145" s="24"/>
      <c r="J10145" s="24"/>
      <c r="K10145" s="24"/>
      <c r="L10145" s="24"/>
      <c r="M10145" s="24"/>
      <c r="N10145" s="24"/>
      <c r="O10145" s="24"/>
      <c r="P10145" s="24"/>
      <c r="Q10145" s="24"/>
      <c r="R10145" s="24"/>
      <c r="S10145" s="24"/>
      <c r="T10145" s="24"/>
      <c r="U10145" s="24"/>
      <c r="V10145" s="24"/>
      <c r="W10145" s="24"/>
      <c r="X10145" s="24"/>
      <c r="Y10145" s="24"/>
      <c r="Z10145" s="24"/>
      <c r="AA10145" s="24"/>
    </row>
    <row r="10146">
      <c r="A10146" s="24"/>
      <c r="B10146" s="25"/>
      <c r="C10146" s="24"/>
      <c r="D10146" s="26"/>
      <c r="E10146" s="24"/>
      <c r="F10146" s="24"/>
      <c r="G10146" s="24"/>
      <c r="H10146" s="24"/>
      <c r="I10146" s="24"/>
      <c r="J10146" s="24"/>
      <c r="K10146" s="24"/>
      <c r="L10146" s="24"/>
      <c r="M10146" s="24"/>
      <c r="N10146" s="24"/>
      <c r="O10146" s="24"/>
      <c r="P10146" s="24"/>
      <c r="Q10146" s="24"/>
      <c r="R10146" s="24"/>
      <c r="S10146" s="24"/>
      <c r="T10146" s="24"/>
      <c r="U10146" s="24"/>
      <c r="V10146" s="24"/>
      <c r="W10146" s="24"/>
      <c r="X10146" s="24"/>
      <c r="Y10146" s="24"/>
      <c r="Z10146" s="24"/>
      <c r="AA10146" s="24"/>
    </row>
    <row r="10147">
      <c r="A10147" s="24"/>
      <c r="B10147" s="25"/>
      <c r="C10147" s="24"/>
      <c r="D10147" s="26"/>
      <c r="E10147" s="24"/>
      <c r="F10147" s="24"/>
      <c r="G10147" s="24"/>
      <c r="H10147" s="24"/>
      <c r="I10147" s="24"/>
      <c r="J10147" s="24"/>
      <c r="K10147" s="24"/>
      <c r="L10147" s="24"/>
      <c r="M10147" s="24"/>
      <c r="N10147" s="24"/>
      <c r="O10147" s="24"/>
      <c r="P10147" s="24"/>
      <c r="Q10147" s="24"/>
      <c r="R10147" s="24"/>
      <c r="S10147" s="24"/>
      <c r="T10147" s="24"/>
      <c r="U10147" s="24"/>
      <c r="V10147" s="24"/>
      <c r="W10147" s="24"/>
      <c r="X10147" s="24"/>
      <c r="Y10147" s="24"/>
      <c r="Z10147" s="24"/>
      <c r="AA10147" s="24"/>
    </row>
    <row r="10148">
      <c r="A10148" s="24"/>
      <c r="B10148" s="25"/>
      <c r="C10148" s="24"/>
      <c r="D10148" s="26"/>
      <c r="E10148" s="24"/>
      <c r="F10148" s="24"/>
      <c r="G10148" s="24"/>
      <c r="H10148" s="24"/>
      <c r="I10148" s="24"/>
      <c r="J10148" s="24"/>
      <c r="K10148" s="24"/>
      <c r="L10148" s="24"/>
      <c r="M10148" s="24"/>
      <c r="N10148" s="24"/>
      <c r="O10148" s="24"/>
      <c r="P10148" s="24"/>
      <c r="Q10148" s="24"/>
      <c r="R10148" s="24"/>
      <c r="S10148" s="24"/>
      <c r="T10148" s="24"/>
      <c r="U10148" s="24"/>
      <c r="V10148" s="24"/>
      <c r="W10148" s="24"/>
      <c r="X10148" s="24"/>
      <c r="Y10148" s="24"/>
      <c r="Z10148" s="24"/>
      <c r="AA10148" s="24"/>
    </row>
    <row r="10149">
      <c r="A10149" s="24"/>
      <c r="B10149" s="25"/>
      <c r="C10149" s="24"/>
      <c r="D10149" s="26"/>
      <c r="E10149" s="24"/>
      <c r="F10149" s="24"/>
      <c r="G10149" s="24"/>
      <c r="H10149" s="24"/>
      <c r="I10149" s="24"/>
      <c r="J10149" s="24"/>
      <c r="K10149" s="24"/>
      <c r="L10149" s="24"/>
      <c r="M10149" s="24"/>
      <c r="N10149" s="24"/>
      <c r="O10149" s="24"/>
      <c r="P10149" s="24"/>
      <c r="Q10149" s="24"/>
      <c r="R10149" s="24"/>
      <c r="S10149" s="24"/>
      <c r="T10149" s="24"/>
      <c r="U10149" s="24"/>
      <c r="V10149" s="24"/>
      <c r="W10149" s="24"/>
      <c r="X10149" s="24"/>
      <c r="Y10149" s="24"/>
      <c r="Z10149" s="24"/>
      <c r="AA10149" s="24"/>
    </row>
    <row r="10150">
      <c r="A10150" s="24"/>
      <c r="B10150" s="25"/>
      <c r="C10150" s="24"/>
      <c r="D10150" s="26"/>
      <c r="E10150" s="24"/>
      <c r="F10150" s="24"/>
      <c r="G10150" s="24"/>
      <c r="H10150" s="24"/>
      <c r="I10150" s="24"/>
      <c r="J10150" s="24"/>
      <c r="K10150" s="24"/>
      <c r="L10150" s="24"/>
      <c r="M10150" s="24"/>
      <c r="N10150" s="24"/>
      <c r="O10150" s="24"/>
      <c r="P10150" s="24"/>
      <c r="Q10150" s="24"/>
      <c r="R10150" s="24"/>
      <c r="S10150" s="24"/>
      <c r="T10150" s="24"/>
      <c r="U10150" s="24"/>
      <c r="V10150" s="24"/>
      <c r="W10150" s="24"/>
      <c r="X10150" s="24"/>
      <c r="Y10150" s="24"/>
      <c r="Z10150" s="24"/>
      <c r="AA10150" s="24"/>
    </row>
    <row r="10151">
      <c r="A10151" s="24"/>
      <c r="B10151" s="25"/>
      <c r="C10151" s="24"/>
      <c r="D10151" s="26"/>
      <c r="E10151" s="24"/>
      <c r="F10151" s="24"/>
      <c r="G10151" s="24"/>
      <c r="H10151" s="24"/>
      <c r="I10151" s="24"/>
      <c r="J10151" s="24"/>
      <c r="K10151" s="24"/>
      <c r="L10151" s="24"/>
      <c r="M10151" s="24"/>
      <c r="N10151" s="24"/>
      <c r="O10151" s="24"/>
      <c r="P10151" s="24"/>
      <c r="Q10151" s="24"/>
      <c r="R10151" s="24"/>
      <c r="S10151" s="24"/>
      <c r="T10151" s="24"/>
      <c r="U10151" s="24"/>
      <c r="V10151" s="24"/>
      <c r="W10151" s="24"/>
      <c r="X10151" s="24"/>
      <c r="Y10151" s="24"/>
      <c r="Z10151" s="24"/>
      <c r="AA10151" s="24"/>
    </row>
    <row r="10152">
      <c r="A10152" s="24"/>
      <c r="B10152" s="25"/>
      <c r="C10152" s="24"/>
      <c r="D10152" s="26"/>
      <c r="E10152" s="24"/>
      <c r="F10152" s="24"/>
      <c r="G10152" s="24"/>
      <c r="H10152" s="24"/>
      <c r="I10152" s="24"/>
      <c r="J10152" s="24"/>
      <c r="K10152" s="24"/>
      <c r="L10152" s="24"/>
      <c r="M10152" s="24"/>
      <c r="N10152" s="24"/>
      <c r="O10152" s="24"/>
      <c r="P10152" s="24"/>
      <c r="Q10152" s="24"/>
      <c r="R10152" s="24"/>
      <c r="S10152" s="24"/>
      <c r="T10152" s="24"/>
      <c r="U10152" s="24"/>
      <c r="V10152" s="24"/>
      <c r="W10152" s="24"/>
      <c r="X10152" s="24"/>
      <c r="Y10152" s="24"/>
      <c r="Z10152" s="24"/>
      <c r="AA10152" s="24"/>
    </row>
    <row r="10153">
      <c r="A10153" s="24"/>
      <c r="B10153" s="25"/>
      <c r="C10153" s="24"/>
      <c r="D10153" s="26"/>
      <c r="E10153" s="24"/>
      <c r="F10153" s="24"/>
      <c r="G10153" s="24"/>
      <c r="H10153" s="24"/>
      <c r="I10153" s="24"/>
      <c r="J10153" s="24"/>
      <c r="K10153" s="24"/>
      <c r="L10153" s="24"/>
      <c r="M10153" s="24"/>
      <c r="N10153" s="24"/>
      <c r="O10153" s="24"/>
      <c r="P10153" s="24"/>
      <c r="Q10153" s="24"/>
      <c r="R10153" s="24"/>
      <c r="S10153" s="24"/>
      <c r="T10153" s="24"/>
      <c r="U10153" s="24"/>
      <c r="V10153" s="24"/>
      <c r="W10153" s="24"/>
      <c r="X10153" s="24"/>
      <c r="Y10153" s="24"/>
      <c r="Z10153" s="24"/>
      <c r="AA10153" s="24"/>
    </row>
    <row r="10154">
      <c r="A10154" s="24"/>
      <c r="B10154" s="25"/>
      <c r="C10154" s="24"/>
      <c r="D10154" s="26"/>
      <c r="E10154" s="24"/>
      <c r="F10154" s="24"/>
      <c r="G10154" s="24"/>
      <c r="H10154" s="24"/>
      <c r="I10154" s="24"/>
      <c r="J10154" s="24"/>
      <c r="K10154" s="24"/>
      <c r="L10154" s="24"/>
      <c r="M10154" s="24"/>
      <c r="N10154" s="24"/>
      <c r="O10154" s="24"/>
      <c r="P10154" s="24"/>
      <c r="Q10154" s="24"/>
      <c r="R10154" s="24"/>
      <c r="S10154" s="24"/>
      <c r="T10154" s="24"/>
      <c r="U10154" s="24"/>
      <c r="V10154" s="24"/>
      <c r="W10154" s="24"/>
      <c r="X10154" s="24"/>
      <c r="Y10154" s="24"/>
      <c r="Z10154" s="24"/>
      <c r="AA10154" s="24"/>
    </row>
    <row r="10155">
      <c r="A10155" s="24"/>
      <c r="B10155" s="25"/>
      <c r="C10155" s="24"/>
      <c r="D10155" s="26"/>
      <c r="E10155" s="24"/>
      <c r="F10155" s="24"/>
      <c r="G10155" s="24"/>
      <c r="H10155" s="24"/>
      <c r="I10155" s="24"/>
      <c r="J10155" s="24"/>
      <c r="K10155" s="24"/>
      <c r="L10155" s="24"/>
      <c r="M10155" s="24"/>
      <c r="N10155" s="24"/>
      <c r="O10155" s="24"/>
      <c r="P10155" s="24"/>
      <c r="Q10155" s="24"/>
      <c r="R10155" s="24"/>
      <c r="S10155" s="24"/>
      <c r="T10155" s="24"/>
      <c r="U10155" s="24"/>
      <c r="V10155" s="24"/>
      <c r="W10155" s="24"/>
      <c r="X10155" s="24"/>
      <c r="Y10155" s="24"/>
      <c r="Z10155" s="24"/>
      <c r="AA10155" s="24"/>
    </row>
    <row r="10156">
      <c r="A10156" s="24"/>
      <c r="B10156" s="25"/>
      <c r="C10156" s="24"/>
      <c r="D10156" s="26"/>
      <c r="E10156" s="24"/>
      <c r="F10156" s="24"/>
      <c r="G10156" s="24"/>
      <c r="H10156" s="24"/>
      <c r="I10156" s="24"/>
      <c r="J10156" s="24"/>
      <c r="K10156" s="24"/>
      <c r="L10156" s="24"/>
      <c r="M10156" s="24"/>
      <c r="N10156" s="24"/>
      <c r="O10156" s="24"/>
      <c r="P10156" s="24"/>
      <c r="Q10156" s="24"/>
      <c r="R10156" s="24"/>
      <c r="S10156" s="24"/>
      <c r="T10156" s="24"/>
      <c r="U10156" s="24"/>
      <c r="V10156" s="24"/>
      <c r="W10156" s="24"/>
      <c r="X10156" s="24"/>
      <c r="Y10156" s="24"/>
      <c r="Z10156" s="24"/>
      <c r="AA10156" s="24"/>
    </row>
    <row r="10157">
      <c r="A10157" s="24"/>
      <c r="B10157" s="25"/>
      <c r="C10157" s="24"/>
      <c r="D10157" s="26"/>
      <c r="E10157" s="24"/>
      <c r="F10157" s="24"/>
      <c r="G10157" s="24"/>
      <c r="H10157" s="24"/>
      <c r="I10157" s="24"/>
      <c r="J10157" s="24"/>
      <c r="K10157" s="24"/>
      <c r="L10157" s="24"/>
      <c r="M10157" s="24"/>
      <c r="N10157" s="24"/>
      <c r="O10157" s="24"/>
      <c r="P10157" s="24"/>
      <c r="Q10157" s="24"/>
      <c r="R10157" s="24"/>
      <c r="S10157" s="24"/>
      <c r="T10157" s="24"/>
      <c r="U10157" s="24"/>
      <c r="V10157" s="24"/>
      <c r="W10157" s="24"/>
      <c r="X10157" s="24"/>
      <c r="Y10157" s="24"/>
      <c r="Z10157" s="24"/>
      <c r="AA10157" s="24"/>
    </row>
    <row r="10158">
      <c r="A10158" s="24"/>
      <c r="B10158" s="25"/>
      <c r="C10158" s="24"/>
      <c r="D10158" s="26"/>
      <c r="E10158" s="24"/>
      <c r="F10158" s="24"/>
      <c r="G10158" s="24"/>
      <c r="H10158" s="24"/>
      <c r="I10158" s="24"/>
      <c r="J10158" s="24"/>
      <c r="K10158" s="24"/>
      <c r="L10158" s="24"/>
      <c r="M10158" s="24"/>
      <c r="N10158" s="24"/>
      <c r="O10158" s="24"/>
      <c r="P10158" s="24"/>
      <c r="Q10158" s="24"/>
      <c r="R10158" s="24"/>
      <c r="S10158" s="24"/>
      <c r="T10158" s="24"/>
      <c r="U10158" s="24"/>
      <c r="V10158" s="24"/>
      <c r="W10158" s="24"/>
      <c r="X10158" s="24"/>
      <c r="Y10158" s="24"/>
      <c r="Z10158" s="24"/>
      <c r="AA10158" s="24"/>
    </row>
    <row r="10159">
      <c r="A10159" s="24"/>
      <c r="B10159" s="25"/>
      <c r="C10159" s="24"/>
      <c r="D10159" s="26"/>
      <c r="E10159" s="24"/>
      <c r="F10159" s="24"/>
      <c r="G10159" s="24"/>
      <c r="H10159" s="24"/>
      <c r="I10159" s="24"/>
      <c r="J10159" s="24"/>
      <c r="K10159" s="24"/>
      <c r="L10159" s="24"/>
      <c r="M10159" s="24"/>
      <c r="N10159" s="24"/>
      <c r="O10159" s="24"/>
      <c r="P10159" s="24"/>
      <c r="Q10159" s="24"/>
      <c r="R10159" s="24"/>
      <c r="S10159" s="24"/>
      <c r="T10159" s="24"/>
      <c r="U10159" s="24"/>
      <c r="V10159" s="24"/>
      <c r="W10159" s="24"/>
      <c r="X10159" s="24"/>
      <c r="Y10159" s="24"/>
      <c r="Z10159" s="24"/>
      <c r="AA10159" s="24"/>
    </row>
    <row r="10160">
      <c r="A10160" s="24"/>
      <c r="B10160" s="25"/>
      <c r="C10160" s="24"/>
      <c r="D10160" s="26"/>
      <c r="E10160" s="24"/>
      <c r="F10160" s="24"/>
      <c r="G10160" s="24"/>
      <c r="H10160" s="24"/>
      <c r="I10160" s="24"/>
      <c r="J10160" s="24"/>
      <c r="K10160" s="24"/>
      <c r="L10160" s="24"/>
      <c r="M10160" s="24"/>
      <c r="N10160" s="24"/>
      <c r="O10160" s="24"/>
      <c r="P10160" s="24"/>
      <c r="Q10160" s="24"/>
      <c r="R10160" s="24"/>
      <c r="S10160" s="24"/>
      <c r="T10160" s="24"/>
      <c r="U10160" s="24"/>
      <c r="V10160" s="24"/>
      <c r="W10160" s="24"/>
      <c r="X10160" s="24"/>
      <c r="Y10160" s="24"/>
      <c r="Z10160" s="24"/>
      <c r="AA10160" s="24"/>
    </row>
    <row r="10161">
      <c r="A10161" s="24"/>
      <c r="B10161" s="25"/>
      <c r="C10161" s="24"/>
      <c r="D10161" s="26"/>
      <c r="E10161" s="24"/>
      <c r="F10161" s="24"/>
      <c r="G10161" s="24"/>
      <c r="H10161" s="24"/>
      <c r="I10161" s="24"/>
      <c r="J10161" s="24"/>
      <c r="K10161" s="24"/>
      <c r="L10161" s="24"/>
      <c r="M10161" s="24"/>
      <c r="N10161" s="24"/>
      <c r="O10161" s="24"/>
      <c r="P10161" s="24"/>
      <c r="Q10161" s="24"/>
      <c r="R10161" s="24"/>
      <c r="S10161" s="24"/>
      <c r="T10161" s="24"/>
      <c r="U10161" s="24"/>
      <c r="V10161" s="24"/>
      <c r="W10161" s="24"/>
      <c r="X10161" s="24"/>
      <c r="Y10161" s="24"/>
      <c r="Z10161" s="24"/>
      <c r="AA10161" s="24"/>
    </row>
    <row r="10162">
      <c r="A10162" s="24"/>
      <c r="B10162" s="25"/>
      <c r="C10162" s="24"/>
      <c r="D10162" s="26"/>
      <c r="E10162" s="24"/>
      <c r="F10162" s="24"/>
      <c r="G10162" s="24"/>
      <c r="H10162" s="24"/>
      <c r="I10162" s="24"/>
      <c r="J10162" s="24"/>
      <c r="K10162" s="24"/>
      <c r="L10162" s="24"/>
      <c r="M10162" s="24"/>
      <c r="N10162" s="24"/>
      <c r="O10162" s="24"/>
      <c r="P10162" s="24"/>
      <c r="Q10162" s="24"/>
      <c r="R10162" s="24"/>
      <c r="S10162" s="24"/>
      <c r="T10162" s="24"/>
      <c r="U10162" s="24"/>
      <c r="V10162" s="24"/>
      <c r="W10162" s="24"/>
      <c r="X10162" s="24"/>
      <c r="Y10162" s="24"/>
      <c r="Z10162" s="24"/>
      <c r="AA10162" s="24"/>
    </row>
    <row r="10163">
      <c r="A10163" s="24"/>
      <c r="B10163" s="25"/>
      <c r="C10163" s="24"/>
      <c r="D10163" s="26"/>
      <c r="E10163" s="24"/>
      <c r="F10163" s="24"/>
      <c r="G10163" s="24"/>
      <c r="H10163" s="24"/>
      <c r="I10163" s="24"/>
      <c r="J10163" s="24"/>
      <c r="K10163" s="24"/>
      <c r="L10163" s="24"/>
      <c r="M10163" s="24"/>
      <c r="N10163" s="24"/>
      <c r="O10163" s="24"/>
      <c r="P10163" s="24"/>
      <c r="Q10163" s="24"/>
      <c r="R10163" s="24"/>
      <c r="S10163" s="24"/>
      <c r="T10163" s="24"/>
      <c r="U10163" s="24"/>
      <c r="V10163" s="24"/>
      <c r="W10163" s="24"/>
      <c r="X10163" s="24"/>
      <c r="Y10163" s="24"/>
      <c r="Z10163" s="24"/>
      <c r="AA10163" s="24"/>
    </row>
    <row r="10164">
      <c r="A10164" s="24"/>
      <c r="B10164" s="25"/>
      <c r="C10164" s="24"/>
      <c r="D10164" s="26"/>
      <c r="E10164" s="24"/>
      <c r="F10164" s="24"/>
      <c r="G10164" s="24"/>
      <c r="H10164" s="24"/>
      <c r="I10164" s="24"/>
      <c r="J10164" s="24"/>
      <c r="K10164" s="24"/>
      <c r="L10164" s="24"/>
      <c r="M10164" s="24"/>
      <c r="N10164" s="24"/>
      <c r="O10164" s="24"/>
      <c r="P10164" s="24"/>
      <c r="Q10164" s="24"/>
      <c r="R10164" s="24"/>
      <c r="S10164" s="24"/>
      <c r="T10164" s="24"/>
      <c r="U10164" s="24"/>
      <c r="V10164" s="24"/>
      <c r="W10164" s="24"/>
      <c r="X10164" s="24"/>
      <c r="Y10164" s="24"/>
      <c r="Z10164" s="24"/>
      <c r="AA10164" s="24"/>
    </row>
    <row r="10165">
      <c r="A10165" s="24"/>
      <c r="B10165" s="25"/>
      <c r="C10165" s="24"/>
      <c r="D10165" s="26"/>
      <c r="E10165" s="24"/>
      <c r="F10165" s="24"/>
      <c r="G10165" s="24"/>
      <c r="H10165" s="24"/>
      <c r="I10165" s="24"/>
      <c r="J10165" s="24"/>
      <c r="K10165" s="24"/>
      <c r="L10165" s="24"/>
      <c r="M10165" s="24"/>
      <c r="N10165" s="24"/>
      <c r="O10165" s="24"/>
      <c r="P10165" s="24"/>
      <c r="Q10165" s="24"/>
      <c r="R10165" s="24"/>
      <c r="S10165" s="24"/>
      <c r="T10165" s="24"/>
      <c r="U10165" s="24"/>
      <c r="V10165" s="24"/>
      <c r="W10165" s="24"/>
      <c r="X10165" s="24"/>
      <c r="Y10165" s="24"/>
      <c r="Z10165" s="24"/>
      <c r="AA10165" s="24"/>
    </row>
    <row r="10166">
      <c r="A10166" s="24"/>
      <c r="B10166" s="25"/>
      <c r="C10166" s="24"/>
      <c r="D10166" s="26"/>
      <c r="E10166" s="24"/>
      <c r="F10166" s="24"/>
      <c r="G10166" s="24"/>
      <c r="H10166" s="24"/>
      <c r="I10166" s="24"/>
      <c r="J10166" s="24"/>
      <c r="K10166" s="24"/>
      <c r="L10166" s="24"/>
      <c r="M10166" s="24"/>
      <c r="N10166" s="24"/>
      <c r="O10166" s="24"/>
      <c r="P10166" s="24"/>
      <c r="Q10166" s="24"/>
      <c r="R10166" s="24"/>
      <c r="S10166" s="24"/>
      <c r="T10166" s="24"/>
      <c r="U10166" s="24"/>
      <c r="V10166" s="24"/>
      <c r="W10166" s="24"/>
      <c r="X10166" s="24"/>
      <c r="Y10166" s="24"/>
      <c r="Z10166" s="24"/>
      <c r="AA10166" s="24"/>
    </row>
    <row r="10167">
      <c r="A10167" s="24"/>
      <c r="B10167" s="25"/>
      <c r="C10167" s="24"/>
      <c r="D10167" s="26"/>
      <c r="E10167" s="24"/>
      <c r="F10167" s="24"/>
      <c r="G10167" s="24"/>
      <c r="H10167" s="24"/>
      <c r="I10167" s="24"/>
      <c r="J10167" s="24"/>
      <c r="K10167" s="24"/>
      <c r="L10167" s="24"/>
      <c r="M10167" s="24"/>
      <c r="N10167" s="24"/>
      <c r="O10167" s="24"/>
      <c r="P10167" s="24"/>
      <c r="Q10167" s="24"/>
      <c r="R10167" s="24"/>
      <c r="S10167" s="24"/>
      <c r="T10167" s="24"/>
      <c r="U10167" s="24"/>
      <c r="V10167" s="24"/>
      <c r="W10167" s="24"/>
      <c r="X10167" s="24"/>
      <c r="Y10167" s="24"/>
      <c r="Z10167" s="24"/>
      <c r="AA10167" s="24"/>
    </row>
    <row r="10168">
      <c r="A10168" s="24"/>
      <c r="B10168" s="25"/>
      <c r="C10168" s="24"/>
      <c r="D10168" s="26"/>
      <c r="E10168" s="24"/>
      <c r="F10168" s="24"/>
      <c r="G10168" s="24"/>
      <c r="H10168" s="24"/>
      <c r="I10168" s="24"/>
      <c r="J10168" s="24"/>
      <c r="K10168" s="24"/>
      <c r="L10168" s="24"/>
      <c r="M10168" s="24"/>
      <c r="N10168" s="24"/>
      <c r="O10168" s="24"/>
      <c r="P10168" s="24"/>
      <c r="Q10168" s="24"/>
      <c r="R10168" s="24"/>
      <c r="S10168" s="24"/>
      <c r="T10168" s="24"/>
      <c r="U10168" s="24"/>
      <c r="V10168" s="24"/>
      <c r="W10168" s="24"/>
      <c r="X10168" s="24"/>
      <c r="Y10168" s="24"/>
      <c r="Z10168" s="24"/>
      <c r="AA10168" s="24"/>
    </row>
    <row r="10169">
      <c r="A10169" s="24"/>
      <c r="B10169" s="25"/>
      <c r="C10169" s="24"/>
      <c r="D10169" s="26"/>
      <c r="E10169" s="24"/>
      <c r="F10169" s="24"/>
      <c r="G10169" s="24"/>
      <c r="H10169" s="24"/>
      <c r="I10169" s="24"/>
      <c r="J10169" s="24"/>
      <c r="K10169" s="24"/>
      <c r="L10169" s="24"/>
      <c r="M10169" s="24"/>
      <c r="N10169" s="24"/>
      <c r="O10169" s="24"/>
      <c r="P10169" s="24"/>
      <c r="Q10169" s="24"/>
      <c r="R10169" s="24"/>
      <c r="S10169" s="24"/>
      <c r="T10169" s="24"/>
      <c r="U10169" s="24"/>
      <c r="V10169" s="24"/>
      <c r="W10169" s="24"/>
      <c r="X10169" s="24"/>
      <c r="Y10169" s="24"/>
      <c r="Z10169" s="24"/>
      <c r="AA10169" s="24"/>
    </row>
    <row r="10170">
      <c r="A10170" s="24"/>
      <c r="B10170" s="25"/>
      <c r="C10170" s="24"/>
      <c r="D10170" s="26"/>
      <c r="E10170" s="24"/>
      <c r="F10170" s="24"/>
      <c r="G10170" s="24"/>
      <c r="H10170" s="24"/>
      <c r="I10170" s="24"/>
      <c r="J10170" s="24"/>
      <c r="K10170" s="24"/>
      <c r="L10170" s="24"/>
      <c r="M10170" s="24"/>
      <c r="N10170" s="24"/>
      <c r="O10170" s="24"/>
      <c r="P10170" s="24"/>
      <c r="Q10170" s="24"/>
      <c r="R10170" s="24"/>
      <c r="S10170" s="24"/>
      <c r="T10170" s="24"/>
      <c r="U10170" s="24"/>
      <c r="V10170" s="24"/>
      <c r="W10170" s="24"/>
      <c r="X10170" s="24"/>
      <c r="Y10170" s="24"/>
      <c r="Z10170" s="24"/>
      <c r="AA10170" s="24"/>
    </row>
    <row r="10171">
      <c r="A10171" s="24"/>
      <c r="B10171" s="25"/>
      <c r="C10171" s="24"/>
      <c r="D10171" s="26"/>
      <c r="E10171" s="24"/>
      <c r="F10171" s="24"/>
      <c r="G10171" s="24"/>
      <c r="H10171" s="24"/>
      <c r="I10171" s="24"/>
      <c r="J10171" s="24"/>
      <c r="K10171" s="24"/>
      <c r="L10171" s="24"/>
      <c r="M10171" s="24"/>
      <c r="N10171" s="24"/>
      <c r="O10171" s="24"/>
      <c r="P10171" s="24"/>
      <c r="Q10171" s="24"/>
      <c r="R10171" s="24"/>
      <c r="S10171" s="24"/>
      <c r="T10171" s="24"/>
      <c r="U10171" s="24"/>
      <c r="V10171" s="24"/>
      <c r="W10171" s="24"/>
      <c r="X10171" s="24"/>
      <c r="Y10171" s="24"/>
      <c r="Z10171" s="24"/>
      <c r="AA10171" s="24"/>
    </row>
    <row r="10172">
      <c r="A10172" s="24"/>
      <c r="B10172" s="25"/>
      <c r="C10172" s="24"/>
      <c r="D10172" s="26"/>
      <c r="E10172" s="24"/>
      <c r="F10172" s="24"/>
      <c r="G10172" s="24"/>
      <c r="H10172" s="24"/>
      <c r="I10172" s="24"/>
      <c r="J10172" s="24"/>
      <c r="K10172" s="24"/>
      <c r="L10172" s="24"/>
      <c r="M10172" s="24"/>
      <c r="N10172" s="24"/>
      <c r="O10172" s="24"/>
      <c r="P10172" s="24"/>
      <c r="Q10172" s="24"/>
      <c r="R10172" s="24"/>
      <c r="S10172" s="24"/>
      <c r="T10172" s="24"/>
      <c r="U10172" s="24"/>
      <c r="V10172" s="24"/>
      <c r="W10172" s="24"/>
      <c r="X10172" s="24"/>
      <c r="Y10172" s="24"/>
      <c r="Z10172" s="24"/>
      <c r="AA10172" s="24"/>
    </row>
    <row r="10173">
      <c r="A10173" s="24"/>
      <c r="B10173" s="25"/>
      <c r="C10173" s="24"/>
      <c r="D10173" s="26"/>
      <c r="E10173" s="24"/>
      <c r="F10173" s="24"/>
      <c r="G10173" s="24"/>
      <c r="H10173" s="24"/>
      <c r="I10173" s="24"/>
      <c r="J10173" s="24"/>
      <c r="K10173" s="24"/>
      <c r="L10173" s="24"/>
      <c r="M10173" s="24"/>
      <c r="N10173" s="24"/>
      <c r="O10173" s="24"/>
      <c r="P10173" s="24"/>
      <c r="Q10173" s="24"/>
      <c r="R10173" s="24"/>
      <c r="S10173" s="24"/>
      <c r="T10173" s="24"/>
      <c r="U10173" s="24"/>
      <c r="V10173" s="24"/>
      <c r="W10173" s="24"/>
      <c r="X10173" s="24"/>
      <c r="Y10173" s="24"/>
      <c r="Z10173" s="24"/>
      <c r="AA10173" s="24"/>
    </row>
    <row r="10174">
      <c r="A10174" s="24"/>
      <c r="B10174" s="25"/>
      <c r="C10174" s="24"/>
      <c r="D10174" s="26"/>
      <c r="E10174" s="24"/>
      <c r="F10174" s="24"/>
      <c r="G10174" s="24"/>
      <c r="H10174" s="24"/>
      <c r="I10174" s="24"/>
      <c r="J10174" s="24"/>
      <c r="K10174" s="24"/>
      <c r="L10174" s="24"/>
      <c r="M10174" s="24"/>
      <c r="N10174" s="24"/>
      <c r="O10174" s="24"/>
      <c r="P10174" s="24"/>
      <c r="Q10174" s="24"/>
      <c r="R10174" s="24"/>
      <c r="S10174" s="24"/>
      <c r="T10174" s="24"/>
      <c r="U10174" s="24"/>
      <c r="V10174" s="24"/>
      <c r="W10174" s="24"/>
      <c r="X10174" s="24"/>
      <c r="Y10174" s="24"/>
      <c r="Z10174" s="24"/>
      <c r="AA10174" s="24"/>
    </row>
    <row r="10175">
      <c r="A10175" s="24"/>
      <c r="B10175" s="25"/>
      <c r="C10175" s="24"/>
      <c r="D10175" s="26"/>
      <c r="E10175" s="24"/>
      <c r="F10175" s="24"/>
      <c r="G10175" s="24"/>
      <c r="H10175" s="24"/>
      <c r="I10175" s="24"/>
      <c r="J10175" s="24"/>
      <c r="K10175" s="24"/>
      <c r="L10175" s="24"/>
      <c r="M10175" s="24"/>
      <c r="N10175" s="24"/>
      <c r="O10175" s="24"/>
      <c r="P10175" s="24"/>
      <c r="Q10175" s="24"/>
      <c r="R10175" s="24"/>
      <c r="S10175" s="24"/>
      <c r="T10175" s="24"/>
      <c r="U10175" s="24"/>
      <c r="V10175" s="24"/>
      <c r="W10175" s="24"/>
      <c r="X10175" s="24"/>
      <c r="Y10175" s="24"/>
      <c r="Z10175" s="24"/>
      <c r="AA10175" s="24"/>
    </row>
    <row r="10176">
      <c r="A10176" s="24"/>
      <c r="B10176" s="25"/>
      <c r="C10176" s="24"/>
      <c r="D10176" s="26"/>
      <c r="E10176" s="24"/>
      <c r="F10176" s="24"/>
      <c r="G10176" s="24"/>
      <c r="H10176" s="24"/>
      <c r="I10176" s="24"/>
      <c r="J10176" s="24"/>
      <c r="K10176" s="24"/>
      <c r="L10176" s="24"/>
      <c r="M10176" s="24"/>
      <c r="N10176" s="24"/>
      <c r="O10176" s="24"/>
      <c r="P10176" s="24"/>
      <c r="Q10176" s="24"/>
      <c r="R10176" s="24"/>
      <c r="S10176" s="24"/>
      <c r="T10176" s="24"/>
      <c r="U10176" s="24"/>
      <c r="V10176" s="24"/>
      <c r="W10176" s="24"/>
      <c r="X10176" s="24"/>
      <c r="Y10176" s="24"/>
      <c r="Z10176" s="24"/>
      <c r="AA10176" s="24"/>
    </row>
    <row r="10177">
      <c r="A10177" s="24"/>
      <c r="B10177" s="25"/>
      <c r="C10177" s="24"/>
      <c r="D10177" s="26"/>
      <c r="E10177" s="24"/>
      <c r="F10177" s="24"/>
      <c r="G10177" s="24"/>
      <c r="H10177" s="24"/>
      <c r="I10177" s="24"/>
      <c r="J10177" s="24"/>
      <c r="K10177" s="24"/>
      <c r="L10177" s="24"/>
      <c r="M10177" s="24"/>
      <c r="N10177" s="24"/>
      <c r="O10177" s="24"/>
      <c r="P10177" s="24"/>
      <c r="Q10177" s="24"/>
      <c r="R10177" s="24"/>
      <c r="S10177" s="24"/>
      <c r="T10177" s="24"/>
      <c r="U10177" s="24"/>
      <c r="V10177" s="24"/>
      <c r="W10177" s="24"/>
      <c r="X10177" s="24"/>
      <c r="Y10177" s="24"/>
      <c r="Z10177" s="24"/>
      <c r="AA10177" s="24"/>
    </row>
    <row r="10178">
      <c r="A10178" s="24"/>
      <c r="B10178" s="25"/>
      <c r="C10178" s="24"/>
      <c r="D10178" s="26"/>
      <c r="E10178" s="24"/>
      <c r="F10178" s="24"/>
      <c r="G10178" s="24"/>
      <c r="H10178" s="24"/>
      <c r="I10178" s="24"/>
      <c r="J10178" s="24"/>
      <c r="K10178" s="24"/>
      <c r="L10178" s="24"/>
      <c r="M10178" s="24"/>
      <c r="N10178" s="24"/>
      <c r="O10178" s="24"/>
      <c r="P10178" s="24"/>
      <c r="Q10178" s="24"/>
      <c r="R10178" s="24"/>
      <c r="S10178" s="24"/>
      <c r="T10178" s="24"/>
      <c r="U10178" s="24"/>
      <c r="V10178" s="24"/>
      <c r="W10178" s="24"/>
      <c r="X10178" s="24"/>
      <c r="Y10178" s="24"/>
      <c r="Z10178" s="24"/>
      <c r="AA10178" s="24"/>
    </row>
    <row r="10179">
      <c r="A10179" s="24"/>
      <c r="B10179" s="25"/>
      <c r="C10179" s="24"/>
      <c r="D10179" s="26"/>
      <c r="E10179" s="24"/>
      <c r="F10179" s="24"/>
      <c r="G10179" s="24"/>
      <c r="H10179" s="24"/>
      <c r="I10179" s="24"/>
      <c r="J10179" s="24"/>
      <c r="K10179" s="24"/>
      <c r="L10179" s="24"/>
      <c r="M10179" s="24"/>
      <c r="N10179" s="24"/>
      <c r="O10179" s="24"/>
      <c r="P10179" s="24"/>
      <c r="Q10179" s="24"/>
      <c r="R10179" s="24"/>
      <c r="S10179" s="24"/>
      <c r="T10179" s="24"/>
      <c r="U10179" s="24"/>
      <c r="V10179" s="24"/>
      <c r="W10179" s="24"/>
      <c r="X10179" s="24"/>
      <c r="Y10179" s="24"/>
      <c r="Z10179" s="24"/>
      <c r="AA10179" s="24"/>
    </row>
    <row r="10180">
      <c r="A10180" s="24"/>
      <c r="B10180" s="25"/>
      <c r="C10180" s="24"/>
      <c r="D10180" s="26"/>
      <c r="E10180" s="24"/>
      <c r="F10180" s="24"/>
      <c r="G10180" s="24"/>
      <c r="H10180" s="24"/>
      <c r="I10180" s="24"/>
      <c r="J10180" s="24"/>
      <c r="K10180" s="24"/>
      <c r="L10180" s="24"/>
      <c r="M10180" s="24"/>
      <c r="N10180" s="24"/>
      <c r="O10180" s="24"/>
      <c r="P10180" s="24"/>
      <c r="Q10180" s="24"/>
      <c r="R10180" s="24"/>
      <c r="S10180" s="24"/>
      <c r="T10180" s="24"/>
      <c r="U10180" s="24"/>
      <c r="V10180" s="24"/>
      <c r="W10180" s="24"/>
      <c r="X10180" s="24"/>
      <c r="Y10180" s="24"/>
      <c r="Z10180" s="24"/>
      <c r="AA10180" s="24"/>
    </row>
    <row r="10181">
      <c r="A10181" s="24"/>
      <c r="B10181" s="25"/>
      <c r="C10181" s="24"/>
      <c r="D10181" s="26"/>
      <c r="E10181" s="24"/>
      <c r="F10181" s="24"/>
      <c r="G10181" s="24"/>
      <c r="H10181" s="24"/>
      <c r="I10181" s="24"/>
      <c r="J10181" s="24"/>
      <c r="K10181" s="24"/>
      <c r="L10181" s="24"/>
      <c r="M10181" s="24"/>
      <c r="N10181" s="24"/>
      <c r="O10181" s="24"/>
      <c r="P10181" s="24"/>
      <c r="Q10181" s="24"/>
      <c r="R10181" s="24"/>
      <c r="S10181" s="24"/>
      <c r="T10181" s="24"/>
      <c r="U10181" s="24"/>
      <c r="V10181" s="24"/>
      <c r="W10181" s="24"/>
      <c r="X10181" s="24"/>
      <c r="Y10181" s="24"/>
      <c r="Z10181" s="24"/>
      <c r="AA10181" s="24"/>
    </row>
    <row r="10182">
      <c r="A10182" s="24"/>
      <c r="B10182" s="25"/>
      <c r="C10182" s="24"/>
      <c r="D10182" s="26"/>
      <c r="E10182" s="24"/>
      <c r="F10182" s="24"/>
      <c r="G10182" s="24"/>
      <c r="H10182" s="24"/>
      <c r="I10182" s="24"/>
      <c r="J10182" s="24"/>
      <c r="K10182" s="24"/>
      <c r="L10182" s="24"/>
      <c r="M10182" s="24"/>
      <c r="N10182" s="24"/>
      <c r="O10182" s="24"/>
      <c r="P10182" s="24"/>
      <c r="Q10182" s="24"/>
      <c r="R10182" s="24"/>
      <c r="S10182" s="24"/>
      <c r="T10182" s="24"/>
      <c r="U10182" s="24"/>
      <c r="V10182" s="24"/>
      <c r="W10182" s="24"/>
      <c r="X10182" s="24"/>
      <c r="Y10182" s="24"/>
      <c r="Z10182" s="24"/>
      <c r="AA10182" s="24"/>
    </row>
    <row r="10183">
      <c r="A10183" s="24"/>
      <c r="B10183" s="25"/>
      <c r="C10183" s="24"/>
      <c r="D10183" s="26"/>
      <c r="E10183" s="24"/>
      <c r="F10183" s="24"/>
      <c r="G10183" s="24"/>
      <c r="H10183" s="24"/>
      <c r="I10183" s="24"/>
      <c r="J10183" s="24"/>
      <c r="K10183" s="24"/>
      <c r="L10183" s="24"/>
      <c r="M10183" s="24"/>
      <c r="N10183" s="24"/>
      <c r="O10183" s="24"/>
      <c r="P10183" s="24"/>
      <c r="Q10183" s="24"/>
      <c r="R10183" s="24"/>
      <c r="S10183" s="24"/>
      <c r="T10183" s="24"/>
      <c r="U10183" s="24"/>
      <c r="V10183" s="24"/>
      <c r="W10183" s="24"/>
      <c r="X10183" s="24"/>
      <c r="Y10183" s="24"/>
      <c r="Z10183" s="24"/>
      <c r="AA10183" s="24"/>
    </row>
    <row r="10184">
      <c r="A10184" s="24"/>
      <c r="B10184" s="25"/>
      <c r="C10184" s="24"/>
      <c r="D10184" s="26"/>
      <c r="E10184" s="24"/>
      <c r="F10184" s="24"/>
      <c r="G10184" s="24"/>
      <c r="H10184" s="24"/>
      <c r="I10184" s="24"/>
      <c r="J10184" s="24"/>
      <c r="K10184" s="24"/>
      <c r="L10184" s="24"/>
      <c r="M10184" s="24"/>
      <c r="N10184" s="24"/>
      <c r="O10184" s="24"/>
      <c r="P10184" s="24"/>
      <c r="Q10184" s="24"/>
      <c r="R10184" s="24"/>
      <c r="S10184" s="24"/>
      <c r="T10184" s="24"/>
      <c r="U10184" s="24"/>
      <c r="V10184" s="24"/>
      <c r="W10184" s="24"/>
      <c r="X10184" s="24"/>
      <c r="Y10184" s="24"/>
      <c r="Z10184" s="24"/>
      <c r="AA10184" s="24"/>
    </row>
    <row r="10185">
      <c r="A10185" s="24"/>
      <c r="B10185" s="25"/>
      <c r="C10185" s="24"/>
      <c r="D10185" s="26"/>
      <c r="E10185" s="24"/>
      <c r="F10185" s="24"/>
      <c r="G10185" s="24"/>
      <c r="H10185" s="24"/>
      <c r="I10185" s="24"/>
      <c r="J10185" s="24"/>
      <c r="K10185" s="24"/>
      <c r="L10185" s="24"/>
      <c r="M10185" s="24"/>
      <c r="N10185" s="24"/>
      <c r="O10185" s="24"/>
      <c r="P10185" s="24"/>
      <c r="Q10185" s="24"/>
      <c r="R10185" s="24"/>
      <c r="S10185" s="24"/>
      <c r="T10185" s="24"/>
      <c r="U10185" s="24"/>
      <c r="V10185" s="24"/>
      <c r="W10185" s="24"/>
      <c r="X10185" s="24"/>
      <c r="Y10185" s="24"/>
      <c r="Z10185" s="24"/>
      <c r="AA10185" s="24"/>
    </row>
    <row r="10186">
      <c r="A10186" s="24"/>
      <c r="B10186" s="25"/>
      <c r="C10186" s="24"/>
      <c r="D10186" s="26"/>
      <c r="E10186" s="24"/>
      <c r="F10186" s="24"/>
      <c r="G10186" s="24"/>
      <c r="H10186" s="24"/>
      <c r="I10186" s="24"/>
      <c r="J10186" s="24"/>
      <c r="K10186" s="24"/>
      <c r="L10186" s="24"/>
      <c r="M10186" s="24"/>
      <c r="N10186" s="24"/>
      <c r="O10186" s="24"/>
      <c r="P10186" s="24"/>
      <c r="Q10186" s="24"/>
      <c r="R10186" s="24"/>
      <c r="S10186" s="24"/>
      <c r="T10186" s="24"/>
      <c r="U10186" s="24"/>
      <c r="V10186" s="24"/>
      <c r="W10186" s="24"/>
      <c r="X10186" s="24"/>
      <c r="Y10186" s="24"/>
      <c r="Z10186" s="24"/>
      <c r="AA10186" s="24"/>
    </row>
    <row r="10187">
      <c r="A10187" s="24"/>
      <c r="B10187" s="25"/>
      <c r="C10187" s="24"/>
      <c r="D10187" s="26"/>
      <c r="E10187" s="24"/>
      <c r="F10187" s="24"/>
      <c r="G10187" s="24"/>
      <c r="H10187" s="24"/>
      <c r="I10187" s="24"/>
      <c r="J10187" s="24"/>
      <c r="K10187" s="24"/>
      <c r="L10187" s="24"/>
      <c r="M10187" s="24"/>
      <c r="N10187" s="24"/>
      <c r="O10187" s="24"/>
      <c r="P10187" s="24"/>
      <c r="Q10187" s="24"/>
      <c r="R10187" s="24"/>
      <c r="S10187" s="24"/>
      <c r="T10187" s="24"/>
      <c r="U10187" s="24"/>
      <c r="V10187" s="24"/>
      <c r="W10187" s="24"/>
      <c r="X10187" s="24"/>
      <c r="Y10187" s="24"/>
      <c r="Z10187" s="24"/>
      <c r="AA10187" s="24"/>
    </row>
    <row r="10188">
      <c r="A10188" s="24"/>
      <c r="B10188" s="25"/>
      <c r="C10188" s="24"/>
      <c r="D10188" s="26"/>
      <c r="E10188" s="24"/>
      <c r="F10188" s="24"/>
      <c r="G10188" s="24"/>
      <c r="H10188" s="24"/>
      <c r="I10188" s="24"/>
      <c r="J10188" s="24"/>
      <c r="K10188" s="24"/>
      <c r="L10188" s="24"/>
      <c r="M10188" s="24"/>
      <c r="N10188" s="24"/>
      <c r="O10188" s="24"/>
      <c r="P10188" s="24"/>
      <c r="Q10188" s="24"/>
      <c r="R10188" s="24"/>
      <c r="S10188" s="24"/>
      <c r="T10188" s="24"/>
      <c r="U10188" s="24"/>
      <c r="V10188" s="24"/>
      <c r="W10188" s="24"/>
      <c r="X10188" s="24"/>
      <c r="Y10188" s="24"/>
      <c r="Z10188" s="24"/>
      <c r="AA10188" s="24"/>
    </row>
    <row r="10189">
      <c r="A10189" s="24"/>
      <c r="B10189" s="25"/>
      <c r="C10189" s="24"/>
      <c r="D10189" s="26"/>
      <c r="E10189" s="24"/>
      <c r="F10189" s="24"/>
      <c r="G10189" s="24"/>
      <c r="H10189" s="24"/>
      <c r="I10189" s="24"/>
      <c r="J10189" s="24"/>
      <c r="K10189" s="24"/>
      <c r="L10189" s="24"/>
      <c r="M10189" s="24"/>
      <c r="N10189" s="24"/>
      <c r="O10189" s="24"/>
      <c r="P10189" s="24"/>
      <c r="Q10189" s="24"/>
      <c r="R10189" s="24"/>
      <c r="S10189" s="24"/>
      <c r="T10189" s="24"/>
      <c r="U10189" s="24"/>
      <c r="V10189" s="24"/>
      <c r="W10189" s="24"/>
      <c r="X10189" s="24"/>
      <c r="Y10189" s="24"/>
      <c r="Z10189" s="24"/>
      <c r="AA10189" s="24"/>
    </row>
    <row r="10190">
      <c r="A10190" s="24"/>
      <c r="B10190" s="25"/>
      <c r="C10190" s="24"/>
      <c r="D10190" s="26"/>
      <c r="E10190" s="24"/>
      <c r="F10190" s="24"/>
      <c r="G10190" s="24"/>
      <c r="H10190" s="24"/>
      <c r="I10190" s="24"/>
      <c r="J10190" s="24"/>
      <c r="K10190" s="24"/>
      <c r="L10190" s="24"/>
      <c r="M10190" s="24"/>
      <c r="N10190" s="24"/>
      <c r="O10190" s="24"/>
      <c r="P10190" s="24"/>
      <c r="Q10190" s="24"/>
      <c r="R10190" s="24"/>
      <c r="S10190" s="24"/>
      <c r="T10190" s="24"/>
      <c r="U10190" s="24"/>
      <c r="V10190" s="24"/>
      <c r="W10190" s="24"/>
      <c r="X10190" s="24"/>
      <c r="Y10190" s="24"/>
      <c r="Z10190" s="24"/>
      <c r="AA10190" s="24"/>
    </row>
    <row r="10191">
      <c r="A10191" s="24"/>
      <c r="B10191" s="25"/>
      <c r="C10191" s="24"/>
      <c r="D10191" s="26"/>
      <c r="E10191" s="24"/>
      <c r="F10191" s="24"/>
      <c r="G10191" s="24"/>
      <c r="H10191" s="24"/>
      <c r="I10191" s="24"/>
      <c r="J10191" s="24"/>
      <c r="K10191" s="24"/>
      <c r="L10191" s="24"/>
      <c r="M10191" s="24"/>
      <c r="N10191" s="24"/>
      <c r="O10191" s="24"/>
      <c r="P10191" s="24"/>
      <c r="Q10191" s="24"/>
      <c r="R10191" s="24"/>
      <c r="S10191" s="24"/>
      <c r="T10191" s="24"/>
      <c r="U10191" s="24"/>
      <c r="V10191" s="24"/>
      <c r="W10191" s="24"/>
      <c r="X10191" s="24"/>
      <c r="Y10191" s="24"/>
      <c r="Z10191" s="24"/>
      <c r="AA10191" s="24"/>
    </row>
    <row r="10192">
      <c r="A10192" s="24"/>
      <c r="B10192" s="25"/>
      <c r="C10192" s="24"/>
      <c r="D10192" s="26"/>
      <c r="E10192" s="24"/>
      <c r="F10192" s="24"/>
      <c r="G10192" s="24"/>
      <c r="H10192" s="24"/>
      <c r="I10192" s="24"/>
      <c r="J10192" s="24"/>
      <c r="K10192" s="24"/>
      <c r="L10192" s="24"/>
      <c r="M10192" s="24"/>
      <c r="N10192" s="24"/>
      <c r="O10192" s="24"/>
      <c r="P10192" s="24"/>
      <c r="Q10192" s="24"/>
      <c r="R10192" s="24"/>
      <c r="S10192" s="24"/>
      <c r="T10192" s="24"/>
      <c r="U10192" s="24"/>
      <c r="V10192" s="24"/>
      <c r="W10192" s="24"/>
      <c r="X10192" s="24"/>
      <c r="Y10192" s="24"/>
      <c r="Z10192" s="24"/>
      <c r="AA10192" s="24"/>
    </row>
    <row r="10193">
      <c r="A10193" s="24"/>
      <c r="B10193" s="25"/>
      <c r="C10193" s="24"/>
      <c r="D10193" s="26"/>
      <c r="E10193" s="24"/>
      <c r="F10193" s="24"/>
      <c r="G10193" s="24"/>
      <c r="H10193" s="24"/>
      <c r="I10193" s="24"/>
      <c r="J10193" s="24"/>
      <c r="K10193" s="24"/>
      <c r="L10193" s="24"/>
      <c r="M10193" s="24"/>
      <c r="N10193" s="24"/>
      <c r="O10193" s="24"/>
      <c r="P10193" s="24"/>
      <c r="Q10193" s="24"/>
      <c r="R10193" s="24"/>
      <c r="S10193" s="24"/>
      <c r="T10193" s="24"/>
      <c r="U10193" s="24"/>
      <c r="V10193" s="24"/>
      <c r="W10193" s="24"/>
      <c r="X10193" s="24"/>
      <c r="Y10193" s="24"/>
      <c r="Z10193" s="24"/>
      <c r="AA10193" s="24"/>
    </row>
    <row r="10194">
      <c r="A10194" s="24"/>
      <c r="B10194" s="25"/>
      <c r="C10194" s="24"/>
      <c r="D10194" s="26"/>
      <c r="E10194" s="24"/>
      <c r="F10194" s="24"/>
      <c r="G10194" s="24"/>
      <c r="H10194" s="24"/>
      <c r="I10194" s="24"/>
      <c r="J10194" s="24"/>
      <c r="K10194" s="24"/>
      <c r="L10194" s="24"/>
      <c r="M10194" s="24"/>
      <c r="N10194" s="24"/>
      <c r="O10194" s="24"/>
      <c r="P10194" s="24"/>
      <c r="Q10194" s="24"/>
      <c r="R10194" s="24"/>
      <c r="S10194" s="24"/>
      <c r="T10194" s="24"/>
      <c r="U10194" s="24"/>
      <c r="V10194" s="24"/>
      <c r="W10194" s="24"/>
      <c r="X10194" s="24"/>
      <c r="Y10194" s="24"/>
      <c r="Z10194" s="24"/>
      <c r="AA10194" s="24"/>
    </row>
    <row r="10195">
      <c r="A10195" s="24"/>
      <c r="B10195" s="25"/>
      <c r="C10195" s="24"/>
      <c r="D10195" s="26"/>
      <c r="E10195" s="24"/>
      <c r="F10195" s="24"/>
      <c r="G10195" s="24"/>
      <c r="H10195" s="24"/>
      <c r="I10195" s="24"/>
      <c r="J10195" s="24"/>
      <c r="K10195" s="24"/>
      <c r="L10195" s="24"/>
      <c r="M10195" s="24"/>
      <c r="N10195" s="24"/>
      <c r="O10195" s="24"/>
      <c r="P10195" s="24"/>
      <c r="Q10195" s="24"/>
      <c r="R10195" s="24"/>
      <c r="S10195" s="24"/>
      <c r="T10195" s="24"/>
      <c r="U10195" s="24"/>
      <c r="V10195" s="24"/>
      <c r="W10195" s="24"/>
      <c r="X10195" s="24"/>
      <c r="Y10195" s="24"/>
      <c r="Z10195" s="24"/>
      <c r="AA10195" s="24"/>
    </row>
    <row r="10196">
      <c r="A10196" s="24"/>
      <c r="B10196" s="25"/>
      <c r="C10196" s="24"/>
      <c r="D10196" s="26"/>
      <c r="E10196" s="24"/>
      <c r="F10196" s="24"/>
      <c r="G10196" s="24"/>
      <c r="H10196" s="24"/>
      <c r="I10196" s="24"/>
      <c r="J10196" s="24"/>
      <c r="K10196" s="24"/>
      <c r="L10196" s="24"/>
      <c r="M10196" s="24"/>
      <c r="N10196" s="24"/>
      <c r="O10196" s="24"/>
      <c r="P10196" s="24"/>
      <c r="Q10196" s="24"/>
      <c r="R10196" s="24"/>
      <c r="S10196" s="24"/>
      <c r="T10196" s="24"/>
      <c r="U10196" s="24"/>
      <c r="V10196" s="24"/>
      <c r="W10196" s="24"/>
      <c r="X10196" s="24"/>
      <c r="Y10196" s="24"/>
      <c r="Z10196" s="24"/>
      <c r="AA10196" s="24"/>
    </row>
    <row r="10197">
      <c r="A10197" s="24"/>
      <c r="B10197" s="25"/>
      <c r="C10197" s="24"/>
      <c r="D10197" s="26"/>
      <c r="E10197" s="24"/>
      <c r="F10197" s="24"/>
      <c r="G10197" s="24"/>
      <c r="H10197" s="24"/>
      <c r="I10197" s="24"/>
      <c r="J10197" s="24"/>
      <c r="K10197" s="24"/>
      <c r="L10197" s="24"/>
      <c r="M10197" s="24"/>
      <c r="N10197" s="24"/>
      <c r="O10197" s="24"/>
      <c r="P10197" s="24"/>
      <c r="Q10197" s="24"/>
      <c r="R10197" s="24"/>
      <c r="S10197" s="24"/>
      <c r="T10197" s="24"/>
      <c r="U10197" s="24"/>
      <c r="V10197" s="24"/>
      <c r="W10197" s="24"/>
      <c r="X10197" s="24"/>
      <c r="Y10197" s="24"/>
      <c r="Z10197" s="24"/>
      <c r="AA10197" s="24"/>
    </row>
    <row r="10198">
      <c r="A10198" s="24"/>
      <c r="B10198" s="25"/>
      <c r="C10198" s="24"/>
      <c r="D10198" s="26"/>
      <c r="E10198" s="24"/>
      <c r="F10198" s="24"/>
      <c r="G10198" s="24"/>
      <c r="H10198" s="24"/>
      <c r="I10198" s="24"/>
      <c r="J10198" s="24"/>
      <c r="K10198" s="24"/>
      <c r="L10198" s="24"/>
      <c r="M10198" s="24"/>
      <c r="N10198" s="24"/>
      <c r="O10198" s="24"/>
      <c r="P10198" s="24"/>
      <c r="Q10198" s="24"/>
      <c r="R10198" s="24"/>
      <c r="S10198" s="24"/>
      <c r="T10198" s="24"/>
      <c r="U10198" s="24"/>
      <c r="V10198" s="24"/>
      <c r="W10198" s="24"/>
      <c r="X10198" s="24"/>
      <c r="Y10198" s="24"/>
      <c r="Z10198" s="24"/>
      <c r="AA10198" s="24"/>
    </row>
    <row r="10199">
      <c r="A10199" s="24"/>
      <c r="B10199" s="25"/>
      <c r="C10199" s="24"/>
      <c r="D10199" s="26"/>
      <c r="E10199" s="24"/>
      <c r="F10199" s="24"/>
      <c r="G10199" s="24"/>
      <c r="H10199" s="24"/>
      <c r="I10199" s="24"/>
      <c r="J10199" s="24"/>
      <c r="K10199" s="24"/>
      <c r="L10199" s="24"/>
      <c r="M10199" s="24"/>
      <c r="N10199" s="24"/>
      <c r="O10199" s="24"/>
      <c r="P10199" s="24"/>
      <c r="Q10199" s="24"/>
      <c r="R10199" s="24"/>
      <c r="S10199" s="24"/>
      <c r="T10199" s="24"/>
      <c r="U10199" s="24"/>
      <c r="V10199" s="24"/>
      <c r="W10199" s="24"/>
      <c r="X10199" s="24"/>
      <c r="Y10199" s="24"/>
      <c r="Z10199" s="24"/>
      <c r="AA10199" s="24"/>
    </row>
    <row r="10200">
      <c r="A10200" s="24"/>
      <c r="B10200" s="25"/>
      <c r="C10200" s="24"/>
      <c r="D10200" s="26"/>
      <c r="E10200" s="24"/>
      <c r="F10200" s="24"/>
      <c r="G10200" s="24"/>
      <c r="H10200" s="24"/>
      <c r="I10200" s="24"/>
      <c r="J10200" s="24"/>
      <c r="K10200" s="24"/>
      <c r="L10200" s="24"/>
      <c r="M10200" s="24"/>
      <c r="N10200" s="24"/>
      <c r="O10200" s="24"/>
      <c r="P10200" s="24"/>
      <c r="Q10200" s="24"/>
      <c r="R10200" s="24"/>
      <c r="S10200" s="24"/>
      <c r="T10200" s="24"/>
      <c r="U10200" s="24"/>
      <c r="V10200" s="24"/>
      <c r="W10200" s="24"/>
      <c r="X10200" s="24"/>
      <c r="Y10200" s="24"/>
      <c r="Z10200" s="24"/>
      <c r="AA10200" s="24"/>
    </row>
    <row r="10201">
      <c r="A10201" s="24"/>
      <c r="B10201" s="25"/>
      <c r="C10201" s="24"/>
      <c r="D10201" s="26"/>
      <c r="E10201" s="24"/>
      <c r="F10201" s="24"/>
      <c r="G10201" s="24"/>
      <c r="H10201" s="24"/>
      <c r="I10201" s="24"/>
      <c r="J10201" s="24"/>
      <c r="K10201" s="24"/>
      <c r="L10201" s="24"/>
      <c r="M10201" s="24"/>
      <c r="N10201" s="24"/>
      <c r="O10201" s="24"/>
      <c r="P10201" s="24"/>
      <c r="Q10201" s="24"/>
      <c r="R10201" s="24"/>
      <c r="S10201" s="24"/>
      <c r="T10201" s="24"/>
      <c r="U10201" s="24"/>
      <c r="V10201" s="24"/>
      <c r="W10201" s="24"/>
      <c r="X10201" s="24"/>
      <c r="Y10201" s="24"/>
      <c r="Z10201" s="24"/>
      <c r="AA10201" s="24"/>
    </row>
    <row r="10202">
      <c r="A10202" s="24"/>
      <c r="B10202" s="25"/>
      <c r="C10202" s="24"/>
      <c r="D10202" s="26"/>
      <c r="E10202" s="24"/>
      <c r="F10202" s="24"/>
      <c r="G10202" s="24"/>
      <c r="H10202" s="24"/>
      <c r="I10202" s="24"/>
      <c r="J10202" s="24"/>
      <c r="K10202" s="24"/>
      <c r="L10202" s="24"/>
      <c r="M10202" s="24"/>
      <c r="N10202" s="24"/>
      <c r="O10202" s="24"/>
      <c r="P10202" s="24"/>
      <c r="Q10202" s="24"/>
      <c r="R10202" s="24"/>
      <c r="S10202" s="24"/>
      <c r="T10202" s="24"/>
      <c r="U10202" s="24"/>
      <c r="V10202" s="24"/>
      <c r="W10202" s="24"/>
      <c r="X10202" s="24"/>
      <c r="Y10202" s="24"/>
      <c r="Z10202" s="24"/>
      <c r="AA10202" s="24"/>
    </row>
    <row r="10203">
      <c r="A10203" s="24"/>
      <c r="B10203" s="25"/>
      <c r="C10203" s="24"/>
      <c r="D10203" s="26"/>
      <c r="E10203" s="24"/>
      <c r="F10203" s="24"/>
      <c r="G10203" s="24"/>
      <c r="H10203" s="24"/>
      <c r="I10203" s="24"/>
      <c r="J10203" s="24"/>
      <c r="K10203" s="24"/>
      <c r="L10203" s="24"/>
      <c r="M10203" s="24"/>
      <c r="N10203" s="24"/>
      <c r="O10203" s="24"/>
      <c r="P10203" s="24"/>
      <c r="Q10203" s="24"/>
      <c r="R10203" s="24"/>
      <c r="S10203" s="24"/>
      <c r="T10203" s="24"/>
      <c r="U10203" s="24"/>
      <c r="V10203" s="24"/>
      <c r="W10203" s="24"/>
      <c r="X10203" s="24"/>
      <c r="Y10203" s="24"/>
      <c r="Z10203" s="24"/>
      <c r="AA10203" s="24"/>
    </row>
    <row r="10204">
      <c r="A10204" s="24"/>
      <c r="B10204" s="25"/>
      <c r="C10204" s="24"/>
      <c r="D10204" s="26"/>
      <c r="E10204" s="24"/>
      <c r="F10204" s="24"/>
      <c r="G10204" s="24"/>
      <c r="H10204" s="24"/>
      <c r="I10204" s="24"/>
      <c r="J10204" s="24"/>
      <c r="K10204" s="24"/>
      <c r="L10204" s="24"/>
      <c r="M10204" s="24"/>
      <c r="N10204" s="24"/>
      <c r="O10204" s="24"/>
      <c r="P10204" s="24"/>
      <c r="Q10204" s="24"/>
      <c r="R10204" s="24"/>
      <c r="S10204" s="24"/>
      <c r="T10204" s="24"/>
      <c r="U10204" s="24"/>
      <c r="V10204" s="24"/>
      <c r="W10204" s="24"/>
      <c r="X10204" s="24"/>
      <c r="Y10204" s="24"/>
      <c r="Z10204" s="24"/>
      <c r="AA10204" s="24"/>
    </row>
    <row r="10205">
      <c r="A10205" s="24"/>
      <c r="B10205" s="25"/>
      <c r="C10205" s="24"/>
      <c r="D10205" s="26"/>
      <c r="E10205" s="24"/>
      <c r="F10205" s="24"/>
      <c r="G10205" s="24"/>
      <c r="H10205" s="24"/>
      <c r="I10205" s="24"/>
      <c r="J10205" s="24"/>
      <c r="K10205" s="24"/>
      <c r="L10205" s="24"/>
      <c r="M10205" s="24"/>
      <c r="N10205" s="24"/>
      <c r="O10205" s="24"/>
      <c r="P10205" s="24"/>
      <c r="Q10205" s="24"/>
      <c r="R10205" s="24"/>
      <c r="S10205" s="24"/>
      <c r="T10205" s="24"/>
      <c r="U10205" s="24"/>
      <c r="V10205" s="24"/>
      <c r="W10205" s="24"/>
      <c r="X10205" s="24"/>
      <c r="Y10205" s="24"/>
      <c r="Z10205" s="24"/>
      <c r="AA10205" s="24"/>
    </row>
    <row r="10206">
      <c r="A10206" s="24"/>
      <c r="B10206" s="25"/>
      <c r="C10206" s="24"/>
      <c r="D10206" s="26"/>
      <c r="E10206" s="24"/>
      <c r="F10206" s="24"/>
      <c r="G10206" s="24"/>
      <c r="H10206" s="24"/>
      <c r="I10206" s="24"/>
      <c r="J10206" s="24"/>
      <c r="K10206" s="24"/>
      <c r="L10206" s="24"/>
      <c r="M10206" s="24"/>
      <c r="N10206" s="24"/>
      <c r="O10206" s="24"/>
      <c r="P10206" s="24"/>
      <c r="Q10206" s="24"/>
      <c r="R10206" s="24"/>
      <c r="S10206" s="24"/>
      <c r="T10206" s="24"/>
      <c r="U10206" s="24"/>
      <c r="V10206" s="24"/>
      <c r="W10206" s="24"/>
      <c r="X10206" s="24"/>
      <c r="Y10206" s="24"/>
      <c r="Z10206" s="24"/>
      <c r="AA10206" s="24"/>
    </row>
    <row r="10207">
      <c r="A10207" s="24"/>
      <c r="B10207" s="25"/>
      <c r="C10207" s="24"/>
      <c r="D10207" s="26"/>
      <c r="E10207" s="24"/>
      <c r="F10207" s="24"/>
      <c r="G10207" s="24"/>
      <c r="H10207" s="24"/>
      <c r="I10207" s="24"/>
      <c r="J10207" s="24"/>
      <c r="K10207" s="24"/>
      <c r="L10207" s="24"/>
      <c r="M10207" s="24"/>
      <c r="N10207" s="24"/>
      <c r="O10207" s="24"/>
      <c r="P10207" s="24"/>
      <c r="Q10207" s="24"/>
      <c r="R10207" s="24"/>
      <c r="S10207" s="24"/>
      <c r="T10207" s="24"/>
      <c r="U10207" s="24"/>
      <c r="V10207" s="24"/>
      <c r="W10207" s="24"/>
      <c r="X10207" s="24"/>
      <c r="Y10207" s="24"/>
      <c r="Z10207" s="24"/>
      <c r="AA10207" s="24"/>
    </row>
    <row r="10208">
      <c r="A10208" s="24"/>
      <c r="B10208" s="25"/>
      <c r="C10208" s="24"/>
      <c r="D10208" s="26"/>
      <c r="E10208" s="24"/>
      <c r="F10208" s="24"/>
      <c r="G10208" s="24"/>
      <c r="H10208" s="24"/>
      <c r="I10208" s="24"/>
      <c r="J10208" s="24"/>
      <c r="K10208" s="24"/>
      <c r="L10208" s="24"/>
      <c r="M10208" s="24"/>
      <c r="N10208" s="24"/>
      <c r="O10208" s="24"/>
      <c r="P10208" s="24"/>
      <c r="Q10208" s="24"/>
      <c r="R10208" s="24"/>
      <c r="S10208" s="24"/>
      <c r="T10208" s="24"/>
      <c r="U10208" s="24"/>
      <c r="V10208" s="24"/>
      <c r="W10208" s="24"/>
      <c r="X10208" s="24"/>
      <c r="Y10208" s="24"/>
      <c r="Z10208" s="24"/>
      <c r="AA10208" s="24"/>
    </row>
    <row r="10209">
      <c r="A10209" s="24"/>
      <c r="B10209" s="25"/>
      <c r="C10209" s="24"/>
      <c r="D10209" s="26"/>
      <c r="E10209" s="24"/>
      <c r="F10209" s="24"/>
      <c r="G10209" s="24"/>
      <c r="H10209" s="24"/>
      <c r="I10209" s="24"/>
      <c r="J10209" s="24"/>
      <c r="K10209" s="24"/>
      <c r="L10209" s="24"/>
      <c r="M10209" s="24"/>
      <c r="N10209" s="24"/>
      <c r="O10209" s="24"/>
      <c r="P10209" s="24"/>
      <c r="Q10209" s="24"/>
      <c r="R10209" s="24"/>
      <c r="S10209" s="24"/>
      <c r="T10209" s="24"/>
      <c r="U10209" s="24"/>
      <c r="V10209" s="24"/>
      <c r="W10209" s="24"/>
      <c r="X10209" s="24"/>
      <c r="Y10209" s="24"/>
      <c r="Z10209" s="24"/>
      <c r="AA10209" s="24"/>
    </row>
    <row r="10210">
      <c r="A10210" s="24"/>
      <c r="B10210" s="25"/>
      <c r="C10210" s="24"/>
      <c r="D10210" s="26"/>
      <c r="E10210" s="24"/>
      <c r="F10210" s="24"/>
      <c r="G10210" s="24"/>
      <c r="H10210" s="24"/>
      <c r="I10210" s="24"/>
      <c r="J10210" s="24"/>
      <c r="K10210" s="24"/>
      <c r="L10210" s="24"/>
      <c r="M10210" s="24"/>
      <c r="N10210" s="24"/>
      <c r="O10210" s="24"/>
      <c r="P10210" s="24"/>
      <c r="Q10210" s="24"/>
      <c r="R10210" s="24"/>
      <c r="S10210" s="24"/>
      <c r="T10210" s="24"/>
      <c r="U10210" s="24"/>
      <c r="V10210" s="24"/>
      <c r="W10210" s="24"/>
      <c r="X10210" s="24"/>
      <c r="Y10210" s="24"/>
      <c r="Z10210" s="24"/>
      <c r="AA10210" s="24"/>
    </row>
    <row r="10211">
      <c r="A10211" s="24"/>
      <c r="B10211" s="25"/>
      <c r="C10211" s="24"/>
      <c r="D10211" s="26"/>
      <c r="E10211" s="24"/>
      <c r="F10211" s="24"/>
      <c r="G10211" s="24"/>
      <c r="H10211" s="24"/>
      <c r="I10211" s="24"/>
      <c r="J10211" s="24"/>
      <c r="K10211" s="24"/>
      <c r="L10211" s="24"/>
      <c r="M10211" s="24"/>
      <c r="N10211" s="24"/>
      <c r="O10211" s="24"/>
      <c r="P10211" s="24"/>
      <c r="Q10211" s="24"/>
      <c r="R10211" s="24"/>
      <c r="S10211" s="24"/>
      <c r="T10211" s="24"/>
      <c r="U10211" s="24"/>
      <c r="V10211" s="24"/>
      <c r="W10211" s="24"/>
      <c r="X10211" s="24"/>
      <c r="Y10211" s="24"/>
      <c r="Z10211" s="24"/>
      <c r="AA10211" s="24"/>
    </row>
    <row r="10212">
      <c r="A10212" s="24"/>
      <c r="B10212" s="25"/>
      <c r="C10212" s="24"/>
      <c r="D10212" s="26"/>
      <c r="E10212" s="24"/>
      <c r="F10212" s="24"/>
      <c r="G10212" s="24"/>
      <c r="H10212" s="24"/>
      <c r="I10212" s="24"/>
      <c r="J10212" s="24"/>
      <c r="K10212" s="24"/>
      <c r="L10212" s="24"/>
      <c r="M10212" s="24"/>
      <c r="N10212" s="24"/>
      <c r="O10212" s="24"/>
      <c r="P10212" s="24"/>
      <c r="Q10212" s="24"/>
      <c r="R10212" s="24"/>
      <c r="S10212" s="24"/>
      <c r="T10212" s="24"/>
      <c r="U10212" s="24"/>
      <c r="V10212" s="24"/>
      <c r="W10212" s="24"/>
      <c r="X10212" s="24"/>
      <c r="Y10212" s="24"/>
      <c r="Z10212" s="24"/>
      <c r="AA10212" s="24"/>
    </row>
    <row r="10213">
      <c r="A10213" s="24"/>
      <c r="B10213" s="25"/>
      <c r="C10213" s="24"/>
      <c r="D10213" s="26"/>
      <c r="E10213" s="24"/>
      <c r="F10213" s="24"/>
      <c r="G10213" s="24"/>
      <c r="H10213" s="24"/>
      <c r="I10213" s="24"/>
      <c r="J10213" s="24"/>
      <c r="K10213" s="24"/>
      <c r="L10213" s="24"/>
      <c r="M10213" s="24"/>
      <c r="N10213" s="24"/>
      <c r="O10213" s="24"/>
      <c r="P10213" s="24"/>
      <c r="Q10213" s="24"/>
      <c r="R10213" s="24"/>
      <c r="S10213" s="24"/>
      <c r="T10213" s="24"/>
      <c r="U10213" s="24"/>
      <c r="V10213" s="24"/>
      <c r="W10213" s="24"/>
      <c r="X10213" s="24"/>
      <c r="Y10213" s="24"/>
      <c r="Z10213" s="24"/>
      <c r="AA10213" s="24"/>
    </row>
    <row r="10214">
      <c r="A10214" s="24"/>
      <c r="B10214" s="25"/>
      <c r="C10214" s="24"/>
      <c r="D10214" s="26"/>
      <c r="E10214" s="24"/>
      <c r="F10214" s="24"/>
      <c r="G10214" s="24"/>
      <c r="H10214" s="24"/>
      <c r="I10214" s="24"/>
      <c r="J10214" s="24"/>
      <c r="K10214" s="24"/>
      <c r="L10214" s="24"/>
      <c r="M10214" s="24"/>
      <c r="N10214" s="24"/>
      <c r="O10214" s="24"/>
      <c r="P10214" s="24"/>
      <c r="Q10214" s="24"/>
      <c r="R10214" s="24"/>
      <c r="S10214" s="24"/>
      <c r="T10214" s="24"/>
      <c r="U10214" s="24"/>
      <c r="V10214" s="24"/>
      <c r="W10214" s="24"/>
      <c r="X10214" s="24"/>
      <c r="Y10214" s="24"/>
      <c r="Z10214" s="24"/>
      <c r="AA10214" s="24"/>
    </row>
    <row r="10215">
      <c r="A10215" s="24"/>
      <c r="B10215" s="25"/>
      <c r="C10215" s="24"/>
      <c r="D10215" s="26"/>
      <c r="E10215" s="24"/>
      <c r="F10215" s="24"/>
      <c r="G10215" s="24"/>
      <c r="H10215" s="24"/>
      <c r="I10215" s="24"/>
      <c r="J10215" s="24"/>
      <c r="K10215" s="24"/>
      <c r="L10215" s="24"/>
      <c r="M10215" s="24"/>
      <c r="N10215" s="24"/>
      <c r="O10215" s="24"/>
      <c r="P10215" s="24"/>
      <c r="Q10215" s="24"/>
      <c r="R10215" s="24"/>
      <c r="S10215" s="24"/>
      <c r="T10215" s="24"/>
      <c r="U10215" s="24"/>
      <c r="V10215" s="24"/>
      <c r="W10215" s="24"/>
      <c r="X10215" s="24"/>
      <c r="Y10215" s="24"/>
      <c r="Z10215" s="24"/>
      <c r="AA10215" s="24"/>
    </row>
    <row r="10216">
      <c r="A10216" s="24"/>
      <c r="B10216" s="25"/>
      <c r="C10216" s="24"/>
      <c r="D10216" s="26"/>
      <c r="E10216" s="24"/>
      <c r="F10216" s="24"/>
      <c r="G10216" s="24"/>
      <c r="H10216" s="24"/>
      <c r="I10216" s="24"/>
      <c r="J10216" s="24"/>
      <c r="K10216" s="24"/>
      <c r="L10216" s="24"/>
      <c r="M10216" s="24"/>
      <c r="N10216" s="24"/>
      <c r="O10216" s="24"/>
      <c r="P10216" s="24"/>
      <c r="Q10216" s="24"/>
      <c r="R10216" s="24"/>
      <c r="S10216" s="24"/>
      <c r="T10216" s="24"/>
      <c r="U10216" s="24"/>
      <c r="V10216" s="24"/>
      <c r="W10216" s="24"/>
      <c r="X10216" s="24"/>
      <c r="Y10216" s="24"/>
      <c r="Z10216" s="24"/>
      <c r="AA10216" s="24"/>
    </row>
    <row r="10217">
      <c r="A10217" s="24"/>
      <c r="B10217" s="25"/>
      <c r="C10217" s="24"/>
      <c r="D10217" s="26"/>
      <c r="E10217" s="24"/>
      <c r="F10217" s="24"/>
      <c r="G10217" s="24"/>
      <c r="H10217" s="24"/>
      <c r="I10217" s="24"/>
      <c r="J10217" s="24"/>
      <c r="K10217" s="24"/>
      <c r="L10217" s="24"/>
      <c r="M10217" s="24"/>
      <c r="N10217" s="24"/>
      <c r="O10217" s="24"/>
      <c r="P10217" s="24"/>
      <c r="Q10217" s="24"/>
      <c r="R10217" s="24"/>
      <c r="S10217" s="24"/>
      <c r="T10217" s="24"/>
      <c r="U10217" s="24"/>
      <c r="V10217" s="24"/>
      <c r="W10217" s="24"/>
      <c r="X10217" s="24"/>
      <c r="Y10217" s="24"/>
      <c r="Z10217" s="24"/>
      <c r="AA10217" s="24"/>
    </row>
    <row r="10218">
      <c r="A10218" s="24"/>
      <c r="B10218" s="25"/>
      <c r="C10218" s="24"/>
      <c r="D10218" s="26"/>
      <c r="E10218" s="24"/>
      <c r="F10218" s="24"/>
      <c r="G10218" s="24"/>
      <c r="H10218" s="24"/>
      <c r="I10218" s="24"/>
      <c r="J10218" s="24"/>
      <c r="K10218" s="24"/>
      <c r="L10218" s="24"/>
      <c r="M10218" s="24"/>
      <c r="N10218" s="24"/>
      <c r="O10218" s="24"/>
      <c r="P10218" s="24"/>
      <c r="Q10218" s="24"/>
      <c r="R10218" s="24"/>
      <c r="S10218" s="24"/>
      <c r="T10218" s="24"/>
      <c r="U10218" s="24"/>
      <c r="V10218" s="24"/>
      <c r="W10218" s="24"/>
      <c r="X10218" s="24"/>
      <c r="Y10218" s="24"/>
      <c r="Z10218" s="24"/>
      <c r="AA10218" s="24"/>
    </row>
    <row r="10219">
      <c r="A10219" s="24"/>
      <c r="B10219" s="25"/>
      <c r="C10219" s="24"/>
      <c r="D10219" s="26"/>
      <c r="E10219" s="24"/>
      <c r="F10219" s="24"/>
      <c r="G10219" s="24"/>
      <c r="H10219" s="24"/>
      <c r="I10219" s="24"/>
      <c r="J10219" s="24"/>
      <c r="K10219" s="24"/>
      <c r="L10219" s="24"/>
      <c r="M10219" s="24"/>
      <c r="N10219" s="24"/>
      <c r="O10219" s="24"/>
      <c r="P10219" s="24"/>
      <c r="Q10219" s="24"/>
      <c r="R10219" s="24"/>
      <c r="S10219" s="24"/>
      <c r="T10219" s="24"/>
      <c r="U10219" s="24"/>
      <c r="V10219" s="24"/>
      <c r="W10219" s="24"/>
      <c r="X10219" s="24"/>
      <c r="Y10219" s="24"/>
      <c r="Z10219" s="24"/>
      <c r="AA10219" s="24"/>
    </row>
    <row r="10220">
      <c r="A10220" s="24"/>
      <c r="B10220" s="25"/>
      <c r="C10220" s="24"/>
      <c r="D10220" s="26"/>
      <c r="E10220" s="24"/>
      <c r="F10220" s="24"/>
      <c r="G10220" s="24"/>
      <c r="H10220" s="24"/>
      <c r="I10220" s="24"/>
      <c r="J10220" s="24"/>
      <c r="K10220" s="24"/>
      <c r="L10220" s="24"/>
      <c r="M10220" s="24"/>
      <c r="N10220" s="24"/>
      <c r="O10220" s="24"/>
      <c r="P10220" s="24"/>
      <c r="Q10220" s="24"/>
      <c r="R10220" s="24"/>
      <c r="S10220" s="24"/>
      <c r="T10220" s="24"/>
      <c r="U10220" s="24"/>
      <c r="V10220" s="24"/>
      <c r="W10220" s="24"/>
      <c r="X10220" s="24"/>
      <c r="Y10220" s="24"/>
      <c r="Z10220" s="24"/>
      <c r="AA10220" s="24"/>
    </row>
    <row r="10221">
      <c r="A10221" s="24"/>
      <c r="B10221" s="25"/>
      <c r="C10221" s="24"/>
      <c r="D10221" s="26"/>
      <c r="E10221" s="24"/>
      <c r="F10221" s="24"/>
      <c r="G10221" s="24"/>
      <c r="H10221" s="24"/>
      <c r="I10221" s="24"/>
      <c r="J10221" s="24"/>
      <c r="K10221" s="24"/>
      <c r="L10221" s="24"/>
      <c r="M10221" s="24"/>
      <c r="N10221" s="24"/>
      <c r="O10221" s="24"/>
      <c r="P10221" s="24"/>
      <c r="Q10221" s="24"/>
      <c r="R10221" s="24"/>
      <c r="S10221" s="24"/>
      <c r="T10221" s="24"/>
      <c r="U10221" s="24"/>
      <c r="V10221" s="24"/>
      <c r="W10221" s="24"/>
      <c r="X10221" s="24"/>
      <c r="Y10221" s="24"/>
      <c r="Z10221" s="24"/>
      <c r="AA10221" s="24"/>
    </row>
    <row r="10222">
      <c r="A10222" s="24"/>
      <c r="B10222" s="25"/>
      <c r="C10222" s="24"/>
      <c r="D10222" s="26"/>
      <c r="E10222" s="24"/>
      <c r="F10222" s="24"/>
      <c r="G10222" s="24"/>
      <c r="H10222" s="24"/>
      <c r="I10222" s="24"/>
      <c r="J10222" s="24"/>
      <c r="K10222" s="24"/>
      <c r="L10222" s="24"/>
      <c r="M10222" s="24"/>
      <c r="N10222" s="24"/>
      <c r="O10222" s="24"/>
      <c r="P10222" s="24"/>
      <c r="Q10222" s="24"/>
      <c r="R10222" s="24"/>
      <c r="S10222" s="24"/>
      <c r="T10222" s="24"/>
      <c r="U10222" s="24"/>
      <c r="V10222" s="24"/>
      <c r="W10222" s="24"/>
      <c r="X10222" s="24"/>
      <c r="Y10222" s="24"/>
      <c r="Z10222" s="24"/>
      <c r="AA10222" s="24"/>
    </row>
    <row r="10223">
      <c r="A10223" s="24"/>
      <c r="B10223" s="25"/>
      <c r="C10223" s="24"/>
      <c r="D10223" s="26"/>
      <c r="E10223" s="24"/>
      <c r="F10223" s="24"/>
      <c r="G10223" s="24"/>
      <c r="H10223" s="24"/>
      <c r="I10223" s="24"/>
      <c r="J10223" s="24"/>
      <c r="K10223" s="24"/>
      <c r="L10223" s="24"/>
      <c r="M10223" s="24"/>
      <c r="N10223" s="24"/>
      <c r="O10223" s="24"/>
      <c r="P10223" s="24"/>
      <c r="Q10223" s="24"/>
      <c r="R10223" s="24"/>
      <c r="S10223" s="24"/>
      <c r="T10223" s="24"/>
      <c r="U10223" s="24"/>
      <c r="V10223" s="24"/>
      <c r="W10223" s="24"/>
      <c r="X10223" s="24"/>
      <c r="Y10223" s="24"/>
      <c r="Z10223" s="24"/>
      <c r="AA10223" s="24"/>
    </row>
    <row r="10224">
      <c r="A10224" s="24"/>
      <c r="B10224" s="25"/>
      <c r="C10224" s="24"/>
      <c r="D10224" s="26"/>
      <c r="E10224" s="24"/>
      <c r="F10224" s="24"/>
      <c r="G10224" s="24"/>
      <c r="H10224" s="24"/>
      <c r="I10224" s="24"/>
      <c r="J10224" s="24"/>
      <c r="K10224" s="24"/>
      <c r="L10224" s="24"/>
      <c r="M10224" s="24"/>
      <c r="N10224" s="24"/>
      <c r="O10224" s="24"/>
      <c r="P10224" s="24"/>
      <c r="Q10224" s="24"/>
      <c r="R10224" s="24"/>
      <c r="S10224" s="24"/>
      <c r="T10224" s="24"/>
      <c r="U10224" s="24"/>
      <c r="V10224" s="24"/>
      <c r="W10224" s="24"/>
      <c r="X10224" s="24"/>
      <c r="Y10224" s="24"/>
      <c r="Z10224" s="24"/>
      <c r="AA10224" s="24"/>
    </row>
    <row r="10225">
      <c r="A10225" s="24"/>
      <c r="B10225" s="25"/>
      <c r="C10225" s="24"/>
      <c r="D10225" s="26"/>
      <c r="E10225" s="24"/>
      <c r="F10225" s="24"/>
      <c r="G10225" s="24"/>
      <c r="H10225" s="24"/>
      <c r="I10225" s="24"/>
      <c r="J10225" s="24"/>
      <c r="K10225" s="24"/>
      <c r="L10225" s="24"/>
      <c r="M10225" s="24"/>
      <c r="N10225" s="24"/>
      <c r="O10225" s="24"/>
      <c r="P10225" s="24"/>
      <c r="Q10225" s="24"/>
      <c r="R10225" s="24"/>
      <c r="S10225" s="24"/>
      <c r="T10225" s="24"/>
      <c r="U10225" s="24"/>
      <c r="V10225" s="24"/>
      <c r="W10225" s="24"/>
      <c r="X10225" s="24"/>
      <c r="Y10225" s="24"/>
      <c r="Z10225" s="24"/>
      <c r="AA10225" s="24"/>
    </row>
    <row r="10226">
      <c r="A10226" s="24"/>
      <c r="B10226" s="25"/>
      <c r="C10226" s="24"/>
      <c r="D10226" s="26"/>
      <c r="E10226" s="24"/>
      <c r="F10226" s="24"/>
      <c r="G10226" s="24"/>
      <c r="H10226" s="24"/>
      <c r="I10226" s="24"/>
      <c r="J10226" s="24"/>
      <c r="K10226" s="24"/>
      <c r="L10226" s="24"/>
      <c r="M10226" s="24"/>
      <c r="N10226" s="24"/>
      <c r="O10226" s="24"/>
      <c r="P10226" s="24"/>
      <c r="Q10226" s="24"/>
      <c r="R10226" s="24"/>
      <c r="S10226" s="24"/>
      <c r="T10226" s="24"/>
      <c r="U10226" s="24"/>
      <c r="V10226" s="24"/>
      <c r="W10226" s="24"/>
      <c r="X10226" s="24"/>
      <c r="Y10226" s="24"/>
      <c r="Z10226" s="24"/>
      <c r="AA10226" s="24"/>
    </row>
    <row r="10227">
      <c r="A10227" s="24"/>
      <c r="B10227" s="25"/>
      <c r="C10227" s="24"/>
      <c r="D10227" s="26"/>
      <c r="E10227" s="24"/>
      <c r="F10227" s="24"/>
      <c r="G10227" s="24"/>
      <c r="H10227" s="24"/>
      <c r="I10227" s="24"/>
      <c r="J10227" s="24"/>
      <c r="K10227" s="24"/>
      <c r="L10227" s="24"/>
      <c r="M10227" s="24"/>
      <c r="N10227" s="24"/>
      <c r="O10227" s="24"/>
      <c r="P10227" s="24"/>
      <c r="Q10227" s="24"/>
      <c r="R10227" s="24"/>
      <c r="S10227" s="24"/>
      <c r="T10227" s="24"/>
      <c r="U10227" s="24"/>
      <c r="V10227" s="24"/>
      <c r="W10227" s="24"/>
      <c r="X10227" s="24"/>
      <c r="Y10227" s="24"/>
      <c r="Z10227" s="24"/>
      <c r="AA10227" s="24"/>
    </row>
    <row r="10228">
      <c r="A10228" s="24"/>
      <c r="B10228" s="25"/>
      <c r="C10228" s="24"/>
      <c r="D10228" s="26"/>
      <c r="E10228" s="24"/>
      <c r="F10228" s="24"/>
      <c r="G10228" s="24"/>
      <c r="H10228" s="24"/>
      <c r="I10228" s="24"/>
      <c r="J10228" s="24"/>
      <c r="K10228" s="24"/>
      <c r="L10228" s="24"/>
      <c r="M10228" s="24"/>
      <c r="N10228" s="24"/>
      <c r="O10228" s="24"/>
      <c r="P10228" s="24"/>
      <c r="Q10228" s="24"/>
      <c r="R10228" s="24"/>
      <c r="S10228" s="24"/>
      <c r="T10228" s="24"/>
      <c r="U10228" s="24"/>
      <c r="V10228" s="24"/>
      <c r="W10228" s="24"/>
      <c r="X10228" s="24"/>
      <c r="Y10228" s="24"/>
      <c r="Z10228" s="24"/>
      <c r="AA10228" s="24"/>
    </row>
    <row r="10229">
      <c r="A10229" s="24"/>
      <c r="B10229" s="25"/>
      <c r="C10229" s="24"/>
      <c r="D10229" s="26"/>
      <c r="E10229" s="24"/>
      <c r="F10229" s="24"/>
      <c r="G10229" s="24"/>
      <c r="H10229" s="24"/>
      <c r="I10229" s="24"/>
      <c r="J10229" s="24"/>
      <c r="K10229" s="24"/>
      <c r="L10229" s="24"/>
      <c r="M10229" s="24"/>
      <c r="N10229" s="24"/>
      <c r="O10229" s="24"/>
      <c r="P10229" s="24"/>
      <c r="Q10229" s="24"/>
      <c r="R10229" s="24"/>
      <c r="S10229" s="24"/>
      <c r="T10229" s="24"/>
      <c r="U10229" s="24"/>
      <c r="V10229" s="24"/>
      <c r="W10229" s="24"/>
      <c r="X10229" s="24"/>
      <c r="Y10229" s="24"/>
      <c r="Z10229" s="24"/>
      <c r="AA10229" s="24"/>
    </row>
    <row r="10230">
      <c r="A10230" s="24"/>
      <c r="B10230" s="25"/>
      <c r="C10230" s="24"/>
      <c r="D10230" s="26"/>
      <c r="E10230" s="24"/>
      <c r="F10230" s="24"/>
      <c r="G10230" s="24"/>
      <c r="H10230" s="24"/>
      <c r="I10230" s="24"/>
      <c r="J10230" s="24"/>
      <c r="K10230" s="24"/>
      <c r="L10230" s="24"/>
      <c r="M10230" s="24"/>
      <c r="N10230" s="24"/>
      <c r="O10230" s="24"/>
      <c r="P10230" s="24"/>
      <c r="Q10230" s="24"/>
      <c r="R10230" s="24"/>
      <c r="S10230" s="24"/>
      <c r="T10230" s="24"/>
      <c r="U10230" s="24"/>
      <c r="V10230" s="24"/>
      <c r="W10230" s="24"/>
      <c r="X10230" s="24"/>
      <c r="Y10230" s="24"/>
      <c r="Z10230" s="24"/>
      <c r="AA10230" s="24"/>
    </row>
    <row r="10231">
      <c r="A10231" s="24"/>
      <c r="B10231" s="25"/>
      <c r="C10231" s="24"/>
      <c r="D10231" s="26"/>
      <c r="E10231" s="24"/>
      <c r="F10231" s="24"/>
      <c r="G10231" s="24"/>
      <c r="H10231" s="24"/>
      <c r="I10231" s="24"/>
      <c r="J10231" s="24"/>
      <c r="K10231" s="24"/>
      <c r="L10231" s="24"/>
      <c r="M10231" s="24"/>
      <c r="N10231" s="24"/>
      <c r="O10231" s="24"/>
      <c r="P10231" s="24"/>
      <c r="Q10231" s="24"/>
      <c r="R10231" s="24"/>
      <c r="S10231" s="24"/>
      <c r="T10231" s="24"/>
      <c r="U10231" s="24"/>
      <c r="V10231" s="24"/>
      <c r="W10231" s="24"/>
      <c r="X10231" s="24"/>
      <c r="Y10231" s="24"/>
      <c r="Z10231" s="24"/>
      <c r="AA10231" s="24"/>
    </row>
    <row r="10232">
      <c r="A10232" s="24"/>
      <c r="B10232" s="25"/>
      <c r="C10232" s="24"/>
      <c r="D10232" s="26"/>
      <c r="E10232" s="24"/>
      <c r="F10232" s="24"/>
      <c r="G10232" s="24"/>
      <c r="H10232" s="24"/>
      <c r="I10232" s="24"/>
      <c r="J10232" s="24"/>
      <c r="K10232" s="24"/>
      <c r="L10232" s="24"/>
      <c r="M10232" s="24"/>
      <c r="N10232" s="24"/>
      <c r="O10232" s="24"/>
      <c r="P10232" s="24"/>
      <c r="Q10232" s="24"/>
      <c r="R10232" s="24"/>
      <c r="S10232" s="24"/>
      <c r="T10232" s="24"/>
      <c r="U10232" s="24"/>
      <c r="V10232" s="24"/>
      <c r="W10232" s="24"/>
      <c r="X10232" s="24"/>
      <c r="Y10232" s="24"/>
      <c r="Z10232" s="24"/>
      <c r="AA10232" s="24"/>
    </row>
    <row r="10233">
      <c r="A10233" s="24"/>
      <c r="B10233" s="25"/>
      <c r="C10233" s="24"/>
      <c r="D10233" s="26"/>
      <c r="E10233" s="24"/>
      <c r="F10233" s="24"/>
      <c r="G10233" s="24"/>
      <c r="H10233" s="24"/>
      <c r="I10233" s="24"/>
      <c r="J10233" s="24"/>
      <c r="K10233" s="24"/>
      <c r="L10233" s="24"/>
      <c r="M10233" s="24"/>
      <c r="N10233" s="24"/>
      <c r="O10233" s="24"/>
      <c r="P10233" s="24"/>
      <c r="Q10233" s="24"/>
      <c r="R10233" s="24"/>
      <c r="S10233" s="24"/>
      <c r="T10233" s="24"/>
      <c r="U10233" s="24"/>
      <c r="V10233" s="24"/>
      <c r="W10233" s="24"/>
      <c r="X10233" s="24"/>
      <c r="Y10233" s="24"/>
      <c r="Z10233" s="24"/>
      <c r="AA10233" s="24"/>
    </row>
    <row r="10234">
      <c r="A10234" s="24"/>
      <c r="B10234" s="25"/>
      <c r="C10234" s="24"/>
      <c r="D10234" s="26"/>
      <c r="E10234" s="24"/>
      <c r="F10234" s="24"/>
      <c r="G10234" s="24"/>
      <c r="H10234" s="24"/>
      <c r="I10234" s="24"/>
      <c r="J10234" s="24"/>
      <c r="K10234" s="24"/>
      <c r="L10234" s="24"/>
      <c r="M10234" s="24"/>
      <c r="N10234" s="24"/>
      <c r="O10234" s="24"/>
      <c r="P10234" s="24"/>
      <c r="Q10234" s="24"/>
      <c r="R10234" s="24"/>
      <c r="S10234" s="24"/>
      <c r="T10234" s="24"/>
      <c r="U10234" s="24"/>
      <c r="V10234" s="24"/>
      <c r="W10234" s="24"/>
      <c r="X10234" s="24"/>
      <c r="Y10234" s="24"/>
      <c r="Z10234" s="24"/>
      <c r="AA10234" s="24"/>
    </row>
    <row r="10235">
      <c r="A10235" s="24"/>
      <c r="B10235" s="25"/>
      <c r="C10235" s="24"/>
      <c r="D10235" s="26"/>
      <c r="E10235" s="24"/>
      <c r="F10235" s="24"/>
      <c r="G10235" s="24"/>
      <c r="H10235" s="24"/>
      <c r="I10235" s="24"/>
      <c r="J10235" s="24"/>
      <c r="K10235" s="24"/>
      <c r="L10235" s="24"/>
      <c r="M10235" s="24"/>
      <c r="N10235" s="24"/>
      <c r="O10235" s="24"/>
      <c r="P10235" s="24"/>
      <c r="Q10235" s="24"/>
      <c r="R10235" s="24"/>
      <c r="S10235" s="24"/>
      <c r="T10235" s="24"/>
      <c r="U10235" s="24"/>
      <c r="V10235" s="24"/>
      <c r="W10235" s="24"/>
      <c r="X10235" s="24"/>
      <c r="Y10235" s="24"/>
      <c r="Z10235" s="24"/>
      <c r="AA10235" s="24"/>
    </row>
    <row r="10236">
      <c r="A10236" s="24"/>
      <c r="B10236" s="25"/>
      <c r="C10236" s="24"/>
      <c r="D10236" s="26"/>
      <c r="E10236" s="24"/>
      <c r="F10236" s="24"/>
      <c r="G10236" s="24"/>
      <c r="H10236" s="24"/>
      <c r="I10236" s="24"/>
      <c r="J10236" s="24"/>
      <c r="K10236" s="24"/>
      <c r="L10236" s="24"/>
      <c r="M10236" s="24"/>
      <c r="N10236" s="24"/>
      <c r="O10236" s="24"/>
      <c r="P10236" s="24"/>
      <c r="Q10236" s="24"/>
      <c r="R10236" s="24"/>
      <c r="S10236" s="24"/>
      <c r="T10236" s="24"/>
      <c r="U10236" s="24"/>
      <c r="V10236" s="24"/>
      <c r="W10236" s="24"/>
      <c r="X10236" s="24"/>
      <c r="Y10236" s="24"/>
      <c r="Z10236" s="24"/>
      <c r="AA10236" s="24"/>
    </row>
    <row r="10237">
      <c r="A10237" s="24"/>
      <c r="B10237" s="25"/>
      <c r="C10237" s="24"/>
      <c r="D10237" s="26"/>
      <c r="E10237" s="24"/>
      <c r="F10237" s="24"/>
      <c r="G10237" s="24"/>
      <c r="H10237" s="24"/>
      <c r="I10237" s="24"/>
      <c r="J10237" s="24"/>
      <c r="K10237" s="24"/>
      <c r="L10237" s="24"/>
      <c r="M10237" s="24"/>
      <c r="N10237" s="24"/>
      <c r="O10237" s="24"/>
      <c r="P10237" s="24"/>
      <c r="Q10237" s="24"/>
      <c r="R10237" s="24"/>
      <c r="S10237" s="24"/>
      <c r="T10237" s="24"/>
      <c r="U10237" s="24"/>
      <c r="V10237" s="24"/>
      <c r="W10237" s="24"/>
      <c r="X10237" s="24"/>
      <c r="Y10237" s="24"/>
      <c r="Z10237" s="24"/>
      <c r="AA10237" s="24"/>
    </row>
    <row r="10238">
      <c r="A10238" s="24"/>
      <c r="B10238" s="25"/>
      <c r="C10238" s="24"/>
      <c r="D10238" s="26"/>
      <c r="E10238" s="24"/>
      <c r="F10238" s="24"/>
      <c r="G10238" s="24"/>
      <c r="H10238" s="24"/>
      <c r="I10238" s="24"/>
      <c r="J10238" s="24"/>
      <c r="K10238" s="24"/>
      <c r="L10238" s="24"/>
      <c r="M10238" s="24"/>
      <c r="N10238" s="24"/>
      <c r="O10238" s="24"/>
      <c r="P10238" s="24"/>
      <c r="Q10238" s="24"/>
      <c r="R10238" s="24"/>
      <c r="S10238" s="24"/>
      <c r="T10238" s="24"/>
      <c r="U10238" s="24"/>
      <c r="V10238" s="24"/>
      <c r="W10238" s="24"/>
      <c r="X10238" s="24"/>
      <c r="Y10238" s="24"/>
      <c r="Z10238" s="24"/>
      <c r="AA10238" s="24"/>
    </row>
    <row r="10239">
      <c r="A10239" s="24"/>
      <c r="B10239" s="25"/>
      <c r="C10239" s="24"/>
      <c r="D10239" s="26"/>
      <c r="E10239" s="24"/>
      <c r="F10239" s="24"/>
      <c r="G10239" s="24"/>
      <c r="H10239" s="24"/>
      <c r="I10239" s="24"/>
      <c r="J10239" s="24"/>
      <c r="K10239" s="24"/>
      <c r="L10239" s="24"/>
      <c r="M10239" s="24"/>
      <c r="N10239" s="24"/>
      <c r="O10239" s="24"/>
      <c r="P10239" s="24"/>
      <c r="Q10239" s="24"/>
      <c r="R10239" s="24"/>
      <c r="S10239" s="24"/>
      <c r="T10239" s="24"/>
      <c r="U10239" s="24"/>
      <c r="V10239" s="24"/>
      <c r="W10239" s="24"/>
      <c r="X10239" s="24"/>
      <c r="Y10239" s="24"/>
      <c r="Z10239" s="24"/>
      <c r="AA10239" s="24"/>
    </row>
    <row r="10240">
      <c r="A10240" s="24"/>
      <c r="B10240" s="25"/>
      <c r="C10240" s="24"/>
      <c r="D10240" s="26"/>
      <c r="E10240" s="24"/>
      <c r="F10240" s="24"/>
      <c r="G10240" s="24"/>
      <c r="H10240" s="24"/>
      <c r="I10240" s="24"/>
      <c r="J10240" s="24"/>
      <c r="K10240" s="24"/>
      <c r="L10240" s="24"/>
      <c r="M10240" s="24"/>
      <c r="N10240" s="24"/>
      <c r="O10240" s="24"/>
      <c r="P10240" s="24"/>
      <c r="Q10240" s="24"/>
      <c r="R10240" s="24"/>
      <c r="S10240" s="24"/>
      <c r="T10240" s="24"/>
      <c r="U10240" s="24"/>
      <c r="V10240" s="24"/>
      <c r="W10240" s="24"/>
      <c r="X10240" s="24"/>
      <c r="Y10240" s="24"/>
      <c r="Z10240" s="24"/>
      <c r="AA10240" s="24"/>
    </row>
    <row r="10241">
      <c r="A10241" s="24"/>
      <c r="B10241" s="25"/>
      <c r="C10241" s="24"/>
      <c r="D10241" s="26"/>
      <c r="E10241" s="24"/>
      <c r="F10241" s="24"/>
      <c r="G10241" s="24"/>
      <c r="H10241" s="24"/>
      <c r="I10241" s="24"/>
      <c r="J10241" s="24"/>
      <c r="K10241" s="24"/>
      <c r="L10241" s="24"/>
      <c r="M10241" s="24"/>
      <c r="N10241" s="24"/>
      <c r="O10241" s="24"/>
      <c r="P10241" s="24"/>
      <c r="Q10241" s="24"/>
      <c r="R10241" s="24"/>
      <c r="S10241" s="24"/>
      <c r="T10241" s="24"/>
      <c r="U10241" s="24"/>
      <c r="V10241" s="24"/>
      <c r="W10241" s="24"/>
      <c r="X10241" s="24"/>
      <c r="Y10241" s="24"/>
      <c r="Z10241" s="24"/>
      <c r="AA10241" s="24"/>
    </row>
    <row r="10242">
      <c r="A10242" s="24"/>
      <c r="B10242" s="25"/>
      <c r="C10242" s="24"/>
      <c r="D10242" s="26"/>
      <c r="E10242" s="24"/>
      <c r="F10242" s="24"/>
      <c r="G10242" s="24"/>
      <c r="H10242" s="24"/>
      <c r="I10242" s="24"/>
      <c r="J10242" s="24"/>
      <c r="K10242" s="24"/>
      <c r="L10242" s="24"/>
      <c r="M10242" s="24"/>
      <c r="N10242" s="24"/>
      <c r="O10242" s="24"/>
      <c r="P10242" s="24"/>
      <c r="Q10242" s="24"/>
      <c r="R10242" s="24"/>
      <c r="S10242" s="24"/>
      <c r="T10242" s="24"/>
      <c r="U10242" s="24"/>
      <c r="V10242" s="24"/>
      <c r="W10242" s="24"/>
      <c r="X10242" s="24"/>
      <c r="Y10242" s="24"/>
      <c r="Z10242" s="24"/>
      <c r="AA10242" s="24"/>
    </row>
    <row r="10243">
      <c r="A10243" s="24"/>
      <c r="B10243" s="25"/>
      <c r="C10243" s="24"/>
      <c r="D10243" s="26"/>
      <c r="E10243" s="24"/>
      <c r="F10243" s="24"/>
      <c r="G10243" s="24"/>
      <c r="H10243" s="24"/>
      <c r="I10243" s="24"/>
      <c r="J10243" s="24"/>
      <c r="K10243" s="24"/>
      <c r="L10243" s="24"/>
      <c r="M10243" s="24"/>
      <c r="N10243" s="24"/>
      <c r="O10243" s="24"/>
      <c r="P10243" s="24"/>
      <c r="Q10243" s="24"/>
      <c r="R10243" s="24"/>
      <c r="S10243" s="24"/>
      <c r="T10243" s="24"/>
      <c r="U10243" s="24"/>
      <c r="V10243" s="24"/>
      <c r="W10243" s="24"/>
      <c r="X10243" s="24"/>
      <c r="Y10243" s="24"/>
      <c r="Z10243" s="24"/>
      <c r="AA10243" s="24"/>
    </row>
    <row r="10244">
      <c r="A10244" s="24"/>
      <c r="B10244" s="25"/>
      <c r="C10244" s="24"/>
      <c r="D10244" s="26"/>
      <c r="E10244" s="24"/>
      <c r="F10244" s="24"/>
      <c r="G10244" s="24"/>
      <c r="H10244" s="24"/>
      <c r="I10244" s="24"/>
      <c r="J10244" s="24"/>
      <c r="K10244" s="24"/>
      <c r="L10244" s="24"/>
      <c r="M10244" s="24"/>
      <c r="N10244" s="24"/>
      <c r="O10244" s="24"/>
      <c r="P10244" s="24"/>
      <c r="Q10244" s="24"/>
      <c r="R10244" s="24"/>
      <c r="S10244" s="24"/>
      <c r="T10244" s="24"/>
      <c r="U10244" s="24"/>
      <c r="V10244" s="24"/>
      <c r="W10244" s="24"/>
      <c r="X10244" s="24"/>
      <c r="Y10244" s="24"/>
      <c r="Z10244" s="24"/>
      <c r="AA10244" s="24"/>
    </row>
    <row r="10245">
      <c r="A10245" s="24"/>
      <c r="B10245" s="25"/>
      <c r="C10245" s="24"/>
      <c r="D10245" s="26"/>
      <c r="E10245" s="24"/>
      <c r="F10245" s="24"/>
      <c r="G10245" s="24"/>
      <c r="H10245" s="24"/>
      <c r="I10245" s="24"/>
      <c r="J10245" s="24"/>
      <c r="K10245" s="24"/>
      <c r="L10245" s="24"/>
      <c r="M10245" s="24"/>
      <c r="N10245" s="24"/>
      <c r="O10245" s="24"/>
      <c r="P10245" s="24"/>
      <c r="Q10245" s="24"/>
      <c r="R10245" s="24"/>
      <c r="S10245" s="24"/>
      <c r="T10245" s="24"/>
      <c r="U10245" s="24"/>
      <c r="V10245" s="24"/>
      <c r="W10245" s="24"/>
      <c r="X10245" s="24"/>
      <c r="Y10245" s="24"/>
      <c r="Z10245" s="24"/>
      <c r="AA10245" s="24"/>
    </row>
    <row r="10246">
      <c r="A10246" s="24"/>
      <c r="B10246" s="25"/>
      <c r="C10246" s="24"/>
      <c r="D10246" s="26"/>
      <c r="E10246" s="24"/>
      <c r="F10246" s="24"/>
      <c r="G10246" s="24"/>
      <c r="H10246" s="24"/>
      <c r="I10246" s="24"/>
      <c r="J10246" s="24"/>
      <c r="K10246" s="24"/>
      <c r="L10246" s="24"/>
      <c r="M10246" s="24"/>
      <c r="N10246" s="24"/>
      <c r="O10246" s="24"/>
      <c r="P10246" s="24"/>
      <c r="Q10246" s="24"/>
      <c r="R10246" s="24"/>
      <c r="S10246" s="24"/>
      <c r="T10246" s="24"/>
      <c r="U10246" s="24"/>
      <c r="V10246" s="24"/>
      <c r="W10246" s="24"/>
      <c r="X10246" s="24"/>
      <c r="Y10246" s="24"/>
      <c r="Z10246" s="24"/>
      <c r="AA10246" s="24"/>
    </row>
    <row r="10247">
      <c r="A10247" s="24"/>
      <c r="B10247" s="25"/>
      <c r="C10247" s="24"/>
      <c r="D10247" s="26"/>
      <c r="E10247" s="24"/>
      <c r="F10247" s="24"/>
      <c r="G10247" s="24"/>
      <c r="H10247" s="24"/>
      <c r="I10247" s="24"/>
      <c r="J10247" s="24"/>
      <c r="K10247" s="24"/>
      <c r="L10247" s="24"/>
      <c r="M10247" s="24"/>
      <c r="N10247" s="24"/>
      <c r="O10247" s="24"/>
      <c r="P10247" s="24"/>
      <c r="Q10247" s="24"/>
      <c r="R10247" s="24"/>
      <c r="S10247" s="24"/>
      <c r="T10247" s="24"/>
      <c r="U10247" s="24"/>
      <c r="V10247" s="24"/>
      <c r="W10247" s="24"/>
      <c r="X10247" s="24"/>
      <c r="Y10247" s="24"/>
      <c r="Z10247" s="24"/>
      <c r="AA10247" s="24"/>
    </row>
    <row r="10248">
      <c r="A10248" s="24"/>
      <c r="B10248" s="25"/>
      <c r="C10248" s="24"/>
      <c r="D10248" s="26"/>
      <c r="E10248" s="24"/>
      <c r="F10248" s="24"/>
      <c r="G10248" s="24"/>
      <c r="H10248" s="24"/>
      <c r="I10248" s="24"/>
      <c r="J10248" s="24"/>
      <c r="K10248" s="24"/>
      <c r="L10248" s="24"/>
      <c r="M10248" s="24"/>
      <c r="N10248" s="24"/>
      <c r="O10248" s="24"/>
      <c r="P10248" s="24"/>
      <c r="Q10248" s="24"/>
      <c r="R10248" s="24"/>
      <c r="S10248" s="24"/>
      <c r="T10248" s="24"/>
      <c r="U10248" s="24"/>
      <c r="V10248" s="24"/>
      <c r="W10248" s="24"/>
      <c r="X10248" s="24"/>
      <c r="Y10248" s="24"/>
      <c r="Z10248" s="24"/>
      <c r="AA10248" s="24"/>
    </row>
    <row r="10249">
      <c r="A10249" s="24"/>
      <c r="B10249" s="25"/>
      <c r="C10249" s="24"/>
      <c r="D10249" s="26"/>
      <c r="E10249" s="24"/>
      <c r="F10249" s="24"/>
      <c r="G10249" s="24"/>
      <c r="H10249" s="24"/>
      <c r="I10249" s="24"/>
      <c r="J10249" s="24"/>
      <c r="K10249" s="24"/>
      <c r="L10249" s="24"/>
      <c r="M10249" s="24"/>
      <c r="N10249" s="24"/>
      <c r="O10249" s="24"/>
      <c r="P10249" s="24"/>
      <c r="Q10249" s="24"/>
      <c r="R10249" s="24"/>
      <c r="S10249" s="24"/>
      <c r="T10249" s="24"/>
      <c r="U10249" s="24"/>
      <c r="V10249" s="24"/>
      <c r="W10249" s="24"/>
      <c r="X10249" s="24"/>
      <c r="Y10249" s="24"/>
      <c r="Z10249" s="24"/>
      <c r="AA10249" s="24"/>
    </row>
    <row r="10250">
      <c r="A10250" s="24"/>
      <c r="B10250" s="25"/>
      <c r="C10250" s="24"/>
      <c r="D10250" s="26"/>
      <c r="E10250" s="24"/>
      <c r="F10250" s="24"/>
      <c r="G10250" s="24"/>
      <c r="H10250" s="24"/>
      <c r="I10250" s="24"/>
      <c r="J10250" s="24"/>
      <c r="K10250" s="24"/>
      <c r="L10250" s="24"/>
      <c r="M10250" s="24"/>
      <c r="N10250" s="24"/>
      <c r="O10250" s="24"/>
      <c r="P10250" s="24"/>
      <c r="Q10250" s="24"/>
      <c r="R10250" s="24"/>
      <c r="S10250" s="24"/>
      <c r="T10250" s="24"/>
      <c r="U10250" s="24"/>
      <c r="V10250" s="24"/>
      <c r="W10250" s="24"/>
      <c r="X10250" s="24"/>
      <c r="Y10250" s="24"/>
      <c r="Z10250" s="24"/>
      <c r="AA10250" s="24"/>
    </row>
    <row r="10251">
      <c r="A10251" s="24"/>
      <c r="B10251" s="25"/>
      <c r="C10251" s="24"/>
      <c r="D10251" s="26"/>
      <c r="E10251" s="24"/>
      <c r="F10251" s="24"/>
      <c r="G10251" s="24"/>
      <c r="H10251" s="24"/>
      <c r="I10251" s="24"/>
      <c r="J10251" s="24"/>
      <c r="K10251" s="24"/>
      <c r="L10251" s="24"/>
      <c r="M10251" s="24"/>
      <c r="N10251" s="24"/>
      <c r="O10251" s="24"/>
      <c r="P10251" s="24"/>
      <c r="Q10251" s="24"/>
      <c r="R10251" s="24"/>
      <c r="S10251" s="24"/>
      <c r="T10251" s="24"/>
      <c r="U10251" s="24"/>
      <c r="V10251" s="24"/>
      <c r="W10251" s="24"/>
      <c r="X10251" s="24"/>
      <c r="Y10251" s="24"/>
      <c r="Z10251" s="24"/>
      <c r="AA10251" s="24"/>
    </row>
    <row r="10252">
      <c r="A10252" s="24"/>
      <c r="B10252" s="25"/>
      <c r="C10252" s="24"/>
      <c r="D10252" s="26"/>
      <c r="E10252" s="24"/>
      <c r="F10252" s="24"/>
      <c r="G10252" s="24"/>
      <c r="H10252" s="24"/>
      <c r="I10252" s="24"/>
      <c r="J10252" s="24"/>
      <c r="K10252" s="24"/>
      <c r="L10252" s="24"/>
      <c r="M10252" s="24"/>
      <c r="N10252" s="24"/>
      <c r="O10252" s="24"/>
      <c r="P10252" s="24"/>
      <c r="Q10252" s="24"/>
      <c r="R10252" s="24"/>
      <c r="S10252" s="24"/>
      <c r="T10252" s="24"/>
      <c r="U10252" s="24"/>
      <c r="V10252" s="24"/>
      <c r="W10252" s="24"/>
      <c r="X10252" s="24"/>
      <c r="Y10252" s="24"/>
      <c r="Z10252" s="24"/>
      <c r="AA10252" s="24"/>
    </row>
    <row r="10253">
      <c r="A10253" s="24"/>
      <c r="B10253" s="25"/>
      <c r="C10253" s="24"/>
      <c r="D10253" s="26"/>
      <c r="E10253" s="24"/>
      <c r="F10253" s="24"/>
      <c r="G10253" s="24"/>
      <c r="H10253" s="24"/>
      <c r="I10253" s="24"/>
      <c r="J10253" s="24"/>
      <c r="K10253" s="24"/>
      <c r="L10253" s="24"/>
      <c r="M10253" s="24"/>
      <c r="N10253" s="24"/>
      <c r="O10253" s="24"/>
      <c r="P10253" s="24"/>
      <c r="Q10253" s="24"/>
      <c r="R10253" s="24"/>
      <c r="S10253" s="24"/>
      <c r="T10253" s="24"/>
      <c r="U10253" s="24"/>
      <c r="V10253" s="24"/>
      <c r="W10253" s="24"/>
      <c r="X10253" s="24"/>
      <c r="Y10253" s="24"/>
      <c r="Z10253" s="24"/>
      <c r="AA10253" s="24"/>
    </row>
    <row r="10254">
      <c r="A10254" s="24"/>
      <c r="B10254" s="25"/>
      <c r="C10254" s="24"/>
      <c r="D10254" s="26"/>
      <c r="E10254" s="24"/>
      <c r="F10254" s="24"/>
      <c r="G10254" s="24"/>
      <c r="H10254" s="24"/>
      <c r="I10254" s="24"/>
      <c r="J10254" s="24"/>
      <c r="K10254" s="24"/>
      <c r="L10254" s="24"/>
      <c r="M10254" s="24"/>
      <c r="N10254" s="24"/>
      <c r="O10254" s="24"/>
      <c r="P10254" s="24"/>
      <c r="Q10254" s="24"/>
      <c r="R10254" s="24"/>
      <c r="S10254" s="24"/>
      <c r="T10254" s="24"/>
      <c r="U10254" s="24"/>
      <c r="V10254" s="24"/>
      <c r="W10254" s="24"/>
      <c r="X10254" s="24"/>
      <c r="Y10254" s="24"/>
      <c r="Z10254" s="24"/>
      <c r="AA10254" s="24"/>
    </row>
    <row r="10255">
      <c r="A10255" s="24"/>
      <c r="B10255" s="25"/>
      <c r="C10255" s="24"/>
      <c r="D10255" s="26"/>
      <c r="E10255" s="24"/>
      <c r="F10255" s="24"/>
      <c r="G10255" s="24"/>
      <c r="H10255" s="24"/>
      <c r="I10255" s="24"/>
      <c r="J10255" s="24"/>
      <c r="K10255" s="24"/>
      <c r="L10255" s="24"/>
      <c r="M10255" s="24"/>
      <c r="N10255" s="24"/>
      <c r="O10255" s="24"/>
      <c r="P10255" s="24"/>
      <c r="Q10255" s="24"/>
      <c r="R10255" s="24"/>
      <c r="S10255" s="24"/>
      <c r="T10255" s="24"/>
      <c r="U10255" s="24"/>
      <c r="V10255" s="24"/>
      <c r="W10255" s="24"/>
      <c r="X10255" s="24"/>
      <c r="Y10255" s="24"/>
      <c r="Z10255" s="24"/>
      <c r="AA10255" s="24"/>
    </row>
    <row r="10256">
      <c r="A10256" s="24"/>
      <c r="B10256" s="25"/>
      <c r="C10256" s="24"/>
      <c r="D10256" s="26"/>
      <c r="E10256" s="24"/>
      <c r="F10256" s="24"/>
      <c r="G10256" s="24"/>
      <c r="H10256" s="24"/>
      <c r="I10256" s="24"/>
      <c r="J10256" s="24"/>
      <c r="K10256" s="24"/>
      <c r="L10256" s="24"/>
      <c r="M10256" s="24"/>
      <c r="N10256" s="24"/>
      <c r="O10256" s="24"/>
      <c r="P10256" s="24"/>
      <c r="Q10256" s="24"/>
      <c r="R10256" s="24"/>
      <c r="S10256" s="24"/>
      <c r="T10256" s="24"/>
      <c r="U10256" s="24"/>
      <c r="V10256" s="24"/>
      <c r="W10256" s="24"/>
      <c r="X10256" s="24"/>
      <c r="Y10256" s="24"/>
      <c r="Z10256" s="24"/>
      <c r="AA10256" s="24"/>
    </row>
    <row r="10257">
      <c r="A10257" s="24"/>
      <c r="B10257" s="25"/>
      <c r="C10257" s="24"/>
      <c r="D10257" s="26"/>
      <c r="E10257" s="24"/>
      <c r="F10257" s="24"/>
      <c r="G10257" s="24"/>
      <c r="H10257" s="24"/>
      <c r="I10257" s="24"/>
      <c r="J10257" s="24"/>
      <c r="K10257" s="24"/>
      <c r="L10257" s="24"/>
      <c r="M10257" s="24"/>
      <c r="N10257" s="24"/>
      <c r="O10257" s="24"/>
      <c r="P10257" s="24"/>
      <c r="Q10257" s="24"/>
      <c r="R10257" s="24"/>
      <c r="S10257" s="24"/>
      <c r="T10257" s="24"/>
      <c r="U10257" s="24"/>
      <c r="V10257" s="24"/>
      <c r="W10257" s="24"/>
      <c r="X10257" s="24"/>
      <c r="Y10257" s="24"/>
      <c r="Z10257" s="24"/>
      <c r="AA10257" s="24"/>
    </row>
    <row r="10258">
      <c r="A10258" s="24"/>
      <c r="B10258" s="25"/>
      <c r="C10258" s="24"/>
      <c r="D10258" s="26"/>
      <c r="E10258" s="24"/>
      <c r="F10258" s="24"/>
      <c r="G10258" s="24"/>
      <c r="H10258" s="24"/>
      <c r="I10258" s="24"/>
      <c r="J10258" s="24"/>
      <c r="K10258" s="24"/>
      <c r="L10258" s="24"/>
      <c r="M10258" s="24"/>
      <c r="N10258" s="24"/>
      <c r="O10258" s="24"/>
      <c r="P10258" s="24"/>
      <c r="Q10258" s="24"/>
      <c r="R10258" s="24"/>
      <c r="S10258" s="24"/>
      <c r="T10258" s="24"/>
      <c r="U10258" s="24"/>
      <c r="V10258" s="24"/>
      <c r="W10258" s="24"/>
      <c r="X10258" s="24"/>
      <c r="Y10258" s="24"/>
      <c r="Z10258" s="24"/>
      <c r="AA10258" s="24"/>
    </row>
    <row r="10259">
      <c r="A10259" s="24"/>
      <c r="B10259" s="25"/>
      <c r="C10259" s="24"/>
      <c r="D10259" s="26"/>
      <c r="E10259" s="24"/>
      <c r="F10259" s="24"/>
      <c r="G10259" s="24"/>
      <c r="H10259" s="24"/>
      <c r="I10259" s="24"/>
      <c r="J10259" s="24"/>
      <c r="K10259" s="24"/>
      <c r="L10259" s="24"/>
      <c r="M10259" s="24"/>
      <c r="N10259" s="24"/>
      <c r="O10259" s="24"/>
      <c r="P10259" s="24"/>
      <c r="Q10259" s="24"/>
      <c r="R10259" s="24"/>
      <c r="S10259" s="24"/>
      <c r="T10259" s="24"/>
      <c r="U10259" s="24"/>
      <c r="V10259" s="24"/>
      <c r="W10259" s="24"/>
      <c r="X10259" s="24"/>
      <c r="Y10259" s="24"/>
      <c r="Z10259" s="24"/>
      <c r="AA10259" s="24"/>
    </row>
    <row r="10260">
      <c r="A10260" s="24"/>
      <c r="B10260" s="25"/>
      <c r="C10260" s="24"/>
      <c r="D10260" s="26"/>
      <c r="E10260" s="24"/>
      <c r="F10260" s="24"/>
      <c r="G10260" s="24"/>
      <c r="H10260" s="24"/>
      <c r="I10260" s="24"/>
      <c r="J10260" s="24"/>
      <c r="K10260" s="24"/>
      <c r="L10260" s="24"/>
      <c r="M10260" s="24"/>
      <c r="N10260" s="24"/>
      <c r="O10260" s="24"/>
      <c r="P10260" s="24"/>
      <c r="Q10260" s="24"/>
      <c r="R10260" s="24"/>
      <c r="S10260" s="24"/>
      <c r="T10260" s="24"/>
      <c r="U10260" s="24"/>
      <c r="V10260" s="24"/>
      <c r="W10260" s="24"/>
      <c r="X10260" s="24"/>
      <c r="Y10260" s="24"/>
      <c r="Z10260" s="24"/>
      <c r="AA10260" s="24"/>
    </row>
    <row r="10261">
      <c r="A10261" s="24"/>
      <c r="B10261" s="25"/>
      <c r="C10261" s="24"/>
      <c r="D10261" s="26"/>
      <c r="E10261" s="24"/>
      <c r="F10261" s="24"/>
      <c r="G10261" s="24"/>
      <c r="H10261" s="24"/>
      <c r="I10261" s="24"/>
      <c r="J10261" s="24"/>
      <c r="K10261" s="24"/>
      <c r="L10261" s="24"/>
      <c r="M10261" s="24"/>
      <c r="N10261" s="24"/>
      <c r="O10261" s="24"/>
      <c r="P10261" s="24"/>
      <c r="Q10261" s="24"/>
      <c r="R10261" s="24"/>
      <c r="S10261" s="24"/>
      <c r="T10261" s="24"/>
      <c r="U10261" s="24"/>
      <c r="V10261" s="24"/>
      <c r="W10261" s="24"/>
      <c r="X10261" s="24"/>
      <c r="Y10261" s="24"/>
      <c r="Z10261" s="24"/>
      <c r="AA10261" s="24"/>
    </row>
    <row r="10262">
      <c r="A10262" s="24"/>
      <c r="B10262" s="25"/>
      <c r="C10262" s="24"/>
      <c r="D10262" s="26"/>
      <c r="E10262" s="24"/>
      <c r="F10262" s="24"/>
      <c r="G10262" s="24"/>
      <c r="H10262" s="24"/>
      <c r="I10262" s="24"/>
      <c r="J10262" s="24"/>
      <c r="K10262" s="24"/>
      <c r="L10262" s="24"/>
      <c r="M10262" s="24"/>
      <c r="N10262" s="24"/>
      <c r="O10262" s="24"/>
      <c r="P10262" s="24"/>
      <c r="Q10262" s="24"/>
      <c r="R10262" s="24"/>
      <c r="S10262" s="24"/>
      <c r="T10262" s="24"/>
      <c r="U10262" s="24"/>
      <c r="V10262" s="24"/>
      <c r="W10262" s="24"/>
      <c r="X10262" s="24"/>
      <c r="Y10262" s="24"/>
      <c r="Z10262" s="24"/>
      <c r="AA10262" s="24"/>
    </row>
    <row r="10263">
      <c r="A10263" s="24"/>
      <c r="B10263" s="25"/>
      <c r="C10263" s="24"/>
      <c r="D10263" s="26"/>
      <c r="E10263" s="24"/>
      <c r="F10263" s="24"/>
      <c r="G10263" s="24"/>
      <c r="H10263" s="24"/>
      <c r="I10263" s="24"/>
      <c r="J10263" s="24"/>
      <c r="K10263" s="24"/>
      <c r="L10263" s="24"/>
      <c r="M10263" s="24"/>
      <c r="N10263" s="24"/>
      <c r="O10263" s="24"/>
      <c r="P10263" s="24"/>
      <c r="Q10263" s="24"/>
      <c r="R10263" s="24"/>
      <c r="S10263" s="24"/>
      <c r="T10263" s="24"/>
      <c r="U10263" s="24"/>
      <c r="V10263" s="24"/>
      <c r="W10263" s="24"/>
      <c r="X10263" s="24"/>
      <c r="Y10263" s="24"/>
      <c r="Z10263" s="24"/>
      <c r="AA10263" s="24"/>
    </row>
    <row r="10264">
      <c r="A10264" s="24"/>
      <c r="B10264" s="25"/>
      <c r="C10264" s="24"/>
      <c r="D10264" s="26"/>
      <c r="E10264" s="24"/>
      <c r="F10264" s="24"/>
      <c r="G10264" s="24"/>
      <c r="H10264" s="24"/>
      <c r="I10264" s="24"/>
      <c r="J10264" s="24"/>
      <c r="K10264" s="24"/>
      <c r="L10264" s="24"/>
      <c r="M10264" s="24"/>
      <c r="N10264" s="24"/>
      <c r="O10264" s="24"/>
      <c r="P10264" s="24"/>
      <c r="Q10264" s="24"/>
      <c r="R10264" s="24"/>
      <c r="S10264" s="24"/>
      <c r="T10264" s="24"/>
      <c r="U10264" s="24"/>
      <c r="V10264" s="24"/>
      <c r="W10264" s="24"/>
      <c r="X10264" s="24"/>
      <c r="Y10264" s="24"/>
      <c r="Z10264" s="24"/>
      <c r="AA10264" s="24"/>
    </row>
    <row r="10265">
      <c r="A10265" s="24"/>
      <c r="B10265" s="25"/>
      <c r="C10265" s="24"/>
      <c r="D10265" s="26"/>
      <c r="E10265" s="24"/>
      <c r="F10265" s="24"/>
      <c r="G10265" s="24"/>
      <c r="H10265" s="24"/>
      <c r="I10265" s="24"/>
      <c r="J10265" s="24"/>
      <c r="K10265" s="24"/>
      <c r="L10265" s="24"/>
      <c r="M10265" s="24"/>
      <c r="N10265" s="24"/>
      <c r="O10265" s="24"/>
      <c r="P10265" s="24"/>
      <c r="Q10265" s="24"/>
      <c r="R10265" s="24"/>
      <c r="S10265" s="24"/>
      <c r="T10265" s="24"/>
      <c r="U10265" s="24"/>
      <c r="V10265" s="24"/>
      <c r="W10265" s="24"/>
      <c r="X10265" s="24"/>
      <c r="Y10265" s="24"/>
      <c r="Z10265" s="24"/>
      <c r="AA10265" s="24"/>
    </row>
    <row r="10266">
      <c r="A10266" s="24"/>
      <c r="B10266" s="25"/>
      <c r="C10266" s="24"/>
      <c r="D10266" s="26"/>
      <c r="E10266" s="24"/>
      <c r="F10266" s="24"/>
      <c r="G10266" s="24"/>
      <c r="H10266" s="24"/>
      <c r="I10266" s="24"/>
      <c r="J10266" s="24"/>
      <c r="K10266" s="24"/>
      <c r="L10266" s="24"/>
      <c r="M10266" s="24"/>
      <c r="N10266" s="24"/>
      <c r="O10266" s="24"/>
      <c r="P10266" s="24"/>
      <c r="Q10266" s="24"/>
      <c r="R10266" s="24"/>
      <c r="S10266" s="24"/>
      <c r="T10266" s="24"/>
      <c r="U10266" s="24"/>
      <c r="V10266" s="24"/>
      <c r="W10266" s="24"/>
      <c r="X10266" s="24"/>
      <c r="Y10266" s="24"/>
      <c r="Z10266" s="24"/>
      <c r="AA10266" s="24"/>
    </row>
    <row r="10267">
      <c r="A10267" s="24"/>
      <c r="B10267" s="25"/>
      <c r="C10267" s="24"/>
      <c r="D10267" s="26"/>
      <c r="E10267" s="24"/>
      <c r="F10267" s="24"/>
      <c r="G10267" s="24"/>
      <c r="H10267" s="24"/>
      <c r="I10267" s="24"/>
      <c r="J10267" s="24"/>
      <c r="K10267" s="24"/>
      <c r="L10267" s="24"/>
      <c r="M10267" s="24"/>
      <c r="N10267" s="24"/>
      <c r="O10267" s="24"/>
      <c r="P10267" s="24"/>
      <c r="Q10267" s="24"/>
      <c r="R10267" s="24"/>
      <c r="S10267" s="24"/>
      <c r="T10267" s="24"/>
      <c r="U10267" s="24"/>
      <c r="V10267" s="24"/>
      <c r="W10267" s="24"/>
      <c r="X10267" s="24"/>
      <c r="Y10267" s="24"/>
      <c r="Z10267" s="24"/>
      <c r="AA10267" s="24"/>
    </row>
    <row r="10268">
      <c r="A10268" s="24"/>
      <c r="B10268" s="25"/>
      <c r="C10268" s="24"/>
      <c r="D10268" s="26"/>
      <c r="E10268" s="24"/>
      <c r="F10268" s="24"/>
      <c r="G10268" s="24"/>
      <c r="H10268" s="24"/>
      <c r="I10268" s="24"/>
      <c r="J10268" s="24"/>
      <c r="K10268" s="24"/>
      <c r="L10268" s="24"/>
      <c r="M10268" s="24"/>
      <c r="N10268" s="24"/>
      <c r="O10268" s="24"/>
      <c r="P10268" s="24"/>
      <c r="Q10268" s="24"/>
      <c r="R10268" s="24"/>
      <c r="S10268" s="24"/>
      <c r="T10268" s="24"/>
      <c r="U10268" s="24"/>
      <c r="V10268" s="24"/>
      <c r="W10268" s="24"/>
      <c r="X10268" s="24"/>
      <c r="Y10268" s="24"/>
      <c r="Z10268" s="24"/>
      <c r="AA10268" s="24"/>
    </row>
    <row r="10269">
      <c r="A10269" s="24"/>
      <c r="B10269" s="25"/>
      <c r="C10269" s="24"/>
      <c r="D10269" s="26"/>
      <c r="E10269" s="24"/>
      <c r="F10269" s="24"/>
      <c r="G10269" s="24"/>
      <c r="H10269" s="24"/>
      <c r="I10269" s="24"/>
      <c r="J10269" s="24"/>
      <c r="K10269" s="24"/>
      <c r="L10269" s="24"/>
      <c r="M10269" s="24"/>
      <c r="N10269" s="24"/>
      <c r="O10269" s="24"/>
      <c r="P10269" s="24"/>
      <c r="Q10269" s="24"/>
      <c r="R10269" s="24"/>
      <c r="S10269" s="24"/>
      <c r="T10269" s="24"/>
      <c r="U10269" s="24"/>
      <c r="V10269" s="24"/>
      <c r="W10269" s="24"/>
      <c r="X10269" s="24"/>
      <c r="Y10269" s="24"/>
      <c r="Z10269" s="24"/>
      <c r="AA10269" s="24"/>
    </row>
    <row r="10270">
      <c r="A10270" s="24"/>
      <c r="B10270" s="25"/>
      <c r="C10270" s="24"/>
      <c r="D10270" s="26"/>
      <c r="E10270" s="24"/>
      <c r="F10270" s="24"/>
      <c r="G10270" s="24"/>
      <c r="H10270" s="24"/>
      <c r="I10270" s="24"/>
      <c r="J10270" s="24"/>
      <c r="K10270" s="24"/>
      <c r="L10270" s="24"/>
      <c r="M10270" s="24"/>
      <c r="N10270" s="24"/>
      <c r="O10270" s="24"/>
      <c r="P10270" s="24"/>
      <c r="Q10270" s="24"/>
      <c r="R10270" s="24"/>
      <c r="S10270" s="24"/>
      <c r="T10270" s="24"/>
      <c r="U10270" s="24"/>
      <c r="V10270" s="24"/>
      <c r="W10270" s="24"/>
      <c r="X10270" s="24"/>
      <c r="Y10270" s="24"/>
      <c r="Z10270" s="24"/>
      <c r="AA10270" s="24"/>
    </row>
    <row r="10271">
      <c r="A10271" s="24"/>
      <c r="B10271" s="25"/>
      <c r="C10271" s="24"/>
      <c r="D10271" s="26"/>
      <c r="E10271" s="24"/>
      <c r="F10271" s="24"/>
      <c r="G10271" s="24"/>
      <c r="H10271" s="24"/>
      <c r="I10271" s="24"/>
      <c r="J10271" s="24"/>
      <c r="K10271" s="24"/>
      <c r="L10271" s="24"/>
      <c r="M10271" s="24"/>
      <c r="N10271" s="24"/>
      <c r="O10271" s="24"/>
      <c r="P10271" s="24"/>
      <c r="Q10271" s="24"/>
      <c r="R10271" s="24"/>
      <c r="S10271" s="24"/>
      <c r="T10271" s="24"/>
      <c r="U10271" s="24"/>
      <c r="V10271" s="24"/>
      <c r="W10271" s="24"/>
      <c r="X10271" s="24"/>
      <c r="Y10271" s="24"/>
      <c r="Z10271" s="24"/>
      <c r="AA10271" s="24"/>
    </row>
    <row r="10272">
      <c r="A10272" s="24"/>
      <c r="B10272" s="25"/>
      <c r="C10272" s="24"/>
      <c r="D10272" s="26"/>
      <c r="E10272" s="24"/>
      <c r="F10272" s="24"/>
      <c r="G10272" s="24"/>
      <c r="H10272" s="24"/>
      <c r="I10272" s="24"/>
      <c r="J10272" s="24"/>
      <c r="K10272" s="24"/>
      <c r="L10272" s="24"/>
      <c r="M10272" s="24"/>
      <c r="N10272" s="24"/>
      <c r="O10272" s="24"/>
      <c r="P10272" s="24"/>
      <c r="Q10272" s="24"/>
      <c r="R10272" s="24"/>
      <c r="S10272" s="24"/>
      <c r="T10272" s="24"/>
      <c r="U10272" s="24"/>
      <c r="V10272" s="24"/>
      <c r="W10272" s="24"/>
      <c r="X10272" s="24"/>
      <c r="Y10272" s="24"/>
      <c r="Z10272" s="24"/>
      <c r="AA10272" s="24"/>
    </row>
    <row r="10273">
      <c r="A10273" s="24"/>
      <c r="B10273" s="25"/>
      <c r="C10273" s="24"/>
      <c r="D10273" s="26"/>
      <c r="E10273" s="24"/>
      <c r="F10273" s="24"/>
      <c r="G10273" s="24"/>
      <c r="H10273" s="24"/>
      <c r="I10273" s="24"/>
      <c r="J10273" s="24"/>
      <c r="K10273" s="24"/>
      <c r="L10273" s="24"/>
      <c r="M10273" s="24"/>
      <c r="N10273" s="24"/>
      <c r="O10273" s="24"/>
      <c r="P10273" s="24"/>
      <c r="Q10273" s="24"/>
      <c r="R10273" s="24"/>
      <c r="S10273" s="24"/>
      <c r="T10273" s="24"/>
      <c r="U10273" s="24"/>
      <c r="V10273" s="24"/>
      <c r="W10273" s="24"/>
      <c r="X10273" s="24"/>
      <c r="Y10273" s="24"/>
      <c r="Z10273" s="24"/>
      <c r="AA10273" s="24"/>
    </row>
    <row r="10274">
      <c r="A10274" s="24"/>
      <c r="B10274" s="25"/>
      <c r="C10274" s="24"/>
      <c r="D10274" s="26"/>
      <c r="E10274" s="24"/>
      <c r="F10274" s="24"/>
      <c r="G10274" s="24"/>
      <c r="H10274" s="24"/>
      <c r="I10274" s="24"/>
      <c r="J10274" s="24"/>
      <c r="K10274" s="24"/>
      <c r="L10274" s="24"/>
      <c r="M10274" s="24"/>
      <c r="N10274" s="24"/>
      <c r="O10274" s="24"/>
      <c r="P10274" s="24"/>
      <c r="Q10274" s="24"/>
      <c r="R10274" s="24"/>
      <c r="S10274" s="24"/>
      <c r="T10274" s="24"/>
      <c r="U10274" s="24"/>
      <c r="V10274" s="24"/>
      <c r="W10274" s="24"/>
      <c r="X10274" s="24"/>
      <c r="Y10274" s="24"/>
      <c r="Z10274" s="24"/>
      <c r="AA10274" s="24"/>
    </row>
    <row r="10275">
      <c r="A10275" s="24"/>
      <c r="B10275" s="25"/>
      <c r="C10275" s="24"/>
      <c r="D10275" s="26"/>
      <c r="E10275" s="24"/>
      <c r="F10275" s="24"/>
      <c r="G10275" s="24"/>
      <c r="H10275" s="24"/>
      <c r="I10275" s="24"/>
      <c r="J10275" s="24"/>
      <c r="K10275" s="24"/>
      <c r="L10275" s="24"/>
      <c r="M10275" s="24"/>
      <c r="N10275" s="24"/>
      <c r="O10275" s="24"/>
      <c r="P10275" s="24"/>
      <c r="Q10275" s="24"/>
      <c r="R10275" s="24"/>
      <c r="S10275" s="24"/>
      <c r="T10275" s="24"/>
      <c r="U10275" s="24"/>
      <c r="V10275" s="24"/>
      <c r="W10275" s="24"/>
      <c r="X10275" s="24"/>
      <c r="Y10275" s="24"/>
      <c r="Z10275" s="24"/>
      <c r="AA10275" s="24"/>
    </row>
    <row r="10276">
      <c r="A10276" s="24"/>
      <c r="B10276" s="25"/>
      <c r="C10276" s="24"/>
      <c r="D10276" s="26"/>
      <c r="E10276" s="24"/>
      <c r="F10276" s="24"/>
      <c r="G10276" s="24"/>
      <c r="H10276" s="24"/>
      <c r="I10276" s="24"/>
      <c r="J10276" s="24"/>
      <c r="K10276" s="24"/>
      <c r="L10276" s="24"/>
      <c r="M10276" s="24"/>
      <c r="N10276" s="24"/>
      <c r="O10276" s="24"/>
      <c r="P10276" s="24"/>
      <c r="Q10276" s="24"/>
      <c r="R10276" s="24"/>
      <c r="S10276" s="24"/>
      <c r="T10276" s="24"/>
      <c r="U10276" s="24"/>
      <c r="V10276" s="24"/>
      <c r="W10276" s="24"/>
      <c r="X10276" s="24"/>
      <c r="Y10276" s="24"/>
      <c r="Z10276" s="24"/>
      <c r="AA10276" s="24"/>
    </row>
    <row r="10277">
      <c r="A10277" s="24"/>
      <c r="B10277" s="25"/>
      <c r="C10277" s="24"/>
      <c r="D10277" s="26"/>
      <c r="E10277" s="24"/>
      <c r="F10277" s="24"/>
      <c r="G10277" s="24"/>
      <c r="H10277" s="24"/>
      <c r="I10277" s="24"/>
      <c r="J10277" s="24"/>
      <c r="K10277" s="24"/>
      <c r="L10277" s="24"/>
      <c r="M10277" s="24"/>
      <c r="N10277" s="24"/>
      <c r="O10277" s="24"/>
      <c r="P10277" s="24"/>
      <c r="Q10277" s="24"/>
      <c r="R10277" s="24"/>
      <c r="S10277" s="24"/>
      <c r="T10277" s="24"/>
      <c r="U10277" s="24"/>
      <c r="V10277" s="24"/>
      <c r="W10277" s="24"/>
      <c r="X10277" s="24"/>
      <c r="Y10277" s="24"/>
      <c r="Z10277" s="24"/>
      <c r="AA10277" s="24"/>
    </row>
    <row r="10278">
      <c r="A10278" s="24"/>
      <c r="B10278" s="25"/>
      <c r="C10278" s="24"/>
      <c r="D10278" s="26"/>
      <c r="E10278" s="24"/>
      <c r="F10278" s="24"/>
      <c r="G10278" s="24"/>
      <c r="H10278" s="24"/>
      <c r="I10278" s="24"/>
      <c r="J10278" s="24"/>
      <c r="K10278" s="24"/>
      <c r="L10278" s="24"/>
      <c r="M10278" s="24"/>
      <c r="N10278" s="24"/>
      <c r="O10278" s="24"/>
      <c r="P10278" s="24"/>
      <c r="Q10278" s="24"/>
      <c r="R10278" s="24"/>
      <c r="S10278" s="24"/>
      <c r="T10278" s="24"/>
      <c r="U10278" s="24"/>
      <c r="V10278" s="24"/>
      <c r="W10278" s="24"/>
      <c r="X10278" s="24"/>
      <c r="Y10278" s="24"/>
      <c r="Z10278" s="24"/>
      <c r="AA10278" s="24"/>
    </row>
    <row r="10279">
      <c r="A10279" s="24"/>
      <c r="B10279" s="25"/>
      <c r="C10279" s="24"/>
      <c r="D10279" s="26"/>
      <c r="E10279" s="24"/>
      <c r="F10279" s="24"/>
      <c r="G10279" s="24"/>
      <c r="H10279" s="24"/>
      <c r="I10279" s="24"/>
      <c r="J10279" s="24"/>
      <c r="K10279" s="24"/>
      <c r="L10279" s="24"/>
      <c r="M10279" s="24"/>
      <c r="N10279" s="24"/>
      <c r="O10279" s="24"/>
      <c r="P10279" s="24"/>
      <c r="Q10279" s="24"/>
      <c r="R10279" s="24"/>
      <c r="S10279" s="24"/>
      <c r="T10279" s="24"/>
      <c r="U10279" s="24"/>
      <c r="V10279" s="24"/>
      <c r="W10279" s="24"/>
      <c r="X10279" s="24"/>
      <c r="Y10279" s="24"/>
      <c r="Z10279" s="24"/>
      <c r="AA10279" s="24"/>
    </row>
    <row r="10280">
      <c r="A10280" s="24"/>
      <c r="B10280" s="25"/>
      <c r="C10280" s="24"/>
      <c r="D10280" s="26"/>
      <c r="E10280" s="24"/>
      <c r="F10280" s="24"/>
      <c r="G10280" s="24"/>
      <c r="H10280" s="24"/>
      <c r="I10280" s="24"/>
      <c r="J10280" s="24"/>
      <c r="K10280" s="24"/>
      <c r="L10280" s="24"/>
      <c r="M10280" s="24"/>
      <c r="N10280" s="24"/>
      <c r="O10280" s="24"/>
      <c r="P10280" s="24"/>
      <c r="Q10280" s="24"/>
      <c r="R10280" s="24"/>
      <c r="S10280" s="24"/>
      <c r="T10280" s="24"/>
      <c r="U10280" s="24"/>
      <c r="V10280" s="24"/>
      <c r="W10280" s="24"/>
      <c r="X10280" s="24"/>
      <c r="Y10280" s="24"/>
      <c r="Z10280" s="24"/>
      <c r="AA10280" s="24"/>
    </row>
    <row r="10281">
      <c r="A10281" s="24"/>
      <c r="B10281" s="25"/>
      <c r="C10281" s="24"/>
      <c r="D10281" s="26"/>
      <c r="E10281" s="24"/>
      <c r="F10281" s="24"/>
      <c r="G10281" s="24"/>
      <c r="H10281" s="24"/>
      <c r="I10281" s="24"/>
      <c r="J10281" s="24"/>
      <c r="K10281" s="24"/>
      <c r="L10281" s="24"/>
      <c r="M10281" s="24"/>
      <c r="N10281" s="24"/>
      <c r="O10281" s="24"/>
      <c r="P10281" s="24"/>
      <c r="Q10281" s="24"/>
      <c r="R10281" s="24"/>
      <c r="S10281" s="24"/>
      <c r="T10281" s="24"/>
      <c r="U10281" s="24"/>
      <c r="V10281" s="24"/>
      <c r="W10281" s="24"/>
      <c r="X10281" s="24"/>
      <c r="Y10281" s="24"/>
      <c r="Z10281" s="24"/>
      <c r="AA10281" s="24"/>
    </row>
    <row r="10282">
      <c r="A10282" s="24"/>
      <c r="B10282" s="25"/>
      <c r="C10282" s="24"/>
      <c r="D10282" s="26"/>
      <c r="E10282" s="24"/>
      <c r="F10282" s="24"/>
      <c r="G10282" s="24"/>
      <c r="H10282" s="24"/>
      <c r="I10282" s="24"/>
      <c r="J10282" s="24"/>
      <c r="K10282" s="24"/>
      <c r="L10282" s="24"/>
      <c r="M10282" s="24"/>
      <c r="N10282" s="24"/>
      <c r="O10282" s="24"/>
      <c r="P10282" s="24"/>
      <c r="Q10282" s="24"/>
      <c r="R10282" s="24"/>
      <c r="S10282" s="24"/>
      <c r="T10282" s="24"/>
      <c r="U10282" s="24"/>
      <c r="V10282" s="24"/>
      <c r="W10282" s="24"/>
      <c r="X10282" s="24"/>
      <c r="Y10282" s="24"/>
      <c r="Z10282" s="24"/>
      <c r="AA10282" s="24"/>
    </row>
    <row r="10283">
      <c r="A10283" s="24"/>
      <c r="B10283" s="25"/>
      <c r="C10283" s="24"/>
      <c r="D10283" s="26"/>
      <c r="E10283" s="24"/>
      <c r="F10283" s="24"/>
      <c r="G10283" s="24"/>
      <c r="H10283" s="24"/>
      <c r="I10283" s="24"/>
      <c r="J10283" s="24"/>
      <c r="K10283" s="24"/>
      <c r="L10283" s="24"/>
      <c r="M10283" s="24"/>
      <c r="N10283" s="24"/>
      <c r="O10283" s="24"/>
      <c r="P10283" s="24"/>
      <c r="Q10283" s="24"/>
      <c r="R10283" s="24"/>
      <c r="S10283" s="24"/>
      <c r="T10283" s="24"/>
      <c r="U10283" s="24"/>
      <c r="V10283" s="24"/>
      <c r="W10283" s="24"/>
      <c r="X10283" s="24"/>
      <c r="Y10283" s="24"/>
      <c r="Z10283" s="24"/>
      <c r="AA10283" s="24"/>
    </row>
    <row r="10284">
      <c r="A10284" s="24"/>
      <c r="B10284" s="25"/>
      <c r="C10284" s="24"/>
      <c r="D10284" s="26"/>
      <c r="E10284" s="24"/>
      <c r="F10284" s="24"/>
      <c r="G10284" s="24"/>
      <c r="H10284" s="24"/>
      <c r="I10284" s="24"/>
      <c r="J10284" s="24"/>
      <c r="K10284" s="24"/>
      <c r="L10284" s="24"/>
      <c r="M10284" s="24"/>
      <c r="N10284" s="24"/>
      <c r="O10284" s="24"/>
      <c r="P10284" s="24"/>
      <c r="Q10284" s="24"/>
      <c r="R10284" s="24"/>
      <c r="S10284" s="24"/>
      <c r="T10284" s="24"/>
      <c r="U10284" s="24"/>
      <c r="V10284" s="24"/>
      <c r="W10284" s="24"/>
      <c r="X10284" s="24"/>
      <c r="Y10284" s="24"/>
      <c r="Z10284" s="24"/>
      <c r="AA10284" s="24"/>
    </row>
    <row r="10285">
      <c r="A10285" s="24"/>
      <c r="B10285" s="25"/>
      <c r="C10285" s="24"/>
      <c r="D10285" s="26"/>
      <c r="E10285" s="24"/>
      <c r="F10285" s="24"/>
      <c r="G10285" s="24"/>
      <c r="H10285" s="24"/>
      <c r="I10285" s="24"/>
      <c r="J10285" s="24"/>
      <c r="K10285" s="24"/>
      <c r="L10285" s="24"/>
      <c r="M10285" s="24"/>
      <c r="N10285" s="24"/>
      <c r="O10285" s="24"/>
      <c r="P10285" s="24"/>
      <c r="Q10285" s="24"/>
      <c r="R10285" s="24"/>
      <c r="S10285" s="24"/>
      <c r="T10285" s="24"/>
      <c r="U10285" s="24"/>
      <c r="V10285" s="24"/>
      <c r="W10285" s="24"/>
      <c r="X10285" s="24"/>
      <c r="Y10285" s="24"/>
      <c r="Z10285" s="24"/>
      <c r="AA10285" s="24"/>
    </row>
    <row r="10286">
      <c r="A10286" s="24"/>
      <c r="B10286" s="25"/>
      <c r="C10286" s="24"/>
      <c r="D10286" s="26"/>
      <c r="E10286" s="24"/>
      <c r="F10286" s="24"/>
      <c r="G10286" s="24"/>
      <c r="H10286" s="24"/>
      <c r="I10286" s="24"/>
      <c r="J10286" s="24"/>
      <c r="K10286" s="24"/>
      <c r="L10286" s="24"/>
      <c r="M10286" s="24"/>
      <c r="N10286" s="24"/>
      <c r="O10286" s="24"/>
      <c r="P10286" s="24"/>
      <c r="Q10286" s="24"/>
      <c r="R10286" s="24"/>
      <c r="S10286" s="24"/>
      <c r="T10286" s="24"/>
      <c r="U10286" s="24"/>
      <c r="V10286" s="24"/>
      <c r="W10286" s="24"/>
      <c r="X10286" s="24"/>
      <c r="Y10286" s="24"/>
      <c r="Z10286" s="24"/>
      <c r="AA10286" s="24"/>
    </row>
    <row r="10287">
      <c r="A10287" s="24"/>
      <c r="B10287" s="25"/>
      <c r="C10287" s="24"/>
      <c r="D10287" s="26"/>
      <c r="E10287" s="24"/>
      <c r="F10287" s="24"/>
      <c r="G10287" s="24"/>
      <c r="H10287" s="24"/>
      <c r="I10287" s="24"/>
      <c r="J10287" s="24"/>
      <c r="K10287" s="24"/>
      <c r="L10287" s="24"/>
      <c r="M10287" s="24"/>
      <c r="N10287" s="24"/>
      <c r="O10287" s="24"/>
      <c r="P10287" s="24"/>
      <c r="Q10287" s="24"/>
      <c r="R10287" s="24"/>
      <c r="S10287" s="24"/>
      <c r="T10287" s="24"/>
      <c r="U10287" s="24"/>
      <c r="V10287" s="24"/>
      <c r="W10287" s="24"/>
      <c r="X10287" s="24"/>
      <c r="Y10287" s="24"/>
      <c r="Z10287" s="24"/>
      <c r="AA10287" s="24"/>
    </row>
    <row r="10288">
      <c r="A10288" s="24"/>
      <c r="B10288" s="25"/>
      <c r="C10288" s="24"/>
      <c r="D10288" s="26"/>
      <c r="E10288" s="24"/>
      <c r="F10288" s="24"/>
      <c r="G10288" s="24"/>
      <c r="H10288" s="24"/>
      <c r="I10288" s="24"/>
      <c r="J10288" s="24"/>
      <c r="K10288" s="24"/>
      <c r="L10288" s="24"/>
      <c r="M10288" s="24"/>
      <c r="N10288" s="24"/>
      <c r="O10288" s="24"/>
      <c r="P10288" s="24"/>
      <c r="Q10288" s="24"/>
      <c r="R10288" s="24"/>
      <c r="S10288" s="24"/>
      <c r="T10288" s="24"/>
      <c r="U10288" s="24"/>
      <c r="V10288" s="24"/>
      <c r="W10288" s="24"/>
      <c r="X10288" s="24"/>
      <c r="Y10288" s="24"/>
      <c r="Z10288" s="24"/>
      <c r="AA10288" s="24"/>
    </row>
    <row r="10289">
      <c r="A10289" s="24"/>
      <c r="B10289" s="25"/>
      <c r="C10289" s="24"/>
      <c r="D10289" s="26"/>
      <c r="E10289" s="24"/>
      <c r="F10289" s="24"/>
      <c r="G10289" s="24"/>
      <c r="H10289" s="24"/>
      <c r="I10289" s="24"/>
      <c r="J10289" s="24"/>
      <c r="K10289" s="24"/>
      <c r="L10289" s="24"/>
      <c r="M10289" s="24"/>
      <c r="N10289" s="24"/>
      <c r="O10289" s="24"/>
      <c r="P10289" s="24"/>
      <c r="Q10289" s="24"/>
      <c r="R10289" s="24"/>
      <c r="S10289" s="24"/>
      <c r="T10289" s="24"/>
      <c r="U10289" s="24"/>
      <c r="V10289" s="24"/>
      <c r="W10289" s="24"/>
      <c r="X10289" s="24"/>
      <c r="Y10289" s="24"/>
      <c r="Z10289" s="24"/>
      <c r="AA10289" s="24"/>
    </row>
    <row r="10290">
      <c r="A10290" s="24"/>
      <c r="B10290" s="25"/>
      <c r="C10290" s="24"/>
      <c r="D10290" s="26"/>
      <c r="E10290" s="24"/>
      <c r="F10290" s="24"/>
      <c r="G10290" s="24"/>
      <c r="H10290" s="24"/>
      <c r="I10290" s="24"/>
      <c r="J10290" s="24"/>
      <c r="K10290" s="24"/>
      <c r="L10290" s="24"/>
      <c r="M10290" s="24"/>
      <c r="N10290" s="24"/>
      <c r="O10290" s="24"/>
      <c r="P10290" s="24"/>
      <c r="Q10290" s="24"/>
      <c r="R10290" s="24"/>
      <c r="S10290" s="24"/>
      <c r="T10290" s="24"/>
      <c r="U10290" s="24"/>
      <c r="V10290" s="24"/>
      <c r="W10290" s="24"/>
      <c r="X10290" s="24"/>
      <c r="Y10290" s="24"/>
      <c r="Z10290" s="24"/>
      <c r="AA10290" s="24"/>
    </row>
    <row r="10291">
      <c r="A10291" s="24"/>
      <c r="B10291" s="25"/>
      <c r="C10291" s="24"/>
      <c r="D10291" s="26"/>
      <c r="E10291" s="24"/>
      <c r="F10291" s="24"/>
      <c r="G10291" s="24"/>
      <c r="H10291" s="24"/>
      <c r="I10291" s="24"/>
      <c r="J10291" s="24"/>
      <c r="K10291" s="24"/>
      <c r="L10291" s="24"/>
      <c r="M10291" s="24"/>
      <c r="N10291" s="24"/>
      <c r="O10291" s="24"/>
      <c r="P10291" s="24"/>
      <c r="Q10291" s="24"/>
      <c r="R10291" s="24"/>
      <c r="S10291" s="24"/>
      <c r="T10291" s="24"/>
      <c r="U10291" s="24"/>
      <c r="V10291" s="24"/>
      <c r="W10291" s="24"/>
      <c r="X10291" s="24"/>
      <c r="Y10291" s="24"/>
      <c r="Z10291" s="24"/>
      <c r="AA10291" s="24"/>
    </row>
    <row r="10292">
      <c r="A10292" s="24"/>
      <c r="B10292" s="25"/>
      <c r="C10292" s="24"/>
      <c r="D10292" s="26"/>
      <c r="E10292" s="24"/>
      <c r="F10292" s="24"/>
      <c r="G10292" s="24"/>
      <c r="H10292" s="24"/>
      <c r="I10292" s="24"/>
      <c r="J10292" s="24"/>
      <c r="K10292" s="24"/>
      <c r="L10292" s="24"/>
      <c r="M10292" s="24"/>
      <c r="N10292" s="24"/>
      <c r="O10292" s="24"/>
      <c r="P10292" s="24"/>
      <c r="Q10292" s="24"/>
      <c r="R10292" s="24"/>
      <c r="S10292" s="24"/>
      <c r="T10292" s="24"/>
      <c r="U10292" s="24"/>
      <c r="V10292" s="24"/>
      <c r="W10292" s="24"/>
      <c r="X10292" s="24"/>
      <c r="Y10292" s="24"/>
      <c r="Z10292" s="24"/>
      <c r="AA10292" s="24"/>
    </row>
    <row r="10293">
      <c r="A10293" s="24"/>
      <c r="B10293" s="25"/>
      <c r="C10293" s="24"/>
      <c r="D10293" s="26"/>
      <c r="E10293" s="24"/>
      <c r="F10293" s="24"/>
      <c r="G10293" s="24"/>
      <c r="H10293" s="24"/>
      <c r="I10293" s="24"/>
      <c r="J10293" s="24"/>
      <c r="K10293" s="24"/>
      <c r="L10293" s="24"/>
      <c r="M10293" s="24"/>
      <c r="N10293" s="24"/>
      <c r="O10293" s="24"/>
      <c r="P10293" s="24"/>
      <c r="Q10293" s="24"/>
      <c r="R10293" s="24"/>
      <c r="S10293" s="24"/>
      <c r="T10293" s="24"/>
      <c r="U10293" s="24"/>
      <c r="V10293" s="24"/>
      <c r="W10293" s="24"/>
      <c r="X10293" s="24"/>
      <c r="Y10293" s="24"/>
      <c r="Z10293" s="24"/>
      <c r="AA10293" s="24"/>
    </row>
    <row r="10294">
      <c r="A10294" s="24"/>
      <c r="B10294" s="25"/>
      <c r="C10294" s="24"/>
      <c r="D10294" s="26"/>
      <c r="E10294" s="24"/>
      <c r="F10294" s="24"/>
      <c r="G10294" s="24"/>
      <c r="H10294" s="24"/>
      <c r="I10294" s="24"/>
      <c r="J10294" s="24"/>
      <c r="K10294" s="24"/>
      <c r="L10294" s="24"/>
      <c r="M10294" s="24"/>
      <c r="N10294" s="24"/>
      <c r="O10294" s="24"/>
      <c r="P10294" s="24"/>
      <c r="Q10294" s="24"/>
      <c r="R10294" s="24"/>
      <c r="S10294" s="24"/>
      <c r="T10294" s="24"/>
      <c r="U10294" s="24"/>
      <c r="V10294" s="24"/>
      <c r="W10294" s="24"/>
      <c r="X10294" s="24"/>
      <c r="Y10294" s="24"/>
      <c r="Z10294" s="24"/>
      <c r="AA10294" s="24"/>
    </row>
    <row r="10295">
      <c r="A10295" s="24"/>
      <c r="B10295" s="25"/>
      <c r="C10295" s="24"/>
      <c r="D10295" s="26"/>
      <c r="E10295" s="24"/>
      <c r="F10295" s="24"/>
      <c r="G10295" s="24"/>
      <c r="H10295" s="24"/>
      <c r="I10295" s="24"/>
      <c r="J10295" s="24"/>
      <c r="K10295" s="24"/>
      <c r="L10295" s="24"/>
      <c r="M10295" s="24"/>
      <c r="N10295" s="24"/>
      <c r="O10295" s="24"/>
      <c r="P10295" s="24"/>
      <c r="Q10295" s="24"/>
      <c r="R10295" s="24"/>
      <c r="S10295" s="24"/>
      <c r="T10295" s="24"/>
      <c r="U10295" s="24"/>
      <c r="V10295" s="24"/>
      <c r="W10295" s="24"/>
      <c r="X10295" s="24"/>
      <c r="Y10295" s="24"/>
      <c r="Z10295" s="24"/>
      <c r="AA10295" s="24"/>
    </row>
    <row r="10296">
      <c r="A10296" s="24"/>
      <c r="B10296" s="25"/>
      <c r="C10296" s="24"/>
      <c r="D10296" s="26"/>
      <c r="E10296" s="24"/>
      <c r="F10296" s="24"/>
      <c r="G10296" s="24"/>
      <c r="H10296" s="24"/>
      <c r="I10296" s="24"/>
      <c r="J10296" s="24"/>
      <c r="K10296" s="24"/>
      <c r="L10296" s="24"/>
      <c r="M10296" s="24"/>
      <c r="N10296" s="24"/>
      <c r="O10296" s="24"/>
      <c r="P10296" s="24"/>
      <c r="Q10296" s="24"/>
      <c r="R10296" s="24"/>
      <c r="S10296" s="24"/>
      <c r="T10296" s="24"/>
      <c r="U10296" s="24"/>
      <c r="V10296" s="24"/>
      <c r="W10296" s="24"/>
      <c r="X10296" s="24"/>
      <c r="Y10296" s="24"/>
      <c r="Z10296" s="24"/>
      <c r="AA10296" s="24"/>
    </row>
    <row r="10297">
      <c r="A10297" s="24"/>
      <c r="B10297" s="25"/>
      <c r="C10297" s="24"/>
      <c r="D10297" s="26"/>
      <c r="E10297" s="24"/>
      <c r="F10297" s="24"/>
      <c r="G10297" s="24"/>
      <c r="H10297" s="24"/>
      <c r="I10297" s="24"/>
      <c r="J10297" s="24"/>
      <c r="K10297" s="24"/>
      <c r="L10297" s="24"/>
      <c r="M10297" s="24"/>
      <c r="N10297" s="24"/>
      <c r="O10297" s="24"/>
      <c r="P10297" s="24"/>
      <c r="Q10297" s="24"/>
      <c r="R10297" s="24"/>
      <c r="S10297" s="24"/>
      <c r="T10297" s="24"/>
      <c r="U10297" s="24"/>
      <c r="V10297" s="24"/>
      <c r="W10297" s="24"/>
      <c r="X10297" s="24"/>
      <c r="Y10297" s="24"/>
      <c r="Z10297" s="24"/>
      <c r="AA10297" s="24"/>
    </row>
    <row r="10298">
      <c r="A10298" s="24"/>
      <c r="B10298" s="25"/>
      <c r="C10298" s="24"/>
      <c r="D10298" s="26"/>
      <c r="E10298" s="24"/>
      <c r="F10298" s="24"/>
      <c r="G10298" s="24"/>
      <c r="H10298" s="24"/>
      <c r="I10298" s="24"/>
      <c r="J10298" s="24"/>
      <c r="K10298" s="24"/>
      <c r="L10298" s="24"/>
      <c r="M10298" s="24"/>
      <c r="N10298" s="24"/>
      <c r="O10298" s="24"/>
      <c r="P10298" s="24"/>
      <c r="Q10298" s="24"/>
      <c r="R10298" s="24"/>
      <c r="S10298" s="24"/>
      <c r="T10298" s="24"/>
      <c r="U10298" s="24"/>
      <c r="V10298" s="24"/>
      <c r="W10298" s="24"/>
      <c r="X10298" s="24"/>
      <c r="Y10298" s="24"/>
      <c r="Z10298" s="24"/>
      <c r="AA10298" s="24"/>
    </row>
    <row r="10299">
      <c r="A10299" s="24"/>
      <c r="B10299" s="25"/>
      <c r="C10299" s="24"/>
      <c r="D10299" s="26"/>
      <c r="E10299" s="24"/>
      <c r="F10299" s="24"/>
      <c r="G10299" s="24"/>
      <c r="H10299" s="24"/>
      <c r="I10299" s="24"/>
      <c r="J10299" s="24"/>
      <c r="K10299" s="24"/>
      <c r="L10299" s="24"/>
      <c r="M10299" s="24"/>
      <c r="N10299" s="24"/>
      <c r="O10299" s="24"/>
      <c r="P10299" s="24"/>
      <c r="Q10299" s="24"/>
      <c r="R10299" s="24"/>
      <c r="S10299" s="24"/>
      <c r="T10299" s="24"/>
      <c r="U10299" s="24"/>
      <c r="V10299" s="24"/>
      <c r="W10299" s="24"/>
      <c r="X10299" s="24"/>
      <c r="Y10299" s="24"/>
      <c r="Z10299" s="24"/>
      <c r="AA10299" s="24"/>
    </row>
    <row r="10300">
      <c r="A10300" s="24"/>
      <c r="B10300" s="25"/>
      <c r="C10300" s="24"/>
      <c r="D10300" s="26"/>
      <c r="E10300" s="24"/>
      <c r="F10300" s="24"/>
      <c r="G10300" s="24"/>
      <c r="H10300" s="24"/>
      <c r="I10300" s="24"/>
      <c r="J10300" s="24"/>
      <c r="K10300" s="24"/>
      <c r="L10300" s="24"/>
      <c r="M10300" s="24"/>
      <c r="N10300" s="24"/>
      <c r="O10300" s="24"/>
      <c r="P10300" s="24"/>
      <c r="Q10300" s="24"/>
      <c r="R10300" s="24"/>
      <c r="S10300" s="24"/>
      <c r="T10300" s="24"/>
      <c r="U10300" s="24"/>
      <c r="V10300" s="24"/>
      <c r="W10300" s="24"/>
      <c r="X10300" s="24"/>
      <c r="Y10300" s="24"/>
      <c r="Z10300" s="24"/>
      <c r="AA10300" s="24"/>
    </row>
    <row r="10301">
      <c r="A10301" s="24"/>
      <c r="B10301" s="25"/>
      <c r="C10301" s="24"/>
      <c r="D10301" s="26"/>
      <c r="E10301" s="24"/>
      <c r="F10301" s="24"/>
      <c r="G10301" s="24"/>
      <c r="H10301" s="24"/>
      <c r="I10301" s="24"/>
      <c r="J10301" s="24"/>
      <c r="K10301" s="24"/>
      <c r="L10301" s="24"/>
      <c r="M10301" s="24"/>
      <c r="N10301" s="24"/>
      <c r="O10301" s="24"/>
      <c r="P10301" s="24"/>
      <c r="Q10301" s="24"/>
      <c r="R10301" s="24"/>
      <c r="S10301" s="24"/>
      <c r="T10301" s="24"/>
      <c r="U10301" s="24"/>
      <c r="V10301" s="24"/>
      <c r="W10301" s="24"/>
      <c r="X10301" s="24"/>
      <c r="Y10301" s="24"/>
      <c r="Z10301" s="24"/>
      <c r="AA10301" s="24"/>
    </row>
    <row r="10302">
      <c r="A10302" s="24"/>
      <c r="B10302" s="25"/>
      <c r="C10302" s="24"/>
      <c r="D10302" s="26"/>
      <c r="E10302" s="24"/>
      <c r="F10302" s="24"/>
      <c r="G10302" s="24"/>
      <c r="H10302" s="24"/>
      <c r="I10302" s="24"/>
      <c r="J10302" s="24"/>
      <c r="K10302" s="24"/>
      <c r="L10302" s="24"/>
      <c r="M10302" s="24"/>
      <c r="N10302" s="24"/>
      <c r="O10302" s="24"/>
      <c r="P10302" s="24"/>
      <c r="Q10302" s="24"/>
      <c r="R10302" s="24"/>
      <c r="S10302" s="24"/>
      <c r="T10302" s="24"/>
      <c r="U10302" s="24"/>
      <c r="V10302" s="24"/>
      <c r="W10302" s="24"/>
      <c r="X10302" s="24"/>
      <c r="Y10302" s="24"/>
      <c r="Z10302" s="24"/>
      <c r="AA10302" s="24"/>
    </row>
    <row r="10303">
      <c r="A10303" s="24"/>
      <c r="B10303" s="25"/>
      <c r="C10303" s="24"/>
      <c r="D10303" s="26"/>
      <c r="E10303" s="24"/>
      <c r="F10303" s="24"/>
      <c r="G10303" s="24"/>
      <c r="H10303" s="24"/>
      <c r="I10303" s="24"/>
      <c r="J10303" s="24"/>
      <c r="K10303" s="24"/>
      <c r="L10303" s="24"/>
      <c r="M10303" s="24"/>
      <c r="N10303" s="24"/>
      <c r="O10303" s="24"/>
      <c r="P10303" s="24"/>
      <c r="Q10303" s="24"/>
      <c r="R10303" s="24"/>
      <c r="S10303" s="24"/>
      <c r="T10303" s="24"/>
      <c r="U10303" s="24"/>
      <c r="V10303" s="24"/>
      <c r="W10303" s="24"/>
      <c r="X10303" s="24"/>
      <c r="Y10303" s="24"/>
      <c r="Z10303" s="24"/>
      <c r="AA10303" s="24"/>
    </row>
    <row r="10304">
      <c r="A10304" s="24"/>
      <c r="B10304" s="25"/>
      <c r="C10304" s="24"/>
      <c r="D10304" s="26"/>
      <c r="E10304" s="24"/>
      <c r="F10304" s="24"/>
      <c r="G10304" s="24"/>
      <c r="H10304" s="24"/>
      <c r="I10304" s="24"/>
      <c r="J10304" s="24"/>
      <c r="K10304" s="24"/>
      <c r="L10304" s="24"/>
      <c r="M10304" s="24"/>
      <c r="N10304" s="24"/>
      <c r="O10304" s="24"/>
      <c r="P10304" s="24"/>
      <c r="Q10304" s="24"/>
      <c r="R10304" s="24"/>
      <c r="S10304" s="24"/>
      <c r="T10304" s="24"/>
      <c r="U10304" s="24"/>
      <c r="V10304" s="24"/>
      <c r="W10304" s="24"/>
      <c r="X10304" s="24"/>
      <c r="Y10304" s="24"/>
      <c r="Z10304" s="24"/>
      <c r="AA10304" s="24"/>
    </row>
    <row r="10305">
      <c r="A10305" s="24"/>
      <c r="B10305" s="25"/>
      <c r="C10305" s="24"/>
      <c r="D10305" s="26"/>
      <c r="E10305" s="24"/>
      <c r="F10305" s="24"/>
      <c r="G10305" s="24"/>
      <c r="H10305" s="24"/>
      <c r="I10305" s="24"/>
      <c r="J10305" s="24"/>
      <c r="K10305" s="24"/>
      <c r="L10305" s="24"/>
      <c r="M10305" s="24"/>
      <c r="N10305" s="24"/>
      <c r="O10305" s="24"/>
      <c r="P10305" s="24"/>
      <c r="Q10305" s="24"/>
      <c r="R10305" s="24"/>
      <c r="S10305" s="24"/>
      <c r="T10305" s="24"/>
      <c r="U10305" s="24"/>
      <c r="V10305" s="24"/>
      <c r="W10305" s="24"/>
      <c r="X10305" s="24"/>
      <c r="Y10305" s="24"/>
      <c r="Z10305" s="24"/>
      <c r="AA10305" s="24"/>
    </row>
    <row r="10306">
      <c r="A10306" s="24"/>
      <c r="B10306" s="25"/>
      <c r="C10306" s="24"/>
      <c r="D10306" s="26"/>
      <c r="E10306" s="24"/>
      <c r="F10306" s="24"/>
      <c r="G10306" s="24"/>
      <c r="H10306" s="24"/>
      <c r="I10306" s="24"/>
      <c r="J10306" s="24"/>
      <c r="K10306" s="24"/>
      <c r="L10306" s="24"/>
      <c r="M10306" s="24"/>
      <c r="N10306" s="24"/>
      <c r="O10306" s="24"/>
      <c r="P10306" s="24"/>
      <c r="Q10306" s="24"/>
      <c r="R10306" s="24"/>
      <c r="S10306" s="24"/>
      <c r="T10306" s="24"/>
      <c r="U10306" s="24"/>
      <c r="V10306" s="24"/>
      <c r="W10306" s="24"/>
      <c r="X10306" s="24"/>
      <c r="Y10306" s="24"/>
      <c r="Z10306" s="24"/>
      <c r="AA10306" s="24"/>
    </row>
    <row r="10307">
      <c r="A10307" s="24"/>
      <c r="B10307" s="25"/>
      <c r="C10307" s="24"/>
      <c r="D10307" s="26"/>
      <c r="E10307" s="24"/>
      <c r="F10307" s="24"/>
      <c r="G10307" s="24"/>
      <c r="H10307" s="24"/>
      <c r="I10307" s="24"/>
      <c r="J10307" s="24"/>
      <c r="K10307" s="24"/>
      <c r="L10307" s="24"/>
      <c r="M10307" s="24"/>
      <c r="N10307" s="24"/>
      <c r="O10307" s="24"/>
      <c r="P10307" s="24"/>
      <c r="Q10307" s="24"/>
      <c r="R10307" s="24"/>
      <c r="S10307" s="24"/>
      <c r="T10307" s="24"/>
      <c r="U10307" s="24"/>
      <c r="V10307" s="24"/>
      <c r="W10307" s="24"/>
      <c r="X10307" s="24"/>
      <c r="Y10307" s="24"/>
      <c r="Z10307" s="24"/>
      <c r="AA10307" s="24"/>
    </row>
    <row r="10308">
      <c r="A10308" s="24"/>
      <c r="B10308" s="25"/>
      <c r="C10308" s="24"/>
      <c r="D10308" s="26"/>
      <c r="E10308" s="24"/>
      <c r="F10308" s="24"/>
      <c r="G10308" s="24"/>
      <c r="H10308" s="24"/>
      <c r="I10308" s="24"/>
      <c r="J10308" s="24"/>
      <c r="K10308" s="24"/>
      <c r="L10308" s="24"/>
      <c r="M10308" s="24"/>
      <c r="N10308" s="24"/>
      <c r="O10308" s="24"/>
      <c r="P10308" s="24"/>
      <c r="Q10308" s="24"/>
      <c r="R10308" s="24"/>
      <c r="S10308" s="24"/>
      <c r="T10308" s="24"/>
      <c r="U10308" s="24"/>
      <c r="V10308" s="24"/>
      <c r="W10308" s="24"/>
      <c r="X10308" s="24"/>
      <c r="Y10308" s="24"/>
      <c r="Z10308" s="24"/>
      <c r="AA10308" s="24"/>
    </row>
    <row r="10309">
      <c r="A10309" s="24"/>
      <c r="B10309" s="25"/>
      <c r="C10309" s="24"/>
      <c r="D10309" s="26"/>
      <c r="E10309" s="24"/>
      <c r="F10309" s="24"/>
      <c r="G10309" s="24"/>
      <c r="H10309" s="24"/>
      <c r="I10309" s="24"/>
      <c r="J10309" s="24"/>
      <c r="K10309" s="24"/>
      <c r="L10309" s="24"/>
      <c r="M10309" s="24"/>
      <c r="N10309" s="24"/>
      <c r="O10309" s="24"/>
      <c r="P10309" s="24"/>
      <c r="Q10309" s="24"/>
      <c r="R10309" s="24"/>
      <c r="S10309" s="24"/>
      <c r="T10309" s="24"/>
      <c r="U10309" s="24"/>
      <c r="V10309" s="24"/>
      <c r="W10309" s="24"/>
      <c r="X10309" s="24"/>
      <c r="Y10309" s="24"/>
      <c r="Z10309" s="24"/>
      <c r="AA10309" s="24"/>
    </row>
    <row r="10310">
      <c r="A10310" s="24"/>
      <c r="B10310" s="25"/>
      <c r="C10310" s="24"/>
      <c r="D10310" s="26"/>
      <c r="E10310" s="24"/>
      <c r="F10310" s="24"/>
      <c r="G10310" s="24"/>
      <c r="H10310" s="24"/>
      <c r="I10310" s="24"/>
      <c r="J10310" s="24"/>
      <c r="K10310" s="24"/>
      <c r="L10310" s="24"/>
      <c r="M10310" s="24"/>
      <c r="N10310" s="24"/>
      <c r="O10310" s="24"/>
      <c r="P10310" s="24"/>
      <c r="Q10310" s="24"/>
      <c r="R10310" s="24"/>
      <c r="S10310" s="24"/>
      <c r="T10310" s="24"/>
      <c r="U10310" s="24"/>
      <c r="V10310" s="24"/>
      <c r="W10310" s="24"/>
      <c r="X10310" s="24"/>
      <c r="Y10310" s="24"/>
      <c r="Z10310" s="24"/>
      <c r="AA10310" s="24"/>
    </row>
    <row r="10311">
      <c r="A10311" s="24"/>
      <c r="B10311" s="25"/>
      <c r="C10311" s="24"/>
      <c r="D10311" s="26"/>
      <c r="E10311" s="24"/>
      <c r="F10311" s="24"/>
      <c r="G10311" s="24"/>
      <c r="H10311" s="24"/>
      <c r="I10311" s="24"/>
      <c r="J10311" s="24"/>
      <c r="K10311" s="24"/>
      <c r="L10311" s="24"/>
      <c r="M10311" s="24"/>
      <c r="N10311" s="24"/>
      <c r="O10311" s="24"/>
      <c r="P10311" s="24"/>
      <c r="Q10311" s="24"/>
      <c r="R10311" s="24"/>
      <c r="S10311" s="24"/>
      <c r="T10311" s="24"/>
      <c r="U10311" s="24"/>
      <c r="V10311" s="24"/>
      <c r="W10311" s="24"/>
      <c r="X10311" s="24"/>
      <c r="Y10311" s="24"/>
      <c r="Z10311" s="24"/>
      <c r="AA10311" s="24"/>
    </row>
    <row r="10312">
      <c r="A10312" s="24"/>
      <c r="B10312" s="25"/>
      <c r="C10312" s="24"/>
      <c r="D10312" s="26"/>
      <c r="E10312" s="24"/>
      <c r="F10312" s="24"/>
      <c r="G10312" s="24"/>
      <c r="H10312" s="24"/>
      <c r="I10312" s="24"/>
      <c r="J10312" s="24"/>
      <c r="K10312" s="24"/>
      <c r="L10312" s="24"/>
      <c r="M10312" s="24"/>
      <c r="N10312" s="24"/>
      <c r="O10312" s="24"/>
      <c r="P10312" s="24"/>
      <c r="Q10312" s="24"/>
      <c r="R10312" s="24"/>
      <c r="S10312" s="24"/>
      <c r="T10312" s="24"/>
      <c r="U10312" s="24"/>
      <c r="V10312" s="24"/>
      <c r="W10312" s="24"/>
      <c r="X10312" s="24"/>
      <c r="Y10312" s="24"/>
      <c r="Z10312" s="24"/>
      <c r="AA10312" s="24"/>
    </row>
    <row r="10313">
      <c r="A10313" s="24"/>
      <c r="B10313" s="25"/>
      <c r="C10313" s="24"/>
      <c r="D10313" s="26"/>
      <c r="E10313" s="24"/>
      <c r="F10313" s="24"/>
      <c r="G10313" s="24"/>
      <c r="H10313" s="24"/>
      <c r="I10313" s="24"/>
      <c r="J10313" s="24"/>
      <c r="K10313" s="24"/>
      <c r="L10313" s="24"/>
      <c r="M10313" s="24"/>
      <c r="N10313" s="24"/>
      <c r="O10313" s="24"/>
      <c r="P10313" s="24"/>
      <c r="Q10313" s="24"/>
      <c r="R10313" s="24"/>
      <c r="S10313" s="24"/>
      <c r="T10313" s="24"/>
      <c r="U10313" s="24"/>
      <c r="V10313" s="24"/>
      <c r="W10313" s="24"/>
      <c r="X10313" s="24"/>
      <c r="Y10313" s="24"/>
      <c r="Z10313" s="24"/>
      <c r="AA10313" s="24"/>
    </row>
    <row r="10314">
      <c r="A10314" s="24"/>
      <c r="B10314" s="25"/>
      <c r="C10314" s="24"/>
      <c r="D10314" s="26"/>
      <c r="E10314" s="24"/>
      <c r="F10314" s="24"/>
      <c r="G10314" s="24"/>
      <c r="H10314" s="24"/>
      <c r="I10314" s="24"/>
      <c r="J10314" s="24"/>
      <c r="K10314" s="24"/>
      <c r="L10314" s="24"/>
      <c r="M10314" s="24"/>
      <c r="N10314" s="24"/>
      <c r="O10314" s="24"/>
      <c r="P10314" s="24"/>
      <c r="Q10314" s="24"/>
      <c r="R10314" s="24"/>
      <c r="S10314" s="24"/>
      <c r="T10314" s="24"/>
      <c r="U10314" s="24"/>
      <c r="V10314" s="24"/>
      <c r="W10314" s="24"/>
      <c r="X10314" s="24"/>
      <c r="Y10314" s="24"/>
      <c r="Z10314" s="24"/>
      <c r="AA10314" s="24"/>
    </row>
    <row r="10315">
      <c r="A10315" s="24"/>
      <c r="B10315" s="25"/>
      <c r="C10315" s="24"/>
      <c r="D10315" s="26"/>
      <c r="E10315" s="24"/>
      <c r="F10315" s="24"/>
      <c r="G10315" s="24"/>
      <c r="H10315" s="24"/>
      <c r="I10315" s="24"/>
      <c r="J10315" s="24"/>
      <c r="K10315" s="24"/>
      <c r="L10315" s="24"/>
      <c r="M10315" s="24"/>
      <c r="N10315" s="24"/>
      <c r="O10315" s="24"/>
      <c r="P10315" s="24"/>
      <c r="Q10315" s="24"/>
      <c r="R10315" s="24"/>
      <c r="S10315" s="24"/>
      <c r="T10315" s="24"/>
      <c r="U10315" s="24"/>
      <c r="V10315" s="24"/>
      <c r="W10315" s="24"/>
      <c r="X10315" s="24"/>
      <c r="Y10315" s="24"/>
      <c r="Z10315" s="24"/>
      <c r="AA10315" s="24"/>
    </row>
    <row r="10316">
      <c r="A10316" s="24"/>
      <c r="B10316" s="25"/>
      <c r="C10316" s="24"/>
      <c r="D10316" s="26"/>
      <c r="E10316" s="24"/>
      <c r="F10316" s="24"/>
      <c r="G10316" s="24"/>
      <c r="H10316" s="24"/>
      <c r="I10316" s="24"/>
      <c r="J10316" s="24"/>
      <c r="K10316" s="24"/>
      <c r="L10316" s="24"/>
      <c r="M10316" s="24"/>
      <c r="N10316" s="24"/>
      <c r="O10316" s="24"/>
      <c r="P10316" s="24"/>
      <c r="Q10316" s="24"/>
      <c r="R10316" s="24"/>
      <c r="S10316" s="24"/>
      <c r="T10316" s="24"/>
      <c r="U10316" s="24"/>
      <c r="V10316" s="24"/>
      <c r="W10316" s="24"/>
      <c r="X10316" s="24"/>
      <c r="Y10316" s="24"/>
      <c r="Z10316" s="24"/>
      <c r="AA10316" s="24"/>
    </row>
    <row r="10317">
      <c r="A10317" s="24"/>
      <c r="B10317" s="25"/>
      <c r="C10317" s="24"/>
      <c r="D10317" s="26"/>
      <c r="E10317" s="24"/>
      <c r="F10317" s="24"/>
      <c r="G10317" s="24"/>
      <c r="H10317" s="24"/>
      <c r="I10317" s="24"/>
      <c r="J10317" s="24"/>
      <c r="K10317" s="24"/>
      <c r="L10317" s="24"/>
      <c r="M10317" s="24"/>
      <c r="N10317" s="24"/>
      <c r="O10317" s="24"/>
      <c r="P10317" s="24"/>
      <c r="Q10317" s="24"/>
      <c r="R10317" s="24"/>
      <c r="S10317" s="24"/>
      <c r="T10317" s="24"/>
      <c r="U10317" s="24"/>
      <c r="V10317" s="24"/>
      <c r="W10317" s="24"/>
      <c r="X10317" s="24"/>
      <c r="Y10317" s="24"/>
      <c r="Z10317" s="24"/>
      <c r="AA10317" s="24"/>
    </row>
    <row r="10318">
      <c r="A10318" s="24"/>
      <c r="B10318" s="25"/>
      <c r="C10318" s="24"/>
      <c r="D10318" s="26"/>
      <c r="E10318" s="24"/>
      <c r="F10318" s="24"/>
      <c r="G10318" s="24"/>
      <c r="H10318" s="24"/>
      <c r="I10318" s="24"/>
      <c r="J10318" s="24"/>
      <c r="K10318" s="24"/>
      <c r="L10318" s="24"/>
      <c r="M10318" s="24"/>
      <c r="N10318" s="24"/>
      <c r="O10318" s="24"/>
      <c r="P10318" s="24"/>
      <c r="Q10318" s="24"/>
      <c r="R10318" s="24"/>
      <c r="S10318" s="24"/>
      <c r="T10318" s="24"/>
      <c r="U10318" s="24"/>
      <c r="V10318" s="24"/>
      <c r="W10318" s="24"/>
      <c r="X10318" s="24"/>
      <c r="Y10318" s="24"/>
      <c r="Z10318" s="24"/>
      <c r="AA10318" s="24"/>
    </row>
    <row r="10319">
      <c r="A10319" s="24"/>
      <c r="B10319" s="25"/>
      <c r="C10319" s="24"/>
      <c r="D10319" s="26"/>
      <c r="E10319" s="24"/>
      <c r="F10319" s="24"/>
      <c r="G10319" s="24"/>
      <c r="H10319" s="24"/>
      <c r="I10319" s="24"/>
      <c r="J10319" s="24"/>
      <c r="K10319" s="24"/>
      <c r="L10319" s="24"/>
      <c r="M10319" s="24"/>
      <c r="N10319" s="24"/>
      <c r="O10319" s="24"/>
      <c r="P10319" s="24"/>
      <c r="Q10319" s="24"/>
      <c r="R10319" s="24"/>
      <c r="S10319" s="24"/>
      <c r="T10319" s="24"/>
      <c r="U10319" s="24"/>
      <c r="V10319" s="24"/>
      <c r="W10319" s="24"/>
      <c r="X10319" s="24"/>
      <c r="Y10319" s="24"/>
      <c r="Z10319" s="24"/>
      <c r="AA10319" s="24"/>
    </row>
    <row r="10320">
      <c r="A10320" s="24"/>
      <c r="B10320" s="25"/>
      <c r="C10320" s="24"/>
      <c r="D10320" s="26"/>
      <c r="E10320" s="24"/>
      <c r="F10320" s="24"/>
      <c r="G10320" s="24"/>
      <c r="H10320" s="24"/>
      <c r="I10320" s="24"/>
      <c r="J10320" s="24"/>
      <c r="K10320" s="24"/>
      <c r="L10320" s="24"/>
      <c r="M10320" s="24"/>
      <c r="N10320" s="24"/>
      <c r="O10320" s="24"/>
      <c r="P10320" s="24"/>
      <c r="Q10320" s="24"/>
      <c r="R10320" s="24"/>
      <c r="S10320" s="24"/>
      <c r="T10320" s="24"/>
      <c r="U10320" s="24"/>
      <c r="V10320" s="24"/>
      <c r="W10320" s="24"/>
      <c r="X10320" s="24"/>
      <c r="Y10320" s="24"/>
      <c r="Z10320" s="24"/>
      <c r="AA10320" s="24"/>
    </row>
    <row r="10321">
      <c r="A10321" s="24"/>
      <c r="B10321" s="25"/>
      <c r="C10321" s="24"/>
      <c r="D10321" s="26"/>
      <c r="E10321" s="24"/>
      <c r="F10321" s="24"/>
      <c r="G10321" s="24"/>
      <c r="H10321" s="24"/>
      <c r="I10321" s="24"/>
      <c r="J10321" s="24"/>
      <c r="K10321" s="24"/>
      <c r="L10321" s="24"/>
      <c r="M10321" s="24"/>
      <c r="N10321" s="24"/>
      <c r="O10321" s="24"/>
      <c r="P10321" s="24"/>
      <c r="Q10321" s="24"/>
      <c r="R10321" s="24"/>
      <c r="S10321" s="24"/>
      <c r="T10321" s="24"/>
      <c r="U10321" s="24"/>
      <c r="V10321" s="24"/>
      <c r="W10321" s="24"/>
      <c r="X10321" s="24"/>
      <c r="Y10321" s="24"/>
      <c r="Z10321" s="24"/>
      <c r="AA10321" s="24"/>
    </row>
    <row r="10322">
      <c r="A10322" s="24"/>
      <c r="B10322" s="25"/>
      <c r="C10322" s="24"/>
      <c r="D10322" s="26"/>
      <c r="E10322" s="24"/>
      <c r="F10322" s="24"/>
      <c r="G10322" s="24"/>
      <c r="H10322" s="24"/>
      <c r="I10322" s="24"/>
      <c r="J10322" s="24"/>
      <c r="K10322" s="24"/>
      <c r="L10322" s="24"/>
      <c r="M10322" s="24"/>
      <c r="N10322" s="24"/>
      <c r="O10322" s="24"/>
      <c r="P10322" s="24"/>
      <c r="Q10322" s="24"/>
      <c r="R10322" s="24"/>
      <c r="S10322" s="24"/>
      <c r="T10322" s="24"/>
      <c r="U10322" s="24"/>
      <c r="V10322" s="24"/>
      <c r="W10322" s="24"/>
      <c r="X10322" s="24"/>
      <c r="Y10322" s="24"/>
      <c r="Z10322" s="24"/>
      <c r="AA10322" s="24"/>
    </row>
    <row r="10323">
      <c r="A10323" s="24"/>
      <c r="B10323" s="25"/>
      <c r="C10323" s="24"/>
      <c r="D10323" s="26"/>
      <c r="E10323" s="24"/>
      <c r="F10323" s="24"/>
      <c r="G10323" s="24"/>
      <c r="H10323" s="24"/>
      <c r="I10323" s="24"/>
      <c r="J10323" s="24"/>
      <c r="K10323" s="24"/>
      <c r="L10323" s="24"/>
      <c r="M10323" s="24"/>
      <c r="N10323" s="24"/>
      <c r="O10323" s="24"/>
      <c r="P10323" s="24"/>
      <c r="Q10323" s="24"/>
      <c r="R10323" s="24"/>
      <c r="S10323" s="24"/>
      <c r="T10323" s="24"/>
      <c r="U10323" s="24"/>
      <c r="V10323" s="24"/>
      <c r="W10323" s="24"/>
      <c r="X10323" s="24"/>
      <c r="Y10323" s="24"/>
      <c r="Z10323" s="24"/>
      <c r="AA10323" s="24"/>
    </row>
    <row r="10324">
      <c r="A10324" s="24"/>
      <c r="B10324" s="25"/>
      <c r="C10324" s="24"/>
      <c r="D10324" s="26"/>
      <c r="E10324" s="24"/>
      <c r="F10324" s="24"/>
      <c r="G10324" s="24"/>
      <c r="H10324" s="24"/>
      <c r="I10324" s="24"/>
      <c r="J10324" s="24"/>
      <c r="K10324" s="24"/>
      <c r="L10324" s="24"/>
      <c r="M10324" s="24"/>
      <c r="N10324" s="24"/>
      <c r="O10324" s="24"/>
      <c r="P10324" s="24"/>
      <c r="Q10324" s="24"/>
      <c r="R10324" s="24"/>
      <c r="S10324" s="24"/>
      <c r="T10324" s="24"/>
      <c r="U10324" s="24"/>
      <c r="V10324" s="24"/>
      <c r="W10324" s="24"/>
      <c r="X10324" s="24"/>
      <c r="Y10324" s="24"/>
      <c r="Z10324" s="24"/>
      <c r="AA10324" s="24"/>
    </row>
    <row r="10325">
      <c r="A10325" s="24"/>
      <c r="B10325" s="25"/>
      <c r="C10325" s="24"/>
      <c r="D10325" s="26"/>
      <c r="E10325" s="24"/>
      <c r="F10325" s="24"/>
      <c r="G10325" s="24"/>
      <c r="H10325" s="24"/>
      <c r="I10325" s="24"/>
      <c r="J10325" s="24"/>
      <c r="K10325" s="24"/>
      <c r="L10325" s="24"/>
      <c r="M10325" s="24"/>
      <c r="N10325" s="24"/>
      <c r="O10325" s="24"/>
      <c r="P10325" s="24"/>
      <c r="Q10325" s="24"/>
      <c r="R10325" s="24"/>
      <c r="S10325" s="24"/>
      <c r="T10325" s="24"/>
      <c r="U10325" s="24"/>
      <c r="V10325" s="24"/>
      <c r="W10325" s="24"/>
      <c r="X10325" s="24"/>
      <c r="Y10325" s="24"/>
      <c r="Z10325" s="24"/>
      <c r="AA10325" s="24"/>
    </row>
    <row r="10326">
      <c r="A10326" s="24"/>
      <c r="B10326" s="25"/>
      <c r="C10326" s="24"/>
      <c r="D10326" s="26"/>
      <c r="E10326" s="24"/>
      <c r="F10326" s="24"/>
      <c r="G10326" s="24"/>
      <c r="H10326" s="24"/>
      <c r="I10326" s="24"/>
      <c r="J10326" s="24"/>
      <c r="K10326" s="24"/>
      <c r="L10326" s="24"/>
      <c r="M10326" s="24"/>
      <c r="N10326" s="24"/>
      <c r="O10326" s="24"/>
      <c r="P10326" s="24"/>
      <c r="Q10326" s="24"/>
      <c r="R10326" s="24"/>
      <c r="S10326" s="24"/>
      <c r="T10326" s="24"/>
      <c r="U10326" s="24"/>
      <c r="V10326" s="24"/>
      <c r="W10326" s="24"/>
      <c r="X10326" s="24"/>
      <c r="Y10326" s="24"/>
      <c r="Z10326" s="24"/>
      <c r="AA10326" s="24"/>
    </row>
    <row r="10327">
      <c r="A10327" s="24"/>
      <c r="B10327" s="25"/>
      <c r="C10327" s="24"/>
      <c r="D10327" s="26"/>
      <c r="E10327" s="24"/>
      <c r="F10327" s="24"/>
      <c r="G10327" s="24"/>
      <c r="H10327" s="24"/>
      <c r="I10327" s="24"/>
      <c r="J10327" s="24"/>
      <c r="K10327" s="24"/>
      <c r="L10327" s="24"/>
      <c r="M10327" s="24"/>
      <c r="N10327" s="24"/>
      <c r="O10327" s="24"/>
      <c r="P10327" s="24"/>
      <c r="Q10327" s="24"/>
      <c r="R10327" s="24"/>
      <c r="S10327" s="24"/>
      <c r="T10327" s="24"/>
      <c r="U10327" s="24"/>
      <c r="V10327" s="24"/>
      <c r="W10327" s="24"/>
      <c r="X10327" s="24"/>
      <c r="Y10327" s="24"/>
      <c r="Z10327" s="24"/>
      <c r="AA10327" s="24"/>
    </row>
    <row r="10328">
      <c r="A10328" s="24"/>
      <c r="B10328" s="25"/>
      <c r="C10328" s="24"/>
      <c r="D10328" s="26"/>
      <c r="E10328" s="24"/>
      <c r="F10328" s="24"/>
      <c r="G10328" s="24"/>
      <c r="H10328" s="24"/>
      <c r="I10328" s="24"/>
      <c r="J10328" s="24"/>
      <c r="K10328" s="24"/>
      <c r="L10328" s="24"/>
      <c r="M10328" s="24"/>
      <c r="N10328" s="24"/>
      <c r="O10328" s="24"/>
      <c r="P10328" s="24"/>
      <c r="Q10328" s="24"/>
      <c r="R10328" s="24"/>
      <c r="S10328" s="24"/>
      <c r="T10328" s="24"/>
      <c r="U10328" s="24"/>
      <c r="V10328" s="24"/>
      <c r="W10328" s="24"/>
      <c r="X10328" s="24"/>
      <c r="Y10328" s="24"/>
      <c r="Z10328" s="24"/>
      <c r="AA10328" s="24"/>
    </row>
    <row r="10329">
      <c r="A10329" s="24"/>
      <c r="B10329" s="25"/>
      <c r="C10329" s="24"/>
      <c r="D10329" s="26"/>
      <c r="E10329" s="24"/>
      <c r="F10329" s="24"/>
      <c r="G10329" s="24"/>
      <c r="H10329" s="24"/>
      <c r="I10329" s="24"/>
      <c r="J10329" s="24"/>
      <c r="K10329" s="24"/>
      <c r="L10329" s="24"/>
      <c r="M10329" s="24"/>
      <c r="N10329" s="24"/>
      <c r="O10329" s="24"/>
      <c r="P10329" s="24"/>
      <c r="Q10329" s="24"/>
      <c r="R10329" s="24"/>
      <c r="S10329" s="24"/>
      <c r="T10329" s="24"/>
      <c r="U10329" s="24"/>
      <c r="V10329" s="24"/>
      <c r="W10329" s="24"/>
      <c r="X10329" s="24"/>
      <c r="Y10329" s="24"/>
      <c r="Z10329" s="24"/>
      <c r="AA10329" s="24"/>
    </row>
    <row r="10330">
      <c r="A10330" s="24"/>
      <c r="B10330" s="25"/>
      <c r="C10330" s="24"/>
      <c r="D10330" s="26"/>
      <c r="E10330" s="24"/>
      <c r="F10330" s="24"/>
      <c r="G10330" s="24"/>
      <c r="H10330" s="24"/>
      <c r="I10330" s="24"/>
      <c r="J10330" s="24"/>
      <c r="K10330" s="24"/>
      <c r="L10330" s="24"/>
      <c r="M10330" s="24"/>
      <c r="N10330" s="24"/>
      <c r="O10330" s="24"/>
      <c r="P10330" s="24"/>
      <c r="Q10330" s="24"/>
      <c r="R10330" s="24"/>
      <c r="S10330" s="24"/>
      <c r="T10330" s="24"/>
      <c r="U10330" s="24"/>
      <c r="V10330" s="24"/>
      <c r="W10330" s="24"/>
      <c r="X10330" s="24"/>
      <c r="Y10330" s="24"/>
      <c r="Z10330" s="24"/>
      <c r="AA10330" s="24"/>
    </row>
    <row r="10331">
      <c r="A10331" s="24"/>
      <c r="B10331" s="25"/>
      <c r="C10331" s="24"/>
      <c r="D10331" s="26"/>
      <c r="E10331" s="24"/>
      <c r="F10331" s="24"/>
      <c r="G10331" s="24"/>
      <c r="H10331" s="24"/>
      <c r="I10331" s="24"/>
      <c r="J10331" s="24"/>
      <c r="K10331" s="24"/>
      <c r="L10331" s="24"/>
      <c r="M10331" s="24"/>
      <c r="N10331" s="24"/>
      <c r="O10331" s="24"/>
      <c r="P10331" s="24"/>
      <c r="Q10331" s="24"/>
      <c r="R10331" s="24"/>
      <c r="S10331" s="24"/>
      <c r="T10331" s="24"/>
      <c r="U10331" s="24"/>
      <c r="V10331" s="24"/>
      <c r="W10331" s="24"/>
      <c r="X10331" s="24"/>
      <c r="Y10331" s="24"/>
      <c r="Z10331" s="24"/>
      <c r="AA10331" s="24"/>
    </row>
    <row r="10332">
      <c r="A10332" s="24"/>
      <c r="B10332" s="25"/>
      <c r="C10332" s="24"/>
      <c r="D10332" s="26"/>
      <c r="E10332" s="24"/>
      <c r="F10332" s="24"/>
      <c r="G10332" s="24"/>
      <c r="H10332" s="24"/>
      <c r="I10332" s="24"/>
      <c r="J10332" s="24"/>
      <c r="K10332" s="24"/>
      <c r="L10332" s="24"/>
      <c r="M10332" s="24"/>
      <c r="N10332" s="24"/>
      <c r="O10332" s="24"/>
      <c r="P10332" s="24"/>
      <c r="Q10332" s="24"/>
      <c r="R10332" s="24"/>
      <c r="S10332" s="24"/>
      <c r="T10332" s="24"/>
      <c r="U10332" s="24"/>
      <c r="V10332" s="24"/>
      <c r="W10332" s="24"/>
      <c r="X10332" s="24"/>
      <c r="Y10332" s="24"/>
      <c r="Z10332" s="24"/>
      <c r="AA10332" s="24"/>
    </row>
    <row r="10333">
      <c r="A10333" s="24"/>
      <c r="B10333" s="25"/>
      <c r="C10333" s="24"/>
      <c r="D10333" s="26"/>
      <c r="E10333" s="24"/>
      <c r="F10333" s="24"/>
      <c r="G10333" s="24"/>
      <c r="H10333" s="24"/>
      <c r="I10333" s="24"/>
      <c r="J10333" s="24"/>
      <c r="K10333" s="24"/>
      <c r="L10333" s="24"/>
      <c r="M10333" s="24"/>
      <c r="N10333" s="24"/>
      <c r="O10333" s="24"/>
      <c r="P10333" s="24"/>
      <c r="Q10333" s="24"/>
      <c r="R10333" s="24"/>
      <c r="S10333" s="24"/>
      <c r="T10333" s="24"/>
      <c r="U10333" s="24"/>
      <c r="V10333" s="24"/>
      <c r="W10333" s="24"/>
      <c r="X10333" s="24"/>
      <c r="Y10333" s="24"/>
      <c r="Z10333" s="24"/>
      <c r="AA10333" s="24"/>
    </row>
    <row r="10334">
      <c r="A10334" s="24"/>
      <c r="B10334" s="25"/>
      <c r="C10334" s="24"/>
      <c r="D10334" s="26"/>
      <c r="E10334" s="24"/>
      <c r="F10334" s="24"/>
      <c r="G10334" s="24"/>
      <c r="H10334" s="24"/>
      <c r="I10334" s="24"/>
      <c r="J10334" s="24"/>
      <c r="K10334" s="24"/>
      <c r="L10334" s="24"/>
      <c r="M10334" s="24"/>
      <c r="N10334" s="24"/>
      <c r="O10334" s="24"/>
      <c r="P10334" s="24"/>
      <c r="Q10334" s="24"/>
      <c r="R10334" s="24"/>
      <c r="S10334" s="24"/>
      <c r="T10334" s="24"/>
      <c r="U10334" s="24"/>
      <c r="V10334" s="24"/>
      <c r="W10334" s="24"/>
      <c r="X10334" s="24"/>
      <c r="Y10334" s="24"/>
      <c r="Z10334" s="24"/>
      <c r="AA10334" s="24"/>
    </row>
    <row r="10335">
      <c r="A10335" s="24"/>
      <c r="B10335" s="25"/>
      <c r="C10335" s="24"/>
      <c r="D10335" s="26"/>
      <c r="E10335" s="24"/>
      <c r="F10335" s="24"/>
      <c r="G10335" s="24"/>
      <c r="H10335" s="24"/>
      <c r="I10335" s="24"/>
      <c r="J10335" s="24"/>
      <c r="K10335" s="24"/>
      <c r="L10335" s="24"/>
      <c r="M10335" s="24"/>
      <c r="N10335" s="24"/>
      <c r="O10335" s="24"/>
      <c r="P10335" s="24"/>
      <c r="Q10335" s="24"/>
      <c r="R10335" s="24"/>
      <c r="S10335" s="24"/>
      <c r="T10335" s="24"/>
      <c r="U10335" s="24"/>
      <c r="V10335" s="24"/>
      <c r="W10335" s="24"/>
      <c r="X10335" s="24"/>
      <c r="Y10335" s="24"/>
      <c r="Z10335" s="24"/>
      <c r="AA10335" s="24"/>
    </row>
    <row r="10336">
      <c r="A10336" s="24"/>
      <c r="B10336" s="25"/>
      <c r="C10336" s="24"/>
      <c r="D10336" s="26"/>
      <c r="E10336" s="24"/>
      <c r="F10336" s="24"/>
      <c r="G10336" s="24"/>
      <c r="H10336" s="24"/>
      <c r="I10336" s="24"/>
      <c r="J10336" s="24"/>
      <c r="K10336" s="24"/>
      <c r="L10336" s="24"/>
      <c r="M10336" s="24"/>
      <c r="N10336" s="24"/>
      <c r="O10336" s="24"/>
      <c r="P10336" s="24"/>
      <c r="Q10336" s="24"/>
      <c r="R10336" s="24"/>
      <c r="S10336" s="24"/>
      <c r="T10336" s="24"/>
      <c r="U10336" s="24"/>
      <c r="V10336" s="24"/>
      <c r="W10336" s="24"/>
      <c r="X10336" s="24"/>
      <c r="Y10336" s="24"/>
      <c r="Z10336" s="24"/>
      <c r="AA10336" s="24"/>
    </row>
    <row r="10337">
      <c r="A10337" s="24"/>
      <c r="B10337" s="25"/>
      <c r="C10337" s="24"/>
      <c r="D10337" s="26"/>
      <c r="E10337" s="24"/>
      <c r="F10337" s="24"/>
      <c r="G10337" s="24"/>
      <c r="H10337" s="24"/>
      <c r="I10337" s="24"/>
      <c r="J10337" s="24"/>
      <c r="K10337" s="24"/>
      <c r="L10337" s="24"/>
      <c r="M10337" s="24"/>
      <c r="N10337" s="24"/>
      <c r="O10337" s="24"/>
      <c r="P10337" s="24"/>
      <c r="Q10337" s="24"/>
      <c r="R10337" s="24"/>
      <c r="S10337" s="24"/>
      <c r="T10337" s="24"/>
      <c r="U10337" s="24"/>
      <c r="V10337" s="24"/>
      <c r="W10337" s="24"/>
      <c r="X10337" s="24"/>
      <c r="Y10337" s="24"/>
      <c r="Z10337" s="24"/>
      <c r="AA10337" s="24"/>
    </row>
    <row r="10338">
      <c r="A10338" s="24"/>
      <c r="B10338" s="25"/>
      <c r="C10338" s="24"/>
      <c r="D10338" s="26"/>
      <c r="E10338" s="24"/>
      <c r="F10338" s="24"/>
      <c r="G10338" s="24"/>
      <c r="H10338" s="24"/>
      <c r="I10338" s="24"/>
      <c r="J10338" s="24"/>
      <c r="K10338" s="24"/>
      <c r="L10338" s="24"/>
      <c r="M10338" s="24"/>
      <c r="N10338" s="24"/>
      <c r="O10338" s="24"/>
      <c r="P10338" s="24"/>
      <c r="Q10338" s="24"/>
      <c r="R10338" s="24"/>
      <c r="S10338" s="24"/>
      <c r="T10338" s="24"/>
      <c r="U10338" s="24"/>
      <c r="V10338" s="24"/>
      <c r="W10338" s="24"/>
      <c r="X10338" s="24"/>
      <c r="Y10338" s="24"/>
      <c r="Z10338" s="24"/>
      <c r="AA10338" s="24"/>
    </row>
    <row r="10339">
      <c r="A10339" s="24"/>
      <c r="B10339" s="25"/>
      <c r="C10339" s="24"/>
      <c r="D10339" s="26"/>
      <c r="E10339" s="24"/>
      <c r="F10339" s="24"/>
      <c r="G10339" s="24"/>
      <c r="H10339" s="24"/>
      <c r="I10339" s="24"/>
      <c r="J10339" s="24"/>
      <c r="K10339" s="24"/>
      <c r="L10339" s="24"/>
      <c r="M10339" s="24"/>
      <c r="N10339" s="24"/>
      <c r="O10339" s="24"/>
      <c r="P10339" s="24"/>
      <c r="Q10339" s="24"/>
      <c r="R10339" s="24"/>
      <c r="S10339" s="24"/>
      <c r="T10339" s="24"/>
      <c r="U10339" s="24"/>
      <c r="V10339" s="24"/>
      <c r="W10339" s="24"/>
      <c r="X10339" s="24"/>
      <c r="Y10339" s="24"/>
      <c r="Z10339" s="24"/>
      <c r="AA10339" s="24"/>
    </row>
    <row r="10340">
      <c r="A10340" s="24"/>
      <c r="B10340" s="25"/>
      <c r="C10340" s="24"/>
      <c r="D10340" s="26"/>
      <c r="E10340" s="24"/>
      <c r="F10340" s="24"/>
      <c r="G10340" s="24"/>
      <c r="H10340" s="24"/>
      <c r="I10340" s="24"/>
      <c r="J10340" s="24"/>
      <c r="K10340" s="24"/>
      <c r="L10340" s="24"/>
      <c r="M10340" s="24"/>
      <c r="N10340" s="24"/>
      <c r="O10340" s="24"/>
      <c r="P10340" s="24"/>
      <c r="Q10340" s="24"/>
      <c r="R10340" s="24"/>
      <c r="S10340" s="24"/>
      <c r="T10340" s="24"/>
      <c r="U10340" s="24"/>
      <c r="V10340" s="24"/>
      <c r="W10340" s="24"/>
      <c r="X10340" s="24"/>
      <c r="Y10340" s="24"/>
      <c r="Z10340" s="24"/>
      <c r="AA10340" s="24"/>
    </row>
    <row r="10341">
      <c r="A10341" s="24"/>
      <c r="B10341" s="25"/>
      <c r="C10341" s="24"/>
      <c r="D10341" s="26"/>
      <c r="E10341" s="24"/>
      <c r="F10341" s="24"/>
      <c r="G10341" s="24"/>
      <c r="H10341" s="24"/>
      <c r="I10341" s="24"/>
      <c r="J10341" s="24"/>
      <c r="K10341" s="24"/>
      <c r="L10341" s="24"/>
      <c r="M10341" s="24"/>
      <c r="N10341" s="24"/>
      <c r="O10341" s="24"/>
      <c r="P10341" s="24"/>
      <c r="Q10341" s="24"/>
      <c r="R10341" s="24"/>
      <c r="S10341" s="24"/>
      <c r="T10341" s="24"/>
      <c r="U10341" s="24"/>
      <c r="V10341" s="24"/>
      <c r="W10341" s="24"/>
      <c r="X10341" s="24"/>
      <c r="Y10341" s="24"/>
      <c r="Z10341" s="24"/>
      <c r="AA10341" s="24"/>
    </row>
    <row r="10342">
      <c r="A10342" s="24"/>
      <c r="B10342" s="25"/>
      <c r="C10342" s="24"/>
      <c r="D10342" s="26"/>
      <c r="E10342" s="24"/>
      <c r="F10342" s="24"/>
      <c r="G10342" s="24"/>
      <c r="H10342" s="24"/>
      <c r="I10342" s="24"/>
      <c r="J10342" s="24"/>
      <c r="K10342" s="24"/>
      <c r="L10342" s="24"/>
      <c r="M10342" s="24"/>
      <c r="N10342" s="24"/>
      <c r="O10342" s="24"/>
      <c r="P10342" s="24"/>
      <c r="Q10342" s="24"/>
      <c r="R10342" s="24"/>
      <c r="S10342" s="24"/>
      <c r="T10342" s="24"/>
      <c r="U10342" s="24"/>
      <c r="V10342" s="24"/>
      <c r="W10342" s="24"/>
      <c r="X10342" s="24"/>
      <c r="Y10342" s="24"/>
      <c r="Z10342" s="24"/>
      <c r="AA10342" s="24"/>
    </row>
    <row r="10343">
      <c r="A10343" s="24"/>
      <c r="B10343" s="25"/>
      <c r="C10343" s="24"/>
      <c r="D10343" s="26"/>
      <c r="E10343" s="24"/>
      <c r="F10343" s="24"/>
      <c r="G10343" s="24"/>
      <c r="H10343" s="24"/>
      <c r="I10343" s="24"/>
      <c r="J10343" s="24"/>
      <c r="K10343" s="24"/>
      <c r="L10343" s="24"/>
      <c r="M10343" s="24"/>
      <c r="N10343" s="24"/>
      <c r="O10343" s="24"/>
      <c r="P10343" s="24"/>
      <c r="Q10343" s="24"/>
      <c r="R10343" s="24"/>
      <c r="S10343" s="24"/>
      <c r="T10343" s="24"/>
      <c r="U10343" s="24"/>
      <c r="V10343" s="24"/>
      <c r="W10343" s="24"/>
      <c r="X10343" s="24"/>
      <c r="Y10343" s="24"/>
      <c r="Z10343" s="24"/>
      <c r="AA10343" s="24"/>
    </row>
    <row r="10344">
      <c r="A10344" s="24"/>
      <c r="B10344" s="25"/>
      <c r="C10344" s="24"/>
      <c r="D10344" s="26"/>
      <c r="E10344" s="24"/>
      <c r="F10344" s="24"/>
      <c r="G10344" s="24"/>
      <c r="H10344" s="24"/>
      <c r="I10344" s="24"/>
      <c r="J10344" s="24"/>
      <c r="K10344" s="24"/>
      <c r="L10344" s="24"/>
      <c r="M10344" s="24"/>
      <c r="N10344" s="24"/>
      <c r="O10344" s="24"/>
      <c r="P10344" s="24"/>
      <c r="Q10344" s="24"/>
      <c r="R10344" s="24"/>
      <c r="S10344" s="24"/>
      <c r="T10344" s="24"/>
      <c r="U10344" s="24"/>
      <c r="V10344" s="24"/>
      <c r="W10344" s="24"/>
      <c r="X10344" s="24"/>
      <c r="Y10344" s="24"/>
      <c r="Z10344" s="24"/>
      <c r="AA10344" s="24"/>
    </row>
    <row r="10345">
      <c r="A10345" s="24"/>
      <c r="B10345" s="25"/>
      <c r="C10345" s="24"/>
      <c r="D10345" s="26"/>
      <c r="E10345" s="24"/>
      <c r="F10345" s="24"/>
      <c r="G10345" s="24"/>
      <c r="H10345" s="24"/>
      <c r="I10345" s="24"/>
      <c r="J10345" s="24"/>
      <c r="K10345" s="24"/>
      <c r="L10345" s="24"/>
      <c r="M10345" s="24"/>
      <c r="N10345" s="24"/>
      <c r="O10345" s="24"/>
      <c r="P10345" s="24"/>
      <c r="Q10345" s="24"/>
      <c r="R10345" s="24"/>
      <c r="S10345" s="24"/>
      <c r="T10345" s="24"/>
      <c r="U10345" s="24"/>
      <c r="V10345" s="24"/>
      <c r="W10345" s="24"/>
      <c r="X10345" s="24"/>
      <c r="Y10345" s="24"/>
      <c r="Z10345" s="24"/>
      <c r="AA10345" s="24"/>
    </row>
    <row r="10346">
      <c r="A10346" s="24"/>
      <c r="B10346" s="25"/>
      <c r="C10346" s="24"/>
      <c r="D10346" s="26"/>
      <c r="E10346" s="24"/>
      <c r="F10346" s="24"/>
      <c r="G10346" s="24"/>
      <c r="H10346" s="24"/>
      <c r="I10346" s="24"/>
      <c r="J10346" s="24"/>
      <c r="K10346" s="24"/>
      <c r="L10346" s="24"/>
      <c r="M10346" s="24"/>
      <c r="N10346" s="24"/>
      <c r="O10346" s="24"/>
      <c r="P10346" s="24"/>
      <c r="Q10346" s="24"/>
      <c r="R10346" s="24"/>
      <c r="S10346" s="24"/>
      <c r="T10346" s="24"/>
      <c r="U10346" s="24"/>
      <c r="V10346" s="24"/>
      <c r="W10346" s="24"/>
      <c r="X10346" s="24"/>
      <c r="Y10346" s="24"/>
      <c r="Z10346" s="24"/>
      <c r="AA10346" s="24"/>
    </row>
    <row r="10347">
      <c r="A10347" s="24"/>
      <c r="B10347" s="25"/>
      <c r="C10347" s="24"/>
      <c r="D10347" s="26"/>
      <c r="E10347" s="24"/>
      <c r="F10347" s="24"/>
      <c r="G10347" s="24"/>
      <c r="H10347" s="24"/>
      <c r="I10347" s="24"/>
      <c r="J10347" s="24"/>
      <c r="K10347" s="24"/>
      <c r="L10347" s="24"/>
      <c r="M10347" s="24"/>
      <c r="N10347" s="24"/>
      <c r="O10347" s="24"/>
      <c r="P10347" s="24"/>
      <c r="Q10347" s="24"/>
      <c r="R10347" s="24"/>
      <c r="S10347" s="24"/>
      <c r="T10347" s="24"/>
      <c r="U10347" s="24"/>
      <c r="V10347" s="24"/>
      <c r="W10347" s="24"/>
      <c r="X10347" s="24"/>
      <c r="Y10347" s="24"/>
      <c r="Z10347" s="24"/>
      <c r="AA10347" s="24"/>
    </row>
    <row r="10348">
      <c r="A10348" s="24"/>
      <c r="B10348" s="25"/>
      <c r="C10348" s="24"/>
      <c r="D10348" s="26"/>
      <c r="E10348" s="24"/>
      <c r="F10348" s="24"/>
      <c r="G10348" s="24"/>
      <c r="H10348" s="24"/>
      <c r="I10348" s="24"/>
      <c r="J10348" s="24"/>
      <c r="K10348" s="24"/>
      <c r="L10348" s="24"/>
      <c r="M10348" s="24"/>
      <c r="N10348" s="24"/>
      <c r="O10348" s="24"/>
      <c r="P10348" s="24"/>
      <c r="Q10348" s="24"/>
      <c r="R10348" s="24"/>
      <c r="S10348" s="24"/>
      <c r="T10348" s="24"/>
      <c r="U10348" s="24"/>
      <c r="V10348" s="24"/>
      <c r="W10348" s="24"/>
      <c r="X10348" s="24"/>
      <c r="Y10348" s="24"/>
      <c r="Z10348" s="24"/>
      <c r="AA10348" s="24"/>
    </row>
    <row r="10349">
      <c r="A10349" s="24"/>
      <c r="B10349" s="25"/>
      <c r="C10349" s="24"/>
      <c r="D10349" s="26"/>
      <c r="E10349" s="24"/>
      <c r="F10349" s="24"/>
      <c r="G10349" s="24"/>
      <c r="H10349" s="24"/>
      <c r="I10349" s="24"/>
      <c r="J10349" s="24"/>
      <c r="K10349" s="24"/>
      <c r="L10349" s="24"/>
      <c r="M10349" s="24"/>
      <c r="N10349" s="24"/>
      <c r="O10349" s="24"/>
      <c r="P10349" s="24"/>
      <c r="Q10349" s="24"/>
      <c r="R10349" s="24"/>
      <c r="S10349" s="24"/>
      <c r="T10349" s="24"/>
      <c r="U10349" s="24"/>
      <c r="V10349" s="24"/>
      <c r="W10349" s="24"/>
      <c r="X10349" s="24"/>
      <c r="Y10349" s="24"/>
      <c r="Z10349" s="24"/>
      <c r="AA10349" s="24"/>
    </row>
    <row r="10350">
      <c r="A10350" s="24"/>
      <c r="B10350" s="25"/>
      <c r="C10350" s="24"/>
      <c r="D10350" s="26"/>
      <c r="E10350" s="24"/>
      <c r="F10350" s="24"/>
      <c r="G10350" s="24"/>
      <c r="H10350" s="24"/>
      <c r="I10350" s="24"/>
      <c r="J10350" s="24"/>
      <c r="K10350" s="24"/>
      <c r="L10350" s="24"/>
      <c r="M10350" s="24"/>
      <c r="N10350" s="24"/>
      <c r="O10350" s="24"/>
      <c r="P10350" s="24"/>
      <c r="Q10350" s="24"/>
      <c r="R10350" s="24"/>
      <c r="S10350" s="24"/>
      <c r="T10350" s="24"/>
      <c r="U10350" s="24"/>
      <c r="V10350" s="24"/>
      <c r="W10350" s="24"/>
      <c r="X10350" s="24"/>
      <c r="Y10350" s="24"/>
      <c r="Z10350" s="24"/>
      <c r="AA10350" s="24"/>
    </row>
    <row r="10351">
      <c r="A10351" s="24"/>
      <c r="B10351" s="25"/>
      <c r="C10351" s="24"/>
      <c r="D10351" s="26"/>
      <c r="E10351" s="24"/>
      <c r="F10351" s="24"/>
      <c r="G10351" s="24"/>
      <c r="H10351" s="24"/>
      <c r="I10351" s="24"/>
      <c r="J10351" s="24"/>
      <c r="K10351" s="24"/>
      <c r="L10351" s="24"/>
      <c r="M10351" s="24"/>
      <c r="N10351" s="24"/>
      <c r="O10351" s="24"/>
      <c r="P10351" s="24"/>
      <c r="Q10351" s="24"/>
      <c r="R10351" s="24"/>
      <c r="S10351" s="24"/>
      <c r="T10351" s="24"/>
      <c r="U10351" s="24"/>
      <c r="V10351" s="24"/>
      <c r="W10351" s="24"/>
      <c r="X10351" s="24"/>
      <c r="Y10351" s="24"/>
      <c r="Z10351" s="24"/>
      <c r="AA10351" s="24"/>
    </row>
    <row r="10352">
      <c r="A10352" s="24"/>
      <c r="B10352" s="25"/>
      <c r="C10352" s="24"/>
      <c r="D10352" s="26"/>
      <c r="E10352" s="24"/>
      <c r="F10352" s="24"/>
      <c r="G10352" s="24"/>
      <c r="H10352" s="24"/>
      <c r="I10352" s="24"/>
      <c r="J10352" s="24"/>
      <c r="K10352" s="24"/>
      <c r="L10352" s="24"/>
      <c r="M10352" s="24"/>
      <c r="N10352" s="24"/>
      <c r="O10352" s="24"/>
      <c r="P10352" s="24"/>
      <c r="Q10352" s="24"/>
      <c r="R10352" s="24"/>
      <c r="S10352" s="24"/>
      <c r="T10352" s="24"/>
      <c r="U10352" s="24"/>
      <c r="V10352" s="24"/>
      <c r="W10352" s="24"/>
      <c r="X10352" s="24"/>
      <c r="Y10352" s="24"/>
      <c r="Z10352" s="24"/>
      <c r="AA10352" s="24"/>
    </row>
    <row r="10353">
      <c r="A10353" s="24"/>
      <c r="B10353" s="25"/>
      <c r="C10353" s="24"/>
      <c r="D10353" s="26"/>
      <c r="E10353" s="24"/>
      <c r="F10353" s="24"/>
      <c r="G10353" s="24"/>
      <c r="H10353" s="24"/>
      <c r="I10353" s="24"/>
      <c r="J10353" s="24"/>
      <c r="K10353" s="24"/>
      <c r="L10353" s="24"/>
      <c r="M10353" s="24"/>
      <c r="N10353" s="24"/>
      <c r="O10353" s="24"/>
      <c r="P10353" s="24"/>
      <c r="Q10353" s="24"/>
      <c r="R10353" s="24"/>
      <c r="S10353" s="24"/>
      <c r="T10353" s="24"/>
      <c r="U10353" s="24"/>
      <c r="V10353" s="24"/>
      <c r="W10353" s="24"/>
      <c r="X10353" s="24"/>
      <c r="Y10353" s="24"/>
      <c r="Z10353" s="24"/>
      <c r="AA10353" s="24"/>
    </row>
    <row r="10354">
      <c r="A10354" s="24"/>
      <c r="B10354" s="25"/>
      <c r="C10354" s="24"/>
      <c r="D10354" s="26"/>
      <c r="E10354" s="24"/>
      <c r="F10354" s="24"/>
      <c r="G10354" s="24"/>
      <c r="H10354" s="24"/>
      <c r="I10354" s="24"/>
      <c r="J10354" s="24"/>
      <c r="K10354" s="24"/>
      <c r="L10354" s="24"/>
      <c r="M10354" s="24"/>
      <c r="N10354" s="24"/>
      <c r="O10354" s="24"/>
      <c r="P10354" s="24"/>
      <c r="Q10354" s="24"/>
      <c r="R10354" s="24"/>
      <c r="S10354" s="24"/>
      <c r="T10354" s="24"/>
      <c r="U10354" s="24"/>
      <c r="V10354" s="24"/>
      <c r="W10354" s="24"/>
      <c r="X10354" s="24"/>
      <c r="Y10354" s="24"/>
      <c r="Z10354" s="24"/>
      <c r="AA10354" s="24"/>
    </row>
    <row r="10355">
      <c r="A10355" s="24"/>
      <c r="B10355" s="25"/>
      <c r="C10355" s="24"/>
      <c r="D10355" s="26"/>
      <c r="E10355" s="24"/>
      <c r="F10355" s="24"/>
      <c r="G10355" s="24"/>
      <c r="H10355" s="24"/>
      <c r="I10355" s="24"/>
      <c r="J10355" s="24"/>
      <c r="K10355" s="24"/>
      <c r="L10355" s="24"/>
      <c r="M10355" s="24"/>
      <c r="N10355" s="24"/>
      <c r="O10355" s="24"/>
      <c r="P10355" s="24"/>
      <c r="Q10355" s="24"/>
      <c r="R10355" s="24"/>
      <c r="S10355" s="24"/>
      <c r="T10355" s="24"/>
      <c r="U10355" s="24"/>
      <c r="V10355" s="24"/>
      <c r="W10355" s="24"/>
      <c r="X10355" s="24"/>
      <c r="Y10355" s="24"/>
      <c r="Z10355" s="24"/>
      <c r="AA10355" s="24"/>
    </row>
    <row r="10356">
      <c r="A10356" s="24"/>
      <c r="B10356" s="25"/>
      <c r="C10356" s="24"/>
      <c r="D10356" s="26"/>
      <c r="E10356" s="24"/>
      <c r="F10356" s="24"/>
      <c r="G10356" s="24"/>
      <c r="H10356" s="24"/>
      <c r="I10356" s="24"/>
      <c r="J10356" s="24"/>
      <c r="K10356" s="24"/>
      <c r="L10356" s="24"/>
      <c r="M10356" s="24"/>
      <c r="N10356" s="24"/>
      <c r="O10356" s="24"/>
      <c r="P10356" s="24"/>
      <c r="Q10356" s="24"/>
      <c r="R10356" s="24"/>
      <c r="S10356" s="24"/>
      <c r="T10356" s="24"/>
      <c r="U10356" s="24"/>
      <c r="V10356" s="24"/>
      <c r="W10356" s="24"/>
      <c r="X10356" s="24"/>
      <c r="Y10356" s="24"/>
      <c r="Z10356" s="24"/>
      <c r="AA10356" s="24"/>
    </row>
    <row r="10357">
      <c r="A10357" s="24"/>
      <c r="B10357" s="25"/>
      <c r="C10357" s="24"/>
      <c r="D10357" s="26"/>
      <c r="E10357" s="24"/>
      <c r="F10357" s="24"/>
      <c r="G10357" s="24"/>
      <c r="H10357" s="24"/>
      <c r="I10357" s="24"/>
      <c r="J10357" s="24"/>
      <c r="K10357" s="24"/>
      <c r="L10357" s="24"/>
      <c r="M10357" s="24"/>
      <c r="N10357" s="24"/>
      <c r="O10357" s="24"/>
      <c r="P10357" s="24"/>
      <c r="Q10357" s="24"/>
      <c r="R10357" s="24"/>
      <c r="S10357" s="24"/>
      <c r="T10357" s="24"/>
      <c r="U10357" s="24"/>
      <c r="V10357" s="24"/>
      <c r="W10357" s="24"/>
      <c r="X10357" s="24"/>
      <c r="Y10357" s="24"/>
      <c r="Z10357" s="24"/>
      <c r="AA10357" s="24"/>
    </row>
    <row r="10358">
      <c r="A10358" s="24"/>
      <c r="B10358" s="25"/>
      <c r="C10358" s="24"/>
      <c r="D10358" s="26"/>
      <c r="E10358" s="24"/>
      <c r="F10358" s="24"/>
      <c r="G10358" s="24"/>
      <c r="H10358" s="24"/>
      <c r="I10358" s="24"/>
      <c r="J10358" s="24"/>
      <c r="K10358" s="24"/>
      <c r="L10358" s="24"/>
      <c r="M10358" s="24"/>
      <c r="N10358" s="24"/>
      <c r="O10358" s="24"/>
      <c r="P10358" s="24"/>
      <c r="Q10358" s="24"/>
      <c r="R10358" s="24"/>
      <c r="S10358" s="24"/>
      <c r="T10358" s="24"/>
      <c r="U10358" s="24"/>
      <c r="V10358" s="24"/>
      <c r="W10358" s="24"/>
      <c r="X10358" s="24"/>
      <c r="Y10358" s="24"/>
      <c r="Z10358" s="24"/>
      <c r="AA10358" s="24"/>
    </row>
    <row r="10359">
      <c r="A10359" s="24"/>
      <c r="B10359" s="25"/>
      <c r="C10359" s="24"/>
      <c r="D10359" s="26"/>
      <c r="E10359" s="24"/>
      <c r="F10359" s="24"/>
      <c r="G10359" s="24"/>
      <c r="H10359" s="24"/>
      <c r="I10359" s="24"/>
      <c r="J10359" s="24"/>
      <c r="K10359" s="24"/>
      <c r="L10359" s="24"/>
      <c r="M10359" s="24"/>
      <c r="N10359" s="24"/>
      <c r="O10359" s="24"/>
      <c r="P10359" s="24"/>
      <c r="Q10359" s="24"/>
      <c r="R10359" s="24"/>
      <c r="S10359" s="24"/>
      <c r="T10359" s="24"/>
      <c r="U10359" s="24"/>
      <c r="V10359" s="24"/>
      <c r="W10359" s="24"/>
      <c r="X10359" s="24"/>
      <c r="Y10359" s="24"/>
      <c r="Z10359" s="24"/>
      <c r="AA10359" s="24"/>
    </row>
    <row r="10360">
      <c r="A10360" s="24"/>
      <c r="B10360" s="25"/>
      <c r="C10360" s="24"/>
      <c r="D10360" s="26"/>
      <c r="E10360" s="24"/>
      <c r="F10360" s="24"/>
      <c r="G10360" s="24"/>
      <c r="H10360" s="24"/>
      <c r="I10360" s="24"/>
      <c r="J10360" s="24"/>
      <c r="K10360" s="24"/>
      <c r="L10360" s="24"/>
      <c r="M10360" s="24"/>
      <c r="N10360" s="24"/>
      <c r="O10360" s="24"/>
      <c r="P10360" s="24"/>
      <c r="Q10360" s="24"/>
      <c r="R10360" s="24"/>
      <c r="S10360" s="24"/>
      <c r="T10360" s="24"/>
      <c r="U10360" s="24"/>
      <c r="V10360" s="24"/>
      <c r="W10360" s="24"/>
      <c r="X10360" s="24"/>
      <c r="Y10360" s="24"/>
      <c r="Z10360" s="24"/>
      <c r="AA10360" s="24"/>
    </row>
    <row r="10361">
      <c r="A10361" s="24"/>
      <c r="B10361" s="25"/>
      <c r="C10361" s="24"/>
      <c r="D10361" s="26"/>
      <c r="E10361" s="24"/>
      <c r="F10361" s="24"/>
      <c r="G10361" s="24"/>
      <c r="H10361" s="24"/>
      <c r="I10361" s="24"/>
      <c r="J10361" s="24"/>
      <c r="K10361" s="24"/>
      <c r="L10361" s="24"/>
      <c r="M10361" s="24"/>
      <c r="N10361" s="24"/>
      <c r="O10361" s="24"/>
      <c r="P10361" s="24"/>
      <c r="Q10361" s="24"/>
      <c r="R10361" s="24"/>
      <c r="S10361" s="24"/>
      <c r="T10361" s="24"/>
      <c r="U10361" s="24"/>
      <c r="V10361" s="24"/>
      <c r="W10361" s="24"/>
      <c r="X10361" s="24"/>
      <c r="Y10361" s="24"/>
      <c r="Z10361" s="24"/>
      <c r="AA10361" s="24"/>
    </row>
    <row r="10362">
      <c r="A10362" s="24"/>
      <c r="B10362" s="25"/>
      <c r="C10362" s="24"/>
      <c r="D10362" s="26"/>
      <c r="E10362" s="24"/>
      <c r="F10362" s="24"/>
      <c r="G10362" s="24"/>
      <c r="H10362" s="24"/>
      <c r="I10362" s="24"/>
      <c r="J10362" s="24"/>
      <c r="K10362" s="24"/>
      <c r="L10362" s="24"/>
      <c r="M10362" s="24"/>
      <c r="N10362" s="24"/>
      <c r="O10362" s="24"/>
      <c r="P10362" s="24"/>
      <c r="Q10362" s="24"/>
      <c r="R10362" s="24"/>
      <c r="S10362" s="24"/>
      <c r="T10362" s="24"/>
      <c r="U10362" s="24"/>
      <c r="V10362" s="24"/>
      <c r="W10362" s="24"/>
      <c r="X10362" s="24"/>
      <c r="Y10362" s="24"/>
      <c r="Z10362" s="24"/>
      <c r="AA10362" s="24"/>
    </row>
    <row r="10363">
      <c r="A10363" s="24"/>
      <c r="B10363" s="25"/>
      <c r="C10363" s="24"/>
      <c r="D10363" s="26"/>
      <c r="E10363" s="24"/>
      <c r="F10363" s="24"/>
      <c r="G10363" s="24"/>
      <c r="H10363" s="24"/>
      <c r="I10363" s="24"/>
      <c r="J10363" s="24"/>
      <c r="K10363" s="24"/>
      <c r="L10363" s="24"/>
      <c r="M10363" s="24"/>
      <c r="N10363" s="24"/>
      <c r="O10363" s="24"/>
      <c r="P10363" s="24"/>
      <c r="Q10363" s="24"/>
      <c r="R10363" s="24"/>
      <c r="S10363" s="24"/>
      <c r="T10363" s="24"/>
      <c r="U10363" s="24"/>
      <c r="V10363" s="24"/>
      <c r="W10363" s="24"/>
      <c r="X10363" s="24"/>
      <c r="Y10363" s="24"/>
      <c r="Z10363" s="24"/>
      <c r="AA10363" s="24"/>
    </row>
    <row r="10364">
      <c r="A10364" s="24"/>
      <c r="B10364" s="25"/>
      <c r="C10364" s="24"/>
      <c r="D10364" s="26"/>
      <c r="E10364" s="24"/>
      <c r="F10364" s="24"/>
      <c r="G10364" s="24"/>
      <c r="H10364" s="24"/>
      <c r="I10364" s="24"/>
      <c r="J10364" s="24"/>
      <c r="K10364" s="24"/>
      <c r="L10364" s="24"/>
      <c r="M10364" s="24"/>
      <c r="N10364" s="24"/>
      <c r="O10364" s="24"/>
      <c r="P10364" s="24"/>
      <c r="Q10364" s="24"/>
      <c r="R10364" s="24"/>
      <c r="S10364" s="24"/>
      <c r="T10364" s="24"/>
      <c r="U10364" s="24"/>
      <c r="V10364" s="24"/>
      <c r="W10364" s="24"/>
      <c r="X10364" s="24"/>
      <c r="Y10364" s="24"/>
      <c r="Z10364" s="24"/>
      <c r="AA10364" s="24"/>
    </row>
    <row r="10365">
      <c r="A10365" s="24"/>
      <c r="B10365" s="25"/>
      <c r="C10365" s="24"/>
      <c r="D10365" s="26"/>
      <c r="E10365" s="24"/>
      <c r="F10365" s="24"/>
      <c r="G10365" s="24"/>
      <c r="H10365" s="24"/>
      <c r="I10365" s="24"/>
      <c r="J10365" s="24"/>
      <c r="K10365" s="24"/>
      <c r="L10365" s="24"/>
      <c r="M10365" s="24"/>
      <c r="N10365" s="24"/>
      <c r="O10365" s="24"/>
      <c r="P10365" s="24"/>
      <c r="Q10365" s="24"/>
      <c r="R10365" s="24"/>
      <c r="S10365" s="24"/>
      <c r="T10365" s="24"/>
      <c r="U10365" s="24"/>
      <c r="V10365" s="24"/>
      <c r="W10365" s="24"/>
      <c r="X10365" s="24"/>
      <c r="Y10365" s="24"/>
      <c r="Z10365" s="24"/>
      <c r="AA10365" s="24"/>
    </row>
    <row r="10366">
      <c r="A10366" s="24"/>
      <c r="B10366" s="25"/>
      <c r="C10366" s="24"/>
      <c r="D10366" s="26"/>
      <c r="E10366" s="24"/>
      <c r="F10366" s="24"/>
      <c r="G10366" s="24"/>
      <c r="H10366" s="24"/>
      <c r="I10366" s="24"/>
      <c r="J10366" s="24"/>
      <c r="K10366" s="24"/>
      <c r="L10366" s="24"/>
      <c r="M10366" s="24"/>
      <c r="N10366" s="24"/>
      <c r="O10366" s="24"/>
      <c r="P10366" s="24"/>
      <c r="Q10366" s="24"/>
      <c r="R10366" s="24"/>
      <c r="S10366" s="24"/>
      <c r="T10366" s="24"/>
      <c r="U10366" s="24"/>
      <c r="V10366" s="24"/>
      <c r="W10366" s="24"/>
      <c r="X10366" s="24"/>
      <c r="Y10366" s="24"/>
      <c r="Z10366" s="24"/>
      <c r="AA10366" s="24"/>
    </row>
    <row r="10367">
      <c r="A10367" s="24"/>
      <c r="B10367" s="25"/>
      <c r="C10367" s="24"/>
      <c r="D10367" s="26"/>
      <c r="E10367" s="24"/>
      <c r="F10367" s="24"/>
      <c r="G10367" s="24"/>
      <c r="H10367" s="24"/>
      <c r="I10367" s="24"/>
      <c r="J10367" s="24"/>
      <c r="K10367" s="24"/>
      <c r="L10367" s="24"/>
      <c r="M10367" s="24"/>
      <c r="N10367" s="24"/>
      <c r="O10367" s="24"/>
      <c r="P10367" s="24"/>
      <c r="Q10367" s="24"/>
      <c r="R10367" s="24"/>
      <c r="S10367" s="24"/>
      <c r="T10367" s="24"/>
      <c r="U10367" s="24"/>
      <c r="V10367" s="24"/>
      <c r="W10367" s="24"/>
      <c r="X10367" s="24"/>
      <c r="Y10367" s="24"/>
      <c r="Z10367" s="24"/>
      <c r="AA10367" s="24"/>
    </row>
    <row r="10368">
      <c r="A10368" s="24"/>
      <c r="B10368" s="25"/>
      <c r="C10368" s="24"/>
      <c r="D10368" s="26"/>
      <c r="E10368" s="24"/>
      <c r="F10368" s="24"/>
      <c r="G10368" s="24"/>
      <c r="H10368" s="24"/>
      <c r="I10368" s="24"/>
      <c r="J10368" s="24"/>
      <c r="K10368" s="24"/>
      <c r="L10368" s="24"/>
      <c r="M10368" s="24"/>
      <c r="N10368" s="24"/>
      <c r="O10368" s="24"/>
      <c r="P10368" s="24"/>
      <c r="Q10368" s="24"/>
      <c r="R10368" s="24"/>
      <c r="S10368" s="24"/>
      <c r="T10368" s="24"/>
      <c r="U10368" s="24"/>
      <c r="V10368" s="24"/>
      <c r="W10368" s="24"/>
      <c r="X10368" s="24"/>
      <c r="Y10368" s="24"/>
      <c r="Z10368" s="24"/>
      <c r="AA10368" s="24"/>
    </row>
    <row r="10369">
      <c r="A10369" s="24"/>
      <c r="B10369" s="25"/>
      <c r="C10369" s="24"/>
      <c r="D10369" s="26"/>
      <c r="E10369" s="24"/>
      <c r="F10369" s="24"/>
      <c r="G10369" s="24"/>
      <c r="H10369" s="24"/>
      <c r="I10369" s="24"/>
      <c r="J10369" s="24"/>
      <c r="K10369" s="24"/>
      <c r="L10369" s="24"/>
      <c r="M10369" s="24"/>
      <c r="N10369" s="24"/>
      <c r="O10369" s="24"/>
      <c r="P10369" s="24"/>
      <c r="Q10369" s="24"/>
      <c r="R10369" s="24"/>
      <c r="S10369" s="24"/>
      <c r="T10369" s="24"/>
      <c r="U10369" s="24"/>
      <c r="V10369" s="24"/>
      <c r="W10369" s="24"/>
      <c r="X10369" s="24"/>
      <c r="Y10369" s="24"/>
      <c r="Z10369" s="24"/>
      <c r="AA10369" s="24"/>
    </row>
    <row r="10370">
      <c r="A10370" s="24"/>
      <c r="B10370" s="25"/>
      <c r="C10370" s="24"/>
      <c r="D10370" s="26"/>
      <c r="E10370" s="24"/>
      <c r="F10370" s="24"/>
      <c r="G10370" s="24"/>
      <c r="H10370" s="24"/>
      <c r="I10370" s="24"/>
      <c r="J10370" s="24"/>
      <c r="K10370" s="24"/>
      <c r="L10370" s="24"/>
      <c r="M10370" s="24"/>
      <c r="N10370" s="24"/>
      <c r="O10370" s="24"/>
      <c r="P10370" s="24"/>
      <c r="Q10370" s="24"/>
      <c r="R10370" s="24"/>
      <c r="S10370" s="24"/>
      <c r="T10370" s="24"/>
      <c r="U10370" s="24"/>
      <c r="V10370" s="24"/>
      <c r="W10370" s="24"/>
      <c r="X10370" s="24"/>
      <c r="Y10370" s="24"/>
      <c r="Z10370" s="24"/>
      <c r="AA10370" s="24"/>
    </row>
    <row r="10371">
      <c r="A10371" s="24"/>
      <c r="B10371" s="25"/>
      <c r="C10371" s="24"/>
      <c r="D10371" s="26"/>
      <c r="E10371" s="24"/>
      <c r="F10371" s="24"/>
      <c r="G10371" s="24"/>
      <c r="H10371" s="24"/>
      <c r="I10371" s="24"/>
      <c r="J10371" s="24"/>
      <c r="K10371" s="24"/>
      <c r="L10371" s="24"/>
      <c r="M10371" s="24"/>
      <c r="N10371" s="24"/>
      <c r="O10371" s="24"/>
      <c r="P10371" s="24"/>
      <c r="Q10371" s="24"/>
      <c r="R10371" s="24"/>
      <c r="S10371" s="24"/>
      <c r="T10371" s="24"/>
      <c r="U10371" s="24"/>
      <c r="V10371" s="24"/>
      <c r="W10371" s="24"/>
      <c r="X10371" s="24"/>
      <c r="Y10371" s="24"/>
      <c r="Z10371" s="24"/>
      <c r="AA10371" s="24"/>
    </row>
    <row r="10372">
      <c r="A10372" s="24"/>
      <c r="B10372" s="25"/>
      <c r="C10372" s="24"/>
      <c r="D10372" s="26"/>
      <c r="E10372" s="24"/>
      <c r="F10372" s="24"/>
      <c r="G10372" s="24"/>
      <c r="H10372" s="24"/>
      <c r="I10372" s="24"/>
      <c r="J10372" s="24"/>
      <c r="K10372" s="24"/>
      <c r="L10372" s="24"/>
      <c r="M10372" s="24"/>
      <c r="N10372" s="24"/>
      <c r="O10372" s="24"/>
      <c r="P10372" s="24"/>
      <c r="Q10372" s="24"/>
      <c r="R10372" s="24"/>
      <c r="S10372" s="24"/>
      <c r="T10372" s="24"/>
      <c r="U10372" s="24"/>
      <c r="V10372" s="24"/>
      <c r="W10372" s="24"/>
      <c r="X10372" s="24"/>
      <c r="Y10372" s="24"/>
      <c r="Z10372" s="24"/>
      <c r="AA10372" s="24"/>
    </row>
    <row r="10373">
      <c r="A10373" s="24"/>
      <c r="B10373" s="25"/>
      <c r="C10373" s="24"/>
      <c r="D10373" s="26"/>
      <c r="E10373" s="24"/>
      <c r="F10373" s="24"/>
      <c r="G10373" s="24"/>
      <c r="H10373" s="24"/>
      <c r="I10373" s="24"/>
      <c r="J10373" s="24"/>
      <c r="K10373" s="24"/>
      <c r="L10373" s="24"/>
      <c r="M10373" s="24"/>
      <c r="N10373" s="24"/>
      <c r="O10373" s="24"/>
      <c r="P10373" s="24"/>
      <c r="Q10373" s="24"/>
      <c r="R10373" s="24"/>
      <c r="S10373" s="24"/>
      <c r="T10373" s="24"/>
      <c r="U10373" s="24"/>
      <c r="V10373" s="24"/>
      <c r="W10373" s="24"/>
      <c r="X10373" s="24"/>
      <c r="Y10373" s="24"/>
      <c r="Z10373" s="24"/>
      <c r="AA10373" s="24"/>
    </row>
    <row r="10374">
      <c r="A10374" s="24"/>
      <c r="B10374" s="25"/>
      <c r="C10374" s="24"/>
      <c r="D10374" s="26"/>
      <c r="E10374" s="24"/>
      <c r="F10374" s="24"/>
      <c r="G10374" s="24"/>
      <c r="H10374" s="24"/>
      <c r="I10374" s="24"/>
      <c r="J10374" s="24"/>
      <c r="K10374" s="24"/>
      <c r="L10374" s="24"/>
      <c r="M10374" s="24"/>
      <c r="N10374" s="24"/>
      <c r="O10374" s="24"/>
      <c r="P10374" s="24"/>
      <c r="Q10374" s="24"/>
      <c r="R10374" s="24"/>
      <c r="S10374" s="24"/>
      <c r="T10374" s="24"/>
      <c r="U10374" s="24"/>
      <c r="V10374" s="24"/>
      <c r="W10374" s="24"/>
      <c r="X10374" s="24"/>
      <c r="Y10374" s="24"/>
      <c r="Z10374" s="24"/>
      <c r="AA10374" s="24"/>
    </row>
    <row r="10375">
      <c r="A10375" s="24"/>
      <c r="B10375" s="25"/>
      <c r="C10375" s="24"/>
      <c r="D10375" s="26"/>
      <c r="E10375" s="24"/>
      <c r="F10375" s="24"/>
      <c r="G10375" s="24"/>
      <c r="H10375" s="24"/>
      <c r="I10375" s="24"/>
      <c r="J10375" s="24"/>
      <c r="K10375" s="24"/>
      <c r="L10375" s="24"/>
      <c r="M10375" s="24"/>
      <c r="N10375" s="24"/>
      <c r="O10375" s="24"/>
      <c r="P10375" s="24"/>
      <c r="Q10375" s="24"/>
      <c r="R10375" s="24"/>
      <c r="S10375" s="24"/>
      <c r="T10375" s="24"/>
      <c r="U10375" s="24"/>
      <c r="V10375" s="24"/>
      <c r="W10375" s="24"/>
      <c r="X10375" s="24"/>
      <c r="Y10375" s="24"/>
      <c r="Z10375" s="24"/>
      <c r="AA10375" s="24"/>
    </row>
    <row r="10376">
      <c r="A10376" s="24"/>
      <c r="B10376" s="25"/>
      <c r="C10376" s="24"/>
      <c r="D10376" s="26"/>
      <c r="E10376" s="24"/>
      <c r="F10376" s="24"/>
      <c r="G10376" s="24"/>
      <c r="H10376" s="24"/>
      <c r="I10376" s="24"/>
      <c r="J10376" s="24"/>
      <c r="K10376" s="24"/>
      <c r="L10376" s="24"/>
      <c r="M10376" s="24"/>
      <c r="N10376" s="24"/>
      <c r="O10376" s="24"/>
      <c r="P10376" s="24"/>
      <c r="Q10376" s="24"/>
      <c r="R10376" s="24"/>
      <c r="S10376" s="24"/>
      <c r="T10376" s="24"/>
      <c r="U10376" s="24"/>
      <c r="V10376" s="24"/>
      <c r="W10376" s="24"/>
      <c r="X10376" s="24"/>
      <c r="Y10376" s="24"/>
      <c r="Z10376" s="24"/>
      <c r="AA10376" s="24"/>
    </row>
    <row r="10377">
      <c r="A10377" s="24"/>
      <c r="B10377" s="25"/>
      <c r="C10377" s="24"/>
      <c r="D10377" s="26"/>
      <c r="E10377" s="24"/>
      <c r="F10377" s="24"/>
      <c r="G10377" s="24"/>
      <c r="H10377" s="24"/>
      <c r="I10377" s="24"/>
      <c r="J10377" s="24"/>
      <c r="K10377" s="24"/>
      <c r="L10377" s="24"/>
      <c r="M10377" s="24"/>
      <c r="N10377" s="24"/>
      <c r="O10377" s="24"/>
      <c r="P10377" s="24"/>
      <c r="Q10377" s="24"/>
      <c r="R10377" s="24"/>
      <c r="S10377" s="24"/>
      <c r="T10377" s="24"/>
      <c r="U10377" s="24"/>
      <c r="V10377" s="24"/>
      <c r="W10377" s="24"/>
      <c r="X10377" s="24"/>
      <c r="Y10377" s="24"/>
      <c r="Z10377" s="24"/>
      <c r="AA10377" s="24"/>
    </row>
    <row r="10378">
      <c r="A10378" s="24"/>
      <c r="B10378" s="25"/>
      <c r="C10378" s="24"/>
      <c r="D10378" s="26"/>
      <c r="E10378" s="24"/>
      <c r="F10378" s="24"/>
      <c r="G10378" s="24"/>
      <c r="H10378" s="24"/>
      <c r="I10378" s="24"/>
      <c r="J10378" s="24"/>
      <c r="K10378" s="24"/>
      <c r="L10378" s="24"/>
      <c r="M10378" s="24"/>
      <c r="N10378" s="24"/>
      <c r="O10378" s="24"/>
      <c r="P10378" s="24"/>
      <c r="Q10378" s="24"/>
      <c r="R10378" s="24"/>
      <c r="S10378" s="24"/>
      <c r="T10378" s="24"/>
      <c r="U10378" s="24"/>
      <c r="V10378" s="24"/>
      <c r="W10378" s="24"/>
      <c r="X10378" s="24"/>
      <c r="Y10378" s="24"/>
      <c r="Z10378" s="24"/>
      <c r="AA10378" s="24"/>
    </row>
    <row r="10379">
      <c r="A10379" s="24"/>
      <c r="B10379" s="25"/>
      <c r="C10379" s="24"/>
      <c r="D10379" s="26"/>
      <c r="E10379" s="24"/>
      <c r="F10379" s="24"/>
      <c r="G10379" s="24"/>
      <c r="H10379" s="24"/>
      <c r="I10379" s="24"/>
      <c r="J10379" s="24"/>
      <c r="K10379" s="24"/>
      <c r="L10379" s="24"/>
      <c r="M10379" s="24"/>
      <c r="N10379" s="24"/>
      <c r="O10379" s="24"/>
      <c r="P10379" s="24"/>
      <c r="Q10379" s="24"/>
      <c r="R10379" s="24"/>
      <c r="S10379" s="24"/>
      <c r="T10379" s="24"/>
      <c r="U10379" s="24"/>
      <c r="V10379" s="24"/>
      <c r="W10379" s="24"/>
      <c r="X10379" s="24"/>
      <c r="Y10379" s="24"/>
      <c r="Z10379" s="24"/>
      <c r="AA10379" s="24"/>
    </row>
    <row r="10380">
      <c r="A10380" s="24"/>
      <c r="B10380" s="25"/>
      <c r="C10380" s="24"/>
      <c r="D10380" s="26"/>
      <c r="E10380" s="24"/>
      <c r="F10380" s="24"/>
      <c r="G10380" s="24"/>
      <c r="H10380" s="24"/>
      <c r="I10380" s="24"/>
      <c r="J10380" s="24"/>
      <c r="K10380" s="24"/>
      <c r="L10380" s="24"/>
      <c r="M10380" s="24"/>
      <c r="N10380" s="24"/>
      <c r="O10380" s="24"/>
      <c r="P10380" s="24"/>
      <c r="Q10380" s="24"/>
      <c r="R10380" s="24"/>
      <c r="S10380" s="24"/>
      <c r="T10380" s="24"/>
      <c r="U10380" s="24"/>
      <c r="V10380" s="24"/>
      <c r="W10380" s="24"/>
      <c r="X10380" s="24"/>
      <c r="Y10380" s="24"/>
      <c r="Z10380" s="24"/>
      <c r="AA10380" s="24"/>
    </row>
    <row r="10381">
      <c r="A10381" s="24"/>
      <c r="B10381" s="25"/>
      <c r="C10381" s="24"/>
      <c r="D10381" s="26"/>
      <c r="E10381" s="24"/>
      <c r="F10381" s="24"/>
      <c r="G10381" s="24"/>
      <c r="H10381" s="24"/>
      <c r="I10381" s="24"/>
      <c r="J10381" s="24"/>
      <c r="K10381" s="24"/>
      <c r="L10381" s="24"/>
      <c r="M10381" s="24"/>
      <c r="N10381" s="24"/>
      <c r="O10381" s="24"/>
      <c r="P10381" s="24"/>
      <c r="Q10381" s="24"/>
      <c r="R10381" s="24"/>
      <c r="S10381" s="24"/>
      <c r="T10381" s="24"/>
      <c r="U10381" s="24"/>
      <c r="V10381" s="24"/>
      <c r="W10381" s="24"/>
      <c r="X10381" s="24"/>
      <c r="Y10381" s="24"/>
      <c r="Z10381" s="24"/>
      <c r="AA10381" s="24"/>
    </row>
    <row r="10382">
      <c r="A10382" s="24"/>
      <c r="B10382" s="25"/>
      <c r="C10382" s="24"/>
      <c r="D10382" s="26"/>
      <c r="E10382" s="24"/>
      <c r="F10382" s="24"/>
      <c r="G10382" s="24"/>
      <c r="H10382" s="24"/>
      <c r="I10382" s="24"/>
      <c r="J10382" s="24"/>
      <c r="K10382" s="24"/>
      <c r="L10382" s="24"/>
      <c r="M10382" s="24"/>
      <c r="N10382" s="24"/>
      <c r="O10382" s="24"/>
      <c r="P10382" s="24"/>
      <c r="Q10382" s="24"/>
      <c r="R10382" s="24"/>
      <c r="S10382" s="24"/>
      <c r="T10382" s="24"/>
      <c r="U10382" s="24"/>
      <c r="V10382" s="24"/>
      <c r="W10382" s="24"/>
      <c r="X10382" s="24"/>
      <c r="Y10382" s="24"/>
      <c r="Z10382" s="24"/>
      <c r="AA10382" s="24"/>
    </row>
    <row r="10383">
      <c r="A10383" s="24"/>
      <c r="B10383" s="25"/>
      <c r="C10383" s="24"/>
      <c r="D10383" s="26"/>
      <c r="E10383" s="24"/>
      <c r="F10383" s="24"/>
      <c r="G10383" s="24"/>
      <c r="H10383" s="24"/>
      <c r="I10383" s="24"/>
      <c r="J10383" s="24"/>
      <c r="K10383" s="24"/>
      <c r="L10383" s="24"/>
      <c r="M10383" s="24"/>
      <c r="N10383" s="24"/>
      <c r="O10383" s="24"/>
      <c r="P10383" s="24"/>
      <c r="Q10383" s="24"/>
      <c r="R10383" s="24"/>
      <c r="S10383" s="24"/>
      <c r="T10383" s="24"/>
      <c r="U10383" s="24"/>
      <c r="V10383" s="24"/>
      <c r="W10383" s="24"/>
      <c r="X10383" s="24"/>
      <c r="Y10383" s="24"/>
      <c r="Z10383" s="24"/>
      <c r="AA10383" s="24"/>
    </row>
    <row r="10384">
      <c r="A10384" s="24"/>
      <c r="B10384" s="25"/>
      <c r="C10384" s="24"/>
      <c r="D10384" s="26"/>
      <c r="E10384" s="24"/>
      <c r="F10384" s="24"/>
      <c r="G10384" s="24"/>
      <c r="H10384" s="24"/>
      <c r="I10384" s="24"/>
      <c r="J10384" s="24"/>
      <c r="K10384" s="24"/>
      <c r="L10384" s="24"/>
      <c r="M10384" s="24"/>
      <c r="N10384" s="24"/>
      <c r="O10384" s="24"/>
      <c r="P10384" s="24"/>
      <c r="Q10384" s="24"/>
      <c r="R10384" s="24"/>
      <c r="S10384" s="24"/>
      <c r="T10384" s="24"/>
      <c r="U10384" s="24"/>
      <c r="V10384" s="24"/>
      <c r="W10384" s="24"/>
      <c r="X10384" s="24"/>
      <c r="Y10384" s="24"/>
      <c r="Z10384" s="24"/>
      <c r="AA10384" s="24"/>
    </row>
    <row r="10385">
      <c r="A10385" s="24"/>
      <c r="B10385" s="25"/>
      <c r="C10385" s="24"/>
      <c r="D10385" s="26"/>
      <c r="E10385" s="24"/>
      <c r="F10385" s="24"/>
      <c r="G10385" s="24"/>
      <c r="H10385" s="24"/>
      <c r="I10385" s="24"/>
      <c r="J10385" s="24"/>
      <c r="K10385" s="24"/>
      <c r="L10385" s="24"/>
      <c r="M10385" s="24"/>
      <c r="N10385" s="24"/>
      <c r="O10385" s="24"/>
      <c r="P10385" s="24"/>
      <c r="Q10385" s="24"/>
      <c r="R10385" s="24"/>
      <c r="S10385" s="24"/>
      <c r="T10385" s="24"/>
      <c r="U10385" s="24"/>
      <c r="V10385" s="24"/>
      <c r="W10385" s="24"/>
      <c r="X10385" s="24"/>
      <c r="Y10385" s="24"/>
      <c r="Z10385" s="24"/>
      <c r="AA10385" s="24"/>
    </row>
    <row r="10386">
      <c r="A10386" s="24"/>
      <c r="B10386" s="25"/>
      <c r="C10386" s="24"/>
      <c r="D10386" s="26"/>
      <c r="E10386" s="24"/>
      <c r="F10386" s="24"/>
      <c r="G10386" s="24"/>
      <c r="H10386" s="24"/>
      <c r="I10386" s="24"/>
      <c r="J10386" s="24"/>
      <c r="K10386" s="24"/>
      <c r="L10386" s="24"/>
      <c r="M10386" s="24"/>
      <c r="N10386" s="24"/>
      <c r="O10386" s="24"/>
      <c r="P10386" s="24"/>
      <c r="Q10386" s="24"/>
      <c r="R10386" s="24"/>
      <c r="S10386" s="24"/>
      <c r="T10386" s="24"/>
      <c r="U10386" s="24"/>
      <c r="V10386" s="24"/>
      <c r="W10386" s="24"/>
      <c r="X10386" s="24"/>
      <c r="Y10386" s="24"/>
      <c r="Z10386" s="24"/>
      <c r="AA10386" s="24"/>
    </row>
    <row r="10387">
      <c r="A10387" s="24"/>
      <c r="B10387" s="25"/>
      <c r="C10387" s="24"/>
      <c r="D10387" s="26"/>
      <c r="E10387" s="24"/>
      <c r="F10387" s="24"/>
      <c r="G10387" s="24"/>
      <c r="H10387" s="24"/>
      <c r="I10387" s="24"/>
      <c r="J10387" s="24"/>
      <c r="K10387" s="24"/>
      <c r="L10387" s="24"/>
      <c r="M10387" s="24"/>
      <c r="N10387" s="24"/>
      <c r="O10387" s="24"/>
      <c r="P10387" s="24"/>
      <c r="Q10387" s="24"/>
      <c r="R10387" s="24"/>
      <c r="S10387" s="24"/>
      <c r="T10387" s="24"/>
      <c r="U10387" s="24"/>
      <c r="V10387" s="24"/>
      <c r="W10387" s="24"/>
      <c r="X10387" s="24"/>
      <c r="Y10387" s="24"/>
      <c r="Z10387" s="24"/>
      <c r="AA10387" s="24"/>
    </row>
    <row r="10388">
      <c r="A10388" s="24"/>
      <c r="B10388" s="25"/>
      <c r="C10388" s="24"/>
      <c r="D10388" s="26"/>
      <c r="E10388" s="24"/>
      <c r="F10388" s="24"/>
      <c r="G10388" s="24"/>
      <c r="H10388" s="24"/>
      <c r="I10388" s="24"/>
      <c r="J10388" s="24"/>
      <c r="K10388" s="24"/>
      <c r="L10388" s="24"/>
      <c r="M10388" s="24"/>
      <c r="N10388" s="24"/>
      <c r="O10388" s="24"/>
      <c r="P10388" s="24"/>
      <c r="Q10388" s="24"/>
      <c r="R10388" s="24"/>
      <c r="S10388" s="24"/>
      <c r="T10388" s="24"/>
      <c r="U10388" s="24"/>
      <c r="V10388" s="24"/>
      <c r="W10388" s="24"/>
      <c r="X10388" s="24"/>
      <c r="Y10388" s="24"/>
      <c r="Z10388" s="24"/>
      <c r="AA10388" s="24"/>
    </row>
    <row r="10389">
      <c r="A10389" s="24"/>
      <c r="B10389" s="25"/>
      <c r="C10389" s="24"/>
      <c r="D10389" s="26"/>
      <c r="E10389" s="24"/>
      <c r="F10389" s="24"/>
      <c r="G10389" s="24"/>
      <c r="H10389" s="24"/>
      <c r="I10389" s="24"/>
      <c r="J10389" s="24"/>
      <c r="K10389" s="24"/>
      <c r="L10389" s="24"/>
      <c r="M10389" s="24"/>
      <c r="N10389" s="24"/>
      <c r="O10389" s="24"/>
      <c r="P10389" s="24"/>
      <c r="Q10389" s="24"/>
      <c r="R10389" s="24"/>
      <c r="S10389" s="24"/>
      <c r="T10389" s="24"/>
      <c r="U10389" s="24"/>
      <c r="V10389" s="24"/>
      <c r="W10389" s="24"/>
      <c r="X10389" s="24"/>
      <c r="Y10389" s="24"/>
      <c r="Z10389" s="24"/>
      <c r="AA10389" s="24"/>
    </row>
    <row r="10390">
      <c r="A10390" s="24"/>
      <c r="B10390" s="25"/>
      <c r="C10390" s="24"/>
      <c r="D10390" s="26"/>
      <c r="E10390" s="24"/>
      <c r="F10390" s="24"/>
      <c r="G10390" s="24"/>
      <c r="H10390" s="24"/>
      <c r="I10390" s="24"/>
      <c r="J10390" s="24"/>
      <c r="K10390" s="24"/>
      <c r="L10390" s="24"/>
      <c r="M10390" s="24"/>
      <c r="N10390" s="24"/>
      <c r="O10390" s="24"/>
      <c r="P10390" s="24"/>
      <c r="Q10390" s="24"/>
      <c r="R10390" s="24"/>
      <c r="S10390" s="24"/>
      <c r="T10390" s="24"/>
      <c r="U10390" s="24"/>
      <c r="V10390" s="24"/>
      <c r="W10390" s="24"/>
      <c r="X10390" s="24"/>
      <c r="Y10390" s="24"/>
      <c r="Z10390" s="24"/>
      <c r="AA10390" s="24"/>
    </row>
    <row r="10391">
      <c r="A10391" s="24"/>
      <c r="B10391" s="25"/>
      <c r="C10391" s="24"/>
      <c r="D10391" s="26"/>
      <c r="E10391" s="24"/>
      <c r="F10391" s="24"/>
      <c r="G10391" s="24"/>
      <c r="H10391" s="24"/>
      <c r="I10391" s="24"/>
      <c r="J10391" s="24"/>
      <c r="K10391" s="24"/>
      <c r="L10391" s="24"/>
      <c r="M10391" s="24"/>
      <c r="N10391" s="24"/>
      <c r="O10391" s="24"/>
      <c r="P10391" s="24"/>
      <c r="Q10391" s="24"/>
      <c r="R10391" s="24"/>
      <c r="S10391" s="24"/>
      <c r="T10391" s="24"/>
      <c r="U10391" s="24"/>
      <c r="V10391" s="24"/>
      <c r="W10391" s="24"/>
      <c r="X10391" s="24"/>
      <c r="Y10391" s="24"/>
      <c r="Z10391" s="24"/>
      <c r="AA10391" s="24"/>
    </row>
    <row r="10392">
      <c r="A10392" s="24"/>
      <c r="B10392" s="25"/>
      <c r="C10392" s="24"/>
      <c r="D10392" s="26"/>
      <c r="E10392" s="24"/>
      <c r="F10392" s="24"/>
      <c r="G10392" s="24"/>
      <c r="H10392" s="24"/>
      <c r="I10392" s="24"/>
      <c r="J10392" s="24"/>
      <c r="K10392" s="24"/>
      <c r="L10392" s="24"/>
      <c r="M10392" s="24"/>
      <c r="N10392" s="24"/>
      <c r="O10392" s="24"/>
      <c r="P10392" s="24"/>
      <c r="Q10392" s="24"/>
      <c r="R10392" s="24"/>
      <c r="S10392" s="24"/>
      <c r="T10392" s="24"/>
      <c r="U10392" s="24"/>
      <c r="V10392" s="24"/>
      <c r="W10392" s="24"/>
      <c r="X10392" s="24"/>
      <c r="Y10392" s="24"/>
      <c r="Z10392" s="24"/>
      <c r="AA10392" s="24"/>
    </row>
    <row r="10393">
      <c r="A10393" s="24"/>
      <c r="B10393" s="25"/>
      <c r="C10393" s="24"/>
      <c r="D10393" s="26"/>
      <c r="E10393" s="24"/>
      <c r="F10393" s="24"/>
      <c r="G10393" s="24"/>
      <c r="H10393" s="24"/>
      <c r="I10393" s="24"/>
      <c r="J10393" s="24"/>
      <c r="K10393" s="24"/>
      <c r="L10393" s="24"/>
      <c r="M10393" s="24"/>
      <c r="N10393" s="24"/>
      <c r="O10393" s="24"/>
      <c r="P10393" s="24"/>
      <c r="Q10393" s="24"/>
      <c r="R10393" s="24"/>
      <c r="S10393" s="24"/>
      <c r="T10393" s="24"/>
      <c r="U10393" s="24"/>
      <c r="V10393" s="24"/>
      <c r="W10393" s="24"/>
      <c r="X10393" s="24"/>
      <c r="Y10393" s="24"/>
      <c r="Z10393" s="24"/>
      <c r="AA10393" s="24"/>
    </row>
    <row r="10394">
      <c r="A10394" s="24"/>
      <c r="B10394" s="25"/>
      <c r="C10394" s="24"/>
      <c r="D10394" s="26"/>
      <c r="E10394" s="24"/>
      <c r="F10394" s="24"/>
      <c r="G10394" s="24"/>
      <c r="H10394" s="24"/>
      <c r="I10394" s="24"/>
      <c r="J10394" s="24"/>
      <c r="K10394" s="24"/>
      <c r="L10394" s="24"/>
      <c r="M10394" s="24"/>
      <c r="N10394" s="24"/>
      <c r="O10394" s="24"/>
      <c r="P10394" s="24"/>
      <c r="Q10394" s="24"/>
      <c r="R10394" s="24"/>
      <c r="S10394" s="24"/>
      <c r="T10394" s="24"/>
      <c r="U10394" s="24"/>
      <c r="V10394" s="24"/>
      <c r="W10394" s="24"/>
      <c r="X10394" s="24"/>
      <c r="Y10394" s="24"/>
      <c r="Z10394" s="24"/>
      <c r="AA10394" s="24"/>
    </row>
    <row r="10395">
      <c r="A10395" s="24"/>
      <c r="B10395" s="25"/>
      <c r="C10395" s="24"/>
      <c r="D10395" s="26"/>
      <c r="E10395" s="24"/>
      <c r="F10395" s="24"/>
      <c r="G10395" s="24"/>
      <c r="H10395" s="24"/>
      <c r="I10395" s="24"/>
      <c r="J10395" s="24"/>
      <c r="K10395" s="24"/>
      <c r="L10395" s="24"/>
      <c r="M10395" s="24"/>
      <c r="N10395" s="24"/>
      <c r="O10395" s="24"/>
      <c r="P10395" s="24"/>
      <c r="Q10395" s="24"/>
      <c r="R10395" s="24"/>
      <c r="S10395" s="24"/>
      <c r="T10395" s="24"/>
      <c r="U10395" s="24"/>
      <c r="V10395" s="24"/>
      <c r="W10395" s="24"/>
      <c r="X10395" s="24"/>
      <c r="Y10395" s="24"/>
      <c r="Z10395" s="24"/>
      <c r="AA10395" s="24"/>
    </row>
    <row r="10396">
      <c r="A10396" s="24"/>
      <c r="B10396" s="25"/>
      <c r="C10396" s="24"/>
      <c r="D10396" s="26"/>
      <c r="E10396" s="24"/>
      <c r="F10396" s="24"/>
      <c r="G10396" s="24"/>
      <c r="H10396" s="24"/>
      <c r="I10396" s="24"/>
      <c r="J10396" s="24"/>
      <c r="K10396" s="24"/>
      <c r="L10396" s="24"/>
      <c r="M10396" s="24"/>
      <c r="N10396" s="24"/>
      <c r="O10396" s="24"/>
      <c r="P10396" s="24"/>
      <c r="Q10396" s="24"/>
      <c r="R10396" s="24"/>
      <c r="S10396" s="24"/>
      <c r="T10396" s="24"/>
      <c r="U10396" s="24"/>
      <c r="V10396" s="24"/>
      <c r="W10396" s="24"/>
      <c r="X10396" s="24"/>
      <c r="Y10396" s="24"/>
      <c r="Z10396" s="24"/>
      <c r="AA10396" s="24"/>
    </row>
    <row r="10397">
      <c r="A10397" s="24"/>
      <c r="B10397" s="25"/>
      <c r="C10397" s="24"/>
      <c r="D10397" s="26"/>
      <c r="E10397" s="24"/>
      <c r="F10397" s="24"/>
      <c r="G10397" s="24"/>
      <c r="H10397" s="24"/>
      <c r="I10397" s="24"/>
      <c r="J10397" s="24"/>
      <c r="K10397" s="24"/>
      <c r="L10397" s="24"/>
      <c r="M10397" s="24"/>
      <c r="N10397" s="24"/>
      <c r="O10397" s="24"/>
      <c r="P10397" s="24"/>
      <c r="Q10397" s="24"/>
      <c r="R10397" s="24"/>
      <c r="S10397" s="24"/>
      <c r="T10397" s="24"/>
      <c r="U10397" s="24"/>
      <c r="V10397" s="24"/>
      <c r="W10397" s="24"/>
      <c r="X10397" s="24"/>
      <c r="Y10397" s="24"/>
      <c r="Z10397" s="24"/>
      <c r="AA10397" s="24"/>
    </row>
    <row r="10398">
      <c r="A10398" s="24"/>
      <c r="B10398" s="25"/>
      <c r="C10398" s="24"/>
      <c r="D10398" s="26"/>
      <c r="E10398" s="24"/>
      <c r="F10398" s="24"/>
      <c r="G10398" s="24"/>
      <c r="H10398" s="24"/>
      <c r="I10398" s="24"/>
      <c r="J10398" s="24"/>
      <c r="K10398" s="24"/>
      <c r="L10398" s="24"/>
      <c r="M10398" s="24"/>
      <c r="N10398" s="24"/>
      <c r="O10398" s="24"/>
      <c r="P10398" s="24"/>
      <c r="Q10398" s="24"/>
      <c r="R10398" s="24"/>
      <c r="S10398" s="24"/>
      <c r="T10398" s="24"/>
      <c r="U10398" s="24"/>
      <c r="V10398" s="24"/>
      <c r="W10398" s="24"/>
      <c r="X10398" s="24"/>
      <c r="Y10398" s="24"/>
      <c r="Z10398" s="24"/>
      <c r="AA10398" s="24"/>
    </row>
    <row r="10399">
      <c r="A10399" s="24"/>
      <c r="B10399" s="25"/>
      <c r="C10399" s="24"/>
      <c r="D10399" s="26"/>
      <c r="E10399" s="24"/>
      <c r="F10399" s="24"/>
      <c r="G10399" s="24"/>
      <c r="H10399" s="24"/>
      <c r="I10399" s="24"/>
      <c r="J10399" s="24"/>
      <c r="K10399" s="24"/>
      <c r="L10399" s="24"/>
      <c r="M10399" s="24"/>
      <c r="N10399" s="24"/>
      <c r="O10399" s="24"/>
      <c r="P10399" s="24"/>
      <c r="Q10399" s="24"/>
      <c r="R10399" s="24"/>
      <c r="S10399" s="24"/>
      <c r="T10399" s="24"/>
      <c r="U10399" s="24"/>
      <c r="V10399" s="24"/>
      <c r="W10399" s="24"/>
      <c r="X10399" s="24"/>
      <c r="Y10399" s="24"/>
      <c r="Z10399" s="24"/>
      <c r="AA10399" s="24"/>
    </row>
    <row r="10400">
      <c r="A10400" s="24"/>
      <c r="B10400" s="25"/>
      <c r="C10400" s="24"/>
      <c r="D10400" s="26"/>
      <c r="E10400" s="24"/>
      <c r="F10400" s="24"/>
      <c r="G10400" s="24"/>
      <c r="H10400" s="24"/>
      <c r="I10400" s="24"/>
      <c r="J10400" s="24"/>
      <c r="K10400" s="24"/>
      <c r="L10400" s="24"/>
      <c r="M10400" s="24"/>
      <c r="N10400" s="24"/>
      <c r="O10400" s="24"/>
      <c r="P10400" s="24"/>
      <c r="Q10400" s="24"/>
      <c r="R10400" s="24"/>
      <c r="S10400" s="24"/>
      <c r="T10400" s="24"/>
      <c r="U10400" s="24"/>
      <c r="V10400" s="24"/>
      <c r="W10400" s="24"/>
      <c r="X10400" s="24"/>
      <c r="Y10400" s="24"/>
      <c r="Z10400" s="24"/>
      <c r="AA10400" s="24"/>
    </row>
    <row r="10401">
      <c r="A10401" s="24"/>
      <c r="B10401" s="25"/>
      <c r="C10401" s="24"/>
      <c r="D10401" s="26"/>
      <c r="E10401" s="24"/>
      <c r="F10401" s="24"/>
      <c r="G10401" s="24"/>
      <c r="H10401" s="24"/>
      <c r="I10401" s="24"/>
      <c r="J10401" s="24"/>
      <c r="K10401" s="24"/>
      <c r="L10401" s="24"/>
      <c r="M10401" s="24"/>
      <c r="N10401" s="24"/>
      <c r="O10401" s="24"/>
      <c r="P10401" s="24"/>
      <c r="Q10401" s="24"/>
      <c r="R10401" s="24"/>
      <c r="S10401" s="24"/>
      <c r="T10401" s="24"/>
      <c r="U10401" s="24"/>
      <c r="V10401" s="24"/>
      <c r="W10401" s="24"/>
      <c r="X10401" s="24"/>
      <c r="Y10401" s="24"/>
      <c r="Z10401" s="24"/>
      <c r="AA10401" s="24"/>
    </row>
    <row r="10402">
      <c r="A10402" s="24"/>
      <c r="B10402" s="25"/>
      <c r="C10402" s="24"/>
      <c r="D10402" s="26"/>
      <c r="E10402" s="24"/>
      <c r="F10402" s="24"/>
      <c r="G10402" s="24"/>
      <c r="H10402" s="24"/>
      <c r="I10402" s="24"/>
      <c r="J10402" s="24"/>
      <c r="K10402" s="24"/>
      <c r="L10402" s="24"/>
      <c r="M10402" s="24"/>
      <c r="N10402" s="24"/>
      <c r="O10402" s="24"/>
      <c r="P10402" s="24"/>
      <c r="Q10402" s="24"/>
      <c r="R10402" s="24"/>
      <c r="S10402" s="24"/>
      <c r="T10402" s="24"/>
      <c r="U10402" s="24"/>
      <c r="V10402" s="24"/>
      <c r="W10402" s="24"/>
      <c r="X10402" s="24"/>
      <c r="Y10402" s="24"/>
      <c r="Z10402" s="24"/>
      <c r="AA10402" s="24"/>
    </row>
    <row r="10403">
      <c r="A10403" s="24"/>
      <c r="B10403" s="25"/>
      <c r="C10403" s="24"/>
      <c r="D10403" s="26"/>
      <c r="E10403" s="24"/>
      <c r="F10403" s="24"/>
      <c r="G10403" s="24"/>
      <c r="H10403" s="24"/>
      <c r="I10403" s="24"/>
      <c r="J10403" s="24"/>
      <c r="K10403" s="24"/>
      <c r="L10403" s="24"/>
      <c r="M10403" s="24"/>
      <c r="N10403" s="24"/>
      <c r="O10403" s="24"/>
      <c r="P10403" s="24"/>
      <c r="Q10403" s="24"/>
      <c r="R10403" s="24"/>
      <c r="S10403" s="24"/>
      <c r="T10403" s="24"/>
      <c r="U10403" s="24"/>
      <c r="V10403" s="24"/>
      <c r="W10403" s="24"/>
      <c r="X10403" s="24"/>
      <c r="Y10403" s="24"/>
      <c r="Z10403" s="24"/>
      <c r="AA10403" s="24"/>
    </row>
    <row r="10404">
      <c r="A10404" s="24"/>
      <c r="B10404" s="25"/>
      <c r="C10404" s="24"/>
      <c r="D10404" s="26"/>
      <c r="E10404" s="24"/>
      <c r="F10404" s="24"/>
      <c r="G10404" s="24"/>
      <c r="H10404" s="24"/>
      <c r="I10404" s="24"/>
      <c r="J10404" s="24"/>
      <c r="K10404" s="24"/>
      <c r="L10404" s="24"/>
      <c r="M10404" s="24"/>
      <c r="N10404" s="24"/>
      <c r="O10404" s="24"/>
      <c r="P10404" s="24"/>
      <c r="Q10404" s="24"/>
      <c r="R10404" s="24"/>
      <c r="S10404" s="24"/>
      <c r="T10404" s="24"/>
      <c r="U10404" s="24"/>
      <c r="V10404" s="24"/>
      <c r="W10404" s="24"/>
      <c r="X10404" s="24"/>
      <c r="Y10404" s="24"/>
      <c r="Z10404" s="24"/>
      <c r="AA10404" s="24"/>
    </row>
    <row r="10405">
      <c r="A10405" s="24"/>
      <c r="B10405" s="25"/>
      <c r="C10405" s="24"/>
      <c r="D10405" s="26"/>
      <c r="E10405" s="24"/>
      <c r="F10405" s="24"/>
      <c r="G10405" s="24"/>
      <c r="H10405" s="24"/>
      <c r="I10405" s="24"/>
      <c r="J10405" s="24"/>
      <c r="K10405" s="24"/>
      <c r="L10405" s="24"/>
      <c r="M10405" s="24"/>
      <c r="N10405" s="24"/>
      <c r="O10405" s="24"/>
      <c r="P10405" s="24"/>
      <c r="Q10405" s="24"/>
      <c r="R10405" s="24"/>
      <c r="S10405" s="24"/>
      <c r="T10405" s="24"/>
      <c r="U10405" s="24"/>
      <c r="V10405" s="24"/>
      <c r="W10405" s="24"/>
      <c r="X10405" s="24"/>
      <c r="Y10405" s="24"/>
      <c r="Z10405" s="24"/>
      <c r="AA10405" s="24"/>
    </row>
    <row r="10406">
      <c r="A10406" s="24"/>
      <c r="B10406" s="25"/>
      <c r="C10406" s="24"/>
      <c r="D10406" s="26"/>
      <c r="E10406" s="24"/>
      <c r="F10406" s="24"/>
      <c r="G10406" s="24"/>
      <c r="H10406" s="24"/>
      <c r="I10406" s="24"/>
      <c r="J10406" s="24"/>
      <c r="K10406" s="24"/>
      <c r="L10406" s="24"/>
      <c r="M10406" s="24"/>
      <c r="N10406" s="24"/>
      <c r="O10406" s="24"/>
      <c r="P10406" s="24"/>
      <c r="Q10406" s="24"/>
      <c r="R10406" s="24"/>
      <c r="S10406" s="24"/>
      <c r="T10406" s="24"/>
      <c r="U10406" s="24"/>
      <c r="V10406" s="24"/>
      <c r="W10406" s="24"/>
      <c r="X10406" s="24"/>
      <c r="Y10406" s="24"/>
      <c r="Z10406" s="24"/>
      <c r="AA10406" s="24"/>
    </row>
    <row r="10407">
      <c r="A10407" s="24"/>
      <c r="B10407" s="25"/>
      <c r="C10407" s="24"/>
      <c r="D10407" s="26"/>
      <c r="E10407" s="24"/>
      <c r="F10407" s="24"/>
      <c r="G10407" s="24"/>
      <c r="H10407" s="24"/>
      <c r="I10407" s="24"/>
      <c r="J10407" s="24"/>
      <c r="K10407" s="24"/>
      <c r="L10407" s="24"/>
      <c r="M10407" s="24"/>
      <c r="N10407" s="24"/>
      <c r="O10407" s="24"/>
      <c r="P10407" s="24"/>
      <c r="Q10407" s="24"/>
      <c r="R10407" s="24"/>
      <c r="S10407" s="24"/>
      <c r="T10407" s="24"/>
      <c r="U10407" s="24"/>
      <c r="V10407" s="24"/>
      <c r="W10407" s="24"/>
      <c r="X10407" s="24"/>
      <c r="Y10407" s="24"/>
      <c r="Z10407" s="24"/>
      <c r="AA10407" s="24"/>
    </row>
    <row r="10408">
      <c r="A10408" s="24"/>
      <c r="B10408" s="25"/>
      <c r="C10408" s="24"/>
      <c r="D10408" s="26"/>
      <c r="E10408" s="24"/>
      <c r="F10408" s="24"/>
      <c r="G10408" s="24"/>
      <c r="H10408" s="24"/>
      <c r="I10408" s="24"/>
      <c r="J10408" s="24"/>
      <c r="K10408" s="24"/>
      <c r="L10408" s="24"/>
      <c r="M10408" s="24"/>
      <c r="N10408" s="24"/>
      <c r="O10408" s="24"/>
      <c r="P10408" s="24"/>
      <c r="Q10408" s="24"/>
      <c r="R10408" s="24"/>
      <c r="S10408" s="24"/>
      <c r="T10408" s="24"/>
      <c r="U10408" s="24"/>
      <c r="V10408" s="24"/>
      <c r="W10408" s="24"/>
      <c r="X10408" s="24"/>
      <c r="Y10408" s="24"/>
      <c r="Z10408" s="24"/>
      <c r="AA10408" s="24"/>
    </row>
    <row r="10409">
      <c r="A10409" s="24"/>
      <c r="B10409" s="25"/>
      <c r="C10409" s="24"/>
      <c r="D10409" s="26"/>
      <c r="E10409" s="24"/>
      <c r="F10409" s="24"/>
      <c r="G10409" s="24"/>
      <c r="H10409" s="24"/>
      <c r="I10409" s="24"/>
      <c r="J10409" s="24"/>
      <c r="K10409" s="24"/>
      <c r="L10409" s="24"/>
      <c r="M10409" s="24"/>
      <c r="N10409" s="24"/>
      <c r="O10409" s="24"/>
      <c r="P10409" s="24"/>
      <c r="Q10409" s="24"/>
      <c r="R10409" s="24"/>
      <c r="S10409" s="24"/>
      <c r="T10409" s="24"/>
      <c r="U10409" s="24"/>
      <c r="V10409" s="24"/>
      <c r="W10409" s="24"/>
      <c r="X10409" s="24"/>
      <c r="Y10409" s="24"/>
      <c r="Z10409" s="24"/>
      <c r="AA10409" s="24"/>
    </row>
    <row r="10410">
      <c r="A10410" s="24"/>
      <c r="B10410" s="25"/>
      <c r="C10410" s="24"/>
      <c r="D10410" s="26"/>
      <c r="E10410" s="24"/>
      <c r="F10410" s="24"/>
      <c r="G10410" s="24"/>
      <c r="H10410" s="24"/>
      <c r="I10410" s="24"/>
      <c r="J10410" s="24"/>
      <c r="K10410" s="24"/>
      <c r="L10410" s="24"/>
      <c r="M10410" s="24"/>
      <c r="N10410" s="24"/>
      <c r="O10410" s="24"/>
      <c r="P10410" s="24"/>
      <c r="Q10410" s="24"/>
      <c r="R10410" s="24"/>
      <c r="S10410" s="24"/>
      <c r="T10410" s="24"/>
      <c r="U10410" s="24"/>
      <c r="V10410" s="24"/>
      <c r="W10410" s="24"/>
      <c r="X10410" s="24"/>
      <c r="Y10410" s="24"/>
      <c r="Z10410" s="24"/>
      <c r="AA10410" s="24"/>
    </row>
    <row r="10411">
      <c r="A10411" s="24"/>
      <c r="B10411" s="25"/>
      <c r="C10411" s="24"/>
      <c r="D10411" s="26"/>
      <c r="E10411" s="24"/>
      <c r="F10411" s="24"/>
      <c r="G10411" s="24"/>
      <c r="H10411" s="24"/>
      <c r="I10411" s="24"/>
      <c r="J10411" s="24"/>
      <c r="K10411" s="24"/>
      <c r="L10411" s="24"/>
      <c r="M10411" s="24"/>
      <c r="N10411" s="24"/>
      <c r="O10411" s="24"/>
      <c r="P10411" s="24"/>
      <c r="Q10411" s="24"/>
      <c r="R10411" s="24"/>
      <c r="S10411" s="24"/>
      <c r="T10411" s="24"/>
      <c r="U10411" s="24"/>
      <c r="V10411" s="24"/>
      <c r="W10411" s="24"/>
      <c r="X10411" s="24"/>
      <c r="Y10411" s="24"/>
      <c r="Z10411" s="24"/>
      <c r="AA10411" s="24"/>
    </row>
    <row r="10412">
      <c r="A10412" s="24"/>
      <c r="B10412" s="25"/>
      <c r="C10412" s="24"/>
      <c r="D10412" s="26"/>
      <c r="E10412" s="24"/>
      <c r="F10412" s="24"/>
      <c r="G10412" s="24"/>
      <c r="H10412" s="24"/>
      <c r="I10412" s="24"/>
      <c r="J10412" s="24"/>
      <c r="K10412" s="24"/>
      <c r="L10412" s="24"/>
      <c r="M10412" s="24"/>
      <c r="N10412" s="24"/>
      <c r="O10412" s="24"/>
      <c r="P10412" s="24"/>
      <c r="Q10412" s="24"/>
      <c r="R10412" s="24"/>
      <c r="S10412" s="24"/>
      <c r="T10412" s="24"/>
      <c r="U10412" s="24"/>
      <c r="V10412" s="24"/>
      <c r="W10412" s="24"/>
      <c r="X10412" s="24"/>
      <c r="Y10412" s="24"/>
      <c r="Z10412" s="24"/>
      <c r="AA10412" s="24"/>
    </row>
    <row r="10413">
      <c r="A10413" s="24"/>
      <c r="B10413" s="25"/>
      <c r="C10413" s="24"/>
      <c r="D10413" s="26"/>
      <c r="E10413" s="24"/>
      <c r="F10413" s="24"/>
      <c r="G10413" s="24"/>
      <c r="H10413" s="24"/>
      <c r="I10413" s="24"/>
      <c r="J10413" s="24"/>
      <c r="K10413" s="24"/>
      <c r="L10413" s="24"/>
      <c r="M10413" s="24"/>
      <c r="N10413" s="24"/>
      <c r="O10413" s="24"/>
      <c r="P10413" s="24"/>
      <c r="Q10413" s="24"/>
      <c r="R10413" s="24"/>
      <c r="S10413" s="24"/>
      <c r="T10413" s="24"/>
      <c r="U10413" s="24"/>
      <c r="V10413" s="24"/>
      <c r="W10413" s="24"/>
      <c r="X10413" s="24"/>
      <c r="Y10413" s="24"/>
      <c r="Z10413" s="24"/>
      <c r="AA10413" s="24"/>
    </row>
    <row r="10414">
      <c r="A10414" s="24"/>
      <c r="B10414" s="25"/>
      <c r="C10414" s="24"/>
      <c r="D10414" s="26"/>
      <c r="E10414" s="24"/>
      <c r="F10414" s="24"/>
      <c r="G10414" s="24"/>
      <c r="H10414" s="24"/>
      <c r="I10414" s="24"/>
      <c r="J10414" s="24"/>
      <c r="K10414" s="24"/>
      <c r="L10414" s="24"/>
      <c r="M10414" s="24"/>
      <c r="N10414" s="24"/>
      <c r="O10414" s="24"/>
      <c r="P10414" s="24"/>
      <c r="Q10414" s="24"/>
      <c r="R10414" s="24"/>
      <c r="S10414" s="24"/>
      <c r="T10414" s="24"/>
      <c r="U10414" s="24"/>
      <c r="V10414" s="24"/>
      <c r="W10414" s="24"/>
      <c r="X10414" s="24"/>
      <c r="Y10414" s="24"/>
      <c r="Z10414" s="24"/>
      <c r="AA10414" s="24"/>
    </row>
    <row r="10415">
      <c r="A10415" s="24"/>
      <c r="B10415" s="25"/>
      <c r="C10415" s="24"/>
      <c r="D10415" s="26"/>
      <c r="E10415" s="24"/>
      <c r="F10415" s="24"/>
      <c r="G10415" s="24"/>
      <c r="H10415" s="24"/>
      <c r="I10415" s="24"/>
      <c r="J10415" s="24"/>
      <c r="K10415" s="24"/>
      <c r="L10415" s="24"/>
      <c r="M10415" s="24"/>
      <c r="N10415" s="24"/>
      <c r="O10415" s="24"/>
      <c r="P10415" s="24"/>
      <c r="Q10415" s="24"/>
      <c r="R10415" s="24"/>
      <c r="S10415" s="24"/>
      <c r="T10415" s="24"/>
      <c r="U10415" s="24"/>
      <c r="V10415" s="24"/>
      <c r="W10415" s="24"/>
      <c r="X10415" s="24"/>
      <c r="Y10415" s="24"/>
      <c r="Z10415" s="24"/>
      <c r="AA10415" s="24"/>
    </row>
    <row r="10416">
      <c r="A10416" s="24"/>
      <c r="B10416" s="25"/>
      <c r="C10416" s="24"/>
      <c r="D10416" s="26"/>
      <c r="E10416" s="24"/>
      <c r="F10416" s="24"/>
      <c r="G10416" s="24"/>
      <c r="H10416" s="24"/>
      <c r="I10416" s="24"/>
      <c r="J10416" s="24"/>
      <c r="K10416" s="24"/>
      <c r="L10416" s="24"/>
      <c r="M10416" s="24"/>
      <c r="N10416" s="24"/>
      <c r="O10416" s="24"/>
      <c r="P10416" s="24"/>
      <c r="Q10416" s="24"/>
      <c r="R10416" s="24"/>
      <c r="S10416" s="24"/>
      <c r="T10416" s="24"/>
      <c r="U10416" s="24"/>
      <c r="V10416" s="24"/>
      <c r="W10416" s="24"/>
      <c r="X10416" s="24"/>
      <c r="Y10416" s="24"/>
      <c r="Z10416" s="24"/>
      <c r="AA10416" s="24"/>
    </row>
    <row r="10417">
      <c r="A10417" s="24"/>
      <c r="B10417" s="25"/>
      <c r="C10417" s="24"/>
      <c r="D10417" s="26"/>
      <c r="E10417" s="24"/>
      <c r="F10417" s="24"/>
      <c r="G10417" s="24"/>
      <c r="H10417" s="24"/>
      <c r="I10417" s="24"/>
      <c r="J10417" s="24"/>
      <c r="K10417" s="24"/>
      <c r="L10417" s="24"/>
      <c r="M10417" s="24"/>
      <c r="N10417" s="24"/>
      <c r="O10417" s="24"/>
      <c r="P10417" s="24"/>
      <c r="Q10417" s="24"/>
      <c r="R10417" s="24"/>
      <c r="S10417" s="24"/>
      <c r="T10417" s="24"/>
      <c r="U10417" s="24"/>
      <c r="V10417" s="24"/>
      <c r="W10417" s="24"/>
      <c r="X10417" s="24"/>
      <c r="Y10417" s="24"/>
      <c r="Z10417" s="24"/>
      <c r="AA10417" s="24"/>
    </row>
    <row r="10418">
      <c r="A10418" s="24"/>
      <c r="B10418" s="25"/>
      <c r="C10418" s="24"/>
      <c r="D10418" s="26"/>
      <c r="E10418" s="24"/>
      <c r="F10418" s="24"/>
      <c r="G10418" s="24"/>
      <c r="H10418" s="24"/>
      <c r="I10418" s="24"/>
      <c r="J10418" s="24"/>
      <c r="K10418" s="24"/>
      <c r="L10418" s="24"/>
      <c r="M10418" s="24"/>
      <c r="N10418" s="24"/>
      <c r="O10418" s="24"/>
      <c r="P10418" s="24"/>
      <c r="Q10418" s="24"/>
      <c r="R10418" s="24"/>
      <c r="S10418" s="24"/>
      <c r="T10418" s="24"/>
      <c r="U10418" s="24"/>
      <c r="V10418" s="24"/>
      <c r="W10418" s="24"/>
      <c r="X10418" s="24"/>
      <c r="Y10418" s="24"/>
      <c r="Z10418" s="24"/>
      <c r="AA10418" s="24"/>
    </row>
    <row r="10419">
      <c r="A10419" s="24"/>
      <c r="B10419" s="25"/>
      <c r="C10419" s="24"/>
      <c r="D10419" s="26"/>
      <c r="E10419" s="24"/>
      <c r="F10419" s="24"/>
      <c r="G10419" s="24"/>
      <c r="H10419" s="24"/>
      <c r="I10419" s="24"/>
      <c r="J10419" s="24"/>
      <c r="K10419" s="24"/>
      <c r="L10419" s="24"/>
      <c r="M10419" s="24"/>
      <c r="N10419" s="24"/>
      <c r="O10419" s="24"/>
      <c r="P10419" s="24"/>
      <c r="Q10419" s="24"/>
      <c r="R10419" s="24"/>
      <c r="S10419" s="24"/>
      <c r="T10419" s="24"/>
      <c r="U10419" s="24"/>
      <c r="V10419" s="24"/>
      <c r="W10419" s="24"/>
      <c r="X10419" s="24"/>
      <c r="Y10419" s="24"/>
      <c r="Z10419" s="24"/>
      <c r="AA10419" s="24"/>
    </row>
    <row r="10420">
      <c r="A10420" s="24"/>
      <c r="B10420" s="25"/>
      <c r="C10420" s="24"/>
      <c r="D10420" s="26"/>
      <c r="E10420" s="24"/>
      <c r="F10420" s="24"/>
      <c r="G10420" s="24"/>
      <c r="H10420" s="24"/>
      <c r="I10420" s="24"/>
      <c r="J10420" s="24"/>
      <c r="K10420" s="24"/>
      <c r="L10420" s="24"/>
      <c r="M10420" s="24"/>
      <c r="N10420" s="24"/>
      <c r="O10420" s="24"/>
      <c r="P10420" s="24"/>
      <c r="Q10420" s="24"/>
      <c r="R10420" s="24"/>
      <c r="S10420" s="24"/>
      <c r="T10420" s="24"/>
      <c r="U10420" s="24"/>
      <c r="V10420" s="24"/>
      <c r="W10420" s="24"/>
      <c r="X10420" s="24"/>
      <c r="Y10420" s="24"/>
      <c r="Z10420" s="24"/>
      <c r="AA10420" s="24"/>
    </row>
    <row r="10421">
      <c r="A10421" s="24"/>
      <c r="B10421" s="25"/>
      <c r="C10421" s="24"/>
      <c r="D10421" s="26"/>
      <c r="E10421" s="24"/>
      <c r="F10421" s="24"/>
      <c r="G10421" s="24"/>
      <c r="H10421" s="24"/>
      <c r="I10421" s="24"/>
      <c r="J10421" s="24"/>
      <c r="K10421" s="24"/>
      <c r="L10421" s="24"/>
      <c r="M10421" s="24"/>
      <c r="N10421" s="24"/>
      <c r="O10421" s="24"/>
      <c r="P10421" s="24"/>
      <c r="Q10421" s="24"/>
      <c r="R10421" s="24"/>
      <c r="S10421" s="24"/>
      <c r="T10421" s="24"/>
      <c r="U10421" s="24"/>
      <c r="V10421" s="24"/>
      <c r="W10421" s="24"/>
      <c r="X10421" s="24"/>
      <c r="Y10421" s="24"/>
      <c r="Z10421" s="24"/>
      <c r="AA10421" s="24"/>
    </row>
    <row r="10422">
      <c r="A10422" s="24"/>
      <c r="B10422" s="25"/>
      <c r="C10422" s="24"/>
      <c r="D10422" s="26"/>
      <c r="E10422" s="24"/>
      <c r="F10422" s="24"/>
      <c r="G10422" s="24"/>
      <c r="H10422" s="24"/>
      <c r="I10422" s="24"/>
      <c r="J10422" s="24"/>
      <c r="K10422" s="24"/>
      <c r="L10422" s="24"/>
      <c r="M10422" s="24"/>
      <c r="N10422" s="24"/>
      <c r="O10422" s="24"/>
      <c r="P10422" s="24"/>
      <c r="Q10422" s="24"/>
      <c r="R10422" s="24"/>
      <c r="S10422" s="24"/>
      <c r="T10422" s="24"/>
      <c r="U10422" s="24"/>
      <c r="V10422" s="24"/>
      <c r="W10422" s="24"/>
      <c r="X10422" s="24"/>
      <c r="Y10422" s="24"/>
      <c r="Z10422" s="24"/>
      <c r="AA10422" s="24"/>
    </row>
    <row r="10423">
      <c r="A10423" s="24"/>
      <c r="B10423" s="25"/>
      <c r="C10423" s="24"/>
      <c r="D10423" s="26"/>
      <c r="E10423" s="24"/>
      <c r="F10423" s="24"/>
      <c r="G10423" s="24"/>
      <c r="H10423" s="24"/>
      <c r="I10423" s="24"/>
      <c r="J10423" s="24"/>
      <c r="K10423" s="24"/>
      <c r="L10423" s="24"/>
      <c r="M10423" s="24"/>
      <c r="N10423" s="24"/>
      <c r="O10423" s="24"/>
      <c r="P10423" s="24"/>
      <c r="Q10423" s="24"/>
      <c r="R10423" s="24"/>
      <c r="S10423" s="24"/>
      <c r="T10423" s="24"/>
      <c r="U10423" s="24"/>
      <c r="V10423" s="24"/>
      <c r="W10423" s="24"/>
      <c r="X10423" s="24"/>
      <c r="Y10423" s="24"/>
      <c r="Z10423" s="24"/>
      <c r="AA10423" s="24"/>
    </row>
    <row r="10424">
      <c r="A10424" s="24"/>
      <c r="B10424" s="25"/>
      <c r="C10424" s="24"/>
      <c r="D10424" s="26"/>
      <c r="E10424" s="24"/>
      <c r="F10424" s="24"/>
      <c r="G10424" s="24"/>
      <c r="H10424" s="24"/>
      <c r="I10424" s="24"/>
      <c r="J10424" s="24"/>
      <c r="K10424" s="24"/>
      <c r="L10424" s="24"/>
      <c r="M10424" s="24"/>
      <c r="N10424" s="24"/>
      <c r="O10424" s="24"/>
      <c r="P10424" s="24"/>
      <c r="Q10424" s="24"/>
      <c r="R10424" s="24"/>
      <c r="S10424" s="24"/>
      <c r="T10424" s="24"/>
      <c r="U10424" s="24"/>
      <c r="V10424" s="24"/>
      <c r="W10424" s="24"/>
      <c r="X10424" s="24"/>
      <c r="Y10424" s="24"/>
      <c r="Z10424" s="24"/>
      <c r="AA10424" s="24"/>
    </row>
    <row r="10425">
      <c r="A10425" s="24"/>
      <c r="B10425" s="25"/>
      <c r="C10425" s="24"/>
      <c r="D10425" s="26"/>
      <c r="E10425" s="24"/>
      <c r="F10425" s="24"/>
      <c r="G10425" s="24"/>
      <c r="H10425" s="24"/>
      <c r="I10425" s="24"/>
      <c r="J10425" s="24"/>
      <c r="K10425" s="24"/>
      <c r="L10425" s="24"/>
      <c r="M10425" s="24"/>
      <c r="N10425" s="24"/>
      <c r="O10425" s="24"/>
      <c r="P10425" s="24"/>
      <c r="Q10425" s="24"/>
      <c r="R10425" s="24"/>
      <c r="S10425" s="24"/>
      <c r="T10425" s="24"/>
      <c r="U10425" s="24"/>
      <c r="V10425" s="24"/>
      <c r="W10425" s="24"/>
      <c r="X10425" s="24"/>
      <c r="Y10425" s="24"/>
      <c r="Z10425" s="24"/>
      <c r="AA10425" s="24"/>
    </row>
    <row r="10426">
      <c r="A10426" s="24"/>
      <c r="B10426" s="25"/>
      <c r="C10426" s="24"/>
      <c r="D10426" s="26"/>
      <c r="E10426" s="24"/>
      <c r="F10426" s="24"/>
      <c r="G10426" s="24"/>
      <c r="H10426" s="24"/>
      <c r="I10426" s="24"/>
      <c r="J10426" s="24"/>
      <c r="K10426" s="24"/>
      <c r="L10426" s="24"/>
      <c r="M10426" s="24"/>
      <c r="N10426" s="24"/>
      <c r="O10426" s="24"/>
      <c r="P10426" s="24"/>
      <c r="Q10426" s="24"/>
      <c r="R10426" s="24"/>
      <c r="S10426" s="24"/>
      <c r="T10426" s="24"/>
      <c r="U10426" s="24"/>
      <c r="V10426" s="24"/>
      <c r="W10426" s="24"/>
      <c r="X10426" s="24"/>
      <c r="Y10426" s="24"/>
      <c r="Z10426" s="24"/>
      <c r="AA10426" s="24"/>
    </row>
    <row r="10427">
      <c r="A10427" s="24"/>
      <c r="B10427" s="25"/>
      <c r="C10427" s="24"/>
      <c r="D10427" s="26"/>
      <c r="E10427" s="24"/>
      <c r="F10427" s="24"/>
      <c r="G10427" s="24"/>
      <c r="H10427" s="24"/>
      <c r="I10427" s="24"/>
      <c r="J10427" s="24"/>
      <c r="K10427" s="24"/>
      <c r="L10427" s="24"/>
      <c r="M10427" s="24"/>
      <c r="N10427" s="24"/>
      <c r="O10427" s="24"/>
      <c r="P10427" s="24"/>
      <c r="Q10427" s="24"/>
      <c r="R10427" s="24"/>
      <c r="S10427" s="24"/>
      <c r="T10427" s="24"/>
      <c r="U10427" s="24"/>
      <c r="V10427" s="24"/>
      <c r="W10427" s="24"/>
      <c r="X10427" s="24"/>
      <c r="Y10427" s="24"/>
      <c r="Z10427" s="24"/>
      <c r="AA10427" s="24"/>
    </row>
    <row r="10428">
      <c r="A10428" s="24"/>
      <c r="B10428" s="25"/>
      <c r="C10428" s="24"/>
      <c r="D10428" s="26"/>
      <c r="E10428" s="24"/>
      <c r="F10428" s="24"/>
      <c r="G10428" s="24"/>
      <c r="H10428" s="24"/>
      <c r="I10428" s="24"/>
      <c r="J10428" s="24"/>
      <c r="K10428" s="24"/>
      <c r="L10428" s="24"/>
      <c r="M10428" s="24"/>
      <c r="N10428" s="24"/>
      <c r="O10428" s="24"/>
      <c r="P10428" s="24"/>
      <c r="Q10428" s="24"/>
      <c r="R10428" s="24"/>
      <c r="S10428" s="24"/>
      <c r="T10428" s="24"/>
      <c r="U10428" s="24"/>
      <c r="V10428" s="24"/>
      <c r="W10428" s="24"/>
      <c r="X10428" s="24"/>
      <c r="Y10428" s="24"/>
      <c r="Z10428" s="24"/>
      <c r="AA10428" s="24"/>
    </row>
    <row r="10429">
      <c r="A10429" s="24"/>
      <c r="B10429" s="25"/>
      <c r="C10429" s="24"/>
      <c r="D10429" s="26"/>
      <c r="E10429" s="24"/>
      <c r="F10429" s="24"/>
      <c r="G10429" s="24"/>
      <c r="H10429" s="24"/>
      <c r="I10429" s="24"/>
      <c r="J10429" s="24"/>
      <c r="K10429" s="24"/>
      <c r="L10429" s="24"/>
      <c r="M10429" s="24"/>
      <c r="N10429" s="24"/>
      <c r="O10429" s="24"/>
      <c r="P10429" s="24"/>
      <c r="Q10429" s="24"/>
      <c r="R10429" s="24"/>
      <c r="S10429" s="24"/>
      <c r="T10429" s="24"/>
      <c r="U10429" s="24"/>
      <c r="V10429" s="24"/>
      <c r="W10429" s="24"/>
      <c r="X10429" s="24"/>
      <c r="Y10429" s="24"/>
      <c r="Z10429" s="24"/>
      <c r="AA10429" s="24"/>
    </row>
    <row r="10430">
      <c r="A10430" s="24"/>
      <c r="B10430" s="25"/>
      <c r="C10430" s="24"/>
      <c r="D10430" s="26"/>
      <c r="E10430" s="24"/>
      <c r="F10430" s="24"/>
      <c r="G10430" s="24"/>
      <c r="H10430" s="24"/>
      <c r="I10430" s="24"/>
      <c r="J10430" s="24"/>
      <c r="K10430" s="24"/>
      <c r="L10430" s="24"/>
      <c r="M10430" s="24"/>
      <c r="N10430" s="24"/>
      <c r="O10430" s="24"/>
      <c r="P10430" s="24"/>
      <c r="Q10430" s="24"/>
      <c r="R10430" s="24"/>
      <c r="S10430" s="24"/>
      <c r="T10430" s="24"/>
      <c r="U10430" s="24"/>
      <c r="V10430" s="24"/>
      <c r="W10430" s="24"/>
      <c r="X10430" s="24"/>
      <c r="Y10430" s="24"/>
      <c r="Z10430" s="24"/>
      <c r="AA10430" s="24"/>
    </row>
    <row r="10431">
      <c r="A10431" s="24"/>
      <c r="B10431" s="25"/>
      <c r="C10431" s="24"/>
      <c r="D10431" s="26"/>
      <c r="E10431" s="24"/>
      <c r="F10431" s="24"/>
      <c r="G10431" s="24"/>
      <c r="H10431" s="24"/>
      <c r="I10431" s="24"/>
      <c r="J10431" s="24"/>
      <c r="K10431" s="24"/>
      <c r="L10431" s="24"/>
      <c r="M10431" s="24"/>
      <c r="N10431" s="24"/>
      <c r="O10431" s="24"/>
      <c r="P10431" s="24"/>
      <c r="Q10431" s="24"/>
      <c r="R10431" s="24"/>
      <c r="S10431" s="24"/>
      <c r="T10431" s="24"/>
      <c r="U10431" s="24"/>
      <c r="V10431" s="24"/>
      <c r="W10431" s="24"/>
      <c r="X10431" s="24"/>
      <c r="Y10431" s="24"/>
      <c r="Z10431" s="24"/>
      <c r="AA10431" s="24"/>
    </row>
    <row r="10432">
      <c r="A10432" s="24"/>
      <c r="B10432" s="25"/>
      <c r="C10432" s="24"/>
      <c r="D10432" s="26"/>
      <c r="E10432" s="24"/>
      <c r="F10432" s="24"/>
      <c r="G10432" s="24"/>
      <c r="H10432" s="24"/>
      <c r="I10432" s="24"/>
      <c r="J10432" s="24"/>
      <c r="K10432" s="24"/>
      <c r="L10432" s="24"/>
      <c r="M10432" s="24"/>
      <c r="N10432" s="24"/>
      <c r="O10432" s="24"/>
      <c r="P10432" s="24"/>
      <c r="Q10432" s="24"/>
      <c r="R10432" s="24"/>
      <c r="S10432" s="24"/>
      <c r="T10432" s="24"/>
      <c r="U10432" s="24"/>
      <c r="V10432" s="24"/>
      <c r="W10432" s="24"/>
      <c r="X10432" s="24"/>
      <c r="Y10432" s="24"/>
      <c r="Z10432" s="24"/>
      <c r="AA10432" s="24"/>
    </row>
    <row r="10433">
      <c r="A10433" s="24"/>
      <c r="B10433" s="25"/>
      <c r="C10433" s="24"/>
      <c r="D10433" s="26"/>
      <c r="E10433" s="24"/>
      <c r="F10433" s="24"/>
      <c r="G10433" s="24"/>
      <c r="H10433" s="24"/>
      <c r="I10433" s="24"/>
      <c r="J10433" s="24"/>
      <c r="K10433" s="24"/>
      <c r="L10433" s="24"/>
      <c r="M10433" s="24"/>
      <c r="N10433" s="24"/>
      <c r="O10433" s="24"/>
      <c r="P10433" s="24"/>
      <c r="Q10433" s="24"/>
      <c r="R10433" s="24"/>
      <c r="S10433" s="24"/>
      <c r="T10433" s="24"/>
      <c r="U10433" s="24"/>
      <c r="V10433" s="24"/>
      <c r="W10433" s="24"/>
      <c r="X10433" s="24"/>
      <c r="Y10433" s="24"/>
      <c r="Z10433" s="24"/>
      <c r="AA10433" s="24"/>
    </row>
    <row r="10434">
      <c r="A10434" s="24"/>
      <c r="B10434" s="25"/>
      <c r="C10434" s="24"/>
      <c r="D10434" s="26"/>
      <c r="E10434" s="24"/>
      <c r="F10434" s="24"/>
      <c r="G10434" s="24"/>
      <c r="H10434" s="24"/>
      <c r="I10434" s="24"/>
      <c r="J10434" s="24"/>
      <c r="K10434" s="24"/>
      <c r="L10434" s="24"/>
      <c r="M10434" s="24"/>
      <c r="N10434" s="24"/>
      <c r="O10434" s="24"/>
      <c r="P10434" s="24"/>
      <c r="Q10434" s="24"/>
      <c r="R10434" s="24"/>
      <c r="S10434" s="24"/>
      <c r="T10434" s="24"/>
      <c r="U10434" s="24"/>
      <c r="V10434" s="24"/>
      <c r="W10434" s="24"/>
      <c r="X10434" s="24"/>
      <c r="Y10434" s="24"/>
      <c r="Z10434" s="24"/>
      <c r="AA10434" s="24"/>
    </row>
    <row r="10435">
      <c r="A10435" s="24"/>
      <c r="B10435" s="25"/>
      <c r="C10435" s="24"/>
      <c r="D10435" s="26"/>
      <c r="E10435" s="24"/>
      <c r="F10435" s="24"/>
      <c r="G10435" s="24"/>
      <c r="H10435" s="24"/>
      <c r="I10435" s="24"/>
      <c r="J10435" s="24"/>
      <c r="K10435" s="24"/>
      <c r="L10435" s="24"/>
      <c r="M10435" s="24"/>
      <c r="N10435" s="24"/>
      <c r="O10435" s="24"/>
      <c r="P10435" s="24"/>
      <c r="Q10435" s="24"/>
      <c r="R10435" s="24"/>
      <c r="S10435" s="24"/>
      <c r="T10435" s="24"/>
      <c r="U10435" s="24"/>
      <c r="V10435" s="24"/>
      <c r="W10435" s="24"/>
      <c r="X10435" s="24"/>
      <c r="Y10435" s="24"/>
      <c r="Z10435" s="24"/>
      <c r="AA10435" s="24"/>
    </row>
    <row r="10436">
      <c r="A10436" s="24"/>
      <c r="B10436" s="25"/>
      <c r="C10436" s="24"/>
      <c r="D10436" s="26"/>
      <c r="E10436" s="24"/>
      <c r="F10436" s="24"/>
      <c r="G10436" s="24"/>
      <c r="H10436" s="24"/>
      <c r="I10436" s="24"/>
      <c r="J10436" s="24"/>
      <c r="K10436" s="24"/>
      <c r="L10436" s="24"/>
      <c r="M10436" s="24"/>
      <c r="N10436" s="24"/>
      <c r="O10436" s="24"/>
      <c r="P10436" s="24"/>
      <c r="Q10436" s="24"/>
      <c r="R10436" s="24"/>
      <c r="S10436" s="24"/>
      <c r="T10436" s="24"/>
      <c r="U10436" s="24"/>
      <c r="V10436" s="24"/>
      <c r="W10436" s="24"/>
      <c r="X10436" s="24"/>
      <c r="Y10436" s="24"/>
      <c r="Z10436" s="24"/>
      <c r="AA10436" s="24"/>
    </row>
    <row r="10437">
      <c r="A10437" s="24"/>
      <c r="B10437" s="25"/>
      <c r="C10437" s="24"/>
      <c r="D10437" s="26"/>
      <c r="E10437" s="24"/>
      <c r="F10437" s="24"/>
      <c r="G10437" s="24"/>
      <c r="H10437" s="24"/>
      <c r="I10437" s="24"/>
      <c r="J10437" s="24"/>
      <c r="K10437" s="24"/>
      <c r="L10437" s="24"/>
      <c r="M10437" s="24"/>
      <c r="N10437" s="24"/>
      <c r="O10437" s="24"/>
      <c r="P10437" s="24"/>
      <c r="Q10437" s="24"/>
      <c r="R10437" s="24"/>
      <c r="S10437" s="24"/>
      <c r="T10437" s="24"/>
      <c r="U10437" s="24"/>
      <c r="V10437" s="24"/>
      <c r="W10437" s="24"/>
      <c r="X10437" s="24"/>
      <c r="Y10437" s="24"/>
      <c r="Z10437" s="24"/>
      <c r="AA10437" s="24"/>
    </row>
    <row r="10438">
      <c r="A10438" s="24"/>
      <c r="B10438" s="25"/>
      <c r="C10438" s="24"/>
      <c r="D10438" s="26"/>
      <c r="E10438" s="24"/>
      <c r="F10438" s="24"/>
      <c r="G10438" s="24"/>
      <c r="H10438" s="24"/>
      <c r="I10438" s="24"/>
      <c r="J10438" s="24"/>
      <c r="K10438" s="24"/>
      <c r="L10438" s="24"/>
      <c r="M10438" s="24"/>
      <c r="N10438" s="24"/>
      <c r="O10438" s="24"/>
      <c r="P10438" s="24"/>
      <c r="Q10438" s="24"/>
      <c r="R10438" s="24"/>
      <c r="S10438" s="24"/>
      <c r="T10438" s="24"/>
      <c r="U10438" s="24"/>
      <c r="V10438" s="24"/>
      <c r="W10438" s="24"/>
      <c r="X10438" s="24"/>
      <c r="Y10438" s="24"/>
      <c r="Z10438" s="24"/>
      <c r="AA10438" s="24"/>
    </row>
    <row r="10439">
      <c r="A10439" s="24"/>
      <c r="B10439" s="25"/>
      <c r="C10439" s="24"/>
      <c r="D10439" s="26"/>
      <c r="E10439" s="24"/>
      <c r="F10439" s="24"/>
      <c r="G10439" s="24"/>
      <c r="H10439" s="24"/>
      <c r="I10439" s="24"/>
      <c r="J10439" s="24"/>
      <c r="K10439" s="24"/>
      <c r="L10439" s="24"/>
      <c r="M10439" s="24"/>
      <c r="N10439" s="24"/>
      <c r="O10439" s="24"/>
      <c r="P10439" s="24"/>
      <c r="Q10439" s="24"/>
      <c r="R10439" s="24"/>
      <c r="S10439" s="24"/>
      <c r="T10439" s="24"/>
      <c r="U10439" s="24"/>
      <c r="V10439" s="24"/>
      <c r="W10439" s="24"/>
      <c r="X10439" s="24"/>
      <c r="Y10439" s="24"/>
      <c r="Z10439" s="24"/>
      <c r="AA10439" s="24"/>
    </row>
    <row r="10440">
      <c r="A10440" s="24"/>
      <c r="B10440" s="25"/>
      <c r="C10440" s="24"/>
      <c r="D10440" s="26"/>
      <c r="E10440" s="24"/>
      <c r="F10440" s="24"/>
      <c r="G10440" s="24"/>
      <c r="H10440" s="24"/>
      <c r="I10440" s="24"/>
      <c r="J10440" s="24"/>
      <c r="K10440" s="24"/>
      <c r="L10440" s="24"/>
      <c r="M10440" s="24"/>
      <c r="N10440" s="24"/>
      <c r="O10440" s="24"/>
      <c r="P10440" s="24"/>
      <c r="Q10440" s="24"/>
      <c r="R10440" s="24"/>
      <c r="S10440" s="24"/>
      <c r="T10440" s="24"/>
      <c r="U10440" s="24"/>
      <c r="V10440" s="24"/>
      <c r="W10440" s="24"/>
      <c r="X10440" s="24"/>
      <c r="Y10440" s="24"/>
      <c r="Z10440" s="24"/>
      <c r="AA10440" s="24"/>
    </row>
    <row r="10441">
      <c r="A10441" s="24"/>
      <c r="B10441" s="25"/>
      <c r="C10441" s="24"/>
      <c r="D10441" s="26"/>
      <c r="E10441" s="24"/>
      <c r="F10441" s="24"/>
      <c r="G10441" s="24"/>
      <c r="H10441" s="24"/>
      <c r="I10441" s="24"/>
      <c r="J10441" s="24"/>
      <c r="K10441" s="24"/>
      <c r="L10441" s="24"/>
      <c r="M10441" s="24"/>
      <c r="N10441" s="24"/>
      <c r="O10441" s="24"/>
      <c r="P10441" s="24"/>
      <c r="Q10441" s="24"/>
      <c r="R10441" s="24"/>
      <c r="S10441" s="24"/>
      <c r="T10441" s="24"/>
      <c r="U10441" s="24"/>
      <c r="V10441" s="24"/>
      <c r="W10441" s="24"/>
      <c r="X10441" s="24"/>
      <c r="Y10441" s="24"/>
      <c r="Z10441" s="24"/>
      <c r="AA10441" s="24"/>
    </row>
    <row r="10442">
      <c r="A10442" s="24"/>
      <c r="B10442" s="25"/>
      <c r="C10442" s="24"/>
      <c r="D10442" s="26"/>
      <c r="E10442" s="24"/>
      <c r="F10442" s="24"/>
      <c r="G10442" s="24"/>
      <c r="H10442" s="24"/>
      <c r="I10442" s="24"/>
      <c r="J10442" s="24"/>
      <c r="K10442" s="24"/>
      <c r="L10442" s="24"/>
      <c r="M10442" s="24"/>
      <c r="N10442" s="24"/>
      <c r="O10442" s="24"/>
      <c r="P10442" s="24"/>
      <c r="Q10442" s="24"/>
      <c r="R10442" s="24"/>
      <c r="S10442" s="24"/>
      <c r="T10442" s="24"/>
      <c r="U10442" s="24"/>
      <c r="V10442" s="24"/>
      <c r="W10442" s="24"/>
      <c r="X10442" s="24"/>
      <c r="Y10442" s="24"/>
      <c r="Z10442" s="24"/>
      <c r="AA10442" s="24"/>
    </row>
    <row r="10443">
      <c r="A10443" s="24"/>
      <c r="B10443" s="25"/>
      <c r="C10443" s="24"/>
      <c r="D10443" s="26"/>
      <c r="E10443" s="24"/>
      <c r="F10443" s="24"/>
      <c r="G10443" s="24"/>
      <c r="H10443" s="24"/>
      <c r="I10443" s="24"/>
      <c r="J10443" s="24"/>
      <c r="K10443" s="24"/>
      <c r="L10443" s="24"/>
      <c r="M10443" s="24"/>
      <c r="N10443" s="24"/>
      <c r="O10443" s="24"/>
      <c r="P10443" s="24"/>
      <c r="Q10443" s="24"/>
      <c r="R10443" s="24"/>
      <c r="S10443" s="24"/>
      <c r="T10443" s="24"/>
      <c r="U10443" s="24"/>
      <c r="V10443" s="24"/>
      <c r="W10443" s="24"/>
      <c r="X10443" s="24"/>
      <c r="Y10443" s="24"/>
      <c r="Z10443" s="24"/>
      <c r="AA10443" s="24"/>
    </row>
    <row r="10444">
      <c r="A10444" s="24"/>
      <c r="B10444" s="25"/>
      <c r="C10444" s="24"/>
      <c r="D10444" s="26"/>
      <c r="E10444" s="24"/>
      <c r="F10444" s="24"/>
      <c r="G10444" s="24"/>
      <c r="H10444" s="24"/>
      <c r="I10444" s="24"/>
      <c r="J10444" s="24"/>
      <c r="K10444" s="24"/>
      <c r="L10444" s="24"/>
      <c r="M10444" s="24"/>
      <c r="N10444" s="24"/>
      <c r="O10444" s="24"/>
      <c r="P10444" s="24"/>
      <c r="Q10444" s="24"/>
      <c r="R10444" s="24"/>
      <c r="S10444" s="24"/>
      <c r="T10444" s="24"/>
      <c r="U10444" s="24"/>
      <c r="V10444" s="24"/>
      <c r="W10444" s="24"/>
      <c r="X10444" s="24"/>
      <c r="Y10444" s="24"/>
      <c r="Z10444" s="24"/>
      <c r="AA10444" s="24"/>
    </row>
    <row r="10445">
      <c r="A10445" s="24"/>
      <c r="B10445" s="25"/>
      <c r="C10445" s="24"/>
      <c r="D10445" s="26"/>
      <c r="E10445" s="24"/>
      <c r="F10445" s="24"/>
      <c r="G10445" s="24"/>
      <c r="H10445" s="24"/>
      <c r="I10445" s="24"/>
      <c r="J10445" s="24"/>
      <c r="K10445" s="24"/>
      <c r="L10445" s="24"/>
      <c r="M10445" s="24"/>
      <c r="N10445" s="24"/>
      <c r="O10445" s="24"/>
      <c r="P10445" s="24"/>
      <c r="Q10445" s="24"/>
      <c r="R10445" s="24"/>
      <c r="S10445" s="24"/>
      <c r="T10445" s="24"/>
      <c r="U10445" s="24"/>
      <c r="V10445" s="24"/>
      <c r="W10445" s="24"/>
      <c r="X10445" s="24"/>
      <c r="Y10445" s="24"/>
      <c r="Z10445" s="24"/>
      <c r="AA10445" s="24"/>
    </row>
    <row r="10446">
      <c r="A10446" s="24"/>
      <c r="B10446" s="25"/>
      <c r="C10446" s="24"/>
      <c r="D10446" s="26"/>
      <c r="E10446" s="24"/>
      <c r="F10446" s="24"/>
      <c r="G10446" s="24"/>
      <c r="H10446" s="24"/>
      <c r="I10446" s="24"/>
      <c r="J10446" s="24"/>
      <c r="K10446" s="24"/>
      <c r="L10446" s="24"/>
      <c r="M10446" s="24"/>
      <c r="N10446" s="24"/>
      <c r="O10446" s="24"/>
      <c r="P10446" s="24"/>
      <c r="Q10446" s="24"/>
      <c r="R10446" s="24"/>
      <c r="S10446" s="24"/>
      <c r="T10446" s="24"/>
      <c r="U10446" s="24"/>
      <c r="V10446" s="24"/>
      <c r="W10446" s="24"/>
      <c r="X10446" s="24"/>
      <c r="Y10446" s="24"/>
      <c r="Z10446" s="24"/>
      <c r="AA10446" s="24"/>
    </row>
    <row r="10447">
      <c r="A10447" s="24"/>
      <c r="B10447" s="25"/>
      <c r="C10447" s="24"/>
      <c r="D10447" s="26"/>
      <c r="E10447" s="24"/>
      <c r="F10447" s="24"/>
      <c r="G10447" s="24"/>
      <c r="H10447" s="24"/>
      <c r="I10447" s="24"/>
      <c r="J10447" s="24"/>
      <c r="K10447" s="24"/>
      <c r="L10447" s="24"/>
      <c r="M10447" s="24"/>
      <c r="N10447" s="24"/>
      <c r="O10447" s="24"/>
      <c r="P10447" s="24"/>
      <c r="Q10447" s="24"/>
      <c r="R10447" s="24"/>
      <c r="S10447" s="24"/>
      <c r="T10447" s="24"/>
      <c r="U10447" s="24"/>
      <c r="V10447" s="24"/>
      <c r="W10447" s="24"/>
      <c r="X10447" s="24"/>
      <c r="Y10447" s="24"/>
      <c r="Z10447" s="24"/>
      <c r="AA10447" s="24"/>
    </row>
    <row r="10448">
      <c r="A10448" s="24"/>
      <c r="B10448" s="25"/>
      <c r="C10448" s="24"/>
      <c r="D10448" s="26"/>
      <c r="E10448" s="24"/>
      <c r="F10448" s="24"/>
      <c r="G10448" s="24"/>
      <c r="H10448" s="24"/>
      <c r="I10448" s="24"/>
      <c r="J10448" s="24"/>
      <c r="K10448" s="24"/>
      <c r="L10448" s="24"/>
      <c r="M10448" s="24"/>
      <c r="N10448" s="24"/>
      <c r="O10448" s="24"/>
      <c r="P10448" s="24"/>
      <c r="Q10448" s="24"/>
      <c r="R10448" s="24"/>
      <c r="S10448" s="24"/>
      <c r="T10448" s="24"/>
      <c r="U10448" s="24"/>
      <c r="V10448" s="24"/>
      <c r="W10448" s="24"/>
      <c r="X10448" s="24"/>
      <c r="Y10448" s="24"/>
      <c r="Z10448" s="24"/>
      <c r="AA10448" s="24"/>
    </row>
    <row r="10449">
      <c r="A10449" s="24"/>
      <c r="B10449" s="25"/>
      <c r="C10449" s="24"/>
      <c r="D10449" s="26"/>
      <c r="E10449" s="24"/>
      <c r="F10449" s="24"/>
      <c r="G10449" s="24"/>
      <c r="H10449" s="24"/>
      <c r="I10449" s="24"/>
      <c r="J10449" s="24"/>
      <c r="K10449" s="24"/>
      <c r="L10449" s="24"/>
      <c r="M10449" s="24"/>
      <c r="N10449" s="24"/>
      <c r="O10449" s="24"/>
      <c r="P10449" s="24"/>
      <c r="Q10449" s="24"/>
      <c r="R10449" s="24"/>
      <c r="S10449" s="24"/>
      <c r="T10449" s="24"/>
      <c r="U10449" s="24"/>
      <c r="V10449" s="24"/>
      <c r="W10449" s="24"/>
      <c r="X10449" s="24"/>
      <c r="Y10449" s="24"/>
      <c r="Z10449" s="24"/>
      <c r="AA10449" s="24"/>
    </row>
    <row r="10450">
      <c r="A10450" s="24"/>
      <c r="B10450" s="25"/>
      <c r="C10450" s="24"/>
      <c r="D10450" s="26"/>
      <c r="E10450" s="24"/>
      <c r="F10450" s="24"/>
      <c r="G10450" s="24"/>
      <c r="H10450" s="24"/>
      <c r="I10450" s="24"/>
      <c r="J10450" s="24"/>
      <c r="K10450" s="24"/>
      <c r="L10450" s="24"/>
      <c r="M10450" s="24"/>
      <c r="N10450" s="24"/>
      <c r="O10450" s="24"/>
      <c r="P10450" s="24"/>
      <c r="Q10450" s="24"/>
      <c r="R10450" s="24"/>
      <c r="S10450" s="24"/>
      <c r="T10450" s="24"/>
      <c r="U10450" s="24"/>
      <c r="V10450" s="24"/>
      <c r="W10450" s="24"/>
      <c r="X10450" s="24"/>
      <c r="Y10450" s="24"/>
      <c r="Z10450" s="24"/>
      <c r="AA10450" s="24"/>
    </row>
    <row r="10451">
      <c r="A10451" s="24"/>
      <c r="B10451" s="25"/>
      <c r="C10451" s="24"/>
      <c r="D10451" s="26"/>
      <c r="E10451" s="24"/>
      <c r="F10451" s="24"/>
      <c r="G10451" s="24"/>
      <c r="H10451" s="24"/>
      <c r="I10451" s="24"/>
      <c r="J10451" s="24"/>
      <c r="K10451" s="24"/>
      <c r="L10451" s="24"/>
      <c r="M10451" s="24"/>
      <c r="N10451" s="24"/>
      <c r="O10451" s="24"/>
      <c r="P10451" s="24"/>
      <c r="Q10451" s="24"/>
      <c r="R10451" s="24"/>
      <c r="S10451" s="24"/>
      <c r="T10451" s="24"/>
      <c r="U10451" s="24"/>
      <c r="V10451" s="24"/>
      <c r="W10451" s="24"/>
      <c r="X10451" s="24"/>
      <c r="Y10451" s="24"/>
      <c r="Z10451" s="24"/>
      <c r="AA10451" s="24"/>
    </row>
    <row r="10452">
      <c r="A10452" s="24"/>
      <c r="B10452" s="25"/>
      <c r="C10452" s="24"/>
      <c r="D10452" s="26"/>
      <c r="E10452" s="24"/>
      <c r="F10452" s="24"/>
      <c r="G10452" s="24"/>
      <c r="H10452" s="24"/>
      <c r="I10452" s="24"/>
      <c r="J10452" s="24"/>
      <c r="K10452" s="24"/>
      <c r="L10452" s="24"/>
      <c r="M10452" s="24"/>
      <c r="N10452" s="24"/>
      <c r="O10452" s="24"/>
      <c r="P10452" s="24"/>
      <c r="Q10452" s="24"/>
      <c r="R10452" s="24"/>
      <c r="S10452" s="24"/>
      <c r="T10452" s="24"/>
      <c r="U10452" s="24"/>
      <c r="V10452" s="24"/>
      <c r="W10452" s="24"/>
      <c r="X10452" s="24"/>
      <c r="Y10452" s="24"/>
      <c r="Z10452" s="24"/>
      <c r="AA10452" s="24"/>
    </row>
    <row r="10453">
      <c r="A10453" s="24"/>
      <c r="B10453" s="25"/>
      <c r="C10453" s="24"/>
      <c r="D10453" s="26"/>
      <c r="E10453" s="24"/>
      <c r="F10453" s="24"/>
      <c r="G10453" s="24"/>
      <c r="H10453" s="24"/>
      <c r="I10453" s="24"/>
      <c r="J10453" s="24"/>
      <c r="K10453" s="24"/>
      <c r="L10453" s="24"/>
      <c r="M10453" s="24"/>
      <c r="N10453" s="24"/>
      <c r="O10453" s="24"/>
      <c r="P10453" s="24"/>
      <c r="Q10453" s="24"/>
      <c r="R10453" s="24"/>
      <c r="S10453" s="24"/>
      <c r="T10453" s="24"/>
      <c r="U10453" s="24"/>
      <c r="V10453" s="24"/>
      <c r="W10453" s="24"/>
      <c r="X10453" s="24"/>
      <c r="Y10453" s="24"/>
      <c r="Z10453" s="24"/>
      <c r="AA10453" s="24"/>
    </row>
    <row r="10454">
      <c r="A10454" s="24"/>
      <c r="B10454" s="25"/>
      <c r="C10454" s="24"/>
      <c r="D10454" s="26"/>
      <c r="E10454" s="24"/>
      <c r="F10454" s="24"/>
      <c r="G10454" s="24"/>
      <c r="H10454" s="24"/>
      <c r="I10454" s="24"/>
      <c r="J10454" s="24"/>
      <c r="K10454" s="24"/>
      <c r="L10454" s="24"/>
      <c r="M10454" s="24"/>
      <c r="N10454" s="24"/>
      <c r="O10454" s="24"/>
      <c r="P10454" s="24"/>
      <c r="Q10454" s="24"/>
      <c r="R10454" s="24"/>
      <c r="S10454" s="24"/>
      <c r="T10454" s="24"/>
      <c r="U10454" s="24"/>
      <c r="V10454" s="24"/>
      <c r="W10454" s="24"/>
      <c r="X10454" s="24"/>
      <c r="Y10454" s="24"/>
      <c r="Z10454" s="24"/>
      <c r="AA10454" s="24"/>
    </row>
    <row r="10455">
      <c r="A10455" s="24"/>
      <c r="B10455" s="25"/>
      <c r="C10455" s="24"/>
      <c r="D10455" s="26"/>
      <c r="E10455" s="24"/>
      <c r="F10455" s="24"/>
      <c r="G10455" s="24"/>
      <c r="H10455" s="24"/>
      <c r="I10455" s="24"/>
      <c r="J10455" s="24"/>
      <c r="K10455" s="24"/>
      <c r="L10455" s="24"/>
      <c r="M10455" s="24"/>
      <c r="N10455" s="24"/>
      <c r="O10455" s="24"/>
      <c r="P10455" s="24"/>
      <c r="Q10455" s="24"/>
      <c r="R10455" s="24"/>
      <c r="S10455" s="24"/>
      <c r="T10455" s="24"/>
      <c r="U10455" s="24"/>
      <c r="V10455" s="24"/>
      <c r="W10455" s="24"/>
      <c r="X10455" s="24"/>
      <c r="Y10455" s="24"/>
      <c r="Z10455" s="24"/>
      <c r="AA10455" s="24"/>
    </row>
    <row r="10456">
      <c r="A10456" s="24"/>
      <c r="B10456" s="25"/>
      <c r="C10456" s="24"/>
      <c r="D10456" s="26"/>
      <c r="E10456" s="24"/>
      <c r="F10456" s="24"/>
      <c r="G10456" s="24"/>
      <c r="H10456" s="24"/>
      <c r="I10456" s="24"/>
      <c r="J10456" s="24"/>
      <c r="K10456" s="24"/>
      <c r="L10456" s="24"/>
      <c r="M10456" s="24"/>
      <c r="N10456" s="24"/>
      <c r="O10456" s="24"/>
      <c r="P10456" s="24"/>
      <c r="Q10456" s="24"/>
      <c r="R10456" s="24"/>
      <c r="S10456" s="24"/>
      <c r="T10456" s="24"/>
      <c r="U10456" s="24"/>
      <c r="V10456" s="24"/>
      <c r="W10456" s="24"/>
      <c r="X10456" s="24"/>
      <c r="Y10456" s="24"/>
      <c r="Z10456" s="24"/>
      <c r="AA10456" s="24"/>
    </row>
    <row r="10457">
      <c r="A10457" s="24"/>
      <c r="B10457" s="25"/>
      <c r="C10457" s="24"/>
      <c r="D10457" s="26"/>
      <c r="E10457" s="24"/>
      <c r="F10457" s="24"/>
      <c r="G10457" s="24"/>
      <c r="H10457" s="24"/>
      <c r="I10457" s="24"/>
      <c r="J10457" s="24"/>
      <c r="K10457" s="24"/>
      <c r="L10457" s="24"/>
      <c r="M10457" s="24"/>
      <c r="N10457" s="24"/>
      <c r="O10457" s="24"/>
      <c r="P10457" s="24"/>
      <c r="Q10457" s="24"/>
      <c r="R10457" s="24"/>
      <c r="S10457" s="24"/>
      <c r="T10457" s="24"/>
      <c r="U10457" s="24"/>
      <c r="V10457" s="24"/>
      <c r="W10457" s="24"/>
      <c r="X10457" s="24"/>
      <c r="Y10457" s="24"/>
      <c r="Z10457" s="24"/>
      <c r="AA10457" s="24"/>
    </row>
    <row r="10458">
      <c r="A10458" s="24"/>
      <c r="B10458" s="25"/>
      <c r="C10458" s="24"/>
      <c r="D10458" s="26"/>
      <c r="E10458" s="24"/>
      <c r="F10458" s="24"/>
      <c r="G10458" s="24"/>
      <c r="H10458" s="24"/>
      <c r="I10458" s="24"/>
      <c r="J10458" s="24"/>
      <c r="K10458" s="24"/>
      <c r="L10458" s="24"/>
      <c r="M10458" s="24"/>
      <c r="N10458" s="24"/>
      <c r="O10458" s="24"/>
      <c r="P10458" s="24"/>
      <c r="Q10458" s="24"/>
      <c r="R10458" s="24"/>
      <c r="S10458" s="24"/>
      <c r="T10458" s="24"/>
      <c r="U10458" s="24"/>
      <c r="V10458" s="24"/>
      <c r="W10458" s="24"/>
      <c r="X10458" s="24"/>
      <c r="Y10458" s="24"/>
      <c r="Z10458" s="24"/>
      <c r="AA10458" s="24"/>
    </row>
    <row r="10459">
      <c r="A10459" s="24"/>
      <c r="B10459" s="25"/>
      <c r="C10459" s="24"/>
      <c r="D10459" s="26"/>
      <c r="E10459" s="24"/>
      <c r="F10459" s="24"/>
      <c r="G10459" s="24"/>
      <c r="H10459" s="24"/>
      <c r="I10459" s="24"/>
      <c r="J10459" s="24"/>
      <c r="K10459" s="24"/>
      <c r="L10459" s="24"/>
      <c r="M10459" s="24"/>
      <c r="N10459" s="24"/>
      <c r="O10459" s="24"/>
      <c r="P10459" s="24"/>
      <c r="Q10459" s="24"/>
      <c r="R10459" s="24"/>
      <c r="S10459" s="24"/>
      <c r="T10459" s="24"/>
      <c r="U10459" s="24"/>
      <c r="V10459" s="24"/>
      <c r="W10459" s="24"/>
      <c r="X10459" s="24"/>
      <c r="Y10459" s="24"/>
      <c r="Z10459" s="24"/>
      <c r="AA10459" s="24"/>
    </row>
    <row r="10460">
      <c r="A10460" s="24"/>
      <c r="B10460" s="25"/>
      <c r="C10460" s="24"/>
      <c r="D10460" s="26"/>
      <c r="E10460" s="24"/>
      <c r="F10460" s="24"/>
      <c r="G10460" s="24"/>
      <c r="H10460" s="24"/>
      <c r="I10460" s="24"/>
      <c r="J10460" s="24"/>
      <c r="K10460" s="24"/>
      <c r="L10460" s="24"/>
      <c r="M10460" s="24"/>
      <c r="N10460" s="24"/>
      <c r="O10460" s="24"/>
      <c r="P10460" s="24"/>
      <c r="Q10460" s="24"/>
      <c r="R10460" s="24"/>
      <c r="S10460" s="24"/>
      <c r="T10460" s="24"/>
      <c r="U10460" s="24"/>
      <c r="V10460" s="24"/>
      <c r="W10460" s="24"/>
      <c r="X10460" s="24"/>
      <c r="Y10460" s="24"/>
      <c r="Z10460" s="24"/>
      <c r="AA10460" s="24"/>
    </row>
    <row r="10461">
      <c r="A10461" s="24"/>
      <c r="B10461" s="25"/>
      <c r="C10461" s="24"/>
      <c r="D10461" s="26"/>
      <c r="E10461" s="24"/>
      <c r="F10461" s="24"/>
      <c r="G10461" s="24"/>
      <c r="H10461" s="24"/>
      <c r="I10461" s="24"/>
      <c r="J10461" s="24"/>
      <c r="K10461" s="24"/>
      <c r="L10461" s="24"/>
      <c r="M10461" s="24"/>
      <c r="N10461" s="24"/>
      <c r="O10461" s="24"/>
      <c r="P10461" s="24"/>
      <c r="Q10461" s="24"/>
      <c r="R10461" s="24"/>
      <c r="S10461" s="24"/>
      <c r="T10461" s="24"/>
      <c r="U10461" s="24"/>
      <c r="V10461" s="24"/>
      <c r="W10461" s="24"/>
      <c r="X10461" s="24"/>
      <c r="Y10461" s="24"/>
      <c r="Z10461" s="24"/>
      <c r="AA10461" s="24"/>
    </row>
    <row r="10462">
      <c r="A10462" s="24"/>
      <c r="B10462" s="25"/>
      <c r="C10462" s="24"/>
      <c r="D10462" s="26"/>
      <c r="E10462" s="24"/>
      <c r="F10462" s="24"/>
      <c r="G10462" s="24"/>
      <c r="H10462" s="24"/>
      <c r="I10462" s="24"/>
      <c r="J10462" s="24"/>
      <c r="K10462" s="24"/>
      <c r="L10462" s="24"/>
      <c r="M10462" s="24"/>
      <c r="N10462" s="24"/>
      <c r="O10462" s="24"/>
      <c r="P10462" s="24"/>
      <c r="Q10462" s="24"/>
      <c r="R10462" s="24"/>
      <c r="S10462" s="24"/>
      <c r="T10462" s="24"/>
      <c r="U10462" s="24"/>
      <c r="V10462" s="24"/>
      <c r="W10462" s="24"/>
      <c r="X10462" s="24"/>
      <c r="Y10462" s="24"/>
      <c r="Z10462" s="24"/>
      <c r="AA10462" s="24"/>
    </row>
    <row r="10463">
      <c r="A10463" s="24"/>
      <c r="B10463" s="25"/>
      <c r="C10463" s="24"/>
      <c r="D10463" s="26"/>
      <c r="E10463" s="24"/>
      <c r="F10463" s="24"/>
      <c r="G10463" s="24"/>
      <c r="H10463" s="24"/>
      <c r="I10463" s="24"/>
      <c r="J10463" s="24"/>
      <c r="K10463" s="24"/>
      <c r="L10463" s="24"/>
      <c r="M10463" s="24"/>
      <c r="N10463" s="24"/>
      <c r="O10463" s="24"/>
      <c r="P10463" s="24"/>
      <c r="Q10463" s="24"/>
      <c r="R10463" s="24"/>
      <c r="S10463" s="24"/>
      <c r="T10463" s="24"/>
      <c r="U10463" s="24"/>
      <c r="V10463" s="24"/>
      <c r="W10463" s="24"/>
      <c r="X10463" s="24"/>
      <c r="Y10463" s="24"/>
      <c r="Z10463" s="24"/>
      <c r="AA10463" s="24"/>
    </row>
    <row r="10464">
      <c r="A10464" s="24"/>
      <c r="B10464" s="25"/>
      <c r="C10464" s="24"/>
      <c r="D10464" s="26"/>
      <c r="E10464" s="24"/>
      <c r="F10464" s="24"/>
      <c r="G10464" s="24"/>
      <c r="H10464" s="24"/>
      <c r="I10464" s="24"/>
      <c r="J10464" s="24"/>
      <c r="K10464" s="24"/>
      <c r="L10464" s="24"/>
      <c r="M10464" s="24"/>
      <c r="N10464" s="24"/>
      <c r="O10464" s="24"/>
      <c r="P10464" s="24"/>
      <c r="Q10464" s="24"/>
      <c r="R10464" s="24"/>
      <c r="S10464" s="24"/>
      <c r="T10464" s="24"/>
      <c r="U10464" s="24"/>
      <c r="V10464" s="24"/>
      <c r="W10464" s="24"/>
      <c r="X10464" s="24"/>
      <c r="Y10464" s="24"/>
      <c r="Z10464" s="24"/>
      <c r="AA10464" s="24"/>
    </row>
    <row r="10465">
      <c r="A10465" s="24"/>
      <c r="B10465" s="25"/>
      <c r="C10465" s="24"/>
      <c r="D10465" s="26"/>
      <c r="E10465" s="24"/>
      <c r="F10465" s="24"/>
      <c r="G10465" s="24"/>
      <c r="H10465" s="24"/>
      <c r="I10465" s="24"/>
      <c r="J10465" s="24"/>
      <c r="K10465" s="24"/>
      <c r="L10465" s="24"/>
      <c r="M10465" s="24"/>
      <c r="N10465" s="24"/>
      <c r="O10465" s="24"/>
      <c r="P10465" s="24"/>
      <c r="Q10465" s="24"/>
      <c r="R10465" s="24"/>
      <c r="S10465" s="24"/>
      <c r="T10465" s="24"/>
      <c r="U10465" s="24"/>
      <c r="V10465" s="24"/>
      <c r="W10465" s="24"/>
      <c r="X10465" s="24"/>
      <c r="Y10465" s="24"/>
      <c r="Z10465" s="24"/>
      <c r="AA10465" s="24"/>
    </row>
    <row r="10466">
      <c r="A10466" s="24"/>
      <c r="B10466" s="25"/>
      <c r="C10466" s="24"/>
      <c r="D10466" s="26"/>
      <c r="E10466" s="24"/>
      <c r="F10466" s="24"/>
      <c r="G10466" s="24"/>
      <c r="H10466" s="24"/>
      <c r="I10466" s="24"/>
      <c r="J10466" s="24"/>
      <c r="K10466" s="24"/>
      <c r="L10466" s="24"/>
      <c r="M10466" s="24"/>
      <c r="N10466" s="24"/>
      <c r="O10466" s="24"/>
      <c r="P10466" s="24"/>
      <c r="Q10466" s="24"/>
      <c r="R10466" s="24"/>
      <c r="S10466" s="24"/>
      <c r="T10466" s="24"/>
      <c r="U10466" s="24"/>
      <c r="V10466" s="24"/>
      <c r="W10466" s="24"/>
      <c r="X10466" s="24"/>
      <c r="Y10466" s="24"/>
      <c r="Z10466" s="24"/>
      <c r="AA10466" s="24"/>
    </row>
    <row r="10467">
      <c r="A10467" s="24"/>
      <c r="B10467" s="25"/>
      <c r="C10467" s="24"/>
      <c r="D10467" s="26"/>
      <c r="E10467" s="24"/>
      <c r="F10467" s="24"/>
      <c r="G10467" s="24"/>
      <c r="H10467" s="24"/>
      <c r="I10467" s="24"/>
      <c r="J10467" s="24"/>
      <c r="K10467" s="24"/>
      <c r="L10467" s="24"/>
      <c r="M10467" s="24"/>
      <c r="N10467" s="24"/>
      <c r="O10467" s="24"/>
      <c r="P10467" s="24"/>
      <c r="Q10467" s="24"/>
      <c r="R10467" s="24"/>
      <c r="S10467" s="24"/>
      <c r="T10467" s="24"/>
      <c r="U10467" s="24"/>
      <c r="V10467" s="24"/>
      <c r="W10467" s="24"/>
      <c r="X10467" s="24"/>
      <c r="Y10467" s="24"/>
      <c r="Z10467" s="24"/>
      <c r="AA10467" s="24"/>
    </row>
    <row r="10468">
      <c r="A10468" s="24"/>
      <c r="B10468" s="25"/>
      <c r="C10468" s="24"/>
      <c r="D10468" s="26"/>
      <c r="E10468" s="24"/>
      <c r="F10468" s="24"/>
      <c r="G10468" s="24"/>
      <c r="H10468" s="24"/>
      <c r="I10468" s="24"/>
      <c r="J10468" s="24"/>
      <c r="K10468" s="24"/>
      <c r="L10468" s="24"/>
      <c r="M10468" s="24"/>
      <c r="N10468" s="24"/>
      <c r="O10468" s="24"/>
      <c r="P10468" s="24"/>
      <c r="Q10468" s="24"/>
      <c r="R10468" s="24"/>
      <c r="S10468" s="24"/>
      <c r="T10468" s="24"/>
      <c r="U10468" s="24"/>
      <c r="V10468" s="24"/>
      <c r="W10468" s="24"/>
      <c r="X10468" s="24"/>
      <c r="Y10468" s="24"/>
      <c r="Z10468" s="24"/>
      <c r="AA10468" s="24"/>
    </row>
    <row r="10469">
      <c r="A10469" s="24"/>
      <c r="B10469" s="25"/>
      <c r="C10469" s="24"/>
      <c r="D10469" s="26"/>
      <c r="E10469" s="24"/>
      <c r="F10469" s="24"/>
      <c r="G10469" s="24"/>
      <c r="H10469" s="24"/>
      <c r="I10469" s="24"/>
      <c r="J10469" s="24"/>
      <c r="K10469" s="24"/>
      <c r="L10469" s="24"/>
      <c r="M10469" s="24"/>
      <c r="N10469" s="24"/>
      <c r="O10469" s="24"/>
      <c r="P10469" s="24"/>
      <c r="Q10469" s="24"/>
      <c r="R10469" s="24"/>
      <c r="S10469" s="24"/>
      <c r="T10469" s="24"/>
      <c r="U10469" s="24"/>
      <c r="V10469" s="24"/>
      <c r="W10469" s="24"/>
      <c r="X10469" s="24"/>
      <c r="Y10469" s="24"/>
      <c r="Z10469" s="24"/>
      <c r="AA10469" s="24"/>
    </row>
    <row r="10470">
      <c r="A10470" s="24"/>
      <c r="B10470" s="25"/>
      <c r="C10470" s="24"/>
      <c r="D10470" s="26"/>
      <c r="E10470" s="24"/>
      <c r="F10470" s="24"/>
      <c r="G10470" s="24"/>
      <c r="H10470" s="24"/>
      <c r="I10470" s="24"/>
      <c r="J10470" s="24"/>
      <c r="K10470" s="24"/>
      <c r="L10470" s="24"/>
      <c r="M10470" s="24"/>
      <c r="N10470" s="24"/>
      <c r="O10470" s="24"/>
      <c r="P10470" s="24"/>
      <c r="Q10470" s="24"/>
      <c r="R10470" s="24"/>
      <c r="S10470" s="24"/>
      <c r="T10470" s="24"/>
      <c r="U10470" s="24"/>
      <c r="V10470" s="24"/>
      <c r="W10470" s="24"/>
      <c r="X10470" s="24"/>
      <c r="Y10470" s="24"/>
      <c r="Z10470" s="24"/>
      <c r="AA10470" s="24"/>
    </row>
    <row r="10471">
      <c r="A10471" s="24"/>
      <c r="B10471" s="25"/>
      <c r="C10471" s="24"/>
      <c r="D10471" s="26"/>
      <c r="E10471" s="24"/>
      <c r="F10471" s="24"/>
      <c r="G10471" s="24"/>
      <c r="H10471" s="24"/>
      <c r="I10471" s="24"/>
      <c r="J10471" s="24"/>
      <c r="K10471" s="24"/>
      <c r="L10471" s="24"/>
      <c r="M10471" s="24"/>
      <c r="N10471" s="24"/>
      <c r="O10471" s="24"/>
      <c r="P10471" s="24"/>
      <c r="Q10471" s="24"/>
      <c r="R10471" s="24"/>
      <c r="S10471" s="24"/>
      <c r="T10471" s="24"/>
      <c r="U10471" s="24"/>
      <c r="V10471" s="24"/>
      <c r="W10471" s="24"/>
      <c r="X10471" s="24"/>
      <c r="Y10471" s="24"/>
      <c r="Z10471" s="24"/>
      <c r="AA10471" s="24"/>
    </row>
    <row r="10472">
      <c r="A10472" s="24"/>
      <c r="B10472" s="25"/>
      <c r="C10472" s="24"/>
      <c r="D10472" s="26"/>
      <c r="E10472" s="24"/>
      <c r="F10472" s="24"/>
      <c r="G10472" s="24"/>
      <c r="H10472" s="24"/>
      <c r="I10472" s="24"/>
      <c r="J10472" s="24"/>
      <c r="K10472" s="24"/>
      <c r="L10472" s="24"/>
      <c r="M10472" s="24"/>
      <c r="N10472" s="24"/>
      <c r="O10472" s="24"/>
      <c r="P10472" s="24"/>
      <c r="Q10472" s="24"/>
      <c r="R10472" s="24"/>
      <c r="S10472" s="24"/>
      <c r="T10472" s="24"/>
      <c r="U10472" s="24"/>
      <c r="V10472" s="24"/>
      <c r="W10472" s="24"/>
      <c r="X10472" s="24"/>
      <c r="Y10472" s="24"/>
      <c r="Z10472" s="24"/>
      <c r="AA10472" s="24"/>
    </row>
    <row r="10473">
      <c r="A10473" s="24"/>
      <c r="B10473" s="25"/>
      <c r="C10473" s="24"/>
      <c r="D10473" s="26"/>
      <c r="E10473" s="24"/>
      <c r="F10473" s="24"/>
      <c r="G10473" s="24"/>
      <c r="H10473" s="24"/>
      <c r="I10473" s="24"/>
      <c r="J10473" s="24"/>
      <c r="K10473" s="24"/>
      <c r="L10473" s="24"/>
      <c r="M10473" s="24"/>
      <c r="N10473" s="24"/>
      <c r="O10473" s="24"/>
      <c r="P10473" s="24"/>
      <c r="Q10473" s="24"/>
      <c r="R10473" s="24"/>
      <c r="S10473" s="24"/>
      <c r="T10473" s="24"/>
      <c r="U10473" s="24"/>
      <c r="V10473" s="24"/>
      <c r="W10473" s="24"/>
      <c r="X10473" s="24"/>
      <c r="Y10473" s="24"/>
      <c r="Z10473" s="24"/>
      <c r="AA10473" s="24"/>
    </row>
    <row r="10474">
      <c r="A10474" s="24"/>
      <c r="B10474" s="25"/>
      <c r="C10474" s="24"/>
      <c r="D10474" s="26"/>
      <c r="E10474" s="24"/>
      <c r="F10474" s="24"/>
      <c r="G10474" s="24"/>
      <c r="H10474" s="24"/>
      <c r="I10474" s="24"/>
      <c r="J10474" s="24"/>
      <c r="K10474" s="24"/>
      <c r="L10474" s="24"/>
      <c r="M10474" s="24"/>
      <c r="N10474" s="24"/>
      <c r="O10474" s="24"/>
      <c r="P10474" s="24"/>
      <c r="Q10474" s="24"/>
      <c r="R10474" s="24"/>
      <c r="S10474" s="24"/>
      <c r="T10474" s="24"/>
      <c r="U10474" s="24"/>
      <c r="V10474" s="24"/>
      <c r="W10474" s="24"/>
      <c r="X10474" s="24"/>
      <c r="Y10474" s="24"/>
      <c r="Z10474" s="24"/>
      <c r="AA10474" s="24"/>
    </row>
    <row r="10475">
      <c r="A10475" s="24"/>
      <c r="B10475" s="25"/>
      <c r="C10475" s="24"/>
      <c r="D10475" s="26"/>
      <c r="E10475" s="24"/>
      <c r="F10475" s="24"/>
      <c r="G10475" s="24"/>
      <c r="H10475" s="24"/>
      <c r="I10475" s="24"/>
      <c r="J10475" s="24"/>
      <c r="K10475" s="24"/>
      <c r="L10475" s="24"/>
      <c r="M10475" s="24"/>
      <c r="N10475" s="24"/>
      <c r="O10475" s="24"/>
      <c r="P10475" s="24"/>
      <c r="Q10475" s="24"/>
      <c r="R10475" s="24"/>
      <c r="S10475" s="24"/>
      <c r="T10475" s="24"/>
      <c r="U10475" s="24"/>
      <c r="V10475" s="24"/>
      <c r="W10475" s="24"/>
      <c r="X10475" s="24"/>
      <c r="Y10475" s="24"/>
      <c r="Z10475" s="24"/>
      <c r="AA10475" s="24"/>
    </row>
    <row r="10476">
      <c r="A10476" s="24"/>
      <c r="B10476" s="25"/>
      <c r="C10476" s="24"/>
      <c r="D10476" s="26"/>
      <c r="E10476" s="24"/>
      <c r="F10476" s="24"/>
      <c r="G10476" s="24"/>
      <c r="H10476" s="24"/>
      <c r="I10476" s="24"/>
      <c r="J10476" s="24"/>
      <c r="K10476" s="24"/>
      <c r="L10476" s="24"/>
      <c r="M10476" s="24"/>
      <c r="N10476" s="24"/>
      <c r="O10476" s="24"/>
      <c r="P10476" s="24"/>
      <c r="Q10476" s="24"/>
      <c r="R10476" s="24"/>
      <c r="S10476" s="24"/>
      <c r="T10476" s="24"/>
      <c r="U10476" s="24"/>
      <c r="V10476" s="24"/>
      <c r="W10476" s="24"/>
      <c r="X10476" s="24"/>
      <c r="Y10476" s="24"/>
      <c r="Z10476" s="24"/>
      <c r="AA10476" s="24"/>
    </row>
    <row r="10477">
      <c r="A10477" s="24"/>
      <c r="B10477" s="25"/>
      <c r="C10477" s="24"/>
      <c r="D10477" s="26"/>
      <c r="E10477" s="24"/>
      <c r="F10477" s="24"/>
      <c r="G10477" s="24"/>
      <c r="H10477" s="24"/>
      <c r="I10477" s="24"/>
      <c r="J10477" s="24"/>
      <c r="K10477" s="24"/>
      <c r="L10477" s="24"/>
      <c r="M10477" s="24"/>
      <c r="N10477" s="24"/>
      <c r="O10477" s="24"/>
      <c r="P10477" s="24"/>
      <c r="Q10477" s="24"/>
      <c r="R10477" s="24"/>
      <c r="S10477" s="24"/>
      <c r="T10477" s="24"/>
      <c r="U10477" s="24"/>
      <c r="V10477" s="24"/>
      <c r="W10477" s="24"/>
      <c r="X10477" s="24"/>
      <c r="Y10477" s="24"/>
      <c r="Z10477" s="24"/>
      <c r="AA10477" s="24"/>
    </row>
    <row r="10478">
      <c r="A10478" s="24"/>
      <c r="B10478" s="25"/>
      <c r="C10478" s="24"/>
      <c r="D10478" s="26"/>
      <c r="E10478" s="24"/>
      <c r="F10478" s="24"/>
      <c r="G10478" s="24"/>
      <c r="H10478" s="24"/>
      <c r="I10478" s="24"/>
      <c r="J10478" s="24"/>
      <c r="K10478" s="24"/>
      <c r="L10478" s="24"/>
      <c r="M10478" s="24"/>
      <c r="N10478" s="24"/>
      <c r="O10478" s="24"/>
      <c r="P10478" s="24"/>
      <c r="Q10478" s="24"/>
      <c r="R10478" s="24"/>
      <c r="S10478" s="24"/>
      <c r="T10478" s="24"/>
      <c r="U10478" s="24"/>
      <c r="V10478" s="24"/>
      <c r="W10478" s="24"/>
      <c r="X10478" s="24"/>
      <c r="Y10478" s="24"/>
      <c r="Z10478" s="24"/>
      <c r="AA10478" s="24"/>
    </row>
    <row r="10479">
      <c r="A10479" s="24"/>
      <c r="B10479" s="25"/>
      <c r="C10479" s="24"/>
      <c r="D10479" s="26"/>
      <c r="E10479" s="24"/>
      <c r="F10479" s="24"/>
      <c r="G10479" s="24"/>
      <c r="H10479" s="24"/>
      <c r="I10479" s="24"/>
      <c r="J10479" s="24"/>
      <c r="K10479" s="24"/>
      <c r="L10479" s="24"/>
      <c r="M10479" s="24"/>
      <c r="N10479" s="24"/>
      <c r="O10479" s="24"/>
      <c r="P10479" s="24"/>
      <c r="Q10479" s="24"/>
      <c r="R10479" s="24"/>
      <c r="S10479" s="24"/>
      <c r="T10479" s="24"/>
      <c r="U10479" s="24"/>
      <c r="V10479" s="24"/>
      <c r="W10479" s="24"/>
      <c r="X10479" s="24"/>
      <c r="Y10479" s="24"/>
      <c r="Z10479" s="24"/>
      <c r="AA10479" s="24"/>
    </row>
    <row r="10480">
      <c r="A10480" s="24"/>
      <c r="B10480" s="25"/>
      <c r="C10480" s="24"/>
      <c r="D10480" s="26"/>
      <c r="E10480" s="24"/>
      <c r="F10480" s="24"/>
      <c r="G10480" s="24"/>
      <c r="H10480" s="24"/>
      <c r="I10480" s="24"/>
      <c r="J10480" s="24"/>
      <c r="K10480" s="24"/>
      <c r="L10480" s="24"/>
      <c r="M10480" s="24"/>
      <c r="N10480" s="24"/>
      <c r="O10480" s="24"/>
      <c r="P10480" s="24"/>
      <c r="Q10480" s="24"/>
      <c r="R10480" s="24"/>
      <c r="S10480" s="24"/>
      <c r="T10480" s="24"/>
      <c r="U10480" s="24"/>
      <c r="V10480" s="24"/>
      <c r="W10480" s="24"/>
      <c r="X10480" s="24"/>
      <c r="Y10480" s="24"/>
      <c r="Z10480" s="24"/>
      <c r="AA10480" s="24"/>
    </row>
    <row r="10481">
      <c r="A10481" s="24"/>
      <c r="B10481" s="25"/>
      <c r="C10481" s="24"/>
      <c r="D10481" s="26"/>
      <c r="E10481" s="24"/>
      <c r="F10481" s="24"/>
      <c r="G10481" s="24"/>
      <c r="H10481" s="24"/>
      <c r="I10481" s="24"/>
      <c r="J10481" s="24"/>
      <c r="K10481" s="24"/>
      <c r="L10481" s="24"/>
      <c r="M10481" s="24"/>
      <c r="N10481" s="24"/>
      <c r="O10481" s="24"/>
      <c r="P10481" s="24"/>
      <c r="Q10481" s="24"/>
      <c r="R10481" s="24"/>
      <c r="S10481" s="24"/>
      <c r="T10481" s="24"/>
      <c r="U10481" s="24"/>
      <c r="V10481" s="24"/>
      <c r="W10481" s="24"/>
      <c r="X10481" s="24"/>
      <c r="Y10481" s="24"/>
      <c r="Z10481" s="24"/>
      <c r="AA10481" s="24"/>
    </row>
    <row r="10482">
      <c r="A10482" s="24"/>
      <c r="B10482" s="25"/>
      <c r="C10482" s="24"/>
      <c r="D10482" s="26"/>
      <c r="E10482" s="24"/>
      <c r="F10482" s="24"/>
      <c r="G10482" s="24"/>
      <c r="H10482" s="24"/>
      <c r="I10482" s="24"/>
      <c r="J10482" s="24"/>
      <c r="K10482" s="24"/>
      <c r="L10482" s="24"/>
      <c r="M10482" s="24"/>
      <c r="N10482" s="24"/>
      <c r="O10482" s="24"/>
      <c r="P10482" s="24"/>
      <c r="Q10482" s="24"/>
      <c r="R10482" s="24"/>
      <c r="S10482" s="24"/>
      <c r="T10482" s="24"/>
      <c r="U10482" s="24"/>
      <c r="V10482" s="24"/>
      <c r="W10482" s="24"/>
      <c r="X10482" s="24"/>
      <c r="Y10482" s="24"/>
      <c r="Z10482" s="24"/>
      <c r="AA10482" s="24"/>
    </row>
    <row r="10483">
      <c r="A10483" s="24"/>
      <c r="B10483" s="25"/>
      <c r="C10483" s="24"/>
      <c r="D10483" s="26"/>
      <c r="E10483" s="24"/>
      <c r="F10483" s="24"/>
      <c r="G10483" s="24"/>
      <c r="H10483" s="24"/>
      <c r="I10483" s="24"/>
      <c r="J10483" s="24"/>
      <c r="K10483" s="24"/>
      <c r="L10483" s="24"/>
      <c r="M10483" s="24"/>
      <c r="N10483" s="24"/>
      <c r="O10483" s="24"/>
      <c r="P10483" s="24"/>
      <c r="Q10483" s="24"/>
      <c r="R10483" s="24"/>
      <c r="S10483" s="24"/>
      <c r="T10483" s="24"/>
      <c r="U10483" s="24"/>
      <c r="V10483" s="24"/>
      <c r="W10483" s="24"/>
      <c r="X10483" s="24"/>
      <c r="Y10483" s="24"/>
      <c r="Z10483" s="24"/>
      <c r="AA10483" s="24"/>
    </row>
    <row r="10484">
      <c r="A10484" s="24"/>
      <c r="B10484" s="25"/>
      <c r="C10484" s="24"/>
      <c r="D10484" s="26"/>
      <c r="E10484" s="24"/>
      <c r="F10484" s="24"/>
      <c r="G10484" s="24"/>
      <c r="H10484" s="24"/>
      <c r="I10484" s="24"/>
      <c r="J10484" s="24"/>
      <c r="K10484" s="24"/>
      <c r="L10484" s="24"/>
      <c r="M10484" s="24"/>
      <c r="N10484" s="24"/>
      <c r="O10484" s="24"/>
      <c r="P10484" s="24"/>
      <c r="Q10484" s="24"/>
      <c r="R10484" s="24"/>
      <c r="S10484" s="24"/>
      <c r="T10484" s="24"/>
      <c r="U10484" s="24"/>
      <c r="V10484" s="24"/>
      <c r="W10484" s="24"/>
      <c r="X10484" s="24"/>
      <c r="Y10484" s="24"/>
      <c r="Z10484" s="24"/>
      <c r="AA10484" s="24"/>
    </row>
    <row r="10485">
      <c r="A10485" s="24"/>
      <c r="B10485" s="25"/>
      <c r="C10485" s="24"/>
      <c r="D10485" s="26"/>
      <c r="E10485" s="24"/>
      <c r="F10485" s="24"/>
      <c r="G10485" s="24"/>
      <c r="H10485" s="24"/>
      <c r="I10485" s="24"/>
      <c r="J10485" s="24"/>
      <c r="K10485" s="24"/>
      <c r="L10485" s="24"/>
      <c r="M10485" s="24"/>
      <c r="N10485" s="24"/>
      <c r="O10485" s="24"/>
      <c r="P10485" s="24"/>
      <c r="Q10485" s="24"/>
      <c r="R10485" s="24"/>
      <c r="S10485" s="24"/>
      <c r="T10485" s="24"/>
      <c r="U10485" s="24"/>
      <c r="V10485" s="24"/>
      <c r="W10485" s="24"/>
      <c r="X10485" s="24"/>
      <c r="Y10485" s="24"/>
      <c r="Z10485" s="24"/>
      <c r="AA10485" s="24"/>
    </row>
    <row r="10486">
      <c r="A10486" s="24"/>
      <c r="B10486" s="25"/>
      <c r="C10486" s="24"/>
      <c r="D10486" s="26"/>
      <c r="E10486" s="24"/>
      <c r="F10486" s="24"/>
      <c r="G10486" s="24"/>
      <c r="H10486" s="24"/>
      <c r="I10486" s="24"/>
      <c r="J10486" s="24"/>
      <c r="K10486" s="24"/>
      <c r="L10486" s="24"/>
      <c r="M10486" s="24"/>
      <c r="N10486" s="24"/>
      <c r="O10486" s="24"/>
      <c r="P10486" s="24"/>
      <c r="Q10486" s="24"/>
      <c r="R10486" s="24"/>
      <c r="S10486" s="24"/>
      <c r="T10486" s="24"/>
      <c r="U10486" s="24"/>
      <c r="V10486" s="24"/>
      <c r="W10486" s="24"/>
      <c r="X10486" s="24"/>
      <c r="Y10486" s="24"/>
      <c r="Z10486" s="24"/>
      <c r="AA10486" s="24"/>
    </row>
    <row r="10487">
      <c r="A10487" s="24"/>
      <c r="B10487" s="25"/>
      <c r="C10487" s="24"/>
      <c r="D10487" s="26"/>
      <c r="E10487" s="24"/>
      <c r="F10487" s="24"/>
      <c r="G10487" s="24"/>
      <c r="H10487" s="24"/>
      <c r="I10487" s="24"/>
      <c r="J10487" s="24"/>
      <c r="K10487" s="24"/>
      <c r="L10487" s="24"/>
      <c r="M10487" s="24"/>
      <c r="N10487" s="24"/>
      <c r="O10487" s="24"/>
      <c r="P10487" s="24"/>
      <c r="Q10487" s="24"/>
      <c r="R10487" s="24"/>
      <c r="S10487" s="24"/>
      <c r="T10487" s="24"/>
      <c r="U10487" s="24"/>
      <c r="V10487" s="24"/>
      <c r="W10487" s="24"/>
      <c r="X10487" s="24"/>
      <c r="Y10487" s="24"/>
      <c r="Z10487" s="24"/>
      <c r="AA10487" s="24"/>
    </row>
    <row r="10488">
      <c r="A10488" s="24"/>
      <c r="B10488" s="25"/>
      <c r="C10488" s="24"/>
      <c r="D10488" s="26"/>
      <c r="E10488" s="24"/>
      <c r="F10488" s="24"/>
      <c r="G10488" s="24"/>
      <c r="H10488" s="24"/>
      <c r="I10488" s="24"/>
      <c r="J10488" s="24"/>
      <c r="K10488" s="24"/>
      <c r="L10488" s="24"/>
      <c r="M10488" s="24"/>
      <c r="N10488" s="24"/>
      <c r="O10488" s="24"/>
      <c r="P10488" s="24"/>
      <c r="Q10488" s="24"/>
      <c r="R10488" s="24"/>
      <c r="S10488" s="24"/>
      <c r="T10488" s="24"/>
      <c r="U10488" s="24"/>
      <c r="V10488" s="24"/>
      <c r="W10488" s="24"/>
      <c r="X10488" s="24"/>
      <c r="Y10488" s="24"/>
      <c r="Z10488" s="24"/>
      <c r="AA10488" s="24"/>
    </row>
    <row r="10489">
      <c r="A10489" s="24"/>
      <c r="B10489" s="25"/>
      <c r="C10489" s="24"/>
      <c r="D10489" s="26"/>
      <c r="E10489" s="24"/>
      <c r="F10489" s="24"/>
      <c r="G10489" s="24"/>
      <c r="H10489" s="24"/>
      <c r="I10489" s="24"/>
      <c r="J10489" s="24"/>
      <c r="K10489" s="24"/>
      <c r="L10489" s="24"/>
      <c r="M10489" s="24"/>
      <c r="N10489" s="24"/>
      <c r="O10489" s="24"/>
      <c r="P10489" s="24"/>
      <c r="Q10489" s="24"/>
      <c r="R10489" s="24"/>
      <c r="S10489" s="24"/>
      <c r="T10489" s="24"/>
      <c r="U10489" s="24"/>
      <c r="V10489" s="24"/>
      <c r="W10489" s="24"/>
      <c r="X10489" s="24"/>
      <c r="Y10489" s="24"/>
      <c r="Z10489" s="24"/>
      <c r="AA10489" s="24"/>
    </row>
    <row r="10490">
      <c r="A10490" s="24"/>
      <c r="B10490" s="25"/>
      <c r="C10490" s="24"/>
      <c r="D10490" s="26"/>
      <c r="E10490" s="24"/>
      <c r="F10490" s="24"/>
      <c r="G10490" s="24"/>
      <c r="H10490" s="24"/>
      <c r="I10490" s="24"/>
      <c r="J10490" s="24"/>
      <c r="K10490" s="24"/>
      <c r="L10490" s="24"/>
      <c r="M10490" s="24"/>
      <c r="N10490" s="24"/>
      <c r="O10490" s="24"/>
      <c r="P10490" s="24"/>
      <c r="Q10490" s="24"/>
      <c r="R10490" s="24"/>
      <c r="S10490" s="24"/>
      <c r="T10490" s="24"/>
      <c r="U10490" s="24"/>
      <c r="V10490" s="24"/>
      <c r="W10490" s="24"/>
      <c r="X10490" s="24"/>
      <c r="Y10490" s="24"/>
      <c r="Z10490" s="24"/>
      <c r="AA10490" s="24"/>
    </row>
    <row r="10491">
      <c r="A10491" s="24"/>
      <c r="B10491" s="25"/>
      <c r="C10491" s="24"/>
      <c r="D10491" s="26"/>
      <c r="E10491" s="24"/>
      <c r="F10491" s="24"/>
      <c r="G10491" s="24"/>
      <c r="H10491" s="24"/>
      <c r="I10491" s="24"/>
      <c r="J10491" s="24"/>
      <c r="K10491" s="24"/>
      <c r="L10491" s="24"/>
      <c r="M10491" s="24"/>
      <c r="N10491" s="24"/>
      <c r="O10491" s="24"/>
      <c r="P10491" s="24"/>
      <c r="Q10491" s="24"/>
      <c r="R10491" s="24"/>
      <c r="S10491" s="24"/>
      <c r="T10491" s="24"/>
      <c r="U10491" s="24"/>
      <c r="V10491" s="24"/>
      <c r="W10491" s="24"/>
      <c r="X10491" s="24"/>
      <c r="Y10491" s="24"/>
      <c r="Z10491" s="24"/>
      <c r="AA10491" s="24"/>
    </row>
    <row r="10492">
      <c r="A10492" s="24"/>
      <c r="B10492" s="25"/>
      <c r="C10492" s="24"/>
      <c r="D10492" s="26"/>
      <c r="E10492" s="24"/>
      <c r="F10492" s="24"/>
      <c r="G10492" s="24"/>
      <c r="H10492" s="24"/>
      <c r="I10492" s="24"/>
      <c r="J10492" s="24"/>
      <c r="K10492" s="24"/>
      <c r="L10492" s="24"/>
      <c r="M10492" s="24"/>
      <c r="N10492" s="24"/>
      <c r="O10492" s="24"/>
      <c r="P10492" s="24"/>
      <c r="Q10492" s="24"/>
      <c r="R10492" s="24"/>
      <c r="S10492" s="24"/>
      <c r="T10492" s="24"/>
      <c r="U10492" s="24"/>
      <c r="V10492" s="24"/>
      <c r="W10492" s="24"/>
      <c r="X10492" s="24"/>
      <c r="Y10492" s="24"/>
      <c r="Z10492" s="24"/>
      <c r="AA10492" s="24"/>
    </row>
    <row r="10493">
      <c r="A10493" s="24"/>
      <c r="B10493" s="25"/>
      <c r="C10493" s="24"/>
      <c r="D10493" s="26"/>
      <c r="E10493" s="24"/>
      <c r="F10493" s="24"/>
      <c r="G10493" s="24"/>
      <c r="H10493" s="24"/>
      <c r="I10493" s="24"/>
      <c r="J10493" s="24"/>
      <c r="K10493" s="24"/>
      <c r="L10493" s="24"/>
      <c r="M10493" s="24"/>
      <c r="N10493" s="24"/>
      <c r="O10493" s="24"/>
      <c r="P10493" s="24"/>
      <c r="Q10493" s="24"/>
      <c r="R10493" s="24"/>
      <c r="S10493" s="24"/>
      <c r="T10493" s="24"/>
      <c r="U10493" s="24"/>
      <c r="V10493" s="24"/>
      <c r="W10493" s="24"/>
      <c r="X10493" s="24"/>
      <c r="Y10493" s="24"/>
      <c r="Z10493" s="24"/>
      <c r="AA10493" s="24"/>
    </row>
    <row r="10494">
      <c r="A10494" s="24"/>
      <c r="B10494" s="25"/>
      <c r="C10494" s="24"/>
      <c r="D10494" s="26"/>
      <c r="E10494" s="24"/>
      <c r="F10494" s="24"/>
      <c r="G10494" s="24"/>
      <c r="H10494" s="24"/>
      <c r="I10494" s="24"/>
      <c r="J10494" s="24"/>
      <c r="K10494" s="24"/>
      <c r="L10494" s="24"/>
      <c r="M10494" s="24"/>
      <c r="N10494" s="24"/>
      <c r="O10494" s="24"/>
      <c r="P10494" s="24"/>
      <c r="Q10494" s="24"/>
      <c r="R10494" s="24"/>
      <c r="S10494" s="24"/>
      <c r="T10494" s="24"/>
      <c r="U10494" s="24"/>
      <c r="V10494" s="24"/>
      <c r="W10494" s="24"/>
      <c r="X10494" s="24"/>
      <c r="Y10494" s="24"/>
      <c r="Z10494" s="24"/>
      <c r="AA10494" s="24"/>
    </row>
    <row r="10495">
      <c r="A10495" s="24"/>
      <c r="B10495" s="25"/>
      <c r="C10495" s="24"/>
      <c r="D10495" s="26"/>
      <c r="E10495" s="24"/>
      <c r="F10495" s="24"/>
      <c r="G10495" s="24"/>
      <c r="H10495" s="24"/>
      <c r="I10495" s="24"/>
      <c r="J10495" s="24"/>
      <c r="K10495" s="24"/>
      <c r="L10495" s="24"/>
      <c r="M10495" s="24"/>
      <c r="N10495" s="24"/>
      <c r="O10495" s="24"/>
      <c r="P10495" s="24"/>
      <c r="Q10495" s="24"/>
      <c r="R10495" s="24"/>
      <c r="S10495" s="24"/>
      <c r="T10495" s="24"/>
      <c r="U10495" s="24"/>
      <c r="V10495" s="24"/>
      <c r="W10495" s="24"/>
      <c r="X10495" s="24"/>
      <c r="Y10495" s="24"/>
      <c r="Z10495" s="24"/>
      <c r="AA10495" s="24"/>
    </row>
    <row r="10496">
      <c r="A10496" s="24"/>
      <c r="B10496" s="25"/>
      <c r="C10496" s="24"/>
      <c r="D10496" s="26"/>
      <c r="E10496" s="24"/>
      <c r="F10496" s="24"/>
      <c r="G10496" s="24"/>
      <c r="H10496" s="24"/>
      <c r="I10496" s="24"/>
      <c r="J10496" s="24"/>
      <c r="K10496" s="24"/>
      <c r="L10496" s="24"/>
      <c r="M10496" s="24"/>
      <c r="N10496" s="24"/>
      <c r="O10496" s="24"/>
      <c r="P10496" s="24"/>
      <c r="Q10496" s="24"/>
      <c r="R10496" s="24"/>
      <c r="S10496" s="24"/>
      <c r="T10496" s="24"/>
      <c r="U10496" s="24"/>
      <c r="V10496" s="24"/>
      <c r="W10496" s="24"/>
      <c r="X10496" s="24"/>
      <c r="Y10496" s="24"/>
      <c r="Z10496" s="24"/>
      <c r="AA10496" s="24"/>
    </row>
    <row r="10497">
      <c r="A10497" s="24"/>
      <c r="B10497" s="25"/>
      <c r="C10497" s="24"/>
      <c r="D10497" s="26"/>
      <c r="E10497" s="24"/>
      <c r="F10497" s="24"/>
      <c r="G10497" s="24"/>
      <c r="H10497" s="24"/>
      <c r="I10497" s="24"/>
      <c r="J10497" s="24"/>
      <c r="K10497" s="24"/>
      <c r="L10497" s="24"/>
      <c r="M10497" s="24"/>
      <c r="N10497" s="24"/>
      <c r="O10497" s="24"/>
      <c r="P10497" s="24"/>
      <c r="Q10497" s="24"/>
      <c r="R10497" s="24"/>
      <c r="S10497" s="24"/>
      <c r="T10497" s="24"/>
      <c r="U10497" s="24"/>
      <c r="V10497" s="24"/>
      <c r="W10497" s="24"/>
      <c r="X10497" s="24"/>
      <c r="Y10497" s="24"/>
      <c r="Z10497" s="24"/>
      <c r="AA10497" s="24"/>
    </row>
    <row r="10498">
      <c r="A10498" s="24"/>
      <c r="B10498" s="25"/>
      <c r="C10498" s="24"/>
      <c r="D10498" s="26"/>
      <c r="E10498" s="24"/>
      <c r="F10498" s="24"/>
      <c r="G10498" s="24"/>
      <c r="H10498" s="24"/>
      <c r="I10498" s="24"/>
      <c r="J10498" s="24"/>
      <c r="K10498" s="24"/>
      <c r="L10498" s="24"/>
      <c r="M10498" s="24"/>
      <c r="N10498" s="24"/>
      <c r="O10498" s="24"/>
      <c r="P10498" s="24"/>
      <c r="Q10498" s="24"/>
      <c r="R10498" s="24"/>
      <c r="S10498" s="24"/>
      <c r="T10498" s="24"/>
      <c r="U10498" s="24"/>
      <c r="V10498" s="24"/>
      <c r="W10498" s="24"/>
      <c r="X10498" s="24"/>
      <c r="Y10498" s="24"/>
      <c r="Z10498" s="24"/>
      <c r="AA10498" s="24"/>
    </row>
    <row r="10499">
      <c r="A10499" s="24"/>
      <c r="B10499" s="25"/>
      <c r="C10499" s="24"/>
      <c r="D10499" s="26"/>
      <c r="E10499" s="24"/>
      <c r="F10499" s="24"/>
      <c r="G10499" s="24"/>
      <c r="H10499" s="24"/>
      <c r="I10499" s="24"/>
      <c r="J10499" s="24"/>
      <c r="K10499" s="24"/>
      <c r="L10499" s="24"/>
      <c r="M10499" s="24"/>
      <c r="N10499" s="24"/>
      <c r="O10499" s="24"/>
      <c r="P10499" s="24"/>
      <c r="Q10499" s="24"/>
      <c r="R10499" s="24"/>
      <c r="S10499" s="24"/>
      <c r="T10499" s="24"/>
      <c r="U10499" s="24"/>
      <c r="V10499" s="24"/>
      <c r="W10499" s="24"/>
      <c r="X10499" s="24"/>
      <c r="Y10499" s="24"/>
      <c r="Z10499" s="24"/>
      <c r="AA10499" s="24"/>
    </row>
    <row r="10500">
      <c r="A10500" s="24"/>
      <c r="B10500" s="25"/>
      <c r="C10500" s="24"/>
      <c r="D10500" s="26"/>
      <c r="E10500" s="24"/>
      <c r="F10500" s="24"/>
      <c r="G10500" s="24"/>
      <c r="H10500" s="24"/>
      <c r="I10500" s="24"/>
      <c r="J10500" s="24"/>
      <c r="K10500" s="24"/>
      <c r="L10500" s="24"/>
      <c r="M10500" s="24"/>
      <c r="N10500" s="24"/>
      <c r="O10500" s="24"/>
      <c r="P10500" s="24"/>
      <c r="Q10500" s="24"/>
      <c r="R10500" s="24"/>
      <c r="S10500" s="24"/>
      <c r="T10500" s="24"/>
      <c r="U10500" s="24"/>
      <c r="V10500" s="24"/>
      <c r="W10500" s="24"/>
      <c r="X10500" s="24"/>
      <c r="Y10500" s="24"/>
      <c r="Z10500" s="24"/>
      <c r="AA10500" s="24"/>
    </row>
    <row r="10501">
      <c r="A10501" s="24"/>
      <c r="B10501" s="25"/>
      <c r="C10501" s="24"/>
      <c r="D10501" s="26"/>
      <c r="E10501" s="24"/>
      <c r="F10501" s="24"/>
      <c r="G10501" s="24"/>
      <c r="H10501" s="24"/>
      <c r="I10501" s="24"/>
      <c r="J10501" s="24"/>
      <c r="K10501" s="24"/>
      <c r="L10501" s="24"/>
      <c r="M10501" s="24"/>
      <c r="N10501" s="24"/>
      <c r="O10501" s="24"/>
      <c r="P10501" s="24"/>
      <c r="Q10501" s="24"/>
      <c r="R10501" s="24"/>
      <c r="S10501" s="24"/>
      <c r="T10501" s="24"/>
      <c r="U10501" s="24"/>
      <c r="V10501" s="24"/>
      <c r="W10501" s="24"/>
      <c r="X10501" s="24"/>
      <c r="Y10501" s="24"/>
      <c r="Z10501" s="24"/>
      <c r="AA10501" s="24"/>
    </row>
    <row r="10502">
      <c r="A10502" s="24"/>
      <c r="B10502" s="25"/>
      <c r="C10502" s="24"/>
      <c r="D10502" s="26"/>
      <c r="E10502" s="24"/>
      <c r="F10502" s="24"/>
      <c r="G10502" s="24"/>
      <c r="H10502" s="24"/>
      <c r="I10502" s="24"/>
      <c r="J10502" s="24"/>
      <c r="K10502" s="24"/>
      <c r="L10502" s="24"/>
      <c r="M10502" s="24"/>
      <c r="N10502" s="24"/>
      <c r="O10502" s="24"/>
      <c r="P10502" s="24"/>
      <c r="Q10502" s="24"/>
      <c r="R10502" s="24"/>
      <c r="S10502" s="24"/>
      <c r="T10502" s="24"/>
      <c r="U10502" s="24"/>
      <c r="V10502" s="24"/>
      <c r="W10502" s="24"/>
      <c r="X10502" s="24"/>
      <c r="Y10502" s="24"/>
      <c r="Z10502" s="24"/>
      <c r="AA10502" s="24"/>
    </row>
    <row r="10503">
      <c r="A10503" s="24"/>
      <c r="B10503" s="25"/>
      <c r="C10503" s="24"/>
      <c r="D10503" s="26"/>
      <c r="E10503" s="24"/>
      <c r="F10503" s="24"/>
      <c r="G10503" s="24"/>
      <c r="H10503" s="24"/>
      <c r="I10503" s="24"/>
      <c r="J10503" s="24"/>
      <c r="K10503" s="24"/>
      <c r="L10503" s="24"/>
      <c r="M10503" s="24"/>
      <c r="N10503" s="24"/>
      <c r="O10503" s="24"/>
      <c r="P10503" s="24"/>
      <c r="Q10503" s="24"/>
      <c r="R10503" s="24"/>
      <c r="S10503" s="24"/>
      <c r="T10503" s="24"/>
      <c r="U10503" s="24"/>
      <c r="V10503" s="24"/>
      <c r="W10503" s="24"/>
      <c r="X10503" s="24"/>
      <c r="Y10503" s="24"/>
      <c r="Z10503" s="24"/>
      <c r="AA10503" s="24"/>
    </row>
    <row r="10504">
      <c r="A10504" s="24"/>
      <c r="B10504" s="25"/>
      <c r="C10504" s="24"/>
      <c r="D10504" s="26"/>
      <c r="E10504" s="24"/>
      <c r="F10504" s="24"/>
      <c r="G10504" s="24"/>
      <c r="H10504" s="24"/>
      <c r="I10504" s="24"/>
      <c r="J10504" s="24"/>
      <c r="K10504" s="24"/>
      <c r="L10504" s="24"/>
      <c r="M10504" s="24"/>
      <c r="N10504" s="24"/>
      <c r="O10504" s="24"/>
      <c r="P10504" s="24"/>
      <c r="Q10504" s="24"/>
      <c r="R10504" s="24"/>
      <c r="S10504" s="24"/>
      <c r="T10504" s="24"/>
      <c r="U10504" s="24"/>
      <c r="V10504" s="24"/>
      <c r="W10504" s="24"/>
      <c r="X10504" s="24"/>
      <c r="Y10504" s="24"/>
      <c r="Z10504" s="24"/>
      <c r="AA10504" s="24"/>
    </row>
    <row r="10505">
      <c r="A10505" s="24"/>
      <c r="B10505" s="25"/>
      <c r="C10505" s="24"/>
      <c r="D10505" s="26"/>
      <c r="E10505" s="24"/>
      <c r="F10505" s="24"/>
      <c r="G10505" s="24"/>
      <c r="H10505" s="24"/>
      <c r="I10505" s="24"/>
      <c r="J10505" s="24"/>
      <c r="K10505" s="24"/>
      <c r="L10505" s="24"/>
      <c r="M10505" s="24"/>
      <c r="N10505" s="24"/>
      <c r="O10505" s="24"/>
      <c r="P10505" s="24"/>
      <c r="Q10505" s="24"/>
      <c r="R10505" s="24"/>
      <c r="S10505" s="24"/>
      <c r="T10505" s="24"/>
      <c r="U10505" s="24"/>
      <c r="V10505" s="24"/>
      <c r="W10505" s="24"/>
      <c r="X10505" s="24"/>
      <c r="Y10505" s="24"/>
      <c r="Z10505" s="24"/>
      <c r="AA10505" s="24"/>
    </row>
    <row r="10506">
      <c r="A10506" s="24"/>
      <c r="B10506" s="25"/>
      <c r="C10506" s="24"/>
      <c r="D10506" s="26"/>
      <c r="E10506" s="24"/>
      <c r="F10506" s="24"/>
      <c r="G10506" s="24"/>
      <c r="H10506" s="24"/>
      <c r="I10506" s="24"/>
      <c r="J10506" s="24"/>
      <c r="K10506" s="24"/>
      <c r="L10506" s="24"/>
      <c r="M10506" s="24"/>
      <c r="N10506" s="24"/>
      <c r="O10506" s="24"/>
      <c r="P10506" s="24"/>
      <c r="Q10506" s="24"/>
      <c r="R10506" s="24"/>
      <c r="S10506" s="24"/>
      <c r="T10506" s="24"/>
      <c r="U10506" s="24"/>
      <c r="V10506" s="24"/>
      <c r="W10506" s="24"/>
      <c r="X10506" s="24"/>
      <c r="Y10506" s="24"/>
      <c r="Z10506" s="24"/>
      <c r="AA10506" s="24"/>
    </row>
    <row r="10507">
      <c r="A10507" s="24"/>
      <c r="B10507" s="25"/>
      <c r="C10507" s="24"/>
      <c r="D10507" s="26"/>
      <c r="E10507" s="24"/>
      <c r="F10507" s="24"/>
      <c r="G10507" s="24"/>
      <c r="H10507" s="24"/>
      <c r="I10507" s="24"/>
      <c r="J10507" s="24"/>
      <c r="K10507" s="24"/>
      <c r="L10507" s="24"/>
      <c r="M10507" s="24"/>
      <c r="N10507" s="24"/>
      <c r="O10507" s="24"/>
      <c r="P10507" s="24"/>
      <c r="Q10507" s="24"/>
      <c r="R10507" s="24"/>
      <c r="S10507" s="24"/>
      <c r="T10507" s="24"/>
      <c r="U10507" s="24"/>
      <c r="V10507" s="24"/>
      <c r="W10507" s="24"/>
      <c r="X10507" s="24"/>
      <c r="Y10507" s="24"/>
      <c r="Z10507" s="24"/>
      <c r="AA10507" s="24"/>
    </row>
    <row r="10508">
      <c r="A10508" s="24"/>
      <c r="B10508" s="25"/>
      <c r="C10508" s="24"/>
      <c r="D10508" s="26"/>
      <c r="E10508" s="24"/>
      <c r="F10508" s="24"/>
      <c r="G10508" s="24"/>
      <c r="H10508" s="24"/>
      <c r="I10508" s="24"/>
      <c r="J10508" s="24"/>
      <c r="K10508" s="24"/>
      <c r="L10508" s="24"/>
      <c r="M10508" s="24"/>
      <c r="N10508" s="24"/>
      <c r="O10508" s="24"/>
      <c r="P10508" s="24"/>
      <c r="Q10508" s="24"/>
      <c r="R10508" s="24"/>
      <c r="S10508" s="24"/>
      <c r="T10508" s="24"/>
      <c r="U10508" s="24"/>
      <c r="V10508" s="24"/>
      <c r="W10508" s="24"/>
      <c r="X10508" s="24"/>
      <c r="Y10508" s="24"/>
      <c r="Z10508" s="24"/>
      <c r="AA10508" s="24"/>
    </row>
    <row r="10509">
      <c r="A10509" s="24"/>
      <c r="B10509" s="25"/>
      <c r="C10509" s="24"/>
      <c r="D10509" s="26"/>
      <c r="E10509" s="24"/>
      <c r="F10509" s="24"/>
      <c r="G10509" s="24"/>
      <c r="H10509" s="24"/>
      <c r="I10509" s="24"/>
      <c r="J10509" s="24"/>
      <c r="K10509" s="24"/>
      <c r="L10509" s="24"/>
      <c r="M10509" s="24"/>
      <c r="N10509" s="24"/>
      <c r="O10509" s="24"/>
      <c r="P10509" s="24"/>
      <c r="Q10509" s="24"/>
      <c r="R10509" s="24"/>
      <c r="S10509" s="24"/>
      <c r="T10509" s="24"/>
      <c r="U10509" s="24"/>
      <c r="V10509" s="24"/>
      <c r="W10509" s="24"/>
      <c r="X10509" s="24"/>
      <c r="Y10509" s="24"/>
      <c r="Z10509" s="24"/>
      <c r="AA10509" s="24"/>
    </row>
    <row r="10510">
      <c r="A10510" s="24"/>
      <c r="B10510" s="25"/>
      <c r="C10510" s="24"/>
      <c r="D10510" s="26"/>
      <c r="E10510" s="24"/>
      <c r="F10510" s="24"/>
      <c r="G10510" s="24"/>
      <c r="H10510" s="24"/>
      <c r="I10510" s="24"/>
      <c r="J10510" s="24"/>
      <c r="K10510" s="24"/>
      <c r="L10510" s="24"/>
      <c r="M10510" s="24"/>
      <c r="N10510" s="24"/>
      <c r="O10510" s="24"/>
      <c r="P10510" s="24"/>
      <c r="Q10510" s="24"/>
      <c r="R10510" s="24"/>
      <c r="S10510" s="24"/>
      <c r="T10510" s="24"/>
      <c r="U10510" s="24"/>
      <c r="V10510" s="24"/>
      <c r="W10510" s="24"/>
      <c r="X10510" s="24"/>
      <c r="Y10510" s="24"/>
      <c r="Z10510" s="24"/>
      <c r="AA10510" s="24"/>
    </row>
    <row r="10511">
      <c r="A10511" s="24"/>
      <c r="B10511" s="25"/>
      <c r="C10511" s="24"/>
      <c r="D10511" s="26"/>
      <c r="E10511" s="24"/>
      <c r="F10511" s="24"/>
      <c r="G10511" s="24"/>
      <c r="H10511" s="24"/>
      <c r="I10511" s="24"/>
      <c r="J10511" s="24"/>
      <c r="K10511" s="24"/>
      <c r="L10511" s="24"/>
      <c r="M10511" s="24"/>
      <c r="N10511" s="24"/>
      <c r="O10511" s="24"/>
      <c r="P10511" s="24"/>
      <c r="Q10511" s="24"/>
      <c r="R10511" s="24"/>
      <c r="S10511" s="24"/>
      <c r="T10511" s="24"/>
      <c r="U10511" s="24"/>
      <c r="V10511" s="24"/>
      <c r="W10511" s="24"/>
      <c r="X10511" s="24"/>
      <c r="Y10511" s="24"/>
      <c r="Z10511" s="24"/>
      <c r="AA10511" s="24"/>
    </row>
    <row r="10512">
      <c r="A10512" s="24"/>
      <c r="B10512" s="25"/>
      <c r="C10512" s="24"/>
      <c r="D10512" s="26"/>
      <c r="E10512" s="24"/>
      <c r="F10512" s="24"/>
      <c r="G10512" s="24"/>
      <c r="H10512" s="24"/>
      <c r="I10512" s="24"/>
      <c r="J10512" s="24"/>
      <c r="K10512" s="24"/>
      <c r="L10512" s="24"/>
      <c r="M10512" s="24"/>
      <c r="N10512" s="24"/>
      <c r="O10512" s="24"/>
      <c r="P10512" s="24"/>
      <c r="Q10512" s="24"/>
      <c r="R10512" s="24"/>
      <c r="S10512" s="24"/>
      <c r="T10512" s="24"/>
      <c r="U10512" s="24"/>
      <c r="V10512" s="24"/>
      <c r="W10512" s="24"/>
      <c r="X10512" s="24"/>
      <c r="Y10512" s="24"/>
      <c r="Z10512" s="24"/>
      <c r="AA10512" s="24"/>
    </row>
    <row r="10513">
      <c r="A10513" s="24"/>
      <c r="B10513" s="25"/>
      <c r="C10513" s="24"/>
      <c r="D10513" s="26"/>
      <c r="E10513" s="24"/>
      <c r="F10513" s="24"/>
      <c r="G10513" s="24"/>
      <c r="H10513" s="24"/>
      <c r="I10513" s="24"/>
      <c r="J10513" s="24"/>
      <c r="K10513" s="24"/>
      <c r="L10513" s="24"/>
      <c r="M10513" s="24"/>
      <c r="N10513" s="24"/>
      <c r="O10513" s="24"/>
      <c r="P10513" s="24"/>
      <c r="Q10513" s="24"/>
      <c r="R10513" s="24"/>
      <c r="S10513" s="24"/>
      <c r="T10513" s="24"/>
      <c r="U10513" s="24"/>
      <c r="V10513" s="24"/>
      <c r="W10513" s="24"/>
      <c r="X10513" s="24"/>
      <c r="Y10513" s="24"/>
      <c r="Z10513" s="24"/>
      <c r="AA10513" s="24"/>
    </row>
    <row r="10514">
      <c r="A10514" s="24"/>
      <c r="B10514" s="25"/>
      <c r="C10514" s="24"/>
      <c r="D10514" s="26"/>
      <c r="E10514" s="24"/>
      <c r="F10514" s="24"/>
      <c r="G10514" s="24"/>
      <c r="H10514" s="24"/>
      <c r="I10514" s="24"/>
      <c r="J10514" s="24"/>
      <c r="K10514" s="24"/>
      <c r="L10514" s="24"/>
      <c r="M10514" s="24"/>
      <c r="N10514" s="24"/>
      <c r="O10514" s="24"/>
      <c r="P10514" s="24"/>
      <c r="Q10514" s="24"/>
      <c r="R10514" s="24"/>
      <c r="S10514" s="24"/>
      <c r="T10514" s="24"/>
      <c r="U10514" s="24"/>
      <c r="V10514" s="24"/>
      <c r="W10514" s="24"/>
      <c r="X10514" s="24"/>
      <c r="Y10514" s="24"/>
      <c r="Z10514" s="24"/>
      <c r="AA10514" s="24"/>
    </row>
    <row r="10515">
      <c r="A10515" s="24"/>
      <c r="B10515" s="25"/>
      <c r="C10515" s="24"/>
      <c r="D10515" s="26"/>
      <c r="E10515" s="24"/>
      <c r="F10515" s="24"/>
      <c r="G10515" s="24"/>
      <c r="H10515" s="24"/>
      <c r="I10515" s="24"/>
      <c r="J10515" s="24"/>
      <c r="K10515" s="24"/>
      <c r="L10515" s="24"/>
      <c r="M10515" s="24"/>
      <c r="N10515" s="24"/>
      <c r="O10515" s="24"/>
      <c r="P10515" s="24"/>
      <c r="Q10515" s="24"/>
      <c r="R10515" s="24"/>
      <c r="S10515" s="24"/>
      <c r="T10515" s="24"/>
      <c r="U10515" s="24"/>
      <c r="V10515" s="24"/>
      <c r="W10515" s="24"/>
      <c r="X10515" s="24"/>
      <c r="Y10515" s="24"/>
      <c r="Z10515" s="24"/>
      <c r="AA10515" s="24"/>
    </row>
    <row r="10516">
      <c r="A10516" s="24"/>
      <c r="B10516" s="25"/>
      <c r="C10516" s="24"/>
      <c r="D10516" s="26"/>
      <c r="E10516" s="24"/>
      <c r="F10516" s="24"/>
      <c r="G10516" s="24"/>
      <c r="H10516" s="24"/>
      <c r="I10516" s="24"/>
      <c r="J10516" s="24"/>
      <c r="K10516" s="24"/>
      <c r="L10516" s="24"/>
      <c r="M10516" s="24"/>
      <c r="N10516" s="24"/>
      <c r="O10516" s="24"/>
      <c r="P10516" s="24"/>
      <c r="Q10516" s="24"/>
      <c r="R10516" s="24"/>
      <c r="S10516" s="24"/>
      <c r="T10516" s="24"/>
      <c r="U10516" s="24"/>
      <c r="V10516" s="24"/>
      <c r="W10516" s="24"/>
      <c r="X10516" s="24"/>
      <c r="Y10516" s="24"/>
      <c r="Z10516" s="24"/>
      <c r="AA10516" s="24"/>
    </row>
    <row r="10517">
      <c r="A10517" s="24"/>
      <c r="B10517" s="25"/>
      <c r="C10517" s="24"/>
      <c r="D10517" s="26"/>
      <c r="E10517" s="24"/>
      <c r="F10517" s="24"/>
      <c r="G10517" s="24"/>
      <c r="H10517" s="24"/>
      <c r="I10517" s="24"/>
      <c r="J10517" s="24"/>
      <c r="K10517" s="24"/>
      <c r="L10517" s="24"/>
      <c r="M10517" s="24"/>
      <c r="N10517" s="24"/>
      <c r="O10517" s="24"/>
      <c r="P10517" s="24"/>
      <c r="Q10517" s="24"/>
      <c r="R10517" s="24"/>
      <c r="S10517" s="24"/>
      <c r="T10517" s="24"/>
      <c r="U10517" s="24"/>
      <c r="V10517" s="24"/>
      <c r="W10517" s="24"/>
      <c r="X10517" s="24"/>
      <c r="Y10517" s="24"/>
      <c r="Z10517" s="24"/>
      <c r="AA10517" s="24"/>
    </row>
    <row r="10518">
      <c r="A10518" s="24"/>
      <c r="B10518" s="25"/>
      <c r="C10518" s="24"/>
      <c r="D10518" s="26"/>
      <c r="E10518" s="24"/>
      <c r="F10518" s="24"/>
      <c r="G10518" s="24"/>
      <c r="H10518" s="24"/>
      <c r="I10518" s="24"/>
      <c r="J10518" s="24"/>
      <c r="K10518" s="24"/>
      <c r="L10518" s="24"/>
      <c r="M10518" s="24"/>
      <c r="N10518" s="24"/>
      <c r="O10518" s="24"/>
      <c r="P10518" s="24"/>
      <c r="Q10518" s="24"/>
      <c r="R10518" s="24"/>
      <c r="S10518" s="24"/>
      <c r="T10518" s="24"/>
      <c r="U10518" s="24"/>
      <c r="V10518" s="24"/>
      <c r="W10518" s="24"/>
      <c r="X10518" s="24"/>
      <c r="Y10518" s="24"/>
      <c r="Z10518" s="24"/>
      <c r="AA10518" s="24"/>
    </row>
    <row r="10519">
      <c r="A10519" s="24"/>
      <c r="B10519" s="25"/>
      <c r="C10519" s="24"/>
      <c r="D10519" s="26"/>
      <c r="E10519" s="24"/>
      <c r="F10519" s="24"/>
      <c r="G10519" s="24"/>
      <c r="H10519" s="24"/>
      <c r="I10519" s="24"/>
      <c r="J10519" s="24"/>
      <c r="K10519" s="24"/>
      <c r="L10519" s="24"/>
      <c r="M10519" s="24"/>
      <c r="N10519" s="24"/>
      <c r="O10519" s="24"/>
      <c r="P10519" s="24"/>
      <c r="Q10519" s="24"/>
      <c r="R10519" s="24"/>
      <c r="S10519" s="24"/>
      <c r="T10519" s="24"/>
      <c r="U10519" s="24"/>
      <c r="V10519" s="24"/>
      <c r="W10519" s="24"/>
      <c r="X10519" s="24"/>
      <c r="Y10519" s="24"/>
      <c r="Z10519" s="24"/>
      <c r="AA10519" s="24"/>
    </row>
    <row r="10520">
      <c r="A10520" s="24"/>
      <c r="B10520" s="25"/>
      <c r="C10520" s="24"/>
      <c r="D10520" s="26"/>
      <c r="E10520" s="24"/>
      <c r="F10520" s="24"/>
      <c r="G10520" s="24"/>
      <c r="H10520" s="24"/>
      <c r="I10520" s="24"/>
      <c r="J10520" s="24"/>
      <c r="K10520" s="24"/>
      <c r="L10520" s="24"/>
      <c r="M10520" s="24"/>
      <c r="N10520" s="24"/>
      <c r="O10520" s="24"/>
      <c r="P10520" s="24"/>
      <c r="Q10520" s="24"/>
      <c r="R10520" s="24"/>
      <c r="S10520" s="24"/>
      <c r="T10520" s="24"/>
      <c r="U10520" s="24"/>
      <c r="V10520" s="24"/>
      <c r="W10520" s="24"/>
      <c r="X10520" s="24"/>
      <c r="Y10520" s="24"/>
      <c r="Z10520" s="24"/>
      <c r="AA10520" s="24"/>
    </row>
    <row r="10521">
      <c r="A10521" s="24"/>
      <c r="B10521" s="25"/>
      <c r="C10521" s="24"/>
      <c r="D10521" s="26"/>
      <c r="E10521" s="24"/>
      <c r="F10521" s="24"/>
      <c r="G10521" s="24"/>
      <c r="H10521" s="24"/>
      <c r="I10521" s="24"/>
      <c r="J10521" s="24"/>
      <c r="K10521" s="24"/>
      <c r="L10521" s="24"/>
      <c r="M10521" s="24"/>
      <c r="N10521" s="24"/>
      <c r="O10521" s="24"/>
      <c r="P10521" s="24"/>
      <c r="Q10521" s="24"/>
      <c r="R10521" s="24"/>
      <c r="S10521" s="24"/>
      <c r="T10521" s="24"/>
      <c r="U10521" s="24"/>
      <c r="V10521" s="24"/>
      <c r="W10521" s="24"/>
      <c r="X10521" s="24"/>
      <c r="Y10521" s="24"/>
      <c r="Z10521" s="24"/>
      <c r="AA10521" s="24"/>
    </row>
    <row r="10522">
      <c r="A10522" s="24"/>
      <c r="B10522" s="25"/>
      <c r="C10522" s="24"/>
      <c r="D10522" s="26"/>
      <c r="E10522" s="24"/>
      <c r="F10522" s="24"/>
      <c r="G10522" s="24"/>
      <c r="H10522" s="24"/>
      <c r="I10522" s="24"/>
      <c r="J10522" s="24"/>
      <c r="K10522" s="24"/>
      <c r="L10522" s="24"/>
      <c r="M10522" s="24"/>
      <c r="N10522" s="24"/>
      <c r="O10522" s="24"/>
      <c r="P10522" s="24"/>
      <c r="Q10522" s="24"/>
      <c r="R10522" s="24"/>
      <c r="S10522" s="24"/>
      <c r="T10522" s="24"/>
      <c r="U10522" s="24"/>
      <c r="V10522" s="24"/>
      <c r="W10522" s="24"/>
      <c r="X10522" s="24"/>
      <c r="Y10522" s="24"/>
      <c r="Z10522" s="24"/>
      <c r="AA10522" s="24"/>
    </row>
    <row r="10523">
      <c r="A10523" s="24"/>
      <c r="B10523" s="25"/>
      <c r="C10523" s="24"/>
      <c r="D10523" s="26"/>
      <c r="E10523" s="24"/>
      <c r="F10523" s="24"/>
      <c r="G10523" s="24"/>
      <c r="H10523" s="24"/>
      <c r="I10523" s="24"/>
      <c r="J10523" s="24"/>
      <c r="K10523" s="24"/>
      <c r="L10523" s="24"/>
      <c r="M10523" s="24"/>
      <c r="N10523" s="24"/>
      <c r="O10523" s="24"/>
      <c r="P10523" s="24"/>
      <c r="Q10523" s="24"/>
      <c r="R10523" s="24"/>
      <c r="S10523" s="24"/>
      <c r="T10523" s="24"/>
      <c r="U10523" s="24"/>
      <c r="V10523" s="24"/>
      <c r="W10523" s="24"/>
      <c r="X10523" s="24"/>
      <c r="Y10523" s="24"/>
      <c r="Z10523" s="24"/>
      <c r="AA10523" s="24"/>
    </row>
    <row r="10524">
      <c r="A10524" s="24"/>
      <c r="B10524" s="25"/>
      <c r="C10524" s="24"/>
      <c r="D10524" s="26"/>
      <c r="E10524" s="24"/>
      <c r="F10524" s="24"/>
      <c r="G10524" s="24"/>
      <c r="H10524" s="24"/>
      <c r="I10524" s="24"/>
      <c r="J10524" s="24"/>
      <c r="K10524" s="24"/>
      <c r="L10524" s="24"/>
      <c r="M10524" s="24"/>
      <c r="N10524" s="24"/>
      <c r="O10524" s="24"/>
      <c r="P10524" s="24"/>
      <c r="Q10524" s="24"/>
      <c r="R10524" s="24"/>
      <c r="S10524" s="24"/>
      <c r="T10524" s="24"/>
      <c r="U10524" s="24"/>
      <c r="V10524" s="24"/>
      <c r="W10524" s="24"/>
      <c r="X10524" s="24"/>
      <c r="Y10524" s="24"/>
      <c r="Z10524" s="24"/>
      <c r="AA10524" s="24"/>
    </row>
    <row r="10525">
      <c r="A10525" s="24"/>
      <c r="B10525" s="25"/>
      <c r="C10525" s="24"/>
      <c r="D10525" s="26"/>
      <c r="E10525" s="24"/>
      <c r="F10525" s="24"/>
      <c r="G10525" s="24"/>
      <c r="H10525" s="24"/>
      <c r="I10525" s="24"/>
      <c r="J10525" s="24"/>
      <c r="K10525" s="24"/>
      <c r="L10525" s="24"/>
      <c r="M10525" s="24"/>
      <c r="N10525" s="24"/>
      <c r="O10525" s="24"/>
      <c r="P10525" s="24"/>
      <c r="Q10525" s="24"/>
      <c r="R10525" s="24"/>
      <c r="S10525" s="24"/>
      <c r="T10525" s="24"/>
      <c r="U10525" s="24"/>
      <c r="V10525" s="24"/>
      <c r="W10525" s="24"/>
      <c r="X10525" s="24"/>
      <c r="Y10525" s="24"/>
      <c r="Z10525" s="24"/>
      <c r="AA10525" s="24"/>
    </row>
    <row r="10526">
      <c r="A10526" s="24"/>
      <c r="B10526" s="25"/>
      <c r="C10526" s="24"/>
      <c r="D10526" s="26"/>
      <c r="E10526" s="24"/>
      <c r="F10526" s="24"/>
      <c r="G10526" s="24"/>
      <c r="H10526" s="24"/>
      <c r="I10526" s="24"/>
      <c r="J10526" s="24"/>
      <c r="K10526" s="24"/>
      <c r="L10526" s="24"/>
      <c r="M10526" s="24"/>
      <c r="N10526" s="24"/>
      <c r="O10526" s="24"/>
      <c r="P10526" s="24"/>
      <c r="Q10526" s="24"/>
      <c r="R10526" s="24"/>
      <c r="S10526" s="24"/>
      <c r="T10526" s="24"/>
      <c r="U10526" s="24"/>
      <c r="V10526" s="24"/>
      <c r="W10526" s="24"/>
      <c r="X10526" s="24"/>
      <c r="Y10526" s="24"/>
      <c r="Z10526" s="24"/>
      <c r="AA10526" s="24"/>
    </row>
    <row r="10527">
      <c r="A10527" s="24"/>
      <c r="B10527" s="25"/>
      <c r="C10527" s="24"/>
      <c r="D10527" s="26"/>
      <c r="E10527" s="24"/>
      <c r="F10527" s="24"/>
      <c r="G10527" s="24"/>
      <c r="H10527" s="24"/>
      <c r="I10527" s="24"/>
      <c r="J10527" s="24"/>
      <c r="K10527" s="24"/>
      <c r="L10527" s="24"/>
      <c r="M10527" s="24"/>
      <c r="N10527" s="24"/>
      <c r="O10527" s="24"/>
      <c r="P10527" s="24"/>
      <c r="Q10527" s="24"/>
      <c r="R10527" s="24"/>
      <c r="S10527" s="24"/>
      <c r="T10527" s="24"/>
      <c r="U10527" s="24"/>
      <c r="V10527" s="24"/>
      <c r="W10527" s="24"/>
      <c r="X10527" s="24"/>
      <c r="Y10527" s="24"/>
      <c r="Z10527" s="24"/>
      <c r="AA10527" s="24"/>
    </row>
    <row r="10528">
      <c r="A10528" s="24"/>
      <c r="B10528" s="25"/>
      <c r="C10528" s="24"/>
      <c r="D10528" s="26"/>
      <c r="E10528" s="24"/>
      <c r="F10528" s="24"/>
      <c r="G10528" s="24"/>
      <c r="H10528" s="24"/>
      <c r="I10528" s="24"/>
      <c r="J10528" s="24"/>
      <c r="K10528" s="24"/>
      <c r="L10528" s="24"/>
      <c r="M10528" s="24"/>
      <c r="N10528" s="24"/>
      <c r="O10528" s="24"/>
      <c r="P10528" s="24"/>
      <c r="Q10528" s="24"/>
      <c r="R10528" s="24"/>
      <c r="S10528" s="24"/>
      <c r="T10528" s="24"/>
      <c r="U10528" s="24"/>
      <c r="V10528" s="24"/>
      <c r="W10528" s="24"/>
      <c r="X10528" s="24"/>
      <c r="Y10528" s="24"/>
      <c r="Z10528" s="24"/>
      <c r="AA10528" s="24"/>
    </row>
    <row r="10529">
      <c r="A10529" s="24"/>
      <c r="B10529" s="25"/>
      <c r="C10529" s="24"/>
      <c r="D10529" s="26"/>
      <c r="E10529" s="24"/>
      <c r="F10529" s="24"/>
      <c r="G10529" s="24"/>
      <c r="H10529" s="24"/>
      <c r="I10529" s="24"/>
      <c r="J10529" s="24"/>
      <c r="K10529" s="24"/>
      <c r="L10529" s="24"/>
      <c r="M10529" s="24"/>
      <c r="N10529" s="24"/>
      <c r="O10529" s="24"/>
      <c r="P10529" s="24"/>
      <c r="Q10529" s="24"/>
      <c r="R10529" s="24"/>
      <c r="S10529" s="24"/>
      <c r="T10529" s="24"/>
      <c r="U10529" s="24"/>
      <c r="V10529" s="24"/>
      <c r="W10529" s="24"/>
      <c r="X10529" s="24"/>
      <c r="Y10529" s="24"/>
      <c r="Z10529" s="24"/>
      <c r="AA10529" s="24"/>
    </row>
    <row r="10530">
      <c r="A10530" s="24"/>
      <c r="B10530" s="25"/>
      <c r="C10530" s="24"/>
      <c r="D10530" s="26"/>
      <c r="E10530" s="24"/>
      <c r="F10530" s="24"/>
      <c r="G10530" s="24"/>
      <c r="H10530" s="24"/>
      <c r="I10530" s="24"/>
      <c r="J10530" s="24"/>
      <c r="K10530" s="24"/>
      <c r="L10530" s="24"/>
      <c r="M10530" s="24"/>
      <c r="N10530" s="24"/>
      <c r="O10530" s="24"/>
      <c r="P10530" s="24"/>
      <c r="Q10530" s="24"/>
      <c r="R10530" s="24"/>
      <c r="S10530" s="24"/>
      <c r="T10530" s="24"/>
      <c r="U10530" s="24"/>
      <c r="V10530" s="24"/>
      <c r="W10530" s="24"/>
      <c r="X10530" s="24"/>
      <c r="Y10530" s="24"/>
      <c r="Z10530" s="24"/>
      <c r="AA10530" s="24"/>
    </row>
    <row r="10531">
      <c r="A10531" s="24"/>
      <c r="B10531" s="25"/>
      <c r="C10531" s="24"/>
      <c r="D10531" s="26"/>
      <c r="E10531" s="24"/>
      <c r="F10531" s="24"/>
      <c r="G10531" s="24"/>
      <c r="H10531" s="24"/>
      <c r="I10531" s="24"/>
      <c r="J10531" s="24"/>
      <c r="K10531" s="24"/>
      <c r="L10531" s="24"/>
      <c r="M10531" s="24"/>
      <c r="N10531" s="24"/>
      <c r="O10531" s="24"/>
      <c r="P10531" s="24"/>
      <c r="Q10531" s="24"/>
      <c r="R10531" s="24"/>
      <c r="S10531" s="24"/>
      <c r="T10531" s="24"/>
      <c r="U10531" s="24"/>
      <c r="V10531" s="24"/>
      <c r="W10531" s="24"/>
      <c r="X10531" s="24"/>
      <c r="Y10531" s="24"/>
      <c r="Z10531" s="24"/>
      <c r="AA10531" s="24"/>
    </row>
    <row r="10532">
      <c r="A10532" s="24"/>
      <c r="B10532" s="25"/>
      <c r="C10532" s="24"/>
      <c r="D10532" s="26"/>
      <c r="E10532" s="24"/>
      <c r="F10532" s="24"/>
      <c r="G10532" s="24"/>
      <c r="H10532" s="24"/>
      <c r="I10532" s="24"/>
      <c r="J10532" s="24"/>
      <c r="K10532" s="24"/>
      <c r="L10532" s="24"/>
      <c r="M10532" s="24"/>
      <c r="N10532" s="24"/>
      <c r="O10532" s="24"/>
      <c r="P10532" s="24"/>
      <c r="Q10532" s="24"/>
      <c r="R10532" s="24"/>
      <c r="S10532" s="24"/>
      <c r="T10532" s="24"/>
      <c r="U10532" s="24"/>
      <c r="V10532" s="24"/>
      <c r="W10532" s="24"/>
      <c r="X10532" s="24"/>
      <c r="Y10532" s="24"/>
      <c r="Z10532" s="24"/>
      <c r="AA10532" s="24"/>
    </row>
    <row r="10533">
      <c r="A10533" s="24"/>
      <c r="B10533" s="25"/>
      <c r="C10533" s="24"/>
      <c r="D10533" s="26"/>
      <c r="E10533" s="24"/>
      <c r="F10533" s="24"/>
      <c r="G10533" s="24"/>
      <c r="H10533" s="24"/>
      <c r="I10533" s="24"/>
      <c r="J10533" s="24"/>
      <c r="K10533" s="24"/>
      <c r="L10533" s="24"/>
      <c r="M10533" s="24"/>
      <c r="N10533" s="24"/>
      <c r="O10533" s="24"/>
      <c r="P10533" s="24"/>
      <c r="Q10533" s="24"/>
      <c r="R10533" s="24"/>
      <c r="S10533" s="24"/>
      <c r="T10533" s="24"/>
      <c r="U10533" s="24"/>
      <c r="V10533" s="24"/>
      <c r="W10533" s="24"/>
      <c r="X10533" s="24"/>
      <c r="Y10533" s="24"/>
      <c r="Z10533" s="24"/>
      <c r="AA10533" s="24"/>
    </row>
    <row r="10534">
      <c r="A10534" s="24"/>
      <c r="B10534" s="25"/>
      <c r="C10534" s="24"/>
      <c r="D10534" s="26"/>
      <c r="E10534" s="24"/>
      <c r="F10534" s="24"/>
      <c r="G10534" s="24"/>
      <c r="H10534" s="24"/>
      <c r="I10534" s="24"/>
      <c r="J10534" s="24"/>
      <c r="K10534" s="24"/>
      <c r="L10534" s="24"/>
      <c r="M10534" s="24"/>
      <c r="N10534" s="24"/>
      <c r="O10534" s="24"/>
      <c r="P10534" s="24"/>
      <c r="Q10534" s="24"/>
      <c r="R10534" s="24"/>
      <c r="S10534" s="24"/>
      <c r="T10534" s="24"/>
      <c r="U10534" s="24"/>
      <c r="V10534" s="24"/>
      <c r="W10534" s="24"/>
      <c r="X10534" s="24"/>
      <c r="Y10534" s="24"/>
      <c r="Z10534" s="24"/>
      <c r="AA10534" s="24"/>
    </row>
    <row r="10535">
      <c r="A10535" s="24"/>
      <c r="B10535" s="25"/>
      <c r="C10535" s="24"/>
      <c r="D10535" s="26"/>
      <c r="E10535" s="24"/>
      <c r="F10535" s="24"/>
      <c r="G10535" s="24"/>
      <c r="H10535" s="24"/>
      <c r="I10535" s="24"/>
      <c r="J10535" s="24"/>
      <c r="K10535" s="24"/>
      <c r="L10535" s="24"/>
      <c r="M10535" s="24"/>
      <c r="N10535" s="24"/>
      <c r="O10535" s="24"/>
      <c r="P10535" s="24"/>
      <c r="Q10535" s="24"/>
      <c r="R10535" s="24"/>
      <c r="S10535" s="24"/>
      <c r="T10535" s="24"/>
      <c r="U10535" s="24"/>
      <c r="V10535" s="24"/>
      <c r="W10535" s="24"/>
      <c r="X10535" s="24"/>
      <c r="Y10535" s="24"/>
      <c r="Z10535" s="24"/>
      <c r="AA10535" s="24"/>
    </row>
    <row r="10536">
      <c r="A10536" s="24"/>
      <c r="B10536" s="25"/>
      <c r="C10536" s="24"/>
      <c r="D10536" s="26"/>
      <c r="E10536" s="24"/>
      <c r="F10536" s="24"/>
      <c r="G10536" s="24"/>
      <c r="H10536" s="24"/>
      <c r="I10536" s="24"/>
      <c r="J10536" s="24"/>
      <c r="K10536" s="24"/>
      <c r="L10536" s="24"/>
      <c r="M10536" s="24"/>
      <c r="N10536" s="24"/>
      <c r="O10536" s="24"/>
      <c r="P10536" s="24"/>
      <c r="Q10536" s="24"/>
      <c r="R10536" s="24"/>
      <c r="S10536" s="24"/>
      <c r="T10536" s="24"/>
      <c r="U10536" s="24"/>
      <c r="V10536" s="24"/>
      <c r="W10536" s="24"/>
      <c r="X10536" s="24"/>
      <c r="Y10536" s="24"/>
      <c r="Z10536" s="24"/>
      <c r="AA10536" s="24"/>
    </row>
    <row r="10537">
      <c r="A10537" s="24"/>
      <c r="B10537" s="25"/>
      <c r="C10537" s="24"/>
      <c r="D10537" s="26"/>
      <c r="E10537" s="24"/>
      <c r="F10537" s="24"/>
      <c r="G10537" s="24"/>
      <c r="H10537" s="24"/>
      <c r="I10537" s="24"/>
      <c r="J10537" s="24"/>
      <c r="K10537" s="24"/>
      <c r="L10537" s="24"/>
      <c r="M10537" s="24"/>
      <c r="N10537" s="24"/>
      <c r="O10537" s="24"/>
      <c r="P10537" s="24"/>
      <c r="Q10537" s="24"/>
      <c r="R10537" s="24"/>
      <c r="S10537" s="24"/>
      <c r="T10537" s="24"/>
      <c r="U10537" s="24"/>
      <c r="V10537" s="24"/>
      <c r="W10537" s="24"/>
      <c r="X10537" s="24"/>
      <c r="Y10537" s="24"/>
      <c r="Z10537" s="24"/>
      <c r="AA10537" s="24"/>
    </row>
    <row r="10538">
      <c r="A10538" s="24"/>
      <c r="B10538" s="25"/>
      <c r="C10538" s="24"/>
      <c r="D10538" s="26"/>
      <c r="E10538" s="24"/>
      <c r="F10538" s="24"/>
      <c r="G10538" s="24"/>
      <c r="H10538" s="24"/>
      <c r="I10538" s="24"/>
      <c r="J10538" s="24"/>
      <c r="K10538" s="24"/>
      <c r="L10538" s="24"/>
      <c r="M10538" s="24"/>
      <c r="N10538" s="24"/>
      <c r="O10538" s="24"/>
      <c r="P10538" s="24"/>
      <c r="Q10538" s="24"/>
      <c r="R10538" s="24"/>
      <c r="S10538" s="24"/>
      <c r="T10538" s="24"/>
      <c r="U10538" s="24"/>
      <c r="V10538" s="24"/>
      <c r="W10538" s="24"/>
      <c r="X10538" s="24"/>
      <c r="Y10538" s="24"/>
      <c r="Z10538" s="24"/>
      <c r="AA10538" s="24"/>
    </row>
    <row r="10539">
      <c r="A10539" s="24"/>
      <c r="B10539" s="25"/>
      <c r="C10539" s="24"/>
      <c r="D10539" s="26"/>
      <c r="E10539" s="24"/>
      <c r="F10539" s="24"/>
      <c r="G10539" s="24"/>
      <c r="H10539" s="24"/>
      <c r="I10539" s="24"/>
      <c r="J10539" s="24"/>
      <c r="K10539" s="24"/>
      <c r="L10539" s="24"/>
      <c r="M10539" s="24"/>
      <c r="N10539" s="24"/>
      <c r="O10539" s="24"/>
      <c r="P10539" s="24"/>
      <c r="Q10539" s="24"/>
      <c r="R10539" s="24"/>
      <c r="S10539" s="24"/>
      <c r="T10539" s="24"/>
      <c r="U10539" s="24"/>
      <c r="V10539" s="24"/>
      <c r="W10539" s="24"/>
      <c r="X10539" s="24"/>
      <c r="Y10539" s="24"/>
      <c r="Z10539" s="24"/>
      <c r="AA10539" s="24"/>
    </row>
    <row r="10540">
      <c r="A10540" s="24"/>
      <c r="B10540" s="25"/>
      <c r="C10540" s="24"/>
      <c r="D10540" s="26"/>
      <c r="E10540" s="24"/>
      <c r="F10540" s="24"/>
      <c r="G10540" s="24"/>
      <c r="H10540" s="24"/>
      <c r="I10540" s="24"/>
      <c r="J10540" s="24"/>
      <c r="K10540" s="24"/>
      <c r="L10540" s="24"/>
      <c r="M10540" s="24"/>
      <c r="N10540" s="24"/>
      <c r="O10540" s="24"/>
      <c r="P10540" s="24"/>
      <c r="Q10540" s="24"/>
      <c r="R10540" s="24"/>
      <c r="S10540" s="24"/>
      <c r="T10540" s="24"/>
      <c r="U10540" s="24"/>
      <c r="V10540" s="24"/>
      <c r="W10540" s="24"/>
      <c r="X10540" s="24"/>
      <c r="Y10540" s="24"/>
      <c r="Z10540" s="24"/>
      <c r="AA10540" s="24"/>
    </row>
    <row r="10541">
      <c r="A10541" s="24"/>
      <c r="B10541" s="25"/>
      <c r="C10541" s="24"/>
      <c r="D10541" s="26"/>
      <c r="E10541" s="24"/>
      <c r="F10541" s="24"/>
      <c r="G10541" s="24"/>
      <c r="H10541" s="24"/>
      <c r="I10541" s="24"/>
      <c r="J10541" s="24"/>
      <c r="K10541" s="24"/>
      <c r="L10541" s="24"/>
      <c r="M10541" s="24"/>
      <c r="N10541" s="24"/>
      <c r="O10541" s="24"/>
      <c r="P10541" s="24"/>
      <c r="Q10541" s="24"/>
      <c r="R10541" s="24"/>
      <c r="S10541" s="24"/>
      <c r="T10541" s="24"/>
      <c r="U10541" s="24"/>
      <c r="V10541" s="24"/>
      <c r="W10541" s="24"/>
      <c r="X10541" s="24"/>
      <c r="Y10541" s="24"/>
      <c r="Z10541" s="24"/>
      <c r="AA10541" s="24"/>
    </row>
    <row r="10542">
      <c r="A10542" s="24"/>
      <c r="B10542" s="25"/>
      <c r="C10542" s="24"/>
      <c r="D10542" s="26"/>
      <c r="E10542" s="24"/>
      <c r="F10542" s="24"/>
      <c r="G10542" s="24"/>
      <c r="H10542" s="24"/>
      <c r="I10542" s="24"/>
      <c r="J10542" s="24"/>
      <c r="K10542" s="24"/>
      <c r="L10542" s="24"/>
      <c r="M10542" s="24"/>
      <c r="N10542" s="24"/>
      <c r="O10542" s="24"/>
      <c r="P10542" s="24"/>
      <c r="Q10542" s="24"/>
      <c r="R10542" s="24"/>
      <c r="S10542" s="24"/>
      <c r="T10542" s="24"/>
      <c r="U10542" s="24"/>
      <c r="V10542" s="24"/>
      <c r="W10542" s="24"/>
      <c r="X10542" s="24"/>
      <c r="Y10542" s="24"/>
      <c r="Z10542" s="24"/>
      <c r="AA10542" s="24"/>
    </row>
    <row r="10543">
      <c r="A10543" s="24"/>
      <c r="B10543" s="25"/>
      <c r="C10543" s="24"/>
      <c r="D10543" s="26"/>
      <c r="E10543" s="24"/>
      <c r="F10543" s="24"/>
      <c r="G10543" s="24"/>
      <c r="H10543" s="24"/>
      <c r="I10543" s="24"/>
      <c r="J10543" s="24"/>
      <c r="K10543" s="24"/>
      <c r="L10543" s="24"/>
      <c r="M10543" s="24"/>
      <c r="N10543" s="24"/>
      <c r="O10543" s="24"/>
      <c r="P10543" s="24"/>
      <c r="Q10543" s="24"/>
      <c r="R10543" s="24"/>
      <c r="S10543" s="24"/>
      <c r="T10543" s="24"/>
      <c r="U10543" s="24"/>
      <c r="V10543" s="24"/>
      <c r="W10543" s="24"/>
      <c r="X10543" s="24"/>
      <c r="Y10543" s="24"/>
      <c r="Z10543" s="24"/>
      <c r="AA10543" s="24"/>
    </row>
    <row r="10544">
      <c r="A10544" s="24"/>
      <c r="B10544" s="25"/>
      <c r="C10544" s="24"/>
      <c r="D10544" s="26"/>
      <c r="E10544" s="24"/>
      <c r="F10544" s="24"/>
      <c r="G10544" s="24"/>
      <c r="H10544" s="24"/>
      <c r="I10544" s="24"/>
      <c r="J10544" s="24"/>
      <c r="K10544" s="24"/>
      <c r="L10544" s="24"/>
      <c r="M10544" s="24"/>
      <c r="N10544" s="24"/>
      <c r="O10544" s="24"/>
      <c r="P10544" s="24"/>
      <c r="Q10544" s="24"/>
      <c r="R10544" s="24"/>
      <c r="S10544" s="24"/>
      <c r="T10544" s="24"/>
      <c r="U10544" s="24"/>
      <c r="V10544" s="24"/>
      <c r="W10544" s="24"/>
      <c r="X10544" s="24"/>
      <c r="Y10544" s="24"/>
      <c r="Z10544" s="24"/>
      <c r="AA10544" s="24"/>
    </row>
    <row r="10545">
      <c r="A10545" s="24"/>
      <c r="B10545" s="25"/>
      <c r="C10545" s="24"/>
      <c r="D10545" s="26"/>
      <c r="E10545" s="24"/>
      <c r="F10545" s="24"/>
      <c r="G10545" s="24"/>
      <c r="H10545" s="24"/>
      <c r="I10545" s="24"/>
      <c r="J10545" s="24"/>
      <c r="K10545" s="24"/>
      <c r="L10545" s="24"/>
      <c r="M10545" s="24"/>
      <c r="N10545" s="24"/>
      <c r="O10545" s="24"/>
      <c r="P10545" s="24"/>
      <c r="Q10545" s="24"/>
      <c r="R10545" s="24"/>
      <c r="S10545" s="24"/>
      <c r="T10545" s="24"/>
      <c r="U10545" s="24"/>
      <c r="V10545" s="24"/>
      <c r="W10545" s="24"/>
      <c r="X10545" s="24"/>
      <c r="Y10545" s="24"/>
      <c r="Z10545" s="24"/>
      <c r="AA10545" s="24"/>
    </row>
    <row r="10546">
      <c r="A10546" s="24"/>
      <c r="B10546" s="25"/>
      <c r="C10546" s="24"/>
      <c r="D10546" s="26"/>
      <c r="E10546" s="24"/>
      <c r="F10546" s="24"/>
      <c r="G10546" s="24"/>
      <c r="H10546" s="24"/>
      <c r="I10546" s="24"/>
      <c r="J10546" s="24"/>
      <c r="K10546" s="24"/>
      <c r="L10546" s="24"/>
      <c r="M10546" s="24"/>
      <c r="N10546" s="24"/>
      <c r="O10546" s="24"/>
      <c r="P10546" s="24"/>
      <c r="Q10546" s="24"/>
      <c r="R10546" s="24"/>
      <c r="S10546" s="24"/>
      <c r="T10546" s="24"/>
      <c r="U10546" s="24"/>
      <c r="V10546" s="24"/>
      <c r="W10546" s="24"/>
      <c r="X10546" s="24"/>
      <c r="Y10546" s="24"/>
      <c r="Z10546" s="24"/>
      <c r="AA10546" s="24"/>
    </row>
    <row r="10547">
      <c r="A10547" s="24"/>
      <c r="B10547" s="25"/>
      <c r="C10547" s="24"/>
      <c r="D10547" s="26"/>
      <c r="E10547" s="24"/>
      <c r="F10547" s="24"/>
      <c r="G10547" s="24"/>
      <c r="H10547" s="24"/>
      <c r="I10547" s="24"/>
      <c r="J10547" s="24"/>
      <c r="K10547" s="24"/>
      <c r="L10547" s="24"/>
      <c r="M10547" s="24"/>
      <c r="N10547" s="24"/>
      <c r="O10547" s="24"/>
      <c r="P10547" s="24"/>
      <c r="Q10547" s="24"/>
      <c r="R10547" s="24"/>
      <c r="S10547" s="24"/>
      <c r="T10547" s="24"/>
      <c r="U10547" s="24"/>
      <c r="V10547" s="24"/>
      <c r="W10547" s="24"/>
      <c r="X10547" s="24"/>
      <c r="Y10547" s="24"/>
      <c r="Z10547" s="24"/>
      <c r="AA10547" s="24"/>
    </row>
    <row r="10548">
      <c r="A10548" s="24"/>
      <c r="B10548" s="25"/>
      <c r="C10548" s="24"/>
      <c r="D10548" s="26"/>
      <c r="E10548" s="24"/>
      <c r="F10548" s="24"/>
      <c r="G10548" s="24"/>
      <c r="H10548" s="24"/>
      <c r="I10548" s="24"/>
      <c r="J10548" s="24"/>
      <c r="K10548" s="24"/>
      <c r="L10548" s="24"/>
      <c r="M10548" s="24"/>
      <c r="N10548" s="24"/>
      <c r="O10548" s="24"/>
      <c r="P10548" s="24"/>
      <c r="Q10548" s="24"/>
      <c r="R10548" s="24"/>
      <c r="S10548" s="24"/>
      <c r="T10548" s="24"/>
      <c r="U10548" s="24"/>
      <c r="V10548" s="24"/>
      <c r="W10548" s="24"/>
      <c r="X10548" s="24"/>
      <c r="Y10548" s="24"/>
      <c r="Z10548" s="24"/>
      <c r="AA10548" s="24"/>
    </row>
    <row r="10549">
      <c r="A10549" s="24"/>
      <c r="B10549" s="25"/>
      <c r="C10549" s="24"/>
      <c r="D10549" s="26"/>
      <c r="E10549" s="24"/>
      <c r="F10549" s="24"/>
      <c r="G10549" s="24"/>
      <c r="H10549" s="24"/>
      <c r="I10549" s="24"/>
      <c r="J10549" s="24"/>
      <c r="K10549" s="24"/>
      <c r="L10549" s="24"/>
      <c r="M10549" s="24"/>
      <c r="N10549" s="24"/>
      <c r="O10549" s="24"/>
      <c r="P10549" s="24"/>
      <c r="Q10549" s="24"/>
      <c r="R10549" s="24"/>
      <c r="S10549" s="24"/>
      <c r="T10549" s="24"/>
      <c r="U10549" s="24"/>
      <c r="V10549" s="24"/>
      <c r="W10549" s="24"/>
      <c r="X10549" s="24"/>
      <c r="Y10549" s="24"/>
      <c r="Z10549" s="24"/>
      <c r="AA10549" s="24"/>
    </row>
    <row r="10550">
      <c r="A10550" s="24"/>
      <c r="B10550" s="25"/>
      <c r="C10550" s="24"/>
      <c r="D10550" s="26"/>
      <c r="E10550" s="24"/>
      <c r="F10550" s="24"/>
      <c r="G10550" s="24"/>
      <c r="H10550" s="24"/>
      <c r="I10550" s="24"/>
      <c r="J10550" s="24"/>
      <c r="K10550" s="24"/>
      <c r="L10550" s="24"/>
      <c r="M10550" s="24"/>
      <c r="N10550" s="24"/>
      <c r="O10550" s="24"/>
      <c r="P10550" s="24"/>
      <c r="Q10550" s="24"/>
      <c r="R10550" s="24"/>
      <c r="S10550" s="24"/>
      <c r="T10550" s="24"/>
      <c r="U10550" s="24"/>
      <c r="V10550" s="24"/>
      <c r="W10550" s="24"/>
      <c r="X10550" s="24"/>
      <c r="Y10550" s="24"/>
      <c r="Z10550" s="24"/>
      <c r="AA10550" s="24"/>
    </row>
    <row r="10551">
      <c r="A10551" s="24"/>
      <c r="B10551" s="25"/>
      <c r="C10551" s="24"/>
      <c r="D10551" s="26"/>
      <c r="E10551" s="24"/>
      <c r="F10551" s="24"/>
      <c r="G10551" s="24"/>
      <c r="H10551" s="24"/>
      <c r="I10551" s="24"/>
      <c r="J10551" s="24"/>
      <c r="K10551" s="24"/>
      <c r="L10551" s="24"/>
      <c r="M10551" s="24"/>
      <c r="N10551" s="24"/>
      <c r="O10551" s="24"/>
      <c r="P10551" s="24"/>
      <c r="Q10551" s="24"/>
      <c r="R10551" s="24"/>
      <c r="S10551" s="24"/>
      <c r="T10551" s="24"/>
      <c r="U10551" s="24"/>
      <c r="V10551" s="24"/>
      <c r="W10551" s="24"/>
      <c r="X10551" s="24"/>
      <c r="Y10551" s="24"/>
      <c r="Z10551" s="24"/>
      <c r="AA10551" s="24"/>
    </row>
    <row r="10552">
      <c r="A10552" s="24"/>
      <c r="B10552" s="25"/>
      <c r="C10552" s="24"/>
      <c r="D10552" s="26"/>
      <c r="E10552" s="24"/>
      <c r="F10552" s="24"/>
      <c r="G10552" s="24"/>
      <c r="H10552" s="24"/>
      <c r="I10552" s="24"/>
      <c r="J10552" s="24"/>
      <c r="K10552" s="24"/>
      <c r="L10552" s="24"/>
      <c r="M10552" s="24"/>
      <c r="N10552" s="24"/>
      <c r="O10552" s="24"/>
      <c r="P10552" s="24"/>
      <c r="Q10552" s="24"/>
      <c r="R10552" s="24"/>
      <c r="S10552" s="24"/>
      <c r="T10552" s="24"/>
      <c r="U10552" s="24"/>
      <c r="V10552" s="24"/>
      <c r="W10552" s="24"/>
      <c r="X10552" s="24"/>
      <c r="Y10552" s="24"/>
      <c r="Z10552" s="24"/>
      <c r="AA10552" s="24"/>
    </row>
    <row r="10553">
      <c r="A10553" s="24"/>
      <c r="B10553" s="25"/>
      <c r="C10553" s="24"/>
      <c r="D10553" s="26"/>
      <c r="E10553" s="24"/>
      <c r="F10553" s="24"/>
      <c r="G10553" s="24"/>
      <c r="H10553" s="24"/>
      <c r="I10553" s="24"/>
      <c r="J10553" s="24"/>
      <c r="K10553" s="24"/>
      <c r="L10553" s="24"/>
      <c r="M10553" s="24"/>
      <c r="N10553" s="24"/>
      <c r="O10553" s="24"/>
      <c r="P10553" s="24"/>
      <c r="Q10553" s="24"/>
      <c r="R10553" s="24"/>
      <c r="S10553" s="24"/>
      <c r="T10553" s="24"/>
      <c r="U10553" s="24"/>
      <c r="V10553" s="24"/>
      <c r="W10553" s="24"/>
      <c r="X10553" s="24"/>
      <c r="Y10553" s="24"/>
      <c r="Z10553" s="24"/>
      <c r="AA10553" s="24"/>
    </row>
    <row r="10554">
      <c r="A10554" s="24"/>
      <c r="B10554" s="25"/>
      <c r="C10554" s="24"/>
      <c r="D10554" s="26"/>
      <c r="E10554" s="24"/>
      <c r="F10554" s="24"/>
      <c r="G10554" s="24"/>
      <c r="H10554" s="24"/>
      <c r="I10554" s="24"/>
      <c r="J10554" s="24"/>
      <c r="K10554" s="24"/>
      <c r="L10554" s="24"/>
      <c r="M10554" s="24"/>
      <c r="N10554" s="24"/>
      <c r="O10554" s="24"/>
      <c r="P10554" s="24"/>
      <c r="Q10554" s="24"/>
      <c r="R10554" s="24"/>
      <c r="S10554" s="24"/>
      <c r="T10554" s="24"/>
      <c r="U10554" s="24"/>
      <c r="V10554" s="24"/>
      <c r="W10554" s="24"/>
      <c r="X10554" s="24"/>
      <c r="Y10554" s="24"/>
      <c r="Z10554" s="24"/>
      <c r="AA10554" s="24"/>
    </row>
    <row r="10555">
      <c r="A10555" s="24"/>
      <c r="B10555" s="25"/>
      <c r="C10555" s="24"/>
      <c r="D10555" s="26"/>
      <c r="E10555" s="24"/>
      <c r="F10555" s="24"/>
      <c r="G10555" s="24"/>
      <c r="H10555" s="24"/>
      <c r="I10555" s="24"/>
      <c r="J10555" s="24"/>
      <c r="K10555" s="24"/>
      <c r="L10555" s="24"/>
      <c r="M10555" s="24"/>
      <c r="N10555" s="24"/>
      <c r="O10555" s="24"/>
      <c r="P10555" s="24"/>
      <c r="Q10555" s="24"/>
      <c r="R10555" s="24"/>
      <c r="S10555" s="24"/>
      <c r="T10555" s="24"/>
      <c r="U10555" s="24"/>
      <c r="V10555" s="24"/>
      <c r="W10555" s="24"/>
      <c r="X10555" s="24"/>
      <c r="Y10555" s="24"/>
      <c r="Z10555" s="24"/>
      <c r="AA10555" s="24"/>
    </row>
    <row r="10556">
      <c r="A10556" s="24"/>
      <c r="B10556" s="25"/>
      <c r="C10556" s="24"/>
      <c r="D10556" s="26"/>
      <c r="E10556" s="24"/>
      <c r="F10556" s="24"/>
      <c r="G10556" s="24"/>
      <c r="H10556" s="24"/>
      <c r="I10556" s="24"/>
      <c r="J10556" s="24"/>
      <c r="K10556" s="24"/>
      <c r="L10556" s="24"/>
      <c r="M10556" s="24"/>
      <c r="N10556" s="24"/>
      <c r="O10556" s="24"/>
      <c r="P10556" s="24"/>
      <c r="Q10556" s="24"/>
      <c r="R10556" s="24"/>
      <c r="S10556" s="24"/>
      <c r="T10556" s="24"/>
      <c r="U10556" s="24"/>
      <c r="V10556" s="24"/>
      <c r="W10556" s="24"/>
      <c r="X10556" s="24"/>
      <c r="Y10556" s="24"/>
      <c r="Z10556" s="24"/>
      <c r="AA10556" s="24"/>
    </row>
    <row r="10557">
      <c r="A10557" s="24"/>
      <c r="B10557" s="25"/>
      <c r="C10557" s="24"/>
      <c r="D10557" s="26"/>
      <c r="E10557" s="24"/>
      <c r="F10557" s="24"/>
      <c r="G10557" s="24"/>
      <c r="H10557" s="24"/>
      <c r="I10557" s="24"/>
      <c r="J10557" s="24"/>
      <c r="K10557" s="24"/>
      <c r="L10557" s="24"/>
      <c r="M10557" s="24"/>
      <c r="N10557" s="24"/>
      <c r="O10557" s="24"/>
      <c r="P10557" s="24"/>
      <c r="Q10557" s="24"/>
      <c r="R10557" s="24"/>
      <c r="S10557" s="24"/>
      <c r="T10557" s="24"/>
      <c r="U10557" s="24"/>
      <c r="V10557" s="24"/>
      <c r="W10557" s="24"/>
      <c r="X10557" s="24"/>
      <c r="Y10557" s="24"/>
      <c r="Z10557" s="24"/>
      <c r="AA10557" s="24"/>
    </row>
    <row r="10558">
      <c r="A10558" s="24"/>
      <c r="B10558" s="25"/>
      <c r="C10558" s="24"/>
      <c r="D10558" s="26"/>
      <c r="E10558" s="24"/>
      <c r="F10558" s="24"/>
      <c r="G10558" s="24"/>
      <c r="H10558" s="24"/>
      <c r="I10558" s="24"/>
      <c r="J10558" s="24"/>
      <c r="K10558" s="24"/>
      <c r="L10558" s="24"/>
      <c r="M10558" s="24"/>
      <c r="N10558" s="24"/>
      <c r="O10558" s="24"/>
      <c r="P10558" s="24"/>
      <c r="Q10558" s="24"/>
      <c r="R10558" s="24"/>
      <c r="S10558" s="24"/>
      <c r="T10558" s="24"/>
      <c r="U10558" s="24"/>
      <c r="V10558" s="24"/>
      <c r="W10558" s="24"/>
      <c r="X10558" s="24"/>
      <c r="Y10558" s="24"/>
      <c r="Z10558" s="24"/>
      <c r="AA10558" s="24"/>
    </row>
    <row r="10559">
      <c r="A10559" s="24"/>
      <c r="B10559" s="25"/>
      <c r="C10559" s="24"/>
      <c r="D10559" s="26"/>
      <c r="E10559" s="24"/>
      <c r="F10559" s="24"/>
      <c r="G10559" s="24"/>
      <c r="H10559" s="24"/>
      <c r="I10559" s="24"/>
      <c r="J10559" s="24"/>
      <c r="K10559" s="24"/>
      <c r="L10559" s="24"/>
      <c r="M10559" s="24"/>
      <c r="N10559" s="24"/>
      <c r="O10559" s="24"/>
      <c r="P10559" s="24"/>
      <c r="Q10559" s="24"/>
      <c r="R10559" s="24"/>
      <c r="S10559" s="24"/>
      <c r="T10559" s="24"/>
      <c r="U10559" s="24"/>
      <c r="V10559" s="24"/>
      <c r="W10559" s="24"/>
      <c r="X10559" s="24"/>
      <c r="Y10559" s="24"/>
      <c r="Z10559" s="24"/>
      <c r="AA10559" s="24"/>
    </row>
    <row r="10560">
      <c r="A10560" s="24"/>
      <c r="B10560" s="25"/>
      <c r="C10560" s="24"/>
      <c r="D10560" s="26"/>
      <c r="E10560" s="24"/>
      <c r="F10560" s="24"/>
      <c r="G10560" s="24"/>
      <c r="H10560" s="24"/>
      <c r="I10560" s="24"/>
      <c r="J10560" s="24"/>
      <c r="K10560" s="24"/>
      <c r="L10560" s="24"/>
      <c r="M10560" s="24"/>
      <c r="N10560" s="24"/>
      <c r="O10560" s="24"/>
      <c r="P10560" s="24"/>
      <c r="Q10560" s="24"/>
      <c r="R10560" s="24"/>
      <c r="S10560" s="24"/>
      <c r="T10560" s="24"/>
      <c r="U10560" s="24"/>
      <c r="V10560" s="24"/>
      <c r="W10560" s="24"/>
      <c r="X10560" s="24"/>
      <c r="Y10560" s="24"/>
      <c r="Z10560" s="24"/>
      <c r="AA10560" s="24"/>
    </row>
    <row r="10561">
      <c r="A10561" s="24"/>
      <c r="B10561" s="25"/>
      <c r="C10561" s="24"/>
      <c r="D10561" s="26"/>
      <c r="E10561" s="24"/>
      <c r="F10561" s="24"/>
      <c r="G10561" s="24"/>
      <c r="H10561" s="24"/>
      <c r="I10561" s="24"/>
      <c r="J10561" s="24"/>
      <c r="K10561" s="24"/>
      <c r="L10561" s="24"/>
      <c r="M10561" s="24"/>
      <c r="N10561" s="24"/>
      <c r="O10561" s="24"/>
      <c r="P10561" s="24"/>
      <c r="Q10561" s="24"/>
      <c r="R10561" s="24"/>
      <c r="S10561" s="24"/>
      <c r="T10561" s="24"/>
      <c r="U10561" s="24"/>
      <c r="V10561" s="24"/>
      <c r="W10561" s="24"/>
      <c r="X10561" s="24"/>
      <c r="Y10561" s="24"/>
      <c r="Z10561" s="24"/>
      <c r="AA10561" s="24"/>
    </row>
    <row r="10562">
      <c r="A10562" s="24"/>
      <c r="B10562" s="25"/>
      <c r="C10562" s="24"/>
      <c r="D10562" s="26"/>
      <c r="E10562" s="24"/>
      <c r="F10562" s="24"/>
      <c r="G10562" s="24"/>
      <c r="H10562" s="24"/>
      <c r="I10562" s="24"/>
      <c r="J10562" s="24"/>
      <c r="K10562" s="24"/>
      <c r="L10562" s="24"/>
      <c r="M10562" s="24"/>
      <c r="N10562" s="24"/>
      <c r="O10562" s="24"/>
      <c r="P10562" s="24"/>
      <c r="Q10562" s="24"/>
      <c r="R10562" s="24"/>
      <c r="S10562" s="24"/>
      <c r="T10562" s="24"/>
      <c r="U10562" s="24"/>
      <c r="V10562" s="24"/>
      <c r="W10562" s="24"/>
      <c r="X10562" s="24"/>
      <c r="Y10562" s="24"/>
      <c r="Z10562" s="24"/>
      <c r="AA10562" s="24"/>
    </row>
    <row r="10563">
      <c r="A10563" s="24"/>
      <c r="B10563" s="25"/>
      <c r="C10563" s="24"/>
      <c r="D10563" s="26"/>
      <c r="E10563" s="24"/>
      <c r="F10563" s="24"/>
      <c r="G10563" s="24"/>
      <c r="H10563" s="24"/>
      <c r="I10563" s="24"/>
      <c r="J10563" s="24"/>
      <c r="K10563" s="24"/>
      <c r="L10563" s="24"/>
      <c r="M10563" s="24"/>
      <c r="N10563" s="24"/>
      <c r="O10563" s="24"/>
      <c r="P10563" s="24"/>
      <c r="Q10563" s="24"/>
      <c r="R10563" s="24"/>
      <c r="S10563" s="24"/>
      <c r="T10563" s="24"/>
      <c r="U10563" s="24"/>
      <c r="V10563" s="24"/>
      <c r="W10563" s="24"/>
      <c r="X10563" s="24"/>
      <c r="Y10563" s="24"/>
      <c r="Z10563" s="24"/>
      <c r="AA10563" s="24"/>
    </row>
    <row r="10564">
      <c r="A10564" s="24"/>
      <c r="B10564" s="25"/>
      <c r="C10564" s="24"/>
      <c r="D10564" s="26"/>
      <c r="E10564" s="24"/>
      <c r="F10564" s="24"/>
      <c r="G10564" s="24"/>
      <c r="H10564" s="24"/>
      <c r="I10564" s="24"/>
      <c r="J10564" s="24"/>
      <c r="K10564" s="24"/>
      <c r="L10564" s="24"/>
      <c r="M10564" s="24"/>
      <c r="N10564" s="24"/>
      <c r="O10564" s="24"/>
      <c r="P10564" s="24"/>
      <c r="Q10564" s="24"/>
      <c r="R10564" s="24"/>
      <c r="S10564" s="24"/>
      <c r="T10564" s="24"/>
      <c r="U10564" s="24"/>
      <c r="V10564" s="24"/>
      <c r="W10564" s="24"/>
      <c r="X10564" s="24"/>
      <c r="Y10564" s="24"/>
      <c r="Z10564" s="24"/>
      <c r="AA10564" s="24"/>
    </row>
    <row r="10565">
      <c r="A10565" s="24"/>
      <c r="B10565" s="25"/>
      <c r="C10565" s="24"/>
      <c r="D10565" s="26"/>
      <c r="E10565" s="24"/>
      <c r="F10565" s="24"/>
      <c r="G10565" s="24"/>
      <c r="H10565" s="24"/>
      <c r="I10565" s="24"/>
      <c r="J10565" s="24"/>
      <c r="K10565" s="24"/>
      <c r="L10565" s="24"/>
      <c r="M10565" s="24"/>
      <c r="N10565" s="24"/>
      <c r="O10565" s="24"/>
      <c r="P10565" s="24"/>
      <c r="Q10565" s="24"/>
      <c r="R10565" s="24"/>
      <c r="S10565" s="24"/>
      <c r="T10565" s="24"/>
      <c r="U10565" s="24"/>
      <c r="V10565" s="24"/>
      <c r="W10565" s="24"/>
      <c r="X10565" s="24"/>
      <c r="Y10565" s="24"/>
      <c r="Z10565" s="24"/>
      <c r="AA10565" s="24"/>
    </row>
    <row r="10566">
      <c r="A10566" s="24"/>
      <c r="B10566" s="25"/>
      <c r="C10566" s="24"/>
      <c r="D10566" s="26"/>
      <c r="E10566" s="24"/>
      <c r="F10566" s="24"/>
      <c r="G10566" s="24"/>
      <c r="H10566" s="24"/>
      <c r="I10566" s="24"/>
      <c r="J10566" s="24"/>
      <c r="K10566" s="24"/>
      <c r="L10566" s="24"/>
      <c r="M10566" s="24"/>
      <c r="N10566" s="24"/>
      <c r="O10566" s="24"/>
      <c r="P10566" s="24"/>
      <c r="Q10566" s="24"/>
      <c r="R10566" s="24"/>
      <c r="S10566" s="24"/>
      <c r="T10566" s="24"/>
      <c r="U10566" s="24"/>
      <c r="V10566" s="24"/>
      <c r="W10566" s="24"/>
      <c r="X10566" s="24"/>
      <c r="Y10566" s="24"/>
      <c r="Z10566" s="24"/>
      <c r="AA10566" s="24"/>
    </row>
    <row r="10567">
      <c r="A10567" s="24"/>
      <c r="B10567" s="25"/>
      <c r="C10567" s="24"/>
      <c r="D10567" s="26"/>
      <c r="E10567" s="24"/>
      <c r="F10567" s="24"/>
      <c r="G10567" s="24"/>
      <c r="H10567" s="24"/>
      <c r="I10567" s="24"/>
      <c r="J10567" s="24"/>
      <c r="K10567" s="24"/>
      <c r="L10567" s="24"/>
      <c r="M10567" s="24"/>
      <c r="N10567" s="24"/>
      <c r="O10567" s="24"/>
      <c r="P10567" s="24"/>
      <c r="Q10567" s="24"/>
      <c r="R10567" s="24"/>
      <c r="S10567" s="24"/>
      <c r="T10567" s="24"/>
      <c r="U10567" s="24"/>
      <c r="V10567" s="24"/>
      <c r="W10567" s="24"/>
      <c r="X10567" s="24"/>
      <c r="Y10567" s="24"/>
      <c r="Z10567" s="24"/>
      <c r="AA10567" s="24"/>
    </row>
    <row r="10568">
      <c r="A10568" s="24"/>
      <c r="B10568" s="25"/>
      <c r="C10568" s="24"/>
      <c r="D10568" s="26"/>
      <c r="E10568" s="24"/>
      <c r="F10568" s="24"/>
      <c r="G10568" s="24"/>
      <c r="H10568" s="24"/>
      <c r="I10568" s="24"/>
      <c r="J10568" s="24"/>
      <c r="K10568" s="24"/>
      <c r="L10568" s="24"/>
      <c r="M10568" s="24"/>
      <c r="N10568" s="24"/>
      <c r="O10568" s="24"/>
      <c r="P10568" s="24"/>
      <c r="Q10568" s="24"/>
      <c r="R10568" s="24"/>
      <c r="S10568" s="24"/>
      <c r="T10568" s="24"/>
      <c r="U10568" s="24"/>
      <c r="V10568" s="24"/>
      <c r="W10568" s="24"/>
      <c r="X10568" s="24"/>
      <c r="Y10568" s="24"/>
      <c r="Z10568" s="24"/>
      <c r="AA10568" s="24"/>
    </row>
    <row r="10569">
      <c r="A10569" s="24"/>
      <c r="B10569" s="25"/>
      <c r="C10569" s="24"/>
      <c r="D10569" s="26"/>
      <c r="E10569" s="24"/>
      <c r="F10569" s="24"/>
      <c r="G10569" s="24"/>
      <c r="H10569" s="24"/>
      <c r="I10569" s="24"/>
      <c r="J10569" s="24"/>
      <c r="K10569" s="24"/>
      <c r="L10569" s="24"/>
      <c r="M10569" s="24"/>
      <c r="N10569" s="24"/>
      <c r="O10569" s="24"/>
      <c r="P10569" s="24"/>
      <c r="Q10569" s="24"/>
      <c r="R10569" s="24"/>
      <c r="S10569" s="24"/>
      <c r="T10569" s="24"/>
      <c r="U10569" s="24"/>
      <c r="V10569" s="24"/>
      <c r="W10569" s="24"/>
      <c r="X10569" s="24"/>
      <c r="Y10569" s="24"/>
      <c r="Z10569" s="24"/>
      <c r="AA10569" s="24"/>
    </row>
    <row r="10570">
      <c r="A10570" s="24"/>
      <c r="B10570" s="25"/>
      <c r="C10570" s="24"/>
      <c r="D10570" s="26"/>
      <c r="E10570" s="24"/>
      <c r="F10570" s="24"/>
      <c r="G10570" s="24"/>
      <c r="H10570" s="24"/>
      <c r="I10570" s="24"/>
      <c r="J10570" s="24"/>
      <c r="K10570" s="24"/>
      <c r="L10570" s="24"/>
      <c r="M10570" s="24"/>
      <c r="N10570" s="24"/>
      <c r="O10570" s="24"/>
      <c r="P10570" s="24"/>
      <c r="Q10570" s="24"/>
      <c r="R10570" s="24"/>
      <c r="S10570" s="24"/>
      <c r="T10570" s="24"/>
      <c r="U10570" s="24"/>
      <c r="V10570" s="24"/>
      <c r="W10570" s="24"/>
      <c r="X10570" s="24"/>
      <c r="Y10570" s="24"/>
      <c r="Z10570" s="24"/>
      <c r="AA10570" s="24"/>
    </row>
    <row r="10571">
      <c r="A10571" s="24"/>
      <c r="B10571" s="25"/>
      <c r="C10571" s="24"/>
      <c r="D10571" s="26"/>
      <c r="E10571" s="24"/>
      <c r="F10571" s="24"/>
      <c r="G10571" s="24"/>
      <c r="H10571" s="24"/>
      <c r="I10571" s="24"/>
      <c r="J10571" s="24"/>
      <c r="K10571" s="24"/>
      <c r="L10571" s="24"/>
      <c r="M10571" s="24"/>
      <c r="N10571" s="24"/>
      <c r="O10571" s="24"/>
      <c r="P10571" s="24"/>
      <c r="Q10571" s="24"/>
      <c r="R10571" s="24"/>
      <c r="S10571" s="24"/>
      <c r="T10571" s="24"/>
      <c r="U10571" s="24"/>
      <c r="V10571" s="24"/>
      <c r="W10571" s="24"/>
      <c r="X10571" s="24"/>
      <c r="Y10571" s="24"/>
      <c r="Z10571" s="24"/>
      <c r="AA10571" s="24"/>
    </row>
    <row r="10572">
      <c r="A10572" s="24"/>
      <c r="B10572" s="25"/>
      <c r="C10572" s="24"/>
      <c r="D10572" s="26"/>
      <c r="E10572" s="24"/>
      <c r="F10572" s="24"/>
      <c r="G10572" s="24"/>
      <c r="H10572" s="24"/>
      <c r="I10572" s="24"/>
      <c r="J10572" s="24"/>
      <c r="K10572" s="24"/>
      <c r="L10572" s="24"/>
      <c r="M10572" s="24"/>
      <c r="N10572" s="24"/>
      <c r="O10572" s="24"/>
      <c r="P10572" s="24"/>
      <c r="Q10572" s="24"/>
      <c r="R10572" s="24"/>
      <c r="S10572" s="24"/>
      <c r="T10572" s="24"/>
      <c r="U10572" s="24"/>
      <c r="V10572" s="24"/>
      <c r="W10572" s="24"/>
      <c r="X10572" s="24"/>
      <c r="Y10572" s="24"/>
      <c r="Z10572" s="24"/>
      <c r="AA10572" s="24"/>
    </row>
    <row r="10573">
      <c r="A10573" s="24"/>
      <c r="B10573" s="25"/>
      <c r="C10573" s="24"/>
      <c r="D10573" s="26"/>
      <c r="E10573" s="24"/>
      <c r="F10573" s="24"/>
      <c r="G10573" s="24"/>
      <c r="H10573" s="24"/>
      <c r="I10573" s="24"/>
      <c r="J10573" s="24"/>
      <c r="K10573" s="24"/>
      <c r="L10573" s="24"/>
      <c r="M10573" s="24"/>
      <c r="N10573" s="24"/>
      <c r="O10573" s="24"/>
      <c r="P10573" s="24"/>
      <c r="Q10573" s="24"/>
      <c r="R10573" s="24"/>
      <c r="S10573" s="24"/>
      <c r="T10573" s="24"/>
      <c r="U10573" s="24"/>
      <c r="V10573" s="24"/>
      <c r="W10573" s="24"/>
      <c r="X10573" s="24"/>
      <c r="Y10573" s="24"/>
      <c r="Z10573" s="24"/>
      <c r="AA10573" s="24"/>
    </row>
    <row r="10574">
      <c r="A10574" s="24"/>
      <c r="B10574" s="25"/>
      <c r="C10574" s="24"/>
      <c r="D10574" s="26"/>
      <c r="E10574" s="24"/>
      <c r="F10574" s="24"/>
      <c r="G10574" s="24"/>
      <c r="H10574" s="24"/>
      <c r="I10574" s="24"/>
      <c r="J10574" s="24"/>
      <c r="K10574" s="24"/>
      <c r="L10574" s="24"/>
      <c r="M10574" s="24"/>
      <c r="N10574" s="24"/>
      <c r="O10574" s="24"/>
      <c r="P10574" s="24"/>
      <c r="Q10574" s="24"/>
      <c r="R10574" s="24"/>
      <c r="S10574" s="24"/>
      <c r="T10574" s="24"/>
      <c r="U10574" s="24"/>
      <c r="V10574" s="24"/>
      <c r="W10574" s="24"/>
      <c r="X10574" s="24"/>
      <c r="Y10574" s="24"/>
      <c r="Z10574" s="24"/>
      <c r="AA10574" s="24"/>
    </row>
    <row r="10575">
      <c r="A10575" s="24"/>
      <c r="B10575" s="25"/>
      <c r="C10575" s="24"/>
      <c r="D10575" s="26"/>
      <c r="E10575" s="24"/>
      <c r="F10575" s="24"/>
      <c r="G10575" s="24"/>
      <c r="H10575" s="24"/>
      <c r="I10575" s="24"/>
      <c r="J10575" s="24"/>
      <c r="K10575" s="24"/>
      <c r="L10575" s="24"/>
      <c r="M10575" s="24"/>
      <c r="N10575" s="24"/>
      <c r="O10575" s="24"/>
      <c r="P10575" s="24"/>
      <c r="Q10575" s="24"/>
      <c r="R10575" s="24"/>
      <c r="S10575" s="24"/>
      <c r="T10575" s="24"/>
      <c r="U10575" s="24"/>
      <c r="V10575" s="24"/>
      <c r="W10575" s="24"/>
      <c r="X10575" s="24"/>
      <c r="Y10575" s="24"/>
      <c r="Z10575" s="24"/>
      <c r="AA10575" s="24"/>
    </row>
    <row r="10576">
      <c r="A10576" s="24"/>
      <c r="B10576" s="25"/>
      <c r="C10576" s="24"/>
      <c r="D10576" s="26"/>
      <c r="E10576" s="24"/>
      <c r="F10576" s="24"/>
      <c r="G10576" s="24"/>
      <c r="H10576" s="24"/>
      <c r="I10576" s="24"/>
      <c r="J10576" s="24"/>
      <c r="K10576" s="24"/>
      <c r="L10576" s="24"/>
      <c r="M10576" s="24"/>
      <c r="N10576" s="24"/>
      <c r="O10576" s="24"/>
      <c r="P10576" s="24"/>
      <c r="Q10576" s="24"/>
      <c r="R10576" s="24"/>
      <c r="S10576" s="24"/>
      <c r="T10576" s="24"/>
      <c r="U10576" s="24"/>
      <c r="V10576" s="24"/>
      <c r="W10576" s="24"/>
      <c r="X10576" s="24"/>
      <c r="Y10576" s="24"/>
      <c r="Z10576" s="24"/>
      <c r="AA10576" s="24"/>
    </row>
    <row r="10577">
      <c r="A10577" s="24"/>
      <c r="B10577" s="25"/>
      <c r="C10577" s="24"/>
      <c r="D10577" s="26"/>
      <c r="E10577" s="24"/>
      <c r="F10577" s="24"/>
      <c r="G10577" s="24"/>
      <c r="H10577" s="24"/>
      <c r="I10577" s="24"/>
      <c r="J10577" s="24"/>
      <c r="K10577" s="24"/>
      <c r="L10577" s="24"/>
      <c r="M10577" s="24"/>
      <c r="N10577" s="24"/>
      <c r="O10577" s="24"/>
      <c r="P10577" s="24"/>
      <c r="Q10577" s="24"/>
      <c r="R10577" s="24"/>
      <c r="S10577" s="24"/>
      <c r="T10577" s="24"/>
      <c r="U10577" s="24"/>
      <c r="V10577" s="24"/>
      <c r="W10577" s="24"/>
      <c r="X10577" s="24"/>
      <c r="Y10577" s="24"/>
      <c r="Z10577" s="24"/>
      <c r="AA10577" s="24"/>
    </row>
    <row r="10578">
      <c r="A10578" s="24"/>
      <c r="B10578" s="25"/>
      <c r="C10578" s="24"/>
      <c r="D10578" s="26"/>
      <c r="E10578" s="24"/>
      <c r="F10578" s="24"/>
      <c r="G10578" s="24"/>
      <c r="H10578" s="24"/>
      <c r="I10578" s="24"/>
      <c r="J10578" s="24"/>
      <c r="K10578" s="24"/>
      <c r="L10578" s="24"/>
      <c r="M10578" s="24"/>
      <c r="N10578" s="24"/>
      <c r="O10578" s="24"/>
      <c r="P10578" s="24"/>
      <c r="Q10578" s="24"/>
      <c r="R10578" s="24"/>
      <c r="S10578" s="24"/>
      <c r="T10578" s="24"/>
      <c r="U10578" s="24"/>
      <c r="V10578" s="24"/>
      <c r="W10578" s="24"/>
      <c r="X10578" s="24"/>
      <c r="Y10578" s="24"/>
      <c r="Z10578" s="24"/>
      <c r="AA10578" s="24"/>
    </row>
    <row r="10579">
      <c r="A10579" s="24"/>
      <c r="B10579" s="25"/>
      <c r="C10579" s="24"/>
      <c r="D10579" s="26"/>
      <c r="E10579" s="24"/>
      <c r="F10579" s="24"/>
      <c r="G10579" s="24"/>
      <c r="H10579" s="24"/>
      <c r="I10579" s="24"/>
      <c r="J10579" s="24"/>
      <c r="K10579" s="24"/>
      <c r="L10579" s="24"/>
      <c r="M10579" s="24"/>
      <c r="N10579" s="24"/>
      <c r="O10579" s="24"/>
      <c r="P10579" s="24"/>
      <c r="Q10579" s="24"/>
      <c r="R10579" s="24"/>
      <c r="S10579" s="24"/>
      <c r="T10579" s="24"/>
      <c r="U10579" s="24"/>
      <c r="V10579" s="24"/>
      <c r="W10579" s="24"/>
      <c r="X10579" s="24"/>
      <c r="Y10579" s="24"/>
      <c r="Z10579" s="24"/>
      <c r="AA10579" s="24"/>
    </row>
    <row r="10580">
      <c r="A10580" s="24"/>
      <c r="B10580" s="25"/>
      <c r="C10580" s="24"/>
      <c r="D10580" s="26"/>
      <c r="E10580" s="24"/>
      <c r="F10580" s="24"/>
      <c r="G10580" s="24"/>
      <c r="H10580" s="24"/>
      <c r="I10580" s="24"/>
      <c r="J10580" s="24"/>
      <c r="K10580" s="24"/>
      <c r="L10580" s="24"/>
      <c r="M10580" s="24"/>
      <c r="N10580" s="24"/>
      <c r="O10580" s="24"/>
      <c r="P10580" s="24"/>
      <c r="Q10580" s="24"/>
      <c r="R10580" s="24"/>
      <c r="S10580" s="24"/>
      <c r="T10580" s="24"/>
      <c r="U10580" s="24"/>
      <c r="V10580" s="24"/>
      <c r="W10580" s="24"/>
      <c r="X10580" s="24"/>
      <c r="Y10580" s="24"/>
      <c r="Z10580" s="24"/>
      <c r="AA10580" s="24"/>
    </row>
    <row r="10581">
      <c r="A10581" s="24"/>
      <c r="B10581" s="25"/>
      <c r="C10581" s="24"/>
      <c r="D10581" s="26"/>
      <c r="E10581" s="24"/>
      <c r="F10581" s="24"/>
      <c r="G10581" s="24"/>
      <c r="H10581" s="24"/>
      <c r="I10581" s="24"/>
      <c r="J10581" s="24"/>
      <c r="K10581" s="24"/>
      <c r="L10581" s="24"/>
      <c r="M10581" s="24"/>
      <c r="N10581" s="24"/>
      <c r="O10581" s="24"/>
      <c r="P10581" s="24"/>
      <c r="Q10581" s="24"/>
      <c r="R10581" s="24"/>
      <c r="S10581" s="24"/>
      <c r="T10581" s="24"/>
      <c r="U10581" s="24"/>
      <c r="V10581" s="24"/>
      <c r="W10581" s="24"/>
      <c r="X10581" s="24"/>
      <c r="Y10581" s="24"/>
      <c r="Z10581" s="24"/>
      <c r="AA10581" s="24"/>
    </row>
    <row r="10582">
      <c r="A10582" s="24"/>
      <c r="B10582" s="25"/>
      <c r="C10582" s="24"/>
      <c r="D10582" s="26"/>
      <c r="E10582" s="24"/>
      <c r="F10582" s="24"/>
      <c r="G10582" s="24"/>
      <c r="H10582" s="24"/>
      <c r="I10582" s="24"/>
      <c r="J10582" s="24"/>
      <c r="K10582" s="24"/>
      <c r="L10582" s="24"/>
      <c r="M10582" s="24"/>
      <c r="N10582" s="24"/>
      <c r="O10582" s="24"/>
      <c r="P10582" s="24"/>
      <c r="Q10582" s="24"/>
      <c r="R10582" s="24"/>
      <c r="S10582" s="24"/>
      <c r="T10582" s="24"/>
      <c r="U10582" s="24"/>
      <c r="V10582" s="24"/>
      <c r="W10582" s="24"/>
      <c r="X10582" s="24"/>
      <c r="Y10582" s="24"/>
      <c r="Z10582" s="24"/>
      <c r="AA10582" s="24"/>
    </row>
    <row r="10583">
      <c r="A10583" s="24"/>
      <c r="B10583" s="25"/>
      <c r="C10583" s="24"/>
      <c r="D10583" s="26"/>
      <c r="E10583" s="24"/>
      <c r="F10583" s="24"/>
      <c r="G10583" s="24"/>
      <c r="H10583" s="24"/>
      <c r="I10583" s="24"/>
      <c r="J10583" s="24"/>
      <c r="K10583" s="24"/>
      <c r="L10583" s="24"/>
      <c r="M10583" s="24"/>
      <c r="N10583" s="24"/>
      <c r="O10583" s="24"/>
      <c r="P10583" s="24"/>
      <c r="Q10583" s="24"/>
      <c r="R10583" s="24"/>
      <c r="S10583" s="24"/>
      <c r="T10583" s="24"/>
      <c r="U10583" s="24"/>
      <c r="V10583" s="24"/>
      <c r="W10583" s="24"/>
      <c r="X10583" s="24"/>
      <c r="Y10583" s="24"/>
      <c r="Z10583" s="24"/>
      <c r="AA10583" s="24"/>
    </row>
    <row r="10584">
      <c r="A10584" s="24"/>
      <c r="B10584" s="25"/>
      <c r="C10584" s="24"/>
      <c r="D10584" s="26"/>
      <c r="E10584" s="24"/>
      <c r="F10584" s="24"/>
      <c r="G10584" s="24"/>
      <c r="H10584" s="24"/>
      <c r="I10584" s="24"/>
      <c r="J10584" s="24"/>
      <c r="K10584" s="24"/>
      <c r="L10584" s="24"/>
      <c r="M10584" s="24"/>
      <c r="N10584" s="24"/>
      <c r="O10584" s="24"/>
      <c r="P10584" s="24"/>
      <c r="Q10584" s="24"/>
      <c r="R10584" s="24"/>
      <c r="S10584" s="24"/>
      <c r="T10584" s="24"/>
      <c r="U10584" s="24"/>
      <c r="V10584" s="24"/>
      <c r="W10584" s="24"/>
      <c r="X10584" s="24"/>
      <c r="Y10584" s="24"/>
      <c r="Z10584" s="24"/>
      <c r="AA10584" s="24"/>
    </row>
    <row r="10585">
      <c r="A10585" s="24"/>
      <c r="B10585" s="25"/>
      <c r="C10585" s="24"/>
      <c r="D10585" s="26"/>
      <c r="E10585" s="24"/>
      <c r="F10585" s="24"/>
      <c r="G10585" s="24"/>
      <c r="H10585" s="24"/>
      <c r="I10585" s="24"/>
      <c r="J10585" s="24"/>
      <c r="K10585" s="24"/>
      <c r="L10585" s="24"/>
      <c r="M10585" s="24"/>
      <c r="N10585" s="24"/>
      <c r="O10585" s="24"/>
      <c r="P10585" s="24"/>
      <c r="Q10585" s="24"/>
      <c r="R10585" s="24"/>
      <c r="S10585" s="24"/>
      <c r="T10585" s="24"/>
      <c r="U10585" s="24"/>
      <c r="V10585" s="24"/>
      <c r="W10585" s="24"/>
      <c r="X10585" s="24"/>
      <c r="Y10585" s="24"/>
      <c r="Z10585" s="24"/>
      <c r="AA10585" s="24"/>
    </row>
    <row r="10586">
      <c r="A10586" s="24"/>
      <c r="B10586" s="25"/>
      <c r="C10586" s="24"/>
      <c r="D10586" s="26"/>
      <c r="E10586" s="24"/>
      <c r="F10586" s="24"/>
      <c r="G10586" s="24"/>
      <c r="H10586" s="24"/>
      <c r="I10586" s="24"/>
      <c r="J10586" s="24"/>
      <c r="K10586" s="24"/>
      <c r="L10586" s="24"/>
      <c r="M10586" s="24"/>
      <c r="N10586" s="24"/>
      <c r="O10586" s="24"/>
      <c r="P10586" s="24"/>
      <c r="Q10586" s="24"/>
      <c r="R10586" s="24"/>
      <c r="S10586" s="24"/>
      <c r="T10586" s="24"/>
      <c r="U10586" s="24"/>
      <c r="V10586" s="24"/>
      <c r="W10586" s="24"/>
      <c r="X10586" s="24"/>
      <c r="Y10586" s="24"/>
      <c r="Z10586" s="24"/>
      <c r="AA10586" s="24"/>
    </row>
    <row r="10587">
      <c r="A10587" s="24"/>
      <c r="B10587" s="25"/>
      <c r="C10587" s="24"/>
      <c r="D10587" s="26"/>
      <c r="E10587" s="24"/>
      <c r="F10587" s="24"/>
      <c r="G10587" s="24"/>
      <c r="H10587" s="24"/>
      <c r="I10587" s="24"/>
      <c r="J10587" s="24"/>
      <c r="K10587" s="24"/>
      <c r="L10587" s="24"/>
      <c r="M10587" s="24"/>
      <c r="N10587" s="24"/>
      <c r="O10587" s="24"/>
      <c r="P10587" s="24"/>
      <c r="Q10587" s="24"/>
      <c r="R10587" s="24"/>
      <c r="S10587" s="24"/>
      <c r="T10587" s="24"/>
      <c r="U10587" s="24"/>
      <c r="V10587" s="24"/>
      <c r="W10587" s="24"/>
      <c r="X10587" s="24"/>
      <c r="Y10587" s="24"/>
      <c r="Z10587" s="24"/>
      <c r="AA10587" s="24"/>
    </row>
    <row r="10588">
      <c r="A10588" s="24"/>
      <c r="B10588" s="25"/>
      <c r="C10588" s="24"/>
      <c r="D10588" s="26"/>
      <c r="E10588" s="24"/>
      <c r="F10588" s="24"/>
      <c r="G10588" s="24"/>
      <c r="H10588" s="24"/>
      <c r="I10588" s="24"/>
      <c r="J10588" s="24"/>
      <c r="K10588" s="24"/>
      <c r="L10588" s="24"/>
      <c r="M10588" s="24"/>
      <c r="N10588" s="24"/>
      <c r="O10588" s="24"/>
      <c r="P10588" s="24"/>
      <c r="Q10588" s="24"/>
      <c r="R10588" s="24"/>
      <c r="S10588" s="24"/>
      <c r="T10588" s="24"/>
      <c r="U10588" s="24"/>
      <c r="V10588" s="24"/>
      <c r="W10588" s="24"/>
      <c r="X10588" s="24"/>
      <c r="Y10588" s="24"/>
      <c r="Z10588" s="24"/>
      <c r="AA10588" s="24"/>
    </row>
    <row r="10589">
      <c r="A10589" s="24"/>
      <c r="B10589" s="25"/>
      <c r="C10589" s="24"/>
      <c r="D10589" s="26"/>
      <c r="E10589" s="24"/>
      <c r="F10589" s="24"/>
      <c r="G10589" s="24"/>
      <c r="H10589" s="24"/>
      <c r="I10589" s="24"/>
      <c r="J10589" s="24"/>
      <c r="K10589" s="24"/>
      <c r="L10589" s="24"/>
      <c r="M10589" s="24"/>
      <c r="N10589" s="24"/>
      <c r="O10589" s="24"/>
      <c r="P10589" s="24"/>
      <c r="Q10589" s="24"/>
      <c r="R10589" s="24"/>
      <c r="S10589" s="24"/>
      <c r="T10589" s="24"/>
      <c r="U10589" s="24"/>
      <c r="V10589" s="24"/>
      <c r="W10589" s="24"/>
      <c r="X10589" s="24"/>
      <c r="Y10589" s="24"/>
      <c r="Z10589" s="24"/>
      <c r="AA10589" s="24"/>
    </row>
    <row r="10590">
      <c r="A10590" s="24"/>
      <c r="B10590" s="25"/>
      <c r="C10590" s="24"/>
      <c r="D10590" s="26"/>
      <c r="E10590" s="24"/>
      <c r="F10590" s="24"/>
      <c r="G10590" s="24"/>
      <c r="H10590" s="24"/>
      <c r="I10590" s="24"/>
      <c r="J10590" s="24"/>
      <c r="K10590" s="24"/>
      <c r="L10590" s="24"/>
      <c r="M10590" s="24"/>
      <c r="N10590" s="24"/>
      <c r="O10590" s="24"/>
      <c r="P10590" s="24"/>
      <c r="Q10590" s="24"/>
      <c r="R10590" s="24"/>
      <c r="S10590" s="24"/>
      <c r="T10590" s="24"/>
      <c r="U10590" s="24"/>
      <c r="V10590" s="24"/>
      <c r="W10590" s="24"/>
      <c r="X10590" s="24"/>
      <c r="Y10590" s="24"/>
      <c r="Z10590" s="24"/>
      <c r="AA10590" s="24"/>
    </row>
    <row r="10591">
      <c r="A10591" s="24"/>
      <c r="B10591" s="25"/>
      <c r="C10591" s="24"/>
      <c r="D10591" s="26"/>
      <c r="E10591" s="24"/>
      <c r="F10591" s="24"/>
      <c r="G10591" s="24"/>
      <c r="H10591" s="24"/>
      <c r="I10591" s="24"/>
      <c r="J10591" s="24"/>
      <c r="K10591" s="24"/>
      <c r="L10591" s="24"/>
      <c r="M10591" s="24"/>
      <c r="N10591" s="24"/>
      <c r="O10591" s="24"/>
      <c r="P10591" s="24"/>
      <c r="Q10591" s="24"/>
      <c r="R10591" s="24"/>
      <c r="S10591" s="24"/>
      <c r="T10591" s="24"/>
      <c r="U10591" s="24"/>
      <c r="V10591" s="24"/>
      <c r="W10591" s="24"/>
      <c r="X10591" s="24"/>
      <c r="Y10591" s="24"/>
      <c r="Z10591" s="24"/>
      <c r="AA10591" s="24"/>
    </row>
    <row r="10592">
      <c r="A10592" s="24"/>
      <c r="B10592" s="25"/>
      <c r="C10592" s="24"/>
      <c r="D10592" s="26"/>
      <c r="E10592" s="24"/>
      <c r="F10592" s="24"/>
      <c r="G10592" s="24"/>
      <c r="H10592" s="24"/>
      <c r="I10592" s="24"/>
      <c r="J10592" s="24"/>
      <c r="K10592" s="24"/>
      <c r="L10592" s="24"/>
      <c r="M10592" s="24"/>
      <c r="N10592" s="24"/>
      <c r="O10592" s="24"/>
      <c r="P10592" s="24"/>
      <c r="Q10592" s="24"/>
      <c r="R10592" s="24"/>
      <c r="S10592" s="24"/>
      <c r="T10592" s="24"/>
      <c r="U10592" s="24"/>
      <c r="V10592" s="24"/>
      <c r="W10592" s="24"/>
      <c r="X10592" s="24"/>
      <c r="Y10592" s="24"/>
      <c r="Z10592" s="24"/>
      <c r="AA10592" s="24"/>
    </row>
    <row r="10593">
      <c r="A10593" s="24"/>
      <c r="B10593" s="25"/>
      <c r="C10593" s="24"/>
      <c r="D10593" s="26"/>
      <c r="E10593" s="24"/>
      <c r="F10593" s="24"/>
      <c r="G10593" s="24"/>
      <c r="H10593" s="24"/>
      <c r="I10593" s="24"/>
      <c r="J10593" s="24"/>
      <c r="K10593" s="24"/>
      <c r="L10593" s="24"/>
      <c r="M10593" s="24"/>
      <c r="N10593" s="24"/>
      <c r="O10593" s="24"/>
      <c r="P10593" s="24"/>
      <c r="Q10593" s="24"/>
      <c r="R10593" s="24"/>
      <c r="S10593" s="24"/>
      <c r="T10593" s="24"/>
      <c r="U10593" s="24"/>
      <c r="V10593" s="24"/>
      <c r="W10593" s="24"/>
      <c r="X10593" s="24"/>
      <c r="Y10593" s="24"/>
      <c r="Z10593" s="24"/>
      <c r="AA10593" s="24"/>
    </row>
    <row r="10594">
      <c r="A10594" s="24"/>
      <c r="B10594" s="25"/>
      <c r="C10594" s="24"/>
      <c r="D10594" s="26"/>
      <c r="E10594" s="24"/>
      <c r="F10594" s="24"/>
      <c r="G10594" s="24"/>
      <c r="H10594" s="24"/>
      <c r="I10594" s="24"/>
      <c r="J10594" s="24"/>
      <c r="K10594" s="24"/>
      <c r="L10594" s="24"/>
      <c r="M10594" s="24"/>
      <c r="N10594" s="24"/>
      <c r="O10594" s="24"/>
      <c r="P10594" s="24"/>
      <c r="Q10594" s="24"/>
      <c r="R10594" s="24"/>
      <c r="S10594" s="24"/>
      <c r="T10594" s="24"/>
      <c r="U10594" s="24"/>
      <c r="V10594" s="24"/>
      <c r="W10594" s="24"/>
      <c r="X10594" s="24"/>
      <c r="Y10594" s="24"/>
      <c r="Z10594" s="24"/>
      <c r="AA10594" s="24"/>
    </row>
    <row r="10595">
      <c r="A10595" s="24"/>
      <c r="B10595" s="25"/>
      <c r="C10595" s="24"/>
      <c r="D10595" s="26"/>
      <c r="E10595" s="24"/>
      <c r="F10595" s="24"/>
      <c r="G10595" s="24"/>
      <c r="H10595" s="24"/>
      <c r="I10595" s="24"/>
      <c r="J10595" s="24"/>
      <c r="K10595" s="24"/>
      <c r="L10595" s="24"/>
      <c r="M10595" s="24"/>
      <c r="N10595" s="24"/>
      <c r="O10595" s="24"/>
      <c r="P10595" s="24"/>
      <c r="Q10595" s="24"/>
      <c r="R10595" s="24"/>
      <c r="S10595" s="24"/>
      <c r="T10595" s="24"/>
      <c r="U10595" s="24"/>
      <c r="V10595" s="24"/>
      <c r="W10595" s="24"/>
      <c r="X10595" s="24"/>
      <c r="Y10595" s="24"/>
      <c r="Z10595" s="24"/>
      <c r="AA10595" s="24"/>
    </row>
    <row r="10596">
      <c r="A10596" s="24"/>
      <c r="B10596" s="25"/>
      <c r="C10596" s="24"/>
      <c r="D10596" s="26"/>
      <c r="E10596" s="24"/>
      <c r="F10596" s="24"/>
      <c r="G10596" s="24"/>
      <c r="H10596" s="24"/>
      <c r="I10596" s="24"/>
      <c r="J10596" s="24"/>
      <c r="K10596" s="24"/>
      <c r="L10596" s="24"/>
      <c r="M10596" s="24"/>
      <c r="N10596" s="24"/>
      <c r="O10596" s="24"/>
      <c r="P10596" s="24"/>
      <c r="Q10596" s="24"/>
      <c r="R10596" s="24"/>
      <c r="S10596" s="24"/>
      <c r="T10596" s="24"/>
      <c r="U10596" s="24"/>
      <c r="V10596" s="24"/>
      <c r="W10596" s="24"/>
      <c r="X10596" s="24"/>
      <c r="Y10596" s="24"/>
      <c r="Z10596" s="24"/>
      <c r="AA10596" s="24"/>
    </row>
    <row r="10597">
      <c r="A10597" s="24"/>
      <c r="B10597" s="25"/>
      <c r="C10597" s="24"/>
      <c r="D10597" s="26"/>
      <c r="E10597" s="24"/>
      <c r="F10597" s="24"/>
      <c r="G10597" s="24"/>
      <c r="H10597" s="24"/>
      <c r="I10597" s="24"/>
      <c r="J10597" s="24"/>
      <c r="K10597" s="24"/>
      <c r="L10597" s="24"/>
      <c r="M10597" s="24"/>
      <c r="N10597" s="24"/>
      <c r="O10597" s="24"/>
      <c r="P10597" s="24"/>
      <c r="Q10597" s="24"/>
      <c r="R10597" s="24"/>
      <c r="S10597" s="24"/>
      <c r="T10597" s="24"/>
      <c r="U10597" s="24"/>
      <c r="V10597" s="24"/>
      <c r="W10597" s="24"/>
      <c r="X10597" s="24"/>
      <c r="Y10597" s="24"/>
      <c r="Z10597" s="24"/>
      <c r="AA10597" s="24"/>
    </row>
    <row r="10598">
      <c r="A10598" s="24"/>
      <c r="B10598" s="25"/>
      <c r="C10598" s="24"/>
      <c r="D10598" s="26"/>
      <c r="E10598" s="24"/>
      <c r="F10598" s="24"/>
      <c r="G10598" s="24"/>
      <c r="H10598" s="24"/>
      <c r="I10598" s="24"/>
      <c r="J10598" s="24"/>
      <c r="K10598" s="24"/>
      <c r="L10598" s="24"/>
      <c r="M10598" s="24"/>
      <c r="N10598" s="24"/>
      <c r="O10598" s="24"/>
      <c r="P10598" s="24"/>
      <c r="Q10598" s="24"/>
      <c r="R10598" s="24"/>
      <c r="S10598" s="24"/>
      <c r="T10598" s="24"/>
      <c r="U10598" s="24"/>
      <c r="V10598" s="24"/>
      <c r="W10598" s="24"/>
      <c r="X10598" s="24"/>
      <c r="Y10598" s="24"/>
      <c r="Z10598" s="24"/>
      <c r="AA10598" s="24"/>
    </row>
    <row r="10599">
      <c r="A10599" s="24"/>
      <c r="B10599" s="25"/>
      <c r="C10599" s="24"/>
      <c r="D10599" s="26"/>
      <c r="E10599" s="24"/>
      <c r="F10599" s="24"/>
      <c r="G10599" s="24"/>
      <c r="H10599" s="24"/>
      <c r="I10599" s="24"/>
      <c r="J10599" s="24"/>
      <c r="K10599" s="24"/>
      <c r="L10599" s="24"/>
      <c r="M10599" s="24"/>
      <c r="N10599" s="24"/>
      <c r="O10599" s="24"/>
      <c r="P10599" s="24"/>
      <c r="Q10599" s="24"/>
      <c r="R10599" s="24"/>
      <c r="S10599" s="24"/>
      <c r="T10599" s="24"/>
      <c r="U10599" s="24"/>
      <c r="V10599" s="24"/>
      <c r="W10599" s="24"/>
      <c r="X10599" s="24"/>
      <c r="Y10599" s="24"/>
      <c r="Z10599" s="24"/>
      <c r="AA10599" s="24"/>
    </row>
    <row r="10600">
      <c r="A10600" s="24"/>
      <c r="B10600" s="25"/>
      <c r="C10600" s="24"/>
      <c r="D10600" s="26"/>
      <c r="E10600" s="24"/>
      <c r="F10600" s="24"/>
      <c r="G10600" s="24"/>
      <c r="H10600" s="24"/>
      <c r="I10600" s="24"/>
      <c r="J10600" s="24"/>
      <c r="K10600" s="24"/>
      <c r="L10600" s="24"/>
      <c r="M10600" s="24"/>
      <c r="N10600" s="24"/>
      <c r="O10600" s="24"/>
      <c r="P10600" s="24"/>
      <c r="Q10600" s="24"/>
      <c r="R10600" s="24"/>
      <c r="S10600" s="24"/>
      <c r="T10600" s="24"/>
      <c r="U10600" s="24"/>
      <c r="V10600" s="24"/>
      <c r="W10600" s="24"/>
      <c r="X10600" s="24"/>
      <c r="Y10600" s="24"/>
      <c r="Z10600" s="24"/>
      <c r="AA10600" s="24"/>
    </row>
    <row r="10601">
      <c r="A10601" s="24"/>
      <c r="B10601" s="25"/>
      <c r="C10601" s="24"/>
      <c r="D10601" s="26"/>
      <c r="E10601" s="24"/>
      <c r="F10601" s="24"/>
      <c r="G10601" s="24"/>
      <c r="H10601" s="24"/>
      <c r="I10601" s="24"/>
      <c r="J10601" s="24"/>
      <c r="K10601" s="24"/>
      <c r="L10601" s="24"/>
      <c r="M10601" s="24"/>
      <c r="N10601" s="24"/>
      <c r="O10601" s="24"/>
      <c r="P10601" s="24"/>
      <c r="Q10601" s="24"/>
      <c r="R10601" s="24"/>
      <c r="S10601" s="24"/>
      <c r="T10601" s="24"/>
      <c r="U10601" s="24"/>
      <c r="V10601" s="24"/>
      <c r="W10601" s="24"/>
      <c r="X10601" s="24"/>
      <c r="Y10601" s="24"/>
      <c r="Z10601" s="24"/>
      <c r="AA10601" s="24"/>
    </row>
    <row r="10602">
      <c r="A10602" s="24"/>
      <c r="B10602" s="25"/>
      <c r="C10602" s="24"/>
      <c r="D10602" s="26"/>
      <c r="E10602" s="24"/>
      <c r="F10602" s="24"/>
      <c r="G10602" s="24"/>
      <c r="H10602" s="24"/>
      <c r="I10602" s="24"/>
      <c r="J10602" s="24"/>
      <c r="K10602" s="24"/>
      <c r="L10602" s="24"/>
      <c r="M10602" s="24"/>
      <c r="N10602" s="24"/>
      <c r="O10602" s="24"/>
      <c r="P10602" s="24"/>
      <c r="Q10602" s="24"/>
      <c r="R10602" s="24"/>
      <c r="S10602" s="24"/>
      <c r="T10602" s="24"/>
      <c r="U10602" s="24"/>
      <c r="V10602" s="24"/>
      <c r="W10602" s="24"/>
      <c r="X10602" s="24"/>
      <c r="Y10602" s="24"/>
      <c r="Z10602" s="24"/>
      <c r="AA10602" s="24"/>
    </row>
    <row r="10603">
      <c r="A10603" s="24"/>
      <c r="B10603" s="25"/>
      <c r="C10603" s="24"/>
      <c r="D10603" s="26"/>
      <c r="E10603" s="24"/>
      <c r="F10603" s="24"/>
      <c r="G10603" s="24"/>
      <c r="H10603" s="24"/>
      <c r="I10603" s="24"/>
      <c r="J10603" s="24"/>
      <c r="K10603" s="24"/>
      <c r="L10603" s="24"/>
      <c r="M10603" s="24"/>
      <c r="N10603" s="24"/>
      <c r="O10603" s="24"/>
      <c r="P10603" s="24"/>
      <c r="Q10603" s="24"/>
      <c r="R10603" s="24"/>
      <c r="S10603" s="24"/>
      <c r="T10603" s="24"/>
      <c r="U10603" s="24"/>
      <c r="V10603" s="24"/>
      <c r="W10603" s="24"/>
      <c r="X10603" s="24"/>
      <c r="Y10603" s="24"/>
      <c r="Z10603" s="24"/>
      <c r="AA10603" s="24"/>
    </row>
    <row r="10604">
      <c r="A10604" s="24"/>
      <c r="B10604" s="25"/>
      <c r="C10604" s="24"/>
      <c r="D10604" s="26"/>
      <c r="E10604" s="24"/>
      <c r="F10604" s="24"/>
      <c r="G10604" s="24"/>
      <c r="H10604" s="24"/>
      <c r="I10604" s="24"/>
      <c r="J10604" s="24"/>
      <c r="K10604" s="24"/>
      <c r="L10604" s="24"/>
      <c r="M10604" s="24"/>
      <c r="N10604" s="24"/>
      <c r="O10604" s="24"/>
      <c r="P10604" s="24"/>
      <c r="Q10604" s="24"/>
      <c r="R10604" s="24"/>
      <c r="S10604" s="24"/>
      <c r="T10604" s="24"/>
      <c r="U10604" s="24"/>
      <c r="V10604" s="24"/>
      <c r="W10604" s="24"/>
      <c r="X10604" s="24"/>
      <c r="Y10604" s="24"/>
      <c r="Z10604" s="24"/>
      <c r="AA10604" s="24"/>
    </row>
    <row r="10605">
      <c r="A10605" s="24"/>
      <c r="B10605" s="25"/>
      <c r="C10605" s="24"/>
      <c r="D10605" s="26"/>
      <c r="E10605" s="24"/>
      <c r="F10605" s="24"/>
      <c r="G10605" s="24"/>
      <c r="H10605" s="24"/>
      <c r="I10605" s="24"/>
      <c r="J10605" s="24"/>
      <c r="K10605" s="24"/>
      <c r="L10605" s="24"/>
      <c r="M10605" s="24"/>
      <c r="N10605" s="24"/>
      <c r="O10605" s="24"/>
      <c r="P10605" s="24"/>
      <c r="Q10605" s="24"/>
      <c r="R10605" s="24"/>
      <c r="S10605" s="24"/>
      <c r="T10605" s="24"/>
      <c r="U10605" s="24"/>
      <c r="V10605" s="24"/>
      <c r="W10605" s="24"/>
      <c r="X10605" s="24"/>
      <c r="Y10605" s="24"/>
      <c r="Z10605" s="24"/>
      <c r="AA10605" s="24"/>
    </row>
    <row r="10606">
      <c r="A10606" s="24"/>
      <c r="B10606" s="25"/>
      <c r="C10606" s="24"/>
      <c r="D10606" s="26"/>
      <c r="E10606" s="24"/>
      <c r="F10606" s="24"/>
      <c r="G10606" s="24"/>
      <c r="H10606" s="24"/>
      <c r="I10606" s="24"/>
      <c r="J10606" s="24"/>
      <c r="K10606" s="24"/>
      <c r="L10606" s="24"/>
      <c r="M10606" s="24"/>
      <c r="N10606" s="24"/>
      <c r="O10606" s="24"/>
      <c r="P10606" s="24"/>
      <c r="Q10606" s="24"/>
      <c r="R10606" s="24"/>
      <c r="S10606" s="24"/>
      <c r="T10606" s="24"/>
      <c r="U10606" s="24"/>
      <c r="V10606" s="24"/>
      <c r="W10606" s="24"/>
      <c r="X10606" s="24"/>
      <c r="Y10606" s="24"/>
      <c r="Z10606" s="24"/>
      <c r="AA10606" s="24"/>
    </row>
    <row r="10607">
      <c r="A10607" s="24"/>
      <c r="B10607" s="25"/>
      <c r="C10607" s="24"/>
      <c r="D10607" s="26"/>
      <c r="E10607" s="24"/>
      <c r="F10607" s="24"/>
      <c r="G10607" s="24"/>
      <c r="H10607" s="24"/>
      <c r="I10607" s="24"/>
      <c r="J10607" s="24"/>
      <c r="K10607" s="24"/>
      <c r="L10607" s="24"/>
      <c r="M10607" s="24"/>
      <c r="N10607" s="24"/>
      <c r="O10607" s="24"/>
      <c r="P10607" s="24"/>
      <c r="Q10607" s="24"/>
      <c r="R10607" s="24"/>
      <c r="S10607" s="24"/>
      <c r="T10607" s="24"/>
      <c r="U10607" s="24"/>
      <c r="V10607" s="24"/>
      <c r="W10607" s="24"/>
      <c r="X10607" s="24"/>
      <c r="Y10607" s="24"/>
      <c r="Z10607" s="24"/>
      <c r="AA10607" s="24"/>
    </row>
    <row r="10608">
      <c r="A10608" s="24"/>
      <c r="B10608" s="25"/>
      <c r="C10608" s="24"/>
      <c r="D10608" s="26"/>
      <c r="E10608" s="24"/>
      <c r="F10608" s="24"/>
      <c r="G10608" s="24"/>
      <c r="H10608" s="24"/>
      <c r="I10608" s="24"/>
      <c r="J10608" s="24"/>
      <c r="K10608" s="24"/>
      <c r="L10608" s="24"/>
      <c r="M10608" s="24"/>
      <c r="N10608" s="24"/>
      <c r="O10608" s="24"/>
      <c r="P10608" s="24"/>
      <c r="Q10608" s="24"/>
      <c r="R10608" s="24"/>
      <c r="S10608" s="24"/>
      <c r="T10608" s="24"/>
      <c r="U10608" s="24"/>
      <c r="V10608" s="24"/>
      <c r="W10608" s="24"/>
      <c r="X10608" s="24"/>
      <c r="Y10608" s="24"/>
      <c r="Z10608" s="24"/>
      <c r="AA10608" s="24"/>
    </row>
    <row r="10609">
      <c r="A10609" s="24"/>
      <c r="B10609" s="25"/>
      <c r="C10609" s="24"/>
      <c r="D10609" s="26"/>
      <c r="E10609" s="24"/>
      <c r="F10609" s="24"/>
      <c r="G10609" s="24"/>
      <c r="H10609" s="24"/>
      <c r="I10609" s="24"/>
      <c r="J10609" s="24"/>
      <c r="K10609" s="24"/>
      <c r="L10609" s="24"/>
      <c r="M10609" s="24"/>
      <c r="N10609" s="24"/>
      <c r="O10609" s="24"/>
      <c r="P10609" s="24"/>
      <c r="Q10609" s="24"/>
      <c r="R10609" s="24"/>
      <c r="S10609" s="24"/>
      <c r="T10609" s="24"/>
      <c r="U10609" s="24"/>
      <c r="V10609" s="24"/>
      <c r="W10609" s="24"/>
      <c r="X10609" s="24"/>
      <c r="Y10609" s="24"/>
      <c r="Z10609" s="24"/>
      <c r="AA10609" s="24"/>
    </row>
    <row r="10610">
      <c r="A10610" s="24"/>
      <c r="B10610" s="25"/>
      <c r="C10610" s="24"/>
      <c r="D10610" s="26"/>
      <c r="E10610" s="24"/>
      <c r="F10610" s="24"/>
      <c r="G10610" s="24"/>
      <c r="H10610" s="24"/>
      <c r="I10610" s="24"/>
      <c r="J10610" s="24"/>
      <c r="K10610" s="24"/>
      <c r="L10610" s="24"/>
      <c r="M10610" s="24"/>
      <c r="N10610" s="24"/>
      <c r="O10610" s="24"/>
      <c r="P10610" s="24"/>
      <c r="Q10610" s="24"/>
      <c r="R10610" s="24"/>
      <c r="S10610" s="24"/>
      <c r="T10610" s="24"/>
      <c r="U10610" s="24"/>
      <c r="V10610" s="24"/>
      <c r="W10610" s="24"/>
      <c r="X10610" s="24"/>
      <c r="Y10610" s="24"/>
      <c r="Z10610" s="24"/>
      <c r="AA10610" s="24"/>
    </row>
    <row r="10611">
      <c r="A10611" s="24"/>
      <c r="B10611" s="25"/>
      <c r="C10611" s="24"/>
      <c r="D10611" s="26"/>
      <c r="E10611" s="24"/>
      <c r="F10611" s="24"/>
      <c r="G10611" s="24"/>
      <c r="H10611" s="24"/>
      <c r="I10611" s="24"/>
      <c r="J10611" s="24"/>
      <c r="K10611" s="24"/>
      <c r="L10611" s="24"/>
      <c r="M10611" s="24"/>
      <c r="N10611" s="24"/>
      <c r="O10611" s="24"/>
      <c r="P10611" s="24"/>
      <c r="Q10611" s="24"/>
      <c r="R10611" s="24"/>
      <c r="S10611" s="24"/>
      <c r="T10611" s="24"/>
      <c r="U10611" s="24"/>
      <c r="V10611" s="24"/>
      <c r="W10611" s="24"/>
      <c r="X10611" s="24"/>
      <c r="Y10611" s="24"/>
      <c r="Z10611" s="24"/>
      <c r="AA10611" s="24"/>
    </row>
    <row r="10612">
      <c r="A10612" s="24"/>
      <c r="B10612" s="25"/>
      <c r="C10612" s="24"/>
      <c r="D10612" s="26"/>
      <c r="E10612" s="24"/>
      <c r="F10612" s="24"/>
      <c r="G10612" s="24"/>
      <c r="H10612" s="24"/>
      <c r="I10612" s="24"/>
      <c r="J10612" s="24"/>
      <c r="K10612" s="24"/>
      <c r="L10612" s="24"/>
      <c r="M10612" s="24"/>
      <c r="N10612" s="24"/>
      <c r="O10612" s="24"/>
      <c r="P10612" s="24"/>
      <c r="Q10612" s="24"/>
      <c r="R10612" s="24"/>
      <c r="S10612" s="24"/>
      <c r="T10612" s="24"/>
      <c r="U10612" s="24"/>
      <c r="V10612" s="24"/>
      <c r="W10612" s="24"/>
      <c r="X10612" s="24"/>
      <c r="Y10612" s="24"/>
      <c r="Z10612" s="24"/>
      <c r="AA10612" s="24"/>
    </row>
    <row r="10613">
      <c r="A10613" s="24"/>
      <c r="B10613" s="25"/>
      <c r="C10613" s="24"/>
      <c r="D10613" s="26"/>
      <c r="E10613" s="24"/>
      <c r="F10613" s="24"/>
      <c r="G10613" s="24"/>
      <c r="H10613" s="24"/>
      <c r="I10613" s="24"/>
      <c r="J10613" s="24"/>
      <c r="K10613" s="24"/>
      <c r="L10613" s="24"/>
      <c r="M10613" s="24"/>
      <c r="N10613" s="24"/>
      <c r="O10613" s="24"/>
      <c r="P10613" s="24"/>
      <c r="Q10613" s="24"/>
      <c r="R10613" s="24"/>
      <c r="S10613" s="24"/>
      <c r="T10613" s="24"/>
      <c r="U10613" s="24"/>
      <c r="V10613" s="24"/>
      <c r="W10613" s="24"/>
      <c r="X10613" s="24"/>
      <c r="Y10613" s="24"/>
      <c r="Z10613" s="24"/>
      <c r="AA10613" s="24"/>
    </row>
    <row r="10614">
      <c r="A10614" s="24"/>
      <c r="B10614" s="25"/>
      <c r="C10614" s="24"/>
      <c r="D10614" s="26"/>
      <c r="E10614" s="24"/>
      <c r="F10614" s="24"/>
      <c r="G10614" s="24"/>
      <c r="H10614" s="24"/>
      <c r="I10614" s="24"/>
      <c r="J10614" s="24"/>
      <c r="K10614" s="24"/>
      <c r="L10614" s="24"/>
      <c r="M10614" s="24"/>
      <c r="N10614" s="24"/>
      <c r="O10614" s="24"/>
      <c r="P10614" s="24"/>
      <c r="Q10614" s="24"/>
      <c r="R10614" s="24"/>
      <c r="S10614" s="24"/>
      <c r="T10614" s="24"/>
      <c r="U10614" s="24"/>
      <c r="V10614" s="24"/>
      <c r="W10614" s="24"/>
      <c r="X10614" s="24"/>
      <c r="Y10614" s="24"/>
      <c r="Z10614" s="24"/>
      <c r="AA10614" s="24"/>
    </row>
    <row r="10615">
      <c r="A10615" s="24"/>
      <c r="B10615" s="25"/>
      <c r="C10615" s="24"/>
      <c r="D10615" s="26"/>
      <c r="E10615" s="24"/>
      <c r="F10615" s="24"/>
      <c r="G10615" s="24"/>
      <c r="H10615" s="24"/>
      <c r="I10615" s="24"/>
      <c r="J10615" s="24"/>
      <c r="K10615" s="24"/>
      <c r="L10615" s="24"/>
      <c r="M10615" s="24"/>
      <c r="N10615" s="24"/>
      <c r="O10615" s="24"/>
      <c r="P10615" s="24"/>
      <c r="Q10615" s="24"/>
      <c r="R10615" s="24"/>
      <c r="S10615" s="24"/>
      <c r="T10615" s="24"/>
      <c r="U10615" s="24"/>
      <c r="V10615" s="24"/>
      <c r="W10615" s="24"/>
      <c r="X10615" s="24"/>
      <c r="Y10615" s="24"/>
      <c r="Z10615" s="24"/>
      <c r="AA10615" s="24"/>
    </row>
    <row r="10616">
      <c r="A10616" s="24"/>
      <c r="B10616" s="25"/>
      <c r="C10616" s="24"/>
      <c r="D10616" s="26"/>
      <c r="E10616" s="24"/>
      <c r="F10616" s="24"/>
      <c r="G10616" s="24"/>
      <c r="H10616" s="24"/>
      <c r="I10616" s="24"/>
      <c r="J10616" s="24"/>
      <c r="K10616" s="24"/>
      <c r="L10616" s="24"/>
      <c r="M10616" s="24"/>
      <c r="N10616" s="24"/>
      <c r="O10616" s="24"/>
      <c r="P10616" s="24"/>
      <c r="Q10616" s="24"/>
      <c r="R10616" s="24"/>
      <c r="S10616" s="24"/>
      <c r="T10616" s="24"/>
      <c r="U10616" s="24"/>
      <c r="V10616" s="24"/>
      <c r="W10616" s="24"/>
      <c r="X10616" s="24"/>
      <c r="Y10616" s="24"/>
      <c r="Z10616" s="24"/>
      <c r="AA10616" s="24"/>
    </row>
    <row r="10617">
      <c r="A10617" s="24"/>
      <c r="B10617" s="25"/>
      <c r="C10617" s="24"/>
      <c r="D10617" s="26"/>
      <c r="E10617" s="24"/>
      <c r="F10617" s="24"/>
      <c r="G10617" s="24"/>
      <c r="H10617" s="24"/>
      <c r="I10617" s="24"/>
      <c r="J10617" s="24"/>
      <c r="K10617" s="24"/>
      <c r="L10617" s="24"/>
      <c r="M10617" s="24"/>
      <c r="N10617" s="24"/>
      <c r="O10617" s="24"/>
      <c r="P10617" s="24"/>
      <c r="Q10617" s="24"/>
      <c r="R10617" s="24"/>
      <c r="S10617" s="24"/>
      <c r="T10617" s="24"/>
      <c r="U10617" s="24"/>
      <c r="V10617" s="24"/>
      <c r="W10617" s="24"/>
      <c r="X10617" s="24"/>
      <c r="Y10617" s="24"/>
      <c r="Z10617" s="24"/>
      <c r="AA10617" s="24"/>
    </row>
    <row r="10618">
      <c r="A10618" s="24"/>
      <c r="B10618" s="25"/>
      <c r="C10618" s="24"/>
      <c r="D10618" s="26"/>
      <c r="E10618" s="24"/>
      <c r="F10618" s="24"/>
      <c r="G10618" s="24"/>
      <c r="H10618" s="24"/>
      <c r="I10618" s="24"/>
      <c r="J10618" s="24"/>
      <c r="K10618" s="24"/>
      <c r="L10618" s="24"/>
      <c r="M10618" s="24"/>
      <c r="N10618" s="24"/>
      <c r="O10618" s="24"/>
      <c r="P10618" s="24"/>
      <c r="Q10618" s="24"/>
      <c r="R10618" s="24"/>
      <c r="S10618" s="24"/>
      <c r="T10618" s="24"/>
      <c r="U10618" s="24"/>
      <c r="V10618" s="24"/>
      <c r="W10618" s="24"/>
      <c r="X10618" s="24"/>
      <c r="Y10618" s="24"/>
      <c r="Z10618" s="24"/>
      <c r="AA10618" s="24"/>
    </row>
    <row r="10619">
      <c r="A10619" s="24"/>
      <c r="B10619" s="25"/>
      <c r="C10619" s="24"/>
      <c r="D10619" s="26"/>
      <c r="E10619" s="24"/>
      <c r="F10619" s="24"/>
      <c r="G10619" s="24"/>
      <c r="H10619" s="24"/>
      <c r="I10619" s="24"/>
      <c r="J10619" s="24"/>
      <c r="K10619" s="24"/>
      <c r="L10619" s="24"/>
      <c r="M10619" s="24"/>
      <c r="N10619" s="24"/>
      <c r="O10619" s="24"/>
      <c r="P10619" s="24"/>
      <c r="Q10619" s="24"/>
      <c r="R10619" s="24"/>
      <c r="S10619" s="24"/>
      <c r="T10619" s="24"/>
      <c r="U10619" s="24"/>
      <c r="V10619" s="24"/>
      <c r="W10619" s="24"/>
      <c r="X10619" s="24"/>
      <c r="Y10619" s="24"/>
      <c r="Z10619" s="24"/>
      <c r="AA10619" s="24"/>
    </row>
    <row r="10620">
      <c r="A10620" s="24"/>
      <c r="B10620" s="25"/>
      <c r="C10620" s="24"/>
      <c r="D10620" s="26"/>
      <c r="E10620" s="24"/>
      <c r="F10620" s="24"/>
      <c r="G10620" s="24"/>
      <c r="H10620" s="24"/>
      <c r="I10620" s="24"/>
      <c r="J10620" s="24"/>
      <c r="K10620" s="24"/>
      <c r="L10620" s="24"/>
      <c r="M10620" s="24"/>
      <c r="N10620" s="24"/>
      <c r="O10620" s="24"/>
      <c r="P10620" s="24"/>
      <c r="Q10620" s="24"/>
      <c r="R10620" s="24"/>
      <c r="S10620" s="24"/>
      <c r="T10620" s="24"/>
      <c r="U10620" s="24"/>
      <c r="V10620" s="24"/>
      <c r="W10620" s="24"/>
      <c r="X10620" s="24"/>
      <c r="Y10620" s="24"/>
      <c r="Z10620" s="24"/>
      <c r="AA10620" s="24"/>
    </row>
    <row r="10621">
      <c r="A10621" s="24"/>
      <c r="B10621" s="25"/>
      <c r="C10621" s="24"/>
      <c r="D10621" s="26"/>
      <c r="E10621" s="24"/>
      <c r="F10621" s="24"/>
      <c r="G10621" s="24"/>
      <c r="H10621" s="24"/>
      <c r="I10621" s="24"/>
      <c r="J10621" s="24"/>
      <c r="K10621" s="24"/>
      <c r="L10621" s="24"/>
      <c r="M10621" s="24"/>
      <c r="N10621" s="24"/>
      <c r="O10621" s="24"/>
      <c r="P10621" s="24"/>
      <c r="Q10621" s="24"/>
      <c r="R10621" s="24"/>
      <c r="S10621" s="24"/>
      <c r="T10621" s="24"/>
      <c r="U10621" s="24"/>
      <c r="V10621" s="24"/>
      <c r="W10621" s="24"/>
      <c r="X10621" s="24"/>
      <c r="Y10621" s="24"/>
      <c r="Z10621" s="24"/>
      <c r="AA10621" s="24"/>
    </row>
    <row r="10622">
      <c r="A10622" s="24"/>
      <c r="B10622" s="25"/>
      <c r="C10622" s="24"/>
      <c r="D10622" s="26"/>
      <c r="E10622" s="24"/>
      <c r="F10622" s="24"/>
      <c r="G10622" s="24"/>
      <c r="H10622" s="24"/>
      <c r="I10622" s="24"/>
      <c r="J10622" s="24"/>
      <c r="K10622" s="24"/>
      <c r="L10622" s="24"/>
      <c r="M10622" s="24"/>
      <c r="N10622" s="24"/>
      <c r="O10622" s="24"/>
      <c r="P10622" s="24"/>
      <c r="Q10622" s="24"/>
      <c r="R10622" s="24"/>
      <c r="S10622" s="24"/>
      <c r="T10622" s="24"/>
      <c r="U10622" s="24"/>
      <c r="V10622" s="24"/>
      <c r="W10622" s="24"/>
      <c r="X10622" s="24"/>
      <c r="Y10622" s="24"/>
      <c r="Z10622" s="24"/>
      <c r="AA10622" s="24"/>
    </row>
    <row r="10623">
      <c r="A10623" s="24"/>
      <c r="B10623" s="25"/>
      <c r="C10623" s="24"/>
      <c r="D10623" s="26"/>
      <c r="E10623" s="24"/>
      <c r="F10623" s="24"/>
      <c r="G10623" s="24"/>
      <c r="H10623" s="24"/>
      <c r="I10623" s="24"/>
      <c r="J10623" s="24"/>
      <c r="K10623" s="24"/>
      <c r="L10623" s="24"/>
      <c r="M10623" s="24"/>
      <c r="N10623" s="24"/>
      <c r="O10623" s="24"/>
      <c r="P10623" s="24"/>
      <c r="Q10623" s="24"/>
      <c r="R10623" s="24"/>
      <c r="S10623" s="24"/>
      <c r="T10623" s="24"/>
      <c r="U10623" s="24"/>
      <c r="V10623" s="24"/>
      <c r="W10623" s="24"/>
      <c r="X10623" s="24"/>
      <c r="Y10623" s="24"/>
      <c r="Z10623" s="24"/>
      <c r="AA10623" s="24"/>
    </row>
    <row r="10624">
      <c r="A10624" s="24"/>
      <c r="B10624" s="25"/>
      <c r="C10624" s="24"/>
      <c r="D10624" s="26"/>
      <c r="E10624" s="24"/>
      <c r="F10624" s="24"/>
      <c r="G10624" s="24"/>
      <c r="H10624" s="24"/>
      <c r="I10624" s="24"/>
      <c r="J10624" s="24"/>
      <c r="K10624" s="24"/>
      <c r="L10624" s="24"/>
      <c r="M10624" s="24"/>
      <c r="N10624" s="24"/>
      <c r="O10624" s="24"/>
      <c r="P10624" s="24"/>
      <c r="Q10624" s="24"/>
      <c r="R10624" s="24"/>
      <c r="S10624" s="24"/>
      <c r="T10624" s="24"/>
      <c r="U10624" s="24"/>
      <c r="V10624" s="24"/>
      <c r="W10624" s="24"/>
      <c r="X10624" s="24"/>
      <c r="Y10624" s="24"/>
      <c r="Z10624" s="24"/>
      <c r="AA10624" s="24"/>
    </row>
    <row r="10625">
      <c r="A10625" s="24"/>
      <c r="B10625" s="25"/>
      <c r="C10625" s="24"/>
      <c r="D10625" s="26"/>
      <c r="E10625" s="24"/>
      <c r="F10625" s="24"/>
      <c r="G10625" s="24"/>
      <c r="H10625" s="24"/>
      <c r="I10625" s="24"/>
      <c r="J10625" s="24"/>
      <c r="K10625" s="24"/>
      <c r="L10625" s="24"/>
      <c r="M10625" s="24"/>
      <c r="N10625" s="24"/>
      <c r="O10625" s="24"/>
      <c r="P10625" s="24"/>
      <c r="Q10625" s="24"/>
      <c r="R10625" s="24"/>
      <c r="S10625" s="24"/>
      <c r="T10625" s="24"/>
      <c r="U10625" s="24"/>
      <c r="V10625" s="24"/>
      <c r="W10625" s="24"/>
      <c r="X10625" s="24"/>
      <c r="Y10625" s="24"/>
      <c r="Z10625" s="24"/>
      <c r="AA10625" s="24"/>
    </row>
    <row r="10626">
      <c r="A10626" s="24"/>
      <c r="B10626" s="25"/>
      <c r="C10626" s="24"/>
      <c r="D10626" s="26"/>
      <c r="E10626" s="24"/>
      <c r="F10626" s="24"/>
      <c r="G10626" s="24"/>
      <c r="H10626" s="24"/>
      <c r="I10626" s="24"/>
      <c r="J10626" s="24"/>
      <c r="K10626" s="24"/>
      <c r="L10626" s="24"/>
      <c r="M10626" s="24"/>
      <c r="N10626" s="24"/>
      <c r="O10626" s="24"/>
      <c r="P10626" s="24"/>
      <c r="Q10626" s="24"/>
      <c r="R10626" s="24"/>
      <c r="S10626" s="24"/>
      <c r="T10626" s="24"/>
      <c r="U10626" s="24"/>
      <c r="V10626" s="24"/>
      <c r="W10626" s="24"/>
      <c r="X10626" s="24"/>
      <c r="Y10626" s="24"/>
      <c r="Z10626" s="24"/>
      <c r="AA10626" s="24"/>
    </row>
    <row r="10627">
      <c r="A10627" s="24"/>
      <c r="B10627" s="25"/>
      <c r="C10627" s="24"/>
      <c r="D10627" s="26"/>
      <c r="E10627" s="24"/>
      <c r="F10627" s="24"/>
      <c r="G10627" s="24"/>
      <c r="H10627" s="24"/>
      <c r="I10627" s="24"/>
      <c r="J10627" s="24"/>
      <c r="K10627" s="24"/>
      <c r="L10627" s="24"/>
      <c r="M10627" s="24"/>
      <c r="N10627" s="24"/>
      <c r="O10627" s="24"/>
      <c r="P10627" s="24"/>
      <c r="Q10627" s="24"/>
      <c r="R10627" s="24"/>
      <c r="S10627" s="24"/>
      <c r="T10627" s="24"/>
      <c r="U10627" s="24"/>
      <c r="V10627" s="24"/>
      <c r="W10627" s="24"/>
      <c r="X10627" s="24"/>
      <c r="Y10627" s="24"/>
      <c r="Z10627" s="24"/>
      <c r="AA10627" s="24"/>
    </row>
    <row r="10628">
      <c r="A10628" s="24"/>
      <c r="B10628" s="25"/>
      <c r="C10628" s="24"/>
      <c r="D10628" s="26"/>
      <c r="E10628" s="24"/>
      <c r="F10628" s="24"/>
      <c r="G10628" s="24"/>
      <c r="H10628" s="24"/>
      <c r="I10628" s="24"/>
      <c r="J10628" s="24"/>
      <c r="K10628" s="24"/>
      <c r="L10628" s="24"/>
      <c r="M10628" s="24"/>
      <c r="N10628" s="24"/>
      <c r="O10628" s="24"/>
      <c r="P10628" s="24"/>
      <c r="Q10628" s="24"/>
      <c r="R10628" s="24"/>
      <c r="S10628" s="24"/>
      <c r="T10628" s="24"/>
      <c r="U10628" s="24"/>
      <c r="V10628" s="24"/>
      <c r="W10628" s="24"/>
      <c r="X10628" s="24"/>
      <c r="Y10628" s="24"/>
      <c r="Z10628" s="24"/>
      <c r="AA10628" s="24"/>
    </row>
    <row r="10629">
      <c r="A10629" s="24"/>
      <c r="B10629" s="25"/>
      <c r="C10629" s="24"/>
      <c r="D10629" s="26"/>
      <c r="E10629" s="24"/>
      <c r="F10629" s="24"/>
      <c r="G10629" s="24"/>
      <c r="H10629" s="24"/>
      <c r="I10629" s="24"/>
      <c r="J10629" s="24"/>
      <c r="K10629" s="24"/>
      <c r="L10629" s="24"/>
      <c r="M10629" s="24"/>
      <c r="N10629" s="24"/>
      <c r="O10629" s="24"/>
      <c r="P10629" s="24"/>
      <c r="Q10629" s="24"/>
      <c r="R10629" s="24"/>
      <c r="S10629" s="24"/>
      <c r="T10629" s="24"/>
      <c r="U10629" s="24"/>
      <c r="V10629" s="24"/>
      <c r="W10629" s="24"/>
      <c r="X10629" s="24"/>
      <c r="Y10629" s="24"/>
      <c r="Z10629" s="24"/>
      <c r="AA10629" s="24"/>
    </row>
    <row r="10630">
      <c r="A10630" s="24"/>
      <c r="B10630" s="25"/>
      <c r="C10630" s="24"/>
      <c r="D10630" s="26"/>
      <c r="E10630" s="24"/>
      <c r="F10630" s="24"/>
      <c r="G10630" s="24"/>
      <c r="H10630" s="24"/>
      <c r="I10630" s="24"/>
      <c r="J10630" s="24"/>
      <c r="K10630" s="24"/>
      <c r="L10630" s="24"/>
      <c r="M10630" s="24"/>
      <c r="N10630" s="24"/>
      <c r="O10630" s="24"/>
      <c r="P10630" s="24"/>
      <c r="Q10630" s="24"/>
      <c r="R10630" s="24"/>
      <c r="S10630" s="24"/>
      <c r="T10630" s="24"/>
      <c r="U10630" s="24"/>
      <c r="V10630" s="24"/>
      <c r="W10630" s="24"/>
      <c r="X10630" s="24"/>
      <c r="Y10630" s="24"/>
      <c r="Z10630" s="24"/>
      <c r="AA10630" s="24"/>
    </row>
    <row r="10631">
      <c r="A10631" s="24"/>
      <c r="B10631" s="25"/>
      <c r="C10631" s="24"/>
      <c r="D10631" s="26"/>
      <c r="E10631" s="24"/>
      <c r="F10631" s="24"/>
      <c r="G10631" s="24"/>
      <c r="H10631" s="24"/>
      <c r="I10631" s="24"/>
      <c r="J10631" s="24"/>
      <c r="K10631" s="24"/>
      <c r="L10631" s="24"/>
      <c r="M10631" s="24"/>
      <c r="N10631" s="24"/>
      <c r="O10631" s="24"/>
      <c r="P10631" s="24"/>
      <c r="Q10631" s="24"/>
      <c r="R10631" s="24"/>
      <c r="S10631" s="24"/>
      <c r="T10631" s="24"/>
      <c r="U10631" s="24"/>
      <c r="V10631" s="24"/>
      <c r="W10631" s="24"/>
      <c r="X10631" s="24"/>
      <c r="Y10631" s="24"/>
      <c r="Z10631" s="24"/>
      <c r="AA10631" s="24"/>
    </row>
    <row r="10632">
      <c r="A10632" s="24"/>
      <c r="B10632" s="25"/>
      <c r="C10632" s="24"/>
      <c r="D10632" s="26"/>
      <c r="E10632" s="24"/>
      <c r="F10632" s="24"/>
      <c r="G10632" s="24"/>
      <c r="H10632" s="24"/>
      <c r="I10632" s="24"/>
      <c r="J10632" s="24"/>
      <c r="K10632" s="24"/>
      <c r="L10632" s="24"/>
      <c r="M10632" s="24"/>
      <c r="N10632" s="24"/>
      <c r="O10632" s="24"/>
      <c r="P10632" s="24"/>
      <c r="Q10632" s="24"/>
      <c r="R10632" s="24"/>
      <c r="S10632" s="24"/>
      <c r="T10632" s="24"/>
      <c r="U10632" s="24"/>
      <c r="V10632" s="24"/>
      <c r="W10632" s="24"/>
      <c r="X10632" s="24"/>
      <c r="Y10632" s="24"/>
      <c r="Z10632" s="24"/>
      <c r="AA10632" s="24"/>
    </row>
    <row r="10633">
      <c r="A10633" s="24"/>
      <c r="B10633" s="25"/>
      <c r="C10633" s="24"/>
      <c r="D10633" s="26"/>
      <c r="E10633" s="24"/>
      <c r="F10633" s="24"/>
      <c r="G10633" s="24"/>
      <c r="H10633" s="24"/>
      <c r="I10633" s="24"/>
      <c r="J10633" s="24"/>
      <c r="K10633" s="24"/>
      <c r="L10633" s="24"/>
      <c r="M10633" s="24"/>
      <c r="N10633" s="24"/>
      <c r="O10633" s="24"/>
      <c r="P10633" s="24"/>
      <c r="Q10633" s="24"/>
      <c r="R10633" s="24"/>
      <c r="S10633" s="24"/>
      <c r="T10633" s="24"/>
      <c r="U10633" s="24"/>
      <c r="V10633" s="24"/>
      <c r="W10633" s="24"/>
      <c r="X10633" s="24"/>
      <c r="Y10633" s="24"/>
      <c r="Z10633" s="24"/>
      <c r="AA10633" s="24"/>
    </row>
    <row r="10634">
      <c r="A10634" s="24"/>
      <c r="B10634" s="25"/>
      <c r="C10634" s="24"/>
      <c r="D10634" s="26"/>
      <c r="E10634" s="24"/>
      <c r="F10634" s="24"/>
      <c r="G10634" s="24"/>
      <c r="H10634" s="24"/>
      <c r="I10634" s="24"/>
      <c r="J10634" s="24"/>
      <c r="K10634" s="24"/>
      <c r="L10634" s="24"/>
      <c r="M10634" s="24"/>
      <c r="N10634" s="24"/>
      <c r="O10634" s="24"/>
      <c r="P10634" s="24"/>
      <c r="Q10634" s="24"/>
      <c r="R10634" s="24"/>
      <c r="S10634" s="24"/>
      <c r="T10634" s="24"/>
      <c r="U10634" s="24"/>
      <c r="V10634" s="24"/>
      <c r="W10634" s="24"/>
      <c r="X10634" s="24"/>
      <c r="Y10634" s="24"/>
      <c r="Z10634" s="24"/>
      <c r="AA10634" s="24"/>
    </row>
    <row r="10635">
      <c r="A10635" s="24"/>
      <c r="B10635" s="25"/>
      <c r="C10635" s="24"/>
      <c r="D10635" s="26"/>
      <c r="E10635" s="24"/>
      <c r="F10635" s="24"/>
      <c r="G10635" s="24"/>
      <c r="H10635" s="24"/>
      <c r="I10635" s="24"/>
      <c r="J10635" s="24"/>
      <c r="K10635" s="24"/>
      <c r="L10635" s="24"/>
      <c r="M10635" s="24"/>
      <c r="N10635" s="24"/>
      <c r="O10635" s="24"/>
      <c r="P10635" s="24"/>
      <c r="Q10635" s="24"/>
      <c r="R10635" s="24"/>
      <c r="S10635" s="24"/>
      <c r="T10635" s="24"/>
      <c r="U10635" s="24"/>
      <c r="V10635" s="24"/>
      <c r="W10635" s="24"/>
      <c r="X10635" s="24"/>
      <c r="Y10635" s="24"/>
      <c r="Z10635" s="24"/>
      <c r="AA10635" s="24"/>
    </row>
    <row r="10636">
      <c r="A10636" s="24"/>
      <c r="B10636" s="25"/>
      <c r="C10636" s="24"/>
      <c r="D10636" s="26"/>
      <c r="E10636" s="24"/>
      <c r="F10636" s="24"/>
      <c r="G10636" s="24"/>
      <c r="H10636" s="24"/>
      <c r="I10636" s="24"/>
      <c r="J10636" s="24"/>
      <c r="K10636" s="24"/>
      <c r="L10636" s="24"/>
      <c r="M10636" s="24"/>
      <c r="N10636" s="24"/>
      <c r="O10636" s="24"/>
      <c r="P10636" s="24"/>
      <c r="Q10636" s="24"/>
      <c r="R10636" s="24"/>
      <c r="S10636" s="24"/>
      <c r="T10636" s="24"/>
      <c r="U10636" s="24"/>
      <c r="V10636" s="24"/>
      <c r="W10636" s="24"/>
      <c r="X10636" s="24"/>
      <c r="Y10636" s="24"/>
      <c r="Z10636" s="24"/>
      <c r="AA10636" s="24"/>
    </row>
    <row r="10637">
      <c r="A10637" s="24"/>
      <c r="B10637" s="25"/>
      <c r="C10637" s="24"/>
      <c r="D10637" s="26"/>
      <c r="E10637" s="24"/>
      <c r="F10637" s="24"/>
      <c r="G10637" s="24"/>
      <c r="H10637" s="24"/>
      <c r="I10637" s="24"/>
      <c r="J10637" s="24"/>
      <c r="K10637" s="24"/>
      <c r="L10637" s="24"/>
      <c r="M10637" s="24"/>
      <c r="N10637" s="24"/>
      <c r="O10637" s="24"/>
      <c r="P10637" s="24"/>
      <c r="Q10637" s="24"/>
      <c r="R10637" s="24"/>
      <c r="S10637" s="24"/>
      <c r="T10637" s="24"/>
      <c r="U10637" s="24"/>
      <c r="V10637" s="24"/>
      <c r="W10637" s="24"/>
      <c r="X10637" s="24"/>
      <c r="Y10637" s="24"/>
      <c r="Z10637" s="24"/>
      <c r="AA10637" s="24"/>
    </row>
    <row r="10638">
      <c r="A10638" s="24"/>
      <c r="B10638" s="25"/>
      <c r="C10638" s="24"/>
      <c r="D10638" s="26"/>
      <c r="E10638" s="24"/>
      <c r="F10638" s="24"/>
      <c r="G10638" s="24"/>
      <c r="H10638" s="24"/>
      <c r="I10638" s="24"/>
      <c r="J10638" s="24"/>
      <c r="K10638" s="24"/>
      <c r="L10638" s="24"/>
      <c r="M10638" s="24"/>
      <c r="N10638" s="24"/>
      <c r="O10638" s="24"/>
      <c r="P10638" s="24"/>
      <c r="Q10638" s="24"/>
      <c r="R10638" s="24"/>
      <c r="S10638" s="24"/>
      <c r="T10638" s="24"/>
      <c r="U10638" s="24"/>
      <c r="V10638" s="24"/>
      <c r="W10638" s="24"/>
      <c r="X10638" s="24"/>
      <c r="Y10638" s="24"/>
      <c r="Z10638" s="24"/>
      <c r="AA10638" s="24"/>
    </row>
    <row r="10639">
      <c r="A10639" s="24"/>
      <c r="B10639" s="25"/>
      <c r="C10639" s="24"/>
      <c r="D10639" s="26"/>
      <c r="E10639" s="24"/>
      <c r="F10639" s="24"/>
      <c r="G10639" s="24"/>
      <c r="H10639" s="24"/>
      <c r="I10639" s="24"/>
      <c r="J10639" s="24"/>
      <c r="K10639" s="24"/>
      <c r="L10639" s="24"/>
      <c r="M10639" s="24"/>
      <c r="N10639" s="24"/>
      <c r="O10639" s="24"/>
      <c r="P10639" s="24"/>
      <c r="Q10639" s="24"/>
      <c r="R10639" s="24"/>
      <c r="S10639" s="24"/>
      <c r="T10639" s="24"/>
      <c r="U10639" s="24"/>
      <c r="V10639" s="24"/>
      <c r="W10639" s="24"/>
      <c r="X10639" s="24"/>
      <c r="Y10639" s="24"/>
      <c r="Z10639" s="24"/>
      <c r="AA10639" s="24"/>
    </row>
    <row r="10640">
      <c r="A10640" s="24"/>
      <c r="B10640" s="25"/>
      <c r="C10640" s="24"/>
      <c r="D10640" s="26"/>
      <c r="E10640" s="24"/>
      <c r="F10640" s="24"/>
      <c r="G10640" s="24"/>
      <c r="H10640" s="24"/>
      <c r="I10640" s="24"/>
      <c r="J10640" s="24"/>
      <c r="K10640" s="24"/>
      <c r="L10640" s="24"/>
      <c r="M10640" s="24"/>
      <c r="N10640" s="24"/>
      <c r="O10640" s="24"/>
      <c r="P10640" s="24"/>
      <c r="Q10640" s="24"/>
      <c r="R10640" s="24"/>
      <c r="S10640" s="24"/>
      <c r="T10640" s="24"/>
      <c r="U10640" s="24"/>
      <c r="V10640" s="24"/>
      <c r="W10640" s="24"/>
      <c r="X10640" s="24"/>
      <c r="Y10640" s="24"/>
      <c r="Z10640" s="24"/>
      <c r="AA10640" s="24"/>
    </row>
    <row r="10641">
      <c r="A10641" s="24"/>
      <c r="B10641" s="25"/>
      <c r="C10641" s="24"/>
      <c r="D10641" s="26"/>
      <c r="E10641" s="24"/>
      <c r="F10641" s="24"/>
      <c r="G10641" s="24"/>
      <c r="H10641" s="24"/>
      <c r="I10641" s="24"/>
      <c r="J10641" s="24"/>
      <c r="K10641" s="24"/>
      <c r="L10641" s="24"/>
      <c r="M10641" s="24"/>
      <c r="N10641" s="24"/>
      <c r="O10641" s="24"/>
      <c r="P10641" s="24"/>
      <c r="Q10641" s="24"/>
      <c r="R10641" s="24"/>
      <c r="S10641" s="24"/>
      <c r="T10641" s="24"/>
      <c r="U10641" s="24"/>
      <c r="V10641" s="24"/>
      <c r="W10641" s="24"/>
      <c r="X10641" s="24"/>
      <c r="Y10641" s="24"/>
      <c r="Z10641" s="24"/>
      <c r="AA10641" s="24"/>
    </row>
    <row r="10642">
      <c r="A10642" s="24"/>
      <c r="B10642" s="25"/>
      <c r="C10642" s="24"/>
      <c r="D10642" s="26"/>
      <c r="E10642" s="24"/>
      <c r="F10642" s="24"/>
      <c r="G10642" s="24"/>
      <c r="H10642" s="24"/>
      <c r="I10642" s="24"/>
      <c r="J10642" s="24"/>
      <c r="K10642" s="24"/>
      <c r="L10642" s="24"/>
      <c r="M10642" s="24"/>
      <c r="N10642" s="24"/>
      <c r="O10642" s="24"/>
      <c r="P10642" s="24"/>
      <c r="Q10642" s="24"/>
      <c r="R10642" s="24"/>
      <c r="S10642" s="24"/>
      <c r="T10642" s="24"/>
      <c r="U10642" s="24"/>
      <c r="V10642" s="24"/>
      <c r="W10642" s="24"/>
      <c r="X10642" s="24"/>
      <c r="Y10642" s="24"/>
      <c r="Z10642" s="24"/>
      <c r="AA10642" s="24"/>
    </row>
    <row r="10643">
      <c r="A10643" s="24"/>
      <c r="B10643" s="25"/>
      <c r="C10643" s="24"/>
      <c r="D10643" s="26"/>
      <c r="E10643" s="24"/>
      <c r="F10643" s="24"/>
      <c r="G10643" s="24"/>
      <c r="H10643" s="24"/>
      <c r="I10643" s="24"/>
      <c r="J10643" s="24"/>
      <c r="K10643" s="24"/>
      <c r="L10643" s="24"/>
      <c r="M10643" s="24"/>
      <c r="N10643" s="24"/>
      <c r="O10643" s="24"/>
      <c r="P10643" s="24"/>
      <c r="Q10643" s="24"/>
      <c r="R10643" s="24"/>
      <c r="S10643" s="24"/>
      <c r="T10643" s="24"/>
      <c r="U10643" s="24"/>
      <c r="V10643" s="24"/>
      <c r="W10643" s="24"/>
      <c r="X10643" s="24"/>
      <c r="Y10643" s="24"/>
      <c r="Z10643" s="24"/>
      <c r="AA10643" s="24"/>
    </row>
    <row r="10644">
      <c r="A10644" s="24"/>
      <c r="B10644" s="25"/>
      <c r="C10644" s="24"/>
      <c r="D10644" s="26"/>
      <c r="E10644" s="24"/>
      <c r="F10644" s="24"/>
      <c r="G10644" s="24"/>
      <c r="H10644" s="24"/>
      <c r="I10644" s="24"/>
      <c r="J10644" s="24"/>
      <c r="K10644" s="24"/>
      <c r="L10644" s="24"/>
      <c r="M10644" s="24"/>
      <c r="N10644" s="24"/>
      <c r="O10644" s="24"/>
      <c r="P10644" s="24"/>
      <c r="Q10644" s="24"/>
      <c r="R10644" s="24"/>
      <c r="S10644" s="24"/>
      <c r="T10644" s="24"/>
      <c r="U10644" s="24"/>
      <c r="V10644" s="24"/>
      <c r="W10644" s="24"/>
      <c r="X10644" s="24"/>
      <c r="Y10644" s="24"/>
      <c r="Z10644" s="24"/>
      <c r="AA10644" s="24"/>
    </row>
    <row r="10645">
      <c r="A10645" s="24"/>
      <c r="B10645" s="25"/>
      <c r="C10645" s="24"/>
      <c r="D10645" s="26"/>
      <c r="E10645" s="24"/>
      <c r="F10645" s="24"/>
      <c r="G10645" s="24"/>
      <c r="H10645" s="24"/>
      <c r="I10645" s="24"/>
      <c r="J10645" s="24"/>
      <c r="K10645" s="24"/>
      <c r="L10645" s="24"/>
      <c r="M10645" s="24"/>
      <c r="N10645" s="24"/>
      <c r="O10645" s="24"/>
      <c r="P10645" s="24"/>
      <c r="Q10645" s="24"/>
      <c r="R10645" s="24"/>
      <c r="S10645" s="24"/>
      <c r="T10645" s="24"/>
      <c r="U10645" s="24"/>
      <c r="V10645" s="24"/>
      <c r="W10645" s="24"/>
      <c r="X10645" s="24"/>
      <c r="Y10645" s="24"/>
      <c r="Z10645" s="24"/>
      <c r="AA10645" s="24"/>
    </row>
    <row r="10646">
      <c r="A10646" s="24"/>
      <c r="B10646" s="25"/>
      <c r="C10646" s="24"/>
      <c r="D10646" s="26"/>
      <c r="E10646" s="24"/>
      <c r="F10646" s="24"/>
      <c r="G10646" s="24"/>
      <c r="H10646" s="24"/>
      <c r="I10646" s="24"/>
      <c r="J10646" s="24"/>
      <c r="K10646" s="24"/>
      <c r="L10646" s="24"/>
      <c r="M10646" s="24"/>
      <c r="N10646" s="24"/>
      <c r="O10646" s="24"/>
      <c r="P10646" s="24"/>
      <c r="Q10646" s="24"/>
      <c r="R10646" s="24"/>
      <c r="S10646" s="24"/>
      <c r="T10646" s="24"/>
      <c r="U10646" s="24"/>
      <c r="V10646" s="24"/>
      <c r="W10646" s="24"/>
      <c r="X10646" s="24"/>
      <c r="Y10646" s="24"/>
      <c r="Z10646" s="24"/>
      <c r="AA10646" s="24"/>
    </row>
    <row r="10647">
      <c r="A10647" s="24"/>
      <c r="B10647" s="25"/>
      <c r="C10647" s="24"/>
      <c r="D10647" s="26"/>
      <c r="E10647" s="24"/>
      <c r="F10647" s="24"/>
      <c r="G10647" s="24"/>
      <c r="H10647" s="24"/>
      <c r="I10647" s="24"/>
      <c r="J10647" s="24"/>
      <c r="K10647" s="24"/>
      <c r="L10647" s="24"/>
      <c r="M10647" s="24"/>
      <c r="N10647" s="24"/>
      <c r="O10647" s="24"/>
      <c r="P10647" s="24"/>
      <c r="Q10647" s="24"/>
      <c r="R10647" s="24"/>
      <c r="S10647" s="24"/>
      <c r="T10647" s="24"/>
      <c r="U10647" s="24"/>
      <c r="V10647" s="24"/>
      <c r="W10647" s="24"/>
      <c r="X10647" s="24"/>
      <c r="Y10647" s="24"/>
      <c r="Z10647" s="24"/>
      <c r="AA10647" s="24"/>
    </row>
    <row r="10648">
      <c r="A10648" s="24"/>
      <c r="B10648" s="25"/>
      <c r="C10648" s="24"/>
      <c r="D10648" s="26"/>
      <c r="E10648" s="24"/>
      <c r="F10648" s="24"/>
      <c r="G10648" s="24"/>
      <c r="H10648" s="24"/>
      <c r="I10648" s="24"/>
      <c r="J10648" s="24"/>
      <c r="K10648" s="24"/>
      <c r="L10648" s="24"/>
      <c r="M10648" s="24"/>
      <c r="N10648" s="24"/>
      <c r="O10648" s="24"/>
      <c r="P10648" s="24"/>
      <c r="Q10648" s="24"/>
      <c r="R10648" s="24"/>
      <c r="S10648" s="24"/>
      <c r="T10648" s="24"/>
      <c r="U10648" s="24"/>
      <c r="V10648" s="24"/>
      <c r="W10648" s="24"/>
      <c r="X10648" s="24"/>
      <c r="Y10648" s="24"/>
      <c r="Z10648" s="24"/>
      <c r="AA10648" s="24"/>
    </row>
    <row r="10649">
      <c r="A10649" s="24"/>
      <c r="B10649" s="25"/>
      <c r="C10649" s="24"/>
      <c r="D10649" s="26"/>
      <c r="E10649" s="24"/>
      <c r="F10649" s="24"/>
      <c r="G10649" s="24"/>
      <c r="H10649" s="24"/>
      <c r="I10649" s="24"/>
      <c r="J10649" s="24"/>
      <c r="K10649" s="24"/>
      <c r="L10649" s="24"/>
      <c r="M10649" s="24"/>
      <c r="N10649" s="24"/>
      <c r="O10649" s="24"/>
      <c r="P10649" s="24"/>
      <c r="Q10649" s="24"/>
      <c r="R10649" s="24"/>
      <c r="S10649" s="24"/>
      <c r="T10649" s="24"/>
      <c r="U10649" s="24"/>
      <c r="V10649" s="24"/>
      <c r="W10649" s="24"/>
      <c r="X10649" s="24"/>
      <c r="Y10649" s="24"/>
      <c r="Z10649" s="24"/>
      <c r="AA10649" s="24"/>
    </row>
    <row r="10650">
      <c r="A10650" s="24"/>
      <c r="B10650" s="25"/>
      <c r="C10650" s="24"/>
      <c r="D10650" s="26"/>
      <c r="E10650" s="24"/>
      <c r="F10650" s="24"/>
      <c r="G10650" s="24"/>
      <c r="H10650" s="24"/>
      <c r="I10650" s="24"/>
      <c r="J10650" s="24"/>
      <c r="K10650" s="24"/>
      <c r="L10650" s="24"/>
      <c r="M10650" s="24"/>
      <c r="N10650" s="24"/>
      <c r="O10650" s="24"/>
      <c r="P10650" s="24"/>
      <c r="Q10650" s="24"/>
      <c r="R10650" s="24"/>
      <c r="S10650" s="24"/>
      <c r="T10650" s="24"/>
      <c r="U10650" s="24"/>
      <c r="V10650" s="24"/>
      <c r="W10650" s="24"/>
      <c r="X10650" s="24"/>
      <c r="Y10650" s="24"/>
      <c r="Z10650" s="24"/>
      <c r="AA10650" s="24"/>
    </row>
    <row r="10651">
      <c r="A10651" s="24"/>
      <c r="B10651" s="25"/>
      <c r="C10651" s="24"/>
      <c r="D10651" s="26"/>
      <c r="E10651" s="24"/>
      <c r="F10651" s="24"/>
      <c r="G10651" s="24"/>
      <c r="H10651" s="24"/>
      <c r="I10651" s="24"/>
      <c r="J10651" s="24"/>
      <c r="K10651" s="24"/>
      <c r="L10651" s="24"/>
      <c r="M10651" s="24"/>
      <c r="N10651" s="24"/>
      <c r="O10651" s="24"/>
      <c r="P10651" s="24"/>
      <c r="Q10651" s="24"/>
      <c r="R10651" s="24"/>
      <c r="S10651" s="24"/>
      <c r="T10651" s="24"/>
      <c r="U10651" s="24"/>
      <c r="V10651" s="24"/>
      <c r="W10651" s="24"/>
      <c r="X10651" s="24"/>
      <c r="Y10651" s="24"/>
      <c r="Z10651" s="24"/>
      <c r="AA10651" s="24"/>
    </row>
    <row r="10652">
      <c r="A10652" s="24"/>
      <c r="B10652" s="25"/>
      <c r="C10652" s="24"/>
      <c r="D10652" s="26"/>
      <c r="E10652" s="24"/>
      <c r="F10652" s="24"/>
      <c r="G10652" s="24"/>
      <c r="H10652" s="24"/>
      <c r="I10652" s="24"/>
      <c r="J10652" s="24"/>
      <c r="K10652" s="24"/>
      <c r="L10652" s="24"/>
      <c r="M10652" s="24"/>
      <c r="N10652" s="24"/>
      <c r="O10652" s="24"/>
      <c r="P10652" s="24"/>
      <c r="Q10652" s="24"/>
      <c r="R10652" s="24"/>
      <c r="S10652" s="24"/>
      <c r="T10652" s="24"/>
      <c r="U10652" s="24"/>
      <c r="V10652" s="24"/>
      <c r="W10652" s="24"/>
      <c r="X10652" s="24"/>
      <c r="Y10652" s="24"/>
      <c r="Z10652" s="24"/>
      <c r="AA10652" s="24"/>
    </row>
    <row r="10653">
      <c r="A10653" s="24"/>
      <c r="B10653" s="25"/>
      <c r="C10653" s="24"/>
      <c r="D10653" s="26"/>
      <c r="E10653" s="24"/>
      <c r="F10653" s="24"/>
      <c r="G10653" s="24"/>
      <c r="H10653" s="24"/>
      <c r="I10653" s="24"/>
      <c r="J10653" s="24"/>
      <c r="K10653" s="24"/>
      <c r="L10653" s="24"/>
      <c r="M10653" s="24"/>
      <c r="N10653" s="24"/>
      <c r="O10653" s="24"/>
      <c r="P10653" s="24"/>
      <c r="Q10653" s="24"/>
      <c r="R10653" s="24"/>
      <c r="S10653" s="24"/>
      <c r="T10653" s="24"/>
      <c r="U10653" s="24"/>
      <c r="V10653" s="24"/>
      <c r="W10653" s="24"/>
      <c r="X10653" s="24"/>
      <c r="Y10653" s="24"/>
      <c r="Z10653" s="24"/>
      <c r="AA10653" s="24"/>
    </row>
    <row r="10654">
      <c r="A10654" s="24"/>
      <c r="B10654" s="25"/>
      <c r="C10654" s="24"/>
      <c r="D10654" s="26"/>
      <c r="E10654" s="24"/>
      <c r="F10654" s="24"/>
      <c r="G10654" s="24"/>
      <c r="H10654" s="24"/>
      <c r="I10654" s="24"/>
      <c r="J10654" s="24"/>
      <c r="K10654" s="24"/>
      <c r="L10654" s="24"/>
      <c r="M10654" s="24"/>
      <c r="N10654" s="24"/>
      <c r="O10654" s="24"/>
      <c r="P10654" s="24"/>
      <c r="Q10654" s="24"/>
      <c r="R10654" s="24"/>
      <c r="S10654" s="24"/>
      <c r="T10654" s="24"/>
      <c r="U10654" s="24"/>
      <c r="V10654" s="24"/>
      <c r="W10654" s="24"/>
      <c r="X10654" s="24"/>
      <c r="Y10654" s="24"/>
      <c r="Z10654" s="24"/>
      <c r="AA10654" s="24"/>
    </row>
    <row r="10655">
      <c r="A10655" s="24"/>
      <c r="B10655" s="25"/>
      <c r="C10655" s="24"/>
      <c r="D10655" s="26"/>
      <c r="E10655" s="24"/>
      <c r="F10655" s="24"/>
      <c r="G10655" s="24"/>
      <c r="H10655" s="24"/>
      <c r="I10655" s="24"/>
      <c r="J10655" s="24"/>
      <c r="K10655" s="24"/>
      <c r="L10655" s="24"/>
      <c r="M10655" s="24"/>
      <c r="N10655" s="24"/>
      <c r="O10655" s="24"/>
      <c r="P10655" s="24"/>
      <c r="Q10655" s="24"/>
      <c r="R10655" s="24"/>
      <c r="S10655" s="24"/>
      <c r="T10655" s="24"/>
      <c r="U10655" s="24"/>
      <c r="V10655" s="24"/>
      <c r="W10655" s="24"/>
      <c r="X10655" s="24"/>
      <c r="Y10655" s="24"/>
      <c r="Z10655" s="24"/>
      <c r="AA10655" s="24"/>
    </row>
    <row r="10656">
      <c r="A10656" s="24"/>
      <c r="B10656" s="25"/>
      <c r="C10656" s="24"/>
      <c r="D10656" s="26"/>
      <c r="E10656" s="24"/>
      <c r="F10656" s="24"/>
      <c r="G10656" s="24"/>
      <c r="H10656" s="24"/>
      <c r="I10656" s="24"/>
      <c r="J10656" s="24"/>
      <c r="K10656" s="24"/>
      <c r="L10656" s="24"/>
      <c r="M10656" s="24"/>
      <c r="N10656" s="24"/>
      <c r="O10656" s="24"/>
      <c r="P10656" s="24"/>
      <c r="Q10656" s="24"/>
      <c r="R10656" s="24"/>
      <c r="S10656" s="24"/>
      <c r="T10656" s="24"/>
      <c r="U10656" s="24"/>
      <c r="V10656" s="24"/>
      <c r="W10656" s="24"/>
      <c r="X10656" s="24"/>
      <c r="Y10656" s="24"/>
      <c r="Z10656" s="24"/>
      <c r="AA10656" s="24"/>
    </row>
    <row r="10657">
      <c r="A10657" s="24"/>
      <c r="B10657" s="25"/>
      <c r="C10657" s="24"/>
      <c r="D10657" s="26"/>
      <c r="E10657" s="24"/>
      <c r="F10657" s="24"/>
      <c r="G10657" s="24"/>
      <c r="H10657" s="24"/>
      <c r="I10657" s="24"/>
      <c r="J10657" s="24"/>
      <c r="K10657" s="24"/>
      <c r="L10657" s="24"/>
      <c r="M10657" s="24"/>
      <c r="N10657" s="24"/>
      <c r="O10657" s="24"/>
      <c r="P10657" s="24"/>
      <c r="Q10657" s="24"/>
      <c r="R10657" s="24"/>
      <c r="S10657" s="24"/>
      <c r="T10657" s="24"/>
      <c r="U10657" s="24"/>
      <c r="V10657" s="24"/>
      <c r="W10657" s="24"/>
      <c r="X10657" s="24"/>
      <c r="Y10657" s="24"/>
      <c r="Z10657" s="24"/>
      <c r="AA10657" s="24"/>
    </row>
    <row r="10658">
      <c r="A10658" s="24"/>
      <c r="B10658" s="25"/>
      <c r="C10658" s="24"/>
      <c r="D10658" s="26"/>
      <c r="E10658" s="24"/>
      <c r="F10658" s="24"/>
      <c r="G10658" s="24"/>
      <c r="H10658" s="24"/>
      <c r="I10658" s="24"/>
      <c r="J10658" s="24"/>
      <c r="K10658" s="24"/>
      <c r="L10658" s="24"/>
      <c r="M10658" s="24"/>
      <c r="N10658" s="24"/>
      <c r="O10658" s="24"/>
      <c r="P10658" s="24"/>
      <c r="Q10658" s="24"/>
      <c r="R10658" s="24"/>
      <c r="S10658" s="24"/>
      <c r="T10658" s="24"/>
      <c r="U10658" s="24"/>
      <c r="V10658" s="24"/>
      <c r="W10658" s="24"/>
      <c r="X10658" s="24"/>
      <c r="Y10658" s="24"/>
      <c r="Z10658" s="24"/>
      <c r="AA10658" s="24"/>
    </row>
    <row r="10659">
      <c r="A10659" s="24"/>
      <c r="B10659" s="25"/>
      <c r="C10659" s="24"/>
      <c r="D10659" s="26"/>
      <c r="E10659" s="24"/>
      <c r="F10659" s="24"/>
      <c r="G10659" s="24"/>
      <c r="H10659" s="24"/>
      <c r="I10659" s="24"/>
      <c r="J10659" s="24"/>
      <c r="K10659" s="24"/>
      <c r="L10659" s="24"/>
      <c r="M10659" s="24"/>
      <c r="N10659" s="24"/>
      <c r="O10659" s="24"/>
      <c r="P10659" s="24"/>
      <c r="Q10659" s="24"/>
      <c r="R10659" s="24"/>
      <c r="S10659" s="24"/>
      <c r="T10659" s="24"/>
      <c r="U10659" s="24"/>
      <c r="V10659" s="24"/>
      <c r="W10659" s="24"/>
      <c r="X10659" s="24"/>
      <c r="Y10659" s="24"/>
      <c r="Z10659" s="24"/>
      <c r="AA10659" s="24"/>
    </row>
    <row r="10660">
      <c r="A10660" s="24"/>
      <c r="B10660" s="25"/>
      <c r="C10660" s="24"/>
      <c r="D10660" s="26"/>
      <c r="E10660" s="24"/>
      <c r="F10660" s="24"/>
      <c r="G10660" s="24"/>
      <c r="H10660" s="24"/>
      <c r="I10660" s="24"/>
      <c r="J10660" s="24"/>
      <c r="K10660" s="24"/>
      <c r="L10660" s="24"/>
      <c r="M10660" s="24"/>
      <c r="N10660" s="24"/>
      <c r="O10660" s="24"/>
      <c r="P10660" s="24"/>
      <c r="Q10660" s="24"/>
      <c r="R10660" s="24"/>
      <c r="S10660" s="24"/>
      <c r="T10660" s="24"/>
      <c r="U10660" s="24"/>
      <c r="V10660" s="24"/>
      <c r="W10660" s="24"/>
      <c r="X10660" s="24"/>
      <c r="Y10660" s="24"/>
      <c r="Z10660" s="24"/>
      <c r="AA10660" s="24"/>
    </row>
    <row r="10661">
      <c r="A10661" s="24"/>
      <c r="B10661" s="25"/>
      <c r="C10661" s="24"/>
      <c r="D10661" s="26"/>
      <c r="E10661" s="24"/>
      <c r="F10661" s="24"/>
      <c r="G10661" s="24"/>
      <c r="H10661" s="24"/>
      <c r="I10661" s="24"/>
      <c r="J10661" s="24"/>
      <c r="K10661" s="24"/>
      <c r="L10661" s="24"/>
      <c r="M10661" s="24"/>
      <c r="N10661" s="24"/>
      <c r="O10661" s="24"/>
      <c r="P10661" s="24"/>
      <c r="Q10661" s="24"/>
      <c r="R10661" s="24"/>
      <c r="S10661" s="24"/>
      <c r="T10661" s="24"/>
      <c r="U10661" s="24"/>
      <c r="V10661" s="24"/>
      <c r="W10661" s="24"/>
      <c r="X10661" s="24"/>
      <c r="Y10661" s="24"/>
      <c r="Z10661" s="24"/>
      <c r="AA10661" s="24"/>
    </row>
    <row r="10662">
      <c r="A10662" s="24"/>
      <c r="B10662" s="25"/>
      <c r="C10662" s="24"/>
      <c r="D10662" s="26"/>
      <c r="E10662" s="24"/>
      <c r="F10662" s="24"/>
      <c r="G10662" s="24"/>
      <c r="H10662" s="24"/>
      <c r="I10662" s="24"/>
      <c r="J10662" s="24"/>
      <c r="K10662" s="24"/>
      <c r="L10662" s="24"/>
      <c r="M10662" s="24"/>
      <c r="N10662" s="24"/>
      <c r="O10662" s="24"/>
      <c r="P10662" s="24"/>
      <c r="Q10662" s="24"/>
      <c r="R10662" s="24"/>
      <c r="S10662" s="24"/>
      <c r="T10662" s="24"/>
      <c r="U10662" s="24"/>
      <c r="V10662" s="24"/>
      <c r="W10662" s="24"/>
      <c r="X10662" s="24"/>
      <c r="Y10662" s="24"/>
      <c r="Z10662" s="24"/>
      <c r="AA10662" s="24"/>
    </row>
    <row r="10663">
      <c r="A10663" s="24"/>
      <c r="B10663" s="25"/>
      <c r="C10663" s="24"/>
      <c r="D10663" s="26"/>
      <c r="E10663" s="24"/>
      <c r="F10663" s="24"/>
      <c r="G10663" s="24"/>
      <c r="H10663" s="24"/>
      <c r="I10663" s="24"/>
      <c r="J10663" s="24"/>
      <c r="K10663" s="24"/>
      <c r="L10663" s="24"/>
      <c r="M10663" s="24"/>
      <c r="N10663" s="24"/>
      <c r="O10663" s="24"/>
      <c r="P10663" s="24"/>
      <c r="Q10663" s="24"/>
      <c r="R10663" s="24"/>
      <c r="S10663" s="24"/>
      <c r="T10663" s="24"/>
      <c r="U10663" s="24"/>
      <c r="V10663" s="24"/>
      <c r="W10663" s="24"/>
      <c r="X10663" s="24"/>
      <c r="Y10663" s="24"/>
      <c r="Z10663" s="24"/>
      <c r="AA10663" s="24"/>
    </row>
    <row r="10664">
      <c r="A10664" s="24"/>
      <c r="B10664" s="25"/>
      <c r="C10664" s="24"/>
      <c r="D10664" s="26"/>
      <c r="E10664" s="24"/>
      <c r="F10664" s="24"/>
      <c r="G10664" s="24"/>
      <c r="H10664" s="24"/>
      <c r="I10664" s="24"/>
      <c r="J10664" s="24"/>
      <c r="K10664" s="24"/>
      <c r="L10664" s="24"/>
      <c r="M10664" s="24"/>
      <c r="N10664" s="24"/>
      <c r="O10664" s="24"/>
      <c r="P10664" s="24"/>
      <c r="Q10664" s="24"/>
      <c r="R10664" s="24"/>
      <c r="S10664" s="24"/>
      <c r="T10664" s="24"/>
      <c r="U10664" s="24"/>
      <c r="V10664" s="24"/>
      <c r="W10664" s="24"/>
      <c r="X10664" s="24"/>
      <c r="Y10664" s="24"/>
      <c r="Z10664" s="24"/>
      <c r="AA10664" s="24"/>
    </row>
    <row r="10665">
      <c r="A10665" s="24"/>
      <c r="B10665" s="25"/>
      <c r="C10665" s="24"/>
      <c r="D10665" s="26"/>
      <c r="E10665" s="24"/>
      <c r="F10665" s="24"/>
      <c r="G10665" s="24"/>
      <c r="H10665" s="24"/>
      <c r="I10665" s="24"/>
      <c r="J10665" s="24"/>
      <c r="K10665" s="24"/>
      <c r="L10665" s="24"/>
      <c r="M10665" s="24"/>
      <c r="N10665" s="24"/>
      <c r="O10665" s="24"/>
      <c r="P10665" s="24"/>
      <c r="Q10665" s="24"/>
      <c r="R10665" s="24"/>
      <c r="S10665" s="24"/>
      <c r="T10665" s="24"/>
      <c r="U10665" s="24"/>
      <c r="V10665" s="24"/>
      <c r="W10665" s="24"/>
      <c r="X10665" s="24"/>
      <c r="Y10665" s="24"/>
      <c r="Z10665" s="24"/>
      <c r="AA10665" s="24"/>
    </row>
    <row r="10666">
      <c r="A10666" s="24"/>
      <c r="B10666" s="25"/>
      <c r="C10666" s="24"/>
      <c r="D10666" s="26"/>
      <c r="E10666" s="24"/>
      <c r="F10666" s="24"/>
      <c r="G10666" s="24"/>
      <c r="H10666" s="24"/>
      <c r="I10666" s="24"/>
      <c r="J10666" s="24"/>
      <c r="K10666" s="24"/>
      <c r="L10666" s="24"/>
      <c r="M10666" s="24"/>
      <c r="N10666" s="24"/>
      <c r="O10666" s="24"/>
      <c r="P10666" s="24"/>
      <c r="Q10666" s="24"/>
      <c r="R10666" s="24"/>
      <c r="S10666" s="24"/>
      <c r="T10666" s="24"/>
      <c r="U10666" s="24"/>
      <c r="V10666" s="24"/>
      <c r="W10666" s="24"/>
      <c r="X10666" s="24"/>
      <c r="Y10666" s="24"/>
      <c r="Z10666" s="24"/>
      <c r="AA10666" s="24"/>
    </row>
    <row r="10667">
      <c r="A10667" s="24"/>
      <c r="B10667" s="25"/>
      <c r="C10667" s="24"/>
      <c r="D10667" s="26"/>
      <c r="E10667" s="24"/>
      <c r="F10667" s="24"/>
      <c r="G10667" s="24"/>
      <c r="H10667" s="24"/>
      <c r="I10667" s="24"/>
      <c r="J10667" s="24"/>
      <c r="K10667" s="24"/>
      <c r="L10667" s="24"/>
      <c r="M10667" s="24"/>
      <c r="N10667" s="24"/>
      <c r="O10667" s="24"/>
      <c r="P10667" s="24"/>
      <c r="Q10667" s="24"/>
      <c r="R10667" s="24"/>
      <c r="S10667" s="24"/>
      <c r="T10667" s="24"/>
      <c r="U10667" s="24"/>
      <c r="V10667" s="24"/>
      <c r="W10667" s="24"/>
      <c r="X10667" s="24"/>
      <c r="Y10667" s="24"/>
      <c r="Z10667" s="24"/>
      <c r="AA10667" s="24"/>
    </row>
    <row r="10668">
      <c r="A10668" s="24"/>
      <c r="B10668" s="25"/>
      <c r="C10668" s="24"/>
      <c r="D10668" s="26"/>
      <c r="E10668" s="24"/>
      <c r="F10668" s="24"/>
      <c r="G10668" s="24"/>
      <c r="H10668" s="24"/>
      <c r="I10668" s="24"/>
      <c r="J10668" s="24"/>
      <c r="K10668" s="24"/>
      <c r="L10668" s="24"/>
      <c r="M10668" s="24"/>
      <c r="N10668" s="24"/>
      <c r="O10668" s="24"/>
      <c r="P10668" s="24"/>
      <c r="Q10668" s="24"/>
      <c r="R10668" s="24"/>
      <c r="S10668" s="24"/>
      <c r="T10668" s="24"/>
      <c r="U10668" s="24"/>
      <c r="V10668" s="24"/>
      <c r="W10668" s="24"/>
      <c r="X10668" s="24"/>
      <c r="Y10668" s="24"/>
      <c r="Z10668" s="24"/>
      <c r="AA10668" s="24"/>
    </row>
    <row r="10669">
      <c r="A10669" s="24"/>
      <c r="B10669" s="25"/>
      <c r="C10669" s="24"/>
      <c r="D10669" s="26"/>
      <c r="E10669" s="24"/>
      <c r="F10669" s="24"/>
      <c r="G10669" s="24"/>
      <c r="H10669" s="24"/>
      <c r="I10669" s="24"/>
      <c r="J10669" s="24"/>
      <c r="K10669" s="24"/>
      <c r="L10669" s="24"/>
      <c r="M10669" s="24"/>
      <c r="N10669" s="24"/>
      <c r="O10669" s="24"/>
      <c r="P10669" s="24"/>
      <c r="Q10669" s="24"/>
      <c r="R10669" s="24"/>
      <c r="S10669" s="24"/>
      <c r="T10669" s="24"/>
      <c r="U10669" s="24"/>
      <c r="V10669" s="24"/>
      <c r="W10669" s="24"/>
      <c r="X10669" s="24"/>
      <c r="Y10669" s="24"/>
      <c r="Z10669" s="24"/>
      <c r="AA10669" s="24"/>
    </row>
    <row r="10670">
      <c r="A10670" s="24"/>
      <c r="B10670" s="25"/>
      <c r="C10670" s="24"/>
      <c r="D10670" s="26"/>
      <c r="E10670" s="24"/>
      <c r="F10670" s="24"/>
      <c r="G10670" s="24"/>
      <c r="H10670" s="24"/>
      <c r="I10670" s="24"/>
      <c r="J10670" s="24"/>
      <c r="K10670" s="24"/>
      <c r="L10670" s="24"/>
      <c r="M10670" s="24"/>
      <c r="N10670" s="24"/>
      <c r="O10670" s="24"/>
      <c r="P10670" s="24"/>
      <c r="Q10670" s="24"/>
      <c r="R10670" s="24"/>
      <c r="S10670" s="24"/>
      <c r="T10670" s="24"/>
      <c r="U10670" s="24"/>
      <c r="V10670" s="24"/>
      <c r="W10670" s="24"/>
      <c r="X10670" s="24"/>
      <c r="Y10670" s="24"/>
      <c r="Z10670" s="24"/>
      <c r="AA10670" s="24"/>
    </row>
    <row r="10671">
      <c r="A10671" s="24"/>
      <c r="B10671" s="25"/>
      <c r="C10671" s="24"/>
      <c r="D10671" s="26"/>
      <c r="E10671" s="24"/>
      <c r="F10671" s="24"/>
      <c r="G10671" s="24"/>
      <c r="H10671" s="24"/>
      <c r="I10671" s="24"/>
      <c r="J10671" s="24"/>
      <c r="K10671" s="24"/>
      <c r="L10671" s="24"/>
      <c r="M10671" s="24"/>
      <c r="N10671" s="24"/>
      <c r="O10671" s="24"/>
      <c r="P10671" s="24"/>
      <c r="Q10671" s="24"/>
      <c r="R10671" s="24"/>
      <c r="S10671" s="24"/>
      <c r="T10671" s="24"/>
      <c r="U10671" s="24"/>
      <c r="V10671" s="24"/>
      <c r="W10671" s="24"/>
      <c r="X10671" s="24"/>
      <c r="Y10671" s="24"/>
      <c r="Z10671" s="24"/>
      <c r="AA10671" s="24"/>
    </row>
    <row r="10672">
      <c r="A10672" s="24"/>
      <c r="B10672" s="25"/>
      <c r="C10672" s="24"/>
      <c r="D10672" s="26"/>
      <c r="E10672" s="24"/>
      <c r="F10672" s="24"/>
      <c r="G10672" s="24"/>
      <c r="H10672" s="24"/>
      <c r="I10672" s="24"/>
      <c r="J10672" s="24"/>
      <c r="K10672" s="24"/>
      <c r="L10672" s="24"/>
      <c r="M10672" s="24"/>
      <c r="N10672" s="24"/>
      <c r="O10672" s="24"/>
      <c r="P10672" s="24"/>
      <c r="Q10672" s="24"/>
      <c r="R10672" s="24"/>
      <c r="S10672" s="24"/>
      <c r="T10672" s="24"/>
      <c r="U10672" s="24"/>
      <c r="V10672" s="24"/>
      <c r="W10672" s="24"/>
      <c r="X10672" s="24"/>
      <c r="Y10672" s="24"/>
      <c r="Z10672" s="24"/>
      <c r="AA10672" s="24"/>
    </row>
    <row r="10673">
      <c r="A10673" s="24"/>
      <c r="B10673" s="25"/>
      <c r="C10673" s="24"/>
      <c r="D10673" s="26"/>
      <c r="E10673" s="24"/>
      <c r="F10673" s="24"/>
      <c r="G10673" s="24"/>
      <c r="H10673" s="24"/>
      <c r="I10673" s="24"/>
      <c r="J10673" s="24"/>
      <c r="K10673" s="24"/>
      <c r="L10673" s="24"/>
      <c r="M10673" s="24"/>
      <c r="N10673" s="24"/>
      <c r="O10673" s="24"/>
      <c r="P10673" s="24"/>
      <c r="Q10673" s="24"/>
      <c r="R10673" s="24"/>
      <c r="S10673" s="24"/>
      <c r="T10673" s="24"/>
      <c r="U10673" s="24"/>
      <c r="V10673" s="24"/>
      <c r="W10673" s="24"/>
      <c r="X10673" s="24"/>
      <c r="Y10673" s="24"/>
      <c r="Z10673" s="24"/>
      <c r="AA10673" s="24"/>
    </row>
    <row r="10674">
      <c r="A10674" s="24"/>
      <c r="B10674" s="25"/>
      <c r="C10674" s="24"/>
      <c r="D10674" s="26"/>
      <c r="E10674" s="24"/>
      <c r="F10674" s="24"/>
      <c r="G10674" s="24"/>
      <c r="H10674" s="24"/>
      <c r="I10674" s="24"/>
      <c r="J10674" s="24"/>
      <c r="K10674" s="24"/>
      <c r="L10674" s="24"/>
      <c r="M10674" s="24"/>
      <c r="N10674" s="24"/>
      <c r="O10674" s="24"/>
      <c r="P10674" s="24"/>
      <c r="Q10674" s="24"/>
      <c r="R10674" s="24"/>
      <c r="S10674" s="24"/>
      <c r="T10674" s="24"/>
      <c r="U10674" s="24"/>
      <c r="V10674" s="24"/>
      <c r="W10674" s="24"/>
      <c r="X10674" s="24"/>
      <c r="Y10674" s="24"/>
      <c r="Z10674" s="24"/>
      <c r="AA10674" s="24"/>
    </row>
    <row r="10675">
      <c r="A10675" s="24"/>
      <c r="B10675" s="25"/>
      <c r="C10675" s="24"/>
      <c r="D10675" s="26"/>
      <c r="E10675" s="24"/>
      <c r="F10675" s="24"/>
      <c r="G10675" s="24"/>
      <c r="H10675" s="24"/>
      <c r="I10675" s="24"/>
      <c r="J10675" s="24"/>
      <c r="K10675" s="24"/>
      <c r="L10675" s="24"/>
      <c r="M10675" s="24"/>
      <c r="N10675" s="24"/>
      <c r="O10675" s="24"/>
      <c r="P10675" s="24"/>
      <c r="Q10675" s="24"/>
      <c r="R10675" s="24"/>
      <c r="S10675" s="24"/>
      <c r="T10675" s="24"/>
      <c r="U10675" s="24"/>
      <c r="V10675" s="24"/>
      <c r="W10675" s="24"/>
      <c r="X10675" s="24"/>
      <c r="Y10675" s="24"/>
      <c r="Z10675" s="24"/>
      <c r="AA10675" s="24"/>
    </row>
    <row r="10676">
      <c r="A10676" s="24"/>
      <c r="B10676" s="25"/>
      <c r="C10676" s="24"/>
      <c r="D10676" s="26"/>
      <c r="E10676" s="24"/>
      <c r="F10676" s="24"/>
      <c r="G10676" s="24"/>
      <c r="H10676" s="24"/>
      <c r="I10676" s="24"/>
      <c r="J10676" s="24"/>
      <c r="K10676" s="24"/>
      <c r="L10676" s="24"/>
      <c r="M10676" s="24"/>
      <c r="N10676" s="24"/>
      <c r="O10676" s="24"/>
      <c r="P10676" s="24"/>
      <c r="Q10676" s="24"/>
      <c r="R10676" s="24"/>
      <c r="S10676" s="24"/>
      <c r="T10676" s="24"/>
      <c r="U10676" s="24"/>
      <c r="V10676" s="24"/>
      <c r="W10676" s="24"/>
      <c r="X10676" s="24"/>
      <c r="Y10676" s="24"/>
      <c r="Z10676" s="24"/>
      <c r="AA10676" s="24"/>
    </row>
    <row r="10677">
      <c r="A10677" s="24"/>
      <c r="B10677" s="25"/>
      <c r="C10677" s="24"/>
      <c r="D10677" s="26"/>
      <c r="E10677" s="24"/>
      <c r="F10677" s="24"/>
      <c r="G10677" s="24"/>
      <c r="H10677" s="24"/>
      <c r="I10677" s="24"/>
      <c r="J10677" s="24"/>
      <c r="K10677" s="24"/>
      <c r="L10677" s="24"/>
      <c r="M10677" s="24"/>
      <c r="N10677" s="24"/>
      <c r="O10677" s="24"/>
      <c r="P10677" s="24"/>
      <c r="Q10677" s="24"/>
      <c r="R10677" s="24"/>
      <c r="S10677" s="24"/>
      <c r="T10677" s="24"/>
      <c r="U10677" s="24"/>
      <c r="V10677" s="24"/>
      <c r="W10677" s="24"/>
      <c r="X10677" s="24"/>
      <c r="Y10677" s="24"/>
      <c r="Z10677" s="24"/>
      <c r="AA10677" s="24"/>
    </row>
    <row r="10678">
      <c r="A10678" s="24"/>
      <c r="B10678" s="25"/>
      <c r="C10678" s="24"/>
      <c r="D10678" s="26"/>
      <c r="E10678" s="24"/>
      <c r="F10678" s="24"/>
      <c r="G10678" s="24"/>
      <c r="H10678" s="24"/>
      <c r="I10678" s="24"/>
      <c r="J10678" s="24"/>
      <c r="K10678" s="24"/>
      <c r="L10678" s="24"/>
      <c r="M10678" s="24"/>
      <c r="N10678" s="24"/>
      <c r="O10678" s="24"/>
      <c r="P10678" s="24"/>
      <c r="Q10678" s="24"/>
      <c r="R10678" s="24"/>
      <c r="S10678" s="24"/>
      <c r="T10678" s="24"/>
      <c r="U10678" s="24"/>
      <c r="V10678" s="24"/>
      <c r="W10678" s="24"/>
      <c r="X10678" s="24"/>
      <c r="Y10678" s="24"/>
      <c r="Z10678" s="24"/>
      <c r="AA10678" s="24"/>
    </row>
    <row r="10679">
      <c r="A10679" s="24"/>
      <c r="B10679" s="25"/>
      <c r="C10679" s="24"/>
      <c r="D10679" s="26"/>
      <c r="E10679" s="24"/>
      <c r="F10679" s="24"/>
      <c r="G10679" s="24"/>
      <c r="H10679" s="24"/>
      <c r="I10679" s="24"/>
      <c r="J10679" s="24"/>
      <c r="K10679" s="24"/>
      <c r="L10679" s="24"/>
      <c r="M10679" s="24"/>
      <c r="N10679" s="24"/>
      <c r="O10679" s="24"/>
      <c r="P10679" s="24"/>
      <c r="Q10679" s="24"/>
      <c r="R10679" s="24"/>
      <c r="S10679" s="24"/>
      <c r="T10679" s="24"/>
      <c r="U10679" s="24"/>
      <c r="V10679" s="24"/>
      <c r="W10679" s="24"/>
      <c r="X10679" s="24"/>
      <c r="Y10679" s="24"/>
      <c r="Z10679" s="24"/>
      <c r="AA10679" s="24"/>
    </row>
    <row r="10680">
      <c r="A10680" s="24"/>
      <c r="B10680" s="25"/>
      <c r="C10680" s="24"/>
      <c r="D10680" s="26"/>
      <c r="E10680" s="24"/>
      <c r="F10680" s="24"/>
      <c r="G10680" s="24"/>
      <c r="H10680" s="24"/>
      <c r="I10680" s="24"/>
      <c r="J10680" s="24"/>
      <c r="K10680" s="24"/>
      <c r="L10680" s="24"/>
      <c r="M10680" s="24"/>
      <c r="N10680" s="24"/>
      <c r="O10680" s="24"/>
      <c r="P10680" s="24"/>
      <c r="Q10680" s="24"/>
      <c r="R10680" s="24"/>
      <c r="S10680" s="24"/>
      <c r="T10680" s="24"/>
      <c r="U10680" s="24"/>
      <c r="V10680" s="24"/>
      <c r="W10680" s="24"/>
      <c r="X10680" s="24"/>
      <c r="Y10680" s="24"/>
      <c r="Z10680" s="24"/>
      <c r="AA10680" s="24"/>
    </row>
    <row r="10681">
      <c r="A10681" s="24"/>
      <c r="B10681" s="25"/>
      <c r="C10681" s="24"/>
      <c r="D10681" s="26"/>
      <c r="E10681" s="24"/>
      <c r="F10681" s="24"/>
      <c r="G10681" s="24"/>
      <c r="H10681" s="24"/>
      <c r="I10681" s="24"/>
      <c r="J10681" s="24"/>
      <c r="K10681" s="24"/>
      <c r="L10681" s="24"/>
      <c r="M10681" s="24"/>
      <c r="N10681" s="24"/>
      <c r="O10681" s="24"/>
      <c r="P10681" s="24"/>
      <c r="Q10681" s="24"/>
      <c r="R10681" s="24"/>
      <c r="S10681" s="24"/>
      <c r="T10681" s="24"/>
      <c r="U10681" s="24"/>
      <c r="V10681" s="24"/>
      <c r="W10681" s="24"/>
      <c r="X10681" s="24"/>
      <c r="Y10681" s="24"/>
      <c r="Z10681" s="24"/>
      <c r="AA10681" s="24"/>
    </row>
    <row r="10682">
      <c r="A10682" s="24"/>
      <c r="B10682" s="25"/>
      <c r="C10682" s="24"/>
      <c r="D10682" s="26"/>
      <c r="E10682" s="24"/>
      <c r="F10682" s="24"/>
      <c r="G10682" s="24"/>
      <c r="H10682" s="24"/>
      <c r="I10682" s="24"/>
      <c r="J10682" s="24"/>
      <c r="K10682" s="24"/>
      <c r="L10682" s="24"/>
      <c r="M10682" s="24"/>
      <c r="N10682" s="24"/>
      <c r="O10682" s="24"/>
      <c r="P10682" s="24"/>
      <c r="Q10682" s="24"/>
      <c r="R10682" s="24"/>
      <c r="S10682" s="24"/>
      <c r="T10682" s="24"/>
      <c r="U10682" s="24"/>
      <c r="V10682" s="24"/>
      <c r="W10682" s="24"/>
      <c r="X10682" s="24"/>
      <c r="Y10682" s="24"/>
      <c r="Z10682" s="24"/>
      <c r="AA10682" s="24"/>
    </row>
    <row r="10683">
      <c r="A10683" s="24"/>
      <c r="B10683" s="25"/>
      <c r="C10683" s="24"/>
      <c r="D10683" s="26"/>
      <c r="E10683" s="24"/>
      <c r="F10683" s="24"/>
      <c r="G10683" s="24"/>
      <c r="H10683" s="24"/>
      <c r="I10683" s="24"/>
      <c r="J10683" s="24"/>
      <c r="K10683" s="24"/>
      <c r="L10683" s="24"/>
      <c r="M10683" s="24"/>
      <c r="N10683" s="24"/>
      <c r="O10683" s="24"/>
      <c r="P10683" s="24"/>
      <c r="Q10683" s="24"/>
      <c r="R10683" s="24"/>
      <c r="S10683" s="24"/>
      <c r="T10683" s="24"/>
      <c r="U10683" s="24"/>
      <c r="V10683" s="24"/>
      <c r="W10683" s="24"/>
      <c r="X10683" s="24"/>
      <c r="Y10683" s="24"/>
      <c r="Z10683" s="24"/>
      <c r="AA10683" s="24"/>
    </row>
    <row r="10684">
      <c r="A10684" s="24"/>
      <c r="B10684" s="25"/>
      <c r="C10684" s="24"/>
      <c r="D10684" s="26"/>
      <c r="E10684" s="24"/>
      <c r="F10684" s="24"/>
      <c r="G10684" s="24"/>
      <c r="H10684" s="24"/>
      <c r="I10684" s="24"/>
      <c r="J10684" s="24"/>
      <c r="K10684" s="24"/>
      <c r="L10684" s="24"/>
      <c r="M10684" s="24"/>
      <c r="N10684" s="24"/>
      <c r="O10684" s="24"/>
      <c r="P10684" s="24"/>
      <c r="Q10684" s="24"/>
      <c r="R10684" s="24"/>
      <c r="S10684" s="24"/>
      <c r="T10684" s="24"/>
      <c r="U10684" s="24"/>
      <c r="V10684" s="24"/>
      <c r="W10684" s="24"/>
      <c r="X10684" s="24"/>
      <c r="Y10684" s="24"/>
      <c r="Z10684" s="24"/>
      <c r="AA10684" s="24"/>
    </row>
    <row r="10685">
      <c r="A10685" s="24"/>
      <c r="B10685" s="25"/>
      <c r="C10685" s="24"/>
      <c r="D10685" s="26"/>
      <c r="E10685" s="24"/>
      <c r="F10685" s="24"/>
      <c r="G10685" s="24"/>
      <c r="H10685" s="24"/>
      <c r="I10685" s="24"/>
      <c r="J10685" s="24"/>
      <c r="K10685" s="24"/>
      <c r="L10685" s="24"/>
      <c r="M10685" s="24"/>
      <c r="N10685" s="24"/>
      <c r="O10685" s="24"/>
      <c r="P10685" s="24"/>
      <c r="Q10685" s="24"/>
      <c r="R10685" s="24"/>
      <c r="S10685" s="24"/>
      <c r="T10685" s="24"/>
      <c r="U10685" s="24"/>
      <c r="V10685" s="24"/>
      <c r="W10685" s="24"/>
      <c r="X10685" s="24"/>
      <c r="Y10685" s="24"/>
      <c r="Z10685" s="24"/>
      <c r="AA10685" s="24"/>
    </row>
    <row r="10686">
      <c r="A10686" s="24"/>
      <c r="B10686" s="25"/>
      <c r="C10686" s="24"/>
      <c r="D10686" s="26"/>
      <c r="E10686" s="24"/>
      <c r="F10686" s="24"/>
      <c r="G10686" s="24"/>
      <c r="H10686" s="24"/>
      <c r="I10686" s="24"/>
      <c r="J10686" s="24"/>
      <c r="K10686" s="24"/>
      <c r="L10686" s="24"/>
      <c r="M10686" s="24"/>
      <c r="N10686" s="24"/>
      <c r="O10686" s="24"/>
      <c r="P10686" s="24"/>
      <c r="Q10686" s="24"/>
      <c r="R10686" s="24"/>
      <c r="S10686" s="24"/>
      <c r="T10686" s="24"/>
      <c r="U10686" s="24"/>
      <c r="V10686" s="24"/>
      <c r="W10686" s="24"/>
      <c r="X10686" s="24"/>
      <c r="Y10686" s="24"/>
      <c r="Z10686" s="24"/>
      <c r="AA10686" s="24"/>
    </row>
    <row r="10687">
      <c r="A10687" s="24"/>
      <c r="B10687" s="25"/>
      <c r="C10687" s="24"/>
      <c r="D10687" s="26"/>
      <c r="E10687" s="24"/>
      <c r="F10687" s="24"/>
      <c r="G10687" s="24"/>
      <c r="H10687" s="24"/>
      <c r="I10687" s="24"/>
      <c r="J10687" s="24"/>
      <c r="K10687" s="24"/>
      <c r="L10687" s="24"/>
      <c r="M10687" s="24"/>
      <c r="N10687" s="24"/>
      <c r="O10687" s="24"/>
      <c r="P10687" s="24"/>
      <c r="Q10687" s="24"/>
      <c r="R10687" s="24"/>
      <c r="S10687" s="24"/>
      <c r="T10687" s="24"/>
      <c r="U10687" s="24"/>
      <c r="V10687" s="24"/>
      <c r="W10687" s="24"/>
      <c r="X10687" s="24"/>
      <c r="Y10687" s="24"/>
      <c r="Z10687" s="24"/>
      <c r="AA10687" s="24"/>
    </row>
    <row r="10688">
      <c r="A10688" s="24"/>
      <c r="B10688" s="25"/>
      <c r="C10688" s="24"/>
      <c r="D10688" s="26"/>
      <c r="E10688" s="24"/>
      <c r="F10688" s="24"/>
      <c r="G10688" s="24"/>
      <c r="H10688" s="24"/>
      <c r="I10688" s="24"/>
      <c r="J10688" s="24"/>
      <c r="K10688" s="24"/>
      <c r="L10688" s="24"/>
      <c r="M10688" s="24"/>
      <c r="N10688" s="24"/>
      <c r="O10688" s="24"/>
      <c r="P10688" s="24"/>
      <c r="Q10688" s="24"/>
      <c r="R10688" s="24"/>
      <c r="S10688" s="24"/>
      <c r="T10688" s="24"/>
      <c r="U10688" s="24"/>
      <c r="V10688" s="24"/>
      <c r="W10688" s="24"/>
      <c r="X10688" s="24"/>
      <c r="Y10688" s="24"/>
      <c r="Z10688" s="24"/>
      <c r="AA10688" s="24"/>
    </row>
    <row r="10689">
      <c r="A10689" s="24"/>
      <c r="B10689" s="25"/>
      <c r="C10689" s="24"/>
      <c r="D10689" s="26"/>
      <c r="E10689" s="24"/>
      <c r="F10689" s="24"/>
      <c r="G10689" s="24"/>
      <c r="H10689" s="24"/>
      <c r="I10689" s="24"/>
      <c r="J10689" s="24"/>
      <c r="K10689" s="24"/>
      <c r="L10689" s="24"/>
      <c r="M10689" s="24"/>
      <c r="N10689" s="24"/>
      <c r="O10689" s="24"/>
      <c r="P10689" s="24"/>
      <c r="Q10689" s="24"/>
      <c r="R10689" s="24"/>
      <c r="S10689" s="24"/>
      <c r="T10689" s="24"/>
      <c r="U10689" s="24"/>
      <c r="V10689" s="24"/>
      <c r="W10689" s="24"/>
      <c r="X10689" s="24"/>
      <c r="Y10689" s="24"/>
      <c r="Z10689" s="24"/>
      <c r="AA10689" s="24"/>
    </row>
    <row r="10690">
      <c r="A10690" s="24"/>
      <c r="B10690" s="25"/>
      <c r="C10690" s="24"/>
      <c r="D10690" s="26"/>
      <c r="E10690" s="24"/>
      <c r="F10690" s="24"/>
      <c r="G10690" s="24"/>
      <c r="H10690" s="24"/>
      <c r="I10690" s="24"/>
      <c r="J10690" s="24"/>
      <c r="K10690" s="24"/>
      <c r="L10690" s="24"/>
      <c r="M10690" s="24"/>
      <c r="N10690" s="24"/>
      <c r="O10690" s="24"/>
      <c r="P10690" s="24"/>
      <c r="Q10690" s="24"/>
      <c r="R10690" s="24"/>
      <c r="S10690" s="24"/>
      <c r="T10690" s="24"/>
      <c r="U10690" s="24"/>
      <c r="V10690" s="24"/>
      <c r="W10690" s="24"/>
      <c r="X10690" s="24"/>
      <c r="Y10690" s="24"/>
      <c r="Z10690" s="24"/>
      <c r="AA10690" s="24"/>
    </row>
    <row r="10691">
      <c r="A10691" s="24"/>
      <c r="B10691" s="25"/>
      <c r="C10691" s="24"/>
      <c r="D10691" s="26"/>
      <c r="E10691" s="24"/>
      <c r="F10691" s="24"/>
      <c r="G10691" s="24"/>
      <c r="H10691" s="24"/>
      <c r="I10691" s="24"/>
      <c r="J10691" s="24"/>
      <c r="K10691" s="24"/>
      <c r="L10691" s="24"/>
      <c r="M10691" s="24"/>
      <c r="N10691" s="24"/>
      <c r="O10691" s="24"/>
      <c r="P10691" s="24"/>
      <c r="Q10691" s="24"/>
      <c r="R10691" s="24"/>
      <c r="S10691" s="24"/>
      <c r="T10691" s="24"/>
      <c r="U10691" s="24"/>
      <c r="V10691" s="24"/>
      <c r="W10691" s="24"/>
      <c r="X10691" s="24"/>
      <c r="Y10691" s="24"/>
      <c r="Z10691" s="24"/>
      <c r="AA10691" s="24"/>
    </row>
    <row r="10692">
      <c r="A10692" s="24"/>
      <c r="B10692" s="25"/>
      <c r="C10692" s="24"/>
      <c r="D10692" s="26"/>
      <c r="E10692" s="24"/>
      <c r="F10692" s="24"/>
      <c r="G10692" s="24"/>
      <c r="H10692" s="24"/>
      <c r="I10692" s="24"/>
      <c r="J10692" s="24"/>
      <c r="K10692" s="24"/>
      <c r="L10692" s="24"/>
      <c r="M10692" s="24"/>
      <c r="N10692" s="24"/>
      <c r="O10692" s="24"/>
      <c r="P10692" s="24"/>
      <c r="Q10692" s="24"/>
      <c r="R10692" s="24"/>
      <c r="S10692" s="24"/>
      <c r="T10692" s="24"/>
      <c r="U10692" s="24"/>
      <c r="V10692" s="24"/>
      <c r="W10692" s="24"/>
      <c r="X10692" s="24"/>
      <c r="Y10692" s="24"/>
      <c r="Z10692" s="24"/>
      <c r="AA10692" s="24"/>
    </row>
    <row r="10693">
      <c r="A10693" s="24"/>
      <c r="B10693" s="25"/>
      <c r="C10693" s="24"/>
      <c r="D10693" s="26"/>
      <c r="E10693" s="24"/>
      <c r="F10693" s="24"/>
      <c r="G10693" s="24"/>
      <c r="H10693" s="24"/>
      <c r="I10693" s="24"/>
      <c r="J10693" s="24"/>
      <c r="K10693" s="24"/>
      <c r="L10693" s="24"/>
      <c r="M10693" s="24"/>
      <c r="N10693" s="24"/>
      <c r="O10693" s="24"/>
      <c r="P10693" s="24"/>
      <c r="Q10693" s="24"/>
      <c r="R10693" s="24"/>
      <c r="S10693" s="24"/>
      <c r="T10693" s="24"/>
      <c r="U10693" s="24"/>
      <c r="V10693" s="24"/>
      <c r="W10693" s="24"/>
      <c r="X10693" s="24"/>
      <c r="Y10693" s="24"/>
      <c r="Z10693" s="24"/>
      <c r="AA10693" s="24"/>
    </row>
    <row r="10694">
      <c r="A10694" s="24"/>
      <c r="B10694" s="25"/>
      <c r="C10694" s="24"/>
      <c r="D10694" s="26"/>
      <c r="E10694" s="24"/>
      <c r="F10694" s="24"/>
      <c r="G10694" s="24"/>
      <c r="H10694" s="24"/>
      <c r="I10694" s="24"/>
      <c r="J10694" s="24"/>
      <c r="K10694" s="24"/>
      <c r="L10694" s="24"/>
      <c r="M10694" s="24"/>
      <c r="N10694" s="24"/>
      <c r="O10694" s="24"/>
      <c r="P10694" s="24"/>
      <c r="Q10694" s="24"/>
      <c r="R10694" s="24"/>
      <c r="S10694" s="24"/>
      <c r="T10694" s="24"/>
      <c r="U10694" s="24"/>
      <c r="V10694" s="24"/>
      <c r="W10694" s="24"/>
      <c r="X10694" s="24"/>
      <c r="Y10694" s="24"/>
      <c r="Z10694" s="24"/>
      <c r="AA10694" s="24"/>
    </row>
    <row r="10695">
      <c r="A10695" s="24"/>
      <c r="B10695" s="25"/>
      <c r="C10695" s="24"/>
      <c r="D10695" s="26"/>
      <c r="E10695" s="24"/>
      <c r="F10695" s="24"/>
      <c r="G10695" s="24"/>
      <c r="H10695" s="24"/>
      <c r="I10695" s="24"/>
      <c r="J10695" s="24"/>
      <c r="K10695" s="24"/>
      <c r="L10695" s="24"/>
      <c r="M10695" s="24"/>
      <c r="N10695" s="24"/>
      <c r="O10695" s="24"/>
      <c r="P10695" s="24"/>
      <c r="Q10695" s="24"/>
      <c r="R10695" s="24"/>
      <c r="S10695" s="24"/>
      <c r="T10695" s="24"/>
      <c r="U10695" s="24"/>
      <c r="V10695" s="24"/>
      <c r="W10695" s="24"/>
      <c r="X10695" s="24"/>
      <c r="Y10695" s="24"/>
      <c r="Z10695" s="24"/>
      <c r="AA10695" s="24"/>
    </row>
    <row r="10696">
      <c r="A10696" s="24"/>
      <c r="B10696" s="25"/>
      <c r="C10696" s="24"/>
      <c r="D10696" s="26"/>
      <c r="E10696" s="24"/>
      <c r="F10696" s="24"/>
      <c r="G10696" s="24"/>
      <c r="H10696" s="24"/>
      <c r="I10696" s="24"/>
      <c r="J10696" s="24"/>
      <c r="K10696" s="24"/>
      <c r="L10696" s="24"/>
      <c r="M10696" s="24"/>
      <c r="N10696" s="24"/>
      <c r="O10696" s="24"/>
      <c r="P10696" s="24"/>
      <c r="Q10696" s="24"/>
      <c r="R10696" s="24"/>
      <c r="S10696" s="24"/>
      <c r="T10696" s="24"/>
      <c r="U10696" s="24"/>
      <c r="V10696" s="24"/>
      <c r="W10696" s="24"/>
      <c r="X10696" s="24"/>
      <c r="Y10696" s="24"/>
      <c r="Z10696" s="24"/>
      <c r="AA10696" s="24"/>
    </row>
    <row r="10697">
      <c r="A10697" s="24"/>
      <c r="B10697" s="25"/>
      <c r="C10697" s="24"/>
      <c r="D10697" s="26"/>
      <c r="E10697" s="24"/>
      <c r="F10697" s="24"/>
      <c r="G10697" s="24"/>
      <c r="H10697" s="24"/>
      <c r="I10697" s="24"/>
      <c r="J10697" s="24"/>
      <c r="K10697" s="24"/>
      <c r="L10697" s="24"/>
      <c r="M10697" s="24"/>
      <c r="N10697" s="24"/>
      <c r="O10697" s="24"/>
      <c r="P10697" s="24"/>
      <c r="Q10697" s="24"/>
      <c r="R10697" s="24"/>
      <c r="S10697" s="24"/>
      <c r="T10697" s="24"/>
      <c r="U10697" s="24"/>
      <c r="V10697" s="24"/>
      <c r="W10697" s="24"/>
      <c r="X10697" s="24"/>
      <c r="Y10697" s="24"/>
      <c r="Z10697" s="24"/>
      <c r="AA10697" s="24"/>
    </row>
    <row r="10698">
      <c r="A10698" s="24"/>
      <c r="B10698" s="25"/>
      <c r="C10698" s="24"/>
      <c r="D10698" s="26"/>
      <c r="E10698" s="24"/>
      <c r="F10698" s="24"/>
      <c r="G10698" s="24"/>
      <c r="H10698" s="24"/>
      <c r="I10698" s="24"/>
      <c r="J10698" s="24"/>
      <c r="K10698" s="24"/>
      <c r="L10698" s="24"/>
      <c r="M10698" s="24"/>
      <c r="N10698" s="24"/>
      <c r="O10698" s="24"/>
      <c r="P10698" s="24"/>
      <c r="Q10698" s="24"/>
      <c r="R10698" s="24"/>
      <c r="S10698" s="24"/>
      <c r="T10698" s="24"/>
      <c r="U10698" s="24"/>
      <c r="V10698" s="24"/>
      <c r="W10698" s="24"/>
      <c r="X10698" s="24"/>
      <c r="Y10698" s="24"/>
      <c r="Z10698" s="24"/>
      <c r="AA10698" s="24"/>
    </row>
    <row r="10699">
      <c r="A10699" s="24"/>
      <c r="B10699" s="25"/>
      <c r="C10699" s="24"/>
      <c r="D10699" s="26"/>
      <c r="E10699" s="24"/>
      <c r="F10699" s="24"/>
      <c r="G10699" s="24"/>
      <c r="H10699" s="24"/>
      <c r="I10699" s="24"/>
      <c r="J10699" s="24"/>
      <c r="K10699" s="24"/>
      <c r="L10699" s="24"/>
      <c r="M10699" s="24"/>
      <c r="N10699" s="24"/>
      <c r="O10699" s="24"/>
      <c r="P10699" s="24"/>
      <c r="Q10699" s="24"/>
      <c r="R10699" s="24"/>
      <c r="S10699" s="24"/>
      <c r="T10699" s="24"/>
      <c r="U10699" s="24"/>
      <c r="V10699" s="24"/>
      <c r="W10699" s="24"/>
      <c r="X10699" s="24"/>
      <c r="Y10699" s="24"/>
      <c r="Z10699" s="24"/>
      <c r="AA10699" s="24"/>
    </row>
    <row r="10700">
      <c r="A10700" s="24"/>
      <c r="B10700" s="25"/>
      <c r="C10700" s="24"/>
      <c r="D10700" s="26"/>
      <c r="E10700" s="24"/>
      <c r="F10700" s="24"/>
      <c r="G10700" s="24"/>
      <c r="H10700" s="24"/>
      <c r="I10700" s="24"/>
      <c r="J10700" s="24"/>
      <c r="K10700" s="24"/>
      <c r="L10700" s="24"/>
      <c r="M10700" s="24"/>
      <c r="N10700" s="24"/>
      <c r="O10700" s="24"/>
      <c r="P10700" s="24"/>
      <c r="Q10700" s="24"/>
      <c r="R10700" s="24"/>
      <c r="S10700" s="24"/>
      <c r="T10700" s="24"/>
      <c r="U10700" s="24"/>
      <c r="V10700" s="24"/>
      <c r="W10700" s="24"/>
      <c r="X10700" s="24"/>
      <c r="Y10700" s="24"/>
      <c r="Z10700" s="24"/>
      <c r="AA10700" s="24"/>
    </row>
    <row r="10701">
      <c r="A10701" s="24"/>
      <c r="B10701" s="25"/>
      <c r="C10701" s="24"/>
      <c r="D10701" s="26"/>
      <c r="E10701" s="24"/>
      <c r="F10701" s="24"/>
      <c r="G10701" s="24"/>
      <c r="H10701" s="24"/>
      <c r="I10701" s="24"/>
      <c r="J10701" s="24"/>
      <c r="K10701" s="24"/>
      <c r="L10701" s="24"/>
      <c r="M10701" s="24"/>
      <c r="N10701" s="24"/>
      <c r="O10701" s="24"/>
      <c r="P10701" s="24"/>
      <c r="Q10701" s="24"/>
      <c r="R10701" s="24"/>
      <c r="S10701" s="24"/>
      <c r="T10701" s="24"/>
      <c r="U10701" s="24"/>
      <c r="V10701" s="24"/>
      <c r="W10701" s="24"/>
      <c r="X10701" s="24"/>
      <c r="Y10701" s="24"/>
      <c r="Z10701" s="24"/>
      <c r="AA10701" s="24"/>
    </row>
    <row r="10702">
      <c r="A10702" s="24"/>
      <c r="B10702" s="25"/>
      <c r="C10702" s="24"/>
      <c r="D10702" s="26"/>
      <c r="E10702" s="24"/>
      <c r="F10702" s="24"/>
      <c r="G10702" s="24"/>
      <c r="H10702" s="24"/>
      <c r="I10702" s="24"/>
      <c r="J10702" s="24"/>
      <c r="K10702" s="24"/>
      <c r="L10702" s="24"/>
      <c r="M10702" s="24"/>
      <c r="N10702" s="24"/>
      <c r="O10702" s="24"/>
      <c r="P10702" s="24"/>
      <c r="Q10702" s="24"/>
      <c r="R10702" s="24"/>
      <c r="S10702" s="24"/>
      <c r="T10702" s="24"/>
      <c r="U10702" s="24"/>
      <c r="V10702" s="24"/>
      <c r="W10702" s="24"/>
      <c r="X10702" s="24"/>
      <c r="Y10702" s="24"/>
      <c r="Z10702" s="24"/>
      <c r="AA10702" s="24"/>
    </row>
    <row r="10703">
      <c r="A10703" s="24"/>
      <c r="B10703" s="25"/>
      <c r="C10703" s="24"/>
      <c r="D10703" s="26"/>
      <c r="E10703" s="24"/>
      <c r="F10703" s="24"/>
      <c r="G10703" s="24"/>
      <c r="H10703" s="24"/>
      <c r="I10703" s="24"/>
      <c r="J10703" s="24"/>
      <c r="K10703" s="24"/>
      <c r="L10703" s="24"/>
      <c r="M10703" s="24"/>
      <c r="N10703" s="24"/>
      <c r="O10703" s="24"/>
      <c r="P10703" s="24"/>
      <c r="Q10703" s="24"/>
      <c r="R10703" s="24"/>
      <c r="S10703" s="24"/>
      <c r="T10703" s="24"/>
      <c r="U10703" s="24"/>
      <c r="V10703" s="24"/>
      <c r="W10703" s="24"/>
      <c r="X10703" s="24"/>
      <c r="Y10703" s="24"/>
      <c r="Z10703" s="24"/>
      <c r="AA10703" s="24"/>
    </row>
    <row r="10704">
      <c r="A10704" s="24"/>
      <c r="B10704" s="25"/>
      <c r="C10704" s="24"/>
      <c r="D10704" s="26"/>
      <c r="E10704" s="24"/>
      <c r="F10704" s="24"/>
      <c r="G10704" s="24"/>
      <c r="H10704" s="24"/>
      <c r="I10704" s="24"/>
      <c r="J10704" s="24"/>
      <c r="K10704" s="24"/>
      <c r="L10704" s="24"/>
      <c r="M10704" s="24"/>
      <c r="N10704" s="24"/>
      <c r="O10704" s="24"/>
      <c r="P10704" s="24"/>
      <c r="Q10704" s="24"/>
      <c r="R10704" s="24"/>
      <c r="S10704" s="24"/>
      <c r="T10704" s="24"/>
      <c r="U10704" s="24"/>
      <c r="V10704" s="24"/>
      <c r="W10704" s="24"/>
      <c r="X10704" s="24"/>
      <c r="Y10704" s="24"/>
      <c r="Z10704" s="24"/>
      <c r="AA10704" s="24"/>
    </row>
    <row r="10705">
      <c r="A10705" s="24"/>
      <c r="B10705" s="25"/>
      <c r="C10705" s="24"/>
      <c r="D10705" s="26"/>
      <c r="E10705" s="24"/>
      <c r="F10705" s="24"/>
      <c r="G10705" s="24"/>
      <c r="H10705" s="24"/>
      <c r="I10705" s="24"/>
      <c r="J10705" s="24"/>
      <c r="K10705" s="24"/>
      <c r="L10705" s="24"/>
      <c r="M10705" s="24"/>
      <c r="N10705" s="24"/>
      <c r="O10705" s="24"/>
      <c r="P10705" s="24"/>
      <c r="Q10705" s="24"/>
      <c r="R10705" s="24"/>
      <c r="S10705" s="24"/>
      <c r="T10705" s="24"/>
      <c r="U10705" s="24"/>
      <c r="V10705" s="24"/>
      <c r="W10705" s="24"/>
      <c r="X10705" s="24"/>
      <c r="Y10705" s="24"/>
      <c r="Z10705" s="24"/>
      <c r="AA10705" s="24"/>
    </row>
    <row r="10706">
      <c r="A10706" s="24"/>
      <c r="B10706" s="25"/>
      <c r="C10706" s="24"/>
      <c r="D10706" s="26"/>
      <c r="E10706" s="24"/>
      <c r="F10706" s="24"/>
      <c r="G10706" s="24"/>
      <c r="H10706" s="24"/>
      <c r="I10706" s="24"/>
      <c r="J10706" s="24"/>
      <c r="K10706" s="24"/>
      <c r="L10706" s="24"/>
      <c r="M10706" s="24"/>
      <c r="N10706" s="24"/>
      <c r="O10706" s="24"/>
      <c r="P10706" s="24"/>
      <c r="Q10706" s="24"/>
      <c r="R10706" s="24"/>
      <c r="S10706" s="24"/>
      <c r="T10706" s="24"/>
      <c r="U10706" s="24"/>
      <c r="V10706" s="24"/>
      <c r="W10706" s="24"/>
      <c r="X10706" s="24"/>
      <c r="Y10706" s="24"/>
      <c r="Z10706" s="24"/>
      <c r="AA10706" s="24"/>
    </row>
    <row r="10707">
      <c r="A10707" s="24"/>
      <c r="B10707" s="25"/>
      <c r="C10707" s="24"/>
      <c r="D10707" s="26"/>
      <c r="E10707" s="24"/>
      <c r="F10707" s="24"/>
      <c r="G10707" s="24"/>
      <c r="H10707" s="24"/>
      <c r="I10707" s="24"/>
      <c r="J10707" s="24"/>
      <c r="K10707" s="24"/>
      <c r="L10707" s="24"/>
      <c r="M10707" s="24"/>
      <c r="N10707" s="24"/>
      <c r="O10707" s="24"/>
      <c r="P10707" s="24"/>
      <c r="Q10707" s="24"/>
      <c r="R10707" s="24"/>
      <c r="S10707" s="24"/>
      <c r="T10707" s="24"/>
      <c r="U10707" s="24"/>
      <c r="V10707" s="24"/>
      <c r="W10707" s="24"/>
      <c r="X10707" s="24"/>
      <c r="Y10707" s="24"/>
      <c r="Z10707" s="24"/>
      <c r="AA10707" s="24"/>
    </row>
    <row r="10708">
      <c r="A10708" s="24"/>
      <c r="B10708" s="25"/>
      <c r="C10708" s="24"/>
      <c r="D10708" s="26"/>
      <c r="E10708" s="24"/>
      <c r="F10708" s="24"/>
      <c r="G10708" s="24"/>
      <c r="H10708" s="24"/>
      <c r="I10708" s="24"/>
      <c r="J10708" s="24"/>
      <c r="K10708" s="24"/>
      <c r="L10708" s="24"/>
      <c r="M10708" s="24"/>
      <c r="N10708" s="24"/>
      <c r="O10708" s="24"/>
      <c r="P10708" s="24"/>
      <c r="Q10708" s="24"/>
      <c r="R10708" s="24"/>
      <c r="S10708" s="24"/>
      <c r="T10708" s="24"/>
      <c r="U10708" s="24"/>
      <c r="V10708" s="24"/>
      <c r="W10708" s="24"/>
      <c r="X10708" s="24"/>
      <c r="Y10708" s="24"/>
      <c r="Z10708" s="24"/>
      <c r="AA10708" s="24"/>
    </row>
    <row r="10709">
      <c r="A10709" s="24"/>
      <c r="B10709" s="25"/>
      <c r="C10709" s="24"/>
      <c r="D10709" s="26"/>
      <c r="E10709" s="24"/>
      <c r="F10709" s="24"/>
      <c r="G10709" s="24"/>
      <c r="H10709" s="24"/>
      <c r="I10709" s="24"/>
      <c r="J10709" s="24"/>
      <c r="K10709" s="24"/>
      <c r="L10709" s="24"/>
      <c r="M10709" s="24"/>
      <c r="N10709" s="24"/>
      <c r="O10709" s="24"/>
      <c r="P10709" s="24"/>
      <c r="Q10709" s="24"/>
      <c r="R10709" s="24"/>
      <c r="S10709" s="24"/>
      <c r="T10709" s="24"/>
      <c r="U10709" s="24"/>
      <c r="V10709" s="24"/>
      <c r="W10709" s="24"/>
      <c r="X10709" s="24"/>
      <c r="Y10709" s="24"/>
      <c r="Z10709" s="24"/>
      <c r="AA10709" s="24"/>
    </row>
    <row r="10710">
      <c r="A10710" s="24"/>
      <c r="B10710" s="25"/>
      <c r="C10710" s="24"/>
      <c r="D10710" s="26"/>
      <c r="E10710" s="24"/>
      <c r="F10710" s="24"/>
      <c r="G10710" s="24"/>
      <c r="H10710" s="24"/>
      <c r="I10710" s="24"/>
      <c r="J10710" s="24"/>
      <c r="K10710" s="24"/>
      <c r="L10710" s="24"/>
      <c r="M10710" s="24"/>
      <c r="N10710" s="24"/>
      <c r="O10710" s="24"/>
      <c r="P10710" s="24"/>
      <c r="Q10710" s="24"/>
      <c r="R10710" s="24"/>
      <c r="S10710" s="24"/>
      <c r="T10710" s="24"/>
      <c r="U10710" s="24"/>
      <c r="V10710" s="24"/>
      <c r="W10710" s="24"/>
      <c r="X10710" s="24"/>
      <c r="Y10710" s="24"/>
      <c r="Z10710" s="24"/>
      <c r="AA10710" s="24"/>
    </row>
    <row r="10711">
      <c r="A10711" s="24"/>
      <c r="B10711" s="25"/>
      <c r="C10711" s="24"/>
      <c r="D10711" s="26"/>
      <c r="E10711" s="24"/>
      <c r="F10711" s="24"/>
      <c r="G10711" s="24"/>
      <c r="H10711" s="24"/>
      <c r="I10711" s="24"/>
      <c r="J10711" s="24"/>
      <c r="K10711" s="24"/>
      <c r="L10711" s="24"/>
      <c r="M10711" s="24"/>
      <c r="N10711" s="24"/>
      <c r="O10711" s="24"/>
      <c r="P10711" s="24"/>
      <c r="Q10711" s="24"/>
      <c r="R10711" s="24"/>
      <c r="S10711" s="24"/>
      <c r="T10711" s="24"/>
      <c r="U10711" s="24"/>
      <c r="V10711" s="24"/>
      <c r="W10711" s="24"/>
      <c r="X10711" s="24"/>
      <c r="Y10711" s="24"/>
      <c r="Z10711" s="24"/>
      <c r="AA10711" s="24"/>
    </row>
    <row r="10712">
      <c r="A10712" s="24"/>
      <c r="B10712" s="25"/>
      <c r="C10712" s="24"/>
      <c r="D10712" s="26"/>
      <c r="E10712" s="24"/>
      <c r="F10712" s="24"/>
      <c r="G10712" s="24"/>
      <c r="H10712" s="24"/>
      <c r="I10712" s="24"/>
      <c r="J10712" s="24"/>
      <c r="K10712" s="24"/>
      <c r="L10712" s="24"/>
      <c r="M10712" s="24"/>
      <c r="N10712" s="24"/>
      <c r="O10712" s="24"/>
      <c r="P10712" s="24"/>
      <c r="Q10712" s="24"/>
      <c r="R10712" s="24"/>
      <c r="S10712" s="24"/>
      <c r="T10712" s="24"/>
      <c r="U10712" s="24"/>
      <c r="V10712" s="24"/>
      <c r="W10712" s="24"/>
      <c r="X10712" s="24"/>
      <c r="Y10712" s="24"/>
      <c r="Z10712" s="24"/>
      <c r="AA10712" s="24"/>
    </row>
    <row r="10713">
      <c r="A10713" s="24"/>
      <c r="B10713" s="25"/>
      <c r="C10713" s="24"/>
      <c r="D10713" s="26"/>
      <c r="E10713" s="24"/>
      <c r="F10713" s="24"/>
      <c r="G10713" s="24"/>
      <c r="H10713" s="24"/>
      <c r="I10713" s="24"/>
      <c r="J10713" s="24"/>
      <c r="K10713" s="24"/>
      <c r="L10713" s="24"/>
      <c r="M10713" s="24"/>
      <c r="N10713" s="24"/>
      <c r="O10713" s="24"/>
      <c r="P10713" s="24"/>
      <c r="Q10713" s="24"/>
      <c r="R10713" s="24"/>
      <c r="S10713" s="24"/>
      <c r="T10713" s="24"/>
      <c r="U10713" s="24"/>
      <c r="V10713" s="24"/>
      <c r="W10713" s="24"/>
      <c r="X10713" s="24"/>
      <c r="Y10713" s="24"/>
      <c r="Z10713" s="24"/>
      <c r="AA10713" s="24"/>
    </row>
    <row r="10714">
      <c r="A10714" s="24"/>
      <c r="B10714" s="25"/>
      <c r="C10714" s="24"/>
      <c r="D10714" s="26"/>
      <c r="E10714" s="24"/>
      <c r="F10714" s="24"/>
      <c r="G10714" s="24"/>
      <c r="H10714" s="24"/>
      <c r="I10714" s="24"/>
      <c r="J10714" s="24"/>
      <c r="K10714" s="24"/>
      <c r="L10714" s="24"/>
      <c r="M10714" s="24"/>
      <c r="N10714" s="24"/>
      <c r="O10714" s="24"/>
      <c r="P10714" s="24"/>
      <c r="Q10714" s="24"/>
      <c r="R10714" s="24"/>
      <c r="S10714" s="24"/>
      <c r="T10714" s="24"/>
      <c r="U10714" s="24"/>
      <c r="V10714" s="24"/>
      <c r="W10714" s="24"/>
      <c r="X10714" s="24"/>
      <c r="Y10714" s="24"/>
      <c r="Z10714" s="24"/>
      <c r="AA10714" s="24"/>
    </row>
    <row r="10715">
      <c r="A10715" s="24"/>
      <c r="B10715" s="25"/>
      <c r="C10715" s="24"/>
      <c r="D10715" s="26"/>
      <c r="E10715" s="24"/>
      <c r="F10715" s="24"/>
      <c r="G10715" s="24"/>
      <c r="H10715" s="24"/>
      <c r="I10715" s="24"/>
      <c r="J10715" s="24"/>
      <c r="K10715" s="24"/>
      <c r="L10715" s="24"/>
      <c r="M10715" s="24"/>
      <c r="N10715" s="24"/>
      <c r="O10715" s="24"/>
      <c r="P10715" s="24"/>
      <c r="Q10715" s="24"/>
      <c r="R10715" s="24"/>
      <c r="S10715" s="24"/>
      <c r="T10715" s="24"/>
      <c r="U10715" s="24"/>
      <c r="V10715" s="24"/>
      <c r="W10715" s="24"/>
      <c r="X10715" s="24"/>
      <c r="Y10715" s="24"/>
      <c r="Z10715" s="24"/>
      <c r="AA10715" s="24"/>
    </row>
    <row r="10716">
      <c r="A10716" s="24"/>
      <c r="B10716" s="25"/>
      <c r="C10716" s="24"/>
      <c r="D10716" s="26"/>
      <c r="E10716" s="24"/>
      <c r="F10716" s="24"/>
      <c r="G10716" s="24"/>
      <c r="H10716" s="24"/>
      <c r="I10716" s="24"/>
      <c r="J10716" s="24"/>
      <c r="K10716" s="24"/>
      <c r="L10716" s="24"/>
      <c r="M10716" s="24"/>
      <c r="N10716" s="24"/>
      <c r="O10716" s="24"/>
      <c r="P10716" s="24"/>
      <c r="Q10716" s="24"/>
      <c r="R10716" s="24"/>
      <c r="S10716" s="24"/>
      <c r="T10716" s="24"/>
      <c r="U10716" s="24"/>
      <c r="V10716" s="24"/>
      <c r="W10716" s="24"/>
      <c r="X10716" s="24"/>
      <c r="Y10716" s="24"/>
      <c r="Z10716" s="24"/>
      <c r="AA10716" s="24"/>
    </row>
    <row r="10717">
      <c r="A10717" s="24"/>
      <c r="B10717" s="25"/>
      <c r="C10717" s="24"/>
      <c r="D10717" s="26"/>
      <c r="E10717" s="24"/>
      <c r="F10717" s="24"/>
      <c r="G10717" s="24"/>
      <c r="H10717" s="24"/>
      <c r="I10717" s="24"/>
      <c r="J10717" s="24"/>
      <c r="K10717" s="24"/>
      <c r="L10717" s="24"/>
      <c r="M10717" s="24"/>
      <c r="N10717" s="24"/>
      <c r="O10717" s="24"/>
      <c r="P10717" s="24"/>
      <c r="Q10717" s="24"/>
      <c r="R10717" s="24"/>
      <c r="S10717" s="24"/>
      <c r="T10717" s="24"/>
      <c r="U10717" s="24"/>
      <c r="V10717" s="24"/>
      <c r="W10717" s="24"/>
      <c r="X10717" s="24"/>
      <c r="Y10717" s="24"/>
      <c r="Z10717" s="24"/>
      <c r="AA10717" s="24"/>
    </row>
    <row r="10718">
      <c r="A10718" s="24"/>
      <c r="B10718" s="25"/>
      <c r="C10718" s="24"/>
      <c r="D10718" s="26"/>
      <c r="E10718" s="24"/>
      <c r="F10718" s="24"/>
      <c r="G10718" s="24"/>
      <c r="H10718" s="24"/>
      <c r="I10718" s="24"/>
      <c r="J10718" s="24"/>
      <c r="K10718" s="24"/>
      <c r="L10718" s="24"/>
      <c r="M10718" s="24"/>
      <c r="N10718" s="24"/>
      <c r="O10718" s="24"/>
      <c r="P10718" s="24"/>
      <c r="Q10718" s="24"/>
      <c r="R10718" s="24"/>
      <c r="S10718" s="24"/>
      <c r="T10718" s="24"/>
      <c r="U10718" s="24"/>
      <c r="V10718" s="24"/>
      <c r="W10718" s="24"/>
      <c r="X10718" s="24"/>
      <c r="Y10718" s="24"/>
      <c r="Z10718" s="24"/>
      <c r="AA10718" s="24"/>
    </row>
    <row r="10719">
      <c r="A10719" s="24"/>
      <c r="B10719" s="25"/>
      <c r="C10719" s="24"/>
      <c r="D10719" s="26"/>
      <c r="E10719" s="24"/>
      <c r="F10719" s="24"/>
      <c r="G10719" s="24"/>
      <c r="H10719" s="24"/>
      <c r="I10719" s="24"/>
      <c r="J10719" s="24"/>
      <c r="K10719" s="24"/>
      <c r="L10719" s="24"/>
      <c r="M10719" s="24"/>
      <c r="N10719" s="24"/>
      <c r="O10719" s="24"/>
      <c r="P10719" s="24"/>
      <c r="Q10719" s="24"/>
      <c r="R10719" s="24"/>
      <c r="S10719" s="24"/>
      <c r="T10719" s="24"/>
      <c r="U10719" s="24"/>
      <c r="V10719" s="24"/>
      <c r="W10719" s="24"/>
      <c r="X10719" s="24"/>
      <c r="Y10719" s="24"/>
      <c r="Z10719" s="24"/>
      <c r="AA10719" s="24"/>
    </row>
    <row r="10720">
      <c r="A10720" s="24"/>
      <c r="B10720" s="25"/>
      <c r="C10720" s="24"/>
      <c r="D10720" s="26"/>
      <c r="E10720" s="24"/>
      <c r="F10720" s="24"/>
      <c r="G10720" s="24"/>
      <c r="H10720" s="24"/>
      <c r="I10720" s="24"/>
      <c r="J10720" s="24"/>
      <c r="K10720" s="24"/>
      <c r="L10720" s="24"/>
      <c r="M10720" s="24"/>
      <c r="N10720" s="24"/>
      <c r="O10720" s="24"/>
      <c r="P10720" s="24"/>
      <c r="Q10720" s="24"/>
      <c r="R10720" s="24"/>
      <c r="S10720" s="24"/>
      <c r="T10720" s="24"/>
      <c r="U10720" s="24"/>
      <c r="V10720" s="24"/>
      <c r="W10720" s="24"/>
      <c r="X10720" s="24"/>
      <c r="Y10720" s="24"/>
      <c r="Z10720" s="24"/>
      <c r="AA10720" s="24"/>
    </row>
    <row r="10721">
      <c r="A10721" s="24"/>
      <c r="B10721" s="25"/>
      <c r="C10721" s="24"/>
      <c r="D10721" s="26"/>
      <c r="E10721" s="24"/>
      <c r="F10721" s="24"/>
      <c r="G10721" s="24"/>
      <c r="H10721" s="24"/>
      <c r="I10721" s="24"/>
      <c r="J10721" s="24"/>
      <c r="K10721" s="24"/>
      <c r="L10721" s="24"/>
      <c r="M10721" s="24"/>
      <c r="N10721" s="24"/>
      <c r="O10721" s="24"/>
      <c r="P10721" s="24"/>
      <c r="Q10721" s="24"/>
      <c r="R10721" s="24"/>
      <c r="S10721" s="24"/>
      <c r="T10721" s="24"/>
      <c r="U10721" s="24"/>
      <c r="V10721" s="24"/>
      <c r="W10721" s="24"/>
      <c r="X10721" s="24"/>
      <c r="Y10721" s="24"/>
      <c r="Z10721" s="24"/>
      <c r="AA10721" s="24"/>
    </row>
    <row r="10722">
      <c r="A10722" s="24"/>
      <c r="B10722" s="25"/>
      <c r="C10722" s="24"/>
      <c r="D10722" s="26"/>
      <c r="E10722" s="24"/>
      <c r="F10722" s="24"/>
      <c r="G10722" s="24"/>
      <c r="H10722" s="24"/>
      <c r="I10722" s="24"/>
      <c r="J10722" s="24"/>
      <c r="K10722" s="24"/>
      <c r="L10722" s="24"/>
      <c r="M10722" s="24"/>
      <c r="N10722" s="24"/>
      <c r="O10722" s="24"/>
      <c r="P10722" s="24"/>
      <c r="Q10722" s="24"/>
      <c r="R10722" s="24"/>
      <c r="S10722" s="24"/>
      <c r="T10722" s="24"/>
      <c r="U10722" s="24"/>
      <c r="V10722" s="24"/>
      <c r="W10722" s="24"/>
      <c r="X10722" s="24"/>
      <c r="Y10722" s="24"/>
      <c r="Z10722" s="24"/>
      <c r="AA10722" s="24"/>
    </row>
    <row r="10723">
      <c r="A10723" s="24"/>
      <c r="B10723" s="25"/>
      <c r="C10723" s="24"/>
      <c r="D10723" s="26"/>
      <c r="E10723" s="24"/>
      <c r="F10723" s="24"/>
      <c r="G10723" s="24"/>
      <c r="H10723" s="24"/>
      <c r="I10723" s="24"/>
      <c r="J10723" s="24"/>
      <c r="K10723" s="24"/>
      <c r="L10723" s="24"/>
      <c r="M10723" s="24"/>
      <c r="N10723" s="24"/>
      <c r="O10723" s="24"/>
      <c r="P10723" s="24"/>
      <c r="Q10723" s="24"/>
      <c r="R10723" s="24"/>
      <c r="S10723" s="24"/>
      <c r="T10723" s="24"/>
      <c r="U10723" s="24"/>
      <c r="V10723" s="24"/>
      <c r="W10723" s="24"/>
      <c r="X10723" s="24"/>
      <c r="Y10723" s="24"/>
      <c r="Z10723" s="24"/>
      <c r="AA10723" s="24"/>
    </row>
    <row r="10724">
      <c r="A10724" s="24"/>
      <c r="B10724" s="25"/>
      <c r="C10724" s="24"/>
      <c r="D10724" s="26"/>
      <c r="E10724" s="24"/>
      <c r="F10724" s="24"/>
      <c r="G10724" s="24"/>
      <c r="H10724" s="24"/>
      <c r="I10724" s="24"/>
      <c r="J10724" s="24"/>
      <c r="K10724" s="24"/>
      <c r="L10724" s="24"/>
      <c r="M10724" s="24"/>
      <c r="N10724" s="24"/>
      <c r="O10724" s="24"/>
      <c r="P10724" s="24"/>
      <c r="Q10724" s="24"/>
      <c r="R10724" s="24"/>
      <c r="S10724" s="24"/>
      <c r="T10724" s="24"/>
      <c r="U10724" s="24"/>
      <c r="V10724" s="24"/>
      <c r="W10724" s="24"/>
      <c r="X10724" s="24"/>
      <c r="Y10724" s="24"/>
      <c r="Z10724" s="24"/>
      <c r="AA10724" s="24"/>
    </row>
    <row r="10725">
      <c r="A10725" s="24"/>
      <c r="B10725" s="25"/>
      <c r="C10725" s="24"/>
      <c r="D10725" s="26"/>
      <c r="E10725" s="24"/>
      <c r="F10725" s="24"/>
      <c r="G10725" s="24"/>
      <c r="H10725" s="24"/>
      <c r="I10725" s="24"/>
      <c r="J10725" s="24"/>
      <c r="K10725" s="24"/>
      <c r="L10725" s="24"/>
      <c r="M10725" s="24"/>
      <c r="N10725" s="24"/>
      <c r="O10725" s="24"/>
      <c r="P10725" s="24"/>
      <c r="Q10725" s="24"/>
      <c r="R10725" s="24"/>
      <c r="S10725" s="24"/>
      <c r="T10725" s="24"/>
      <c r="U10725" s="24"/>
      <c r="V10725" s="24"/>
      <c r="W10725" s="24"/>
      <c r="X10725" s="24"/>
      <c r="Y10725" s="24"/>
      <c r="Z10725" s="24"/>
      <c r="AA10725" s="24"/>
    </row>
    <row r="10726">
      <c r="A10726" s="24"/>
      <c r="B10726" s="25"/>
      <c r="C10726" s="24"/>
      <c r="D10726" s="26"/>
      <c r="E10726" s="24"/>
      <c r="F10726" s="24"/>
      <c r="G10726" s="24"/>
      <c r="H10726" s="24"/>
      <c r="I10726" s="24"/>
      <c r="J10726" s="24"/>
      <c r="K10726" s="24"/>
      <c r="L10726" s="24"/>
      <c r="M10726" s="24"/>
      <c r="N10726" s="24"/>
      <c r="O10726" s="24"/>
      <c r="P10726" s="24"/>
      <c r="Q10726" s="24"/>
      <c r="R10726" s="24"/>
      <c r="S10726" s="24"/>
      <c r="T10726" s="24"/>
      <c r="U10726" s="24"/>
      <c r="V10726" s="24"/>
      <c r="W10726" s="24"/>
      <c r="X10726" s="24"/>
      <c r="Y10726" s="24"/>
      <c r="Z10726" s="24"/>
      <c r="AA10726" s="24"/>
    </row>
    <row r="10727">
      <c r="A10727" s="24"/>
      <c r="B10727" s="25"/>
      <c r="C10727" s="24"/>
      <c r="D10727" s="26"/>
      <c r="E10727" s="24"/>
      <c r="F10727" s="24"/>
      <c r="G10727" s="24"/>
      <c r="H10727" s="24"/>
      <c r="I10727" s="24"/>
      <c r="J10727" s="24"/>
      <c r="K10727" s="24"/>
      <c r="L10727" s="24"/>
      <c r="M10727" s="24"/>
      <c r="N10727" s="24"/>
      <c r="O10727" s="24"/>
      <c r="P10727" s="24"/>
      <c r="Q10727" s="24"/>
      <c r="R10727" s="24"/>
      <c r="S10727" s="24"/>
      <c r="T10727" s="24"/>
      <c r="U10727" s="24"/>
      <c r="V10727" s="24"/>
      <c r="W10727" s="24"/>
      <c r="X10727" s="24"/>
      <c r="Y10727" s="24"/>
      <c r="Z10727" s="24"/>
      <c r="AA10727" s="24"/>
    </row>
    <row r="10728">
      <c r="A10728" s="24"/>
      <c r="B10728" s="25"/>
      <c r="C10728" s="24"/>
      <c r="D10728" s="26"/>
      <c r="E10728" s="24"/>
      <c r="F10728" s="24"/>
      <c r="G10728" s="24"/>
      <c r="H10728" s="24"/>
      <c r="I10728" s="24"/>
      <c r="J10728" s="24"/>
      <c r="K10728" s="24"/>
      <c r="L10728" s="24"/>
      <c r="M10728" s="24"/>
      <c r="N10728" s="24"/>
      <c r="O10728" s="24"/>
      <c r="P10728" s="24"/>
      <c r="Q10728" s="24"/>
      <c r="R10728" s="24"/>
      <c r="S10728" s="24"/>
      <c r="T10728" s="24"/>
      <c r="U10728" s="24"/>
      <c r="V10728" s="24"/>
      <c r="W10728" s="24"/>
      <c r="X10728" s="24"/>
      <c r="Y10728" s="24"/>
      <c r="Z10728" s="24"/>
      <c r="AA10728" s="24"/>
    </row>
    <row r="10729">
      <c r="A10729" s="24"/>
      <c r="B10729" s="25"/>
      <c r="C10729" s="24"/>
      <c r="D10729" s="26"/>
      <c r="E10729" s="24"/>
      <c r="F10729" s="24"/>
      <c r="G10729" s="24"/>
      <c r="H10729" s="24"/>
      <c r="I10729" s="24"/>
      <c r="J10729" s="24"/>
      <c r="K10729" s="24"/>
      <c r="L10729" s="24"/>
      <c r="M10729" s="24"/>
      <c r="N10729" s="24"/>
      <c r="O10729" s="24"/>
      <c r="P10729" s="24"/>
      <c r="Q10729" s="24"/>
      <c r="R10729" s="24"/>
      <c r="S10729" s="24"/>
      <c r="T10729" s="24"/>
      <c r="U10729" s="24"/>
      <c r="V10729" s="24"/>
      <c r="W10729" s="24"/>
      <c r="X10729" s="24"/>
      <c r="Y10729" s="24"/>
      <c r="Z10729" s="24"/>
      <c r="AA10729" s="24"/>
    </row>
    <row r="10730">
      <c r="A10730" s="24"/>
      <c r="B10730" s="25"/>
      <c r="C10730" s="24"/>
      <c r="D10730" s="26"/>
      <c r="E10730" s="24"/>
      <c r="F10730" s="24"/>
      <c r="G10730" s="24"/>
      <c r="H10730" s="24"/>
      <c r="I10730" s="24"/>
      <c r="J10730" s="24"/>
      <c r="K10730" s="24"/>
      <c r="L10730" s="24"/>
      <c r="M10730" s="24"/>
      <c r="N10730" s="24"/>
      <c r="O10730" s="24"/>
      <c r="P10730" s="24"/>
      <c r="Q10730" s="24"/>
      <c r="R10730" s="24"/>
      <c r="S10730" s="24"/>
      <c r="T10730" s="24"/>
      <c r="U10730" s="24"/>
      <c r="V10730" s="24"/>
      <c r="W10730" s="24"/>
      <c r="X10730" s="24"/>
      <c r="Y10730" s="24"/>
      <c r="Z10730" s="24"/>
      <c r="AA10730" s="24"/>
    </row>
    <row r="10731">
      <c r="A10731" s="24"/>
      <c r="B10731" s="25"/>
      <c r="C10731" s="24"/>
      <c r="D10731" s="26"/>
      <c r="E10731" s="24"/>
      <c r="F10731" s="24"/>
      <c r="G10731" s="24"/>
      <c r="H10731" s="24"/>
      <c r="I10731" s="24"/>
      <c r="J10731" s="24"/>
      <c r="K10731" s="24"/>
      <c r="L10731" s="24"/>
      <c r="M10731" s="24"/>
      <c r="N10731" s="24"/>
      <c r="O10731" s="24"/>
      <c r="P10731" s="24"/>
      <c r="Q10731" s="24"/>
      <c r="R10731" s="24"/>
      <c r="S10731" s="24"/>
      <c r="T10731" s="24"/>
      <c r="U10731" s="24"/>
      <c r="V10731" s="24"/>
      <c r="W10731" s="24"/>
      <c r="X10731" s="24"/>
      <c r="Y10731" s="24"/>
      <c r="Z10731" s="24"/>
      <c r="AA10731" s="24"/>
    </row>
    <row r="10732">
      <c r="A10732" s="24"/>
      <c r="B10732" s="25"/>
      <c r="C10732" s="24"/>
      <c r="D10732" s="26"/>
      <c r="E10732" s="24"/>
      <c r="F10732" s="24"/>
      <c r="G10732" s="24"/>
      <c r="H10732" s="24"/>
      <c r="I10732" s="24"/>
      <c r="J10732" s="24"/>
      <c r="K10732" s="24"/>
      <c r="L10732" s="24"/>
      <c r="M10732" s="24"/>
      <c r="N10732" s="24"/>
      <c r="O10732" s="24"/>
      <c r="P10732" s="24"/>
      <c r="Q10732" s="24"/>
      <c r="R10732" s="24"/>
      <c r="S10732" s="24"/>
      <c r="T10732" s="24"/>
      <c r="U10732" s="24"/>
      <c r="V10732" s="24"/>
      <c r="W10732" s="24"/>
      <c r="X10732" s="24"/>
      <c r="Y10732" s="24"/>
      <c r="Z10732" s="24"/>
      <c r="AA10732" s="24"/>
    </row>
    <row r="10733">
      <c r="A10733" s="24"/>
      <c r="B10733" s="25"/>
      <c r="C10733" s="24"/>
      <c r="D10733" s="26"/>
      <c r="E10733" s="24"/>
      <c r="F10733" s="24"/>
      <c r="G10733" s="24"/>
      <c r="H10733" s="24"/>
      <c r="I10733" s="24"/>
      <c r="J10733" s="24"/>
      <c r="K10733" s="24"/>
      <c r="L10733" s="24"/>
      <c r="M10733" s="24"/>
      <c r="N10733" s="24"/>
      <c r="O10733" s="24"/>
      <c r="P10733" s="24"/>
      <c r="Q10733" s="24"/>
      <c r="R10733" s="24"/>
      <c r="S10733" s="24"/>
      <c r="T10733" s="24"/>
      <c r="U10733" s="24"/>
      <c r="V10733" s="24"/>
      <c r="W10733" s="24"/>
      <c r="X10733" s="24"/>
      <c r="Y10733" s="24"/>
      <c r="Z10733" s="24"/>
      <c r="AA10733" s="24"/>
    </row>
    <row r="10734">
      <c r="A10734" s="24"/>
      <c r="B10734" s="25"/>
      <c r="C10734" s="24"/>
      <c r="D10734" s="26"/>
      <c r="E10734" s="24"/>
      <c r="F10734" s="24"/>
      <c r="G10734" s="24"/>
      <c r="H10734" s="24"/>
      <c r="I10734" s="24"/>
      <c r="J10734" s="24"/>
      <c r="K10734" s="24"/>
      <c r="L10734" s="24"/>
      <c r="M10734" s="24"/>
      <c r="N10734" s="24"/>
      <c r="O10734" s="24"/>
      <c r="P10734" s="24"/>
      <c r="Q10734" s="24"/>
      <c r="R10734" s="24"/>
      <c r="S10734" s="24"/>
      <c r="T10734" s="24"/>
      <c r="U10734" s="24"/>
      <c r="V10734" s="24"/>
      <c r="W10734" s="24"/>
      <c r="X10734" s="24"/>
      <c r="Y10734" s="24"/>
      <c r="Z10734" s="24"/>
      <c r="AA10734" s="24"/>
    </row>
    <row r="10735">
      <c r="A10735" s="24"/>
      <c r="B10735" s="25"/>
      <c r="C10735" s="24"/>
      <c r="D10735" s="26"/>
      <c r="E10735" s="24"/>
      <c r="F10735" s="24"/>
      <c r="G10735" s="24"/>
      <c r="H10735" s="24"/>
      <c r="I10735" s="24"/>
      <c r="J10735" s="24"/>
      <c r="K10735" s="24"/>
      <c r="L10735" s="24"/>
      <c r="M10735" s="24"/>
      <c r="N10735" s="24"/>
      <c r="O10735" s="24"/>
      <c r="P10735" s="24"/>
      <c r="Q10735" s="24"/>
      <c r="R10735" s="24"/>
      <c r="S10735" s="24"/>
      <c r="T10735" s="24"/>
      <c r="U10735" s="24"/>
      <c r="V10735" s="24"/>
      <c r="W10735" s="24"/>
      <c r="X10735" s="24"/>
      <c r="Y10735" s="24"/>
      <c r="Z10735" s="24"/>
      <c r="AA10735" s="24"/>
    </row>
    <row r="10736">
      <c r="A10736" s="24"/>
      <c r="B10736" s="25"/>
      <c r="C10736" s="24"/>
      <c r="D10736" s="26"/>
      <c r="E10736" s="24"/>
      <c r="F10736" s="24"/>
      <c r="G10736" s="24"/>
      <c r="H10736" s="24"/>
      <c r="I10736" s="24"/>
      <c r="J10736" s="24"/>
      <c r="K10736" s="24"/>
      <c r="L10736" s="24"/>
      <c r="M10736" s="24"/>
      <c r="N10736" s="24"/>
      <c r="O10736" s="24"/>
      <c r="P10736" s="24"/>
      <c r="Q10736" s="24"/>
      <c r="R10736" s="24"/>
      <c r="S10736" s="24"/>
      <c r="T10736" s="24"/>
      <c r="U10736" s="24"/>
      <c r="V10736" s="24"/>
      <c r="W10736" s="24"/>
      <c r="X10736" s="24"/>
      <c r="Y10736" s="24"/>
      <c r="Z10736" s="24"/>
      <c r="AA10736" s="24"/>
    </row>
    <row r="10737">
      <c r="A10737" s="24"/>
      <c r="B10737" s="25"/>
      <c r="C10737" s="24"/>
      <c r="D10737" s="26"/>
      <c r="E10737" s="24"/>
      <c r="F10737" s="24"/>
      <c r="G10737" s="24"/>
      <c r="H10737" s="24"/>
      <c r="I10737" s="24"/>
      <c r="J10737" s="24"/>
      <c r="K10737" s="24"/>
      <c r="L10737" s="24"/>
      <c r="M10737" s="24"/>
      <c r="N10737" s="24"/>
      <c r="O10737" s="24"/>
      <c r="P10737" s="24"/>
      <c r="Q10737" s="24"/>
      <c r="R10737" s="24"/>
      <c r="S10737" s="24"/>
      <c r="T10737" s="24"/>
      <c r="U10737" s="24"/>
      <c r="V10737" s="24"/>
      <c r="W10737" s="24"/>
      <c r="X10737" s="24"/>
      <c r="Y10737" s="24"/>
      <c r="Z10737" s="24"/>
      <c r="AA10737" s="24"/>
    </row>
    <row r="10738">
      <c r="A10738" s="24"/>
      <c r="B10738" s="25"/>
      <c r="C10738" s="24"/>
      <c r="D10738" s="26"/>
      <c r="E10738" s="24"/>
      <c r="F10738" s="24"/>
      <c r="G10738" s="24"/>
      <c r="H10738" s="24"/>
      <c r="I10738" s="24"/>
      <c r="J10738" s="24"/>
      <c r="K10738" s="24"/>
      <c r="L10738" s="24"/>
      <c r="M10738" s="24"/>
      <c r="N10738" s="24"/>
      <c r="O10738" s="24"/>
      <c r="P10738" s="24"/>
      <c r="Q10738" s="24"/>
      <c r="R10738" s="24"/>
      <c r="S10738" s="24"/>
      <c r="T10738" s="24"/>
      <c r="U10738" s="24"/>
      <c r="V10738" s="24"/>
      <c r="W10738" s="24"/>
      <c r="X10738" s="24"/>
      <c r="Y10738" s="24"/>
      <c r="Z10738" s="24"/>
      <c r="AA10738" s="24"/>
    </row>
    <row r="10739">
      <c r="A10739" s="24"/>
      <c r="B10739" s="25"/>
      <c r="C10739" s="24"/>
      <c r="D10739" s="26"/>
      <c r="E10739" s="24"/>
      <c r="F10739" s="24"/>
      <c r="G10739" s="24"/>
      <c r="H10739" s="24"/>
      <c r="I10739" s="24"/>
      <c r="J10739" s="24"/>
      <c r="K10739" s="24"/>
      <c r="L10739" s="24"/>
      <c r="M10739" s="24"/>
      <c r="N10739" s="24"/>
      <c r="O10739" s="24"/>
      <c r="P10739" s="24"/>
      <c r="Q10739" s="24"/>
      <c r="R10739" s="24"/>
      <c r="S10739" s="24"/>
      <c r="T10739" s="24"/>
      <c r="U10739" s="24"/>
      <c r="V10739" s="24"/>
      <c r="W10739" s="24"/>
      <c r="X10739" s="24"/>
      <c r="Y10739" s="24"/>
      <c r="Z10739" s="24"/>
      <c r="AA10739" s="24"/>
    </row>
    <row r="10740">
      <c r="A10740" s="24"/>
      <c r="B10740" s="25"/>
      <c r="C10740" s="24"/>
      <c r="D10740" s="26"/>
      <c r="E10740" s="24"/>
      <c r="F10740" s="24"/>
      <c r="G10740" s="24"/>
      <c r="H10740" s="24"/>
      <c r="I10740" s="24"/>
      <c r="J10740" s="24"/>
      <c r="K10740" s="24"/>
      <c r="L10740" s="24"/>
      <c r="M10740" s="24"/>
      <c r="N10740" s="24"/>
      <c r="O10740" s="24"/>
      <c r="P10740" s="24"/>
      <c r="Q10740" s="24"/>
      <c r="R10740" s="24"/>
      <c r="S10740" s="24"/>
      <c r="T10740" s="24"/>
      <c r="U10740" s="24"/>
      <c r="V10740" s="24"/>
      <c r="W10740" s="24"/>
      <c r="X10740" s="24"/>
      <c r="Y10740" s="24"/>
      <c r="Z10740" s="24"/>
      <c r="AA10740" s="24"/>
    </row>
    <row r="10741">
      <c r="A10741" s="24"/>
      <c r="B10741" s="25"/>
      <c r="C10741" s="24"/>
      <c r="D10741" s="26"/>
      <c r="E10741" s="24"/>
      <c r="F10741" s="24"/>
      <c r="G10741" s="24"/>
      <c r="H10741" s="24"/>
      <c r="I10741" s="24"/>
      <c r="J10741" s="24"/>
      <c r="K10741" s="24"/>
      <c r="L10741" s="24"/>
      <c r="M10741" s="24"/>
      <c r="N10741" s="24"/>
      <c r="O10741" s="24"/>
      <c r="P10741" s="24"/>
      <c r="Q10741" s="24"/>
      <c r="R10741" s="24"/>
      <c r="S10741" s="24"/>
      <c r="T10741" s="24"/>
      <c r="U10741" s="24"/>
      <c r="V10741" s="24"/>
      <c r="W10741" s="24"/>
      <c r="X10741" s="24"/>
      <c r="Y10741" s="24"/>
      <c r="Z10741" s="24"/>
      <c r="AA10741" s="24"/>
    </row>
    <row r="10742">
      <c r="A10742" s="24"/>
      <c r="B10742" s="25"/>
      <c r="C10742" s="24"/>
      <c r="D10742" s="26"/>
      <c r="E10742" s="24"/>
      <c r="F10742" s="24"/>
      <c r="G10742" s="24"/>
      <c r="H10742" s="24"/>
      <c r="I10742" s="24"/>
      <c r="J10742" s="24"/>
      <c r="K10742" s="24"/>
      <c r="L10742" s="24"/>
      <c r="M10742" s="24"/>
      <c r="N10742" s="24"/>
      <c r="O10742" s="24"/>
      <c r="P10742" s="24"/>
      <c r="Q10742" s="24"/>
      <c r="R10742" s="24"/>
      <c r="S10742" s="24"/>
      <c r="T10742" s="24"/>
      <c r="U10742" s="24"/>
      <c r="V10742" s="24"/>
      <c r="W10742" s="24"/>
      <c r="X10742" s="24"/>
      <c r="Y10742" s="24"/>
      <c r="Z10742" s="24"/>
      <c r="AA10742" s="24"/>
    </row>
    <row r="10743">
      <c r="A10743" s="24"/>
      <c r="B10743" s="25"/>
      <c r="C10743" s="24"/>
      <c r="D10743" s="26"/>
      <c r="E10743" s="24"/>
      <c r="F10743" s="24"/>
      <c r="G10743" s="24"/>
      <c r="H10743" s="24"/>
      <c r="I10743" s="24"/>
      <c r="J10743" s="24"/>
      <c r="K10743" s="24"/>
      <c r="L10743" s="24"/>
      <c r="M10743" s="24"/>
      <c r="N10743" s="24"/>
      <c r="O10743" s="24"/>
      <c r="P10743" s="24"/>
      <c r="Q10743" s="24"/>
      <c r="R10743" s="24"/>
      <c r="S10743" s="24"/>
      <c r="T10743" s="24"/>
      <c r="U10743" s="24"/>
      <c r="V10743" s="24"/>
      <c r="W10743" s="24"/>
      <c r="X10743" s="24"/>
      <c r="Y10743" s="24"/>
      <c r="Z10743" s="24"/>
      <c r="AA10743" s="24"/>
    </row>
    <row r="10744">
      <c r="A10744" s="24"/>
      <c r="B10744" s="25"/>
      <c r="C10744" s="24"/>
      <c r="D10744" s="26"/>
      <c r="E10744" s="24"/>
      <c r="F10744" s="24"/>
      <c r="G10744" s="24"/>
      <c r="H10744" s="24"/>
      <c r="I10744" s="24"/>
      <c r="J10744" s="24"/>
      <c r="K10744" s="24"/>
      <c r="L10744" s="24"/>
      <c r="M10744" s="24"/>
      <c r="N10744" s="24"/>
      <c r="O10744" s="24"/>
      <c r="P10744" s="24"/>
      <c r="Q10744" s="24"/>
      <c r="R10744" s="24"/>
      <c r="S10744" s="24"/>
      <c r="T10744" s="24"/>
      <c r="U10744" s="24"/>
      <c r="V10744" s="24"/>
      <c r="W10744" s="24"/>
      <c r="X10744" s="24"/>
      <c r="Y10744" s="24"/>
      <c r="Z10744" s="24"/>
      <c r="AA10744" s="24"/>
    </row>
    <row r="10745">
      <c r="A10745" s="24"/>
      <c r="B10745" s="25"/>
      <c r="C10745" s="24"/>
      <c r="D10745" s="26"/>
      <c r="E10745" s="24"/>
      <c r="F10745" s="24"/>
      <c r="G10745" s="24"/>
      <c r="H10745" s="24"/>
      <c r="I10745" s="24"/>
      <c r="J10745" s="24"/>
      <c r="K10745" s="24"/>
      <c r="L10745" s="24"/>
      <c r="M10745" s="24"/>
      <c r="N10745" s="24"/>
      <c r="O10745" s="24"/>
      <c r="P10745" s="24"/>
      <c r="Q10745" s="24"/>
      <c r="R10745" s="24"/>
      <c r="S10745" s="24"/>
      <c r="T10745" s="24"/>
      <c r="U10745" s="24"/>
      <c r="V10745" s="24"/>
      <c r="W10745" s="24"/>
      <c r="X10745" s="24"/>
      <c r="Y10745" s="24"/>
      <c r="Z10745" s="24"/>
      <c r="AA10745" s="24"/>
    </row>
    <row r="10746">
      <c r="A10746" s="24"/>
      <c r="B10746" s="25"/>
      <c r="C10746" s="24"/>
      <c r="D10746" s="26"/>
      <c r="E10746" s="24"/>
      <c r="F10746" s="24"/>
      <c r="G10746" s="24"/>
      <c r="H10746" s="24"/>
      <c r="I10746" s="24"/>
      <c r="J10746" s="24"/>
      <c r="K10746" s="24"/>
      <c r="L10746" s="24"/>
      <c r="M10746" s="24"/>
      <c r="N10746" s="24"/>
      <c r="O10746" s="24"/>
      <c r="P10746" s="24"/>
      <c r="Q10746" s="24"/>
      <c r="R10746" s="24"/>
      <c r="S10746" s="24"/>
      <c r="T10746" s="24"/>
      <c r="U10746" s="24"/>
      <c r="V10746" s="24"/>
      <c r="W10746" s="24"/>
      <c r="X10746" s="24"/>
      <c r="Y10746" s="24"/>
      <c r="Z10746" s="24"/>
      <c r="AA10746" s="24"/>
    </row>
    <row r="10747">
      <c r="A10747" s="24"/>
      <c r="B10747" s="25"/>
      <c r="C10747" s="24"/>
      <c r="D10747" s="26"/>
      <c r="E10747" s="24"/>
      <c r="F10747" s="24"/>
      <c r="G10747" s="24"/>
      <c r="H10747" s="24"/>
      <c r="I10747" s="24"/>
      <c r="J10747" s="24"/>
      <c r="K10747" s="24"/>
      <c r="L10747" s="24"/>
      <c r="M10747" s="24"/>
      <c r="N10747" s="24"/>
      <c r="O10747" s="24"/>
      <c r="P10747" s="24"/>
      <c r="Q10747" s="24"/>
      <c r="R10747" s="24"/>
      <c r="S10747" s="24"/>
      <c r="T10747" s="24"/>
      <c r="U10747" s="24"/>
      <c r="V10747" s="24"/>
      <c r="W10747" s="24"/>
      <c r="X10747" s="24"/>
      <c r="Y10747" s="24"/>
      <c r="Z10747" s="24"/>
      <c r="AA10747" s="24"/>
    </row>
    <row r="10748">
      <c r="A10748" s="24"/>
      <c r="B10748" s="25"/>
      <c r="C10748" s="24"/>
      <c r="D10748" s="26"/>
      <c r="E10748" s="24"/>
      <c r="F10748" s="24"/>
      <c r="G10748" s="24"/>
      <c r="H10748" s="24"/>
      <c r="I10748" s="24"/>
      <c r="J10748" s="24"/>
      <c r="K10748" s="24"/>
      <c r="L10748" s="24"/>
      <c r="M10748" s="24"/>
      <c r="N10748" s="24"/>
      <c r="O10748" s="24"/>
      <c r="P10748" s="24"/>
      <c r="Q10748" s="24"/>
      <c r="R10748" s="24"/>
      <c r="S10748" s="24"/>
      <c r="T10748" s="24"/>
      <c r="U10748" s="24"/>
      <c r="V10748" s="24"/>
      <c r="W10748" s="24"/>
      <c r="X10748" s="24"/>
      <c r="Y10748" s="24"/>
      <c r="Z10748" s="24"/>
      <c r="AA10748" s="24"/>
    </row>
    <row r="10749">
      <c r="A10749" s="24"/>
      <c r="B10749" s="25"/>
      <c r="C10749" s="24"/>
      <c r="D10749" s="26"/>
      <c r="E10749" s="24"/>
      <c r="F10749" s="24"/>
      <c r="G10749" s="24"/>
      <c r="H10749" s="24"/>
      <c r="I10749" s="24"/>
      <c r="J10749" s="24"/>
      <c r="K10749" s="24"/>
      <c r="L10749" s="24"/>
      <c r="M10749" s="24"/>
      <c r="N10749" s="24"/>
      <c r="O10749" s="24"/>
      <c r="P10749" s="24"/>
      <c r="Q10749" s="24"/>
      <c r="R10749" s="24"/>
      <c r="S10749" s="24"/>
      <c r="T10749" s="24"/>
      <c r="U10749" s="24"/>
      <c r="V10749" s="24"/>
      <c r="W10749" s="24"/>
      <c r="X10749" s="24"/>
      <c r="Y10749" s="24"/>
      <c r="Z10749" s="24"/>
      <c r="AA10749" s="24"/>
    </row>
    <row r="10750">
      <c r="A10750" s="24"/>
      <c r="B10750" s="25"/>
      <c r="C10750" s="24"/>
      <c r="D10750" s="26"/>
      <c r="E10750" s="24"/>
      <c r="F10750" s="24"/>
      <c r="G10750" s="24"/>
      <c r="H10750" s="24"/>
      <c r="I10750" s="24"/>
      <c r="J10750" s="24"/>
      <c r="K10750" s="24"/>
      <c r="L10750" s="24"/>
      <c r="M10750" s="24"/>
      <c r="N10750" s="24"/>
      <c r="O10750" s="24"/>
      <c r="P10750" s="24"/>
      <c r="Q10750" s="24"/>
      <c r="R10750" s="24"/>
      <c r="S10750" s="24"/>
      <c r="T10750" s="24"/>
      <c r="U10750" s="24"/>
      <c r="V10750" s="24"/>
      <c r="W10750" s="24"/>
      <c r="X10750" s="24"/>
      <c r="Y10750" s="24"/>
      <c r="Z10750" s="24"/>
      <c r="AA10750" s="24"/>
    </row>
    <row r="10751">
      <c r="A10751" s="24"/>
      <c r="B10751" s="25"/>
      <c r="C10751" s="24"/>
      <c r="D10751" s="26"/>
      <c r="E10751" s="24"/>
      <c r="F10751" s="24"/>
      <c r="G10751" s="24"/>
      <c r="H10751" s="24"/>
      <c r="I10751" s="24"/>
      <c r="J10751" s="24"/>
      <c r="K10751" s="24"/>
      <c r="L10751" s="24"/>
      <c r="M10751" s="24"/>
      <c r="N10751" s="24"/>
      <c r="O10751" s="24"/>
      <c r="P10751" s="24"/>
      <c r="Q10751" s="24"/>
      <c r="R10751" s="24"/>
      <c r="S10751" s="24"/>
      <c r="T10751" s="24"/>
      <c r="U10751" s="24"/>
      <c r="V10751" s="24"/>
      <c r="W10751" s="24"/>
      <c r="X10751" s="24"/>
      <c r="Y10751" s="24"/>
      <c r="Z10751" s="24"/>
      <c r="AA10751" s="24"/>
    </row>
    <row r="10752">
      <c r="A10752" s="24"/>
      <c r="B10752" s="25"/>
      <c r="C10752" s="24"/>
      <c r="D10752" s="26"/>
      <c r="E10752" s="24"/>
      <c r="F10752" s="24"/>
      <c r="G10752" s="24"/>
      <c r="H10752" s="24"/>
      <c r="I10752" s="24"/>
      <c r="J10752" s="24"/>
      <c r="K10752" s="24"/>
      <c r="L10752" s="24"/>
      <c r="M10752" s="24"/>
      <c r="N10752" s="24"/>
      <c r="O10752" s="24"/>
      <c r="P10752" s="24"/>
      <c r="Q10752" s="24"/>
      <c r="R10752" s="24"/>
      <c r="S10752" s="24"/>
      <c r="T10752" s="24"/>
      <c r="U10752" s="24"/>
      <c r="V10752" s="24"/>
      <c r="W10752" s="24"/>
      <c r="X10752" s="24"/>
      <c r="Y10752" s="24"/>
      <c r="Z10752" s="24"/>
      <c r="AA10752" s="24"/>
    </row>
    <row r="10753">
      <c r="A10753" s="24"/>
      <c r="B10753" s="25"/>
      <c r="C10753" s="24"/>
      <c r="D10753" s="26"/>
      <c r="E10753" s="24"/>
      <c r="F10753" s="24"/>
      <c r="G10753" s="24"/>
      <c r="H10753" s="24"/>
      <c r="I10753" s="24"/>
      <c r="J10753" s="24"/>
      <c r="K10753" s="24"/>
      <c r="L10753" s="24"/>
      <c r="M10753" s="24"/>
      <c r="N10753" s="24"/>
      <c r="O10753" s="24"/>
      <c r="P10753" s="24"/>
      <c r="Q10753" s="24"/>
      <c r="R10753" s="24"/>
      <c r="S10753" s="24"/>
      <c r="T10753" s="24"/>
      <c r="U10753" s="24"/>
      <c r="V10753" s="24"/>
      <c r="W10753" s="24"/>
      <c r="X10753" s="24"/>
      <c r="Y10753" s="24"/>
      <c r="Z10753" s="24"/>
      <c r="AA10753" s="24"/>
    </row>
    <row r="10754">
      <c r="A10754" s="24"/>
      <c r="B10754" s="25"/>
      <c r="C10754" s="24"/>
      <c r="D10754" s="26"/>
      <c r="E10754" s="24"/>
      <c r="F10754" s="24"/>
      <c r="G10754" s="24"/>
      <c r="H10754" s="24"/>
      <c r="I10754" s="24"/>
      <c r="J10754" s="24"/>
      <c r="K10754" s="24"/>
      <c r="L10754" s="24"/>
      <c r="M10754" s="24"/>
      <c r="N10754" s="24"/>
      <c r="O10754" s="24"/>
      <c r="P10754" s="24"/>
      <c r="Q10754" s="24"/>
      <c r="R10754" s="24"/>
      <c r="S10754" s="24"/>
      <c r="T10754" s="24"/>
      <c r="U10754" s="24"/>
      <c r="V10754" s="24"/>
      <c r="W10754" s="24"/>
      <c r="X10754" s="24"/>
      <c r="Y10754" s="24"/>
      <c r="Z10754" s="24"/>
      <c r="AA10754" s="24"/>
    </row>
    <row r="10755">
      <c r="A10755" s="24"/>
      <c r="B10755" s="25"/>
      <c r="C10755" s="24"/>
      <c r="D10755" s="26"/>
      <c r="E10755" s="24"/>
      <c r="F10755" s="24"/>
      <c r="G10755" s="24"/>
      <c r="H10755" s="24"/>
      <c r="I10755" s="24"/>
      <c r="J10755" s="24"/>
      <c r="K10755" s="24"/>
      <c r="L10755" s="24"/>
      <c r="M10755" s="24"/>
      <c r="N10755" s="24"/>
      <c r="O10755" s="24"/>
      <c r="P10755" s="24"/>
      <c r="Q10755" s="24"/>
      <c r="R10755" s="24"/>
      <c r="S10755" s="24"/>
      <c r="T10755" s="24"/>
      <c r="U10755" s="24"/>
      <c r="V10755" s="24"/>
      <c r="W10755" s="24"/>
      <c r="X10755" s="24"/>
      <c r="Y10755" s="24"/>
      <c r="Z10755" s="24"/>
      <c r="AA10755" s="24"/>
    </row>
    <row r="10756">
      <c r="A10756" s="24"/>
      <c r="B10756" s="25"/>
      <c r="C10756" s="24"/>
      <c r="D10756" s="26"/>
      <c r="E10756" s="24"/>
      <c r="F10756" s="24"/>
      <c r="G10756" s="24"/>
      <c r="H10756" s="24"/>
      <c r="I10756" s="24"/>
      <c r="J10756" s="24"/>
      <c r="K10756" s="24"/>
      <c r="L10756" s="24"/>
      <c r="M10756" s="24"/>
      <c r="N10756" s="24"/>
      <c r="O10756" s="24"/>
      <c r="P10756" s="24"/>
      <c r="Q10756" s="24"/>
      <c r="R10756" s="24"/>
      <c r="S10756" s="24"/>
      <c r="T10756" s="24"/>
      <c r="U10756" s="24"/>
      <c r="V10756" s="24"/>
      <c r="W10756" s="24"/>
      <c r="X10756" s="24"/>
      <c r="Y10756" s="24"/>
      <c r="Z10756" s="24"/>
      <c r="AA10756" s="24"/>
    </row>
    <row r="10757">
      <c r="A10757" s="24"/>
      <c r="B10757" s="25"/>
      <c r="C10757" s="24"/>
      <c r="D10757" s="26"/>
      <c r="E10757" s="24"/>
      <c r="F10757" s="24"/>
      <c r="G10757" s="24"/>
      <c r="H10757" s="24"/>
      <c r="I10757" s="24"/>
      <c r="J10757" s="24"/>
      <c r="K10757" s="24"/>
      <c r="L10757" s="24"/>
      <c r="M10757" s="24"/>
      <c r="N10757" s="24"/>
      <c r="O10757" s="24"/>
      <c r="P10757" s="24"/>
      <c r="Q10757" s="24"/>
      <c r="R10757" s="24"/>
      <c r="S10757" s="24"/>
      <c r="T10757" s="24"/>
      <c r="U10757" s="24"/>
      <c r="V10757" s="24"/>
      <c r="W10757" s="24"/>
      <c r="X10757" s="24"/>
      <c r="Y10757" s="24"/>
      <c r="Z10757" s="24"/>
      <c r="AA10757" s="24"/>
    </row>
    <row r="10758">
      <c r="A10758" s="24"/>
      <c r="B10758" s="25"/>
      <c r="C10758" s="24"/>
      <c r="D10758" s="26"/>
      <c r="E10758" s="24"/>
      <c r="F10758" s="24"/>
      <c r="G10758" s="24"/>
      <c r="H10758" s="24"/>
      <c r="I10758" s="24"/>
      <c r="J10758" s="24"/>
      <c r="K10758" s="24"/>
      <c r="L10758" s="24"/>
      <c r="M10758" s="24"/>
      <c r="N10758" s="24"/>
      <c r="O10758" s="24"/>
      <c r="P10758" s="24"/>
      <c r="Q10758" s="24"/>
      <c r="R10758" s="24"/>
      <c r="S10758" s="24"/>
      <c r="T10758" s="24"/>
      <c r="U10758" s="24"/>
      <c r="V10758" s="24"/>
      <c r="W10758" s="24"/>
      <c r="X10758" s="24"/>
      <c r="Y10758" s="24"/>
      <c r="Z10758" s="24"/>
      <c r="AA10758" s="24"/>
    </row>
    <row r="10759">
      <c r="A10759" s="24"/>
      <c r="B10759" s="25"/>
      <c r="C10759" s="24"/>
      <c r="D10759" s="26"/>
      <c r="E10759" s="24"/>
      <c r="F10759" s="24"/>
      <c r="G10759" s="24"/>
      <c r="H10759" s="24"/>
      <c r="I10759" s="24"/>
      <c r="J10759" s="24"/>
      <c r="K10759" s="24"/>
      <c r="L10759" s="24"/>
      <c r="M10759" s="24"/>
      <c r="N10759" s="24"/>
      <c r="O10759" s="24"/>
      <c r="P10759" s="24"/>
      <c r="Q10759" s="24"/>
      <c r="R10759" s="24"/>
      <c r="S10759" s="24"/>
      <c r="T10759" s="24"/>
      <c r="U10759" s="24"/>
      <c r="V10759" s="24"/>
      <c r="W10759" s="24"/>
      <c r="X10759" s="24"/>
      <c r="Y10759" s="24"/>
      <c r="Z10759" s="24"/>
      <c r="AA10759" s="24"/>
    </row>
    <row r="10760">
      <c r="A10760" s="24"/>
      <c r="B10760" s="25"/>
      <c r="C10760" s="24"/>
      <c r="D10760" s="26"/>
      <c r="E10760" s="24"/>
      <c r="F10760" s="24"/>
      <c r="G10760" s="24"/>
      <c r="H10760" s="24"/>
      <c r="I10760" s="24"/>
      <c r="J10760" s="24"/>
      <c r="K10760" s="24"/>
      <c r="L10760" s="24"/>
      <c r="M10760" s="24"/>
      <c r="N10760" s="24"/>
      <c r="O10760" s="24"/>
      <c r="P10760" s="24"/>
      <c r="Q10760" s="24"/>
      <c r="R10760" s="24"/>
      <c r="S10760" s="24"/>
      <c r="T10760" s="24"/>
      <c r="U10760" s="24"/>
      <c r="V10760" s="24"/>
      <c r="W10760" s="24"/>
      <c r="X10760" s="24"/>
      <c r="Y10760" s="24"/>
      <c r="Z10760" s="24"/>
      <c r="AA10760" s="24"/>
    </row>
    <row r="10761">
      <c r="A10761" s="24"/>
      <c r="B10761" s="25"/>
      <c r="C10761" s="24"/>
      <c r="D10761" s="26"/>
      <c r="E10761" s="24"/>
      <c r="F10761" s="24"/>
      <c r="G10761" s="24"/>
      <c r="H10761" s="24"/>
      <c r="I10761" s="24"/>
      <c r="J10761" s="24"/>
      <c r="K10761" s="24"/>
      <c r="L10761" s="24"/>
      <c r="M10761" s="24"/>
      <c r="N10761" s="24"/>
      <c r="O10761" s="24"/>
      <c r="P10761" s="24"/>
      <c r="Q10761" s="24"/>
      <c r="R10761" s="24"/>
      <c r="S10761" s="24"/>
      <c r="T10761" s="24"/>
      <c r="U10761" s="24"/>
      <c r="V10761" s="24"/>
      <c r="W10761" s="24"/>
      <c r="X10761" s="24"/>
      <c r="Y10761" s="24"/>
      <c r="Z10761" s="24"/>
      <c r="AA10761" s="24"/>
    </row>
    <row r="10762">
      <c r="A10762" s="24"/>
      <c r="B10762" s="25"/>
      <c r="C10762" s="24"/>
      <c r="D10762" s="26"/>
      <c r="E10762" s="24"/>
      <c r="F10762" s="24"/>
      <c r="G10762" s="24"/>
      <c r="H10762" s="24"/>
      <c r="I10762" s="24"/>
      <c r="J10762" s="24"/>
      <c r="K10762" s="24"/>
      <c r="L10762" s="24"/>
      <c r="M10762" s="24"/>
      <c r="N10762" s="24"/>
      <c r="O10762" s="24"/>
      <c r="P10762" s="24"/>
      <c r="Q10762" s="24"/>
      <c r="R10762" s="24"/>
      <c r="S10762" s="24"/>
      <c r="T10762" s="24"/>
      <c r="U10762" s="24"/>
      <c r="V10762" s="24"/>
      <c r="W10762" s="24"/>
      <c r="X10762" s="24"/>
      <c r="Y10762" s="24"/>
      <c r="Z10762" s="24"/>
      <c r="AA10762" s="24"/>
    </row>
    <row r="10763">
      <c r="A10763" s="24"/>
      <c r="B10763" s="25"/>
      <c r="C10763" s="24"/>
      <c r="D10763" s="26"/>
      <c r="E10763" s="24"/>
      <c r="F10763" s="24"/>
      <c r="G10763" s="24"/>
      <c r="H10763" s="24"/>
      <c r="I10763" s="24"/>
      <c r="J10763" s="24"/>
      <c r="K10763" s="24"/>
      <c r="L10763" s="24"/>
      <c r="M10763" s="24"/>
      <c r="N10763" s="24"/>
      <c r="O10763" s="24"/>
      <c r="P10763" s="24"/>
      <c r="Q10763" s="24"/>
      <c r="R10763" s="24"/>
      <c r="S10763" s="24"/>
      <c r="T10763" s="24"/>
      <c r="U10763" s="24"/>
      <c r="V10763" s="24"/>
      <c r="W10763" s="24"/>
      <c r="X10763" s="24"/>
      <c r="Y10763" s="24"/>
      <c r="Z10763" s="24"/>
      <c r="AA10763" s="24"/>
    </row>
    <row r="10764">
      <c r="A10764" s="24"/>
      <c r="B10764" s="25"/>
      <c r="C10764" s="24"/>
      <c r="D10764" s="26"/>
      <c r="E10764" s="24"/>
      <c r="F10764" s="24"/>
      <c r="G10764" s="24"/>
      <c r="H10764" s="24"/>
      <c r="I10764" s="24"/>
      <c r="J10764" s="24"/>
      <c r="K10764" s="24"/>
      <c r="L10764" s="24"/>
      <c r="M10764" s="24"/>
      <c r="N10764" s="24"/>
      <c r="O10764" s="24"/>
      <c r="P10764" s="24"/>
      <c r="Q10764" s="24"/>
      <c r="R10764" s="24"/>
      <c r="S10764" s="24"/>
      <c r="T10764" s="24"/>
      <c r="U10764" s="24"/>
      <c r="V10764" s="24"/>
      <c r="W10764" s="24"/>
      <c r="X10764" s="24"/>
      <c r="Y10764" s="24"/>
      <c r="Z10764" s="24"/>
      <c r="AA10764" s="24"/>
    </row>
    <row r="10765">
      <c r="A10765" s="24"/>
      <c r="B10765" s="25"/>
      <c r="C10765" s="24"/>
      <c r="D10765" s="26"/>
      <c r="E10765" s="24"/>
      <c r="F10765" s="24"/>
      <c r="G10765" s="24"/>
      <c r="H10765" s="24"/>
      <c r="I10765" s="24"/>
      <c r="J10765" s="24"/>
      <c r="K10765" s="24"/>
      <c r="L10765" s="24"/>
      <c r="M10765" s="24"/>
      <c r="N10765" s="24"/>
      <c r="O10765" s="24"/>
      <c r="P10765" s="24"/>
      <c r="Q10765" s="24"/>
      <c r="R10765" s="24"/>
      <c r="S10765" s="24"/>
      <c r="T10765" s="24"/>
      <c r="U10765" s="24"/>
      <c r="V10765" s="24"/>
      <c r="W10765" s="24"/>
      <c r="X10765" s="24"/>
      <c r="Y10765" s="24"/>
      <c r="Z10765" s="24"/>
      <c r="AA10765" s="24"/>
    </row>
    <row r="10766">
      <c r="A10766" s="24"/>
      <c r="B10766" s="25"/>
      <c r="C10766" s="24"/>
      <c r="D10766" s="26"/>
      <c r="E10766" s="24"/>
      <c r="F10766" s="24"/>
      <c r="G10766" s="24"/>
      <c r="H10766" s="24"/>
      <c r="I10766" s="24"/>
      <c r="J10766" s="24"/>
      <c r="K10766" s="24"/>
      <c r="L10766" s="24"/>
      <c r="M10766" s="24"/>
      <c r="N10766" s="24"/>
      <c r="O10766" s="24"/>
      <c r="P10766" s="24"/>
      <c r="Q10766" s="24"/>
      <c r="R10766" s="24"/>
      <c r="S10766" s="24"/>
      <c r="T10766" s="24"/>
      <c r="U10766" s="24"/>
      <c r="V10766" s="24"/>
      <c r="W10766" s="24"/>
      <c r="X10766" s="24"/>
      <c r="Y10766" s="24"/>
      <c r="Z10766" s="24"/>
      <c r="AA10766" s="24"/>
    </row>
    <row r="10767">
      <c r="A10767" s="24"/>
      <c r="B10767" s="25"/>
      <c r="C10767" s="24"/>
      <c r="D10767" s="26"/>
      <c r="E10767" s="24"/>
      <c r="F10767" s="24"/>
      <c r="G10767" s="24"/>
      <c r="H10767" s="24"/>
      <c r="I10767" s="24"/>
      <c r="J10767" s="24"/>
      <c r="K10767" s="24"/>
      <c r="L10767" s="24"/>
      <c r="M10767" s="24"/>
      <c r="N10767" s="24"/>
      <c r="O10767" s="24"/>
      <c r="P10767" s="24"/>
      <c r="Q10767" s="24"/>
      <c r="R10767" s="24"/>
      <c r="S10767" s="24"/>
      <c r="T10767" s="24"/>
      <c r="U10767" s="24"/>
      <c r="V10767" s="24"/>
      <c r="W10767" s="24"/>
      <c r="X10767" s="24"/>
      <c r="Y10767" s="24"/>
      <c r="Z10767" s="24"/>
      <c r="AA10767" s="24"/>
    </row>
    <row r="10768">
      <c r="A10768" s="24"/>
      <c r="B10768" s="25"/>
      <c r="C10768" s="24"/>
      <c r="D10768" s="26"/>
      <c r="E10768" s="24"/>
      <c r="F10768" s="24"/>
      <c r="G10768" s="24"/>
      <c r="H10768" s="24"/>
      <c r="I10768" s="24"/>
      <c r="J10768" s="24"/>
      <c r="K10768" s="24"/>
      <c r="L10768" s="24"/>
      <c r="M10768" s="24"/>
      <c r="N10768" s="24"/>
      <c r="O10768" s="24"/>
      <c r="P10768" s="24"/>
      <c r="Q10768" s="24"/>
      <c r="R10768" s="24"/>
      <c r="S10768" s="24"/>
      <c r="T10768" s="24"/>
      <c r="U10768" s="24"/>
      <c r="V10768" s="24"/>
      <c r="W10768" s="24"/>
      <c r="X10768" s="24"/>
      <c r="Y10768" s="24"/>
      <c r="Z10768" s="24"/>
      <c r="AA10768" s="24"/>
    </row>
    <row r="10769">
      <c r="A10769" s="24"/>
      <c r="B10769" s="25"/>
      <c r="C10769" s="24"/>
      <c r="D10769" s="26"/>
      <c r="E10769" s="24"/>
      <c r="F10769" s="24"/>
      <c r="G10769" s="24"/>
      <c r="H10769" s="24"/>
      <c r="I10769" s="24"/>
      <c r="J10769" s="24"/>
      <c r="K10769" s="24"/>
      <c r="L10769" s="24"/>
      <c r="M10769" s="24"/>
      <c r="N10769" s="24"/>
      <c r="O10769" s="24"/>
      <c r="P10769" s="24"/>
      <c r="Q10769" s="24"/>
      <c r="R10769" s="24"/>
      <c r="S10769" s="24"/>
      <c r="T10769" s="24"/>
      <c r="U10769" s="24"/>
      <c r="V10769" s="24"/>
      <c r="W10769" s="24"/>
      <c r="X10769" s="24"/>
      <c r="Y10769" s="24"/>
      <c r="Z10769" s="24"/>
      <c r="AA10769" s="24"/>
    </row>
    <row r="10770">
      <c r="A10770" s="24"/>
      <c r="B10770" s="25"/>
      <c r="C10770" s="24"/>
      <c r="D10770" s="26"/>
      <c r="E10770" s="24"/>
      <c r="F10770" s="24"/>
      <c r="G10770" s="24"/>
      <c r="H10770" s="24"/>
      <c r="I10770" s="24"/>
      <c r="J10770" s="24"/>
      <c r="K10770" s="24"/>
      <c r="L10770" s="24"/>
      <c r="M10770" s="24"/>
      <c r="N10770" s="24"/>
      <c r="O10770" s="24"/>
      <c r="P10770" s="24"/>
      <c r="Q10770" s="24"/>
      <c r="R10770" s="24"/>
      <c r="S10770" s="24"/>
      <c r="T10770" s="24"/>
      <c r="U10770" s="24"/>
      <c r="V10770" s="24"/>
      <c r="W10770" s="24"/>
      <c r="X10770" s="24"/>
      <c r="Y10770" s="24"/>
      <c r="Z10770" s="24"/>
      <c r="AA10770" s="24"/>
    </row>
    <row r="10771">
      <c r="A10771" s="24"/>
      <c r="B10771" s="25"/>
      <c r="C10771" s="24"/>
      <c r="D10771" s="26"/>
      <c r="E10771" s="24"/>
      <c r="F10771" s="24"/>
      <c r="G10771" s="24"/>
      <c r="H10771" s="24"/>
      <c r="I10771" s="24"/>
      <c r="J10771" s="24"/>
      <c r="K10771" s="24"/>
      <c r="L10771" s="24"/>
      <c r="M10771" s="24"/>
      <c r="N10771" s="24"/>
      <c r="O10771" s="24"/>
      <c r="P10771" s="24"/>
      <c r="Q10771" s="24"/>
      <c r="R10771" s="24"/>
      <c r="S10771" s="24"/>
      <c r="T10771" s="24"/>
      <c r="U10771" s="24"/>
      <c r="V10771" s="24"/>
      <c r="W10771" s="24"/>
      <c r="X10771" s="24"/>
      <c r="Y10771" s="24"/>
      <c r="Z10771" s="24"/>
      <c r="AA10771" s="24"/>
    </row>
    <row r="10772">
      <c r="A10772" s="24"/>
      <c r="B10772" s="25"/>
      <c r="C10772" s="24"/>
      <c r="D10772" s="26"/>
      <c r="E10772" s="24"/>
      <c r="F10772" s="24"/>
      <c r="G10772" s="24"/>
      <c r="H10772" s="24"/>
      <c r="I10772" s="24"/>
      <c r="J10772" s="24"/>
      <c r="K10772" s="24"/>
      <c r="L10772" s="24"/>
      <c r="M10772" s="24"/>
      <c r="N10772" s="24"/>
      <c r="O10772" s="24"/>
      <c r="P10772" s="24"/>
      <c r="Q10772" s="24"/>
      <c r="R10772" s="24"/>
      <c r="S10772" s="24"/>
      <c r="T10772" s="24"/>
      <c r="U10772" s="24"/>
      <c r="V10772" s="24"/>
      <c r="W10772" s="24"/>
      <c r="X10772" s="24"/>
      <c r="Y10772" s="24"/>
      <c r="Z10772" s="24"/>
      <c r="AA10772" s="24"/>
    </row>
    <row r="10773">
      <c r="A10773" s="24"/>
      <c r="B10773" s="25"/>
      <c r="C10773" s="24"/>
      <c r="D10773" s="26"/>
      <c r="E10773" s="24"/>
      <c r="F10773" s="24"/>
      <c r="G10773" s="24"/>
      <c r="H10773" s="24"/>
      <c r="I10773" s="24"/>
      <c r="J10773" s="24"/>
      <c r="K10773" s="24"/>
      <c r="L10773" s="24"/>
      <c r="M10773" s="24"/>
      <c r="N10773" s="24"/>
      <c r="O10773" s="24"/>
      <c r="P10773" s="24"/>
      <c r="Q10773" s="24"/>
      <c r="R10773" s="24"/>
      <c r="S10773" s="24"/>
      <c r="T10773" s="24"/>
      <c r="U10773" s="24"/>
      <c r="V10773" s="24"/>
      <c r="W10773" s="24"/>
      <c r="X10773" s="24"/>
      <c r="Y10773" s="24"/>
      <c r="Z10773" s="24"/>
      <c r="AA10773" s="24"/>
    </row>
    <row r="10774">
      <c r="A10774" s="24"/>
      <c r="B10774" s="25"/>
      <c r="C10774" s="24"/>
      <c r="D10774" s="26"/>
      <c r="E10774" s="24"/>
      <c r="F10774" s="24"/>
      <c r="G10774" s="24"/>
      <c r="H10774" s="24"/>
      <c r="I10774" s="24"/>
      <c r="J10774" s="24"/>
      <c r="K10774" s="24"/>
      <c r="L10774" s="24"/>
      <c r="M10774" s="24"/>
      <c r="N10774" s="24"/>
      <c r="O10774" s="24"/>
      <c r="P10774" s="24"/>
      <c r="Q10774" s="24"/>
      <c r="R10774" s="24"/>
      <c r="S10774" s="24"/>
      <c r="T10774" s="24"/>
      <c r="U10774" s="24"/>
      <c r="V10774" s="24"/>
      <c r="W10774" s="24"/>
      <c r="X10774" s="24"/>
      <c r="Y10774" s="24"/>
      <c r="Z10774" s="24"/>
      <c r="AA10774" s="24"/>
    </row>
    <row r="10775">
      <c r="A10775" s="24"/>
      <c r="B10775" s="25"/>
      <c r="C10775" s="24"/>
      <c r="D10775" s="26"/>
      <c r="E10775" s="24"/>
      <c r="F10775" s="24"/>
      <c r="G10775" s="24"/>
      <c r="H10775" s="24"/>
      <c r="I10775" s="24"/>
      <c r="J10775" s="24"/>
      <c r="K10775" s="24"/>
      <c r="L10775" s="24"/>
      <c r="M10775" s="24"/>
      <c r="N10775" s="24"/>
      <c r="O10775" s="24"/>
      <c r="P10775" s="24"/>
      <c r="Q10775" s="24"/>
      <c r="R10775" s="24"/>
      <c r="S10775" s="24"/>
      <c r="T10775" s="24"/>
      <c r="U10775" s="24"/>
      <c r="V10775" s="24"/>
      <c r="W10775" s="24"/>
      <c r="X10775" s="24"/>
      <c r="Y10775" s="24"/>
      <c r="Z10775" s="24"/>
      <c r="AA10775" s="24"/>
    </row>
    <row r="10776">
      <c r="A10776" s="24"/>
      <c r="B10776" s="25"/>
      <c r="C10776" s="24"/>
      <c r="D10776" s="26"/>
      <c r="E10776" s="24"/>
      <c r="F10776" s="24"/>
      <c r="G10776" s="24"/>
      <c r="H10776" s="24"/>
      <c r="I10776" s="24"/>
      <c r="J10776" s="24"/>
      <c r="K10776" s="24"/>
      <c r="L10776" s="24"/>
      <c r="M10776" s="24"/>
      <c r="N10776" s="24"/>
      <c r="O10776" s="24"/>
      <c r="P10776" s="24"/>
      <c r="Q10776" s="24"/>
      <c r="R10776" s="24"/>
      <c r="S10776" s="24"/>
      <c r="T10776" s="24"/>
      <c r="U10776" s="24"/>
      <c r="V10776" s="24"/>
      <c r="W10776" s="24"/>
      <c r="X10776" s="24"/>
      <c r="Y10776" s="24"/>
      <c r="Z10776" s="24"/>
      <c r="AA10776" s="24"/>
    </row>
    <row r="10777">
      <c r="A10777" s="24"/>
      <c r="B10777" s="25"/>
      <c r="C10777" s="24"/>
      <c r="D10777" s="26"/>
      <c r="E10777" s="24"/>
      <c r="F10777" s="24"/>
      <c r="G10777" s="24"/>
      <c r="H10777" s="24"/>
      <c r="I10777" s="24"/>
      <c r="J10777" s="24"/>
      <c r="K10777" s="24"/>
      <c r="L10777" s="24"/>
      <c r="M10777" s="24"/>
      <c r="N10777" s="24"/>
      <c r="O10777" s="24"/>
      <c r="P10777" s="24"/>
      <c r="Q10777" s="24"/>
      <c r="R10777" s="24"/>
      <c r="S10777" s="24"/>
      <c r="T10777" s="24"/>
      <c r="U10777" s="24"/>
      <c r="V10777" s="24"/>
      <c r="W10777" s="24"/>
      <c r="X10777" s="24"/>
      <c r="Y10777" s="24"/>
      <c r="Z10777" s="24"/>
      <c r="AA10777" s="24"/>
    </row>
    <row r="10778">
      <c r="A10778" s="24"/>
      <c r="B10778" s="25"/>
      <c r="C10778" s="24"/>
      <c r="D10778" s="26"/>
      <c r="E10778" s="24"/>
      <c r="F10778" s="24"/>
      <c r="G10778" s="24"/>
      <c r="H10778" s="24"/>
      <c r="I10778" s="24"/>
      <c r="J10778" s="24"/>
      <c r="K10778" s="24"/>
      <c r="L10778" s="24"/>
      <c r="M10778" s="24"/>
      <c r="N10778" s="24"/>
      <c r="O10778" s="24"/>
      <c r="P10778" s="24"/>
      <c r="Q10778" s="24"/>
      <c r="R10778" s="24"/>
      <c r="S10778" s="24"/>
      <c r="T10778" s="24"/>
      <c r="U10778" s="24"/>
      <c r="V10778" s="24"/>
      <c r="W10778" s="24"/>
      <c r="X10778" s="24"/>
      <c r="Y10778" s="24"/>
      <c r="Z10778" s="24"/>
      <c r="AA10778" s="24"/>
    </row>
    <row r="10779">
      <c r="A10779" s="24"/>
      <c r="B10779" s="25"/>
      <c r="C10779" s="24"/>
      <c r="D10779" s="26"/>
      <c r="E10779" s="24"/>
      <c r="F10779" s="24"/>
      <c r="G10779" s="24"/>
      <c r="H10779" s="24"/>
      <c r="I10779" s="24"/>
      <c r="J10779" s="24"/>
      <c r="K10779" s="24"/>
      <c r="L10779" s="24"/>
      <c r="M10779" s="24"/>
      <c r="N10779" s="24"/>
      <c r="O10779" s="24"/>
      <c r="P10779" s="24"/>
      <c r="Q10779" s="24"/>
      <c r="R10779" s="24"/>
      <c r="S10779" s="24"/>
      <c r="T10779" s="24"/>
      <c r="U10779" s="24"/>
      <c r="V10779" s="24"/>
      <c r="W10779" s="24"/>
      <c r="X10779" s="24"/>
      <c r="Y10779" s="24"/>
      <c r="Z10779" s="24"/>
      <c r="AA10779" s="24"/>
    </row>
    <row r="10780">
      <c r="A10780" s="24"/>
      <c r="B10780" s="25"/>
      <c r="C10780" s="24"/>
      <c r="D10780" s="26"/>
      <c r="E10780" s="24"/>
      <c r="F10780" s="24"/>
      <c r="G10780" s="24"/>
      <c r="H10780" s="24"/>
      <c r="I10780" s="24"/>
      <c r="J10780" s="24"/>
      <c r="K10780" s="24"/>
      <c r="L10780" s="24"/>
      <c r="M10780" s="24"/>
      <c r="N10780" s="24"/>
      <c r="O10780" s="24"/>
      <c r="P10780" s="24"/>
      <c r="Q10780" s="24"/>
      <c r="R10780" s="24"/>
      <c r="S10780" s="24"/>
      <c r="T10780" s="24"/>
      <c r="U10780" s="24"/>
      <c r="V10780" s="24"/>
      <c r="W10780" s="24"/>
      <c r="X10780" s="24"/>
      <c r="Y10780" s="24"/>
      <c r="Z10780" s="24"/>
      <c r="AA10780" s="24"/>
    </row>
    <row r="10781">
      <c r="A10781" s="24"/>
      <c r="B10781" s="25"/>
      <c r="C10781" s="24"/>
      <c r="D10781" s="26"/>
      <c r="E10781" s="24"/>
      <c r="F10781" s="24"/>
      <c r="G10781" s="24"/>
      <c r="H10781" s="24"/>
      <c r="I10781" s="24"/>
      <c r="J10781" s="24"/>
      <c r="K10781" s="24"/>
      <c r="L10781" s="24"/>
      <c r="M10781" s="24"/>
      <c r="N10781" s="24"/>
      <c r="O10781" s="24"/>
      <c r="P10781" s="24"/>
      <c r="Q10781" s="24"/>
      <c r="R10781" s="24"/>
      <c r="S10781" s="24"/>
      <c r="T10781" s="24"/>
      <c r="U10781" s="24"/>
      <c r="V10781" s="24"/>
      <c r="W10781" s="24"/>
      <c r="X10781" s="24"/>
      <c r="Y10781" s="24"/>
      <c r="Z10781" s="24"/>
      <c r="AA10781" s="24"/>
    </row>
    <row r="10782">
      <c r="A10782" s="24"/>
      <c r="B10782" s="25"/>
      <c r="C10782" s="24"/>
      <c r="D10782" s="26"/>
      <c r="E10782" s="24"/>
      <c r="F10782" s="24"/>
      <c r="G10782" s="24"/>
      <c r="H10782" s="24"/>
      <c r="I10782" s="24"/>
      <c r="J10782" s="24"/>
      <c r="K10782" s="24"/>
      <c r="L10782" s="24"/>
      <c r="M10782" s="24"/>
      <c r="N10782" s="24"/>
      <c r="O10782" s="24"/>
      <c r="P10782" s="24"/>
      <c r="Q10782" s="24"/>
      <c r="R10782" s="24"/>
      <c r="S10782" s="24"/>
      <c r="T10782" s="24"/>
      <c r="U10782" s="24"/>
      <c r="V10782" s="24"/>
      <c r="W10782" s="24"/>
      <c r="X10782" s="24"/>
      <c r="Y10782" s="24"/>
      <c r="Z10782" s="24"/>
      <c r="AA10782" s="24"/>
    </row>
    <row r="10783">
      <c r="A10783" s="24"/>
      <c r="B10783" s="25"/>
      <c r="C10783" s="24"/>
      <c r="D10783" s="26"/>
      <c r="E10783" s="24"/>
      <c r="F10783" s="24"/>
      <c r="G10783" s="24"/>
      <c r="H10783" s="24"/>
      <c r="I10783" s="24"/>
      <c r="J10783" s="24"/>
      <c r="K10783" s="24"/>
      <c r="L10783" s="24"/>
      <c r="M10783" s="24"/>
      <c r="N10783" s="24"/>
      <c r="O10783" s="24"/>
      <c r="P10783" s="24"/>
      <c r="Q10783" s="24"/>
      <c r="R10783" s="24"/>
      <c r="S10783" s="24"/>
      <c r="T10783" s="24"/>
      <c r="U10783" s="24"/>
      <c r="V10783" s="24"/>
      <c r="W10783" s="24"/>
      <c r="X10783" s="24"/>
      <c r="Y10783" s="24"/>
      <c r="Z10783" s="24"/>
      <c r="AA10783" s="24"/>
    </row>
    <row r="10784">
      <c r="A10784" s="24"/>
      <c r="B10784" s="25"/>
      <c r="C10784" s="24"/>
      <c r="D10784" s="26"/>
      <c r="E10784" s="24"/>
      <c r="F10784" s="24"/>
      <c r="G10784" s="24"/>
      <c r="H10784" s="24"/>
      <c r="I10784" s="24"/>
      <c r="J10784" s="24"/>
      <c r="K10784" s="24"/>
      <c r="L10784" s="24"/>
      <c r="M10784" s="24"/>
      <c r="N10784" s="24"/>
      <c r="O10784" s="24"/>
      <c r="P10784" s="24"/>
      <c r="Q10784" s="24"/>
      <c r="R10784" s="24"/>
      <c r="S10784" s="24"/>
      <c r="T10784" s="24"/>
      <c r="U10784" s="24"/>
      <c r="V10784" s="24"/>
      <c r="W10784" s="24"/>
      <c r="X10784" s="24"/>
      <c r="Y10784" s="24"/>
      <c r="Z10784" s="24"/>
      <c r="AA10784" s="24"/>
    </row>
    <row r="10785">
      <c r="A10785" s="24"/>
      <c r="B10785" s="25"/>
      <c r="C10785" s="24"/>
      <c r="D10785" s="26"/>
      <c r="E10785" s="24"/>
      <c r="F10785" s="24"/>
      <c r="G10785" s="24"/>
      <c r="H10785" s="24"/>
      <c r="I10785" s="24"/>
      <c r="J10785" s="24"/>
      <c r="K10785" s="24"/>
      <c r="L10785" s="24"/>
      <c r="M10785" s="24"/>
      <c r="N10785" s="24"/>
      <c r="O10785" s="24"/>
      <c r="P10785" s="24"/>
      <c r="Q10785" s="24"/>
      <c r="R10785" s="24"/>
      <c r="S10785" s="24"/>
      <c r="T10785" s="24"/>
      <c r="U10785" s="24"/>
      <c r="V10785" s="24"/>
      <c r="W10785" s="24"/>
      <c r="X10785" s="24"/>
      <c r="Y10785" s="24"/>
      <c r="Z10785" s="24"/>
      <c r="AA10785" s="24"/>
    </row>
    <row r="10786">
      <c r="A10786" s="24"/>
      <c r="B10786" s="25"/>
      <c r="C10786" s="24"/>
      <c r="D10786" s="26"/>
      <c r="E10786" s="24"/>
      <c r="F10786" s="24"/>
      <c r="G10786" s="24"/>
      <c r="H10786" s="24"/>
      <c r="I10786" s="24"/>
      <c r="J10786" s="24"/>
      <c r="K10786" s="24"/>
      <c r="L10786" s="24"/>
      <c r="M10786" s="24"/>
      <c r="N10786" s="24"/>
      <c r="O10786" s="24"/>
      <c r="P10786" s="24"/>
      <c r="Q10786" s="24"/>
      <c r="R10786" s="24"/>
      <c r="S10786" s="24"/>
      <c r="T10786" s="24"/>
      <c r="U10786" s="24"/>
      <c r="V10786" s="24"/>
      <c r="W10786" s="24"/>
      <c r="X10786" s="24"/>
      <c r="Y10786" s="24"/>
      <c r="Z10786" s="24"/>
      <c r="AA10786" s="24"/>
    </row>
    <row r="10787">
      <c r="A10787" s="24"/>
      <c r="B10787" s="25"/>
      <c r="C10787" s="24"/>
      <c r="D10787" s="26"/>
      <c r="E10787" s="24"/>
      <c r="F10787" s="24"/>
      <c r="G10787" s="24"/>
      <c r="H10787" s="24"/>
      <c r="I10787" s="24"/>
      <c r="J10787" s="24"/>
      <c r="K10787" s="24"/>
      <c r="L10787" s="24"/>
      <c r="M10787" s="24"/>
      <c r="N10787" s="24"/>
      <c r="O10787" s="24"/>
      <c r="P10787" s="24"/>
      <c r="Q10787" s="24"/>
      <c r="R10787" s="24"/>
      <c r="S10787" s="24"/>
      <c r="T10787" s="24"/>
      <c r="U10787" s="24"/>
      <c r="V10787" s="24"/>
      <c r="W10787" s="24"/>
      <c r="X10787" s="24"/>
      <c r="Y10787" s="24"/>
      <c r="Z10787" s="24"/>
      <c r="AA10787" s="24"/>
    </row>
    <row r="10788">
      <c r="A10788" s="24"/>
      <c r="B10788" s="25"/>
      <c r="C10788" s="24"/>
      <c r="D10788" s="26"/>
      <c r="E10788" s="24"/>
      <c r="F10788" s="24"/>
      <c r="G10788" s="24"/>
      <c r="H10788" s="24"/>
      <c r="I10788" s="24"/>
      <c r="J10788" s="24"/>
      <c r="K10788" s="24"/>
      <c r="L10788" s="24"/>
      <c r="M10788" s="24"/>
      <c r="N10788" s="24"/>
      <c r="O10788" s="24"/>
      <c r="P10788" s="24"/>
      <c r="Q10788" s="24"/>
      <c r="R10788" s="24"/>
      <c r="S10788" s="24"/>
      <c r="T10788" s="24"/>
      <c r="U10788" s="24"/>
      <c r="V10788" s="24"/>
      <c r="W10788" s="24"/>
      <c r="X10788" s="24"/>
      <c r="Y10788" s="24"/>
      <c r="Z10788" s="24"/>
      <c r="AA10788" s="24"/>
    </row>
    <row r="10789">
      <c r="A10789" s="24"/>
      <c r="B10789" s="25"/>
      <c r="C10789" s="24"/>
      <c r="D10789" s="26"/>
      <c r="E10789" s="24"/>
      <c r="F10789" s="24"/>
      <c r="G10789" s="24"/>
      <c r="H10789" s="24"/>
      <c r="I10789" s="24"/>
      <c r="J10789" s="24"/>
      <c r="K10789" s="24"/>
      <c r="L10789" s="24"/>
      <c r="M10789" s="24"/>
      <c r="N10789" s="24"/>
      <c r="O10789" s="24"/>
      <c r="P10789" s="24"/>
      <c r="Q10789" s="24"/>
      <c r="R10789" s="24"/>
      <c r="S10789" s="24"/>
      <c r="T10789" s="24"/>
      <c r="U10789" s="24"/>
      <c r="V10789" s="24"/>
      <c r="W10789" s="24"/>
      <c r="X10789" s="24"/>
      <c r="Y10789" s="24"/>
      <c r="Z10789" s="24"/>
      <c r="AA10789" s="24"/>
    </row>
    <row r="10790">
      <c r="A10790" s="24"/>
      <c r="B10790" s="25"/>
      <c r="C10790" s="24"/>
      <c r="D10790" s="26"/>
      <c r="E10790" s="24"/>
      <c r="F10790" s="24"/>
      <c r="G10790" s="24"/>
      <c r="H10790" s="24"/>
      <c r="I10790" s="24"/>
      <c r="J10790" s="24"/>
      <c r="K10790" s="24"/>
      <c r="L10790" s="24"/>
      <c r="M10790" s="24"/>
      <c r="N10790" s="24"/>
      <c r="O10790" s="24"/>
      <c r="P10790" s="24"/>
      <c r="Q10790" s="24"/>
      <c r="R10790" s="24"/>
      <c r="S10790" s="24"/>
      <c r="T10790" s="24"/>
      <c r="U10790" s="24"/>
      <c r="V10790" s="24"/>
      <c r="W10790" s="24"/>
      <c r="X10790" s="24"/>
      <c r="Y10790" s="24"/>
      <c r="Z10790" s="24"/>
      <c r="AA10790" s="24"/>
    </row>
    <row r="10791">
      <c r="A10791" s="24"/>
      <c r="B10791" s="25"/>
      <c r="C10791" s="24"/>
      <c r="D10791" s="26"/>
      <c r="E10791" s="24"/>
      <c r="F10791" s="24"/>
      <c r="G10791" s="24"/>
      <c r="H10791" s="24"/>
      <c r="I10791" s="24"/>
      <c r="J10791" s="24"/>
      <c r="K10791" s="24"/>
      <c r="L10791" s="24"/>
      <c r="M10791" s="24"/>
      <c r="N10791" s="24"/>
      <c r="O10791" s="24"/>
      <c r="P10791" s="24"/>
      <c r="Q10791" s="24"/>
      <c r="R10791" s="24"/>
      <c r="S10791" s="24"/>
      <c r="T10791" s="24"/>
      <c r="U10791" s="24"/>
      <c r="V10791" s="24"/>
      <c r="W10791" s="24"/>
      <c r="X10791" s="24"/>
      <c r="Y10791" s="24"/>
      <c r="Z10791" s="24"/>
      <c r="AA10791" s="24"/>
    </row>
    <row r="10792">
      <c r="A10792" s="24"/>
      <c r="B10792" s="25"/>
      <c r="C10792" s="24"/>
      <c r="D10792" s="26"/>
      <c r="E10792" s="24"/>
      <c r="F10792" s="24"/>
      <c r="G10792" s="24"/>
      <c r="H10792" s="24"/>
      <c r="I10792" s="24"/>
      <c r="J10792" s="24"/>
      <c r="K10792" s="24"/>
      <c r="L10792" s="24"/>
      <c r="M10792" s="24"/>
      <c r="N10792" s="24"/>
      <c r="O10792" s="24"/>
      <c r="P10792" s="24"/>
      <c r="Q10792" s="24"/>
      <c r="R10792" s="24"/>
      <c r="S10792" s="24"/>
      <c r="T10792" s="24"/>
      <c r="U10792" s="24"/>
      <c r="V10792" s="24"/>
      <c r="W10792" s="24"/>
      <c r="X10792" s="24"/>
      <c r="Y10792" s="24"/>
      <c r="Z10792" s="24"/>
      <c r="AA10792" s="24"/>
    </row>
    <row r="10793">
      <c r="A10793" s="24"/>
      <c r="B10793" s="25"/>
      <c r="C10793" s="24"/>
      <c r="D10793" s="26"/>
      <c r="E10793" s="24"/>
      <c r="F10793" s="24"/>
      <c r="G10793" s="24"/>
      <c r="H10793" s="24"/>
      <c r="I10793" s="24"/>
      <c r="J10793" s="24"/>
      <c r="K10793" s="24"/>
      <c r="L10793" s="24"/>
      <c r="M10793" s="24"/>
      <c r="N10793" s="24"/>
      <c r="O10793" s="24"/>
      <c r="P10793" s="24"/>
      <c r="Q10793" s="24"/>
      <c r="R10793" s="24"/>
      <c r="S10793" s="24"/>
      <c r="T10793" s="24"/>
      <c r="U10793" s="24"/>
      <c r="V10793" s="24"/>
      <c r="W10793" s="24"/>
      <c r="X10793" s="24"/>
      <c r="Y10793" s="24"/>
      <c r="Z10793" s="24"/>
      <c r="AA10793" s="24"/>
    </row>
    <row r="10794">
      <c r="A10794" s="24"/>
      <c r="B10794" s="25"/>
      <c r="C10794" s="24"/>
      <c r="D10794" s="26"/>
      <c r="E10794" s="24"/>
      <c r="F10794" s="24"/>
      <c r="G10794" s="24"/>
      <c r="H10794" s="24"/>
      <c r="I10794" s="24"/>
      <c r="J10794" s="24"/>
      <c r="K10794" s="24"/>
      <c r="L10794" s="24"/>
      <c r="M10794" s="24"/>
      <c r="N10794" s="24"/>
      <c r="O10794" s="24"/>
      <c r="P10794" s="24"/>
      <c r="Q10794" s="24"/>
      <c r="R10794" s="24"/>
      <c r="S10794" s="24"/>
      <c r="T10794" s="24"/>
      <c r="U10794" s="24"/>
      <c r="V10794" s="24"/>
      <c r="W10794" s="24"/>
      <c r="X10794" s="24"/>
      <c r="Y10794" s="24"/>
      <c r="Z10794" s="24"/>
      <c r="AA10794" s="24"/>
    </row>
    <row r="10795">
      <c r="A10795" s="24"/>
      <c r="B10795" s="25"/>
      <c r="C10795" s="24"/>
      <c r="D10795" s="26"/>
      <c r="E10795" s="24"/>
      <c r="F10795" s="24"/>
      <c r="G10795" s="24"/>
      <c r="H10795" s="24"/>
      <c r="I10795" s="24"/>
      <c r="J10795" s="24"/>
      <c r="K10795" s="24"/>
      <c r="L10795" s="24"/>
      <c r="M10795" s="24"/>
      <c r="N10795" s="24"/>
      <c r="O10795" s="24"/>
      <c r="P10795" s="24"/>
      <c r="Q10795" s="24"/>
      <c r="R10795" s="24"/>
      <c r="S10795" s="24"/>
      <c r="T10795" s="24"/>
      <c r="U10795" s="24"/>
      <c r="V10795" s="24"/>
      <c r="W10795" s="24"/>
      <c r="X10795" s="24"/>
      <c r="Y10795" s="24"/>
      <c r="Z10795" s="24"/>
      <c r="AA10795" s="24"/>
    </row>
    <row r="10796">
      <c r="A10796" s="24"/>
      <c r="B10796" s="25"/>
      <c r="C10796" s="24"/>
      <c r="D10796" s="26"/>
      <c r="E10796" s="24"/>
      <c r="F10796" s="24"/>
      <c r="G10796" s="24"/>
      <c r="H10796" s="24"/>
      <c r="I10796" s="24"/>
      <c r="J10796" s="24"/>
      <c r="K10796" s="24"/>
      <c r="L10796" s="24"/>
      <c r="M10796" s="24"/>
      <c r="N10796" s="24"/>
      <c r="O10796" s="24"/>
      <c r="P10796" s="24"/>
      <c r="Q10796" s="24"/>
      <c r="R10796" s="24"/>
      <c r="S10796" s="24"/>
      <c r="T10796" s="24"/>
      <c r="U10796" s="24"/>
      <c r="V10796" s="24"/>
      <c r="W10796" s="24"/>
      <c r="X10796" s="24"/>
      <c r="Y10796" s="24"/>
      <c r="Z10796" s="24"/>
      <c r="AA10796" s="24"/>
    </row>
    <row r="10797">
      <c r="A10797" s="24"/>
      <c r="B10797" s="25"/>
      <c r="C10797" s="24"/>
      <c r="D10797" s="26"/>
      <c r="E10797" s="24"/>
      <c r="F10797" s="24"/>
      <c r="G10797" s="24"/>
      <c r="H10797" s="24"/>
      <c r="I10797" s="24"/>
      <c r="J10797" s="24"/>
      <c r="K10797" s="24"/>
      <c r="L10797" s="24"/>
      <c r="M10797" s="24"/>
      <c r="N10797" s="24"/>
      <c r="O10797" s="24"/>
      <c r="P10797" s="24"/>
      <c r="Q10797" s="24"/>
      <c r="R10797" s="24"/>
      <c r="S10797" s="24"/>
      <c r="T10797" s="24"/>
      <c r="U10797" s="24"/>
      <c r="V10797" s="24"/>
      <c r="W10797" s="24"/>
      <c r="X10797" s="24"/>
      <c r="Y10797" s="24"/>
      <c r="Z10797" s="24"/>
      <c r="AA10797" s="24"/>
    </row>
    <row r="10798">
      <c r="A10798" s="24"/>
      <c r="B10798" s="25"/>
      <c r="C10798" s="24"/>
      <c r="D10798" s="26"/>
      <c r="E10798" s="24"/>
      <c r="F10798" s="24"/>
      <c r="G10798" s="24"/>
      <c r="H10798" s="24"/>
      <c r="I10798" s="24"/>
      <c r="J10798" s="24"/>
      <c r="K10798" s="24"/>
      <c r="L10798" s="24"/>
      <c r="M10798" s="24"/>
      <c r="N10798" s="24"/>
      <c r="O10798" s="24"/>
      <c r="P10798" s="24"/>
      <c r="Q10798" s="24"/>
      <c r="R10798" s="24"/>
      <c r="S10798" s="24"/>
      <c r="T10798" s="24"/>
      <c r="U10798" s="24"/>
      <c r="V10798" s="24"/>
      <c r="W10798" s="24"/>
      <c r="X10798" s="24"/>
      <c r="Y10798" s="24"/>
      <c r="Z10798" s="24"/>
      <c r="AA10798" s="24"/>
    </row>
    <row r="10799">
      <c r="A10799" s="24"/>
      <c r="B10799" s="25"/>
      <c r="C10799" s="24"/>
      <c r="D10799" s="26"/>
      <c r="E10799" s="24"/>
      <c r="F10799" s="24"/>
      <c r="G10799" s="24"/>
      <c r="H10799" s="24"/>
      <c r="I10799" s="24"/>
      <c r="J10799" s="24"/>
      <c r="K10799" s="24"/>
      <c r="L10799" s="24"/>
      <c r="M10799" s="24"/>
      <c r="N10799" s="24"/>
      <c r="O10799" s="24"/>
      <c r="P10799" s="24"/>
      <c r="Q10799" s="24"/>
      <c r="R10799" s="24"/>
      <c r="S10799" s="24"/>
      <c r="T10799" s="24"/>
      <c r="U10799" s="24"/>
      <c r="V10799" s="24"/>
      <c r="W10799" s="24"/>
      <c r="X10799" s="24"/>
      <c r="Y10799" s="24"/>
      <c r="Z10799" s="24"/>
      <c r="AA10799" s="24"/>
    </row>
    <row r="10800">
      <c r="A10800" s="24"/>
      <c r="B10800" s="25"/>
      <c r="C10800" s="24"/>
      <c r="D10800" s="26"/>
      <c r="E10800" s="24"/>
      <c r="F10800" s="24"/>
      <c r="G10800" s="24"/>
      <c r="H10800" s="24"/>
      <c r="I10800" s="24"/>
      <c r="J10800" s="24"/>
      <c r="K10800" s="24"/>
      <c r="L10800" s="24"/>
      <c r="M10800" s="24"/>
      <c r="N10800" s="24"/>
      <c r="O10800" s="24"/>
      <c r="P10800" s="24"/>
      <c r="Q10800" s="24"/>
      <c r="R10800" s="24"/>
      <c r="S10800" s="24"/>
      <c r="T10800" s="24"/>
      <c r="U10800" s="24"/>
      <c r="V10800" s="24"/>
      <c r="W10800" s="24"/>
      <c r="X10800" s="24"/>
      <c r="Y10800" s="24"/>
      <c r="Z10800" s="24"/>
      <c r="AA10800" s="24"/>
    </row>
    <row r="10801">
      <c r="A10801" s="24"/>
      <c r="B10801" s="25"/>
      <c r="C10801" s="24"/>
      <c r="D10801" s="26"/>
      <c r="E10801" s="24"/>
      <c r="F10801" s="24"/>
      <c r="G10801" s="24"/>
      <c r="H10801" s="24"/>
      <c r="I10801" s="24"/>
      <c r="J10801" s="24"/>
      <c r="K10801" s="24"/>
      <c r="L10801" s="24"/>
      <c r="M10801" s="24"/>
      <c r="N10801" s="24"/>
      <c r="O10801" s="24"/>
      <c r="P10801" s="24"/>
      <c r="Q10801" s="24"/>
      <c r="R10801" s="24"/>
      <c r="S10801" s="24"/>
      <c r="T10801" s="24"/>
      <c r="U10801" s="24"/>
      <c r="V10801" s="24"/>
      <c r="W10801" s="24"/>
      <c r="X10801" s="24"/>
      <c r="Y10801" s="24"/>
      <c r="Z10801" s="24"/>
      <c r="AA10801" s="24"/>
    </row>
    <row r="10802">
      <c r="A10802" s="24"/>
      <c r="B10802" s="25"/>
      <c r="C10802" s="24"/>
      <c r="D10802" s="26"/>
      <c r="E10802" s="24"/>
      <c r="F10802" s="24"/>
      <c r="G10802" s="24"/>
      <c r="H10802" s="24"/>
      <c r="I10802" s="24"/>
      <c r="J10802" s="24"/>
      <c r="K10802" s="24"/>
      <c r="L10802" s="24"/>
      <c r="M10802" s="24"/>
      <c r="N10802" s="24"/>
      <c r="O10802" s="24"/>
      <c r="P10802" s="24"/>
      <c r="Q10802" s="24"/>
      <c r="R10802" s="24"/>
      <c r="S10802" s="24"/>
      <c r="T10802" s="24"/>
      <c r="U10802" s="24"/>
      <c r="V10802" s="24"/>
      <c r="W10802" s="24"/>
      <c r="X10802" s="24"/>
      <c r="Y10802" s="24"/>
      <c r="Z10802" s="24"/>
      <c r="AA10802" s="24"/>
    </row>
    <row r="10803">
      <c r="A10803" s="24"/>
      <c r="B10803" s="25"/>
      <c r="C10803" s="24"/>
      <c r="D10803" s="26"/>
      <c r="E10803" s="24"/>
      <c r="F10803" s="24"/>
      <c r="G10803" s="24"/>
      <c r="H10803" s="24"/>
      <c r="I10803" s="24"/>
      <c r="J10803" s="24"/>
      <c r="K10803" s="24"/>
      <c r="L10803" s="24"/>
      <c r="M10803" s="24"/>
      <c r="N10803" s="24"/>
      <c r="O10803" s="24"/>
      <c r="P10803" s="24"/>
      <c r="Q10803" s="24"/>
      <c r="R10803" s="24"/>
      <c r="S10803" s="24"/>
      <c r="T10803" s="24"/>
      <c r="U10803" s="24"/>
      <c r="V10803" s="24"/>
      <c r="W10803" s="24"/>
      <c r="X10803" s="24"/>
      <c r="Y10803" s="24"/>
      <c r="Z10803" s="24"/>
      <c r="AA10803" s="24"/>
    </row>
    <row r="10804">
      <c r="A10804" s="24"/>
      <c r="B10804" s="25"/>
      <c r="C10804" s="24"/>
      <c r="D10804" s="26"/>
      <c r="E10804" s="24"/>
      <c r="F10804" s="24"/>
      <c r="G10804" s="24"/>
      <c r="H10804" s="24"/>
      <c r="I10804" s="24"/>
      <c r="J10804" s="24"/>
      <c r="K10804" s="24"/>
      <c r="L10804" s="24"/>
      <c r="M10804" s="24"/>
      <c r="N10804" s="24"/>
      <c r="O10804" s="24"/>
      <c r="P10804" s="24"/>
      <c r="Q10804" s="24"/>
      <c r="R10804" s="24"/>
      <c r="S10804" s="24"/>
      <c r="T10804" s="24"/>
      <c r="U10804" s="24"/>
      <c r="V10804" s="24"/>
      <c r="W10804" s="24"/>
      <c r="X10804" s="24"/>
      <c r="Y10804" s="24"/>
      <c r="Z10804" s="24"/>
      <c r="AA10804" s="24"/>
    </row>
    <row r="10805">
      <c r="A10805" s="24"/>
      <c r="B10805" s="25"/>
      <c r="C10805" s="24"/>
      <c r="D10805" s="26"/>
      <c r="E10805" s="24"/>
      <c r="F10805" s="24"/>
      <c r="G10805" s="24"/>
      <c r="H10805" s="24"/>
      <c r="I10805" s="24"/>
      <c r="J10805" s="24"/>
      <c r="K10805" s="24"/>
      <c r="L10805" s="24"/>
      <c r="M10805" s="24"/>
      <c r="N10805" s="24"/>
      <c r="O10805" s="24"/>
      <c r="P10805" s="24"/>
      <c r="Q10805" s="24"/>
      <c r="R10805" s="24"/>
      <c r="S10805" s="24"/>
      <c r="T10805" s="24"/>
      <c r="U10805" s="24"/>
      <c r="V10805" s="24"/>
      <c r="W10805" s="24"/>
      <c r="X10805" s="24"/>
      <c r="Y10805" s="24"/>
      <c r="Z10805" s="24"/>
      <c r="AA10805" s="24"/>
    </row>
    <row r="10806">
      <c r="A10806" s="24"/>
      <c r="B10806" s="25"/>
      <c r="C10806" s="24"/>
      <c r="D10806" s="26"/>
      <c r="E10806" s="24"/>
      <c r="F10806" s="24"/>
      <c r="G10806" s="24"/>
      <c r="H10806" s="24"/>
      <c r="I10806" s="24"/>
      <c r="J10806" s="24"/>
      <c r="K10806" s="24"/>
      <c r="L10806" s="24"/>
      <c r="M10806" s="24"/>
      <c r="N10806" s="24"/>
      <c r="O10806" s="24"/>
      <c r="P10806" s="24"/>
      <c r="Q10806" s="24"/>
      <c r="R10806" s="24"/>
      <c r="S10806" s="24"/>
      <c r="T10806" s="24"/>
      <c r="U10806" s="24"/>
      <c r="V10806" s="24"/>
      <c r="W10806" s="24"/>
      <c r="X10806" s="24"/>
      <c r="Y10806" s="24"/>
      <c r="Z10806" s="24"/>
      <c r="AA10806" s="24"/>
    </row>
    <row r="10807">
      <c r="A10807" s="24"/>
      <c r="B10807" s="25"/>
      <c r="C10807" s="24"/>
      <c r="D10807" s="26"/>
      <c r="E10807" s="24"/>
      <c r="F10807" s="24"/>
      <c r="G10807" s="24"/>
      <c r="H10807" s="24"/>
      <c r="I10807" s="24"/>
      <c r="J10807" s="24"/>
      <c r="K10807" s="24"/>
      <c r="L10807" s="24"/>
      <c r="M10807" s="24"/>
      <c r="N10807" s="24"/>
      <c r="O10807" s="24"/>
      <c r="P10807" s="24"/>
      <c r="Q10807" s="24"/>
      <c r="R10807" s="24"/>
      <c r="S10807" s="24"/>
      <c r="T10807" s="24"/>
      <c r="U10807" s="24"/>
      <c r="V10807" s="24"/>
      <c r="W10807" s="24"/>
      <c r="X10807" s="24"/>
      <c r="Y10807" s="24"/>
      <c r="Z10807" s="24"/>
      <c r="AA10807" s="24"/>
    </row>
    <row r="10808">
      <c r="A10808" s="24"/>
      <c r="B10808" s="25"/>
      <c r="C10808" s="24"/>
      <c r="D10808" s="26"/>
      <c r="E10808" s="24"/>
      <c r="F10808" s="24"/>
      <c r="G10808" s="24"/>
      <c r="H10808" s="24"/>
      <c r="I10808" s="24"/>
      <c r="J10808" s="24"/>
      <c r="K10808" s="24"/>
      <c r="L10808" s="24"/>
      <c r="M10808" s="24"/>
      <c r="N10808" s="24"/>
      <c r="O10808" s="24"/>
      <c r="P10808" s="24"/>
      <c r="Q10808" s="24"/>
      <c r="R10808" s="24"/>
      <c r="S10808" s="24"/>
      <c r="T10808" s="24"/>
      <c r="U10808" s="24"/>
      <c r="V10808" s="24"/>
      <c r="W10808" s="24"/>
      <c r="X10808" s="24"/>
      <c r="Y10808" s="24"/>
      <c r="Z10808" s="24"/>
      <c r="AA10808" s="24"/>
    </row>
    <row r="10809">
      <c r="A10809" s="24"/>
      <c r="B10809" s="25"/>
      <c r="C10809" s="24"/>
      <c r="D10809" s="26"/>
      <c r="E10809" s="24"/>
      <c r="F10809" s="24"/>
      <c r="G10809" s="24"/>
      <c r="H10809" s="24"/>
      <c r="I10809" s="24"/>
      <c r="J10809" s="24"/>
      <c r="K10809" s="24"/>
      <c r="L10809" s="24"/>
      <c r="M10809" s="24"/>
      <c r="N10809" s="24"/>
      <c r="O10809" s="24"/>
      <c r="P10809" s="24"/>
      <c r="Q10809" s="24"/>
      <c r="R10809" s="24"/>
      <c r="S10809" s="24"/>
      <c r="T10809" s="24"/>
      <c r="U10809" s="24"/>
      <c r="V10809" s="24"/>
      <c r="W10809" s="24"/>
      <c r="X10809" s="24"/>
      <c r="Y10809" s="24"/>
      <c r="Z10809" s="24"/>
      <c r="AA10809" s="24"/>
    </row>
    <row r="10810">
      <c r="A10810" s="24"/>
      <c r="B10810" s="25"/>
      <c r="C10810" s="24"/>
      <c r="D10810" s="26"/>
      <c r="E10810" s="24"/>
      <c r="F10810" s="24"/>
      <c r="G10810" s="24"/>
      <c r="H10810" s="24"/>
      <c r="I10810" s="24"/>
      <c r="J10810" s="24"/>
      <c r="K10810" s="24"/>
      <c r="L10810" s="24"/>
      <c r="M10810" s="24"/>
      <c r="N10810" s="24"/>
      <c r="O10810" s="24"/>
      <c r="P10810" s="24"/>
      <c r="Q10810" s="24"/>
      <c r="R10810" s="24"/>
      <c r="S10810" s="24"/>
      <c r="T10810" s="24"/>
      <c r="U10810" s="24"/>
      <c r="V10810" s="24"/>
      <c r="W10810" s="24"/>
      <c r="X10810" s="24"/>
      <c r="Y10810" s="24"/>
      <c r="Z10810" s="24"/>
      <c r="AA10810" s="24"/>
    </row>
    <row r="10811">
      <c r="A10811" s="24"/>
      <c r="B10811" s="25"/>
      <c r="C10811" s="24"/>
      <c r="D10811" s="26"/>
      <c r="E10811" s="24"/>
      <c r="F10811" s="24"/>
      <c r="G10811" s="24"/>
      <c r="H10811" s="24"/>
      <c r="I10811" s="24"/>
      <c r="J10811" s="24"/>
      <c r="K10811" s="24"/>
      <c r="L10811" s="24"/>
      <c r="M10811" s="24"/>
      <c r="N10811" s="24"/>
      <c r="O10811" s="24"/>
      <c r="P10811" s="24"/>
      <c r="Q10811" s="24"/>
      <c r="R10811" s="24"/>
      <c r="S10811" s="24"/>
      <c r="T10811" s="24"/>
      <c r="U10811" s="24"/>
      <c r="V10811" s="24"/>
      <c r="W10811" s="24"/>
      <c r="X10811" s="24"/>
      <c r="Y10811" s="24"/>
      <c r="Z10811" s="24"/>
      <c r="AA10811" s="24"/>
    </row>
    <row r="10812">
      <c r="A10812" s="24"/>
      <c r="B10812" s="25"/>
      <c r="C10812" s="24"/>
      <c r="D10812" s="26"/>
      <c r="E10812" s="24"/>
      <c r="F10812" s="24"/>
      <c r="G10812" s="24"/>
      <c r="H10812" s="24"/>
      <c r="I10812" s="24"/>
      <c r="J10812" s="24"/>
      <c r="K10812" s="24"/>
      <c r="L10812" s="24"/>
      <c r="M10812" s="24"/>
      <c r="N10812" s="24"/>
      <c r="O10812" s="24"/>
      <c r="P10812" s="24"/>
      <c r="Q10812" s="24"/>
      <c r="R10812" s="24"/>
      <c r="S10812" s="24"/>
      <c r="T10812" s="24"/>
      <c r="U10812" s="24"/>
      <c r="V10812" s="24"/>
      <c r="W10812" s="24"/>
      <c r="X10812" s="24"/>
      <c r="Y10812" s="24"/>
      <c r="Z10812" s="24"/>
      <c r="AA10812" s="24"/>
    </row>
    <row r="10813">
      <c r="A10813" s="24"/>
      <c r="B10813" s="25"/>
      <c r="C10813" s="24"/>
      <c r="D10813" s="26"/>
      <c r="E10813" s="24"/>
      <c r="F10813" s="24"/>
      <c r="G10813" s="24"/>
      <c r="H10813" s="24"/>
      <c r="I10813" s="24"/>
      <c r="J10813" s="24"/>
      <c r="K10813" s="24"/>
      <c r="L10813" s="24"/>
      <c r="M10813" s="24"/>
      <c r="N10813" s="24"/>
      <c r="O10813" s="24"/>
      <c r="P10813" s="24"/>
      <c r="Q10813" s="24"/>
      <c r="R10813" s="24"/>
      <c r="S10813" s="24"/>
      <c r="T10813" s="24"/>
      <c r="U10813" s="24"/>
      <c r="V10813" s="24"/>
      <c r="W10813" s="24"/>
      <c r="X10813" s="24"/>
      <c r="Y10813" s="24"/>
      <c r="Z10813" s="24"/>
      <c r="AA10813" s="24"/>
    </row>
    <row r="10814">
      <c r="A10814" s="24"/>
      <c r="B10814" s="25"/>
      <c r="C10814" s="24"/>
      <c r="D10814" s="26"/>
      <c r="E10814" s="24"/>
      <c r="F10814" s="24"/>
      <c r="G10814" s="24"/>
      <c r="H10814" s="24"/>
      <c r="I10814" s="24"/>
      <c r="J10814" s="24"/>
      <c r="K10814" s="24"/>
      <c r="L10814" s="24"/>
      <c r="M10814" s="24"/>
      <c r="N10814" s="24"/>
      <c r="O10814" s="24"/>
      <c r="P10814" s="24"/>
      <c r="Q10814" s="24"/>
      <c r="R10814" s="24"/>
      <c r="S10814" s="24"/>
      <c r="T10814" s="24"/>
      <c r="U10814" s="24"/>
      <c r="V10814" s="24"/>
      <c r="W10814" s="24"/>
      <c r="X10814" s="24"/>
      <c r="Y10814" s="24"/>
      <c r="Z10814" s="24"/>
      <c r="AA10814" s="24"/>
    </row>
    <row r="10815">
      <c r="A10815" s="24"/>
      <c r="B10815" s="25"/>
      <c r="C10815" s="24"/>
      <c r="D10815" s="26"/>
      <c r="E10815" s="24"/>
      <c r="F10815" s="24"/>
      <c r="G10815" s="24"/>
      <c r="H10815" s="24"/>
      <c r="I10815" s="24"/>
      <c r="J10815" s="24"/>
      <c r="K10815" s="24"/>
      <c r="L10815" s="24"/>
      <c r="M10815" s="24"/>
      <c r="N10815" s="24"/>
      <c r="O10815" s="24"/>
      <c r="P10815" s="24"/>
      <c r="Q10815" s="24"/>
      <c r="R10815" s="24"/>
      <c r="S10815" s="24"/>
      <c r="T10815" s="24"/>
      <c r="U10815" s="24"/>
      <c r="V10815" s="24"/>
      <c r="W10815" s="24"/>
      <c r="X10815" s="24"/>
      <c r="Y10815" s="24"/>
      <c r="Z10815" s="24"/>
      <c r="AA10815" s="24"/>
    </row>
    <row r="10816">
      <c r="A10816" s="24"/>
      <c r="B10816" s="25"/>
      <c r="C10816" s="24"/>
      <c r="D10816" s="26"/>
      <c r="E10816" s="24"/>
      <c r="F10816" s="24"/>
      <c r="G10816" s="24"/>
      <c r="H10816" s="24"/>
      <c r="I10816" s="24"/>
      <c r="J10816" s="24"/>
      <c r="K10816" s="24"/>
      <c r="L10816" s="24"/>
      <c r="M10816" s="24"/>
      <c r="N10816" s="24"/>
      <c r="O10816" s="24"/>
      <c r="P10816" s="24"/>
      <c r="Q10816" s="24"/>
      <c r="R10816" s="24"/>
      <c r="S10816" s="24"/>
      <c r="T10816" s="24"/>
      <c r="U10816" s="24"/>
      <c r="V10816" s="24"/>
      <c r="W10816" s="24"/>
      <c r="X10816" s="24"/>
      <c r="Y10816" s="24"/>
      <c r="Z10816" s="24"/>
      <c r="AA10816" s="24"/>
    </row>
    <row r="10817">
      <c r="A10817" s="24"/>
      <c r="B10817" s="25"/>
      <c r="C10817" s="24"/>
      <c r="D10817" s="26"/>
      <c r="E10817" s="24"/>
      <c r="F10817" s="24"/>
      <c r="G10817" s="24"/>
      <c r="H10817" s="24"/>
      <c r="I10817" s="24"/>
      <c r="J10817" s="24"/>
      <c r="K10817" s="24"/>
      <c r="L10817" s="24"/>
      <c r="M10817" s="24"/>
      <c r="N10817" s="24"/>
      <c r="O10817" s="24"/>
      <c r="P10817" s="24"/>
      <c r="Q10817" s="24"/>
      <c r="R10817" s="24"/>
      <c r="S10817" s="24"/>
      <c r="T10817" s="24"/>
      <c r="U10817" s="24"/>
      <c r="V10817" s="24"/>
      <c r="W10817" s="24"/>
      <c r="X10817" s="24"/>
      <c r="Y10817" s="24"/>
      <c r="Z10817" s="24"/>
      <c r="AA10817" s="24"/>
    </row>
    <row r="10818">
      <c r="A10818" s="24"/>
      <c r="B10818" s="25"/>
      <c r="C10818" s="24"/>
      <c r="D10818" s="26"/>
      <c r="E10818" s="24"/>
      <c r="F10818" s="24"/>
      <c r="G10818" s="24"/>
      <c r="H10818" s="24"/>
      <c r="I10818" s="24"/>
      <c r="J10818" s="24"/>
      <c r="K10818" s="24"/>
      <c r="L10818" s="24"/>
      <c r="M10818" s="24"/>
      <c r="N10818" s="24"/>
      <c r="O10818" s="24"/>
      <c r="P10818" s="24"/>
      <c r="Q10818" s="24"/>
      <c r="R10818" s="24"/>
      <c r="S10818" s="24"/>
      <c r="T10818" s="24"/>
      <c r="U10818" s="24"/>
      <c r="V10818" s="24"/>
      <c r="W10818" s="24"/>
      <c r="X10818" s="24"/>
      <c r="Y10818" s="24"/>
      <c r="Z10818" s="24"/>
      <c r="AA10818" s="24"/>
    </row>
    <row r="10819">
      <c r="A10819" s="24"/>
      <c r="B10819" s="25"/>
      <c r="C10819" s="24"/>
      <c r="D10819" s="26"/>
      <c r="E10819" s="24"/>
      <c r="F10819" s="24"/>
      <c r="G10819" s="24"/>
      <c r="H10819" s="24"/>
      <c r="I10819" s="24"/>
      <c r="J10819" s="24"/>
      <c r="K10819" s="24"/>
      <c r="L10819" s="24"/>
      <c r="M10819" s="24"/>
      <c r="N10819" s="24"/>
      <c r="O10819" s="24"/>
      <c r="P10819" s="24"/>
      <c r="Q10819" s="24"/>
      <c r="R10819" s="24"/>
      <c r="S10819" s="24"/>
      <c r="T10819" s="24"/>
      <c r="U10819" s="24"/>
      <c r="V10819" s="24"/>
      <c r="W10819" s="24"/>
      <c r="X10819" s="24"/>
      <c r="Y10819" s="24"/>
      <c r="Z10819" s="24"/>
      <c r="AA10819" s="24"/>
    </row>
    <row r="10820">
      <c r="A10820" s="24"/>
      <c r="B10820" s="25"/>
      <c r="C10820" s="24"/>
      <c r="D10820" s="26"/>
      <c r="E10820" s="24"/>
      <c r="F10820" s="24"/>
      <c r="G10820" s="24"/>
      <c r="H10820" s="24"/>
      <c r="I10820" s="24"/>
      <c r="J10820" s="24"/>
      <c r="K10820" s="24"/>
      <c r="L10820" s="24"/>
      <c r="M10820" s="24"/>
      <c r="N10820" s="24"/>
      <c r="O10820" s="24"/>
      <c r="P10820" s="24"/>
      <c r="Q10820" s="24"/>
      <c r="R10820" s="24"/>
      <c r="S10820" s="24"/>
      <c r="T10820" s="24"/>
      <c r="U10820" s="24"/>
      <c r="V10820" s="24"/>
      <c r="W10820" s="24"/>
      <c r="X10820" s="24"/>
      <c r="Y10820" s="24"/>
      <c r="Z10820" s="24"/>
      <c r="AA10820" s="24"/>
    </row>
    <row r="10821">
      <c r="A10821" s="24"/>
      <c r="B10821" s="25"/>
      <c r="C10821" s="24"/>
      <c r="D10821" s="26"/>
      <c r="E10821" s="24"/>
      <c r="F10821" s="24"/>
      <c r="G10821" s="24"/>
      <c r="H10821" s="24"/>
      <c r="I10821" s="24"/>
      <c r="J10821" s="24"/>
      <c r="K10821" s="24"/>
      <c r="L10821" s="24"/>
      <c r="M10821" s="24"/>
      <c r="N10821" s="24"/>
      <c r="O10821" s="24"/>
      <c r="P10821" s="24"/>
      <c r="Q10821" s="24"/>
      <c r="R10821" s="24"/>
      <c r="S10821" s="24"/>
      <c r="T10821" s="24"/>
      <c r="U10821" s="24"/>
      <c r="V10821" s="24"/>
      <c r="W10821" s="24"/>
      <c r="X10821" s="24"/>
      <c r="Y10821" s="24"/>
      <c r="Z10821" s="24"/>
      <c r="AA10821" s="24"/>
    </row>
    <row r="10822">
      <c r="A10822" s="24"/>
      <c r="B10822" s="25"/>
      <c r="C10822" s="24"/>
      <c r="D10822" s="26"/>
      <c r="E10822" s="24"/>
      <c r="F10822" s="24"/>
      <c r="G10822" s="24"/>
      <c r="H10822" s="24"/>
      <c r="I10822" s="24"/>
      <c r="J10822" s="24"/>
      <c r="K10822" s="24"/>
      <c r="L10822" s="24"/>
      <c r="M10822" s="24"/>
      <c r="N10822" s="24"/>
      <c r="O10822" s="24"/>
      <c r="P10822" s="24"/>
      <c r="Q10822" s="24"/>
      <c r="R10822" s="24"/>
      <c r="S10822" s="24"/>
      <c r="T10822" s="24"/>
      <c r="U10822" s="24"/>
      <c r="V10822" s="24"/>
      <c r="W10822" s="24"/>
      <c r="X10822" s="24"/>
      <c r="Y10822" s="24"/>
      <c r="Z10822" s="24"/>
      <c r="AA10822" s="24"/>
    </row>
    <row r="10823">
      <c r="A10823" s="24"/>
      <c r="B10823" s="25"/>
      <c r="C10823" s="24"/>
      <c r="D10823" s="26"/>
      <c r="E10823" s="24"/>
      <c r="F10823" s="24"/>
      <c r="G10823" s="24"/>
      <c r="H10823" s="24"/>
      <c r="I10823" s="24"/>
      <c r="J10823" s="24"/>
      <c r="K10823" s="24"/>
      <c r="L10823" s="24"/>
      <c r="M10823" s="24"/>
      <c r="N10823" s="24"/>
      <c r="O10823" s="24"/>
      <c r="P10823" s="24"/>
      <c r="Q10823" s="24"/>
      <c r="R10823" s="24"/>
      <c r="S10823" s="24"/>
      <c r="T10823" s="24"/>
      <c r="U10823" s="24"/>
      <c r="V10823" s="24"/>
      <c r="W10823" s="24"/>
      <c r="X10823" s="24"/>
      <c r="Y10823" s="24"/>
      <c r="Z10823" s="24"/>
      <c r="AA10823" s="24"/>
    </row>
    <row r="10824">
      <c r="A10824" s="24"/>
      <c r="B10824" s="25"/>
      <c r="C10824" s="24"/>
      <c r="D10824" s="26"/>
      <c r="E10824" s="24"/>
      <c r="F10824" s="24"/>
      <c r="G10824" s="24"/>
      <c r="H10824" s="24"/>
      <c r="I10824" s="24"/>
      <c r="J10824" s="24"/>
      <c r="K10824" s="24"/>
      <c r="L10824" s="24"/>
      <c r="M10824" s="24"/>
      <c r="N10824" s="24"/>
      <c r="O10824" s="24"/>
      <c r="P10824" s="24"/>
      <c r="Q10824" s="24"/>
      <c r="R10824" s="24"/>
      <c r="S10824" s="24"/>
      <c r="T10824" s="24"/>
      <c r="U10824" s="24"/>
      <c r="V10824" s="24"/>
      <c r="W10824" s="24"/>
      <c r="X10824" s="24"/>
      <c r="Y10824" s="24"/>
      <c r="Z10824" s="24"/>
      <c r="AA10824" s="24"/>
    </row>
    <row r="10825">
      <c r="A10825" s="24"/>
      <c r="B10825" s="25"/>
      <c r="C10825" s="24"/>
      <c r="D10825" s="26"/>
      <c r="E10825" s="24"/>
      <c r="F10825" s="24"/>
      <c r="G10825" s="24"/>
      <c r="H10825" s="24"/>
      <c r="I10825" s="24"/>
      <c r="J10825" s="24"/>
      <c r="K10825" s="24"/>
      <c r="L10825" s="24"/>
      <c r="M10825" s="24"/>
      <c r="N10825" s="24"/>
      <c r="O10825" s="24"/>
      <c r="P10825" s="24"/>
      <c r="Q10825" s="24"/>
      <c r="R10825" s="24"/>
      <c r="S10825" s="24"/>
      <c r="T10825" s="24"/>
      <c r="U10825" s="24"/>
      <c r="V10825" s="24"/>
      <c r="W10825" s="24"/>
      <c r="X10825" s="24"/>
      <c r="Y10825" s="24"/>
      <c r="Z10825" s="24"/>
      <c r="AA10825" s="24"/>
    </row>
    <row r="10826">
      <c r="A10826" s="24"/>
      <c r="B10826" s="25"/>
      <c r="C10826" s="24"/>
      <c r="D10826" s="26"/>
      <c r="E10826" s="24"/>
      <c r="F10826" s="24"/>
      <c r="G10826" s="24"/>
      <c r="H10826" s="24"/>
      <c r="I10826" s="24"/>
      <c r="J10826" s="24"/>
      <c r="K10826" s="24"/>
      <c r="L10826" s="24"/>
      <c r="M10826" s="24"/>
      <c r="N10826" s="24"/>
      <c r="O10826" s="24"/>
      <c r="P10826" s="24"/>
      <c r="Q10826" s="24"/>
      <c r="R10826" s="24"/>
      <c r="S10826" s="24"/>
      <c r="T10826" s="24"/>
      <c r="U10826" s="24"/>
      <c r="V10826" s="24"/>
      <c r="W10826" s="24"/>
      <c r="X10826" s="24"/>
      <c r="Y10826" s="24"/>
      <c r="Z10826" s="24"/>
      <c r="AA10826" s="24"/>
    </row>
    <row r="10827">
      <c r="A10827" s="24"/>
      <c r="B10827" s="25"/>
      <c r="C10827" s="24"/>
      <c r="D10827" s="26"/>
      <c r="E10827" s="24"/>
      <c r="F10827" s="24"/>
      <c r="G10827" s="24"/>
      <c r="H10827" s="24"/>
      <c r="I10827" s="24"/>
      <c r="J10827" s="24"/>
      <c r="K10827" s="24"/>
      <c r="L10827" s="24"/>
      <c r="M10827" s="24"/>
      <c r="N10827" s="24"/>
      <c r="O10827" s="24"/>
      <c r="P10827" s="24"/>
      <c r="Q10827" s="24"/>
      <c r="R10827" s="24"/>
      <c r="S10827" s="24"/>
      <c r="T10827" s="24"/>
      <c r="U10827" s="24"/>
      <c r="V10827" s="24"/>
      <c r="W10827" s="24"/>
      <c r="X10827" s="24"/>
      <c r="Y10827" s="24"/>
      <c r="Z10827" s="24"/>
      <c r="AA10827" s="24"/>
    </row>
    <row r="10828">
      <c r="A10828" s="24"/>
      <c r="B10828" s="25"/>
      <c r="C10828" s="24"/>
      <c r="D10828" s="26"/>
      <c r="E10828" s="24"/>
      <c r="F10828" s="24"/>
      <c r="G10828" s="24"/>
      <c r="H10828" s="24"/>
      <c r="I10828" s="24"/>
      <c r="J10828" s="24"/>
      <c r="K10828" s="24"/>
      <c r="L10828" s="24"/>
      <c r="M10828" s="24"/>
      <c r="N10828" s="24"/>
      <c r="O10828" s="24"/>
      <c r="P10828" s="24"/>
      <c r="Q10828" s="24"/>
      <c r="R10828" s="24"/>
      <c r="S10828" s="24"/>
      <c r="T10828" s="24"/>
      <c r="U10828" s="24"/>
      <c r="V10828" s="24"/>
      <c r="W10828" s="24"/>
      <c r="X10828" s="24"/>
      <c r="Y10828" s="24"/>
      <c r="Z10828" s="24"/>
      <c r="AA10828" s="24"/>
    </row>
    <row r="10829">
      <c r="A10829" s="24"/>
      <c r="B10829" s="25"/>
      <c r="C10829" s="24"/>
      <c r="D10829" s="26"/>
      <c r="E10829" s="24"/>
      <c r="F10829" s="24"/>
      <c r="G10829" s="24"/>
      <c r="H10829" s="24"/>
      <c r="I10829" s="24"/>
      <c r="J10829" s="24"/>
      <c r="K10829" s="24"/>
      <c r="L10829" s="24"/>
      <c r="M10829" s="24"/>
      <c r="N10829" s="24"/>
      <c r="O10829" s="24"/>
      <c r="P10829" s="24"/>
      <c r="Q10829" s="24"/>
      <c r="R10829" s="24"/>
      <c r="S10829" s="24"/>
      <c r="T10829" s="24"/>
      <c r="U10829" s="24"/>
      <c r="V10829" s="24"/>
      <c r="W10829" s="24"/>
      <c r="X10829" s="24"/>
      <c r="Y10829" s="24"/>
      <c r="Z10829" s="24"/>
      <c r="AA10829" s="24"/>
    </row>
    <row r="10830">
      <c r="A10830" s="24"/>
      <c r="B10830" s="25"/>
      <c r="C10830" s="24"/>
      <c r="D10830" s="26"/>
      <c r="E10830" s="24"/>
      <c r="F10830" s="24"/>
      <c r="G10830" s="24"/>
      <c r="H10830" s="24"/>
      <c r="I10830" s="24"/>
      <c r="J10830" s="24"/>
      <c r="K10830" s="24"/>
      <c r="L10830" s="24"/>
      <c r="M10830" s="24"/>
      <c r="N10830" s="24"/>
      <c r="O10830" s="24"/>
      <c r="P10830" s="24"/>
      <c r="Q10830" s="24"/>
      <c r="R10830" s="24"/>
      <c r="S10830" s="24"/>
      <c r="T10830" s="24"/>
      <c r="U10830" s="24"/>
      <c r="V10830" s="24"/>
      <c r="W10830" s="24"/>
      <c r="X10830" s="24"/>
      <c r="Y10830" s="24"/>
      <c r="Z10830" s="24"/>
      <c r="AA10830" s="24"/>
    </row>
    <row r="10831">
      <c r="A10831" s="24"/>
      <c r="B10831" s="25"/>
      <c r="C10831" s="24"/>
      <c r="D10831" s="26"/>
      <c r="E10831" s="24"/>
      <c r="F10831" s="24"/>
      <c r="G10831" s="24"/>
      <c r="H10831" s="24"/>
      <c r="I10831" s="24"/>
      <c r="J10831" s="24"/>
      <c r="K10831" s="24"/>
      <c r="L10831" s="24"/>
      <c r="M10831" s="24"/>
      <c r="N10831" s="24"/>
      <c r="O10831" s="24"/>
      <c r="P10831" s="24"/>
      <c r="Q10831" s="24"/>
      <c r="R10831" s="24"/>
      <c r="S10831" s="24"/>
      <c r="T10831" s="24"/>
      <c r="U10831" s="24"/>
      <c r="V10831" s="24"/>
      <c r="W10831" s="24"/>
      <c r="X10831" s="24"/>
      <c r="Y10831" s="24"/>
      <c r="Z10831" s="24"/>
      <c r="AA10831" s="24"/>
    </row>
    <row r="10832">
      <c r="A10832" s="24"/>
      <c r="B10832" s="25"/>
      <c r="C10832" s="24"/>
      <c r="D10832" s="26"/>
      <c r="E10832" s="24"/>
      <c r="F10832" s="24"/>
      <c r="G10832" s="24"/>
      <c r="H10832" s="24"/>
      <c r="I10832" s="24"/>
      <c r="J10832" s="24"/>
      <c r="K10832" s="24"/>
      <c r="L10832" s="24"/>
      <c r="M10832" s="24"/>
      <c r="N10832" s="24"/>
      <c r="O10832" s="24"/>
      <c r="P10832" s="24"/>
      <c r="Q10832" s="24"/>
      <c r="R10832" s="24"/>
      <c r="S10832" s="24"/>
      <c r="T10832" s="24"/>
      <c r="U10832" s="24"/>
      <c r="V10832" s="24"/>
      <c r="W10832" s="24"/>
      <c r="X10832" s="24"/>
      <c r="Y10832" s="24"/>
      <c r="Z10832" s="24"/>
      <c r="AA10832" s="24"/>
    </row>
    <row r="10833">
      <c r="A10833" s="24"/>
      <c r="B10833" s="25"/>
      <c r="C10833" s="24"/>
      <c r="D10833" s="26"/>
      <c r="E10833" s="24"/>
      <c r="F10833" s="24"/>
      <c r="G10833" s="24"/>
      <c r="H10833" s="24"/>
      <c r="I10833" s="24"/>
      <c r="J10833" s="24"/>
      <c r="K10833" s="24"/>
      <c r="L10833" s="24"/>
      <c r="M10833" s="24"/>
      <c r="N10833" s="24"/>
      <c r="O10833" s="24"/>
      <c r="P10833" s="24"/>
      <c r="Q10833" s="24"/>
      <c r="R10833" s="24"/>
      <c r="S10833" s="24"/>
      <c r="T10833" s="24"/>
      <c r="U10833" s="24"/>
      <c r="V10833" s="24"/>
      <c r="W10833" s="24"/>
      <c r="X10833" s="24"/>
      <c r="Y10833" s="24"/>
      <c r="Z10833" s="24"/>
      <c r="AA10833" s="24"/>
    </row>
    <row r="10834">
      <c r="A10834" s="24"/>
      <c r="B10834" s="25"/>
      <c r="C10834" s="24"/>
      <c r="D10834" s="26"/>
      <c r="E10834" s="24"/>
      <c r="F10834" s="24"/>
      <c r="G10834" s="24"/>
      <c r="H10834" s="24"/>
      <c r="I10834" s="24"/>
      <c r="J10834" s="24"/>
      <c r="K10834" s="24"/>
      <c r="L10834" s="24"/>
      <c r="M10834" s="24"/>
      <c r="N10834" s="24"/>
      <c r="O10834" s="24"/>
      <c r="P10834" s="24"/>
      <c r="Q10834" s="24"/>
      <c r="R10834" s="24"/>
      <c r="S10834" s="24"/>
      <c r="T10834" s="24"/>
      <c r="U10834" s="24"/>
      <c r="V10834" s="24"/>
      <c r="W10834" s="24"/>
      <c r="X10834" s="24"/>
      <c r="Y10834" s="24"/>
      <c r="Z10834" s="24"/>
      <c r="AA10834" s="24"/>
    </row>
    <row r="10835">
      <c r="A10835" s="24"/>
      <c r="B10835" s="25"/>
      <c r="C10835" s="24"/>
      <c r="D10835" s="26"/>
      <c r="E10835" s="24"/>
      <c r="F10835" s="24"/>
      <c r="G10835" s="24"/>
      <c r="H10835" s="24"/>
      <c r="I10835" s="24"/>
      <c r="J10835" s="24"/>
      <c r="K10835" s="24"/>
      <c r="L10835" s="24"/>
      <c r="M10835" s="24"/>
      <c r="N10835" s="24"/>
      <c r="O10835" s="24"/>
      <c r="P10835" s="24"/>
      <c r="Q10835" s="24"/>
      <c r="R10835" s="24"/>
      <c r="S10835" s="24"/>
      <c r="T10835" s="24"/>
      <c r="U10835" s="24"/>
      <c r="V10835" s="24"/>
      <c r="W10835" s="24"/>
      <c r="X10835" s="24"/>
      <c r="Y10835" s="24"/>
      <c r="Z10835" s="24"/>
      <c r="AA10835" s="24"/>
    </row>
    <row r="10836">
      <c r="A10836" s="24"/>
      <c r="B10836" s="25"/>
      <c r="C10836" s="24"/>
      <c r="D10836" s="26"/>
      <c r="E10836" s="24"/>
      <c r="F10836" s="24"/>
      <c r="G10836" s="24"/>
      <c r="H10836" s="24"/>
      <c r="I10836" s="24"/>
      <c r="J10836" s="24"/>
      <c r="K10836" s="24"/>
      <c r="L10836" s="24"/>
      <c r="M10836" s="24"/>
      <c r="N10836" s="24"/>
      <c r="O10836" s="24"/>
      <c r="P10836" s="24"/>
      <c r="Q10836" s="24"/>
      <c r="R10836" s="24"/>
      <c r="S10836" s="24"/>
      <c r="T10836" s="24"/>
      <c r="U10836" s="24"/>
      <c r="V10836" s="24"/>
      <c r="W10836" s="24"/>
      <c r="X10836" s="24"/>
      <c r="Y10836" s="24"/>
      <c r="Z10836" s="24"/>
      <c r="AA10836" s="24"/>
    </row>
    <row r="10837">
      <c r="A10837" s="24"/>
      <c r="B10837" s="25"/>
      <c r="C10837" s="24"/>
      <c r="D10837" s="26"/>
      <c r="E10837" s="24"/>
      <c r="F10837" s="24"/>
      <c r="G10837" s="24"/>
      <c r="H10837" s="24"/>
      <c r="I10837" s="24"/>
      <c r="J10837" s="24"/>
      <c r="K10837" s="24"/>
      <c r="L10837" s="24"/>
      <c r="M10837" s="24"/>
      <c r="N10837" s="24"/>
      <c r="O10837" s="24"/>
      <c r="P10837" s="24"/>
      <c r="Q10837" s="24"/>
      <c r="R10837" s="24"/>
      <c r="S10837" s="24"/>
      <c r="T10837" s="24"/>
      <c r="U10837" s="24"/>
      <c r="V10837" s="24"/>
      <c r="W10837" s="24"/>
      <c r="X10837" s="24"/>
      <c r="Y10837" s="24"/>
      <c r="Z10837" s="24"/>
      <c r="AA10837" s="24"/>
    </row>
    <row r="10838">
      <c r="A10838" s="24"/>
      <c r="B10838" s="25"/>
      <c r="C10838" s="24"/>
      <c r="D10838" s="26"/>
      <c r="E10838" s="24"/>
      <c r="F10838" s="24"/>
      <c r="G10838" s="24"/>
      <c r="H10838" s="24"/>
      <c r="I10838" s="24"/>
      <c r="J10838" s="24"/>
      <c r="K10838" s="24"/>
      <c r="L10838" s="24"/>
      <c r="M10838" s="24"/>
      <c r="N10838" s="24"/>
      <c r="O10838" s="24"/>
      <c r="P10838" s="24"/>
      <c r="Q10838" s="24"/>
      <c r="R10838" s="24"/>
      <c r="S10838" s="24"/>
      <c r="T10838" s="24"/>
      <c r="U10838" s="24"/>
      <c r="V10838" s="24"/>
      <c r="W10838" s="24"/>
      <c r="X10838" s="24"/>
      <c r="Y10838" s="24"/>
      <c r="Z10838" s="24"/>
      <c r="AA10838" s="24"/>
    </row>
    <row r="10839">
      <c r="A10839" s="24"/>
      <c r="B10839" s="25"/>
      <c r="C10839" s="24"/>
      <c r="D10839" s="26"/>
      <c r="E10839" s="24"/>
      <c r="F10839" s="24"/>
      <c r="G10839" s="24"/>
      <c r="H10839" s="24"/>
      <c r="I10839" s="24"/>
      <c r="J10839" s="24"/>
      <c r="K10839" s="24"/>
      <c r="L10839" s="24"/>
      <c r="M10839" s="24"/>
      <c r="N10839" s="24"/>
      <c r="O10839" s="24"/>
      <c r="P10839" s="24"/>
      <c r="Q10839" s="24"/>
      <c r="R10839" s="24"/>
      <c r="S10839" s="24"/>
      <c r="T10839" s="24"/>
      <c r="U10839" s="24"/>
      <c r="V10839" s="24"/>
      <c r="W10839" s="24"/>
      <c r="X10839" s="24"/>
      <c r="Y10839" s="24"/>
      <c r="Z10839" s="24"/>
      <c r="AA10839" s="24"/>
    </row>
    <row r="10840">
      <c r="A10840" s="24"/>
      <c r="B10840" s="25"/>
      <c r="C10840" s="24"/>
      <c r="D10840" s="26"/>
      <c r="E10840" s="24"/>
      <c r="F10840" s="24"/>
      <c r="G10840" s="24"/>
      <c r="H10840" s="24"/>
      <c r="I10840" s="24"/>
      <c r="J10840" s="24"/>
      <c r="K10840" s="24"/>
      <c r="L10840" s="24"/>
      <c r="M10840" s="24"/>
      <c r="N10840" s="24"/>
      <c r="O10840" s="24"/>
      <c r="P10840" s="24"/>
      <c r="Q10840" s="24"/>
      <c r="R10840" s="24"/>
      <c r="S10840" s="24"/>
      <c r="T10840" s="24"/>
      <c r="U10840" s="24"/>
      <c r="V10840" s="24"/>
      <c r="W10840" s="24"/>
      <c r="X10840" s="24"/>
      <c r="Y10840" s="24"/>
      <c r="Z10840" s="24"/>
      <c r="AA10840" s="24"/>
    </row>
    <row r="10841">
      <c r="A10841" s="24"/>
      <c r="B10841" s="25"/>
      <c r="C10841" s="24"/>
      <c r="D10841" s="26"/>
      <c r="E10841" s="24"/>
      <c r="F10841" s="24"/>
      <c r="G10841" s="24"/>
      <c r="H10841" s="24"/>
      <c r="I10841" s="24"/>
      <c r="J10841" s="24"/>
      <c r="K10841" s="24"/>
      <c r="L10841" s="24"/>
      <c r="M10841" s="24"/>
      <c r="N10841" s="24"/>
      <c r="O10841" s="24"/>
      <c r="P10841" s="24"/>
      <c r="Q10841" s="24"/>
      <c r="R10841" s="24"/>
      <c r="S10841" s="24"/>
      <c r="T10841" s="24"/>
      <c r="U10841" s="24"/>
      <c r="V10841" s="24"/>
      <c r="W10841" s="24"/>
      <c r="X10841" s="24"/>
      <c r="Y10841" s="24"/>
      <c r="Z10841" s="24"/>
      <c r="AA10841" s="24"/>
    </row>
    <row r="10842">
      <c r="A10842" s="24"/>
      <c r="B10842" s="25"/>
      <c r="C10842" s="24"/>
      <c r="D10842" s="26"/>
      <c r="E10842" s="24"/>
      <c r="F10842" s="24"/>
      <c r="G10842" s="24"/>
      <c r="H10842" s="24"/>
      <c r="I10842" s="24"/>
      <c r="J10842" s="24"/>
      <c r="K10842" s="24"/>
      <c r="L10842" s="24"/>
      <c r="M10842" s="24"/>
      <c r="N10842" s="24"/>
      <c r="O10842" s="24"/>
      <c r="P10842" s="24"/>
      <c r="Q10842" s="24"/>
      <c r="R10842" s="24"/>
      <c r="S10842" s="24"/>
      <c r="T10842" s="24"/>
      <c r="U10842" s="24"/>
      <c r="V10842" s="24"/>
      <c r="W10842" s="24"/>
      <c r="X10842" s="24"/>
      <c r="Y10842" s="24"/>
      <c r="Z10842" s="24"/>
      <c r="AA10842" s="24"/>
    </row>
    <row r="10843">
      <c r="A10843" s="24"/>
      <c r="B10843" s="25"/>
      <c r="C10843" s="24"/>
      <c r="D10843" s="26"/>
      <c r="E10843" s="24"/>
      <c r="F10843" s="24"/>
      <c r="G10843" s="24"/>
      <c r="H10843" s="24"/>
      <c r="I10843" s="24"/>
      <c r="J10843" s="24"/>
      <c r="K10843" s="24"/>
      <c r="L10843" s="24"/>
      <c r="M10843" s="24"/>
      <c r="N10843" s="24"/>
      <c r="O10843" s="24"/>
      <c r="P10843" s="24"/>
      <c r="Q10843" s="24"/>
      <c r="R10843" s="24"/>
      <c r="S10843" s="24"/>
      <c r="T10843" s="24"/>
      <c r="U10843" s="24"/>
      <c r="V10843" s="24"/>
      <c r="W10843" s="24"/>
      <c r="X10843" s="24"/>
      <c r="Y10843" s="24"/>
      <c r="Z10843" s="24"/>
      <c r="AA10843" s="24"/>
    </row>
    <row r="10844">
      <c r="A10844" s="24"/>
      <c r="B10844" s="25"/>
      <c r="C10844" s="24"/>
      <c r="D10844" s="26"/>
      <c r="E10844" s="24"/>
      <c r="F10844" s="24"/>
      <c r="G10844" s="24"/>
      <c r="H10844" s="24"/>
      <c r="I10844" s="24"/>
      <c r="J10844" s="24"/>
      <c r="K10844" s="24"/>
      <c r="L10844" s="24"/>
      <c r="M10844" s="24"/>
      <c r="N10844" s="24"/>
      <c r="O10844" s="24"/>
      <c r="P10844" s="24"/>
      <c r="Q10844" s="24"/>
      <c r="R10844" s="24"/>
      <c r="S10844" s="24"/>
      <c r="T10844" s="24"/>
      <c r="U10844" s="24"/>
      <c r="V10844" s="24"/>
      <c r="W10844" s="24"/>
      <c r="X10844" s="24"/>
      <c r="Y10844" s="24"/>
      <c r="Z10844" s="24"/>
      <c r="AA10844" s="24"/>
    </row>
    <row r="10845">
      <c r="A10845" s="24"/>
      <c r="B10845" s="25"/>
      <c r="C10845" s="24"/>
      <c r="D10845" s="26"/>
      <c r="E10845" s="24"/>
      <c r="F10845" s="24"/>
      <c r="G10845" s="24"/>
      <c r="H10845" s="24"/>
      <c r="I10845" s="24"/>
      <c r="J10845" s="24"/>
      <c r="K10845" s="24"/>
      <c r="L10845" s="24"/>
      <c r="M10845" s="24"/>
      <c r="N10845" s="24"/>
      <c r="O10845" s="24"/>
      <c r="P10845" s="24"/>
      <c r="Q10845" s="24"/>
      <c r="R10845" s="24"/>
      <c r="S10845" s="24"/>
      <c r="T10845" s="24"/>
      <c r="U10845" s="24"/>
      <c r="V10845" s="24"/>
      <c r="W10845" s="24"/>
      <c r="X10845" s="24"/>
      <c r="Y10845" s="24"/>
      <c r="Z10845" s="24"/>
      <c r="AA10845" s="24"/>
    </row>
    <row r="10846">
      <c r="A10846" s="24"/>
      <c r="B10846" s="25"/>
      <c r="C10846" s="24"/>
      <c r="D10846" s="26"/>
      <c r="E10846" s="24"/>
      <c r="F10846" s="24"/>
      <c r="G10846" s="24"/>
      <c r="H10846" s="24"/>
      <c r="I10846" s="24"/>
      <c r="J10846" s="24"/>
      <c r="K10846" s="24"/>
      <c r="L10846" s="24"/>
      <c r="M10846" s="24"/>
      <c r="N10846" s="24"/>
      <c r="O10846" s="24"/>
      <c r="P10846" s="24"/>
      <c r="Q10846" s="24"/>
      <c r="R10846" s="24"/>
      <c r="S10846" s="24"/>
      <c r="T10846" s="24"/>
      <c r="U10846" s="24"/>
      <c r="V10846" s="24"/>
      <c r="W10846" s="24"/>
      <c r="X10846" s="24"/>
      <c r="Y10846" s="24"/>
      <c r="Z10846" s="24"/>
      <c r="AA10846" s="24"/>
    </row>
    <row r="10847">
      <c r="A10847" s="24"/>
      <c r="B10847" s="25"/>
      <c r="C10847" s="24"/>
      <c r="D10847" s="26"/>
      <c r="E10847" s="24"/>
      <c r="F10847" s="24"/>
      <c r="G10847" s="24"/>
      <c r="H10847" s="24"/>
      <c r="I10847" s="24"/>
      <c r="J10847" s="24"/>
      <c r="K10847" s="24"/>
      <c r="L10847" s="24"/>
      <c r="M10847" s="24"/>
      <c r="N10847" s="24"/>
      <c r="O10847" s="24"/>
      <c r="P10847" s="24"/>
      <c r="Q10847" s="24"/>
      <c r="R10847" s="24"/>
      <c r="S10847" s="24"/>
      <c r="T10847" s="24"/>
      <c r="U10847" s="24"/>
      <c r="V10847" s="24"/>
      <c r="W10847" s="24"/>
      <c r="X10847" s="24"/>
      <c r="Y10847" s="24"/>
      <c r="Z10847" s="24"/>
      <c r="AA10847" s="24"/>
    </row>
    <row r="10848">
      <c r="A10848" s="24"/>
      <c r="B10848" s="25"/>
      <c r="C10848" s="24"/>
      <c r="D10848" s="26"/>
      <c r="E10848" s="24"/>
      <c r="F10848" s="24"/>
      <c r="G10848" s="24"/>
      <c r="H10848" s="24"/>
      <c r="I10848" s="24"/>
      <c r="J10848" s="24"/>
      <c r="K10848" s="24"/>
      <c r="L10848" s="24"/>
      <c r="M10848" s="24"/>
      <c r="N10848" s="24"/>
      <c r="O10848" s="24"/>
      <c r="P10848" s="24"/>
      <c r="Q10848" s="24"/>
      <c r="R10848" s="24"/>
      <c r="S10848" s="24"/>
      <c r="T10848" s="24"/>
      <c r="U10848" s="24"/>
      <c r="V10848" s="24"/>
      <c r="W10848" s="24"/>
      <c r="X10848" s="24"/>
      <c r="Y10848" s="24"/>
      <c r="Z10848" s="24"/>
      <c r="AA10848" s="24"/>
    </row>
    <row r="10849">
      <c r="A10849" s="24"/>
      <c r="B10849" s="25"/>
      <c r="C10849" s="24"/>
      <c r="D10849" s="26"/>
      <c r="E10849" s="24"/>
      <c r="F10849" s="24"/>
      <c r="G10849" s="24"/>
      <c r="H10849" s="24"/>
      <c r="I10849" s="24"/>
      <c r="J10849" s="24"/>
      <c r="K10849" s="24"/>
      <c r="L10849" s="24"/>
      <c r="M10849" s="24"/>
      <c r="N10849" s="24"/>
      <c r="O10849" s="24"/>
      <c r="P10849" s="24"/>
      <c r="Q10849" s="24"/>
      <c r="R10849" s="24"/>
      <c r="S10849" s="24"/>
      <c r="T10849" s="24"/>
      <c r="U10849" s="24"/>
      <c r="V10849" s="24"/>
      <c r="W10849" s="24"/>
      <c r="X10849" s="24"/>
      <c r="Y10849" s="24"/>
      <c r="Z10849" s="24"/>
      <c r="AA10849" s="24"/>
    </row>
    <row r="10850">
      <c r="A10850" s="24"/>
      <c r="B10850" s="25"/>
      <c r="C10850" s="24"/>
      <c r="D10850" s="26"/>
      <c r="E10850" s="24"/>
      <c r="F10850" s="24"/>
      <c r="G10850" s="24"/>
      <c r="H10850" s="24"/>
      <c r="I10850" s="24"/>
      <c r="J10850" s="24"/>
      <c r="K10850" s="24"/>
      <c r="L10850" s="24"/>
      <c r="M10850" s="24"/>
      <c r="N10850" s="24"/>
      <c r="O10850" s="24"/>
      <c r="P10850" s="24"/>
      <c r="Q10850" s="24"/>
      <c r="R10850" s="24"/>
      <c r="S10850" s="24"/>
      <c r="T10850" s="24"/>
      <c r="U10850" s="24"/>
      <c r="V10850" s="24"/>
      <c r="W10850" s="24"/>
      <c r="X10850" s="24"/>
      <c r="Y10850" s="24"/>
      <c r="Z10850" s="24"/>
      <c r="AA10850" s="24"/>
    </row>
    <row r="10851">
      <c r="A10851" s="24"/>
      <c r="B10851" s="25"/>
      <c r="C10851" s="24"/>
      <c r="D10851" s="26"/>
      <c r="E10851" s="24"/>
      <c r="F10851" s="24"/>
      <c r="G10851" s="24"/>
      <c r="H10851" s="24"/>
      <c r="I10851" s="24"/>
      <c r="J10851" s="24"/>
      <c r="K10851" s="24"/>
      <c r="L10851" s="24"/>
      <c r="M10851" s="24"/>
      <c r="N10851" s="24"/>
      <c r="O10851" s="24"/>
      <c r="P10851" s="24"/>
      <c r="Q10851" s="24"/>
      <c r="R10851" s="24"/>
      <c r="S10851" s="24"/>
      <c r="T10851" s="24"/>
      <c r="U10851" s="24"/>
      <c r="V10851" s="24"/>
      <c r="W10851" s="24"/>
      <c r="X10851" s="24"/>
      <c r="Y10851" s="24"/>
      <c r="Z10851" s="24"/>
      <c r="AA10851" s="24"/>
    </row>
    <row r="10852">
      <c r="A10852" s="24"/>
      <c r="B10852" s="25"/>
      <c r="C10852" s="24"/>
      <c r="D10852" s="26"/>
      <c r="E10852" s="24"/>
      <c r="F10852" s="24"/>
      <c r="G10852" s="24"/>
      <c r="H10852" s="24"/>
      <c r="I10852" s="24"/>
      <c r="J10852" s="24"/>
      <c r="K10852" s="24"/>
      <c r="L10852" s="24"/>
      <c r="M10852" s="24"/>
      <c r="N10852" s="24"/>
      <c r="O10852" s="24"/>
      <c r="P10852" s="24"/>
      <c r="Q10852" s="24"/>
      <c r="R10852" s="24"/>
      <c r="S10852" s="24"/>
      <c r="T10852" s="24"/>
      <c r="U10852" s="24"/>
      <c r="V10852" s="24"/>
      <c r="W10852" s="24"/>
      <c r="X10852" s="24"/>
      <c r="Y10852" s="24"/>
      <c r="Z10852" s="24"/>
      <c r="AA10852" s="24"/>
    </row>
    <row r="10853">
      <c r="A10853" s="24"/>
      <c r="B10853" s="25"/>
      <c r="C10853" s="24"/>
      <c r="D10853" s="26"/>
      <c r="E10853" s="24"/>
      <c r="F10853" s="24"/>
      <c r="G10853" s="24"/>
      <c r="H10853" s="24"/>
      <c r="I10853" s="24"/>
      <c r="J10853" s="24"/>
      <c r="K10853" s="24"/>
      <c r="L10853" s="24"/>
      <c r="M10853" s="24"/>
      <c r="N10853" s="24"/>
      <c r="O10853" s="24"/>
      <c r="P10853" s="24"/>
      <c r="Q10853" s="24"/>
      <c r="R10853" s="24"/>
      <c r="S10853" s="24"/>
      <c r="T10853" s="24"/>
      <c r="U10853" s="24"/>
      <c r="V10853" s="24"/>
      <c r="W10853" s="24"/>
      <c r="X10853" s="24"/>
      <c r="Y10853" s="24"/>
      <c r="Z10853" s="24"/>
      <c r="AA10853" s="24"/>
    </row>
    <row r="10854">
      <c r="A10854" s="24"/>
      <c r="B10854" s="25"/>
      <c r="C10854" s="24"/>
      <c r="D10854" s="26"/>
      <c r="E10854" s="24"/>
      <c r="F10854" s="24"/>
      <c r="G10854" s="24"/>
      <c r="H10854" s="24"/>
      <c r="I10854" s="24"/>
      <c r="J10854" s="24"/>
      <c r="K10854" s="24"/>
      <c r="L10854" s="24"/>
      <c r="M10854" s="24"/>
      <c r="N10854" s="24"/>
      <c r="O10854" s="24"/>
      <c r="P10854" s="24"/>
      <c r="Q10854" s="24"/>
      <c r="R10854" s="24"/>
      <c r="S10854" s="24"/>
      <c r="T10854" s="24"/>
      <c r="U10854" s="24"/>
      <c r="V10854" s="24"/>
      <c r="W10854" s="24"/>
      <c r="X10854" s="24"/>
      <c r="Y10854" s="24"/>
      <c r="Z10854" s="24"/>
      <c r="AA10854" s="24"/>
    </row>
    <row r="10855">
      <c r="A10855" s="24"/>
      <c r="B10855" s="25"/>
      <c r="C10855" s="24"/>
      <c r="D10855" s="26"/>
      <c r="E10855" s="24"/>
      <c r="F10855" s="24"/>
      <c r="G10855" s="24"/>
      <c r="H10855" s="24"/>
      <c r="I10855" s="24"/>
      <c r="J10855" s="24"/>
      <c r="K10855" s="24"/>
      <c r="L10855" s="24"/>
      <c r="M10855" s="24"/>
      <c r="N10855" s="24"/>
      <c r="O10855" s="24"/>
      <c r="P10855" s="24"/>
      <c r="Q10855" s="24"/>
      <c r="R10855" s="24"/>
      <c r="S10855" s="24"/>
      <c r="T10855" s="24"/>
      <c r="U10855" s="24"/>
      <c r="V10855" s="24"/>
      <c r="W10855" s="24"/>
      <c r="X10855" s="24"/>
      <c r="Y10855" s="24"/>
      <c r="Z10855" s="24"/>
      <c r="AA10855" s="24"/>
    </row>
    <row r="10856">
      <c r="A10856" s="24"/>
      <c r="B10856" s="25"/>
      <c r="C10856" s="24"/>
      <c r="D10856" s="26"/>
      <c r="E10856" s="24"/>
      <c r="F10856" s="24"/>
      <c r="G10856" s="24"/>
      <c r="H10856" s="24"/>
      <c r="I10856" s="24"/>
      <c r="J10856" s="24"/>
      <c r="K10856" s="24"/>
      <c r="L10856" s="24"/>
      <c r="M10856" s="24"/>
      <c r="N10856" s="24"/>
      <c r="O10856" s="24"/>
      <c r="P10856" s="24"/>
      <c r="Q10856" s="24"/>
      <c r="R10856" s="24"/>
      <c r="S10856" s="24"/>
      <c r="T10856" s="24"/>
      <c r="U10856" s="24"/>
      <c r="V10856" s="24"/>
      <c r="W10856" s="24"/>
      <c r="X10856" s="24"/>
      <c r="Y10856" s="24"/>
      <c r="Z10856" s="24"/>
      <c r="AA10856" s="24"/>
    </row>
    <row r="10857">
      <c r="A10857" s="24"/>
      <c r="B10857" s="25"/>
      <c r="C10857" s="24"/>
      <c r="D10857" s="26"/>
      <c r="E10857" s="24"/>
      <c r="F10857" s="24"/>
      <c r="G10857" s="24"/>
      <c r="H10857" s="24"/>
      <c r="I10857" s="24"/>
      <c r="J10857" s="24"/>
      <c r="K10857" s="24"/>
      <c r="L10857" s="24"/>
      <c r="M10857" s="24"/>
      <c r="N10857" s="24"/>
      <c r="O10857" s="24"/>
      <c r="P10857" s="24"/>
      <c r="Q10857" s="24"/>
      <c r="R10857" s="24"/>
      <c r="S10857" s="24"/>
      <c r="T10857" s="24"/>
      <c r="U10857" s="24"/>
      <c r="V10857" s="24"/>
      <c r="W10857" s="24"/>
      <c r="X10857" s="24"/>
      <c r="Y10857" s="24"/>
      <c r="Z10857" s="24"/>
      <c r="AA10857" s="24"/>
    </row>
    <row r="10858">
      <c r="A10858" s="24"/>
      <c r="B10858" s="25"/>
      <c r="C10858" s="24"/>
      <c r="D10858" s="26"/>
      <c r="E10858" s="24"/>
      <c r="F10858" s="24"/>
      <c r="G10858" s="24"/>
      <c r="H10858" s="24"/>
      <c r="I10858" s="24"/>
      <c r="J10858" s="24"/>
      <c r="K10858" s="24"/>
      <c r="L10858" s="24"/>
      <c r="M10858" s="24"/>
      <c r="N10858" s="24"/>
      <c r="O10858" s="24"/>
      <c r="P10858" s="24"/>
      <c r="Q10858" s="24"/>
      <c r="R10858" s="24"/>
      <c r="S10858" s="24"/>
      <c r="T10858" s="24"/>
      <c r="U10858" s="24"/>
      <c r="V10858" s="24"/>
      <c r="W10858" s="24"/>
      <c r="X10858" s="24"/>
      <c r="Y10858" s="24"/>
      <c r="Z10858" s="24"/>
      <c r="AA10858" s="24"/>
    </row>
    <row r="10859">
      <c r="A10859" s="24"/>
      <c r="B10859" s="25"/>
      <c r="C10859" s="24"/>
      <c r="D10859" s="26"/>
      <c r="E10859" s="24"/>
      <c r="F10859" s="24"/>
      <c r="G10859" s="24"/>
      <c r="H10859" s="24"/>
      <c r="I10859" s="24"/>
      <c r="J10859" s="24"/>
      <c r="K10859" s="24"/>
      <c r="L10859" s="24"/>
      <c r="M10859" s="24"/>
      <c r="N10859" s="24"/>
      <c r="O10859" s="24"/>
      <c r="P10859" s="24"/>
      <c r="Q10859" s="24"/>
      <c r="R10859" s="24"/>
      <c r="S10859" s="24"/>
      <c r="T10859" s="24"/>
      <c r="U10859" s="24"/>
      <c r="V10859" s="24"/>
      <c r="W10859" s="24"/>
      <c r="X10859" s="24"/>
      <c r="Y10859" s="24"/>
      <c r="Z10859" s="24"/>
      <c r="AA10859" s="24"/>
    </row>
    <row r="10860">
      <c r="A10860" s="24"/>
      <c r="B10860" s="25"/>
      <c r="C10860" s="24"/>
      <c r="D10860" s="26"/>
      <c r="E10860" s="24"/>
      <c r="F10860" s="24"/>
      <c r="G10860" s="24"/>
      <c r="H10860" s="24"/>
      <c r="I10860" s="24"/>
      <c r="J10860" s="24"/>
      <c r="K10860" s="24"/>
      <c r="L10860" s="24"/>
      <c r="M10860" s="24"/>
      <c r="N10860" s="24"/>
      <c r="O10860" s="24"/>
      <c r="P10860" s="24"/>
      <c r="Q10860" s="24"/>
      <c r="R10860" s="24"/>
      <c r="S10860" s="24"/>
      <c r="T10860" s="24"/>
      <c r="U10860" s="24"/>
      <c r="V10860" s="24"/>
      <c r="W10860" s="24"/>
      <c r="X10860" s="24"/>
      <c r="Y10860" s="24"/>
      <c r="Z10860" s="24"/>
      <c r="AA10860" s="24"/>
    </row>
    <row r="10861">
      <c r="A10861" s="24"/>
      <c r="B10861" s="25"/>
      <c r="C10861" s="24"/>
      <c r="D10861" s="26"/>
      <c r="E10861" s="24"/>
      <c r="F10861" s="24"/>
      <c r="G10861" s="24"/>
      <c r="H10861" s="24"/>
      <c r="I10861" s="24"/>
      <c r="J10861" s="24"/>
      <c r="K10861" s="24"/>
      <c r="L10861" s="24"/>
      <c r="M10861" s="24"/>
      <c r="N10861" s="24"/>
      <c r="O10861" s="24"/>
      <c r="P10861" s="24"/>
      <c r="Q10861" s="24"/>
      <c r="R10861" s="24"/>
      <c r="S10861" s="24"/>
      <c r="T10861" s="24"/>
      <c r="U10861" s="24"/>
      <c r="V10861" s="24"/>
      <c r="W10861" s="24"/>
      <c r="X10861" s="24"/>
      <c r="Y10861" s="24"/>
      <c r="Z10861" s="24"/>
      <c r="AA10861" s="24"/>
    </row>
    <row r="10862">
      <c r="A10862" s="24"/>
      <c r="B10862" s="25"/>
      <c r="C10862" s="24"/>
      <c r="D10862" s="26"/>
      <c r="E10862" s="24"/>
      <c r="F10862" s="24"/>
      <c r="G10862" s="24"/>
      <c r="H10862" s="24"/>
      <c r="I10862" s="24"/>
      <c r="J10862" s="24"/>
      <c r="K10862" s="24"/>
      <c r="L10862" s="24"/>
      <c r="M10862" s="24"/>
      <c r="N10862" s="24"/>
      <c r="O10862" s="24"/>
      <c r="P10862" s="24"/>
      <c r="Q10862" s="24"/>
      <c r="R10862" s="24"/>
      <c r="S10862" s="24"/>
      <c r="T10862" s="24"/>
      <c r="U10862" s="24"/>
      <c r="V10862" s="24"/>
      <c r="W10862" s="24"/>
      <c r="X10862" s="24"/>
      <c r="Y10862" s="24"/>
      <c r="Z10862" s="24"/>
      <c r="AA10862" s="24"/>
    </row>
    <row r="10863">
      <c r="A10863" s="24"/>
      <c r="B10863" s="25"/>
      <c r="C10863" s="24"/>
      <c r="D10863" s="26"/>
      <c r="E10863" s="24"/>
      <c r="F10863" s="24"/>
      <c r="G10863" s="24"/>
      <c r="H10863" s="24"/>
      <c r="I10863" s="24"/>
      <c r="J10863" s="24"/>
      <c r="K10863" s="24"/>
      <c r="L10863" s="24"/>
      <c r="M10863" s="24"/>
      <c r="N10863" s="24"/>
      <c r="O10863" s="24"/>
      <c r="P10863" s="24"/>
      <c r="Q10863" s="24"/>
      <c r="R10863" s="24"/>
      <c r="S10863" s="24"/>
      <c r="T10863" s="24"/>
      <c r="U10863" s="24"/>
      <c r="V10863" s="24"/>
      <c r="W10863" s="24"/>
      <c r="X10863" s="24"/>
      <c r="Y10863" s="24"/>
      <c r="Z10863" s="24"/>
      <c r="AA10863" s="24"/>
    </row>
    <row r="10864">
      <c r="A10864" s="24"/>
      <c r="B10864" s="25"/>
      <c r="C10864" s="24"/>
      <c r="D10864" s="26"/>
      <c r="E10864" s="24"/>
      <c r="F10864" s="24"/>
      <c r="G10864" s="24"/>
      <c r="H10864" s="24"/>
      <c r="I10864" s="24"/>
      <c r="J10864" s="24"/>
      <c r="K10864" s="24"/>
      <c r="L10864" s="24"/>
      <c r="M10864" s="24"/>
      <c r="N10864" s="24"/>
      <c r="O10864" s="24"/>
      <c r="P10864" s="24"/>
      <c r="Q10864" s="24"/>
      <c r="R10864" s="24"/>
      <c r="S10864" s="24"/>
      <c r="T10864" s="24"/>
      <c r="U10864" s="24"/>
      <c r="V10864" s="24"/>
      <c r="W10864" s="24"/>
      <c r="X10864" s="24"/>
      <c r="Y10864" s="24"/>
      <c r="Z10864" s="24"/>
      <c r="AA10864" s="24"/>
    </row>
    <row r="10865">
      <c r="A10865" s="24"/>
      <c r="B10865" s="25"/>
      <c r="C10865" s="24"/>
      <c r="D10865" s="26"/>
      <c r="E10865" s="24"/>
      <c r="F10865" s="24"/>
      <c r="G10865" s="24"/>
      <c r="H10865" s="24"/>
      <c r="I10865" s="24"/>
      <c r="J10865" s="24"/>
      <c r="K10865" s="24"/>
      <c r="L10865" s="24"/>
      <c r="M10865" s="24"/>
      <c r="N10865" s="24"/>
      <c r="O10865" s="24"/>
      <c r="P10865" s="24"/>
      <c r="Q10865" s="24"/>
      <c r="R10865" s="24"/>
      <c r="S10865" s="24"/>
      <c r="T10865" s="24"/>
      <c r="U10865" s="24"/>
      <c r="V10865" s="24"/>
      <c r="W10865" s="24"/>
      <c r="X10865" s="24"/>
      <c r="Y10865" s="24"/>
      <c r="Z10865" s="24"/>
      <c r="AA10865" s="24"/>
    </row>
    <row r="10866">
      <c r="A10866" s="24"/>
      <c r="B10866" s="25"/>
      <c r="C10866" s="24"/>
      <c r="D10866" s="26"/>
      <c r="E10866" s="24"/>
      <c r="F10866" s="24"/>
      <c r="G10866" s="24"/>
      <c r="H10866" s="24"/>
      <c r="I10866" s="24"/>
      <c r="J10866" s="24"/>
      <c r="K10866" s="24"/>
      <c r="L10866" s="24"/>
      <c r="M10866" s="24"/>
      <c r="N10866" s="24"/>
      <c r="O10866" s="24"/>
      <c r="P10866" s="24"/>
      <c r="Q10866" s="24"/>
      <c r="R10866" s="24"/>
      <c r="S10866" s="24"/>
      <c r="T10866" s="24"/>
      <c r="U10866" s="24"/>
      <c r="V10866" s="24"/>
      <c r="W10866" s="24"/>
      <c r="X10866" s="24"/>
      <c r="Y10866" s="24"/>
      <c r="Z10866" s="24"/>
      <c r="AA10866" s="24"/>
    </row>
    <row r="10867">
      <c r="A10867" s="24"/>
      <c r="B10867" s="25"/>
      <c r="C10867" s="24"/>
      <c r="D10867" s="26"/>
      <c r="E10867" s="24"/>
      <c r="F10867" s="24"/>
      <c r="G10867" s="24"/>
      <c r="H10867" s="24"/>
      <c r="I10867" s="24"/>
      <c r="J10867" s="24"/>
      <c r="K10867" s="24"/>
      <c r="L10867" s="24"/>
      <c r="M10867" s="24"/>
      <c r="N10867" s="24"/>
      <c r="O10867" s="24"/>
      <c r="P10867" s="24"/>
      <c r="Q10867" s="24"/>
      <c r="R10867" s="24"/>
      <c r="S10867" s="24"/>
      <c r="T10867" s="24"/>
      <c r="U10867" s="24"/>
      <c r="V10867" s="24"/>
      <c r="W10867" s="24"/>
      <c r="X10867" s="24"/>
      <c r="Y10867" s="24"/>
      <c r="Z10867" s="24"/>
      <c r="AA10867" s="24"/>
    </row>
    <row r="10868">
      <c r="A10868" s="24"/>
      <c r="B10868" s="25"/>
      <c r="C10868" s="24"/>
      <c r="D10868" s="26"/>
      <c r="E10868" s="24"/>
      <c r="F10868" s="24"/>
      <c r="G10868" s="24"/>
      <c r="H10868" s="24"/>
      <c r="I10868" s="24"/>
      <c r="J10868" s="24"/>
      <c r="K10868" s="24"/>
      <c r="L10868" s="24"/>
      <c r="M10868" s="24"/>
      <c r="N10868" s="24"/>
      <c r="O10868" s="24"/>
      <c r="P10868" s="24"/>
      <c r="Q10868" s="24"/>
      <c r="R10868" s="24"/>
      <c r="S10868" s="24"/>
      <c r="T10868" s="24"/>
      <c r="U10868" s="24"/>
      <c r="V10868" s="24"/>
      <c r="W10868" s="24"/>
      <c r="X10868" s="24"/>
      <c r="Y10868" s="24"/>
      <c r="Z10868" s="24"/>
      <c r="AA10868" s="24"/>
    </row>
    <row r="10869">
      <c r="A10869" s="24"/>
      <c r="B10869" s="25"/>
      <c r="C10869" s="24"/>
      <c r="D10869" s="26"/>
      <c r="E10869" s="24"/>
      <c r="F10869" s="24"/>
      <c r="G10869" s="24"/>
      <c r="H10869" s="24"/>
      <c r="I10869" s="24"/>
      <c r="J10869" s="24"/>
      <c r="K10869" s="24"/>
      <c r="L10869" s="24"/>
      <c r="M10869" s="24"/>
      <c r="N10869" s="24"/>
      <c r="O10869" s="24"/>
      <c r="P10869" s="24"/>
      <c r="Q10869" s="24"/>
      <c r="R10869" s="24"/>
      <c r="S10869" s="24"/>
      <c r="T10869" s="24"/>
      <c r="U10869" s="24"/>
      <c r="V10869" s="24"/>
      <c r="W10869" s="24"/>
      <c r="X10869" s="24"/>
      <c r="Y10869" s="24"/>
      <c r="Z10869" s="24"/>
      <c r="AA10869" s="24"/>
    </row>
    <row r="10870">
      <c r="A10870" s="24"/>
      <c r="B10870" s="25"/>
      <c r="C10870" s="24"/>
      <c r="D10870" s="26"/>
      <c r="E10870" s="24"/>
      <c r="F10870" s="24"/>
      <c r="G10870" s="24"/>
      <c r="H10870" s="24"/>
      <c r="I10870" s="24"/>
      <c r="J10870" s="24"/>
      <c r="K10870" s="24"/>
      <c r="L10870" s="24"/>
      <c r="M10870" s="24"/>
      <c r="N10870" s="24"/>
      <c r="O10870" s="24"/>
      <c r="P10870" s="24"/>
      <c r="Q10870" s="24"/>
      <c r="R10870" s="24"/>
      <c r="S10870" s="24"/>
      <c r="T10870" s="24"/>
      <c r="U10870" s="24"/>
      <c r="V10870" s="24"/>
      <c r="W10870" s="24"/>
      <c r="X10870" s="24"/>
      <c r="Y10870" s="24"/>
      <c r="Z10870" s="24"/>
      <c r="AA10870" s="24"/>
    </row>
    <row r="10871">
      <c r="A10871" s="24"/>
      <c r="B10871" s="25"/>
      <c r="C10871" s="24"/>
      <c r="D10871" s="26"/>
      <c r="E10871" s="24"/>
      <c r="F10871" s="24"/>
      <c r="G10871" s="24"/>
      <c r="H10871" s="24"/>
      <c r="I10871" s="24"/>
      <c r="J10871" s="24"/>
      <c r="K10871" s="24"/>
      <c r="L10871" s="24"/>
      <c r="M10871" s="24"/>
      <c r="N10871" s="24"/>
      <c r="O10871" s="24"/>
      <c r="P10871" s="24"/>
      <c r="Q10871" s="24"/>
      <c r="R10871" s="24"/>
      <c r="S10871" s="24"/>
      <c r="T10871" s="24"/>
      <c r="U10871" s="24"/>
      <c r="V10871" s="24"/>
      <c r="W10871" s="24"/>
      <c r="X10871" s="24"/>
      <c r="Y10871" s="24"/>
      <c r="Z10871" s="24"/>
      <c r="AA10871" s="24"/>
    </row>
    <row r="10872">
      <c r="A10872" s="24"/>
      <c r="B10872" s="25"/>
      <c r="C10872" s="24"/>
      <c r="D10872" s="26"/>
      <c r="E10872" s="24"/>
      <c r="F10872" s="24"/>
      <c r="G10872" s="24"/>
      <c r="H10872" s="24"/>
      <c r="I10872" s="24"/>
      <c r="J10872" s="24"/>
      <c r="K10872" s="24"/>
      <c r="L10872" s="24"/>
      <c r="M10872" s="24"/>
      <c r="N10872" s="24"/>
      <c r="O10872" s="24"/>
      <c r="P10872" s="24"/>
      <c r="Q10872" s="24"/>
      <c r="R10872" s="24"/>
      <c r="S10872" s="24"/>
      <c r="T10872" s="24"/>
      <c r="U10872" s="24"/>
      <c r="V10872" s="24"/>
      <c r="W10872" s="24"/>
      <c r="X10872" s="24"/>
      <c r="Y10872" s="24"/>
      <c r="Z10872" s="24"/>
      <c r="AA10872" s="24"/>
    </row>
    <row r="10873">
      <c r="A10873" s="24"/>
      <c r="B10873" s="25"/>
      <c r="C10873" s="24"/>
      <c r="D10873" s="26"/>
      <c r="E10873" s="24"/>
      <c r="F10873" s="24"/>
      <c r="G10873" s="24"/>
      <c r="H10873" s="24"/>
      <c r="I10873" s="24"/>
      <c r="J10873" s="24"/>
      <c r="K10873" s="24"/>
      <c r="L10873" s="24"/>
      <c r="M10873" s="24"/>
      <c r="N10873" s="24"/>
      <c r="O10873" s="24"/>
      <c r="P10873" s="24"/>
      <c r="Q10873" s="24"/>
      <c r="R10873" s="24"/>
      <c r="S10873" s="24"/>
      <c r="T10873" s="24"/>
      <c r="U10873" s="24"/>
      <c r="V10873" s="24"/>
      <c r="W10873" s="24"/>
      <c r="X10873" s="24"/>
      <c r="Y10873" s="24"/>
      <c r="Z10873" s="24"/>
      <c r="AA10873" s="24"/>
    </row>
    <row r="10874">
      <c r="A10874" s="24"/>
      <c r="B10874" s="25"/>
      <c r="C10874" s="24"/>
      <c r="D10874" s="26"/>
      <c r="E10874" s="24"/>
      <c r="F10874" s="24"/>
      <c r="G10874" s="24"/>
      <c r="H10874" s="24"/>
      <c r="I10874" s="24"/>
      <c r="J10874" s="24"/>
      <c r="K10874" s="24"/>
      <c r="L10874" s="24"/>
      <c r="M10874" s="24"/>
      <c r="N10874" s="24"/>
      <c r="O10874" s="24"/>
      <c r="P10874" s="24"/>
      <c r="Q10874" s="24"/>
      <c r="R10874" s="24"/>
      <c r="S10874" s="24"/>
      <c r="T10874" s="24"/>
      <c r="U10874" s="24"/>
      <c r="V10874" s="24"/>
      <c r="W10874" s="24"/>
      <c r="X10874" s="24"/>
      <c r="Y10874" s="24"/>
      <c r="Z10874" s="24"/>
      <c r="AA10874" s="24"/>
    </row>
    <row r="10875">
      <c r="A10875" s="24"/>
      <c r="B10875" s="25"/>
      <c r="C10875" s="24"/>
      <c r="D10875" s="26"/>
      <c r="E10875" s="24"/>
      <c r="F10875" s="24"/>
      <c r="G10875" s="24"/>
      <c r="H10875" s="24"/>
      <c r="I10875" s="24"/>
      <c r="J10875" s="24"/>
      <c r="K10875" s="24"/>
      <c r="L10875" s="24"/>
      <c r="M10875" s="24"/>
      <c r="N10875" s="24"/>
      <c r="O10875" s="24"/>
      <c r="P10875" s="24"/>
      <c r="Q10875" s="24"/>
      <c r="R10875" s="24"/>
      <c r="S10875" s="24"/>
      <c r="T10875" s="24"/>
      <c r="U10875" s="24"/>
      <c r="V10875" s="24"/>
      <c r="W10875" s="24"/>
      <c r="X10875" s="24"/>
      <c r="Y10875" s="24"/>
      <c r="Z10875" s="24"/>
      <c r="AA10875" s="24"/>
    </row>
    <row r="10876">
      <c r="A10876" s="24"/>
      <c r="B10876" s="25"/>
      <c r="C10876" s="24"/>
      <c r="D10876" s="26"/>
      <c r="E10876" s="24"/>
      <c r="F10876" s="24"/>
      <c r="G10876" s="24"/>
      <c r="H10876" s="24"/>
      <c r="I10876" s="24"/>
      <c r="J10876" s="24"/>
      <c r="K10876" s="24"/>
      <c r="L10876" s="24"/>
      <c r="M10876" s="24"/>
      <c r="N10876" s="24"/>
      <c r="O10876" s="24"/>
      <c r="P10876" s="24"/>
      <c r="Q10876" s="24"/>
      <c r="R10876" s="24"/>
      <c r="S10876" s="24"/>
      <c r="T10876" s="24"/>
      <c r="U10876" s="24"/>
      <c r="V10876" s="24"/>
      <c r="W10876" s="24"/>
      <c r="X10876" s="24"/>
      <c r="Y10876" s="24"/>
      <c r="Z10876" s="24"/>
      <c r="AA10876" s="24"/>
    </row>
    <row r="10877">
      <c r="A10877" s="24"/>
      <c r="B10877" s="25"/>
      <c r="C10877" s="24"/>
      <c r="D10877" s="26"/>
      <c r="E10877" s="24"/>
      <c r="F10877" s="24"/>
      <c r="G10877" s="24"/>
      <c r="H10877" s="24"/>
      <c r="I10877" s="24"/>
      <c r="J10877" s="24"/>
      <c r="K10877" s="24"/>
      <c r="L10877" s="24"/>
      <c r="M10877" s="24"/>
      <c r="N10877" s="24"/>
      <c r="O10877" s="24"/>
      <c r="P10877" s="24"/>
      <c r="Q10877" s="24"/>
      <c r="R10877" s="24"/>
      <c r="S10877" s="24"/>
      <c r="T10877" s="24"/>
      <c r="U10877" s="24"/>
      <c r="V10877" s="24"/>
      <c r="W10877" s="24"/>
      <c r="X10877" s="24"/>
      <c r="Y10877" s="24"/>
      <c r="Z10877" s="24"/>
      <c r="AA10877" s="24"/>
    </row>
    <row r="10878">
      <c r="A10878" s="24"/>
      <c r="B10878" s="25"/>
      <c r="C10878" s="24"/>
      <c r="D10878" s="26"/>
      <c r="E10878" s="24"/>
      <c r="F10878" s="24"/>
      <c r="G10878" s="24"/>
      <c r="H10878" s="24"/>
      <c r="I10878" s="24"/>
      <c r="J10878" s="24"/>
      <c r="K10878" s="24"/>
      <c r="L10878" s="24"/>
      <c r="M10878" s="24"/>
      <c r="N10878" s="24"/>
      <c r="O10878" s="24"/>
      <c r="P10878" s="24"/>
      <c r="Q10878" s="24"/>
      <c r="R10878" s="24"/>
      <c r="S10878" s="24"/>
      <c r="T10878" s="24"/>
      <c r="U10878" s="24"/>
      <c r="V10878" s="24"/>
      <c r="W10878" s="24"/>
      <c r="X10878" s="24"/>
      <c r="Y10878" s="24"/>
      <c r="Z10878" s="24"/>
      <c r="AA10878" s="24"/>
    </row>
    <row r="10879">
      <c r="A10879" s="24"/>
      <c r="B10879" s="25"/>
      <c r="C10879" s="24"/>
      <c r="D10879" s="26"/>
      <c r="E10879" s="24"/>
      <c r="F10879" s="24"/>
      <c r="G10879" s="24"/>
      <c r="H10879" s="24"/>
      <c r="I10879" s="24"/>
      <c r="J10879" s="24"/>
      <c r="K10879" s="24"/>
      <c r="L10879" s="24"/>
      <c r="M10879" s="24"/>
      <c r="N10879" s="24"/>
      <c r="O10879" s="24"/>
      <c r="P10879" s="24"/>
      <c r="Q10879" s="24"/>
      <c r="R10879" s="24"/>
      <c r="S10879" s="24"/>
      <c r="T10879" s="24"/>
      <c r="U10879" s="24"/>
      <c r="V10879" s="24"/>
      <c r="W10879" s="24"/>
      <c r="X10879" s="24"/>
      <c r="Y10879" s="24"/>
      <c r="Z10879" s="24"/>
      <c r="AA10879" s="24"/>
    </row>
    <row r="10880">
      <c r="A10880" s="24"/>
      <c r="B10880" s="25"/>
      <c r="C10880" s="24"/>
      <c r="D10880" s="26"/>
      <c r="E10880" s="24"/>
      <c r="F10880" s="24"/>
      <c r="G10880" s="24"/>
      <c r="H10880" s="24"/>
      <c r="I10880" s="24"/>
      <c r="J10880" s="24"/>
      <c r="K10880" s="24"/>
      <c r="L10880" s="24"/>
      <c r="M10880" s="24"/>
      <c r="N10880" s="24"/>
      <c r="O10880" s="24"/>
      <c r="P10880" s="24"/>
      <c r="Q10880" s="24"/>
      <c r="R10880" s="24"/>
      <c r="S10880" s="24"/>
      <c r="T10880" s="24"/>
      <c r="U10880" s="24"/>
      <c r="V10880" s="24"/>
      <c r="W10880" s="24"/>
      <c r="X10880" s="24"/>
      <c r="Y10880" s="24"/>
      <c r="Z10880" s="24"/>
      <c r="AA10880" s="24"/>
    </row>
    <row r="10881">
      <c r="A10881" s="24"/>
      <c r="B10881" s="25"/>
      <c r="C10881" s="24"/>
      <c r="D10881" s="26"/>
      <c r="E10881" s="24"/>
      <c r="F10881" s="24"/>
      <c r="G10881" s="24"/>
      <c r="H10881" s="24"/>
      <c r="I10881" s="24"/>
      <c r="J10881" s="24"/>
      <c r="K10881" s="24"/>
      <c r="L10881" s="24"/>
      <c r="M10881" s="24"/>
      <c r="N10881" s="24"/>
      <c r="O10881" s="24"/>
      <c r="P10881" s="24"/>
      <c r="Q10881" s="24"/>
      <c r="R10881" s="24"/>
      <c r="S10881" s="24"/>
      <c r="T10881" s="24"/>
      <c r="U10881" s="24"/>
      <c r="V10881" s="24"/>
      <c r="W10881" s="24"/>
      <c r="X10881" s="24"/>
      <c r="Y10881" s="24"/>
      <c r="Z10881" s="24"/>
      <c r="AA10881" s="24"/>
    </row>
    <row r="10882">
      <c r="A10882" s="24"/>
      <c r="B10882" s="25"/>
      <c r="C10882" s="24"/>
      <c r="D10882" s="26"/>
      <c r="E10882" s="24"/>
      <c r="F10882" s="24"/>
      <c r="G10882" s="24"/>
      <c r="H10882" s="24"/>
      <c r="I10882" s="24"/>
      <c r="J10882" s="24"/>
      <c r="K10882" s="24"/>
      <c r="L10882" s="24"/>
      <c r="M10882" s="24"/>
      <c r="N10882" s="24"/>
      <c r="O10882" s="24"/>
      <c r="P10882" s="24"/>
      <c r="Q10882" s="24"/>
      <c r="R10882" s="24"/>
      <c r="S10882" s="24"/>
      <c r="T10882" s="24"/>
      <c r="U10882" s="24"/>
      <c r="V10882" s="24"/>
      <c r="W10882" s="24"/>
      <c r="X10882" s="24"/>
      <c r="Y10882" s="24"/>
      <c r="Z10882" s="24"/>
      <c r="AA10882" s="24"/>
    </row>
    <row r="10883">
      <c r="A10883" s="24"/>
      <c r="B10883" s="25"/>
      <c r="C10883" s="24"/>
      <c r="D10883" s="26"/>
      <c r="E10883" s="24"/>
      <c r="F10883" s="24"/>
      <c r="G10883" s="24"/>
      <c r="H10883" s="24"/>
      <c r="I10883" s="24"/>
      <c r="J10883" s="24"/>
      <c r="K10883" s="24"/>
      <c r="L10883" s="24"/>
      <c r="M10883" s="24"/>
      <c r="N10883" s="24"/>
      <c r="O10883" s="24"/>
      <c r="P10883" s="24"/>
      <c r="Q10883" s="24"/>
      <c r="R10883" s="24"/>
      <c r="S10883" s="24"/>
      <c r="T10883" s="24"/>
      <c r="U10883" s="24"/>
      <c r="V10883" s="24"/>
      <c r="W10883" s="24"/>
      <c r="X10883" s="24"/>
      <c r="Y10883" s="24"/>
      <c r="Z10883" s="24"/>
      <c r="AA10883" s="24"/>
    </row>
    <row r="10884">
      <c r="A10884" s="24"/>
      <c r="B10884" s="25"/>
      <c r="C10884" s="24"/>
      <c r="D10884" s="26"/>
      <c r="E10884" s="24"/>
      <c r="F10884" s="24"/>
      <c r="G10884" s="24"/>
      <c r="H10884" s="24"/>
      <c r="I10884" s="24"/>
      <c r="J10884" s="24"/>
      <c r="K10884" s="24"/>
      <c r="L10884" s="24"/>
      <c r="M10884" s="24"/>
      <c r="N10884" s="24"/>
      <c r="O10884" s="24"/>
      <c r="P10884" s="24"/>
      <c r="Q10884" s="24"/>
      <c r="R10884" s="24"/>
      <c r="S10884" s="24"/>
      <c r="T10884" s="24"/>
      <c r="U10884" s="24"/>
      <c r="V10884" s="24"/>
      <c r="W10884" s="24"/>
      <c r="X10884" s="24"/>
      <c r="Y10884" s="24"/>
      <c r="Z10884" s="24"/>
      <c r="AA10884" s="24"/>
    </row>
    <row r="10885">
      <c r="A10885" s="24"/>
      <c r="B10885" s="25"/>
      <c r="C10885" s="24"/>
      <c r="D10885" s="26"/>
      <c r="E10885" s="24"/>
      <c r="F10885" s="24"/>
      <c r="G10885" s="24"/>
      <c r="H10885" s="24"/>
      <c r="I10885" s="24"/>
      <c r="J10885" s="24"/>
      <c r="K10885" s="24"/>
      <c r="L10885" s="24"/>
      <c r="M10885" s="24"/>
      <c r="N10885" s="24"/>
      <c r="O10885" s="24"/>
      <c r="P10885" s="24"/>
      <c r="Q10885" s="24"/>
      <c r="R10885" s="24"/>
      <c r="S10885" s="24"/>
      <c r="T10885" s="24"/>
      <c r="U10885" s="24"/>
      <c r="V10885" s="24"/>
      <c r="W10885" s="24"/>
      <c r="X10885" s="24"/>
      <c r="Y10885" s="24"/>
      <c r="Z10885" s="24"/>
      <c r="AA10885" s="24"/>
    </row>
    <row r="10886">
      <c r="A10886" s="24"/>
      <c r="B10886" s="25"/>
      <c r="C10886" s="24"/>
      <c r="D10886" s="26"/>
      <c r="E10886" s="24"/>
      <c r="F10886" s="24"/>
      <c r="G10886" s="24"/>
      <c r="H10886" s="24"/>
      <c r="I10886" s="24"/>
      <c r="J10886" s="24"/>
      <c r="K10886" s="24"/>
      <c r="L10886" s="24"/>
      <c r="M10886" s="24"/>
      <c r="N10886" s="24"/>
      <c r="O10886" s="24"/>
      <c r="P10886" s="24"/>
      <c r="Q10886" s="24"/>
      <c r="R10886" s="24"/>
      <c r="S10886" s="24"/>
      <c r="T10886" s="24"/>
      <c r="U10886" s="24"/>
      <c r="V10886" s="24"/>
      <c r="W10886" s="24"/>
      <c r="X10886" s="24"/>
      <c r="Y10886" s="24"/>
      <c r="Z10886" s="24"/>
      <c r="AA10886" s="24"/>
    </row>
    <row r="10887">
      <c r="A10887" s="24"/>
      <c r="B10887" s="25"/>
      <c r="C10887" s="24"/>
      <c r="D10887" s="26"/>
      <c r="E10887" s="24"/>
      <c r="F10887" s="24"/>
      <c r="G10887" s="24"/>
      <c r="H10887" s="24"/>
      <c r="I10887" s="24"/>
      <c r="J10887" s="24"/>
      <c r="K10887" s="24"/>
      <c r="L10887" s="24"/>
      <c r="M10887" s="24"/>
      <c r="N10887" s="24"/>
      <c r="O10887" s="24"/>
      <c r="P10887" s="24"/>
      <c r="Q10887" s="24"/>
      <c r="R10887" s="24"/>
      <c r="S10887" s="24"/>
      <c r="T10887" s="24"/>
      <c r="U10887" s="24"/>
      <c r="V10887" s="24"/>
      <c r="W10887" s="24"/>
      <c r="X10887" s="24"/>
      <c r="Y10887" s="24"/>
      <c r="Z10887" s="24"/>
      <c r="AA10887" s="24"/>
    </row>
    <row r="10888">
      <c r="A10888" s="24"/>
      <c r="B10888" s="25"/>
      <c r="C10888" s="24"/>
      <c r="D10888" s="26"/>
      <c r="E10888" s="24"/>
      <c r="F10888" s="24"/>
      <c r="G10888" s="24"/>
      <c r="H10888" s="24"/>
      <c r="I10888" s="24"/>
      <c r="J10888" s="24"/>
      <c r="K10888" s="24"/>
      <c r="L10888" s="24"/>
      <c r="M10888" s="24"/>
      <c r="N10888" s="24"/>
      <c r="O10888" s="24"/>
      <c r="P10888" s="24"/>
      <c r="Q10888" s="24"/>
      <c r="R10888" s="24"/>
      <c r="S10888" s="24"/>
      <c r="T10888" s="24"/>
      <c r="U10888" s="24"/>
      <c r="V10888" s="24"/>
      <c r="W10888" s="24"/>
      <c r="X10888" s="24"/>
      <c r="Y10888" s="24"/>
      <c r="Z10888" s="24"/>
      <c r="AA10888" s="24"/>
    </row>
    <row r="10889">
      <c r="A10889" s="24"/>
      <c r="B10889" s="25"/>
      <c r="C10889" s="24"/>
      <c r="D10889" s="26"/>
      <c r="E10889" s="24"/>
      <c r="F10889" s="24"/>
      <c r="G10889" s="24"/>
      <c r="H10889" s="24"/>
      <c r="I10889" s="24"/>
      <c r="J10889" s="24"/>
      <c r="K10889" s="24"/>
      <c r="L10889" s="24"/>
      <c r="M10889" s="24"/>
      <c r="N10889" s="24"/>
      <c r="O10889" s="24"/>
      <c r="P10889" s="24"/>
      <c r="Q10889" s="24"/>
      <c r="R10889" s="24"/>
      <c r="S10889" s="24"/>
      <c r="T10889" s="24"/>
      <c r="U10889" s="24"/>
      <c r="V10889" s="24"/>
      <c r="W10889" s="24"/>
      <c r="X10889" s="24"/>
      <c r="Y10889" s="24"/>
      <c r="Z10889" s="24"/>
      <c r="AA10889" s="24"/>
    </row>
    <row r="10890">
      <c r="A10890" s="24"/>
      <c r="B10890" s="25"/>
      <c r="C10890" s="24"/>
      <c r="D10890" s="26"/>
      <c r="E10890" s="24"/>
      <c r="F10890" s="24"/>
      <c r="G10890" s="24"/>
      <c r="H10890" s="24"/>
      <c r="I10890" s="24"/>
      <c r="J10890" s="24"/>
      <c r="K10890" s="24"/>
      <c r="L10890" s="24"/>
      <c r="M10890" s="24"/>
      <c r="N10890" s="24"/>
      <c r="O10890" s="24"/>
      <c r="P10890" s="24"/>
      <c r="Q10890" s="24"/>
      <c r="R10890" s="24"/>
      <c r="S10890" s="24"/>
      <c r="T10890" s="24"/>
      <c r="U10890" s="24"/>
      <c r="V10890" s="24"/>
      <c r="W10890" s="24"/>
      <c r="X10890" s="24"/>
      <c r="Y10890" s="24"/>
      <c r="Z10890" s="24"/>
      <c r="AA10890" s="24"/>
    </row>
    <row r="10891">
      <c r="A10891" s="24"/>
      <c r="B10891" s="25"/>
      <c r="C10891" s="24"/>
      <c r="D10891" s="26"/>
      <c r="E10891" s="24"/>
      <c r="F10891" s="24"/>
      <c r="G10891" s="24"/>
      <c r="H10891" s="24"/>
      <c r="I10891" s="24"/>
      <c r="J10891" s="24"/>
      <c r="K10891" s="24"/>
      <c r="L10891" s="24"/>
      <c r="M10891" s="24"/>
      <c r="N10891" s="24"/>
      <c r="O10891" s="24"/>
      <c r="P10891" s="24"/>
      <c r="Q10891" s="24"/>
      <c r="R10891" s="24"/>
      <c r="S10891" s="24"/>
      <c r="T10891" s="24"/>
      <c r="U10891" s="24"/>
      <c r="V10891" s="24"/>
      <c r="W10891" s="24"/>
      <c r="X10891" s="24"/>
      <c r="Y10891" s="24"/>
      <c r="Z10891" s="24"/>
      <c r="AA10891" s="24"/>
    </row>
    <row r="10892">
      <c r="A10892" s="24"/>
      <c r="B10892" s="25"/>
      <c r="C10892" s="24"/>
      <c r="D10892" s="26"/>
      <c r="E10892" s="24"/>
      <c r="F10892" s="24"/>
      <c r="G10892" s="24"/>
      <c r="H10892" s="24"/>
      <c r="I10892" s="24"/>
      <c r="J10892" s="24"/>
      <c r="K10892" s="24"/>
      <c r="L10892" s="24"/>
      <c r="M10892" s="24"/>
      <c r="N10892" s="24"/>
      <c r="O10892" s="24"/>
      <c r="P10892" s="24"/>
      <c r="Q10892" s="24"/>
      <c r="R10892" s="24"/>
      <c r="S10892" s="24"/>
      <c r="T10892" s="24"/>
      <c r="U10892" s="24"/>
      <c r="V10892" s="24"/>
      <c r="W10892" s="24"/>
      <c r="X10892" s="24"/>
      <c r="Y10892" s="24"/>
      <c r="Z10892" s="24"/>
      <c r="AA10892" s="24"/>
    </row>
    <row r="10893">
      <c r="A10893" s="24"/>
      <c r="B10893" s="25"/>
      <c r="C10893" s="24"/>
      <c r="D10893" s="26"/>
      <c r="E10893" s="24"/>
      <c r="F10893" s="24"/>
      <c r="G10893" s="24"/>
      <c r="H10893" s="24"/>
      <c r="I10893" s="24"/>
      <c r="J10893" s="24"/>
      <c r="K10893" s="24"/>
      <c r="L10893" s="24"/>
      <c r="M10893" s="24"/>
      <c r="N10893" s="24"/>
      <c r="O10893" s="24"/>
      <c r="P10893" s="24"/>
      <c r="Q10893" s="24"/>
      <c r="R10893" s="24"/>
      <c r="S10893" s="24"/>
      <c r="T10893" s="24"/>
      <c r="U10893" s="24"/>
      <c r="V10893" s="24"/>
      <c r="W10893" s="24"/>
      <c r="X10893" s="24"/>
      <c r="Y10893" s="24"/>
      <c r="Z10893" s="24"/>
      <c r="AA10893" s="24"/>
    </row>
    <row r="10894">
      <c r="A10894" s="24"/>
      <c r="B10894" s="25"/>
      <c r="C10894" s="24"/>
      <c r="D10894" s="26"/>
      <c r="E10894" s="24"/>
      <c r="F10894" s="24"/>
      <c r="G10894" s="24"/>
      <c r="H10894" s="24"/>
      <c r="I10894" s="24"/>
      <c r="J10894" s="24"/>
      <c r="K10894" s="24"/>
      <c r="L10894" s="24"/>
      <c r="M10894" s="24"/>
      <c r="N10894" s="24"/>
      <c r="O10894" s="24"/>
      <c r="P10894" s="24"/>
      <c r="Q10894" s="24"/>
      <c r="R10894" s="24"/>
      <c r="S10894" s="24"/>
      <c r="T10894" s="24"/>
      <c r="U10894" s="24"/>
      <c r="V10894" s="24"/>
      <c r="W10894" s="24"/>
      <c r="X10894" s="24"/>
      <c r="Y10894" s="24"/>
      <c r="Z10894" s="24"/>
      <c r="AA10894" s="24"/>
    </row>
    <row r="10895">
      <c r="A10895" s="24"/>
      <c r="B10895" s="25"/>
      <c r="C10895" s="24"/>
      <c r="D10895" s="26"/>
      <c r="E10895" s="24"/>
      <c r="F10895" s="24"/>
      <c r="G10895" s="24"/>
      <c r="H10895" s="24"/>
      <c r="I10895" s="24"/>
      <c r="J10895" s="24"/>
      <c r="K10895" s="24"/>
      <c r="L10895" s="24"/>
      <c r="M10895" s="24"/>
      <c r="N10895" s="24"/>
      <c r="O10895" s="24"/>
      <c r="P10895" s="24"/>
      <c r="Q10895" s="24"/>
      <c r="R10895" s="24"/>
      <c r="S10895" s="24"/>
      <c r="T10895" s="24"/>
      <c r="U10895" s="24"/>
      <c r="V10895" s="24"/>
      <c r="W10895" s="24"/>
      <c r="X10895" s="24"/>
      <c r="Y10895" s="24"/>
      <c r="Z10895" s="24"/>
      <c r="AA10895" s="24"/>
    </row>
    <row r="10896">
      <c r="A10896" s="24"/>
      <c r="B10896" s="25"/>
      <c r="C10896" s="24"/>
      <c r="D10896" s="26"/>
      <c r="E10896" s="24"/>
      <c r="F10896" s="24"/>
      <c r="G10896" s="24"/>
      <c r="H10896" s="24"/>
      <c r="I10896" s="24"/>
      <c r="J10896" s="24"/>
      <c r="K10896" s="24"/>
      <c r="L10896" s="24"/>
      <c r="M10896" s="24"/>
      <c r="N10896" s="24"/>
      <c r="O10896" s="24"/>
      <c r="P10896" s="24"/>
      <c r="Q10896" s="24"/>
      <c r="R10896" s="24"/>
      <c r="S10896" s="24"/>
      <c r="T10896" s="24"/>
      <c r="U10896" s="24"/>
      <c r="V10896" s="24"/>
      <c r="W10896" s="24"/>
      <c r="X10896" s="24"/>
      <c r="Y10896" s="24"/>
      <c r="Z10896" s="24"/>
      <c r="AA10896" s="24"/>
    </row>
    <row r="10897">
      <c r="A10897" s="24"/>
      <c r="B10897" s="25"/>
      <c r="C10897" s="24"/>
      <c r="D10897" s="26"/>
      <c r="E10897" s="24"/>
      <c r="F10897" s="24"/>
      <c r="G10897" s="24"/>
      <c r="H10897" s="24"/>
      <c r="I10897" s="24"/>
      <c r="J10897" s="24"/>
      <c r="K10897" s="24"/>
      <c r="L10897" s="24"/>
      <c r="M10897" s="24"/>
      <c r="N10897" s="24"/>
      <c r="O10897" s="24"/>
      <c r="P10897" s="24"/>
      <c r="Q10897" s="24"/>
      <c r="R10897" s="24"/>
      <c r="S10897" s="24"/>
      <c r="T10897" s="24"/>
      <c r="U10897" s="24"/>
      <c r="V10897" s="24"/>
      <c r="W10897" s="24"/>
      <c r="X10897" s="24"/>
      <c r="Y10897" s="24"/>
      <c r="Z10897" s="24"/>
      <c r="AA10897" s="24"/>
    </row>
    <row r="10898">
      <c r="A10898" s="24"/>
      <c r="B10898" s="25"/>
      <c r="C10898" s="24"/>
      <c r="D10898" s="26"/>
      <c r="E10898" s="24"/>
      <c r="F10898" s="24"/>
      <c r="G10898" s="24"/>
      <c r="H10898" s="24"/>
      <c r="I10898" s="24"/>
      <c r="J10898" s="24"/>
      <c r="K10898" s="24"/>
      <c r="L10898" s="24"/>
      <c r="M10898" s="24"/>
      <c r="N10898" s="24"/>
      <c r="O10898" s="24"/>
      <c r="P10898" s="24"/>
      <c r="Q10898" s="24"/>
      <c r="R10898" s="24"/>
      <c r="S10898" s="24"/>
      <c r="T10898" s="24"/>
      <c r="U10898" s="24"/>
      <c r="V10898" s="24"/>
      <c r="W10898" s="24"/>
      <c r="X10898" s="24"/>
      <c r="Y10898" s="24"/>
      <c r="Z10898" s="24"/>
      <c r="AA10898" s="24"/>
    </row>
    <row r="10899">
      <c r="A10899" s="24"/>
      <c r="B10899" s="25"/>
      <c r="C10899" s="24"/>
      <c r="D10899" s="26"/>
      <c r="E10899" s="24"/>
      <c r="F10899" s="24"/>
      <c r="G10899" s="24"/>
      <c r="H10899" s="24"/>
      <c r="I10899" s="24"/>
      <c r="J10899" s="24"/>
      <c r="K10899" s="24"/>
      <c r="L10899" s="24"/>
      <c r="M10899" s="24"/>
      <c r="N10899" s="24"/>
      <c r="O10899" s="24"/>
      <c r="P10899" s="24"/>
      <c r="Q10899" s="24"/>
      <c r="R10899" s="24"/>
      <c r="S10899" s="24"/>
      <c r="T10899" s="24"/>
      <c r="U10899" s="24"/>
      <c r="V10899" s="24"/>
      <c r="W10899" s="24"/>
      <c r="X10899" s="24"/>
      <c r="Y10899" s="24"/>
      <c r="Z10899" s="24"/>
      <c r="AA10899" s="24"/>
    </row>
    <row r="10900">
      <c r="A10900" s="24"/>
      <c r="B10900" s="25"/>
      <c r="C10900" s="24"/>
      <c r="D10900" s="26"/>
      <c r="E10900" s="24"/>
      <c r="F10900" s="24"/>
      <c r="G10900" s="24"/>
      <c r="H10900" s="24"/>
      <c r="I10900" s="24"/>
      <c r="J10900" s="24"/>
      <c r="K10900" s="24"/>
      <c r="L10900" s="24"/>
      <c r="M10900" s="24"/>
      <c r="N10900" s="24"/>
      <c r="O10900" s="24"/>
      <c r="P10900" s="24"/>
      <c r="Q10900" s="24"/>
      <c r="R10900" s="24"/>
      <c r="S10900" s="24"/>
      <c r="T10900" s="24"/>
      <c r="U10900" s="24"/>
      <c r="V10900" s="24"/>
      <c r="W10900" s="24"/>
      <c r="X10900" s="24"/>
      <c r="Y10900" s="24"/>
      <c r="Z10900" s="24"/>
      <c r="AA10900" s="24"/>
    </row>
    <row r="10901">
      <c r="A10901" s="24"/>
      <c r="B10901" s="25"/>
      <c r="C10901" s="24"/>
      <c r="D10901" s="26"/>
      <c r="E10901" s="24"/>
      <c r="F10901" s="24"/>
      <c r="G10901" s="24"/>
      <c r="H10901" s="24"/>
      <c r="I10901" s="24"/>
      <c r="J10901" s="24"/>
      <c r="K10901" s="24"/>
      <c r="L10901" s="24"/>
      <c r="M10901" s="24"/>
      <c r="N10901" s="24"/>
      <c r="O10901" s="24"/>
      <c r="P10901" s="24"/>
      <c r="Q10901" s="24"/>
      <c r="R10901" s="24"/>
      <c r="S10901" s="24"/>
      <c r="T10901" s="24"/>
      <c r="U10901" s="24"/>
      <c r="V10901" s="24"/>
      <c r="W10901" s="24"/>
      <c r="X10901" s="24"/>
      <c r="Y10901" s="24"/>
      <c r="Z10901" s="24"/>
      <c r="AA10901" s="24"/>
    </row>
    <row r="10902">
      <c r="A10902" s="24"/>
      <c r="B10902" s="25"/>
      <c r="C10902" s="24"/>
      <c r="D10902" s="26"/>
      <c r="E10902" s="24"/>
      <c r="F10902" s="24"/>
      <c r="G10902" s="24"/>
      <c r="H10902" s="24"/>
      <c r="I10902" s="24"/>
      <c r="J10902" s="24"/>
      <c r="K10902" s="24"/>
      <c r="L10902" s="24"/>
      <c r="M10902" s="24"/>
      <c r="N10902" s="24"/>
      <c r="O10902" s="24"/>
      <c r="P10902" s="24"/>
      <c r="Q10902" s="24"/>
      <c r="R10902" s="24"/>
      <c r="S10902" s="24"/>
      <c r="T10902" s="24"/>
      <c r="U10902" s="24"/>
      <c r="V10902" s="24"/>
      <c r="W10902" s="24"/>
      <c r="X10902" s="24"/>
      <c r="Y10902" s="24"/>
      <c r="Z10902" s="24"/>
      <c r="AA10902" s="24"/>
    </row>
    <row r="10903">
      <c r="A10903" s="24"/>
      <c r="B10903" s="25"/>
      <c r="C10903" s="24"/>
      <c r="D10903" s="26"/>
      <c r="E10903" s="24"/>
      <c r="F10903" s="24"/>
      <c r="G10903" s="24"/>
      <c r="H10903" s="24"/>
      <c r="I10903" s="24"/>
      <c r="J10903" s="24"/>
      <c r="K10903" s="24"/>
      <c r="L10903" s="24"/>
      <c r="M10903" s="24"/>
      <c r="N10903" s="24"/>
      <c r="O10903" s="24"/>
      <c r="P10903" s="24"/>
      <c r="Q10903" s="24"/>
      <c r="R10903" s="24"/>
      <c r="S10903" s="24"/>
      <c r="T10903" s="24"/>
      <c r="U10903" s="24"/>
      <c r="V10903" s="24"/>
      <c r="W10903" s="24"/>
      <c r="X10903" s="24"/>
      <c r="Y10903" s="24"/>
      <c r="Z10903" s="24"/>
      <c r="AA10903" s="24"/>
    </row>
    <row r="10904">
      <c r="A10904" s="24"/>
      <c r="B10904" s="25"/>
      <c r="C10904" s="24"/>
      <c r="D10904" s="26"/>
      <c r="E10904" s="24"/>
      <c r="F10904" s="24"/>
      <c r="G10904" s="24"/>
      <c r="H10904" s="24"/>
      <c r="I10904" s="24"/>
      <c r="J10904" s="24"/>
      <c r="K10904" s="24"/>
      <c r="L10904" s="24"/>
      <c r="M10904" s="24"/>
      <c r="N10904" s="24"/>
      <c r="O10904" s="24"/>
      <c r="P10904" s="24"/>
      <c r="Q10904" s="24"/>
      <c r="R10904" s="24"/>
      <c r="S10904" s="24"/>
      <c r="T10904" s="24"/>
      <c r="U10904" s="24"/>
      <c r="V10904" s="24"/>
      <c r="W10904" s="24"/>
      <c r="X10904" s="24"/>
      <c r="Y10904" s="24"/>
      <c r="Z10904" s="24"/>
      <c r="AA10904" s="24"/>
    </row>
    <row r="10905">
      <c r="A10905" s="24"/>
      <c r="B10905" s="25"/>
      <c r="C10905" s="24"/>
      <c r="D10905" s="26"/>
      <c r="E10905" s="24"/>
      <c r="F10905" s="24"/>
      <c r="G10905" s="24"/>
      <c r="H10905" s="24"/>
      <c r="I10905" s="24"/>
      <c r="J10905" s="24"/>
      <c r="K10905" s="24"/>
      <c r="L10905" s="24"/>
      <c r="M10905" s="24"/>
      <c r="N10905" s="24"/>
      <c r="O10905" s="24"/>
      <c r="P10905" s="24"/>
      <c r="Q10905" s="24"/>
      <c r="R10905" s="24"/>
      <c r="S10905" s="24"/>
      <c r="T10905" s="24"/>
      <c r="U10905" s="24"/>
      <c r="V10905" s="24"/>
      <c r="W10905" s="24"/>
      <c r="X10905" s="24"/>
      <c r="Y10905" s="24"/>
      <c r="Z10905" s="24"/>
      <c r="AA10905" s="24"/>
    </row>
    <row r="10906">
      <c r="A10906" s="24"/>
      <c r="B10906" s="25"/>
      <c r="C10906" s="24"/>
      <c r="D10906" s="26"/>
      <c r="E10906" s="24"/>
      <c r="F10906" s="24"/>
      <c r="G10906" s="24"/>
      <c r="H10906" s="24"/>
      <c r="I10906" s="24"/>
      <c r="J10906" s="24"/>
      <c r="K10906" s="24"/>
      <c r="L10906" s="24"/>
      <c r="M10906" s="24"/>
      <c r="N10906" s="24"/>
      <c r="O10906" s="24"/>
      <c r="P10906" s="24"/>
      <c r="Q10906" s="24"/>
      <c r="R10906" s="24"/>
      <c r="S10906" s="24"/>
      <c r="T10906" s="24"/>
      <c r="U10906" s="24"/>
      <c r="V10906" s="24"/>
      <c r="W10906" s="24"/>
      <c r="X10906" s="24"/>
      <c r="Y10906" s="24"/>
      <c r="Z10906" s="24"/>
      <c r="AA10906" s="24"/>
    </row>
    <row r="10907">
      <c r="A10907" s="24"/>
      <c r="B10907" s="25"/>
      <c r="C10907" s="24"/>
      <c r="D10907" s="26"/>
      <c r="E10907" s="24"/>
      <c r="F10907" s="24"/>
      <c r="G10907" s="24"/>
      <c r="H10907" s="24"/>
      <c r="I10907" s="24"/>
      <c r="J10907" s="24"/>
      <c r="K10907" s="24"/>
      <c r="L10907" s="24"/>
      <c r="M10907" s="24"/>
      <c r="N10907" s="24"/>
      <c r="O10907" s="24"/>
      <c r="P10907" s="24"/>
      <c r="Q10907" s="24"/>
      <c r="R10907" s="24"/>
      <c r="S10907" s="24"/>
      <c r="T10907" s="24"/>
      <c r="U10907" s="24"/>
      <c r="V10907" s="24"/>
      <c r="W10907" s="24"/>
      <c r="X10907" s="24"/>
      <c r="Y10907" s="24"/>
      <c r="Z10907" s="24"/>
      <c r="AA10907" s="24"/>
    </row>
    <row r="10908">
      <c r="A10908" s="24"/>
      <c r="B10908" s="25"/>
      <c r="C10908" s="24"/>
      <c r="D10908" s="26"/>
      <c r="E10908" s="24"/>
      <c r="F10908" s="24"/>
      <c r="G10908" s="24"/>
      <c r="H10908" s="24"/>
      <c r="I10908" s="24"/>
      <c r="J10908" s="24"/>
      <c r="K10908" s="24"/>
      <c r="L10908" s="24"/>
      <c r="M10908" s="24"/>
      <c r="N10908" s="24"/>
      <c r="O10908" s="24"/>
      <c r="P10908" s="24"/>
      <c r="Q10908" s="24"/>
      <c r="R10908" s="24"/>
      <c r="S10908" s="24"/>
      <c r="T10908" s="24"/>
      <c r="U10908" s="24"/>
      <c r="V10908" s="24"/>
      <c r="W10908" s="24"/>
      <c r="X10908" s="24"/>
      <c r="Y10908" s="24"/>
      <c r="Z10908" s="24"/>
      <c r="AA10908" s="24"/>
    </row>
    <row r="10909">
      <c r="A10909" s="24"/>
      <c r="B10909" s="25"/>
      <c r="C10909" s="24"/>
      <c r="D10909" s="26"/>
      <c r="E10909" s="24"/>
      <c r="F10909" s="24"/>
      <c r="G10909" s="24"/>
      <c r="H10909" s="24"/>
      <c r="I10909" s="24"/>
      <c r="J10909" s="24"/>
      <c r="K10909" s="24"/>
      <c r="L10909" s="24"/>
      <c r="M10909" s="24"/>
      <c r="N10909" s="24"/>
      <c r="O10909" s="24"/>
      <c r="P10909" s="24"/>
      <c r="Q10909" s="24"/>
      <c r="R10909" s="24"/>
      <c r="S10909" s="24"/>
      <c r="T10909" s="24"/>
      <c r="U10909" s="24"/>
      <c r="V10909" s="24"/>
      <c r="W10909" s="24"/>
      <c r="X10909" s="24"/>
      <c r="Y10909" s="24"/>
      <c r="Z10909" s="24"/>
      <c r="AA10909" s="24"/>
    </row>
    <row r="10910">
      <c r="A10910" s="24"/>
      <c r="B10910" s="25"/>
      <c r="C10910" s="24"/>
      <c r="D10910" s="26"/>
      <c r="E10910" s="24"/>
      <c r="F10910" s="24"/>
      <c r="G10910" s="24"/>
      <c r="H10910" s="24"/>
      <c r="I10910" s="24"/>
      <c r="J10910" s="24"/>
      <c r="K10910" s="24"/>
      <c r="L10910" s="24"/>
      <c r="M10910" s="24"/>
      <c r="N10910" s="24"/>
      <c r="O10910" s="24"/>
      <c r="P10910" s="24"/>
      <c r="Q10910" s="24"/>
      <c r="R10910" s="24"/>
      <c r="S10910" s="24"/>
      <c r="T10910" s="24"/>
      <c r="U10910" s="24"/>
      <c r="V10910" s="24"/>
      <c r="W10910" s="24"/>
      <c r="X10910" s="24"/>
      <c r="Y10910" s="24"/>
      <c r="Z10910" s="24"/>
      <c r="AA10910" s="24"/>
    </row>
    <row r="10911">
      <c r="A10911" s="24"/>
      <c r="B10911" s="25"/>
      <c r="C10911" s="24"/>
      <c r="D10911" s="26"/>
      <c r="E10911" s="24"/>
      <c r="F10911" s="24"/>
      <c r="G10911" s="24"/>
      <c r="H10911" s="24"/>
      <c r="I10911" s="24"/>
      <c r="J10911" s="24"/>
      <c r="K10911" s="24"/>
      <c r="L10911" s="24"/>
      <c r="M10911" s="24"/>
      <c r="N10911" s="24"/>
      <c r="O10911" s="24"/>
      <c r="P10911" s="24"/>
      <c r="Q10911" s="24"/>
      <c r="R10911" s="24"/>
      <c r="S10911" s="24"/>
      <c r="T10911" s="24"/>
      <c r="U10911" s="24"/>
      <c r="V10911" s="24"/>
      <c r="W10911" s="24"/>
      <c r="X10911" s="24"/>
      <c r="Y10911" s="24"/>
      <c r="Z10911" s="24"/>
      <c r="AA10911" s="24"/>
    </row>
    <row r="10912">
      <c r="A10912" s="24"/>
      <c r="B10912" s="25"/>
      <c r="C10912" s="24"/>
      <c r="D10912" s="26"/>
      <c r="E10912" s="24"/>
      <c r="F10912" s="24"/>
      <c r="G10912" s="24"/>
      <c r="H10912" s="24"/>
      <c r="I10912" s="24"/>
      <c r="J10912" s="24"/>
      <c r="K10912" s="24"/>
      <c r="L10912" s="24"/>
      <c r="M10912" s="24"/>
      <c r="N10912" s="24"/>
      <c r="O10912" s="24"/>
      <c r="P10912" s="24"/>
      <c r="Q10912" s="24"/>
      <c r="R10912" s="24"/>
      <c r="S10912" s="24"/>
      <c r="T10912" s="24"/>
      <c r="U10912" s="24"/>
      <c r="V10912" s="24"/>
      <c r="W10912" s="24"/>
      <c r="X10912" s="24"/>
      <c r="Y10912" s="24"/>
      <c r="Z10912" s="24"/>
      <c r="AA10912" s="24"/>
    </row>
    <row r="10913">
      <c r="A10913" s="24"/>
      <c r="B10913" s="25"/>
      <c r="C10913" s="24"/>
      <c r="D10913" s="26"/>
      <c r="E10913" s="24"/>
      <c r="F10913" s="24"/>
      <c r="G10913" s="24"/>
      <c r="H10913" s="24"/>
      <c r="I10913" s="24"/>
      <c r="J10913" s="24"/>
      <c r="K10913" s="24"/>
      <c r="L10913" s="24"/>
      <c r="M10913" s="24"/>
      <c r="N10913" s="24"/>
      <c r="O10913" s="24"/>
      <c r="P10913" s="24"/>
      <c r="Q10913" s="24"/>
      <c r="R10913" s="24"/>
      <c r="S10913" s="24"/>
      <c r="T10913" s="24"/>
      <c r="U10913" s="24"/>
      <c r="V10913" s="24"/>
      <c r="W10913" s="24"/>
      <c r="X10913" s="24"/>
      <c r="Y10913" s="24"/>
      <c r="Z10913" s="24"/>
      <c r="AA10913" s="24"/>
    </row>
    <row r="10914">
      <c r="A10914" s="24"/>
      <c r="B10914" s="25"/>
      <c r="C10914" s="24"/>
      <c r="D10914" s="26"/>
      <c r="E10914" s="24"/>
      <c r="F10914" s="24"/>
      <c r="G10914" s="24"/>
      <c r="H10914" s="24"/>
      <c r="I10914" s="24"/>
      <c r="J10914" s="24"/>
      <c r="K10914" s="24"/>
      <c r="L10914" s="24"/>
      <c r="M10914" s="24"/>
      <c r="N10914" s="24"/>
      <c r="O10914" s="24"/>
      <c r="P10914" s="24"/>
      <c r="Q10914" s="24"/>
      <c r="R10914" s="24"/>
      <c r="S10914" s="24"/>
      <c r="T10914" s="24"/>
      <c r="U10914" s="24"/>
      <c r="V10914" s="24"/>
      <c r="W10914" s="24"/>
      <c r="X10914" s="24"/>
      <c r="Y10914" s="24"/>
      <c r="Z10914" s="24"/>
      <c r="AA10914" s="24"/>
    </row>
    <row r="10915">
      <c r="A10915" s="24"/>
      <c r="B10915" s="25"/>
      <c r="C10915" s="24"/>
      <c r="D10915" s="26"/>
      <c r="E10915" s="24"/>
      <c r="F10915" s="24"/>
      <c r="G10915" s="24"/>
      <c r="H10915" s="24"/>
      <c r="I10915" s="24"/>
      <c r="J10915" s="24"/>
      <c r="K10915" s="24"/>
      <c r="L10915" s="24"/>
      <c r="M10915" s="24"/>
      <c r="N10915" s="24"/>
      <c r="O10915" s="24"/>
      <c r="P10915" s="24"/>
      <c r="Q10915" s="24"/>
      <c r="R10915" s="24"/>
      <c r="S10915" s="24"/>
      <c r="T10915" s="24"/>
      <c r="U10915" s="24"/>
      <c r="V10915" s="24"/>
      <c r="W10915" s="24"/>
      <c r="X10915" s="24"/>
      <c r="Y10915" s="24"/>
      <c r="Z10915" s="24"/>
      <c r="AA10915" s="24"/>
    </row>
    <row r="10916">
      <c r="A10916" s="24"/>
      <c r="B10916" s="25"/>
      <c r="C10916" s="24"/>
      <c r="D10916" s="26"/>
      <c r="E10916" s="24"/>
      <c r="F10916" s="24"/>
      <c r="G10916" s="24"/>
      <c r="H10916" s="24"/>
      <c r="I10916" s="24"/>
      <c r="J10916" s="24"/>
      <c r="K10916" s="24"/>
      <c r="L10916" s="24"/>
      <c r="M10916" s="24"/>
      <c r="N10916" s="24"/>
      <c r="O10916" s="24"/>
      <c r="P10916" s="24"/>
      <c r="Q10916" s="24"/>
      <c r="R10916" s="24"/>
      <c r="S10916" s="24"/>
      <c r="T10916" s="24"/>
      <c r="U10916" s="24"/>
      <c r="V10916" s="24"/>
      <c r="W10916" s="24"/>
      <c r="X10916" s="24"/>
      <c r="Y10916" s="24"/>
      <c r="Z10916" s="24"/>
      <c r="AA10916" s="24"/>
    </row>
    <row r="10917">
      <c r="A10917" s="24"/>
      <c r="B10917" s="25"/>
      <c r="C10917" s="24"/>
      <c r="D10917" s="26"/>
      <c r="E10917" s="24"/>
      <c r="F10917" s="24"/>
      <c r="G10917" s="24"/>
      <c r="H10917" s="24"/>
      <c r="I10917" s="24"/>
      <c r="J10917" s="24"/>
      <c r="K10917" s="24"/>
      <c r="L10917" s="24"/>
      <c r="M10917" s="24"/>
      <c r="N10917" s="24"/>
      <c r="O10917" s="24"/>
      <c r="P10917" s="24"/>
      <c r="Q10917" s="24"/>
      <c r="R10917" s="24"/>
      <c r="S10917" s="24"/>
      <c r="T10917" s="24"/>
      <c r="U10917" s="24"/>
      <c r="V10917" s="24"/>
      <c r="W10917" s="24"/>
      <c r="X10917" s="24"/>
      <c r="Y10917" s="24"/>
      <c r="Z10917" s="24"/>
      <c r="AA10917" s="24"/>
    </row>
    <row r="10918">
      <c r="A10918" s="24"/>
      <c r="B10918" s="25"/>
      <c r="C10918" s="24"/>
      <c r="D10918" s="26"/>
      <c r="E10918" s="24"/>
      <c r="F10918" s="24"/>
      <c r="G10918" s="24"/>
      <c r="H10918" s="24"/>
      <c r="I10918" s="24"/>
      <c r="J10918" s="24"/>
      <c r="K10918" s="24"/>
      <c r="L10918" s="24"/>
      <c r="M10918" s="24"/>
      <c r="N10918" s="24"/>
      <c r="O10918" s="24"/>
      <c r="P10918" s="24"/>
      <c r="Q10918" s="24"/>
      <c r="R10918" s="24"/>
      <c r="S10918" s="24"/>
      <c r="T10918" s="24"/>
      <c r="U10918" s="24"/>
      <c r="V10918" s="24"/>
      <c r="W10918" s="24"/>
      <c r="X10918" s="24"/>
      <c r="Y10918" s="24"/>
      <c r="Z10918" s="24"/>
      <c r="AA10918" s="24"/>
    </row>
    <row r="10919">
      <c r="A10919" s="24"/>
      <c r="B10919" s="25"/>
      <c r="C10919" s="24"/>
      <c r="D10919" s="26"/>
      <c r="E10919" s="24"/>
      <c r="F10919" s="24"/>
      <c r="G10919" s="24"/>
      <c r="H10919" s="24"/>
      <c r="I10919" s="24"/>
      <c r="J10919" s="24"/>
      <c r="K10919" s="24"/>
      <c r="L10919" s="24"/>
      <c r="M10919" s="24"/>
      <c r="N10919" s="24"/>
      <c r="O10919" s="24"/>
      <c r="P10919" s="24"/>
      <c r="Q10919" s="24"/>
      <c r="R10919" s="24"/>
      <c r="S10919" s="24"/>
      <c r="T10919" s="24"/>
      <c r="U10919" s="24"/>
      <c r="V10919" s="24"/>
      <c r="W10919" s="24"/>
      <c r="X10919" s="24"/>
      <c r="Y10919" s="24"/>
      <c r="Z10919" s="24"/>
      <c r="AA10919" s="24"/>
    </row>
    <row r="10920">
      <c r="A10920" s="24"/>
      <c r="B10920" s="25"/>
      <c r="C10920" s="24"/>
      <c r="D10920" s="26"/>
      <c r="E10920" s="24"/>
      <c r="F10920" s="24"/>
      <c r="G10920" s="24"/>
      <c r="H10920" s="24"/>
      <c r="I10920" s="24"/>
      <c r="J10920" s="24"/>
      <c r="K10920" s="24"/>
      <c r="L10920" s="24"/>
      <c r="M10920" s="24"/>
      <c r="N10920" s="24"/>
      <c r="O10920" s="24"/>
      <c r="P10920" s="24"/>
      <c r="Q10920" s="24"/>
      <c r="R10920" s="24"/>
      <c r="S10920" s="24"/>
      <c r="T10920" s="24"/>
      <c r="U10920" s="24"/>
      <c r="V10920" s="24"/>
      <c r="W10920" s="24"/>
      <c r="X10920" s="24"/>
      <c r="Y10920" s="24"/>
      <c r="Z10920" s="24"/>
      <c r="AA10920" s="24"/>
    </row>
    <row r="10921">
      <c r="A10921" s="24"/>
      <c r="B10921" s="25"/>
      <c r="C10921" s="24"/>
      <c r="D10921" s="26"/>
      <c r="E10921" s="24"/>
      <c r="F10921" s="24"/>
      <c r="G10921" s="24"/>
      <c r="H10921" s="24"/>
      <c r="I10921" s="24"/>
      <c r="J10921" s="24"/>
      <c r="K10921" s="24"/>
      <c r="L10921" s="24"/>
      <c r="M10921" s="24"/>
      <c r="N10921" s="24"/>
      <c r="O10921" s="24"/>
      <c r="P10921" s="24"/>
      <c r="Q10921" s="24"/>
      <c r="R10921" s="24"/>
      <c r="S10921" s="24"/>
      <c r="T10921" s="24"/>
      <c r="U10921" s="24"/>
      <c r="V10921" s="24"/>
      <c r="W10921" s="24"/>
      <c r="X10921" s="24"/>
      <c r="Y10921" s="24"/>
      <c r="Z10921" s="24"/>
      <c r="AA10921" s="24"/>
    </row>
    <row r="10922">
      <c r="A10922" s="24"/>
      <c r="B10922" s="25"/>
      <c r="C10922" s="24"/>
      <c r="D10922" s="26"/>
      <c r="E10922" s="24"/>
      <c r="F10922" s="24"/>
      <c r="G10922" s="24"/>
      <c r="H10922" s="24"/>
      <c r="I10922" s="24"/>
      <c r="J10922" s="24"/>
      <c r="K10922" s="24"/>
      <c r="L10922" s="24"/>
      <c r="M10922" s="24"/>
      <c r="N10922" s="24"/>
      <c r="O10922" s="24"/>
      <c r="P10922" s="24"/>
      <c r="Q10922" s="24"/>
      <c r="R10922" s="24"/>
      <c r="S10922" s="24"/>
      <c r="T10922" s="24"/>
      <c r="U10922" s="24"/>
      <c r="V10922" s="24"/>
      <c r="W10922" s="24"/>
      <c r="X10922" s="24"/>
      <c r="Y10922" s="24"/>
      <c r="Z10922" s="24"/>
      <c r="AA10922" s="24"/>
    </row>
    <row r="10923">
      <c r="A10923" s="24"/>
      <c r="B10923" s="25"/>
      <c r="C10923" s="24"/>
      <c r="D10923" s="26"/>
      <c r="E10923" s="24"/>
      <c r="F10923" s="24"/>
      <c r="G10923" s="24"/>
      <c r="H10923" s="24"/>
      <c r="I10923" s="24"/>
      <c r="J10923" s="24"/>
      <c r="K10923" s="24"/>
      <c r="L10923" s="24"/>
      <c r="M10923" s="24"/>
      <c r="N10923" s="24"/>
      <c r="O10923" s="24"/>
      <c r="P10923" s="24"/>
      <c r="Q10923" s="24"/>
      <c r="R10923" s="24"/>
      <c r="S10923" s="24"/>
      <c r="T10923" s="24"/>
      <c r="U10923" s="24"/>
      <c r="V10923" s="24"/>
      <c r="W10923" s="24"/>
      <c r="X10923" s="24"/>
      <c r="Y10923" s="24"/>
      <c r="Z10923" s="24"/>
      <c r="AA10923" s="24"/>
    </row>
    <row r="10924">
      <c r="A10924" s="24"/>
      <c r="B10924" s="25"/>
      <c r="C10924" s="24"/>
      <c r="D10924" s="26"/>
      <c r="E10924" s="24"/>
      <c r="F10924" s="24"/>
      <c r="G10924" s="24"/>
      <c r="H10924" s="24"/>
      <c r="I10924" s="24"/>
      <c r="J10924" s="24"/>
      <c r="K10924" s="24"/>
      <c r="L10924" s="24"/>
      <c r="M10924" s="24"/>
      <c r="N10924" s="24"/>
      <c r="O10924" s="24"/>
      <c r="P10924" s="24"/>
      <c r="Q10924" s="24"/>
      <c r="R10924" s="24"/>
      <c r="S10924" s="24"/>
      <c r="T10924" s="24"/>
      <c r="U10924" s="24"/>
      <c r="V10924" s="24"/>
      <c r="W10924" s="24"/>
      <c r="X10924" s="24"/>
      <c r="Y10924" s="24"/>
      <c r="Z10924" s="24"/>
      <c r="AA10924" s="24"/>
    </row>
    <row r="10925">
      <c r="A10925" s="24"/>
      <c r="B10925" s="25"/>
      <c r="C10925" s="24"/>
      <c r="D10925" s="26"/>
      <c r="E10925" s="24"/>
      <c r="F10925" s="24"/>
      <c r="G10925" s="24"/>
      <c r="H10925" s="24"/>
      <c r="I10925" s="24"/>
      <c r="J10925" s="24"/>
      <c r="K10925" s="24"/>
      <c r="L10925" s="24"/>
      <c r="M10925" s="24"/>
      <c r="N10925" s="24"/>
      <c r="O10925" s="24"/>
      <c r="P10925" s="24"/>
      <c r="Q10925" s="24"/>
      <c r="R10925" s="24"/>
      <c r="S10925" s="24"/>
      <c r="T10925" s="24"/>
      <c r="U10925" s="24"/>
      <c r="V10925" s="24"/>
      <c r="W10925" s="24"/>
      <c r="X10925" s="24"/>
      <c r="Y10925" s="24"/>
      <c r="Z10925" s="24"/>
      <c r="AA10925" s="24"/>
    </row>
    <row r="10926">
      <c r="A10926" s="24"/>
      <c r="B10926" s="25"/>
      <c r="C10926" s="24"/>
      <c r="D10926" s="26"/>
      <c r="E10926" s="24"/>
      <c r="F10926" s="24"/>
      <c r="G10926" s="24"/>
      <c r="H10926" s="24"/>
      <c r="I10926" s="24"/>
      <c r="J10926" s="24"/>
      <c r="K10926" s="24"/>
      <c r="L10926" s="24"/>
      <c r="M10926" s="24"/>
      <c r="N10926" s="24"/>
      <c r="O10926" s="24"/>
      <c r="P10926" s="24"/>
      <c r="Q10926" s="24"/>
      <c r="R10926" s="24"/>
      <c r="S10926" s="24"/>
      <c r="T10926" s="24"/>
      <c r="U10926" s="24"/>
      <c r="V10926" s="24"/>
      <c r="W10926" s="24"/>
      <c r="X10926" s="24"/>
      <c r="Y10926" s="24"/>
      <c r="Z10926" s="24"/>
      <c r="AA10926" s="24"/>
    </row>
    <row r="10927">
      <c r="A10927" s="24"/>
      <c r="B10927" s="25"/>
      <c r="C10927" s="24"/>
      <c r="D10927" s="26"/>
      <c r="E10927" s="24"/>
      <c r="F10927" s="24"/>
      <c r="G10927" s="24"/>
      <c r="H10927" s="24"/>
      <c r="I10927" s="24"/>
      <c r="J10927" s="24"/>
      <c r="K10927" s="24"/>
      <c r="L10927" s="24"/>
      <c r="M10927" s="24"/>
      <c r="N10927" s="24"/>
      <c r="O10927" s="24"/>
      <c r="P10927" s="24"/>
      <c r="Q10927" s="24"/>
      <c r="R10927" s="24"/>
      <c r="S10927" s="24"/>
      <c r="T10927" s="24"/>
      <c r="U10927" s="24"/>
      <c r="V10927" s="24"/>
      <c r="W10927" s="24"/>
      <c r="X10927" s="24"/>
      <c r="Y10927" s="24"/>
      <c r="Z10927" s="24"/>
      <c r="AA10927" s="24"/>
    </row>
    <row r="10928">
      <c r="A10928" s="24"/>
      <c r="B10928" s="25"/>
      <c r="C10928" s="24"/>
      <c r="D10928" s="26"/>
      <c r="E10928" s="24"/>
      <c r="F10928" s="24"/>
      <c r="G10928" s="24"/>
      <c r="H10928" s="24"/>
      <c r="I10928" s="24"/>
      <c r="J10928" s="24"/>
      <c r="K10928" s="24"/>
      <c r="L10928" s="24"/>
      <c r="M10928" s="24"/>
      <c r="N10928" s="24"/>
      <c r="O10928" s="24"/>
      <c r="P10928" s="24"/>
      <c r="Q10928" s="24"/>
      <c r="R10928" s="24"/>
      <c r="S10928" s="24"/>
      <c r="T10928" s="24"/>
      <c r="U10928" s="24"/>
      <c r="V10928" s="24"/>
      <c r="W10928" s="24"/>
      <c r="X10928" s="24"/>
      <c r="Y10928" s="24"/>
      <c r="Z10928" s="24"/>
      <c r="AA10928" s="24"/>
    </row>
    <row r="10929">
      <c r="A10929" s="24"/>
      <c r="B10929" s="25"/>
      <c r="C10929" s="24"/>
      <c r="D10929" s="26"/>
      <c r="E10929" s="24"/>
      <c r="F10929" s="24"/>
      <c r="G10929" s="24"/>
      <c r="H10929" s="24"/>
      <c r="I10929" s="24"/>
      <c r="J10929" s="24"/>
      <c r="K10929" s="24"/>
      <c r="L10929" s="24"/>
      <c r="M10929" s="24"/>
      <c r="N10929" s="24"/>
      <c r="O10929" s="24"/>
      <c r="P10929" s="24"/>
      <c r="Q10929" s="24"/>
      <c r="R10929" s="24"/>
      <c r="S10929" s="24"/>
      <c r="T10929" s="24"/>
      <c r="U10929" s="24"/>
      <c r="V10929" s="24"/>
      <c r="W10929" s="24"/>
      <c r="X10929" s="24"/>
      <c r="Y10929" s="24"/>
      <c r="Z10929" s="24"/>
      <c r="AA10929" s="24"/>
    </row>
    <row r="10930">
      <c r="A10930" s="24"/>
      <c r="B10930" s="25"/>
      <c r="C10930" s="24"/>
      <c r="D10930" s="26"/>
      <c r="E10930" s="24"/>
      <c r="F10930" s="24"/>
      <c r="G10930" s="24"/>
      <c r="H10930" s="24"/>
      <c r="I10930" s="24"/>
      <c r="J10930" s="24"/>
      <c r="K10930" s="24"/>
      <c r="L10930" s="24"/>
      <c r="M10930" s="24"/>
      <c r="N10930" s="24"/>
      <c r="O10930" s="24"/>
      <c r="P10930" s="24"/>
      <c r="Q10930" s="24"/>
      <c r="R10930" s="24"/>
      <c r="S10930" s="24"/>
      <c r="T10930" s="24"/>
      <c r="U10930" s="24"/>
      <c r="V10930" s="24"/>
      <c r="W10930" s="24"/>
      <c r="X10930" s="24"/>
      <c r="Y10930" s="24"/>
      <c r="Z10930" s="24"/>
      <c r="AA10930" s="24"/>
    </row>
    <row r="10931">
      <c r="A10931" s="24"/>
      <c r="B10931" s="25"/>
      <c r="C10931" s="24"/>
      <c r="D10931" s="26"/>
      <c r="E10931" s="24"/>
      <c r="F10931" s="24"/>
      <c r="G10931" s="24"/>
      <c r="H10931" s="24"/>
      <c r="I10931" s="24"/>
      <c r="J10931" s="24"/>
      <c r="K10931" s="24"/>
      <c r="L10931" s="24"/>
      <c r="M10931" s="24"/>
      <c r="N10931" s="24"/>
      <c r="O10931" s="24"/>
      <c r="P10931" s="24"/>
      <c r="Q10931" s="24"/>
      <c r="R10931" s="24"/>
      <c r="S10931" s="24"/>
      <c r="T10931" s="24"/>
      <c r="U10931" s="24"/>
      <c r="V10931" s="24"/>
      <c r="W10931" s="24"/>
      <c r="X10931" s="24"/>
      <c r="Y10931" s="24"/>
      <c r="Z10931" s="24"/>
      <c r="AA10931" s="24"/>
    </row>
    <row r="10932">
      <c r="A10932" s="24"/>
      <c r="B10932" s="25"/>
      <c r="C10932" s="24"/>
      <c r="D10932" s="26"/>
      <c r="E10932" s="24"/>
      <c r="F10932" s="24"/>
      <c r="G10932" s="24"/>
      <c r="H10932" s="24"/>
      <c r="I10932" s="24"/>
      <c r="J10932" s="24"/>
      <c r="K10932" s="24"/>
      <c r="L10932" s="24"/>
      <c r="M10932" s="24"/>
      <c r="N10932" s="24"/>
      <c r="O10932" s="24"/>
      <c r="P10932" s="24"/>
      <c r="Q10932" s="24"/>
      <c r="R10932" s="24"/>
      <c r="S10932" s="24"/>
      <c r="T10932" s="24"/>
      <c r="U10932" s="24"/>
      <c r="V10932" s="24"/>
      <c r="W10932" s="24"/>
      <c r="X10932" s="24"/>
      <c r="Y10932" s="24"/>
      <c r="Z10932" s="24"/>
      <c r="AA10932" s="24"/>
    </row>
    <row r="10933">
      <c r="A10933" s="24"/>
      <c r="B10933" s="25"/>
      <c r="C10933" s="24"/>
      <c r="D10933" s="26"/>
      <c r="E10933" s="24"/>
      <c r="F10933" s="24"/>
      <c r="G10933" s="24"/>
      <c r="H10933" s="24"/>
      <c r="I10933" s="24"/>
      <c r="J10933" s="24"/>
      <c r="K10933" s="24"/>
      <c r="L10933" s="24"/>
      <c r="M10933" s="24"/>
      <c r="N10933" s="24"/>
      <c r="O10933" s="24"/>
      <c r="P10933" s="24"/>
      <c r="Q10933" s="24"/>
      <c r="R10933" s="24"/>
      <c r="S10933" s="24"/>
      <c r="T10933" s="24"/>
      <c r="U10933" s="24"/>
      <c r="V10933" s="24"/>
      <c r="W10933" s="24"/>
      <c r="X10933" s="24"/>
      <c r="Y10933" s="24"/>
      <c r="Z10933" s="24"/>
      <c r="AA10933" s="24"/>
    </row>
    <row r="10934">
      <c r="A10934" s="24"/>
      <c r="B10934" s="25"/>
      <c r="C10934" s="24"/>
      <c r="D10934" s="26"/>
      <c r="E10934" s="24"/>
      <c r="F10934" s="24"/>
      <c r="G10934" s="24"/>
      <c r="H10934" s="24"/>
      <c r="I10934" s="24"/>
      <c r="J10934" s="24"/>
      <c r="K10934" s="24"/>
      <c r="L10934" s="24"/>
      <c r="M10934" s="24"/>
      <c r="N10934" s="24"/>
      <c r="O10934" s="24"/>
      <c r="P10934" s="24"/>
      <c r="Q10934" s="24"/>
      <c r="R10934" s="24"/>
      <c r="S10934" s="24"/>
      <c r="T10934" s="24"/>
      <c r="U10934" s="24"/>
      <c r="V10934" s="24"/>
      <c r="W10934" s="24"/>
      <c r="X10934" s="24"/>
      <c r="Y10934" s="24"/>
      <c r="Z10934" s="24"/>
      <c r="AA10934" s="24"/>
    </row>
    <row r="10935">
      <c r="A10935" s="24"/>
      <c r="B10935" s="25"/>
      <c r="C10935" s="24"/>
      <c r="D10935" s="26"/>
      <c r="E10935" s="24"/>
      <c r="F10935" s="24"/>
      <c r="G10935" s="24"/>
      <c r="H10935" s="24"/>
      <c r="I10935" s="24"/>
      <c r="J10935" s="24"/>
      <c r="K10935" s="24"/>
      <c r="L10935" s="24"/>
      <c r="M10935" s="24"/>
      <c r="N10935" s="24"/>
      <c r="O10935" s="24"/>
      <c r="P10935" s="24"/>
      <c r="Q10935" s="24"/>
      <c r="R10935" s="24"/>
      <c r="S10935" s="24"/>
      <c r="T10935" s="24"/>
      <c r="U10935" s="24"/>
      <c r="V10935" s="24"/>
      <c r="W10935" s="24"/>
      <c r="X10935" s="24"/>
      <c r="Y10935" s="24"/>
      <c r="Z10935" s="24"/>
      <c r="AA10935" s="24"/>
    </row>
    <row r="10936">
      <c r="A10936" s="24"/>
      <c r="B10936" s="25"/>
      <c r="C10936" s="24"/>
      <c r="D10936" s="26"/>
      <c r="E10936" s="24"/>
      <c r="F10936" s="24"/>
      <c r="G10936" s="24"/>
      <c r="H10936" s="24"/>
      <c r="I10936" s="24"/>
      <c r="J10936" s="24"/>
      <c r="K10936" s="24"/>
      <c r="L10936" s="24"/>
      <c r="M10936" s="24"/>
      <c r="N10936" s="24"/>
      <c r="O10936" s="24"/>
      <c r="P10936" s="24"/>
      <c r="Q10936" s="24"/>
      <c r="R10936" s="24"/>
      <c r="S10936" s="24"/>
      <c r="T10936" s="24"/>
      <c r="U10936" s="24"/>
      <c r="V10936" s="24"/>
      <c r="W10936" s="24"/>
      <c r="X10936" s="24"/>
      <c r="Y10936" s="24"/>
      <c r="Z10936" s="24"/>
      <c r="AA10936" s="24"/>
    </row>
    <row r="10937">
      <c r="A10937" s="24"/>
      <c r="B10937" s="25"/>
      <c r="C10937" s="24"/>
      <c r="D10937" s="26"/>
      <c r="E10937" s="24"/>
      <c r="F10937" s="24"/>
      <c r="G10937" s="24"/>
      <c r="H10937" s="24"/>
      <c r="I10937" s="24"/>
      <c r="J10937" s="24"/>
      <c r="K10937" s="24"/>
      <c r="L10937" s="24"/>
      <c r="M10937" s="24"/>
      <c r="N10937" s="24"/>
      <c r="O10937" s="24"/>
      <c r="P10937" s="24"/>
      <c r="Q10937" s="24"/>
      <c r="R10937" s="24"/>
      <c r="S10937" s="24"/>
      <c r="T10937" s="24"/>
      <c r="U10937" s="24"/>
      <c r="V10937" s="24"/>
      <c r="W10937" s="24"/>
      <c r="X10937" s="24"/>
      <c r="Y10937" s="24"/>
      <c r="Z10937" s="24"/>
      <c r="AA10937" s="24"/>
    </row>
    <row r="10938">
      <c r="A10938" s="24"/>
      <c r="B10938" s="25"/>
      <c r="C10938" s="24"/>
      <c r="D10938" s="26"/>
      <c r="E10938" s="24"/>
      <c r="F10938" s="24"/>
      <c r="G10938" s="24"/>
      <c r="H10938" s="24"/>
      <c r="I10938" s="24"/>
      <c r="J10938" s="24"/>
      <c r="K10938" s="24"/>
      <c r="L10938" s="24"/>
      <c r="M10938" s="24"/>
      <c r="N10938" s="24"/>
      <c r="O10938" s="24"/>
      <c r="P10938" s="24"/>
      <c r="Q10938" s="24"/>
      <c r="R10938" s="24"/>
      <c r="S10938" s="24"/>
      <c r="T10938" s="24"/>
      <c r="U10938" s="24"/>
      <c r="V10938" s="24"/>
      <c r="W10938" s="24"/>
      <c r="X10938" s="24"/>
      <c r="Y10938" s="24"/>
      <c r="Z10938" s="24"/>
      <c r="AA10938" s="24"/>
    </row>
    <row r="10939">
      <c r="A10939" s="24"/>
      <c r="B10939" s="25"/>
      <c r="C10939" s="24"/>
      <c r="D10939" s="26"/>
      <c r="E10939" s="24"/>
      <c r="F10939" s="24"/>
      <c r="G10939" s="24"/>
      <c r="H10939" s="24"/>
      <c r="I10939" s="24"/>
      <c r="J10939" s="24"/>
      <c r="K10939" s="24"/>
      <c r="L10939" s="24"/>
      <c r="M10939" s="24"/>
      <c r="N10939" s="24"/>
      <c r="O10939" s="24"/>
      <c r="P10939" s="24"/>
      <c r="Q10939" s="24"/>
      <c r="R10939" s="24"/>
      <c r="S10939" s="24"/>
      <c r="T10939" s="24"/>
      <c r="U10939" s="24"/>
      <c r="V10939" s="24"/>
      <c r="W10939" s="24"/>
      <c r="X10939" s="24"/>
      <c r="Y10939" s="24"/>
      <c r="Z10939" s="24"/>
      <c r="AA10939" s="24"/>
    </row>
    <row r="10940">
      <c r="A10940" s="24"/>
      <c r="B10940" s="25"/>
      <c r="C10940" s="24"/>
      <c r="D10940" s="26"/>
      <c r="E10940" s="24"/>
      <c r="F10940" s="24"/>
      <c r="G10940" s="24"/>
      <c r="H10940" s="24"/>
      <c r="I10940" s="24"/>
      <c r="J10940" s="24"/>
      <c r="K10940" s="24"/>
      <c r="L10940" s="24"/>
      <c r="M10940" s="24"/>
      <c r="N10940" s="24"/>
      <c r="O10940" s="24"/>
      <c r="P10940" s="24"/>
      <c r="Q10940" s="24"/>
      <c r="R10940" s="24"/>
      <c r="S10940" s="24"/>
      <c r="T10940" s="24"/>
      <c r="U10940" s="24"/>
      <c r="V10940" s="24"/>
      <c r="W10940" s="24"/>
      <c r="X10940" s="24"/>
      <c r="Y10940" s="24"/>
      <c r="Z10940" s="24"/>
      <c r="AA10940" s="24"/>
    </row>
    <row r="10941">
      <c r="A10941" s="24"/>
      <c r="B10941" s="25"/>
      <c r="C10941" s="24"/>
      <c r="D10941" s="26"/>
      <c r="E10941" s="24"/>
      <c r="F10941" s="24"/>
      <c r="G10941" s="24"/>
      <c r="H10941" s="24"/>
      <c r="I10941" s="24"/>
      <c r="J10941" s="24"/>
      <c r="K10941" s="24"/>
      <c r="L10941" s="24"/>
      <c r="M10941" s="24"/>
      <c r="N10941" s="24"/>
      <c r="O10941" s="24"/>
      <c r="P10941" s="24"/>
      <c r="Q10941" s="24"/>
      <c r="R10941" s="24"/>
      <c r="S10941" s="24"/>
      <c r="T10941" s="24"/>
      <c r="U10941" s="24"/>
      <c r="V10941" s="24"/>
      <c r="W10941" s="24"/>
      <c r="X10941" s="24"/>
      <c r="Y10941" s="24"/>
      <c r="Z10941" s="24"/>
      <c r="AA10941" s="24"/>
    </row>
    <row r="10942">
      <c r="A10942" s="24"/>
      <c r="B10942" s="25"/>
      <c r="C10942" s="24"/>
      <c r="D10942" s="26"/>
      <c r="E10942" s="24"/>
      <c r="F10942" s="24"/>
      <c r="G10942" s="24"/>
      <c r="H10942" s="24"/>
      <c r="I10942" s="24"/>
      <c r="J10942" s="24"/>
      <c r="K10942" s="24"/>
      <c r="L10942" s="24"/>
      <c r="M10942" s="24"/>
      <c r="N10942" s="24"/>
      <c r="O10942" s="24"/>
      <c r="P10942" s="24"/>
      <c r="Q10942" s="24"/>
      <c r="R10942" s="24"/>
      <c r="S10942" s="24"/>
      <c r="T10942" s="24"/>
      <c r="U10942" s="24"/>
      <c r="V10942" s="24"/>
      <c r="W10942" s="24"/>
      <c r="X10942" s="24"/>
      <c r="Y10942" s="24"/>
      <c r="Z10942" s="24"/>
      <c r="AA10942" s="24"/>
    </row>
    <row r="10943">
      <c r="A10943" s="24"/>
      <c r="B10943" s="25"/>
      <c r="C10943" s="24"/>
      <c r="D10943" s="26"/>
      <c r="E10943" s="24"/>
      <c r="F10943" s="24"/>
      <c r="G10943" s="24"/>
      <c r="H10943" s="24"/>
      <c r="I10943" s="24"/>
      <c r="J10943" s="24"/>
      <c r="K10943" s="24"/>
      <c r="L10943" s="24"/>
      <c r="M10943" s="24"/>
      <c r="N10943" s="24"/>
      <c r="O10943" s="24"/>
      <c r="P10943" s="24"/>
      <c r="Q10943" s="24"/>
      <c r="R10943" s="24"/>
      <c r="S10943" s="24"/>
      <c r="T10943" s="24"/>
      <c r="U10943" s="24"/>
      <c r="V10943" s="24"/>
      <c r="W10943" s="24"/>
      <c r="X10943" s="24"/>
      <c r="Y10943" s="24"/>
      <c r="Z10943" s="24"/>
      <c r="AA10943" s="24"/>
    </row>
    <row r="10944">
      <c r="A10944" s="24"/>
      <c r="B10944" s="25"/>
      <c r="C10944" s="24"/>
      <c r="D10944" s="26"/>
      <c r="E10944" s="24"/>
      <c r="F10944" s="24"/>
      <c r="G10944" s="24"/>
      <c r="H10944" s="24"/>
      <c r="I10944" s="24"/>
      <c r="J10944" s="24"/>
      <c r="K10944" s="24"/>
      <c r="L10944" s="24"/>
      <c r="M10944" s="24"/>
      <c r="N10944" s="24"/>
      <c r="O10944" s="24"/>
      <c r="P10944" s="24"/>
      <c r="Q10944" s="24"/>
      <c r="R10944" s="24"/>
      <c r="S10944" s="24"/>
      <c r="T10944" s="24"/>
      <c r="U10944" s="24"/>
      <c r="V10944" s="24"/>
      <c r="W10944" s="24"/>
      <c r="X10944" s="24"/>
      <c r="Y10944" s="24"/>
      <c r="Z10944" s="24"/>
      <c r="AA10944" s="24"/>
    </row>
    <row r="10945">
      <c r="A10945" s="24"/>
      <c r="B10945" s="25"/>
      <c r="C10945" s="24"/>
      <c r="D10945" s="26"/>
      <c r="E10945" s="24"/>
      <c r="F10945" s="24"/>
      <c r="G10945" s="24"/>
      <c r="H10945" s="24"/>
      <c r="I10945" s="24"/>
      <c r="J10945" s="24"/>
      <c r="K10945" s="24"/>
      <c r="L10945" s="24"/>
      <c r="M10945" s="24"/>
      <c r="N10945" s="24"/>
      <c r="O10945" s="24"/>
      <c r="P10945" s="24"/>
      <c r="Q10945" s="24"/>
      <c r="R10945" s="24"/>
      <c r="S10945" s="24"/>
      <c r="T10945" s="24"/>
      <c r="U10945" s="24"/>
      <c r="V10945" s="24"/>
      <c r="W10945" s="24"/>
      <c r="X10945" s="24"/>
      <c r="Y10945" s="24"/>
      <c r="Z10945" s="24"/>
      <c r="AA10945" s="24"/>
    </row>
    <row r="10946">
      <c r="A10946" s="24"/>
      <c r="B10946" s="25"/>
      <c r="C10946" s="24"/>
      <c r="D10946" s="26"/>
      <c r="E10946" s="24"/>
      <c r="F10946" s="24"/>
      <c r="G10946" s="24"/>
      <c r="H10946" s="24"/>
      <c r="I10946" s="24"/>
      <c r="J10946" s="24"/>
      <c r="K10946" s="24"/>
      <c r="L10946" s="24"/>
      <c r="M10946" s="24"/>
      <c r="N10946" s="24"/>
      <c r="O10946" s="24"/>
      <c r="P10946" s="24"/>
      <c r="Q10946" s="24"/>
      <c r="R10946" s="24"/>
      <c r="S10946" s="24"/>
      <c r="T10946" s="24"/>
      <c r="U10946" s="24"/>
      <c r="V10946" s="24"/>
      <c r="W10946" s="24"/>
      <c r="X10946" s="24"/>
      <c r="Y10946" s="24"/>
      <c r="Z10946" s="24"/>
      <c r="AA10946" s="24"/>
    </row>
    <row r="10947">
      <c r="A10947" s="24"/>
      <c r="B10947" s="25"/>
      <c r="C10947" s="24"/>
      <c r="D10947" s="26"/>
      <c r="E10947" s="24"/>
      <c r="F10947" s="24"/>
      <c r="G10947" s="24"/>
      <c r="H10947" s="24"/>
      <c r="I10947" s="24"/>
      <c r="J10947" s="24"/>
      <c r="K10947" s="24"/>
      <c r="L10947" s="24"/>
      <c r="M10947" s="24"/>
      <c r="N10947" s="24"/>
      <c r="O10947" s="24"/>
      <c r="P10947" s="24"/>
      <c r="Q10947" s="24"/>
      <c r="R10947" s="24"/>
      <c r="S10947" s="24"/>
      <c r="T10947" s="24"/>
      <c r="U10947" s="24"/>
      <c r="V10947" s="24"/>
      <c r="W10947" s="24"/>
      <c r="X10947" s="24"/>
      <c r="Y10947" s="24"/>
      <c r="Z10947" s="24"/>
      <c r="AA10947" s="24"/>
    </row>
    <row r="10948">
      <c r="A10948" s="24"/>
      <c r="B10948" s="25"/>
      <c r="C10948" s="24"/>
      <c r="D10948" s="26"/>
      <c r="E10948" s="24"/>
      <c r="F10948" s="24"/>
      <c r="G10948" s="24"/>
      <c r="H10948" s="24"/>
      <c r="I10948" s="24"/>
      <c r="J10948" s="24"/>
      <c r="K10948" s="24"/>
      <c r="L10948" s="24"/>
      <c r="M10948" s="24"/>
      <c r="N10948" s="24"/>
      <c r="O10948" s="24"/>
      <c r="P10948" s="24"/>
      <c r="Q10948" s="24"/>
      <c r="R10948" s="24"/>
      <c r="S10948" s="24"/>
      <c r="T10948" s="24"/>
      <c r="U10948" s="24"/>
      <c r="V10948" s="24"/>
      <c r="W10948" s="24"/>
      <c r="X10948" s="24"/>
      <c r="Y10948" s="24"/>
      <c r="Z10948" s="24"/>
      <c r="AA10948" s="24"/>
    </row>
    <row r="10949">
      <c r="A10949" s="24"/>
      <c r="B10949" s="25"/>
      <c r="C10949" s="24"/>
      <c r="D10949" s="26"/>
      <c r="E10949" s="24"/>
      <c r="F10949" s="24"/>
      <c r="G10949" s="24"/>
      <c r="H10949" s="24"/>
      <c r="I10949" s="24"/>
      <c r="J10949" s="24"/>
      <c r="K10949" s="24"/>
      <c r="L10949" s="24"/>
      <c r="M10949" s="24"/>
      <c r="N10949" s="24"/>
      <c r="O10949" s="24"/>
      <c r="P10949" s="24"/>
      <c r="Q10949" s="24"/>
      <c r="R10949" s="24"/>
      <c r="S10949" s="24"/>
      <c r="T10949" s="24"/>
      <c r="U10949" s="24"/>
      <c r="V10949" s="24"/>
      <c r="W10949" s="24"/>
      <c r="X10949" s="24"/>
      <c r="Y10949" s="24"/>
      <c r="Z10949" s="24"/>
      <c r="AA10949" s="24"/>
    </row>
    <row r="10950">
      <c r="A10950" s="24"/>
      <c r="B10950" s="25"/>
      <c r="C10950" s="24"/>
      <c r="D10950" s="26"/>
      <c r="E10950" s="24"/>
      <c r="F10950" s="24"/>
      <c r="G10950" s="24"/>
      <c r="H10950" s="24"/>
      <c r="I10950" s="24"/>
      <c r="J10950" s="24"/>
      <c r="K10950" s="24"/>
      <c r="L10950" s="24"/>
      <c r="M10950" s="24"/>
      <c r="N10950" s="24"/>
      <c r="O10950" s="24"/>
      <c r="P10950" s="24"/>
      <c r="Q10950" s="24"/>
      <c r="R10950" s="24"/>
      <c r="S10950" s="24"/>
      <c r="T10950" s="24"/>
      <c r="U10950" s="24"/>
      <c r="V10950" s="24"/>
      <c r="W10950" s="24"/>
      <c r="X10950" s="24"/>
      <c r="Y10950" s="24"/>
      <c r="Z10950" s="24"/>
      <c r="AA10950" s="24"/>
    </row>
    <row r="10951">
      <c r="A10951" s="24"/>
      <c r="B10951" s="25"/>
      <c r="C10951" s="24"/>
      <c r="D10951" s="26"/>
      <c r="E10951" s="24"/>
      <c r="F10951" s="24"/>
      <c r="G10951" s="24"/>
      <c r="H10951" s="24"/>
      <c r="I10951" s="24"/>
      <c r="J10951" s="24"/>
      <c r="K10951" s="24"/>
      <c r="L10951" s="24"/>
      <c r="M10951" s="24"/>
      <c r="N10951" s="24"/>
      <c r="O10951" s="24"/>
      <c r="P10951" s="24"/>
      <c r="Q10951" s="24"/>
      <c r="R10951" s="24"/>
      <c r="S10951" s="24"/>
      <c r="T10951" s="24"/>
      <c r="U10951" s="24"/>
      <c r="V10951" s="24"/>
      <c r="W10951" s="24"/>
      <c r="X10951" s="24"/>
      <c r="Y10951" s="24"/>
      <c r="Z10951" s="24"/>
      <c r="AA10951" s="24"/>
    </row>
    <row r="10952">
      <c r="A10952" s="24"/>
      <c r="B10952" s="25"/>
      <c r="C10952" s="24"/>
      <c r="D10952" s="26"/>
      <c r="E10952" s="24"/>
      <c r="F10952" s="24"/>
      <c r="G10952" s="24"/>
      <c r="H10952" s="24"/>
      <c r="I10952" s="24"/>
      <c r="J10952" s="24"/>
      <c r="K10952" s="24"/>
      <c r="L10952" s="24"/>
      <c r="M10952" s="24"/>
      <c r="N10952" s="24"/>
      <c r="O10952" s="24"/>
      <c r="P10952" s="24"/>
      <c r="Q10952" s="24"/>
      <c r="R10952" s="24"/>
      <c r="S10952" s="24"/>
      <c r="T10952" s="24"/>
      <c r="U10952" s="24"/>
      <c r="V10952" s="24"/>
      <c r="W10952" s="24"/>
      <c r="X10952" s="24"/>
      <c r="Y10952" s="24"/>
      <c r="Z10952" s="24"/>
      <c r="AA10952" s="24"/>
    </row>
    <row r="10953">
      <c r="A10953" s="24"/>
      <c r="B10953" s="25"/>
      <c r="C10953" s="24"/>
      <c r="D10953" s="26"/>
      <c r="E10953" s="24"/>
      <c r="F10953" s="24"/>
      <c r="G10953" s="24"/>
      <c r="H10953" s="24"/>
      <c r="I10953" s="24"/>
      <c r="J10953" s="24"/>
      <c r="K10953" s="24"/>
      <c r="L10953" s="24"/>
      <c r="M10953" s="24"/>
      <c r="N10953" s="24"/>
      <c r="O10953" s="24"/>
      <c r="P10953" s="24"/>
      <c r="Q10953" s="24"/>
      <c r="R10953" s="24"/>
      <c r="S10953" s="24"/>
      <c r="T10953" s="24"/>
      <c r="U10953" s="24"/>
      <c r="V10953" s="24"/>
      <c r="W10953" s="24"/>
      <c r="X10953" s="24"/>
      <c r="Y10953" s="24"/>
      <c r="Z10953" s="24"/>
      <c r="AA10953" s="24"/>
    </row>
    <row r="10954">
      <c r="A10954" s="24"/>
      <c r="B10954" s="25"/>
      <c r="C10954" s="24"/>
      <c r="D10954" s="26"/>
      <c r="E10954" s="24"/>
      <c r="F10954" s="24"/>
      <c r="G10954" s="24"/>
      <c r="H10954" s="24"/>
      <c r="I10954" s="24"/>
      <c r="J10954" s="24"/>
      <c r="K10954" s="24"/>
      <c r="L10954" s="24"/>
      <c r="M10954" s="24"/>
      <c r="N10954" s="24"/>
      <c r="O10954" s="24"/>
      <c r="P10954" s="24"/>
      <c r="Q10954" s="24"/>
      <c r="R10954" s="24"/>
      <c r="S10954" s="24"/>
      <c r="T10954" s="24"/>
      <c r="U10954" s="24"/>
      <c r="V10954" s="24"/>
      <c r="W10954" s="24"/>
      <c r="X10954" s="24"/>
      <c r="Y10954" s="24"/>
      <c r="Z10954" s="24"/>
      <c r="AA10954" s="24"/>
    </row>
    <row r="10955">
      <c r="A10955" s="24"/>
      <c r="B10955" s="25"/>
      <c r="C10955" s="24"/>
      <c r="D10955" s="26"/>
      <c r="E10955" s="24"/>
      <c r="F10955" s="24"/>
      <c r="G10955" s="24"/>
      <c r="H10955" s="24"/>
      <c r="I10955" s="24"/>
      <c r="J10955" s="24"/>
      <c r="K10955" s="24"/>
      <c r="L10955" s="24"/>
      <c r="M10955" s="24"/>
      <c r="N10955" s="24"/>
      <c r="O10955" s="24"/>
      <c r="P10955" s="24"/>
      <c r="Q10955" s="24"/>
      <c r="R10955" s="24"/>
      <c r="S10955" s="24"/>
      <c r="T10955" s="24"/>
      <c r="U10955" s="24"/>
      <c r="V10955" s="24"/>
      <c r="W10955" s="24"/>
      <c r="X10955" s="24"/>
      <c r="Y10955" s="24"/>
      <c r="Z10955" s="24"/>
      <c r="AA10955" s="24"/>
    </row>
    <row r="10956">
      <c r="A10956" s="24"/>
      <c r="B10956" s="25"/>
      <c r="C10956" s="24"/>
      <c r="D10956" s="26"/>
      <c r="E10956" s="24"/>
      <c r="F10956" s="24"/>
      <c r="G10956" s="24"/>
      <c r="H10956" s="24"/>
      <c r="I10956" s="24"/>
      <c r="J10956" s="24"/>
      <c r="K10956" s="24"/>
      <c r="L10956" s="24"/>
      <c r="M10956" s="24"/>
      <c r="N10956" s="24"/>
      <c r="O10956" s="24"/>
      <c r="P10956" s="24"/>
      <c r="Q10956" s="24"/>
      <c r="R10956" s="24"/>
      <c r="S10956" s="24"/>
      <c r="T10956" s="24"/>
      <c r="U10956" s="24"/>
      <c r="V10956" s="24"/>
      <c r="W10956" s="24"/>
      <c r="X10956" s="24"/>
      <c r="Y10956" s="24"/>
      <c r="Z10956" s="24"/>
      <c r="AA10956" s="24"/>
    </row>
    <row r="10957">
      <c r="A10957" s="24"/>
      <c r="B10957" s="25"/>
      <c r="C10957" s="24"/>
      <c r="D10957" s="26"/>
      <c r="E10957" s="24"/>
      <c r="F10957" s="24"/>
      <c r="G10957" s="24"/>
      <c r="H10957" s="24"/>
      <c r="I10957" s="24"/>
      <c r="J10957" s="24"/>
      <c r="K10957" s="24"/>
      <c r="L10957" s="24"/>
      <c r="M10957" s="24"/>
      <c r="N10957" s="24"/>
      <c r="O10957" s="24"/>
      <c r="P10957" s="24"/>
      <c r="Q10957" s="24"/>
      <c r="R10957" s="24"/>
      <c r="S10957" s="24"/>
      <c r="T10957" s="24"/>
      <c r="U10957" s="24"/>
      <c r="V10957" s="24"/>
      <c r="W10957" s="24"/>
      <c r="X10957" s="24"/>
      <c r="Y10957" s="24"/>
      <c r="Z10957" s="24"/>
      <c r="AA10957" s="24"/>
    </row>
    <row r="10958">
      <c r="A10958" s="24"/>
      <c r="B10958" s="25"/>
      <c r="C10958" s="24"/>
      <c r="D10958" s="26"/>
      <c r="E10958" s="24"/>
      <c r="F10958" s="24"/>
      <c r="G10958" s="24"/>
      <c r="H10958" s="24"/>
      <c r="I10958" s="24"/>
      <c r="J10958" s="24"/>
      <c r="K10958" s="24"/>
      <c r="L10958" s="24"/>
      <c r="M10958" s="24"/>
      <c r="N10958" s="24"/>
      <c r="O10958" s="24"/>
      <c r="P10958" s="24"/>
      <c r="Q10958" s="24"/>
      <c r="R10958" s="24"/>
      <c r="S10958" s="24"/>
      <c r="T10958" s="24"/>
      <c r="U10958" s="24"/>
      <c r="V10958" s="24"/>
      <c r="W10958" s="24"/>
      <c r="X10958" s="24"/>
      <c r="Y10958" s="24"/>
      <c r="Z10958" s="24"/>
      <c r="AA10958" s="24"/>
    </row>
    <row r="10959">
      <c r="A10959" s="24"/>
      <c r="B10959" s="25"/>
      <c r="C10959" s="24"/>
      <c r="D10959" s="26"/>
      <c r="E10959" s="24"/>
      <c r="F10959" s="24"/>
      <c r="G10959" s="24"/>
      <c r="H10959" s="24"/>
      <c r="I10959" s="24"/>
      <c r="J10959" s="24"/>
      <c r="K10959" s="24"/>
      <c r="L10959" s="24"/>
      <c r="M10959" s="24"/>
      <c r="N10959" s="24"/>
      <c r="O10959" s="24"/>
      <c r="P10959" s="24"/>
      <c r="Q10959" s="24"/>
      <c r="R10959" s="24"/>
      <c r="S10959" s="24"/>
      <c r="T10959" s="24"/>
      <c r="U10959" s="24"/>
      <c r="V10959" s="24"/>
      <c r="W10959" s="24"/>
      <c r="X10959" s="24"/>
      <c r="Y10959" s="24"/>
      <c r="Z10959" s="24"/>
      <c r="AA10959" s="24"/>
    </row>
    <row r="10960">
      <c r="A10960" s="24"/>
      <c r="B10960" s="25"/>
      <c r="C10960" s="24"/>
      <c r="D10960" s="26"/>
      <c r="E10960" s="24"/>
      <c r="F10960" s="24"/>
      <c r="G10960" s="24"/>
      <c r="H10960" s="24"/>
      <c r="I10960" s="24"/>
      <c r="J10960" s="24"/>
      <c r="K10960" s="24"/>
      <c r="L10960" s="24"/>
      <c r="M10960" s="24"/>
      <c r="N10960" s="24"/>
      <c r="O10960" s="24"/>
      <c r="P10960" s="24"/>
      <c r="Q10960" s="24"/>
      <c r="R10960" s="24"/>
      <c r="S10960" s="24"/>
      <c r="T10960" s="24"/>
      <c r="U10960" s="24"/>
      <c r="V10960" s="24"/>
      <c r="W10960" s="24"/>
      <c r="X10960" s="24"/>
      <c r="Y10960" s="24"/>
      <c r="Z10960" s="24"/>
      <c r="AA10960" s="24"/>
    </row>
    <row r="10961">
      <c r="A10961" s="24"/>
      <c r="B10961" s="25"/>
      <c r="C10961" s="24"/>
      <c r="D10961" s="26"/>
      <c r="E10961" s="24"/>
      <c r="F10961" s="24"/>
      <c r="G10961" s="24"/>
      <c r="H10961" s="24"/>
      <c r="I10961" s="24"/>
      <c r="J10961" s="24"/>
      <c r="K10961" s="24"/>
      <c r="L10961" s="24"/>
      <c r="M10961" s="24"/>
      <c r="N10961" s="24"/>
      <c r="O10961" s="24"/>
      <c r="P10961" s="24"/>
      <c r="Q10961" s="24"/>
      <c r="R10961" s="24"/>
      <c r="S10961" s="24"/>
      <c r="T10961" s="24"/>
      <c r="U10961" s="24"/>
      <c r="V10961" s="24"/>
      <c r="W10961" s="24"/>
      <c r="X10961" s="24"/>
      <c r="Y10961" s="24"/>
      <c r="Z10961" s="24"/>
      <c r="AA10961" s="24"/>
    </row>
    <row r="10962">
      <c r="A10962" s="24"/>
      <c r="B10962" s="25"/>
      <c r="C10962" s="24"/>
      <c r="D10962" s="26"/>
      <c r="E10962" s="24"/>
      <c r="F10962" s="24"/>
      <c r="G10962" s="24"/>
      <c r="H10962" s="24"/>
      <c r="I10962" s="24"/>
      <c r="J10962" s="24"/>
      <c r="K10962" s="24"/>
      <c r="L10962" s="24"/>
      <c r="M10962" s="24"/>
      <c r="N10962" s="24"/>
      <c r="O10962" s="24"/>
      <c r="P10962" s="24"/>
      <c r="Q10962" s="24"/>
      <c r="R10962" s="24"/>
      <c r="S10962" s="24"/>
      <c r="T10962" s="24"/>
      <c r="U10962" s="24"/>
      <c r="V10962" s="24"/>
      <c r="W10962" s="24"/>
      <c r="X10962" s="24"/>
      <c r="Y10962" s="24"/>
      <c r="Z10962" s="24"/>
      <c r="AA10962" s="24"/>
    </row>
    <row r="10963">
      <c r="A10963" s="24"/>
      <c r="B10963" s="25"/>
      <c r="C10963" s="24"/>
      <c r="D10963" s="26"/>
      <c r="E10963" s="24"/>
      <c r="F10963" s="24"/>
      <c r="G10963" s="24"/>
      <c r="H10963" s="24"/>
      <c r="I10963" s="24"/>
      <c r="J10963" s="24"/>
      <c r="K10963" s="24"/>
      <c r="L10963" s="24"/>
      <c r="M10963" s="24"/>
      <c r="N10963" s="24"/>
      <c r="O10963" s="24"/>
      <c r="P10963" s="24"/>
      <c r="Q10963" s="24"/>
      <c r="R10963" s="24"/>
      <c r="S10963" s="24"/>
      <c r="T10963" s="24"/>
      <c r="U10963" s="24"/>
      <c r="V10963" s="24"/>
      <c r="W10963" s="24"/>
      <c r="X10963" s="24"/>
      <c r="Y10963" s="24"/>
      <c r="Z10963" s="24"/>
      <c r="AA10963" s="24"/>
    </row>
    <row r="10964">
      <c r="A10964" s="24"/>
      <c r="B10964" s="25"/>
      <c r="C10964" s="24"/>
      <c r="D10964" s="26"/>
      <c r="E10964" s="24"/>
      <c r="F10964" s="24"/>
      <c r="G10964" s="24"/>
      <c r="H10964" s="24"/>
      <c r="I10964" s="24"/>
      <c r="J10964" s="24"/>
      <c r="K10964" s="24"/>
      <c r="L10964" s="24"/>
      <c r="M10964" s="24"/>
      <c r="N10964" s="24"/>
      <c r="O10964" s="24"/>
      <c r="P10964" s="24"/>
      <c r="Q10964" s="24"/>
      <c r="R10964" s="24"/>
      <c r="S10964" s="24"/>
      <c r="T10964" s="24"/>
      <c r="U10964" s="24"/>
      <c r="V10964" s="24"/>
      <c r="W10964" s="24"/>
      <c r="X10964" s="24"/>
      <c r="Y10964" s="24"/>
      <c r="Z10964" s="24"/>
      <c r="AA10964" s="24"/>
    </row>
    <row r="10965">
      <c r="A10965" s="24"/>
      <c r="B10965" s="25"/>
      <c r="C10965" s="24"/>
      <c r="D10965" s="26"/>
      <c r="E10965" s="24"/>
      <c r="F10965" s="24"/>
      <c r="G10965" s="24"/>
      <c r="H10965" s="24"/>
      <c r="I10965" s="24"/>
      <c r="J10965" s="24"/>
      <c r="K10965" s="24"/>
      <c r="L10965" s="24"/>
      <c r="M10965" s="24"/>
      <c r="N10965" s="24"/>
      <c r="O10965" s="24"/>
      <c r="P10965" s="24"/>
      <c r="Q10965" s="24"/>
      <c r="R10965" s="24"/>
      <c r="S10965" s="24"/>
      <c r="T10965" s="24"/>
      <c r="U10965" s="24"/>
      <c r="V10965" s="24"/>
      <c r="W10965" s="24"/>
      <c r="X10965" s="24"/>
      <c r="Y10965" s="24"/>
      <c r="Z10965" s="24"/>
      <c r="AA10965" s="24"/>
    </row>
    <row r="10966">
      <c r="A10966" s="24"/>
      <c r="B10966" s="25"/>
      <c r="C10966" s="24"/>
      <c r="D10966" s="26"/>
      <c r="E10966" s="24"/>
      <c r="F10966" s="24"/>
      <c r="G10966" s="24"/>
      <c r="H10966" s="24"/>
      <c r="I10966" s="24"/>
      <c r="J10966" s="24"/>
      <c r="K10966" s="24"/>
      <c r="L10966" s="24"/>
      <c r="M10966" s="24"/>
      <c r="N10966" s="24"/>
      <c r="O10966" s="24"/>
      <c r="P10966" s="24"/>
      <c r="Q10966" s="24"/>
      <c r="R10966" s="24"/>
      <c r="S10966" s="24"/>
      <c r="T10966" s="24"/>
      <c r="U10966" s="24"/>
      <c r="V10966" s="24"/>
      <c r="W10966" s="24"/>
      <c r="X10966" s="24"/>
      <c r="Y10966" s="24"/>
      <c r="Z10966" s="24"/>
      <c r="AA10966" s="24"/>
    </row>
    <row r="10967">
      <c r="A10967" s="24"/>
      <c r="B10967" s="25"/>
      <c r="C10967" s="24"/>
      <c r="D10967" s="26"/>
      <c r="E10967" s="24"/>
      <c r="F10967" s="24"/>
      <c r="G10967" s="24"/>
      <c r="H10967" s="24"/>
      <c r="I10967" s="24"/>
      <c r="J10967" s="24"/>
      <c r="K10967" s="24"/>
      <c r="L10967" s="24"/>
      <c r="M10967" s="24"/>
      <c r="N10967" s="24"/>
      <c r="O10967" s="24"/>
      <c r="P10967" s="24"/>
      <c r="Q10967" s="24"/>
      <c r="R10967" s="24"/>
      <c r="S10967" s="24"/>
      <c r="T10967" s="24"/>
      <c r="U10967" s="24"/>
      <c r="V10967" s="24"/>
      <c r="W10967" s="24"/>
      <c r="X10967" s="24"/>
      <c r="Y10967" s="24"/>
      <c r="Z10967" s="24"/>
      <c r="AA10967" s="24"/>
    </row>
    <row r="10968">
      <c r="A10968" s="24"/>
      <c r="B10968" s="25"/>
      <c r="C10968" s="24"/>
      <c r="D10968" s="26"/>
      <c r="E10968" s="24"/>
      <c r="F10968" s="24"/>
      <c r="G10968" s="24"/>
      <c r="H10968" s="24"/>
      <c r="I10968" s="24"/>
      <c r="J10968" s="24"/>
      <c r="K10968" s="24"/>
      <c r="L10968" s="24"/>
      <c r="M10968" s="24"/>
      <c r="N10968" s="24"/>
      <c r="O10968" s="24"/>
      <c r="P10968" s="24"/>
      <c r="Q10968" s="24"/>
      <c r="R10968" s="24"/>
      <c r="S10968" s="24"/>
      <c r="T10968" s="24"/>
      <c r="U10968" s="24"/>
      <c r="V10968" s="24"/>
      <c r="W10968" s="24"/>
      <c r="X10968" s="24"/>
      <c r="Y10968" s="24"/>
      <c r="Z10968" s="24"/>
      <c r="AA10968" s="24"/>
    </row>
    <row r="10969">
      <c r="A10969" s="24"/>
      <c r="B10969" s="25"/>
      <c r="C10969" s="24"/>
      <c r="D10969" s="26"/>
      <c r="E10969" s="24"/>
      <c r="F10969" s="24"/>
      <c r="G10969" s="24"/>
      <c r="H10969" s="24"/>
      <c r="I10969" s="24"/>
      <c r="J10969" s="24"/>
      <c r="K10969" s="24"/>
      <c r="L10969" s="24"/>
      <c r="M10969" s="24"/>
      <c r="N10969" s="24"/>
      <c r="O10969" s="24"/>
      <c r="P10969" s="24"/>
      <c r="Q10969" s="24"/>
      <c r="R10969" s="24"/>
      <c r="S10969" s="24"/>
      <c r="T10969" s="24"/>
      <c r="U10969" s="24"/>
      <c r="V10969" s="24"/>
      <c r="W10969" s="24"/>
      <c r="X10969" s="24"/>
      <c r="Y10969" s="24"/>
      <c r="Z10969" s="24"/>
      <c r="AA10969" s="24"/>
    </row>
    <row r="10970">
      <c r="A10970" s="24"/>
      <c r="B10970" s="25"/>
      <c r="C10970" s="24"/>
      <c r="D10970" s="26"/>
      <c r="E10970" s="24"/>
      <c r="F10970" s="24"/>
      <c r="G10970" s="24"/>
      <c r="H10970" s="24"/>
      <c r="I10970" s="24"/>
      <c r="J10970" s="24"/>
      <c r="K10970" s="24"/>
      <c r="L10970" s="24"/>
      <c r="M10970" s="24"/>
      <c r="N10970" s="24"/>
      <c r="O10970" s="24"/>
      <c r="P10970" s="24"/>
      <c r="Q10970" s="24"/>
      <c r="R10970" s="24"/>
      <c r="S10970" s="24"/>
      <c r="T10970" s="24"/>
      <c r="U10970" s="24"/>
      <c r="V10970" s="24"/>
      <c r="W10970" s="24"/>
      <c r="X10970" s="24"/>
      <c r="Y10970" s="24"/>
      <c r="Z10970" s="24"/>
      <c r="AA10970" s="24"/>
    </row>
    <row r="10971">
      <c r="A10971" s="24"/>
      <c r="B10971" s="25"/>
      <c r="C10971" s="24"/>
      <c r="D10971" s="26"/>
      <c r="E10971" s="24"/>
      <c r="F10971" s="24"/>
      <c r="G10971" s="24"/>
      <c r="H10971" s="24"/>
      <c r="I10971" s="24"/>
      <c r="J10971" s="24"/>
      <c r="K10971" s="24"/>
      <c r="L10971" s="24"/>
      <c r="M10971" s="24"/>
      <c r="N10971" s="24"/>
      <c r="O10971" s="24"/>
      <c r="P10971" s="24"/>
      <c r="Q10971" s="24"/>
      <c r="R10971" s="24"/>
      <c r="S10971" s="24"/>
      <c r="T10971" s="24"/>
      <c r="U10971" s="24"/>
      <c r="V10971" s="24"/>
      <c r="W10971" s="24"/>
      <c r="X10971" s="24"/>
      <c r="Y10971" s="24"/>
      <c r="Z10971" s="24"/>
      <c r="AA10971" s="24"/>
    </row>
    <row r="10972">
      <c r="A10972" s="24"/>
      <c r="B10972" s="25"/>
      <c r="C10972" s="24"/>
      <c r="D10972" s="26"/>
      <c r="E10972" s="24"/>
      <c r="F10972" s="24"/>
      <c r="G10972" s="24"/>
      <c r="H10972" s="24"/>
      <c r="I10972" s="24"/>
      <c r="J10972" s="24"/>
      <c r="K10972" s="24"/>
      <c r="L10972" s="24"/>
      <c r="M10972" s="24"/>
      <c r="N10972" s="24"/>
      <c r="O10972" s="24"/>
      <c r="P10972" s="24"/>
      <c r="Q10972" s="24"/>
      <c r="R10972" s="24"/>
      <c r="S10972" s="24"/>
      <c r="T10972" s="24"/>
      <c r="U10972" s="24"/>
      <c r="V10972" s="24"/>
      <c r="W10972" s="24"/>
      <c r="X10972" s="24"/>
      <c r="Y10972" s="24"/>
      <c r="Z10972" s="24"/>
      <c r="AA10972" s="24"/>
    </row>
    <row r="10973">
      <c r="A10973" s="24"/>
      <c r="B10973" s="25"/>
      <c r="C10973" s="24"/>
      <c r="D10973" s="26"/>
      <c r="E10973" s="24"/>
      <c r="F10973" s="24"/>
      <c r="G10973" s="24"/>
      <c r="H10973" s="24"/>
      <c r="I10973" s="24"/>
      <c r="J10973" s="24"/>
      <c r="K10973" s="24"/>
      <c r="L10973" s="24"/>
      <c r="M10973" s="24"/>
      <c r="N10973" s="24"/>
      <c r="O10973" s="24"/>
      <c r="P10973" s="24"/>
      <c r="Q10973" s="24"/>
      <c r="R10973" s="24"/>
      <c r="S10973" s="24"/>
      <c r="T10973" s="24"/>
      <c r="U10973" s="24"/>
      <c r="V10973" s="24"/>
      <c r="W10973" s="24"/>
      <c r="X10973" s="24"/>
      <c r="Y10973" s="24"/>
      <c r="Z10973" s="24"/>
      <c r="AA10973" s="24"/>
    </row>
    <row r="10974">
      <c r="A10974" s="24"/>
      <c r="B10974" s="25"/>
      <c r="C10974" s="24"/>
      <c r="D10974" s="26"/>
      <c r="E10974" s="24"/>
      <c r="F10974" s="24"/>
      <c r="G10974" s="24"/>
      <c r="H10974" s="24"/>
      <c r="I10974" s="24"/>
      <c r="J10974" s="24"/>
      <c r="K10974" s="24"/>
      <c r="L10974" s="24"/>
      <c r="M10974" s="24"/>
      <c r="N10974" s="24"/>
      <c r="O10974" s="24"/>
      <c r="P10974" s="24"/>
      <c r="Q10974" s="24"/>
      <c r="R10974" s="24"/>
      <c r="S10974" s="24"/>
      <c r="T10974" s="24"/>
      <c r="U10974" s="24"/>
      <c r="V10974" s="24"/>
      <c r="W10974" s="24"/>
      <c r="X10974" s="24"/>
      <c r="Y10974" s="24"/>
      <c r="Z10974" s="24"/>
      <c r="AA10974" s="24"/>
    </row>
    <row r="10975">
      <c r="A10975" s="24"/>
      <c r="B10975" s="25"/>
      <c r="C10975" s="24"/>
      <c r="D10975" s="26"/>
      <c r="E10975" s="24"/>
      <c r="F10975" s="24"/>
      <c r="G10975" s="24"/>
      <c r="H10975" s="24"/>
      <c r="I10975" s="24"/>
      <c r="J10975" s="24"/>
      <c r="K10975" s="24"/>
      <c r="L10975" s="24"/>
      <c r="M10975" s="24"/>
      <c r="N10975" s="24"/>
      <c r="O10975" s="24"/>
      <c r="P10975" s="24"/>
      <c r="Q10975" s="24"/>
      <c r="R10975" s="24"/>
      <c r="S10975" s="24"/>
      <c r="T10975" s="24"/>
      <c r="U10975" s="24"/>
      <c r="V10975" s="24"/>
      <c r="W10975" s="24"/>
      <c r="X10975" s="24"/>
      <c r="Y10975" s="24"/>
      <c r="Z10975" s="24"/>
      <c r="AA10975" s="24"/>
    </row>
    <row r="10976">
      <c r="A10976" s="24"/>
      <c r="B10976" s="25"/>
      <c r="C10976" s="24"/>
      <c r="D10976" s="26"/>
      <c r="E10976" s="24"/>
      <c r="F10976" s="24"/>
      <c r="G10976" s="24"/>
      <c r="H10976" s="24"/>
      <c r="I10976" s="24"/>
      <c r="J10976" s="24"/>
      <c r="K10976" s="24"/>
      <c r="L10976" s="24"/>
      <c r="M10976" s="24"/>
      <c r="N10976" s="24"/>
      <c r="O10976" s="24"/>
      <c r="P10976" s="24"/>
      <c r="Q10976" s="24"/>
      <c r="R10976" s="24"/>
      <c r="S10976" s="24"/>
      <c r="T10976" s="24"/>
      <c r="U10976" s="24"/>
      <c r="V10976" s="24"/>
      <c r="W10976" s="24"/>
      <c r="X10976" s="24"/>
      <c r="Y10976" s="24"/>
      <c r="Z10976" s="24"/>
      <c r="AA10976" s="24"/>
    </row>
    <row r="10977">
      <c r="A10977" s="24"/>
      <c r="B10977" s="25"/>
      <c r="C10977" s="24"/>
      <c r="D10977" s="26"/>
      <c r="E10977" s="24"/>
      <c r="F10977" s="24"/>
      <c r="G10977" s="24"/>
      <c r="H10977" s="24"/>
      <c r="I10977" s="24"/>
      <c r="J10977" s="24"/>
      <c r="K10977" s="24"/>
      <c r="L10977" s="24"/>
      <c r="M10977" s="24"/>
      <c r="N10977" s="24"/>
      <c r="O10977" s="24"/>
      <c r="P10977" s="24"/>
      <c r="Q10977" s="24"/>
      <c r="R10977" s="24"/>
      <c r="S10977" s="24"/>
      <c r="T10977" s="24"/>
      <c r="U10977" s="24"/>
      <c r="V10977" s="24"/>
      <c r="W10977" s="24"/>
      <c r="X10977" s="24"/>
      <c r="Y10977" s="24"/>
      <c r="Z10977" s="24"/>
      <c r="AA10977" s="24"/>
    </row>
    <row r="10978">
      <c r="A10978" s="24"/>
      <c r="B10978" s="25"/>
      <c r="C10978" s="24"/>
      <c r="D10978" s="26"/>
      <c r="E10978" s="24"/>
      <c r="F10978" s="24"/>
      <c r="G10978" s="24"/>
      <c r="H10978" s="24"/>
      <c r="I10978" s="24"/>
      <c r="J10978" s="24"/>
      <c r="K10978" s="24"/>
      <c r="L10978" s="24"/>
      <c r="M10978" s="24"/>
      <c r="N10978" s="24"/>
      <c r="O10978" s="24"/>
      <c r="P10978" s="24"/>
      <c r="Q10978" s="24"/>
      <c r="R10978" s="24"/>
      <c r="S10978" s="24"/>
      <c r="T10978" s="24"/>
      <c r="U10978" s="24"/>
      <c r="V10978" s="24"/>
      <c r="W10978" s="24"/>
      <c r="X10978" s="24"/>
      <c r="Y10978" s="24"/>
      <c r="Z10978" s="24"/>
      <c r="AA10978" s="24"/>
    </row>
    <row r="10979">
      <c r="A10979" s="24"/>
      <c r="B10979" s="25"/>
      <c r="C10979" s="24"/>
      <c r="D10979" s="26"/>
      <c r="E10979" s="24"/>
      <c r="F10979" s="24"/>
      <c r="G10979" s="24"/>
      <c r="H10979" s="24"/>
      <c r="I10979" s="24"/>
      <c r="J10979" s="24"/>
      <c r="K10979" s="24"/>
      <c r="L10979" s="24"/>
      <c r="M10979" s="24"/>
      <c r="N10979" s="24"/>
      <c r="O10979" s="24"/>
      <c r="P10979" s="24"/>
      <c r="Q10979" s="24"/>
      <c r="R10979" s="24"/>
      <c r="S10979" s="24"/>
      <c r="T10979" s="24"/>
      <c r="U10979" s="24"/>
      <c r="V10979" s="24"/>
      <c r="W10979" s="24"/>
      <c r="X10979" s="24"/>
      <c r="Y10979" s="24"/>
      <c r="Z10979" s="24"/>
      <c r="AA10979" s="24"/>
    </row>
    <row r="10980">
      <c r="A10980" s="24"/>
      <c r="B10980" s="25"/>
      <c r="C10980" s="24"/>
      <c r="D10980" s="26"/>
      <c r="E10980" s="24"/>
      <c r="F10980" s="24"/>
      <c r="G10980" s="24"/>
      <c r="H10980" s="24"/>
      <c r="I10980" s="24"/>
      <c r="J10980" s="24"/>
      <c r="K10980" s="24"/>
      <c r="L10980" s="24"/>
      <c r="M10980" s="24"/>
      <c r="N10980" s="24"/>
      <c r="O10980" s="24"/>
      <c r="P10980" s="24"/>
      <c r="Q10980" s="24"/>
      <c r="R10980" s="24"/>
      <c r="S10980" s="24"/>
      <c r="T10980" s="24"/>
      <c r="U10980" s="24"/>
      <c r="V10980" s="24"/>
      <c r="W10980" s="24"/>
      <c r="X10980" s="24"/>
      <c r="Y10980" s="24"/>
      <c r="Z10980" s="24"/>
      <c r="AA10980" s="24"/>
    </row>
    <row r="10981">
      <c r="A10981" s="24"/>
      <c r="B10981" s="25"/>
      <c r="C10981" s="24"/>
      <c r="D10981" s="26"/>
      <c r="E10981" s="24"/>
      <c r="F10981" s="24"/>
      <c r="G10981" s="24"/>
      <c r="H10981" s="24"/>
      <c r="I10981" s="24"/>
      <c r="J10981" s="24"/>
      <c r="K10981" s="24"/>
      <c r="L10981" s="24"/>
      <c r="M10981" s="24"/>
      <c r="N10981" s="24"/>
      <c r="O10981" s="24"/>
      <c r="P10981" s="24"/>
      <c r="Q10981" s="24"/>
      <c r="R10981" s="24"/>
      <c r="S10981" s="24"/>
      <c r="T10981" s="24"/>
      <c r="U10981" s="24"/>
      <c r="V10981" s="24"/>
      <c r="W10981" s="24"/>
      <c r="X10981" s="24"/>
      <c r="Y10981" s="24"/>
      <c r="Z10981" s="24"/>
      <c r="AA10981" s="24"/>
    </row>
    <row r="10982">
      <c r="A10982" s="24"/>
      <c r="B10982" s="25"/>
      <c r="C10982" s="24"/>
      <c r="D10982" s="26"/>
      <c r="E10982" s="24"/>
      <c r="F10982" s="24"/>
      <c r="G10982" s="24"/>
      <c r="H10982" s="24"/>
      <c r="I10982" s="24"/>
      <c r="J10982" s="24"/>
      <c r="K10982" s="24"/>
      <c r="L10982" s="24"/>
      <c r="M10982" s="24"/>
      <c r="N10982" s="24"/>
      <c r="O10982" s="24"/>
      <c r="P10982" s="24"/>
      <c r="Q10982" s="24"/>
      <c r="R10982" s="24"/>
      <c r="S10982" s="24"/>
      <c r="T10982" s="24"/>
      <c r="U10982" s="24"/>
      <c r="V10982" s="24"/>
      <c r="W10982" s="24"/>
      <c r="X10982" s="24"/>
      <c r="Y10982" s="24"/>
      <c r="Z10982" s="24"/>
      <c r="AA10982" s="24"/>
    </row>
    <row r="10983">
      <c r="A10983" s="24"/>
      <c r="B10983" s="25"/>
      <c r="C10983" s="24"/>
      <c r="D10983" s="26"/>
      <c r="E10983" s="24"/>
      <c r="F10983" s="24"/>
      <c r="G10983" s="24"/>
      <c r="H10983" s="24"/>
      <c r="I10983" s="24"/>
      <c r="J10983" s="24"/>
      <c r="K10983" s="24"/>
      <c r="L10983" s="24"/>
      <c r="M10983" s="24"/>
      <c r="N10983" s="24"/>
      <c r="O10983" s="24"/>
      <c r="P10983" s="24"/>
      <c r="Q10983" s="24"/>
      <c r="R10983" s="24"/>
      <c r="S10983" s="24"/>
      <c r="T10983" s="24"/>
      <c r="U10983" s="24"/>
      <c r="V10983" s="24"/>
      <c r="W10983" s="24"/>
      <c r="X10983" s="24"/>
      <c r="Y10983" s="24"/>
      <c r="Z10983" s="24"/>
      <c r="AA10983" s="24"/>
    </row>
    <row r="10984">
      <c r="A10984" s="24"/>
      <c r="B10984" s="25"/>
      <c r="C10984" s="24"/>
      <c r="D10984" s="26"/>
      <c r="E10984" s="24"/>
      <c r="F10984" s="24"/>
      <c r="G10984" s="24"/>
      <c r="H10984" s="24"/>
      <c r="I10984" s="24"/>
      <c r="J10984" s="24"/>
      <c r="K10984" s="24"/>
      <c r="L10984" s="24"/>
      <c r="M10984" s="24"/>
      <c r="N10984" s="24"/>
      <c r="O10984" s="24"/>
      <c r="P10984" s="24"/>
      <c r="Q10984" s="24"/>
      <c r="R10984" s="24"/>
      <c r="S10984" s="24"/>
      <c r="T10984" s="24"/>
      <c r="U10984" s="24"/>
      <c r="V10984" s="24"/>
      <c r="W10984" s="24"/>
      <c r="X10984" s="24"/>
      <c r="Y10984" s="24"/>
      <c r="Z10984" s="24"/>
      <c r="AA10984" s="24"/>
    </row>
    <row r="10985">
      <c r="A10985" s="24"/>
      <c r="B10985" s="25"/>
      <c r="C10985" s="24"/>
      <c r="D10985" s="26"/>
      <c r="E10985" s="24"/>
      <c r="F10985" s="24"/>
      <c r="G10985" s="24"/>
      <c r="H10985" s="24"/>
      <c r="I10985" s="24"/>
      <c r="J10985" s="24"/>
      <c r="K10985" s="24"/>
      <c r="L10985" s="24"/>
      <c r="M10985" s="24"/>
      <c r="N10985" s="24"/>
      <c r="O10985" s="24"/>
      <c r="P10985" s="24"/>
      <c r="Q10985" s="24"/>
      <c r="R10985" s="24"/>
      <c r="S10985" s="24"/>
      <c r="T10985" s="24"/>
      <c r="U10985" s="24"/>
      <c r="V10985" s="24"/>
      <c r="W10985" s="24"/>
      <c r="X10985" s="24"/>
      <c r="Y10985" s="24"/>
      <c r="Z10985" s="24"/>
      <c r="AA10985" s="24"/>
    </row>
    <row r="10986">
      <c r="A10986" s="24"/>
      <c r="B10986" s="25"/>
      <c r="C10986" s="24"/>
      <c r="D10986" s="26"/>
      <c r="E10986" s="24"/>
      <c r="F10986" s="24"/>
      <c r="G10986" s="24"/>
      <c r="H10986" s="24"/>
      <c r="I10986" s="24"/>
      <c r="J10986" s="24"/>
      <c r="K10986" s="24"/>
      <c r="L10986" s="24"/>
      <c r="M10986" s="24"/>
      <c r="N10986" s="24"/>
      <c r="O10986" s="24"/>
      <c r="P10986" s="24"/>
      <c r="Q10986" s="24"/>
      <c r="R10986" s="24"/>
      <c r="S10986" s="24"/>
      <c r="T10986" s="24"/>
      <c r="U10986" s="24"/>
      <c r="V10986" s="24"/>
      <c r="W10986" s="24"/>
      <c r="X10986" s="24"/>
      <c r="Y10986" s="24"/>
      <c r="Z10986" s="24"/>
      <c r="AA10986" s="24"/>
    </row>
    <row r="10987">
      <c r="A10987" s="24"/>
      <c r="B10987" s="25"/>
      <c r="C10987" s="24"/>
      <c r="D10987" s="26"/>
      <c r="E10987" s="24"/>
      <c r="F10987" s="24"/>
      <c r="G10987" s="24"/>
      <c r="H10987" s="24"/>
      <c r="I10987" s="24"/>
      <c r="J10987" s="24"/>
      <c r="K10987" s="24"/>
      <c r="L10987" s="24"/>
      <c r="M10987" s="24"/>
      <c r="N10987" s="24"/>
      <c r="O10987" s="24"/>
      <c r="P10987" s="24"/>
      <c r="Q10987" s="24"/>
      <c r="R10987" s="24"/>
      <c r="S10987" s="24"/>
      <c r="T10987" s="24"/>
      <c r="U10987" s="24"/>
      <c r="V10987" s="24"/>
      <c r="W10987" s="24"/>
      <c r="X10987" s="24"/>
      <c r="Y10987" s="24"/>
      <c r="Z10987" s="24"/>
      <c r="AA10987" s="24"/>
    </row>
    <row r="10988">
      <c r="A10988" s="24"/>
      <c r="B10988" s="25"/>
      <c r="C10988" s="24"/>
      <c r="D10988" s="26"/>
      <c r="E10988" s="24"/>
      <c r="F10988" s="24"/>
      <c r="G10988" s="24"/>
      <c r="H10988" s="24"/>
      <c r="I10988" s="24"/>
      <c r="J10988" s="24"/>
      <c r="K10988" s="24"/>
      <c r="L10988" s="24"/>
      <c r="M10988" s="24"/>
      <c r="N10988" s="24"/>
      <c r="O10988" s="24"/>
      <c r="P10988" s="24"/>
      <c r="Q10988" s="24"/>
      <c r="R10988" s="24"/>
      <c r="S10988" s="24"/>
      <c r="T10988" s="24"/>
      <c r="U10988" s="24"/>
      <c r="V10988" s="24"/>
      <c r="W10988" s="24"/>
      <c r="X10988" s="24"/>
      <c r="Y10988" s="24"/>
      <c r="Z10988" s="24"/>
      <c r="AA10988" s="24"/>
    </row>
    <row r="10989">
      <c r="A10989" s="24"/>
      <c r="B10989" s="25"/>
      <c r="C10989" s="24"/>
      <c r="D10989" s="26"/>
      <c r="E10989" s="24"/>
      <c r="F10989" s="24"/>
      <c r="G10989" s="24"/>
      <c r="H10989" s="24"/>
      <c r="I10989" s="24"/>
      <c r="J10989" s="24"/>
      <c r="K10989" s="24"/>
      <c r="L10989" s="24"/>
      <c r="M10989" s="24"/>
      <c r="N10989" s="24"/>
      <c r="O10989" s="24"/>
      <c r="P10989" s="24"/>
      <c r="Q10989" s="24"/>
      <c r="R10989" s="24"/>
      <c r="S10989" s="24"/>
      <c r="T10989" s="24"/>
      <c r="U10989" s="24"/>
      <c r="V10989" s="24"/>
      <c r="W10989" s="24"/>
      <c r="X10989" s="24"/>
      <c r="Y10989" s="24"/>
      <c r="Z10989" s="24"/>
      <c r="AA10989" s="24"/>
    </row>
    <row r="10990">
      <c r="A10990" s="24"/>
      <c r="B10990" s="25"/>
      <c r="C10990" s="24"/>
      <c r="D10990" s="26"/>
      <c r="E10990" s="24"/>
      <c r="F10990" s="24"/>
      <c r="G10990" s="24"/>
      <c r="H10990" s="24"/>
      <c r="I10990" s="24"/>
      <c r="J10990" s="24"/>
      <c r="K10990" s="24"/>
      <c r="L10990" s="24"/>
      <c r="M10990" s="24"/>
      <c r="N10990" s="24"/>
      <c r="O10990" s="24"/>
      <c r="P10990" s="24"/>
      <c r="Q10990" s="24"/>
      <c r="R10990" s="24"/>
      <c r="S10990" s="24"/>
      <c r="T10990" s="24"/>
      <c r="U10990" s="24"/>
      <c r="V10990" s="24"/>
      <c r="W10990" s="24"/>
      <c r="X10990" s="24"/>
      <c r="Y10990" s="24"/>
      <c r="Z10990" s="24"/>
      <c r="AA10990" s="24"/>
    </row>
    <row r="10991">
      <c r="A10991" s="24"/>
      <c r="B10991" s="25"/>
      <c r="C10991" s="24"/>
      <c r="D10991" s="26"/>
      <c r="E10991" s="24"/>
      <c r="F10991" s="24"/>
      <c r="G10991" s="24"/>
      <c r="H10991" s="24"/>
      <c r="I10991" s="24"/>
      <c r="J10991" s="24"/>
      <c r="K10991" s="24"/>
      <c r="L10991" s="24"/>
      <c r="M10991" s="24"/>
      <c r="N10991" s="24"/>
      <c r="O10991" s="24"/>
      <c r="P10991" s="24"/>
      <c r="Q10991" s="24"/>
      <c r="R10991" s="24"/>
      <c r="S10991" s="24"/>
      <c r="T10991" s="24"/>
      <c r="U10991" s="24"/>
      <c r="V10991" s="24"/>
      <c r="W10991" s="24"/>
      <c r="X10991" s="24"/>
      <c r="Y10991" s="24"/>
      <c r="Z10991" s="24"/>
      <c r="AA10991" s="24"/>
    </row>
    <row r="10992">
      <c r="A10992" s="24"/>
      <c r="B10992" s="25"/>
      <c r="C10992" s="24"/>
      <c r="D10992" s="26"/>
      <c r="E10992" s="24"/>
      <c r="F10992" s="24"/>
      <c r="G10992" s="24"/>
      <c r="H10992" s="24"/>
      <c r="I10992" s="24"/>
      <c r="J10992" s="24"/>
      <c r="K10992" s="24"/>
      <c r="L10992" s="24"/>
      <c r="M10992" s="24"/>
      <c r="N10992" s="24"/>
      <c r="O10992" s="24"/>
      <c r="P10992" s="24"/>
      <c r="Q10992" s="24"/>
      <c r="R10992" s="24"/>
      <c r="S10992" s="24"/>
      <c r="T10992" s="24"/>
      <c r="U10992" s="24"/>
      <c r="V10992" s="24"/>
      <c r="W10992" s="24"/>
      <c r="X10992" s="24"/>
      <c r="Y10992" s="24"/>
      <c r="Z10992" s="24"/>
      <c r="AA10992" s="24"/>
    </row>
    <row r="10993">
      <c r="A10993" s="24"/>
      <c r="B10993" s="25"/>
      <c r="C10993" s="24"/>
      <c r="D10993" s="26"/>
      <c r="E10993" s="24"/>
      <c r="F10993" s="24"/>
      <c r="G10993" s="24"/>
      <c r="H10993" s="24"/>
      <c r="I10993" s="24"/>
      <c r="J10993" s="24"/>
      <c r="K10993" s="24"/>
      <c r="L10993" s="24"/>
      <c r="M10993" s="24"/>
      <c r="N10993" s="24"/>
      <c r="O10993" s="24"/>
      <c r="P10993" s="24"/>
      <c r="Q10993" s="24"/>
      <c r="R10993" s="24"/>
      <c r="S10993" s="24"/>
      <c r="T10993" s="24"/>
      <c r="U10993" s="24"/>
      <c r="V10993" s="24"/>
      <c r="W10993" s="24"/>
      <c r="X10993" s="24"/>
      <c r="Y10993" s="24"/>
      <c r="Z10993" s="24"/>
      <c r="AA10993" s="24"/>
    </row>
    <row r="10994">
      <c r="A10994" s="24"/>
      <c r="B10994" s="25"/>
      <c r="C10994" s="24"/>
      <c r="D10994" s="26"/>
      <c r="E10994" s="24"/>
      <c r="F10994" s="24"/>
      <c r="G10994" s="24"/>
      <c r="H10994" s="24"/>
      <c r="I10994" s="24"/>
      <c r="J10994" s="24"/>
      <c r="K10994" s="24"/>
      <c r="L10994" s="24"/>
      <c r="M10994" s="24"/>
      <c r="N10994" s="24"/>
      <c r="O10994" s="24"/>
      <c r="P10994" s="24"/>
      <c r="Q10994" s="24"/>
      <c r="R10994" s="24"/>
      <c r="S10994" s="24"/>
      <c r="T10994" s="24"/>
      <c r="U10994" s="24"/>
      <c r="V10994" s="24"/>
      <c r="W10994" s="24"/>
      <c r="X10994" s="24"/>
      <c r="Y10994" s="24"/>
      <c r="Z10994" s="24"/>
      <c r="AA10994" s="24"/>
    </row>
    <row r="10995">
      <c r="A10995" s="24"/>
      <c r="B10995" s="25"/>
      <c r="C10995" s="24"/>
      <c r="D10995" s="26"/>
      <c r="E10995" s="24"/>
      <c r="F10995" s="24"/>
      <c r="G10995" s="24"/>
      <c r="H10995" s="24"/>
      <c r="I10995" s="24"/>
      <c r="J10995" s="24"/>
      <c r="K10995" s="24"/>
      <c r="L10995" s="24"/>
      <c r="M10995" s="24"/>
      <c r="N10995" s="24"/>
      <c r="O10995" s="24"/>
      <c r="P10995" s="24"/>
      <c r="Q10995" s="24"/>
      <c r="R10995" s="24"/>
      <c r="S10995" s="24"/>
      <c r="T10995" s="24"/>
      <c r="U10995" s="24"/>
      <c r="V10995" s="24"/>
      <c r="W10995" s="24"/>
      <c r="X10995" s="24"/>
      <c r="Y10995" s="24"/>
      <c r="Z10995" s="24"/>
      <c r="AA10995" s="24"/>
    </row>
    <row r="10996">
      <c r="A10996" s="24"/>
      <c r="B10996" s="25"/>
      <c r="C10996" s="24"/>
      <c r="D10996" s="26"/>
      <c r="E10996" s="24"/>
      <c r="F10996" s="24"/>
      <c r="G10996" s="24"/>
      <c r="H10996" s="24"/>
      <c r="I10996" s="24"/>
      <c r="J10996" s="24"/>
      <c r="K10996" s="24"/>
      <c r="L10996" s="24"/>
      <c r="M10996" s="24"/>
      <c r="N10996" s="24"/>
      <c r="O10996" s="24"/>
      <c r="P10996" s="24"/>
      <c r="Q10996" s="24"/>
      <c r="R10996" s="24"/>
      <c r="S10996" s="24"/>
      <c r="T10996" s="24"/>
      <c r="U10996" s="24"/>
      <c r="V10996" s="24"/>
      <c r="W10996" s="24"/>
      <c r="X10996" s="24"/>
      <c r="Y10996" s="24"/>
      <c r="Z10996" s="24"/>
      <c r="AA10996" s="24"/>
    </row>
    <row r="10997">
      <c r="A10997" s="24"/>
      <c r="B10997" s="25"/>
      <c r="C10997" s="24"/>
      <c r="D10997" s="26"/>
      <c r="E10997" s="24"/>
      <c r="F10997" s="24"/>
      <c r="G10997" s="24"/>
      <c r="H10997" s="24"/>
      <c r="I10997" s="24"/>
      <c r="J10997" s="24"/>
      <c r="K10997" s="24"/>
      <c r="L10997" s="24"/>
      <c r="M10997" s="24"/>
      <c r="N10997" s="24"/>
      <c r="O10997" s="24"/>
      <c r="P10997" s="24"/>
      <c r="Q10997" s="24"/>
      <c r="R10997" s="24"/>
      <c r="S10997" s="24"/>
      <c r="T10997" s="24"/>
      <c r="U10997" s="24"/>
      <c r="V10997" s="24"/>
      <c r="W10997" s="24"/>
      <c r="X10997" s="24"/>
      <c r="Y10997" s="24"/>
      <c r="Z10997" s="24"/>
      <c r="AA10997" s="24"/>
    </row>
    <row r="10998">
      <c r="A10998" s="24"/>
      <c r="B10998" s="25"/>
      <c r="C10998" s="24"/>
      <c r="D10998" s="26"/>
      <c r="E10998" s="24"/>
      <c r="F10998" s="24"/>
      <c r="G10998" s="24"/>
      <c r="H10998" s="24"/>
      <c r="I10998" s="24"/>
      <c r="J10998" s="24"/>
      <c r="K10998" s="24"/>
      <c r="L10998" s="24"/>
      <c r="M10998" s="24"/>
      <c r="N10998" s="24"/>
      <c r="O10998" s="24"/>
      <c r="P10998" s="24"/>
      <c r="Q10998" s="24"/>
      <c r="R10998" s="24"/>
      <c r="S10998" s="24"/>
      <c r="T10998" s="24"/>
      <c r="U10998" s="24"/>
      <c r="V10998" s="24"/>
      <c r="W10998" s="24"/>
      <c r="X10998" s="24"/>
      <c r="Y10998" s="24"/>
      <c r="Z10998" s="24"/>
      <c r="AA10998" s="24"/>
    </row>
    <row r="10999">
      <c r="A10999" s="24"/>
      <c r="B10999" s="25"/>
      <c r="C10999" s="24"/>
      <c r="D10999" s="26"/>
      <c r="E10999" s="24"/>
      <c r="F10999" s="24"/>
      <c r="G10999" s="24"/>
      <c r="H10999" s="24"/>
      <c r="I10999" s="24"/>
      <c r="J10999" s="24"/>
      <c r="K10999" s="24"/>
      <c r="L10999" s="24"/>
      <c r="M10999" s="24"/>
      <c r="N10999" s="24"/>
      <c r="O10999" s="24"/>
      <c r="P10999" s="24"/>
      <c r="Q10999" s="24"/>
      <c r="R10999" s="24"/>
      <c r="S10999" s="24"/>
      <c r="T10999" s="24"/>
      <c r="U10999" s="24"/>
      <c r="V10999" s="24"/>
      <c r="W10999" s="24"/>
      <c r="X10999" s="24"/>
      <c r="Y10999" s="24"/>
      <c r="Z10999" s="24"/>
      <c r="AA10999" s="24"/>
    </row>
    <row r="11000">
      <c r="A11000" s="24"/>
      <c r="B11000" s="25"/>
      <c r="C11000" s="24"/>
      <c r="D11000" s="26"/>
      <c r="E11000" s="24"/>
      <c r="F11000" s="24"/>
      <c r="G11000" s="24"/>
      <c r="H11000" s="24"/>
      <c r="I11000" s="24"/>
      <c r="J11000" s="24"/>
      <c r="K11000" s="24"/>
      <c r="L11000" s="24"/>
      <c r="M11000" s="24"/>
      <c r="N11000" s="24"/>
      <c r="O11000" s="24"/>
      <c r="P11000" s="24"/>
      <c r="Q11000" s="24"/>
      <c r="R11000" s="24"/>
      <c r="S11000" s="24"/>
      <c r="T11000" s="24"/>
      <c r="U11000" s="24"/>
      <c r="V11000" s="24"/>
      <c r="W11000" s="24"/>
      <c r="X11000" s="24"/>
      <c r="Y11000" s="24"/>
      <c r="Z11000" s="24"/>
      <c r="AA11000" s="24"/>
    </row>
    <row r="11001">
      <c r="A11001" s="24"/>
      <c r="B11001" s="25"/>
      <c r="C11001" s="24"/>
      <c r="D11001" s="26"/>
      <c r="E11001" s="24"/>
      <c r="F11001" s="24"/>
      <c r="G11001" s="24"/>
      <c r="H11001" s="24"/>
      <c r="I11001" s="24"/>
      <c r="J11001" s="24"/>
      <c r="K11001" s="24"/>
      <c r="L11001" s="24"/>
      <c r="M11001" s="24"/>
      <c r="N11001" s="24"/>
      <c r="O11001" s="24"/>
      <c r="P11001" s="24"/>
      <c r="Q11001" s="24"/>
      <c r="R11001" s="24"/>
      <c r="S11001" s="24"/>
      <c r="T11001" s="24"/>
      <c r="U11001" s="24"/>
      <c r="V11001" s="24"/>
      <c r="W11001" s="24"/>
      <c r="X11001" s="24"/>
      <c r="Y11001" s="24"/>
      <c r="Z11001" s="24"/>
      <c r="AA11001" s="24"/>
    </row>
    <row r="11002">
      <c r="A11002" s="24"/>
      <c r="B11002" s="25"/>
      <c r="C11002" s="24"/>
      <c r="D11002" s="26"/>
      <c r="E11002" s="24"/>
      <c r="F11002" s="24"/>
      <c r="G11002" s="24"/>
      <c r="H11002" s="24"/>
      <c r="I11002" s="24"/>
      <c r="J11002" s="24"/>
      <c r="K11002" s="24"/>
      <c r="L11002" s="24"/>
      <c r="M11002" s="24"/>
      <c r="N11002" s="24"/>
      <c r="O11002" s="24"/>
      <c r="P11002" s="24"/>
      <c r="Q11002" s="24"/>
      <c r="R11002" s="24"/>
      <c r="S11002" s="24"/>
      <c r="T11002" s="24"/>
      <c r="U11002" s="24"/>
      <c r="V11002" s="24"/>
      <c r="W11002" s="24"/>
      <c r="X11002" s="24"/>
      <c r="Y11002" s="24"/>
      <c r="Z11002" s="24"/>
      <c r="AA11002" s="24"/>
    </row>
    <row r="11003">
      <c r="A11003" s="24"/>
      <c r="B11003" s="25"/>
      <c r="C11003" s="24"/>
      <c r="D11003" s="26"/>
      <c r="E11003" s="24"/>
      <c r="F11003" s="24"/>
      <c r="G11003" s="24"/>
      <c r="H11003" s="24"/>
      <c r="I11003" s="24"/>
      <c r="J11003" s="24"/>
      <c r="K11003" s="24"/>
      <c r="L11003" s="24"/>
      <c r="M11003" s="24"/>
      <c r="N11003" s="24"/>
      <c r="O11003" s="24"/>
      <c r="P11003" s="24"/>
      <c r="Q11003" s="24"/>
      <c r="R11003" s="24"/>
      <c r="S11003" s="24"/>
      <c r="T11003" s="24"/>
      <c r="U11003" s="24"/>
      <c r="V11003" s="24"/>
      <c r="W11003" s="24"/>
      <c r="X11003" s="24"/>
      <c r="Y11003" s="24"/>
      <c r="Z11003" s="24"/>
      <c r="AA11003" s="24"/>
    </row>
    <row r="11004">
      <c r="A11004" s="24"/>
      <c r="B11004" s="25"/>
      <c r="C11004" s="24"/>
      <c r="D11004" s="26"/>
      <c r="E11004" s="24"/>
      <c r="F11004" s="24"/>
      <c r="G11004" s="24"/>
      <c r="H11004" s="24"/>
      <c r="I11004" s="24"/>
      <c r="J11004" s="24"/>
      <c r="K11004" s="24"/>
      <c r="L11004" s="24"/>
      <c r="M11004" s="24"/>
      <c r="N11004" s="24"/>
      <c r="O11004" s="24"/>
      <c r="P11004" s="24"/>
      <c r="Q11004" s="24"/>
      <c r="R11004" s="24"/>
      <c r="S11004" s="24"/>
      <c r="T11004" s="24"/>
      <c r="U11004" s="24"/>
      <c r="V11004" s="24"/>
      <c r="W11004" s="24"/>
      <c r="X11004" s="24"/>
      <c r="Y11004" s="24"/>
      <c r="Z11004" s="24"/>
      <c r="AA11004" s="24"/>
    </row>
    <row r="11005">
      <c r="A11005" s="24"/>
      <c r="B11005" s="25"/>
      <c r="C11005" s="24"/>
      <c r="D11005" s="26"/>
      <c r="E11005" s="24"/>
      <c r="F11005" s="24"/>
      <c r="G11005" s="24"/>
      <c r="H11005" s="24"/>
      <c r="I11005" s="24"/>
      <c r="J11005" s="24"/>
      <c r="K11005" s="24"/>
      <c r="L11005" s="24"/>
      <c r="M11005" s="24"/>
      <c r="N11005" s="24"/>
      <c r="O11005" s="24"/>
      <c r="P11005" s="24"/>
      <c r="Q11005" s="24"/>
      <c r="R11005" s="24"/>
      <c r="S11005" s="24"/>
      <c r="T11005" s="24"/>
      <c r="U11005" s="24"/>
      <c r="V11005" s="24"/>
      <c r="W11005" s="24"/>
      <c r="X11005" s="24"/>
      <c r="Y11005" s="24"/>
      <c r="Z11005" s="24"/>
      <c r="AA11005" s="24"/>
    </row>
    <row r="11006">
      <c r="A11006" s="24"/>
      <c r="B11006" s="25"/>
      <c r="C11006" s="24"/>
      <c r="D11006" s="26"/>
      <c r="E11006" s="24"/>
      <c r="F11006" s="24"/>
      <c r="G11006" s="24"/>
      <c r="H11006" s="24"/>
      <c r="I11006" s="24"/>
      <c r="J11006" s="24"/>
      <c r="K11006" s="24"/>
      <c r="L11006" s="24"/>
      <c r="M11006" s="24"/>
      <c r="N11006" s="24"/>
      <c r="O11006" s="24"/>
      <c r="P11006" s="24"/>
      <c r="Q11006" s="24"/>
      <c r="R11006" s="24"/>
      <c r="S11006" s="24"/>
      <c r="T11006" s="24"/>
      <c r="U11006" s="24"/>
      <c r="V11006" s="24"/>
      <c r="W11006" s="24"/>
      <c r="X11006" s="24"/>
      <c r="Y11006" s="24"/>
      <c r="Z11006" s="24"/>
      <c r="AA11006" s="24"/>
    </row>
    <row r="11007">
      <c r="A11007" s="24"/>
      <c r="B11007" s="25"/>
      <c r="C11007" s="24"/>
      <c r="D11007" s="26"/>
      <c r="E11007" s="24"/>
      <c r="F11007" s="24"/>
      <c r="G11007" s="24"/>
      <c r="H11007" s="24"/>
      <c r="I11007" s="24"/>
      <c r="J11007" s="24"/>
      <c r="K11007" s="24"/>
      <c r="L11007" s="24"/>
      <c r="M11007" s="24"/>
      <c r="N11007" s="24"/>
      <c r="O11007" s="24"/>
      <c r="P11007" s="24"/>
      <c r="Q11007" s="24"/>
      <c r="R11007" s="24"/>
      <c r="S11007" s="24"/>
      <c r="T11007" s="24"/>
      <c r="U11007" s="24"/>
      <c r="V11007" s="24"/>
      <c r="W11007" s="24"/>
      <c r="X11007" s="24"/>
      <c r="Y11007" s="24"/>
      <c r="Z11007" s="24"/>
      <c r="AA11007" s="24"/>
    </row>
    <row r="11008">
      <c r="A11008" s="24"/>
      <c r="B11008" s="25"/>
      <c r="C11008" s="24"/>
      <c r="D11008" s="26"/>
      <c r="E11008" s="24"/>
      <c r="F11008" s="24"/>
      <c r="G11008" s="24"/>
      <c r="H11008" s="24"/>
      <c r="I11008" s="24"/>
      <c r="J11008" s="24"/>
      <c r="K11008" s="24"/>
      <c r="L11008" s="24"/>
      <c r="M11008" s="24"/>
      <c r="N11008" s="24"/>
      <c r="O11008" s="24"/>
      <c r="P11008" s="24"/>
      <c r="Q11008" s="24"/>
      <c r="R11008" s="24"/>
      <c r="S11008" s="24"/>
      <c r="T11008" s="24"/>
      <c r="U11008" s="24"/>
      <c r="V11008" s="24"/>
      <c r="W11008" s="24"/>
      <c r="X11008" s="24"/>
      <c r="Y11008" s="24"/>
      <c r="Z11008" s="24"/>
      <c r="AA11008" s="24"/>
    </row>
    <row r="11009">
      <c r="A11009" s="24"/>
      <c r="B11009" s="25"/>
      <c r="C11009" s="24"/>
      <c r="D11009" s="26"/>
      <c r="E11009" s="24"/>
      <c r="F11009" s="24"/>
      <c r="G11009" s="24"/>
      <c r="H11009" s="24"/>
      <c r="I11009" s="24"/>
      <c r="J11009" s="24"/>
      <c r="K11009" s="24"/>
      <c r="L11009" s="24"/>
      <c r="M11009" s="24"/>
      <c r="N11009" s="24"/>
      <c r="O11009" s="24"/>
      <c r="P11009" s="24"/>
      <c r="Q11009" s="24"/>
      <c r="R11009" s="24"/>
      <c r="S11009" s="24"/>
      <c r="T11009" s="24"/>
      <c r="U11009" s="24"/>
      <c r="V11009" s="24"/>
      <c r="W11009" s="24"/>
      <c r="X11009" s="24"/>
      <c r="Y11009" s="24"/>
      <c r="Z11009" s="24"/>
      <c r="AA11009" s="24"/>
    </row>
    <row r="11010">
      <c r="A11010" s="24"/>
      <c r="B11010" s="25"/>
      <c r="C11010" s="24"/>
      <c r="D11010" s="26"/>
      <c r="E11010" s="24"/>
      <c r="F11010" s="24"/>
      <c r="G11010" s="24"/>
      <c r="H11010" s="24"/>
      <c r="I11010" s="24"/>
      <c r="J11010" s="24"/>
      <c r="K11010" s="24"/>
      <c r="L11010" s="24"/>
      <c r="M11010" s="24"/>
      <c r="N11010" s="24"/>
      <c r="O11010" s="24"/>
      <c r="P11010" s="24"/>
      <c r="Q11010" s="24"/>
      <c r="R11010" s="24"/>
      <c r="S11010" s="24"/>
      <c r="T11010" s="24"/>
      <c r="U11010" s="24"/>
      <c r="V11010" s="24"/>
      <c r="W11010" s="24"/>
      <c r="X11010" s="24"/>
      <c r="Y11010" s="24"/>
      <c r="Z11010" s="24"/>
      <c r="AA11010" s="24"/>
    </row>
    <row r="11011">
      <c r="A11011" s="24"/>
      <c r="B11011" s="25"/>
      <c r="C11011" s="24"/>
      <c r="D11011" s="26"/>
      <c r="E11011" s="24"/>
      <c r="F11011" s="24"/>
      <c r="G11011" s="24"/>
      <c r="H11011" s="24"/>
      <c r="I11011" s="24"/>
      <c r="J11011" s="24"/>
      <c r="K11011" s="24"/>
      <c r="L11011" s="24"/>
      <c r="M11011" s="24"/>
      <c r="N11011" s="24"/>
      <c r="O11011" s="24"/>
      <c r="P11011" s="24"/>
      <c r="Q11011" s="24"/>
      <c r="R11011" s="24"/>
      <c r="S11011" s="24"/>
      <c r="T11011" s="24"/>
      <c r="U11011" s="24"/>
      <c r="V11011" s="24"/>
      <c r="W11011" s="24"/>
      <c r="X11011" s="24"/>
      <c r="Y11011" s="24"/>
      <c r="Z11011" s="24"/>
      <c r="AA11011" s="24"/>
    </row>
    <row r="11012">
      <c r="A11012" s="24"/>
      <c r="B11012" s="25"/>
      <c r="C11012" s="24"/>
      <c r="D11012" s="26"/>
      <c r="E11012" s="24"/>
      <c r="F11012" s="24"/>
      <c r="G11012" s="24"/>
      <c r="H11012" s="24"/>
      <c r="I11012" s="24"/>
      <c r="J11012" s="24"/>
      <c r="K11012" s="24"/>
      <c r="L11012" s="24"/>
      <c r="M11012" s="24"/>
      <c r="N11012" s="24"/>
      <c r="O11012" s="24"/>
      <c r="P11012" s="24"/>
      <c r="Q11012" s="24"/>
      <c r="R11012" s="24"/>
      <c r="S11012" s="24"/>
      <c r="T11012" s="24"/>
      <c r="U11012" s="24"/>
      <c r="V11012" s="24"/>
      <c r="W11012" s="24"/>
      <c r="X11012" s="24"/>
      <c r="Y11012" s="24"/>
      <c r="Z11012" s="24"/>
      <c r="AA11012" s="24"/>
    </row>
    <row r="11013">
      <c r="A11013" s="24"/>
      <c r="B11013" s="25"/>
      <c r="C11013" s="24"/>
      <c r="D11013" s="26"/>
      <c r="E11013" s="24"/>
      <c r="F11013" s="24"/>
      <c r="G11013" s="24"/>
      <c r="H11013" s="24"/>
      <c r="I11013" s="24"/>
      <c r="J11013" s="24"/>
      <c r="K11013" s="24"/>
      <c r="L11013" s="24"/>
      <c r="M11013" s="24"/>
      <c r="N11013" s="24"/>
      <c r="O11013" s="24"/>
      <c r="P11013" s="24"/>
      <c r="Q11013" s="24"/>
      <c r="R11013" s="24"/>
      <c r="S11013" s="24"/>
      <c r="T11013" s="24"/>
      <c r="U11013" s="24"/>
      <c r="V11013" s="24"/>
      <c r="W11013" s="24"/>
      <c r="X11013" s="24"/>
      <c r="Y11013" s="24"/>
      <c r="Z11013" s="24"/>
      <c r="AA11013" s="24"/>
    </row>
    <row r="11014">
      <c r="A11014" s="24"/>
      <c r="B11014" s="25"/>
      <c r="C11014" s="24"/>
      <c r="D11014" s="26"/>
      <c r="E11014" s="24"/>
      <c r="F11014" s="24"/>
      <c r="G11014" s="24"/>
      <c r="H11014" s="24"/>
      <c r="I11014" s="24"/>
      <c r="J11014" s="24"/>
      <c r="K11014" s="24"/>
      <c r="L11014" s="24"/>
      <c r="M11014" s="24"/>
      <c r="N11014" s="24"/>
      <c r="O11014" s="24"/>
      <c r="P11014" s="24"/>
      <c r="Q11014" s="24"/>
      <c r="R11014" s="24"/>
      <c r="S11014" s="24"/>
      <c r="T11014" s="24"/>
      <c r="U11014" s="24"/>
      <c r="V11014" s="24"/>
      <c r="W11014" s="24"/>
      <c r="X11014" s="24"/>
      <c r="Y11014" s="24"/>
      <c r="Z11014" s="24"/>
      <c r="AA11014" s="24"/>
    </row>
    <row r="11015">
      <c r="A11015" s="24"/>
      <c r="B11015" s="25"/>
      <c r="C11015" s="24"/>
      <c r="D11015" s="26"/>
      <c r="E11015" s="24"/>
      <c r="F11015" s="24"/>
      <c r="G11015" s="24"/>
      <c r="H11015" s="24"/>
      <c r="I11015" s="24"/>
      <c r="J11015" s="24"/>
      <c r="K11015" s="24"/>
      <c r="L11015" s="24"/>
      <c r="M11015" s="24"/>
      <c r="N11015" s="24"/>
      <c r="O11015" s="24"/>
      <c r="P11015" s="24"/>
      <c r="Q11015" s="24"/>
      <c r="R11015" s="24"/>
      <c r="S11015" s="24"/>
      <c r="T11015" s="24"/>
      <c r="U11015" s="24"/>
      <c r="V11015" s="24"/>
      <c r="W11015" s="24"/>
      <c r="X11015" s="24"/>
      <c r="Y11015" s="24"/>
      <c r="Z11015" s="24"/>
      <c r="AA11015" s="24"/>
    </row>
    <row r="11016">
      <c r="A11016" s="24"/>
      <c r="B11016" s="25"/>
      <c r="C11016" s="24"/>
      <c r="D11016" s="26"/>
      <c r="E11016" s="24"/>
      <c r="F11016" s="24"/>
      <c r="G11016" s="24"/>
      <c r="H11016" s="24"/>
      <c r="I11016" s="24"/>
      <c r="J11016" s="24"/>
      <c r="K11016" s="24"/>
      <c r="L11016" s="24"/>
      <c r="M11016" s="24"/>
      <c r="N11016" s="24"/>
      <c r="O11016" s="24"/>
      <c r="P11016" s="24"/>
      <c r="Q11016" s="24"/>
      <c r="R11016" s="24"/>
      <c r="S11016" s="24"/>
      <c r="T11016" s="24"/>
      <c r="U11016" s="24"/>
      <c r="V11016" s="24"/>
      <c r="W11016" s="24"/>
      <c r="X11016" s="24"/>
      <c r="Y11016" s="24"/>
      <c r="Z11016" s="24"/>
      <c r="AA11016" s="24"/>
    </row>
    <row r="11017">
      <c r="A11017" s="24"/>
      <c r="B11017" s="25"/>
      <c r="C11017" s="24"/>
      <c r="D11017" s="26"/>
      <c r="E11017" s="24"/>
      <c r="F11017" s="24"/>
      <c r="G11017" s="24"/>
      <c r="H11017" s="24"/>
      <c r="I11017" s="24"/>
      <c r="J11017" s="24"/>
      <c r="K11017" s="24"/>
      <c r="L11017" s="24"/>
      <c r="M11017" s="24"/>
      <c r="N11017" s="24"/>
      <c r="O11017" s="24"/>
      <c r="P11017" s="24"/>
      <c r="Q11017" s="24"/>
      <c r="R11017" s="24"/>
      <c r="S11017" s="24"/>
      <c r="T11017" s="24"/>
      <c r="U11017" s="24"/>
      <c r="V11017" s="24"/>
      <c r="W11017" s="24"/>
      <c r="X11017" s="24"/>
      <c r="Y11017" s="24"/>
      <c r="Z11017" s="24"/>
      <c r="AA11017" s="24"/>
    </row>
    <row r="11018">
      <c r="A11018" s="24"/>
      <c r="B11018" s="25"/>
      <c r="C11018" s="24"/>
      <c r="D11018" s="26"/>
      <c r="E11018" s="24"/>
      <c r="F11018" s="24"/>
      <c r="G11018" s="24"/>
      <c r="H11018" s="24"/>
      <c r="I11018" s="24"/>
      <c r="J11018" s="24"/>
      <c r="K11018" s="24"/>
      <c r="L11018" s="24"/>
      <c r="M11018" s="24"/>
      <c r="N11018" s="24"/>
      <c r="O11018" s="24"/>
      <c r="P11018" s="24"/>
      <c r="Q11018" s="24"/>
      <c r="R11018" s="24"/>
      <c r="S11018" s="24"/>
      <c r="T11018" s="24"/>
      <c r="U11018" s="24"/>
      <c r="V11018" s="24"/>
      <c r="W11018" s="24"/>
      <c r="X11018" s="24"/>
      <c r="Y11018" s="24"/>
      <c r="Z11018" s="24"/>
      <c r="AA11018" s="24"/>
    </row>
    <row r="11019">
      <c r="A11019" s="24"/>
      <c r="B11019" s="25"/>
      <c r="C11019" s="24"/>
      <c r="D11019" s="26"/>
      <c r="E11019" s="24"/>
      <c r="F11019" s="24"/>
      <c r="G11019" s="24"/>
      <c r="H11019" s="24"/>
      <c r="I11019" s="24"/>
      <c r="J11019" s="24"/>
      <c r="K11019" s="24"/>
      <c r="L11019" s="24"/>
      <c r="M11019" s="24"/>
      <c r="N11019" s="24"/>
      <c r="O11019" s="24"/>
      <c r="P11019" s="24"/>
      <c r="Q11019" s="24"/>
      <c r="R11019" s="24"/>
      <c r="S11019" s="24"/>
      <c r="T11019" s="24"/>
      <c r="U11019" s="24"/>
      <c r="V11019" s="24"/>
      <c r="W11019" s="24"/>
      <c r="X11019" s="24"/>
      <c r="Y11019" s="24"/>
      <c r="Z11019" s="24"/>
      <c r="AA11019" s="24"/>
    </row>
    <row r="11020">
      <c r="A11020" s="24"/>
      <c r="B11020" s="25"/>
      <c r="C11020" s="24"/>
      <c r="D11020" s="26"/>
      <c r="E11020" s="24"/>
      <c r="F11020" s="24"/>
      <c r="G11020" s="24"/>
      <c r="H11020" s="24"/>
      <c r="I11020" s="24"/>
      <c r="J11020" s="24"/>
      <c r="K11020" s="24"/>
      <c r="L11020" s="24"/>
      <c r="M11020" s="24"/>
      <c r="N11020" s="24"/>
      <c r="O11020" s="24"/>
      <c r="P11020" s="24"/>
      <c r="Q11020" s="24"/>
      <c r="R11020" s="24"/>
      <c r="S11020" s="24"/>
      <c r="T11020" s="24"/>
      <c r="U11020" s="24"/>
      <c r="V11020" s="24"/>
      <c r="W11020" s="24"/>
      <c r="X11020" s="24"/>
      <c r="Y11020" s="24"/>
      <c r="Z11020" s="24"/>
      <c r="AA11020" s="24"/>
    </row>
    <row r="11021">
      <c r="A11021" s="24"/>
      <c r="B11021" s="25"/>
      <c r="C11021" s="24"/>
      <c r="D11021" s="26"/>
      <c r="E11021" s="24"/>
      <c r="F11021" s="24"/>
      <c r="G11021" s="24"/>
      <c r="H11021" s="24"/>
      <c r="I11021" s="24"/>
      <c r="J11021" s="24"/>
      <c r="K11021" s="24"/>
      <c r="L11021" s="24"/>
      <c r="M11021" s="24"/>
      <c r="N11021" s="24"/>
      <c r="O11021" s="24"/>
      <c r="P11021" s="24"/>
      <c r="Q11021" s="24"/>
      <c r="R11021" s="24"/>
      <c r="S11021" s="24"/>
      <c r="T11021" s="24"/>
      <c r="U11021" s="24"/>
      <c r="V11021" s="24"/>
      <c r="W11021" s="24"/>
      <c r="X11021" s="24"/>
      <c r="Y11021" s="24"/>
      <c r="Z11021" s="24"/>
      <c r="AA11021" s="24"/>
    </row>
    <row r="11022">
      <c r="A11022" s="24"/>
      <c r="B11022" s="25"/>
      <c r="C11022" s="24"/>
      <c r="D11022" s="26"/>
      <c r="E11022" s="24"/>
      <c r="F11022" s="24"/>
      <c r="G11022" s="24"/>
      <c r="H11022" s="24"/>
      <c r="I11022" s="24"/>
      <c r="J11022" s="24"/>
      <c r="K11022" s="24"/>
      <c r="L11022" s="24"/>
      <c r="M11022" s="24"/>
      <c r="N11022" s="24"/>
      <c r="O11022" s="24"/>
      <c r="P11022" s="24"/>
      <c r="Q11022" s="24"/>
      <c r="R11022" s="24"/>
      <c r="S11022" s="24"/>
      <c r="T11022" s="24"/>
      <c r="U11022" s="24"/>
      <c r="V11022" s="24"/>
      <c r="W11022" s="24"/>
      <c r="X11022" s="24"/>
      <c r="Y11022" s="24"/>
      <c r="Z11022" s="24"/>
      <c r="AA11022" s="24"/>
    </row>
    <row r="11023">
      <c r="A11023" s="24"/>
      <c r="B11023" s="25"/>
      <c r="C11023" s="24"/>
      <c r="D11023" s="26"/>
      <c r="E11023" s="24"/>
      <c r="F11023" s="24"/>
      <c r="G11023" s="24"/>
      <c r="H11023" s="24"/>
      <c r="I11023" s="24"/>
      <c r="J11023" s="24"/>
      <c r="K11023" s="24"/>
      <c r="L11023" s="24"/>
      <c r="M11023" s="24"/>
      <c r="N11023" s="24"/>
      <c r="O11023" s="24"/>
      <c r="P11023" s="24"/>
      <c r="Q11023" s="24"/>
      <c r="R11023" s="24"/>
      <c r="S11023" s="24"/>
      <c r="T11023" s="24"/>
      <c r="U11023" s="24"/>
      <c r="V11023" s="24"/>
      <c r="W11023" s="24"/>
      <c r="X11023" s="24"/>
      <c r="Y11023" s="24"/>
      <c r="Z11023" s="24"/>
      <c r="AA11023" s="24"/>
    </row>
    <row r="11024">
      <c r="A11024" s="24"/>
      <c r="B11024" s="25"/>
      <c r="C11024" s="24"/>
      <c r="D11024" s="26"/>
      <c r="E11024" s="24"/>
      <c r="F11024" s="24"/>
      <c r="G11024" s="24"/>
      <c r="H11024" s="24"/>
      <c r="I11024" s="24"/>
      <c r="J11024" s="24"/>
      <c r="K11024" s="24"/>
      <c r="L11024" s="24"/>
      <c r="M11024" s="24"/>
      <c r="N11024" s="24"/>
      <c r="O11024" s="24"/>
      <c r="P11024" s="24"/>
      <c r="Q11024" s="24"/>
      <c r="R11024" s="24"/>
      <c r="S11024" s="24"/>
      <c r="T11024" s="24"/>
      <c r="U11024" s="24"/>
      <c r="V11024" s="24"/>
      <c r="W11024" s="24"/>
      <c r="X11024" s="24"/>
      <c r="Y11024" s="24"/>
      <c r="Z11024" s="24"/>
      <c r="AA11024" s="24"/>
    </row>
    <row r="11025">
      <c r="A11025" s="24"/>
      <c r="B11025" s="25"/>
      <c r="C11025" s="24"/>
      <c r="D11025" s="26"/>
      <c r="E11025" s="24"/>
      <c r="F11025" s="24"/>
      <c r="G11025" s="24"/>
      <c r="H11025" s="24"/>
      <c r="I11025" s="24"/>
      <c r="J11025" s="24"/>
      <c r="K11025" s="24"/>
      <c r="L11025" s="24"/>
      <c r="M11025" s="24"/>
      <c r="N11025" s="24"/>
      <c r="O11025" s="24"/>
      <c r="P11025" s="24"/>
      <c r="Q11025" s="24"/>
      <c r="R11025" s="24"/>
      <c r="S11025" s="24"/>
      <c r="T11025" s="24"/>
      <c r="U11025" s="24"/>
      <c r="V11025" s="24"/>
      <c r="W11025" s="24"/>
      <c r="X11025" s="24"/>
      <c r="Y11025" s="24"/>
      <c r="Z11025" s="24"/>
      <c r="AA11025" s="24"/>
    </row>
    <row r="11026">
      <c r="A11026" s="24"/>
      <c r="B11026" s="25"/>
      <c r="C11026" s="24"/>
      <c r="D11026" s="26"/>
      <c r="E11026" s="24"/>
      <c r="F11026" s="24"/>
      <c r="G11026" s="24"/>
      <c r="H11026" s="24"/>
      <c r="I11026" s="24"/>
      <c r="J11026" s="24"/>
      <c r="K11026" s="24"/>
      <c r="L11026" s="24"/>
      <c r="M11026" s="24"/>
      <c r="N11026" s="24"/>
      <c r="O11026" s="24"/>
      <c r="P11026" s="24"/>
      <c r="Q11026" s="24"/>
      <c r="R11026" s="24"/>
      <c r="S11026" s="24"/>
      <c r="T11026" s="24"/>
      <c r="U11026" s="24"/>
      <c r="V11026" s="24"/>
      <c r="W11026" s="24"/>
      <c r="X11026" s="24"/>
      <c r="Y11026" s="24"/>
      <c r="Z11026" s="24"/>
      <c r="AA11026" s="24"/>
    </row>
    <row r="11027">
      <c r="A11027" s="24"/>
      <c r="B11027" s="25"/>
      <c r="C11027" s="24"/>
      <c r="D11027" s="26"/>
      <c r="E11027" s="24"/>
      <c r="F11027" s="24"/>
      <c r="G11027" s="24"/>
      <c r="H11027" s="24"/>
      <c r="I11027" s="24"/>
      <c r="J11027" s="24"/>
      <c r="K11027" s="24"/>
      <c r="L11027" s="24"/>
      <c r="M11027" s="24"/>
      <c r="N11027" s="24"/>
      <c r="O11027" s="24"/>
      <c r="P11027" s="24"/>
      <c r="Q11027" s="24"/>
      <c r="R11027" s="24"/>
      <c r="S11027" s="24"/>
      <c r="T11027" s="24"/>
      <c r="U11027" s="24"/>
      <c r="V11027" s="24"/>
      <c r="W11027" s="24"/>
      <c r="X11027" s="24"/>
      <c r="Y11027" s="24"/>
      <c r="Z11027" s="24"/>
      <c r="AA11027" s="24"/>
    </row>
    <row r="11028">
      <c r="A11028" s="24"/>
      <c r="B11028" s="25"/>
      <c r="C11028" s="24"/>
      <c r="D11028" s="26"/>
      <c r="E11028" s="24"/>
      <c r="F11028" s="24"/>
      <c r="G11028" s="24"/>
      <c r="H11028" s="24"/>
      <c r="I11028" s="24"/>
      <c r="J11028" s="24"/>
      <c r="K11028" s="24"/>
      <c r="L11028" s="24"/>
      <c r="M11028" s="24"/>
      <c r="N11028" s="24"/>
      <c r="O11028" s="24"/>
      <c r="P11028" s="24"/>
      <c r="Q11028" s="24"/>
      <c r="R11028" s="24"/>
      <c r="S11028" s="24"/>
      <c r="T11028" s="24"/>
      <c r="U11028" s="24"/>
      <c r="V11028" s="24"/>
      <c r="W11028" s="24"/>
      <c r="X11028" s="24"/>
      <c r="Y11028" s="24"/>
      <c r="Z11028" s="24"/>
      <c r="AA11028" s="24"/>
    </row>
    <row r="11029">
      <c r="A11029" s="24"/>
      <c r="B11029" s="25"/>
      <c r="C11029" s="24"/>
      <c r="D11029" s="26"/>
      <c r="E11029" s="24"/>
      <c r="F11029" s="24"/>
      <c r="G11029" s="24"/>
      <c r="H11029" s="24"/>
      <c r="I11029" s="24"/>
      <c r="J11029" s="24"/>
      <c r="K11029" s="24"/>
      <c r="L11029" s="24"/>
      <c r="M11029" s="24"/>
      <c r="N11029" s="24"/>
      <c r="O11029" s="24"/>
      <c r="P11029" s="24"/>
      <c r="Q11029" s="24"/>
      <c r="R11029" s="24"/>
      <c r="S11029" s="24"/>
      <c r="T11029" s="24"/>
      <c r="U11029" s="24"/>
      <c r="V11029" s="24"/>
      <c r="W11029" s="24"/>
      <c r="X11029" s="24"/>
      <c r="Y11029" s="24"/>
      <c r="Z11029" s="24"/>
      <c r="AA11029" s="24"/>
    </row>
    <row r="11030">
      <c r="A11030" s="24"/>
      <c r="B11030" s="25"/>
      <c r="C11030" s="24"/>
      <c r="D11030" s="26"/>
      <c r="E11030" s="24"/>
      <c r="F11030" s="24"/>
      <c r="G11030" s="24"/>
      <c r="H11030" s="24"/>
      <c r="I11030" s="24"/>
      <c r="J11030" s="24"/>
      <c r="K11030" s="24"/>
      <c r="L11030" s="24"/>
      <c r="M11030" s="24"/>
      <c r="N11030" s="24"/>
      <c r="O11030" s="24"/>
      <c r="P11030" s="24"/>
      <c r="Q11030" s="24"/>
      <c r="R11030" s="24"/>
      <c r="S11030" s="24"/>
      <c r="T11030" s="24"/>
      <c r="U11030" s="24"/>
      <c r="V11030" s="24"/>
      <c r="W11030" s="24"/>
      <c r="X11030" s="24"/>
      <c r="Y11030" s="24"/>
      <c r="Z11030" s="24"/>
      <c r="AA11030" s="24"/>
    </row>
    <row r="11031">
      <c r="A11031" s="24"/>
      <c r="B11031" s="25"/>
      <c r="C11031" s="24"/>
      <c r="D11031" s="26"/>
      <c r="E11031" s="24"/>
      <c r="F11031" s="24"/>
      <c r="G11031" s="24"/>
      <c r="H11031" s="24"/>
      <c r="I11031" s="24"/>
      <c r="J11031" s="24"/>
      <c r="K11031" s="24"/>
      <c r="L11031" s="24"/>
      <c r="M11031" s="24"/>
      <c r="N11031" s="24"/>
      <c r="O11031" s="24"/>
      <c r="P11031" s="24"/>
      <c r="Q11031" s="24"/>
      <c r="R11031" s="24"/>
      <c r="S11031" s="24"/>
      <c r="T11031" s="24"/>
      <c r="U11031" s="24"/>
      <c r="V11031" s="24"/>
      <c r="W11031" s="24"/>
      <c r="X11031" s="24"/>
      <c r="Y11031" s="24"/>
      <c r="Z11031" s="24"/>
      <c r="AA11031" s="24"/>
    </row>
    <row r="11032">
      <c r="A11032" s="24"/>
      <c r="B11032" s="25"/>
      <c r="C11032" s="24"/>
      <c r="D11032" s="26"/>
      <c r="E11032" s="24"/>
      <c r="F11032" s="24"/>
      <c r="G11032" s="24"/>
      <c r="H11032" s="24"/>
      <c r="I11032" s="24"/>
      <c r="J11032" s="24"/>
      <c r="K11032" s="24"/>
      <c r="L11032" s="24"/>
      <c r="M11032" s="24"/>
      <c r="N11032" s="24"/>
      <c r="O11032" s="24"/>
      <c r="P11032" s="24"/>
      <c r="Q11032" s="24"/>
      <c r="R11032" s="24"/>
      <c r="S11032" s="24"/>
      <c r="T11032" s="24"/>
      <c r="U11032" s="24"/>
      <c r="V11032" s="24"/>
      <c r="W11032" s="24"/>
      <c r="X11032" s="24"/>
      <c r="Y11032" s="24"/>
      <c r="Z11032" s="24"/>
      <c r="AA11032" s="24"/>
    </row>
    <row r="11033">
      <c r="A11033" s="24"/>
      <c r="B11033" s="25"/>
      <c r="C11033" s="24"/>
      <c r="D11033" s="26"/>
      <c r="E11033" s="24"/>
      <c r="F11033" s="24"/>
      <c r="G11033" s="24"/>
      <c r="H11033" s="24"/>
      <c r="I11033" s="24"/>
      <c r="J11033" s="24"/>
      <c r="K11033" s="24"/>
      <c r="L11033" s="24"/>
      <c r="M11033" s="24"/>
      <c r="N11033" s="24"/>
      <c r="O11033" s="24"/>
      <c r="P11033" s="24"/>
      <c r="Q11033" s="24"/>
      <c r="R11033" s="24"/>
      <c r="S11033" s="24"/>
      <c r="T11033" s="24"/>
      <c r="U11033" s="24"/>
      <c r="V11033" s="24"/>
      <c r="W11033" s="24"/>
      <c r="X11033" s="24"/>
      <c r="Y11033" s="24"/>
      <c r="Z11033" s="24"/>
      <c r="AA11033" s="24"/>
    </row>
    <row r="11034">
      <c r="A11034" s="24"/>
      <c r="B11034" s="25"/>
      <c r="C11034" s="24"/>
      <c r="D11034" s="26"/>
      <c r="E11034" s="24"/>
      <c r="F11034" s="24"/>
      <c r="G11034" s="24"/>
      <c r="H11034" s="24"/>
      <c r="I11034" s="24"/>
      <c r="J11034" s="24"/>
      <c r="K11034" s="24"/>
      <c r="L11034" s="24"/>
      <c r="M11034" s="24"/>
      <c r="N11034" s="24"/>
      <c r="O11034" s="24"/>
      <c r="P11034" s="24"/>
      <c r="Q11034" s="24"/>
      <c r="R11034" s="24"/>
      <c r="S11034" s="24"/>
      <c r="T11034" s="24"/>
      <c r="U11034" s="24"/>
      <c r="V11034" s="24"/>
      <c r="W11034" s="24"/>
      <c r="X11034" s="24"/>
      <c r="Y11034" s="24"/>
      <c r="Z11034" s="24"/>
      <c r="AA11034" s="24"/>
    </row>
    <row r="11035">
      <c r="A11035" s="24"/>
      <c r="B11035" s="25"/>
      <c r="C11035" s="24"/>
      <c r="D11035" s="26"/>
      <c r="E11035" s="24"/>
      <c r="F11035" s="24"/>
      <c r="G11035" s="24"/>
      <c r="H11035" s="24"/>
      <c r="I11035" s="24"/>
      <c r="J11035" s="24"/>
      <c r="K11035" s="24"/>
      <c r="L11035" s="24"/>
      <c r="M11035" s="24"/>
      <c r="N11035" s="24"/>
      <c r="O11035" s="24"/>
      <c r="P11035" s="24"/>
      <c r="Q11035" s="24"/>
      <c r="R11035" s="24"/>
      <c r="S11035" s="24"/>
      <c r="T11035" s="24"/>
      <c r="U11035" s="24"/>
      <c r="V11035" s="24"/>
      <c r="W11035" s="24"/>
      <c r="X11035" s="24"/>
      <c r="Y11035" s="24"/>
      <c r="Z11035" s="24"/>
      <c r="AA11035" s="24"/>
    </row>
    <row r="11036">
      <c r="A11036" s="24"/>
      <c r="B11036" s="25"/>
      <c r="C11036" s="24"/>
      <c r="D11036" s="26"/>
      <c r="E11036" s="24"/>
      <c r="F11036" s="24"/>
      <c r="G11036" s="24"/>
      <c r="H11036" s="24"/>
      <c r="I11036" s="24"/>
      <c r="J11036" s="24"/>
      <c r="K11036" s="24"/>
      <c r="L11036" s="24"/>
      <c r="M11036" s="24"/>
      <c r="N11036" s="24"/>
      <c r="O11036" s="24"/>
      <c r="P11036" s="24"/>
      <c r="Q11036" s="24"/>
      <c r="R11036" s="24"/>
      <c r="S11036" s="24"/>
      <c r="T11036" s="24"/>
      <c r="U11036" s="24"/>
      <c r="V11036" s="24"/>
      <c r="W11036" s="24"/>
      <c r="X11036" s="24"/>
      <c r="Y11036" s="24"/>
      <c r="Z11036" s="24"/>
      <c r="AA11036" s="24"/>
    </row>
    <row r="11037">
      <c r="A11037" s="24"/>
      <c r="B11037" s="25"/>
      <c r="C11037" s="24"/>
      <c r="D11037" s="26"/>
      <c r="E11037" s="24"/>
      <c r="F11037" s="24"/>
      <c r="G11037" s="24"/>
      <c r="H11037" s="24"/>
      <c r="I11037" s="24"/>
      <c r="J11037" s="24"/>
      <c r="K11037" s="24"/>
      <c r="L11037" s="24"/>
      <c r="M11037" s="24"/>
      <c r="N11037" s="24"/>
      <c r="O11037" s="24"/>
      <c r="P11037" s="24"/>
      <c r="Q11037" s="24"/>
      <c r="R11037" s="24"/>
      <c r="S11037" s="24"/>
      <c r="T11037" s="24"/>
      <c r="U11037" s="24"/>
      <c r="V11037" s="24"/>
      <c r="W11037" s="24"/>
      <c r="X11037" s="24"/>
      <c r="Y11037" s="24"/>
      <c r="Z11037" s="24"/>
      <c r="AA11037" s="24"/>
    </row>
    <row r="11038">
      <c r="A11038" s="24"/>
      <c r="B11038" s="25"/>
      <c r="C11038" s="24"/>
      <c r="D11038" s="26"/>
      <c r="E11038" s="24"/>
      <c r="F11038" s="24"/>
      <c r="G11038" s="24"/>
      <c r="H11038" s="24"/>
      <c r="I11038" s="24"/>
      <c r="J11038" s="24"/>
      <c r="K11038" s="24"/>
      <c r="L11038" s="24"/>
      <c r="M11038" s="24"/>
      <c r="N11038" s="24"/>
      <c r="O11038" s="24"/>
      <c r="P11038" s="24"/>
      <c r="Q11038" s="24"/>
      <c r="R11038" s="24"/>
      <c r="S11038" s="24"/>
      <c r="T11038" s="24"/>
      <c r="U11038" s="24"/>
      <c r="V11038" s="24"/>
      <c r="W11038" s="24"/>
      <c r="X11038" s="24"/>
      <c r="Y11038" s="24"/>
      <c r="Z11038" s="24"/>
      <c r="AA11038" s="24"/>
    </row>
    <row r="11039">
      <c r="A11039" s="24"/>
      <c r="B11039" s="25"/>
      <c r="C11039" s="24"/>
      <c r="D11039" s="26"/>
      <c r="E11039" s="24"/>
      <c r="F11039" s="24"/>
      <c r="G11039" s="24"/>
      <c r="H11039" s="24"/>
      <c r="I11039" s="24"/>
      <c r="J11039" s="24"/>
      <c r="K11039" s="24"/>
      <c r="L11039" s="24"/>
      <c r="M11039" s="24"/>
      <c r="N11039" s="24"/>
      <c r="O11039" s="24"/>
      <c r="P11039" s="24"/>
      <c r="Q11039" s="24"/>
      <c r="R11039" s="24"/>
      <c r="S11039" s="24"/>
      <c r="T11039" s="24"/>
      <c r="U11039" s="24"/>
      <c r="V11039" s="24"/>
      <c r="W11039" s="24"/>
      <c r="X11039" s="24"/>
      <c r="Y11039" s="24"/>
      <c r="Z11039" s="24"/>
      <c r="AA11039" s="24"/>
    </row>
    <row r="11040">
      <c r="A11040" s="24"/>
      <c r="B11040" s="25"/>
      <c r="C11040" s="24"/>
      <c r="D11040" s="26"/>
      <c r="E11040" s="24"/>
      <c r="F11040" s="24"/>
      <c r="G11040" s="24"/>
      <c r="H11040" s="24"/>
      <c r="I11040" s="24"/>
      <c r="J11040" s="24"/>
      <c r="K11040" s="24"/>
      <c r="L11040" s="24"/>
      <c r="M11040" s="24"/>
      <c r="N11040" s="24"/>
      <c r="O11040" s="24"/>
      <c r="P11040" s="24"/>
      <c r="Q11040" s="24"/>
      <c r="R11040" s="24"/>
      <c r="S11040" s="24"/>
      <c r="T11040" s="24"/>
      <c r="U11040" s="24"/>
      <c r="V11040" s="24"/>
      <c r="W11040" s="24"/>
      <c r="X11040" s="24"/>
      <c r="Y11040" s="24"/>
      <c r="Z11040" s="24"/>
      <c r="AA11040" s="24"/>
    </row>
    <row r="11041">
      <c r="A11041" s="24"/>
      <c r="B11041" s="25"/>
      <c r="C11041" s="24"/>
      <c r="D11041" s="26"/>
      <c r="E11041" s="24"/>
      <c r="F11041" s="24"/>
      <c r="G11041" s="24"/>
      <c r="H11041" s="24"/>
      <c r="I11041" s="24"/>
      <c r="J11041" s="24"/>
      <c r="K11041" s="24"/>
      <c r="L11041" s="24"/>
      <c r="M11041" s="24"/>
      <c r="N11041" s="24"/>
      <c r="O11041" s="24"/>
      <c r="P11041" s="24"/>
      <c r="Q11041" s="24"/>
      <c r="R11041" s="24"/>
      <c r="S11041" s="24"/>
      <c r="T11041" s="24"/>
      <c r="U11041" s="24"/>
      <c r="V11041" s="24"/>
      <c r="W11041" s="24"/>
      <c r="X11041" s="24"/>
      <c r="Y11041" s="24"/>
      <c r="Z11041" s="24"/>
      <c r="AA11041" s="24"/>
    </row>
    <row r="11042">
      <c r="A11042" s="24"/>
      <c r="B11042" s="25"/>
      <c r="C11042" s="24"/>
      <c r="D11042" s="26"/>
      <c r="E11042" s="24"/>
      <c r="F11042" s="24"/>
      <c r="G11042" s="24"/>
      <c r="H11042" s="24"/>
      <c r="I11042" s="24"/>
      <c r="J11042" s="24"/>
      <c r="K11042" s="24"/>
      <c r="L11042" s="24"/>
      <c r="M11042" s="24"/>
      <c r="N11042" s="24"/>
      <c r="O11042" s="24"/>
      <c r="P11042" s="24"/>
      <c r="Q11042" s="24"/>
      <c r="R11042" s="24"/>
      <c r="S11042" s="24"/>
      <c r="T11042" s="24"/>
      <c r="U11042" s="24"/>
      <c r="V11042" s="24"/>
      <c r="W11042" s="24"/>
      <c r="X11042" s="24"/>
      <c r="Y11042" s="24"/>
      <c r="Z11042" s="24"/>
      <c r="AA11042" s="24"/>
    </row>
    <row r="11043">
      <c r="A11043" s="24"/>
      <c r="B11043" s="25"/>
      <c r="C11043" s="24"/>
      <c r="D11043" s="26"/>
      <c r="E11043" s="24"/>
      <c r="F11043" s="24"/>
      <c r="G11043" s="24"/>
      <c r="H11043" s="24"/>
      <c r="I11043" s="24"/>
      <c r="J11043" s="24"/>
      <c r="K11043" s="24"/>
      <c r="L11043" s="24"/>
      <c r="M11043" s="24"/>
      <c r="N11043" s="24"/>
      <c r="O11043" s="24"/>
      <c r="P11043" s="24"/>
      <c r="Q11043" s="24"/>
      <c r="R11043" s="24"/>
      <c r="S11043" s="24"/>
      <c r="T11043" s="24"/>
      <c r="U11043" s="24"/>
      <c r="V11043" s="24"/>
      <c r="W11043" s="24"/>
      <c r="X11043" s="24"/>
      <c r="Y11043" s="24"/>
      <c r="Z11043" s="24"/>
      <c r="AA11043" s="24"/>
    </row>
    <row r="11044">
      <c r="A11044" s="24"/>
      <c r="B11044" s="25"/>
      <c r="C11044" s="24"/>
      <c r="D11044" s="26"/>
      <c r="E11044" s="24"/>
      <c r="F11044" s="24"/>
      <c r="G11044" s="24"/>
      <c r="H11044" s="24"/>
      <c r="I11044" s="24"/>
      <c r="J11044" s="24"/>
      <c r="K11044" s="24"/>
      <c r="L11044" s="24"/>
      <c r="M11044" s="24"/>
      <c r="N11044" s="24"/>
      <c r="O11044" s="24"/>
      <c r="P11044" s="24"/>
      <c r="Q11044" s="24"/>
      <c r="R11044" s="24"/>
      <c r="S11044" s="24"/>
      <c r="T11044" s="24"/>
      <c r="U11044" s="24"/>
      <c r="V11044" s="24"/>
      <c r="W11044" s="24"/>
      <c r="X11044" s="24"/>
      <c r="Y11044" s="24"/>
      <c r="Z11044" s="24"/>
      <c r="AA11044" s="24"/>
    </row>
    <row r="11045">
      <c r="A11045" s="24"/>
      <c r="B11045" s="25"/>
      <c r="C11045" s="24"/>
      <c r="D11045" s="26"/>
      <c r="E11045" s="24"/>
      <c r="F11045" s="24"/>
      <c r="G11045" s="24"/>
      <c r="H11045" s="24"/>
      <c r="I11045" s="24"/>
      <c r="J11045" s="24"/>
      <c r="K11045" s="24"/>
      <c r="L11045" s="24"/>
      <c r="M11045" s="24"/>
      <c r="N11045" s="24"/>
      <c r="O11045" s="24"/>
      <c r="P11045" s="24"/>
      <c r="Q11045" s="24"/>
      <c r="R11045" s="24"/>
      <c r="S11045" s="24"/>
      <c r="T11045" s="24"/>
      <c r="U11045" s="24"/>
      <c r="V11045" s="24"/>
      <c r="W11045" s="24"/>
      <c r="X11045" s="24"/>
      <c r="Y11045" s="24"/>
      <c r="Z11045" s="24"/>
      <c r="AA11045" s="24"/>
    </row>
    <row r="11046">
      <c r="A11046" s="24"/>
      <c r="B11046" s="25"/>
      <c r="C11046" s="24"/>
      <c r="D11046" s="26"/>
      <c r="E11046" s="24"/>
      <c r="F11046" s="24"/>
      <c r="G11046" s="24"/>
      <c r="H11046" s="24"/>
      <c r="I11046" s="24"/>
      <c r="J11046" s="24"/>
      <c r="K11046" s="24"/>
      <c r="L11046" s="24"/>
      <c r="M11046" s="24"/>
      <c r="N11046" s="24"/>
      <c r="O11046" s="24"/>
      <c r="P11046" s="24"/>
      <c r="Q11046" s="24"/>
      <c r="R11046" s="24"/>
      <c r="S11046" s="24"/>
      <c r="T11046" s="24"/>
      <c r="U11046" s="24"/>
      <c r="V11046" s="24"/>
      <c r="W11046" s="24"/>
      <c r="X11046" s="24"/>
      <c r="Y11046" s="24"/>
      <c r="Z11046" s="24"/>
      <c r="AA11046" s="24"/>
    </row>
    <row r="11047">
      <c r="A11047" s="24"/>
      <c r="B11047" s="25"/>
      <c r="C11047" s="24"/>
      <c r="D11047" s="26"/>
      <c r="E11047" s="24"/>
      <c r="F11047" s="24"/>
      <c r="G11047" s="24"/>
      <c r="H11047" s="24"/>
      <c r="I11047" s="24"/>
      <c r="J11047" s="24"/>
      <c r="K11047" s="24"/>
      <c r="L11047" s="24"/>
      <c r="M11047" s="24"/>
      <c r="N11047" s="24"/>
      <c r="O11047" s="24"/>
      <c r="P11047" s="24"/>
      <c r="Q11047" s="24"/>
      <c r="R11047" s="24"/>
      <c r="S11047" s="24"/>
      <c r="T11047" s="24"/>
      <c r="U11047" s="24"/>
      <c r="V11047" s="24"/>
      <c r="W11047" s="24"/>
      <c r="X11047" s="24"/>
      <c r="Y11047" s="24"/>
      <c r="Z11047" s="24"/>
      <c r="AA11047" s="24"/>
    </row>
    <row r="11048">
      <c r="A11048" s="24"/>
      <c r="B11048" s="25"/>
      <c r="C11048" s="24"/>
      <c r="D11048" s="26"/>
      <c r="E11048" s="24"/>
      <c r="F11048" s="24"/>
      <c r="G11048" s="24"/>
      <c r="H11048" s="24"/>
      <c r="I11048" s="24"/>
      <c r="J11048" s="24"/>
      <c r="K11048" s="24"/>
      <c r="L11048" s="24"/>
      <c r="M11048" s="24"/>
      <c r="N11048" s="24"/>
      <c r="O11048" s="24"/>
      <c r="P11048" s="24"/>
      <c r="Q11048" s="24"/>
      <c r="R11048" s="24"/>
      <c r="S11048" s="24"/>
      <c r="T11048" s="24"/>
      <c r="U11048" s="24"/>
      <c r="V11048" s="24"/>
      <c r="W11048" s="24"/>
      <c r="X11048" s="24"/>
      <c r="Y11048" s="24"/>
      <c r="Z11048" s="24"/>
      <c r="AA11048" s="24"/>
    </row>
    <row r="11049">
      <c r="A11049" s="24"/>
      <c r="B11049" s="25"/>
      <c r="C11049" s="24"/>
      <c r="D11049" s="26"/>
      <c r="E11049" s="24"/>
      <c r="F11049" s="24"/>
      <c r="G11049" s="24"/>
      <c r="H11049" s="24"/>
      <c r="I11049" s="24"/>
      <c r="J11049" s="24"/>
      <c r="K11049" s="24"/>
      <c r="L11049" s="24"/>
      <c r="M11049" s="24"/>
      <c r="N11049" s="24"/>
      <c r="O11049" s="24"/>
      <c r="P11049" s="24"/>
      <c r="Q11049" s="24"/>
      <c r="R11049" s="24"/>
      <c r="S11049" s="24"/>
      <c r="T11049" s="24"/>
      <c r="U11049" s="24"/>
      <c r="V11049" s="24"/>
      <c r="W11049" s="24"/>
      <c r="X11049" s="24"/>
      <c r="Y11049" s="24"/>
      <c r="Z11049" s="24"/>
      <c r="AA11049" s="24"/>
    </row>
    <row r="11050">
      <c r="A11050" s="24"/>
      <c r="B11050" s="25"/>
      <c r="C11050" s="24"/>
      <c r="D11050" s="26"/>
      <c r="E11050" s="24"/>
      <c r="F11050" s="24"/>
      <c r="G11050" s="24"/>
      <c r="H11050" s="24"/>
      <c r="I11050" s="24"/>
      <c r="J11050" s="24"/>
      <c r="K11050" s="24"/>
      <c r="L11050" s="24"/>
      <c r="M11050" s="24"/>
      <c r="N11050" s="24"/>
      <c r="O11050" s="24"/>
      <c r="P11050" s="24"/>
      <c r="Q11050" s="24"/>
      <c r="R11050" s="24"/>
      <c r="S11050" s="24"/>
      <c r="T11050" s="24"/>
      <c r="U11050" s="24"/>
      <c r="V11050" s="24"/>
      <c r="W11050" s="24"/>
      <c r="X11050" s="24"/>
      <c r="Y11050" s="24"/>
      <c r="Z11050" s="24"/>
      <c r="AA11050" s="24"/>
    </row>
    <row r="11051">
      <c r="A11051" s="24"/>
      <c r="B11051" s="25"/>
      <c r="C11051" s="24"/>
      <c r="D11051" s="26"/>
      <c r="E11051" s="24"/>
      <c r="F11051" s="24"/>
      <c r="G11051" s="24"/>
      <c r="H11051" s="24"/>
      <c r="I11051" s="24"/>
      <c r="J11051" s="24"/>
      <c r="K11051" s="24"/>
      <c r="L11051" s="24"/>
      <c r="M11051" s="24"/>
      <c r="N11051" s="24"/>
      <c r="O11051" s="24"/>
      <c r="P11051" s="24"/>
      <c r="Q11051" s="24"/>
      <c r="R11051" s="24"/>
      <c r="S11051" s="24"/>
      <c r="T11051" s="24"/>
      <c r="U11051" s="24"/>
      <c r="V11051" s="24"/>
      <c r="W11051" s="24"/>
      <c r="X11051" s="24"/>
      <c r="Y11051" s="24"/>
      <c r="Z11051" s="24"/>
      <c r="AA11051" s="24"/>
    </row>
    <row r="11052">
      <c r="A11052" s="24"/>
      <c r="B11052" s="25"/>
      <c r="C11052" s="24"/>
      <c r="D11052" s="26"/>
      <c r="E11052" s="24"/>
      <c r="F11052" s="24"/>
      <c r="G11052" s="24"/>
      <c r="H11052" s="24"/>
      <c r="I11052" s="24"/>
      <c r="J11052" s="24"/>
      <c r="K11052" s="24"/>
      <c r="L11052" s="24"/>
      <c r="M11052" s="24"/>
      <c r="N11052" s="24"/>
      <c r="O11052" s="24"/>
      <c r="P11052" s="24"/>
      <c r="Q11052" s="24"/>
      <c r="R11052" s="24"/>
      <c r="S11052" s="24"/>
      <c r="T11052" s="24"/>
      <c r="U11052" s="24"/>
      <c r="V11052" s="24"/>
      <c r="W11052" s="24"/>
      <c r="X11052" s="24"/>
      <c r="Y11052" s="24"/>
      <c r="Z11052" s="24"/>
      <c r="AA11052" s="24"/>
    </row>
    <row r="11053">
      <c r="A11053" s="24"/>
      <c r="B11053" s="25"/>
      <c r="C11053" s="24"/>
      <c r="D11053" s="26"/>
      <c r="E11053" s="24"/>
      <c r="F11053" s="24"/>
      <c r="G11053" s="24"/>
      <c r="H11053" s="24"/>
      <c r="I11053" s="24"/>
      <c r="J11053" s="24"/>
      <c r="K11053" s="24"/>
      <c r="L11053" s="24"/>
      <c r="M11053" s="24"/>
      <c r="N11053" s="24"/>
      <c r="O11053" s="24"/>
      <c r="P11053" s="24"/>
      <c r="Q11053" s="24"/>
      <c r="R11053" s="24"/>
      <c r="S11053" s="24"/>
      <c r="T11053" s="24"/>
      <c r="U11053" s="24"/>
      <c r="V11053" s="24"/>
      <c r="W11053" s="24"/>
      <c r="X11053" s="24"/>
      <c r="Y11053" s="24"/>
      <c r="Z11053" s="24"/>
      <c r="AA11053" s="24"/>
    </row>
    <row r="11054">
      <c r="A11054" s="24"/>
      <c r="B11054" s="25"/>
      <c r="C11054" s="24"/>
      <c r="D11054" s="26"/>
      <c r="E11054" s="24"/>
      <c r="F11054" s="24"/>
      <c r="G11054" s="24"/>
      <c r="H11054" s="24"/>
      <c r="I11054" s="24"/>
      <c r="J11054" s="24"/>
      <c r="K11054" s="24"/>
      <c r="L11054" s="24"/>
      <c r="M11054" s="24"/>
      <c r="N11054" s="24"/>
      <c r="O11054" s="24"/>
      <c r="P11054" s="24"/>
      <c r="Q11054" s="24"/>
      <c r="R11054" s="24"/>
      <c r="S11054" s="24"/>
      <c r="T11054" s="24"/>
      <c r="U11054" s="24"/>
      <c r="V11054" s="24"/>
      <c r="W11054" s="24"/>
      <c r="X11054" s="24"/>
      <c r="Y11054" s="24"/>
      <c r="Z11054" s="24"/>
      <c r="AA11054" s="24"/>
    </row>
    <row r="11055">
      <c r="A11055" s="24"/>
      <c r="B11055" s="25"/>
      <c r="C11055" s="24"/>
      <c r="D11055" s="26"/>
      <c r="E11055" s="24"/>
      <c r="F11055" s="24"/>
      <c r="G11055" s="24"/>
      <c r="H11055" s="24"/>
      <c r="I11055" s="24"/>
      <c r="J11055" s="24"/>
      <c r="K11055" s="24"/>
      <c r="L11055" s="24"/>
      <c r="M11055" s="24"/>
      <c r="N11055" s="24"/>
      <c r="O11055" s="24"/>
      <c r="P11055" s="24"/>
      <c r="Q11055" s="24"/>
      <c r="R11055" s="24"/>
      <c r="S11055" s="24"/>
      <c r="T11055" s="24"/>
      <c r="U11055" s="24"/>
      <c r="V11055" s="24"/>
      <c r="W11055" s="24"/>
      <c r="X11055" s="24"/>
      <c r="Y11055" s="24"/>
      <c r="Z11055" s="24"/>
      <c r="AA11055" s="24"/>
    </row>
    <row r="11056">
      <c r="A11056" s="24"/>
      <c r="B11056" s="25"/>
      <c r="C11056" s="24"/>
      <c r="D11056" s="26"/>
      <c r="E11056" s="24"/>
      <c r="F11056" s="24"/>
      <c r="G11056" s="24"/>
      <c r="H11056" s="24"/>
      <c r="I11056" s="24"/>
      <c r="J11056" s="24"/>
      <c r="K11056" s="24"/>
      <c r="L11056" s="24"/>
      <c r="M11056" s="24"/>
      <c r="N11056" s="24"/>
      <c r="O11056" s="24"/>
      <c r="P11056" s="24"/>
      <c r="Q11056" s="24"/>
      <c r="R11056" s="24"/>
      <c r="S11056" s="24"/>
      <c r="T11056" s="24"/>
      <c r="U11056" s="24"/>
      <c r="V11056" s="24"/>
      <c r="W11056" s="24"/>
      <c r="X11056" s="24"/>
      <c r="Y11056" s="24"/>
      <c r="Z11056" s="24"/>
      <c r="AA11056" s="24"/>
    </row>
    <row r="11057">
      <c r="A11057" s="24"/>
      <c r="B11057" s="25"/>
      <c r="C11057" s="24"/>
      <c r="D11057" s="26"/>
      <c r="E11057" s="24"/>
      <c r="F11057" s="24"/>
      <c r="G11057" s="24"/>
      <c r="H11057" s="24"/>
      <c r="I11057" s="24"/>
      <c r="J11057" s="24"/>
      <c r="K11057" s="24"/>
      <c r="L11057" s="24"/>
      <c r="M11057" s="24"/>
      <c r="N11057" s="24"/>
      <c r="O11057" s="24"/>
      <c r="P11057" s="24"/>
      <c r="Q11057" s="24"/>
      <c r="R11057" s="24"/>
      <c r="S11057" s="24"/>
      <c r="T11057" s="24"/>
      <c r="U11057" s="24"/>
      <c r="V11057" s="24"/>
      <c r="W11057" s="24"/>
      <c r="X11057" s="24"/>
      <c r="Y11057" s="24"/>
      <c r="Z11057" s="24"/>
      <c r="AA11057" s="24"/>
    </row>
    <row r="11058">
      <c r="A11058" s="24"/>
      <c r="B11058" s="25"/>
      <c r="C11058" s="24"/>
      <c r="D11058" s="26"/>
      <c r="E11058" s="24"/>
      <c r="F11058" s="24"/>
      <c r="G11058" s="24"/>
      <c r="H11058" s="24"/>
      <c r="I11058" s="24"/>
      <c r="J11058" s="24"/>
      <c r="K11058" s="24"/>
      <c r="L11058" s="24"/>
      <c r="M11058" s="24"/>
      <c r="N11058" s="24"/>
      <c r="O11058" s="24"/>
      <c r="P11058" s="24"/>
      <c r="Q11058" s="24"/>
      <c r="R11058" s="24"/>
      <c r="S11058" s="24"/>
      <c r="T11058" s="24"/>
      <c r="U11058" s="24"/>
      <c r="V11058" s="24"/>
      <c r="W11058" s="24"/>
      <c r="X11058" s="24"/>
      <c r="Y11058" s="24"/>
      <c r="Z11058" s="24"/>
      <c r="AA11058" s="24"/>
    </row>
    <row r="11059">
      <c r="A11059" s="24"/>
      <c r="B11059" s="25"/>
      <c r="C11059" s="24"/>
      <c r="D11059" s="26"/>
      <c r="E11059" s="24"/>
      <c r="F11059" s="24"/>
      <c r="G11059" s="24"/>
      <c r="H11059" s="24"/>
      <c r="I11059" s="24"/>
      <c r="J11059" s="24"/>
      <c r="K11059" s="24"/>
      <c r="L11059" s="24"/>
      <c r="M11059" s="24"/>
      <c r="N11059" s="24"/>
      <c r="O11059" s="24"/>
      <c r="P11059" s="24"/>
      <c r="Q11059" s="24"/>
      <c r="R11059" s="24"/>
      <c r="S11059" s="24"/>
      <c r="T11059" s="24"/>
      <c r="U11059" s="24"/>
      <c r="V11059" s="24"/>
      <c r="W11059" s="24"/>
      <c r="X11059" s="24"/>
      <c r="Y11059" s="24"/>
      <c r="Z11059" s="24"/>
      <c r="AA11059" s="24"/>
    </row>
    <row r="11060">
      <c r="A11060" s="24"/>
      <c r="B11060" s="25"/>
      <c r="C11060" s="24"/>
      <c r="D11060" s="26"/>
      <c r="E11060" s="24"/>
      <c r="F11060" s="24"/>
      <c r="G11060" s="24"/>
      <c r="H11060" s="24"/>
      <c r="I11060" s="24"/>
      <c r="J11060" s="24"/>
      <c r="K11060" s="24"/>
      <c r="L11060" s="24"/>
      <c r="M11060" s="24"/>
      <c r="N11060" s="24"/>
      <c r="O11060" s="24"/>
      <c r="P11060" s="24"/>
      <c r="Q11060" s="24"/>
      <c r="R11060" s="24"/>
      <c r="S11060" s="24"/>
      <c r="T11060" s="24"/>
      <c r="U11060" s="24"/>
      <c r="V11060" s="24"/>
      <c r="W11060" s="24"/>
      <c r="X11060" s="24"/>
      <c r="Y11060" s="24"/>
      <c r="Z11060" s="24"/>
      <c r="AA11060" s="24"/>
    </row>
    <row r="11061">
      <c r="A11061" s="24"/>
      <c r="B11061" s="25"/>
      <c r="C11061" s="24"/>
      <c r="D11061" s="26"/>
      <c r="E11061" s="24"/>
      <c r="F11061" s="24"/>
      <c r="G11061" s="24"/>
      <c r="H11061" s="24"/>
      <c r="I11061" s="24"/>
      <c r="J11061" s="24"/>
      <c r="K11061" s="24"/>
      <c r="L11061" s="24"/>
      <c r="M11061" s="24"/>
      <c r="N11061" s="24"/>
      <c r="O11061" s="24"/>
      <c r="P11061" s="24"/>
      <c r="Q11061" s="24"/>
      <c r="R11061" s="24"/>
      <c r="S11061" s="24"/>
      <c r="T11061" s="24"/>
      <c r="U11061" s="24"/>
      <c r="V11061" s="24"/>
      <c r="W11061" s="24"/>
      <c r="X11061" s="24"/>
      <c r="Y11061" s="24"/>
      <c r="Z11061" s="24"/>
      <c r="AA11061" s="24"/>
    </row>
    <row r="11062">
      <c r="A11062" s="24"/>
      <c r="B11062" s="25"/>
      <c r="C11062" s="24"/>
      <c r="D11062" s="26"/>
      <c r="E11062" s="24"/>
      <c r="F11062" s="24"/>
      <c r="G11062" s="24"/>
      <c r="H11062" s="24"/>
      <c r="I11062" s="24"/>
      <c r="J11062" s="24"/>
      <c r="K11062" s="24"/>
      <c r="L11062" s="24"/>
      <c r="M11062" s="24"/>
      <c r="N11062" s="24"/>
      <c r="O11062" s="24"/>
      <c r="P11062" s="24"/>
      <c r="Q11062" s="24"/>
      <c r="R11062" s="24"/>
      <c r="S11062" s="24"/>
      <c r="T11062" s="24"/>
      <c r="U11062" s="24"/>
      <c r="V11062" s="24"/>
      <c r="W11062" s="24"/>
      <c r="X11062" s="24"/>
      <c r="Y11062" s="24"/>
      <c r="Z11062" s="24"/>
      <c r="AA11062" s="24"/>
    </row>
    <row r="11063">
      <c r="A11063" s="24"/>
      <c r="B11063" s="25"/>
      <c r="C11063" s="24"/>
      <c r="D11063" s="26"/>
      <c r="E11063" s="24"/>
      <c r="F11063" s="24"/>
      <c r="G11063" s="24"/>
      <c r="H11063" s="24"/>
      <c r="I11063" s="24"/>
      <c r="J11063" s="24"/>
      <c r="K11063" s="24"/>
      <c r="L11063" s="24"/>
      <c r="M11063" s="24"/>
      <c r="N11063" s="24"/>
      <c r="O11063" s="24"/>
      <c r="P11063" s="24"/>
      <c r="Q11063" s="24"/>
      <c r="R11063" s="24"/>
      <c r="S11063" s="24"/>
      <c r="T11063" s="24"/>
      <c r="U11063" s="24"/>
      <c r="V11063" s="24"/>
      <c r="W11063" s="24"/>
      <c r="X11063" s="24"/>
      <c r="Y11063" s="24"/>
      <c r="Z11063" s="24"/>
      <c r="AA11063" s="24"/>
    </row>
    <row r="11064">
      <c r="A11064" s="24"/>
      <c r="B11064" s="25"/>
      <c r="C11064" s="24"/>
      <c r="D11064" s="26"/>
      <c r="E11064" s="24"/>
      <c r="F11064" s="24"/>
      <c r="G11064" s="24"/>
      <c r="H11064" s="24"/>
      <c r="I11064" s="24"/>
      <c r="J11064" s="24"/>
      <c r="K11064" s="24"/>
      <c r="L11064" s="24"/>
      <c r="M11064" s="24"/>
      <c r="N11064" s="24"/>
      <c r="O11064" s="24"/>
      <c r="P11064" s="24"/>
      <c r="Q11064" s="24"/>
      <c r="R11064" s="24"/>
      <c r="S11064" s="24"/>
      <c r="T11064" s="24"/>
      <c r="U11064" s="24"/>
      <c r="V11064" s="24"/>
      <c r="W11064" s="24"/>
      <c r="X11064" s="24"/>
      <c r="Y11064" s="24"/>
      <c r="Z11064" s="24"/>
      <c r="AA11064" s="24"/>
    </row>
    <row r="11065">
      <c r="A11065" s="24"/>
      <c r="B11065" s="25"/>
      <c r="C11065" s="24"/>
      <c r="D11065" s="26"/>
      <c r="E11065" s="24"/>
      <c r="F11065" s="24"/>
      <c r="G11065" s="24"/>
      <c r="H11065" s="24"/>
      <c r="I11065" s="24"/>
      <c r="J11065" s="24"/>
      <c r="K11065" s="24"/>
      <c r="L11065" s="24"/>
      <c r="M11065" s="24"/>
      <c r="N11065" s="24"/>
      <c r="O11065" s="24"/>
      <c r="P11065" s="24"/>
      <c r="Q11065" s="24"/>
      <c r="R11065" s="24"/>
      <c r="S11065" s="24"/>
      <c r="T11065" s="24"/>
      <c r="U11065" s="24"/>
      <c r="V11065" s="24"/>
      <c r="W11065" s="24"/>
      <c r="X11065" s="24"/>
      <c r="Y11065" s="24"/>
      <c r="Z11065" s="24"/>
      <c r="AA11065" s="24"/>
    </row>
    <row r="11066">
      <c r="A11066" s="24"/>
      <c r="B11066" s="25"/>
      <c r="C11066" s="24"/>
      <c r="D11066" s="26"/>
      <c r="E11066" s="24"/>
      <c r="F11066" s="24"/>
      <c r="G11066" s="24"/>
      <c r="H11066" s="24"/>
      <c r="I11066" s="24"/>
      <c r="J11066" s="24"/>
      <c r="K11066" s="24"/>
      <c r="L11066" s="24"/>
      <c r="M11066" s="24"/>
      <c r="N11066" s="24"/>
      <c r="O11066" s="24"/>
      <c r="P11066" s="24"/>
      <c r="Q11066" s="24"/>
      <c r="R11066" s="24"/>
      <c r="S11066" s="24"/>
      <c r="T11066" s="24"/>
      <c r="U11066" s="24"/>
      <c r="V11066" s="24"/>
      <c r="W11066" s="24"/>
      <c r="X11066" s="24"/>
      <c r="Y11066" s="24"/>
      <c r="Z11066" s="24"/>
      <c r="AA11066" s="24"/>
    </row>
    <row r="11067">
      <c r="A11067" s="24"/>
      <c r="B11067" s="25"/>
      <c r="C11067" s="24"/>
      <c r="D11067" s="26"/>
      <c r="E11067" s="24"/>
      <c r="F11067" s="24"/>
      <c r="G11067" s="24"/>
      <c r="H11067" s="24"/>
      <c r="I11067" s="24"/>
      <c r="J11067" s="24"/>
      <c r="K11067" s="24"/>
      <c r="L11067" s="24"/>
      <c r="M11067" s="24"/>
      <c r="N11067" s="24"/>
      <c r="O11067" s="24"/>
      <c r="P11067" s="24"/>
      <c r="Q11067" s="24"/>
      <c r="R11067" s="24"/>
      <c r="S11067" s="24"/>
      <c r="T11067" s="24"/>
      <c r="U11067" s="24"/>
      <c r="V11067" s="24"/>
      <c r="W11067" s="24"/>
      <c r="X11067" s="24"/>
      <c r="Y11067" s="24"/>
      <c r="Z11067" s="24"/>
      <c r="AA11067" s="24"/>
    </row>
    <row r="11068">
      <c r="A11068" s="24"/>
      <c r="B11068" s="25"/>
      <c r="C11068" s="24"/>
      <c r="D11068" s="26"/>
      <c r="E11068" s="24"/>
      <c r="F11068" s="24"/>
      <c r="G11068" s="24"/>
      <c r="H11068" s="24"/>
      <c r="I11068" s="24"/>
      <c r="J11068" s="24"/>
      <c r="K11068" s="24"/>
      <c r="L11068" s="24"/>
      <c r="M11068" s="24"/>
      <c r="N11068" s="24"/>
      <c r="O11068" s="24"/>
      <c r="P11068" s="24"/>
      <c r="Q11068" s="24"/>
      <c r="R11068" s="24"/>
      <c r="S11068" s="24"/>
      <c r="T11068" s="24"/>
      <c r="U11068" s="24"/>
      <c r="V11068" s="24"/>
      <c r="W11068" s="24"/>
      <c r="X11068" s="24"/>
      <c r="Y11068" s="24"/>
      <c r="Z11068" s="24"/>
      <c r="AA11068" s="24"/>
    </row>
    <row r="11069">
      <c r="A11069" s="24"/>
      <c r="B11069" s="25"/>
      <c r="C11069" s="24"/>
      <c r="D11069" s="26"/>
      <c r="E11069" s="24"/>
      <c r="F11069" s="24"/>
      <c r="G11069" s="24"/>
      <c r="H11069" s="24"/>
      <c r="I11069" s="24"/>
      <c r="J11069" s="24"/>
      <c r="K11069" s="24"/>
      <c r="L11069" s="24"/>
      <c r="M11069" s="24"/>
      <c r="N11069" s="24"/>
      <c r="O11069" s="24"/>
      <c r="P11069" s="24"/>
      <c r="Q11069" s="24"/>
      <c r="R11069" s="24"/>
      <c r="S11069" s="24"/>
      <c r="T11069" s="24"/>
      <c r="U11069" s="24"/>
      <c r="V11069" s="24"/>
      <c r="W11069" s="24"/>
      <c r="X11069" s="24"/>
      <c r="Y11069" s="24"/>
      <c r="Z11069" s="24"/>
      <c r="AA11069" s="24"/>
    </row>
    <row r="11070">
      <c r="A11070" s="24"/>
      <c r="B11070" s="25"/>
      <c r="C11070" s="24"/>
      <c r="D11070" s="26"/>
      <c r="E11070" s="24"/>
      <c r="F11070" s="24"/>
      <c r="G11070" s="24"/>
      <c r="H11070" s="24"/>
      <c r="I11070" s="24"/>
      <c r="J11070" s="24"/>
      <c r="K11070" s="24"/>
      <c r="L11070" s="24"/>
      <c r="M11070" s="24"/>
      <c r="N11070" s="24"/>
      <c r="O11070" s="24"/>
      <c r="P11070" s="24"/>
      <c r="Q11070" s="24"/>
      <c r="R11070" s="24"/>
      <c r="S11070" s="24"/>
      <c r="T11070" s="24"/>
      <c r="U11070" s="24"/>
      <c r="V11070" s="24"/>
      <c r="W11070" s="24"/>
      <c r="X11070" s="24"/>
      <c r="Y11070" s="24"/>
      <c r="Z11070" s="24"/>
      <c r="AA11070" s="24"/>
    </row>
    <row r="11071">
      <c r="A11071" s="24"/>
      <c r="B11071" s="25"/>
      <c r="C11071" s="24"/>
      <c r="D11071" s="26"/>
      <c r="E11071" s="24"/>
      <c r="F11071" s="24"/>
      <c r="G11071" s="24"/>
      <c r="H11071" s="24"/>
      <c r="I11071" s="24"/>
      <c r="J11071" s="24"/>
      <c r="K11071" s="24"/>
      <c r="L11071" s="24"/>
      <c r="M11071" s="24"/>
      <c r="N11071" s="24"/>
      <c r="O11071" s="24"/>
      <c r="P11071" s="24"/>
      <c r="Q11071" s="24"/>
      <c r="R11071" s="24"/>
      <c r="S11071" s="24"/>
      <c r="T11071" s="24"/>
      <c r="U11071" s="24"/>
      <c r="V11071" s="24"/>
      <c r="W11071" s="24"/>
      <c r="X11071" s="24"/>
      <c r="Y11071" s="24"/>
      <c r="Z11071" s="24"/>
      <c r="AA11071" s="24"/>
    </row>
    <row r="11072">
      <c r="A11072" s="24"/>
      <c r="B11072" s="25"/>
      <c r="C11072" s="24"/>
      <c r="D11072" s="26"/>
      <c r="E11072" s="24"/>
      <c r="F11072" s="24"/>
      <c r="G11072" s="24"/>
      <c r="H11072" s="24"/>
      <c r="I11072" s="24"/>
      <c r="J11072" s="24"/>
      <c r="K11072" s="24"/>
      <c r="L11072" s="24"/>
      <c r="M11072" s="24"/>
      <c r="N11072" s="24"/>
      <c r="O11072" s="24"/>
      <c r="P11072" s="24"/>
      <c r="Q11072" s="24"/>
      <c r="R11072" s="24"/>
      <c r="S11072" s="24"/>
      <c r="T11072" s="24"/>
      <c r="U11072" s="24"/>
      <c r="V11072" s="24"/>
      <c r="W11072" s="24"/>
      <c r="X11072" s="24"/>
      <c r="Y11072" s="24"/>
      <c r="Z11072" s="24"/>
      <c r="AA11072" s="24"/>
    </row>
    <row r="11073">
      <c r="A11073" s="24"/>
      <c r="B11073" s="25"/>
      <c r="C11073" s="24"/>
      <c r="D11073" s="26"/>
      <c r="E11073" s="24"/>
      <c r="F11073" s="24"/>
      <c r="G11073" s="24"/>
      <c r="H11073" s="24"/>
      <c r="I11073" s="24"/>
      <c r="J11073" s="24"/>
      <c r="K11073" s="24"/>
      <c r="L11073" s="24"/>
      <c r="M11073" s="24"/>
      <c r="N11073" s="24"/>
      <c r="O11073" s="24"/>
      <c r="P11073" s="24"/>
      <c r="Q11073" s="24"/>
      <c r="R11073" s="24"/>
      <c r="S11073" s="24"/>
      <c r="T11073" s="24"/>
      <c r="U11073" s="24"/>
      <c r="V11073" s="24"/>
      <c r="W11073" s="24"/>
      <c r="X11073" s="24"/>
      <c r="Y11073" s="24"/>
      <c r="Z11073" s="24"/>
      <c r="AA11073" s="24"/>
    </row>
    <row r="11074">
      <c r="A11074" s="24"/>
      <c r="B11074" s="25"/>
      <c r="C11074" s="24"/>
      <c r="D11074" s="26"/>
      <c r="E11074" s="24"/>
      <c r="F11074" s="24"/>
      <c r="G11074" s="24"/>
      <c r="H11074" s="24"/>
      <c r="I11074" s="24"/>
      <c r="J11074" s="24"/>
      <c r="K11074" s="24"/>
      <c r="L11074" s="24"/>
      <c r="M11074" s="24"/>
      <c r="N11074" s="24"/>
      <c r="O11074" s="24"/>
      <c r="P11074" s="24"/>
      <c r="Q11074" s="24"/>
      <c r="R11074" s="24"/>
      <c r="S11074" s="24"/>
      <c r="T11074" s="24"/>
      <c r="U11074" s="24"/>
      <c r="V11074" s="24"/>
      <c r="W11074" s="24"/>
      <c r="X11074" s="24"/>
      <c r="Y11074" s="24"/>
      <c r="Z11074" s="24"/>
      <c r="AA11074" s="24"/>
    </row>
    <row r="11075">
      <c r="A11075" s="24"/>
      <c r="B11075" s="25"/>
      <c r="C11075" s="24"/>
      <c r="D11075" s="26"/>
      <c r="E11075" s="24"/>
      <c r="F11075" s="24"/>
      <c r="G11075" s="24"/>
      <c r="H11075" s="24"/>
      <c r="I11075" s="24"/>
      <c r="J11075" s="24"/>
      <c r="K11075" s="24"/>
      <c r="L11075" s="24"/>
      <c r="M11075" s="24"/>
      <c r="N11075" s="24"/>
      <c r="O11075" s="24"/>
      <c r="P11075" s="24"/>
      <c r="Q11075" s="24"/>
      <c r="R11075" s="24"/>
      <c r="S11075" s="24"/>
      <c r="T11075" s="24"/>
      <c r="U11075" s="24"/>
      <c r="V11075" s="24"/>
      <c r="W11075" s="24"/>
      <c r="X11075" s="24"/>
      <c r="Y11075" s="24"/>
      <c r="Z11075" s="24"/>
      <c r="AA11075" s="24"/>
    </row>
    <row r="11076">
      <c r="A11076" s="24"/>
      <c r="B11076" s="25"/>
      <c r="C11076" s="24"/>
      <c r="D11076" s="26"/>
      <c r="E11076" s="24"/>
      <c r="F11076" s="24"/>
      <c r="G11076" s="24"/>
      <c r="H11076" s="24"/>
      <c r="I11076" s="24"/>
      <c r="J11076" s="24"/>
      <c r="K11076" s="24"/>
      <c r="L11076" s="24"/>
      <c r="M11076" s="24"/>
      <c r="N11076" s="24"/>
      <c r="O11076" s="24"/>
      <c r="P11076" s="24"/>
      <c r="Q11076" s="24"/>
      <c r="R11076" s="24"/>
      <c r="S11076" s="24"/>
      <c r="T11076" s="24"/>
      <c r="U11076" s="24"/>
      <c r="V11076" s="24"/>
      <c r="W11076" s="24"/>
      <c r="X11076" s="24"/>
      <c r="Y11076" s="24"/>
      <c r="Z11076" s="24"/>
      <c r="AA11076" s="24"/>
    </row>
    <row r="11077">
      <c r="A11077" s="24"/>
      <c r="B11077" s="25"/>
      <c r="C11077" s="24"/>
      <c r="D11077" s="26"/>
      <c r="E11077" s="24"/>
      <c r="F11077" s="24"/>
      <c r="G11077" s="24"/>
      <c r="H11077" s="24"/>
      <c r="I11077" s="24"/>
      <c r="J11077" s="24"/>
      <c r="K11077" s="24"/>
      <c r="L11077" s="24"/>
      <c r="M11077" s="24"/>
      <c r="N11077" s="24"/>
      <c r="O11077" s="24"/>
      <c r="P11077" s="24"/>
      <c r="Q11077" s="24"/>
      <c r="R11077" s="24"/>
      <c r="S11077" s="24"/>
      <c r="T11077" s="24"/>
      <c r="U11077" s="24"/>
      <c r="V11077" s="24"/>
      <c r="W11077" s="24"/>
      <c r="X11077" s="24"/>
      <c r="Y11077" s="24"/>
      <c r="Z11077" s="24"/>
      <c r="AA11077" s="24"/>
    </row>
    <row r="11078">
      <c r="A11078" s="24"/>
      <c r="B11078" s="25"/>
      <c r="C11078" s="24"/>
      <c r="D11078" s="26"/>
      <c r="E11078" s="24"/>
      <c r="F11078" s="24"/>
      <c r="G11078" s="24"/>
      <c r="H11078" s="24"/>
      <c r="I11078" s="24"/>
      <c r="J11078" s="24"/>
      <c r="K11078" s="24"/>
      <c r="L11078" s="24"/>
      <c r="M11078" s="24"/>
      <c r="N11078" s="24"/>
      <c r="O11078" s="24"/>
      <c r="P11078" s="24"/>
      <c r="Q11078" s="24"/>
      <c r="R11078" s="24"/>
      <c r="S11078" s="24"/>
      <c r="T11078" s="24"/>
      <c r="U11078" s="24"/>
      <c r="V11078" s="24"/>
      <c r="W11078" s="24"/>
      <c r="X11078" s="24"/>
      <c r="Y11078" s="24"/>
      <c r="Z11078" s="24"/>
      <c r="AA11078" s="24"/>
    </row>
    <row r="11079">
      <c r="A11079" s="24"/>
      <c r="B11079" s="25"/>
      <c r="C11079" s="24"/>
      <c r="D11079" s="26"/>
      <c r="E11079" s="24"/>
      <c r="F11079" s="24"/>
      <c r="G11079" s="24"/>
      <c r="H11079" s="24"/>
      <c r="I11079" s="24"/>
      <c r="J11079" s="24"/>
      <c r="K11079" s="24"/>
      <c r="L11079" s="24"/>
      <c r="M11079" s="24"/>
      <c r="N11079" s="24"/>
      <c r="O11079" s="24"/>
      <c r="P11079" s="24"/>
      <c r="Q11079" s="24"/>
      <c r="R11079" s="24"/>
      <c r="S11079" s="24"/>
      <c r="T11079" s="24"/>
      <c r="U11079" s="24"/>
      <c r="V11079" s="24"/>
      <c r="W11079" s="24"/>
      <c r="X11079" s="24"/>
      <c r="Y11079" s="24"/>
      <c r="Z11079" s="24"/>
      <c r="AA11079" s="24"/>
    </row>
    <row r="11080">
      <c r="A11080" s="24"/>
      <c r="B11080" s="25"/>
      <c r="C11080" s="24"/>
      <c r="D11080" s="26"/>
      <c r="E11080" s="24"/>
      <c r="F11080" s="24"/>
      <c r="G11080" s="24"/>
      <c r="H11080" s="24"/>
      <c r="I11080" s="24"/>
      <c r="J11080" s="24"/>
      <c r="K11080" s="24"/>
      <c r="L11080" s="24"/>
      <c r="M11080" s="24"/>
      <c r="N11080" s="24"/>
      <c r="O11080" s="24"/>
      <c r="P11080" s="24"/>
      <c r="Q11080" s="24"/>
      <c r="R11080" s="24"/>
      <c r="S11080" s="24"/>
      <c r="T11080" s="24"/>
      <c r="U11080" s="24"/>
      <c r="V11080" s="24"/>
      <c r="W11080" s="24"/>
      <c r="X11080" s="24"/>
      <c r="Y11080" s="24"/>
      <c r="Z11080" s="24"/>
      <c r="AA11080" s="24"/>
    </row>
    <row r="11081">
      <c r="A11081" s="24"/>
      <c r="B11081" s="25"/>
      <c r="C11081" s="24"/>
      <c r="D11081" s="26"/>
      <c r="E11081" s="24"/>
      <c r="F11081" s="24"/>
      <c r="G11081" s="24"/>
      <c r="H11081" s="24"/>
      <c r="I11081" s="24"/>
      <c r="J11081" s="24"/>
      <c r="K11081" s="24"/>
      <c r="L11081" s="24"/>
      <c r="M11081" s="24"/>
      <c r="N11081" s="24"/>
      <c r="O11081" s="24"/>
      <c r="P11081" s="24"/>
      <c r="Q11081" s="24"/>
      <c r="R11081" s="24"/>
      <c r="S11081" s="24"/>
      <c r="T11081" s="24"/>
      <c r="U11081" s="24"/>
      <c r="V11081" s="24"/>
      <c r="W11081" s="24"/>
      <c r="X11081" s="24"/>
      <c r="Y11081" s="24"/>
      <c r="Z11081" s="24"/>
      <c r="AA11081" s="24"/>
    </row>
    <row r="11082">
      <c r="A11082" s="24"/>
      <c r="B11082" s="25"/>
      <c r="C11082" s="24"/>
      <c r="D11082" s="26"/>
      <c r="E11082" s="24"/>
      <c r="F11082" s="24"/>
      <c r="G11082" s="24"/>
      <c r="H11082" s="24"/>
      <c r="I11082" s="24"/>
      <c r="J11082" s="24"/>
      <c r="K11082" s="24"/>
      <c r="L11082" s="24"/>
      <c r="M11082" s="24"/>
      <c r="N11082" s="24"/>
      <c r="O11082" s="24"/>
      <c r="P11082" s="24"/>
      <c r="Q11082" s="24"/>
      <c r="R11082" s="24"/>
      <c r="S11082" s="24"/>
      <c r="T11082" s="24"/>
      <c r="U11082" s="24"/>
      <c r="V11082" s="24"/>
      <c r="W11082" s="24"/>
      <c r="X11082" s="24"/>
      <c r="Y11082" s="24"/>
      <c r="Z11082" s="24"/>
      <c r="AA11082" s="24"/>
    </row>
    <row r="11083">
      <c r="A11083" s="24"/>
      <c r="B11083" s="25"/>
      <c r="C11083" s="24"/>
      <c r="D11083" s="26"/>
      <c r="E11083" s="24"/>
      <c r="F11083" s="24"/>
      <c r="G11083" s="24"/>
      <c r="H11083" s="24"/>
      <c r="I11083" s="24"/>
      <c r="J11083" s="24"/>
      <c r="K11083" s="24"/>
      <c r="L11083" s="24"/>
      <c r="M11083" s="24"/>
      <c r="N11083" s="24"/>
      <c r="O11083" s="24"/>
      <c r="P11083" s="24"/>
      <c r="Q11083" s="24"/>
      <c r="R11083" s="24"/>
      <c r="S11083" s="24"/>
      <c r="T11083" s="24"/>
      <c r="U11083" s="24"/>
      <c r="V11083" s="24"/>
      <c r="W11083" s="24"/>
      <c r="X11083" s="24"/>
      <c r="Y11083" s="24"/>
      <c r="Z11083" s="24"/>
      <c r="AA11083" s="24"/>
    </row>
    <row r="11084">
      <c r="A11084" s="24"/>
      <c r="B11084" s="25"/>
      <c r="C11084" s="24"/>
      <c r="D11084" s="26"/>
      <c r="E11084" s="24"/>
      <c r="F11084" s="24"/>
      <c r="G11084" s="24"/>
      <c r="H11084" s="24"/>
      <c r="I11084" s="24"/>
      <c r="J11084" s="24"/>
      <c r="K11084" s="24"/>
      <c r="L11084" s="24"/>
      <c r="M11084" s="24"/>
      <c r="N11084" s="24"/>
      <c r="O11084" s="24"/>
      <c r="P11084" s="24"/>
      <c r="Q11084" s="24"/>
      <c r="R11084" s="24"/>
      <c r="S11084" s="24"/>
      <c r="T11084" s="24"/>
      <c r="U11084" s="24"/>
      <c r="V11084" s="24"/>
      <c r="W11084" s="24"/>
      <c r="X11084" s="24"/>
      <c r="Y11084" s="24"/>
      <c r="Z11084" s="24"/>
      <c r="AA11084" s="24"/>
    </row>
    <row r="11085">
      <c r="A11085" s="24"/>
      <c r="B11085" s="25"/>
      <c r="C11085" s="24"/>
      <c r="D11085" s="26"/>
      <c r="E11085" s="24"/>
      <c r="F11085" s="24"/>
      <c r="G11085" s="24"/>
      <c r="H11085" s="24"/>
      <c r="I11085" s="24"/>
      <c r="J11085" s="24"/>
      <c r="K11085" s="24"/>
      <c r="L11085" s="24"/>
      <c r="M11085" s="24"/>
      <c r="N11085" s="24"/>
      <c r="O11085" s="24"/>
      <c r="P11085" s="24"/>
      <c r="Q11085" s="24"/>
      <c r="R11085" s="24"/>
      <c r="S11085" s="24"/>
      <c r="T11085" s="24"/>
      <c r="U11085" s="24"/>
      <c r="V11085" s="24"/>
      <c r="W11085" s="24"/>
      <c r="X11085" s="24"/>
      <c r="Y11085" s="24"/>
      <c r="Z11085" s="24"/>
      <c r="AA11085" s="24"/>
    </row>
    <row r="11086">
      <c r="A11086" s="24"/>
      <c r="B11086" s="25"/>
      <c r="C11086" s="24"/>
      <c r="D11086" s="26"/>
      <c r="E11086" s="24"/>
      <c r="F11086" s="24"/>
      <c r="G11086" s="24"/>
      <c r="H11086" s="24"/>
      <c r="I11086" s="24"/>
      <c r="J11086" s="24"/>
      <c r="K11086" s="24"/>
      <c r="L11086" s="24"/>
      <c r="M11086" s="24"/>
      <c r="N11086" s="24"/>
      <c r="O11086" s="24"/>
      <c r="P11086" s="24"/>
      <c r="Q11086" s="24"/>
      <c r="R11086" s="24"/>
      <c r="S11086" s="24"/>
      <c r="T11086" s="24"/>
      <c r="U11086" s="24"/>
      <c r="V11086" s="24"/>
      <c r="W11086" s="24"/>
      <c r="X11086" s="24"/>
      <c r="Y11086" s="24"/>
      <c r="Z11086" s="24"/>
      <c r="AA11086" s="24"/>
    </row>
    <row r="11087">
      <c r="A11087" s="24"/>
      <c r="B11087" s="25"/>
      <c r="C11087" s="24"/>
      <c r="D11087" s="26"/>
      <c r="E11087" s="24"/>
      <c r="F11087" s="24"/>
      <c r="G11087" s="24"/>
      <c r="H11087" s="24"/>
      <c r="I11087" s="24"/>
      <c r="J11087" s="24"/>
      <c r="K11087" s="24"/>
      <c r="L11087" s="24"/>
      <c r="M11087" s="24"/>
      <c r="N11087" s="24"/>
      <c r="O11087" s="24"/>
      <c r="P11087" s="24"/>
      <c r="Q11087" s="24"/>
      <c r="R11087" s="24"/>
      <c r="S11087" s="24"/>
      <c r="T11087" s="24"/>
      <c r="U11087" s="24"/>
      <c r="V11087" s="24"/>
      <c r="W11087" s="24"/>
      <c r="X11087" s="24"/>
      <c r="Y11087" s="24"/>
      <c r="Z11087" s="24"/>
      <c r="AA11087" s="24"/>
    </row>
    <row r="11088">
      <c r="A11088" s="24"/>
      <c r="B11088" s="25"/>
      <c r="C11088" s="24"/>
      <c r="D11088" s="26"/>
      <c r="E11088" s="24"/>
      <c r="F11088" s="24"/>
      <c r="G11088" s="24"/>
      <c r="H11088" s="24"/>
      <c r="I11088" s="24"/>
      <c r="J11088" s="24"/>
      <c r="K11088" s="24"/>
      <c r="L11088" s="24"/>
      <c r="M11088" s="24"/>
      <c r="N11088" s="24"/>
      <c r="O11088" s="24"/>
      <c r="P11088" s="24"/>
      <c r="Q11088" s="24"/>
      <c r="R11088" s="24"/>
      <c r="S11088" s="24"/>
      <c r="T11088" s="24"/>
      <c r="U11088" s="24"/>
      <c r="V11088" s="24"/>
      <c r="W11088" s="24"/>
      <c r="X11088" s="24"/>
      <c r="Y11088" s="24"/>
      <c r="Z11088" s="24"/>
      <c r="AA11088" s="24"/>
    </row>
    <row r="11089">
      <c r="A11089" s="24"/>
      <c r="B11089" s="25"/>
      <c r="C11089" s="24"/>
      <c r="D11089" s="26"/>
      <c r="E11089" s="24"/>
      <c r="F11089" s="24"/>
      <c r="G11089" s="24"/>
      <c r="H11089" s="24"/>
      <c r="I11089" s="24"/>
      <c r="J11089" s="24"/>
      <c r="K11089" s="24"/>
      <c r="L11089" s="24"/>
      <c r="M11089" s="24"/>
      <c r="N11089" s="24"/>
      <c r="O11089" s="24"/>
      <c r="P11089" s="24"/>
      <c r="Q11089" s="24"/>
      <c r="R11089" s="24"/>
      <c r="S11089" s="24"/>
      <c r="T11089" s="24"/>
      <c r="U11089" s="24"/>
      <c r="V11089" s="24"/>
      <c r="W11089" s="24"/>
      <c r="X11089" s="24"/>
      <c r="Y11089" s="24"/>
      <c r="Z11089" s="24"/>
      <c r="AA11089" s="24"/>
    </row>
    <row r="11090">
      <c r="A11090" s="24"/>
      <c r="B11090" s="25"/>
      <c r="C11090" s="24"/>
      <c r="D11090" s="26"/>
      <c r="E11090" s="24"/>
      <c r="F11090" s="24"/>
      <c r="G11090" s="24"/>
      <c r="H11090" s="24"/>
      <c r="I11090" s="24"/>
      <c r="J11090" s="24"/>
      <c r="K11090" s="24"/>
      <c r="L11090" s="24"/>
      <c r="M11090" s="24"/>
      <c r="N11090" s="24"/>
      <c r="O11090" s="24"/>
      <c r="P11090" s="24"/>
      <c r="Q11090" s="24"/>
      <c r="R11090" s="24"/>
      <c r="S11090" s="24"/>
      <c r="T11090" s="24"/>
      <c r="U11090" s="24"/>
      <c r="V11090" s="24"/>
      <c r="W11090" s="24"/>
      <c r="X11090" s="24"/>
      <c r="Y11090" s="24"/>
      <c r="Z11090" s="24"/>
      <c r="AA11090" s="24"/>
    </row>
    <row r="11091">
      <c r="A11091" s="24"/>
      <c r="B11091" s="25"/>
      <c r="C11091" s="24"/>
      <c r="D11091" s="26"/>
      <c r="E11091" s="24"/>
      <c r="F11091" s="24"/>
      <c r="G11091" s="24"/>
      <c r="H11091" s="24"/>
      <c r="I11091" s="24"/>
      <c r="J11091" s="24"/>
      <c r="K11091" s="24"/>
      <c r="L11091" s="24"/>
      <c r="M11091" s="24"/>
      <c r="N11091" s="24"/>
      <c r="O11091" s="24"/>
      <c r="P11091" s="24"/>
      <c r="Q11091" s="24"/>
      <c r="R11091" s="24"/>
      <c r="S11091" s="24"/>
      <c r="T11091" s="24"/>
      <c r="U11091" s="24"/>
      <c r="V11091" s="24"/>
      <c r="W11091" s="24"/>
      <c r="X11091" s="24"/>
      <c r="Y11091" s="24"/>
      <c r="Z11091" s="24"/>
      <c r="AA11091" s="24"/>
    </row>
    <row r="11092">
      <c r="A11092" s="24"/>
      <c r="B11092" s="25"/>
      <c r="C11092" s="24"/>
      <c r="D11092" s="26"/>
      <c r="E11092" s="24"/>
      <c r="F11092" s="24"/>
      <c r="G11092" s="24"/>
      <c r="H11092" s="24"/>
      <c r="I11092" s="24"/>
      <c r="J11092" s="24"/>
      <c r="K11092" s="24"/>
      <c r="L11092" s="24"/>
      <c r="M11092" s="24"/>
      <c r="N11092" s="24"/>
      <c r="O11092" s="24"/>
      <c r="P11092" s="24"/>
      <c r="Q11092" s="24"/>
      <c r="R11092" s="24"/>
      <c r="S11092" s="24"/>
      <c r="T11092" s="24"/>
      <c r="U11092" s="24"/>
      <c r="V11092" s="24"/>
      <c r="W11092" s="24"/>
      <c r="X11092" s="24"/>
      <c r="Y11092" s="24"/>
      <c r="Z11092" s="24"/>
      <c r="AA11092" s="24"/>
    </row>
    <row r="11093">
      <c r="A11093" s="24"/>
      <c r="B11093" s="25"/>
      <c r="C11093" s="24"/>
      <c r="D11093" s="26"/>
      <c r="E11093" s="24"/>
      <c r="F11093" s="24"/>
      <c r="G11093" s="24"/>
      <c r="H11093" s="24"/>
      <c r="I11093" s="24"/>
      <c r="J11093" s="24"/>
      <c r="K11093" s="24"/>
      <c r="L11093" s="24"/>
      <c r="M11093" s="24"/>
      <c r="N11093" s="24"/>
      <c r="O11093" s="24"/>
      <c r="P11093" s="24"/>
      <c r="Q11093" s="24"/>
      <c r="R11093" s="24"/>
      <c r="S11093" s="24"/>
      <c r="T11093" s="24"/>
      <c r="U11093" s="24"/>
      <c r="V11093" s="24"/>
      <c r="W11093" s="24"/>
      <c r="X11093" s="24"/>
      <c r="Y11093" s="24"/>
      <c r="Z11093" s="24"/>
      <c r="AA11093" s="24"/>
    </row>
    <row r="11094">
      <c r="A11094" s="24"/>
      <c r="B11094" s="25"/>
      <c r="C11094" s="24"/>
      <c r="D11094" s="26"/>
      <c r="E11094" s="24"/>
      <c r="F11094" s="24"/>
      <c r="G11094" s="24"/>
      <c r="H11094" s="24"/>
      <c r="I11094" s="24"/>
      <c r="J11094" s="24"/>
      <c r="K11094" s="24"/>
      <c r="L11094" s="24"/>
      <c r="M11094" s="24"/>
      <c r="N11094" s="24"/>
      <c r="O11094" s="24"/>
      <c r="P11094" s="24"/>
      <c r="Q11094" s="24"/>
      <c r="R11094" s="24"/>
      <c r="S11094" s="24"/>
      <c r="T11094" s="24"/>
      <c r="U11094" s="24"/>
      <c r="V11094" s="24"/>
      <c r="W11094" s="24"/>
      <c r="X11094" s="24"/>
      <c r="Y11094" s="24"/>
      <c r="Z11094" s="24"/>
      <c r="AA11094" s="24"/>
    </row>
    <row r="11095">
      <c r="A11095" s="24"/>
      <c r="B11095" s="25"/>
      <c r="C11095" s="24"/>
      <c r="D11095" s="26"/>
      <c r="E11095" s="24"/>
      <c r="F11095" s="24"/>
      <c r="G11095" s="24"/>
      <c r="H11095" s="24"/>
      <c r="I11095" s="24"/>
      <c r="J11095" s="24"/>
      <c r="K11095" s="24"/>
      <c r="L11095" s="24"/>
      <c r="M11095" s="24"/>
      <c r="N11095" s="24"/>
      <c r="O11095" s="24"/>
      <c r="P11095" s="24"/>
      <c r="Q11095" s="24"/>
      <c r="R11095" s="24"/>
      <c r="S11095" s="24"/>
      <c r="T11095" s="24"/>
      <c r="U11095" s="24"/>
      <c r="V11095" s="24"/>
      <c r="W11095" s="24"/>
      <c r="X11095" s="24"/>
      <c r="Y11095" s="24"/>
      <c r="Z11095" s="24"/>
      <c r="AA11095" s="24"/>
    </row>
    <row r="11096">
      <c r="A11096" s="24"/>
      <c r="B11096" s="25"/>
      <c r="C11096" s="24"/>
      <c r="D11096" s="26"/>
      <c r="E11096" s="24"/>
      <c r="F11096" s="24"/>
      <c r="G11096" s="24"/>
      <c r="H11096" s="24"/>
      <c r="I11096" s="24"/>
      <c r="J11096" s="24"/>
      <c r="K11096" s="24"/>
      <c r="L11096" s="24"/>
      <c r="M11096" s="24"/>
      <c r="N11096" s="24"/>
      <c r="O11096" s="24"/>
      <c r="P11096" s="24"/>
      <c r="Q11096" s="24"/>
      <c r="R11096" s="24"/>
      <c r="S11096" s="24"/>
      <c r="T11096" s="24"/>
      <c r="U11096" s="24"/>
      <c r="V11096" s="24"/>
      <c r="W11096" s="24"/>
      <c r="X11096" s="24"/>
      <c r="Y11096" s="24"/>
      <c r="Z11096" s="24"/>
      <c r="AA11096" s="24"/>
    </row>
    <row r="11097">
      <c r="A11097" s="24"/>
      <c r="B11097" s="25"/>
      <c r="C11097" s="24"/>
      <c r="D11097" s="26"/>
      <c r="E11097" s="24"/>
      <c r="F11097" s="24"/>
      <c r="G11097" s="24"/>
      <c r="H11097" s="24"/>
      <c r="I11097" s="24"/>
      <c r="J11097" s="24"/>
      <c r="K11097" s="24"/>
      <c r="L11097" s="24"/>
      <c r="M11097" s="24"/>
      <c r="N11097" s="24"/>
      <c r="O11097" s="24"/>
      <c r="P11097" s="24"/>
      <c r="Q11097" s="24"/>
      <c r="R11097" s="24"/>
      <c r="S11097" s="24"/>
      <c r="T11097" s="24"/>
      <c r="U11097" s="24"/>
      <c r="V11097" s="24"/>
      <c r="W11097" s="24"/>
      <c r="X11097" s="24"/>
      <c r="Y11097" s="24"/>
      <c r="Z11097" s="24"/>
      <c r="AA11097" s="24"/>
    </row>
    <row r="11098">
      <c r="A11098" s="24"/>
      <c r="B11098" s="25"/>
      <c r="C11098" s="24"/>
      <c r="D11098" s="26"/>
      <c r="E11098" s="24"/>
      <c r="F11098" s="24"/>
      <c r="G11098" s="24"/>
      <c r="H11098" s="24"/>
      <c r="I11098" s="24"/>
      <c r="J11098" s="24"/>
      <c r="K11098" s="24"/>
      <c r="L11098" s="24"/>
      <c r="M11098" s="24"/>
      <c r="N11098" s="24"/>
      <c r="O11098" s="24"/>
      <c r="P11098" s="24"/>
      <c r="Q11098" s="24"/>
      <c r="R11098" s="24"/>
      <c r="S11098" s="24"/>
      <c r="T11098" s="24"/>
      <c r="U11098" s="24"/>
      <c r="V11098" s="24"/>
      <c r="W11098" s="24"/>
      <c r="X11098" s="24"/>
      <c r="Y11098" s="24"/>
      <c r="Z11098" s="24"/>
      <c r="AA11098" s="24"/>
    </row>
    <row r="11099">
      <c r="A11099" s="24"/>
      <c r="B11099" s="25"/>
      <c r="C11099" s="24"/>
      <c r="D11099" s="26"/>
      <c r="E11099" s="24"/>
      <c r="F11099" s="24"/>
      <c r="G11099" s="24"/>
      <c r="H11099" s="24"/>
      <c r="I11099" s="24"/>
      <c r="J11099" s="24"/>
      <c r="K11099" s="24"/>
      <c r="L11099" s="24"/>
      <c r="M11099" s="24"/>
      <c r="N11099" s="24"/>
      <c r="O11099" s="24"/>
      <c r="P11099" s="24"/>
      <c r="Q11099" s="24"/>
      <c r="R11099" s="24"/>
      <c r="S11099" s="24"/>
      <c r="T11099" s="24"/>
      <c r="U11099" s="24"/>
      <c r="V11099" s="24"/>
      <c r="W11099" s="24"/>
      <c r="X11099" s="24"/>
      <c r="Y11099" s="24"/>
      <c r="Z11099" s="24"/>
      <c r="AA11099" s="24"/>
    </row>
    <row r="11100">
      <c r="A11100" s="24"/>
      <c r="B11100" s="25"/>
      <c r="C11100" s="24"/>
      <c r="D11100" s="26"/>
      <c r="E11100" s="24"/>
      <c r="F11100" s="24"/>
      <c r="G11100" s="24"/>
      <c r="H11100" s="24"/>
      <c r="I11100" s="24"/>
      <c r="J11100" s="24"/>
      <c r="K11100" s="24"/>
      <c r="L11100" s="24"/>
      <c r="M11100" s="24"/>
      <c r="N11100" s="24"/>
      <c r="O11100" s="24"/>
      <c r="P11100" s="24"/>
      <c r="Q11100" s="24"/>
      <c r="R11100" s="24"/>
      <c r="S11100" s="24"/>
      <c r="T11100" s="24"/>
      <c r="U11100" s="24"/>
      <c r="V11100" s="24"/>
      <c r="W11100" s="24"/>
      <c r="X11100" s="24"/>
      <c r="Y11100" s="24"/>
      <c r="Z11100" s="24"/>
      <c r="AA11100" s="24"/>
    </row>
    <row r="11101">
      <c r="A11101" s="24"/>
      <c r="B11101" s="25"/>
      <c r="C11101" s="24"/>
      <c r="D11101" s="26"/>
      <c r="E11101" s="24"/>
      <c r="F11101" s="24"/>
      <c r="G11101" s="24"/>
      <c r="H11101" s="24"/>
      <c r="I11101" s="24"/>
      <c r="J11101" s="24"/>
      <c r="K11101" s="24"/>
      <c r="L11101" s="24"/>
      <c r="M11101" s="24"/>
      <c r="N11101" s="24"/>
      <c r="O11101" s="24"/>
      <c r="P11101" s="24"/>
      <c r="Q11101" s="24"/>
      <c r="R11101" s="24"/>
      <c r="S11101" s="24"/>
      <c r="T11101" s="24"/>
      <c r="U11101" s="24"/>
      <c r="V11101" s="24"/>
      <c r="W11101" s="24"/>
      <c r="X11101" s="24"/>
      <c r="Y11101" s="24"/>
      <c r="Z11101" s="24"/>
      <c r="AA11101" s="24"/>
    </row>
    <row r="11102">
      <c r="A11102" s="24"/>
      <c r="B11102" s="25"/>
      <c r="C11102" s="24"/>
      <c r="D11102" s="26"/>
      <c r="E11102" s="24"/>
      <c r="F11102" s="24"/>
      <c r="G11102" s="24"/>
      <c r="H11102" s="24"/>
      <c r="I11102" s="24"/>
      <c r="J11102" s="24"/>
      <c r="K11102" s="24"/>
      <c r="L11102" s="24"/>
      <c r="M11102" s="24"/>
      <c r="N11102" s="24"/>
      <c r="O11102" s="24"/>
      <c r="P11102" s="24"/>
      <c r="Q11102" s="24"/>
      <c r="R11102" s="24"/>
      <c r="S11102" s="24"/>
      <c r="T11102" s="24"/>
      <c r="U11102" s="24"/>
      <c r="V11102" s="24"/>
      <c r="W11102" s="24"/>
      <c r="X11102" s="24"/>
      <c r="Y11102" s="24"/>
      <c r="Z11102" s="24"/>
      <c r="AA11102" s="24"/>
    </row>
    <row r="11103">
      <c r="A11103" s="24"/>
      <c r="B11103" s="25"/>
      <c r="C11103" s="24"/>
      <c r="D11103" s="26"/>
      <c r="E11103" s="24"/>
      <c r="F11103" s="24"/>
      <c r="G11103" s="24"/>
      <c r="H11103" s="24"/>
      <c r="I11103" s="24"/>
      <c r="J11103" s="24"/>
      <c r="K11103" s="24"/>
      <c r="L11103" s="24"/>
      <c r="M11103" s="24"/>
      <c r="N11103" s="24"/>
      <c r="O11103" s="24"/>
      <c r="P11103" s="24"/>
      <c r="Q11103" s="24"/>
      <c r="R11103" s="24"/>
      <c r="S11103" s="24"/>
      <c r="T11103" s="24"/>
      <c r="U11103" s="24"/>
      <c r="V11103" s="24"/>
      <c r="W11103" s="24"/>
      <c r="X11103" s="24"/>
      <c r="Y11103" s="24"/>
      <c r="Z11103" s="24"/>
      <c r="AA11103" s="24"/>
    </row>
    <row r="11104">
      <c r="A11104" s="24"/>
      <c r="B11104" s="25"/>
      <c r="C11104" s="24"/>
      <c r="D11104" s="26"/>
      <c r="E11104" s="24"/>
      <c r="F11104" s="24"/>
      <c r="G11104" s="24"/>
      <c r="H11104" s="24"/>
      <c r="I11104" s="24"/>
      <c r="J11104" s="24"/>
      <c r="K11104" s="24"/>
      <c r="L11104" s="24"/>
      <c r="M11104" s="24"/>
      <c r="N11104" s="24"/>
      <c r="O11104" s="24"/>
      <c r="P11104" s="24"/>
      <c r="Q11104" s="24"/>
      <c r="R11104" s="24"/>
      <c r="S11104" s="24"/>
      <c r="T11104" s="24"/>
      <c r="U11104" s="24"/>
      <c r="V11104" s="24"/>
      <c r="W11104" s="24"/>
      <c r="X11104" s="24"/>
      <c r="Y11104" s="24"/>
      <c r="Z11104" s="24"/>
      <c r="AA11104" s="24"/>
    </row>
    <row r="11105">
      <c r="A11105" s="24"/>
      <c r="B11105" s="25"/>
      <c r="C11105" s="24"/>
      <c r="D11105" s="26"/>
      <c r="E11105" s="24"/>
      <c r="F11105" s="24"/>
      <c r="G11105" s="24"/>
      <c r="H11105" s="24"/>
      <c r="I11105" s="24"/>
      <c r="J11105" s="24"/>
      <c r="K11105" s="24"/>
      <c r="L11105" s="24"/>
      <c r="M11105" s="24"/>
      <c r="N11105" s="24"/>
      <c r="O11105" s="24"/>
      <c r="P11105" s="24"/>
      <c r="Q11105" s="24"/>
      <c r="R11105" s="24"/>
      <c r="S11105" s="24"/>
      <c r="T11105" s="24"/>
      <c r="U11105" s="24"/>
      <c r="V11105" s="24"/>
      <c r="W11105" s="24"/>
      <c r="X11105" s="24"/>
      <c r="Y11105" s="24"/>
      <c r="Z11105" s="24"/>
      <c r="AA11105" s="24"/>
    </row>
    <row r="11106">
      <c r="A11106" s="24"/>
      <c r="B11106" s="25"/>
      <c r="C11106" s="24"/>
      <c r="D11106" s="26"/>
      <c r="E11106" s="24"/>
      <c r="F11106" s="24"/>
      <c r="G11106" s="24"/>
      <c r="H11106" s="24"/>
      <c r="I11106" s="24"/>
      <c r="J11106" s="24"/>
      <c r="K11106" s="24"/>
      <c r="L11106" s="24"/>
      <c r="M11106" s="24"/>
      <c r="N11106" s="24"/>
      <c r="O11106" s="24"/>
      <c r="P11106" s="24"/>
      <c r="Q11106" s="24"/>
      <c r="R11106" s="24"/>
      <c r="S11106" s="24"/>
      <c r="T11106" s="24"/>
      <c r="U11106" s="24"/>
      <c r="V11106" s="24"/>
      <c r="W11106" s="24"/>
      <c r="X11106" s="24"/>
      <c r="Y11106" s="24"/>
      <c r="Z11106" s="24"/>
      <c r="AA11106" s="24"/>
    </row>
    <row r="11107">
      <c r="A11107" s="24"/>
      <c r="B11107" s="25"/>
      <c r="C11107" s="24"/>
      <c r="D11107" s="26"/>
      <c r="E11107" s="24"/>
      <c r="F11107" s="24"/>
      <c r="G11107" s="24"/>
      <c r="H11107" s="24"/>
      <c r="I11107" s="24"/>
      <c r="J11107" s="24"/>
      <c r="K11107" s="24"/>
      <c r="L11107" s="24"/>
      <c r="M11107" s="24"/>
      <c r="N11107" s="24"/>
      <c r="O11107" s="24"/>
      <c r="P11107" s="24"/>
      <c r="Q11107" s="24"/>
      <c r="R11107" s="24"/>
      <c r="S11107" s="24"/>
      <c r="T11107" s="24"/>
      <c r="U11107" s="24"/>
      <c r="V11107" s="24"/>
      <c r="W11107" s="24"/>
      <c r="X11107" s="24"/>
      <c r="Y11107" s="24"/>
      <c r="Z11107" s="24"/>
      <c r="AA11107" s="24"/>
    </row>
    <row r="11108">
      <c r="A11108" s="24"/>
      <c r="B11108" s="25"/>
      <c r="C11108" s="24"/>
      <c r="D11108" s="26"/>
      <c r="E11108" s="24"/>
      <c r="F11108" s="24"/>
      <c r="G11108" s="24"/>
      <c r="H11108" s="24"/>
      <c r="I11108" s="24"/>
      <c r="J11108" s="24"/>
      <c r="K11108" s="24"/>
      <c r="L11108" s="24"/>
      <c r="M11108" s="24"/>
      <c r="N11108" s="24"/>
      <c r="O11108" s="24"/>
      <c r="P11108" s="24"/>
      <c r="Q11108" s="24"/>
      <c r="R11108" s="24"/>
      <c r="S11108" s="24"/>
      <c r="T11108" s="24"/>
      <c r="U11108" s="24"/>
      <c r="V11108" s="24"/>
      <c r="W11108" s="24"/>
      <c r="X11108" s="24"/>
      <c r="Y11108" s="24"/>
      <c r="Z11108" s="24"/>
      <c r="AA11108" s="24"/>
    </row>
    <row r="11109">
      <c r="A11109" s="24"/>
      <c r="B11109" s="25"/>
      <c r="C11109" s="24"/>
      <c r="D11109" s="26"/>
      <c r="E11109" s="24"/>
      <c r="F11109" s="24"/>
      <c r="G11109" s="24"/>
      <c r="H11109" s="24"/>
      <c r="I11109" s="24"/>
      <c r="J11109" s="24"/>
      <c r="K11109" s="24"/>
      <c r="L11109" s="24"/>
      <c r="M11109" s="24"/>
      <c r="N11109" s="24"/>
      <c r="O11109" s="24"/>
      <c r="P11109" s="24"/>
      <c r="Q11109" s="24"/>
      <c r="R11109" s="24"/>
      <c r="S11109" s="24"/>
      <c r="T11109" s="24"/>
      <c r="U11109" s="24"/>
      <c r="V11109" s="24"/>
      <c r="W11109" s="24"/>
      <c r="X11109" s="24"/>
      <c r="Y11109" s="24"/>
      <c r="Z11109" s="24"/>
      <c r="AA11109" s="24"/>
    </row>
    <row r="11110">
      <c r="A11110" s="24"/>
      <c r="B11110" s="25"/>
      <c r="C11110" s="24"/>
      <c r="D11110" s="26"/>
      <c r="E11110" s="24"/>
      <c r="F11110" s="24"/>
      <c r="G11110" s="24"/>
      <c r="H11110" s="24"/>
      <c r="I11110" s="24"/>
      <c r="J11110" s="24"/>
      <c r="K11110" s="24"/>
      <c r="L11110" s="24"/>
      <c r="M11110" s="24"/>
      <c r="N11110" s="24"/>
      <c r="O11110" s="24"/>
      <c r="P11110" s="24"/>
      <c r="Q11110" s="24"/>
      <c r="R11110" s="24"/>
      <c r="S11110" s="24"/>
      <c r="T11110" s="24"/>
      <c r="U11110" s="24"/>
      <c r="V11110" s="24"/>
      <c r="W11110" s="24"/>
      <c r="X11110" s="24"/>
      <c r="Y11110" s="24"/>
      <c r="Z11110" s="24"/>
      <c r="AA11110" s="24"/>
    </row>
    <row r="11111">
      <c r="A11111" s="24"/>
      <c r="B11111" s="25"/>
      <c r="C11111" s="24"/>
      <c r="D11111" s="26"/>
      <c r="E11111" s="24"/>
      <c r="F11111" s="24"/>
      <c r="G11111" s="24"/>
      <c r="H11111" s="24"/>
      <c r="I11111" s="24"/>
      <c r="J11111" s="24"/>
      <c r="K11111" s="24"/>
      <c r="L11111" s="24"/>
      <c r="M11111" s="24"/>
      <c r="N11111" s="24"/>
      <c r="O11111" s="24"/>
      <c r="P11111" s="24"/>
      <c r="Q11111" s="24"/>
      <c r="R11111" s="24"/>
      <c r="S11111" s="24"/>
      <c r="T11111" s="24"/>
      <c r="U11111" s="24"/>
      <c r="V11111" s="24"/>
      <c r="W11111" s="24"/>
      <c r="X11111" s="24"/>
      <c r="Y11111" s="24"/>
      <c r="Z11111" s="24"/>
      <c r="AA11111" s="24"/>
    </row>
    <row r="11112">
      <c r="A11112" s="24"/>
      <c r="B11112" s="25"/>
      <c r="C11112" s="24"/>
      <c r="D11112" s="26"/>
      <c r="E11112" s="24"/>
      <c r="F11112" s="24"/>
      <c r="G11112" s="24"/>
      <c r="H11112" s="24"/>
      <c r="I11112" s="24"/>
      <c r="J11112" s="24"/>
      <c r="K11112" s="24"/>
      <c r="L11112" s="24"/>
      <c r="M11112" s="24"/>
      <c r="N11112" s="24"/>
      <c r="O11112" s="24"/>
      <c r="P11112" s="24"/>
      <c r="Q11112" s="24"/>
      <c r="R11112" s="24"/>
      <c r="S11112" s="24"/>
      <c r="T11112" s="24"/>
      <c r="U11112" s="24"/>
      <c r="V11112" s="24"/>
      <c r="W11112" s="24"/>
      <c r="X11112" s="24"/>
      <c r="Y11112" s="24"/>
      <c r="Z11112" s="24"/>
      <c r="AA11112" s="24"/>
    </row>
    <row r="11113">
      <c r="A11113" s="24"/>
      <c r="B11113" s="25"/>
      <c r="C11113" s="24"/>
      <c r="D11113" s="26"/>
      <c r="E11113" s="24"/>
      <c r="F11113" s="24"/>
      <c r="G11113" s="24"/>
      <c r="H11113" s="24"/>
      <c r="I11113" s="24"/>
      <c r="J11113" s="24"/>
      <c r="K11113" s="24"/>
      <c r="L11113" s="24"/>
      <c r="M11113" s="24"/>
      <c r="N11113" s="24"/>
      <c r="O11113" s="24"/>
      <c r="P11113" s="24"/>
      <c r="Q11113" s="24"/>
      <c r="R11113" s="24"/>
      <c r="S11113" s="24"/>
      <c r="T11113" s="24"/>
      <c r="U11113" s="24"/>
      <c r="V11113" s="24"/>
      <c r="W11113" s="24"/>
      <c r="X11113" s="24"/>
      <c r="Y11113" s="24"/>
      <c r="Z11113" s="24"/>
      <c r="AA11113" s="24"/>
    </row>
    <row r="11114">
      <c r="A11114" s="24"/>
      <c r="B11114" s="25"/>
      <c r="C11114" s="24"/>
      <c r="D11114" s="26"/>
      <c r="E11114" s="24"/>
      <c r="F11114" s="24"/>
      <c r="G11114" s="24"/>
      <c r="H11114" s="24"/>
      <c r="I11114" s="24"/>
      <c r="J11114" s="24"/>
      <c r="K11114" s="24"/>
      <c r="L11114" s="24"/>
      <c r="M11114" s="24"/>
      <c r="N11114" s="24"/>
      <c r="O11114" s="24"/>
      <c r="P11114" s="24"/>
      <c r="Q11114" s="24"/>
      <c r="R11114" s="24"/>
      <c r="S11114" s="24"/>
      <c r="T11114" s="24"/>
      <c r="U11114" s="24"/>
      <c r="V11114" s="24"/>
      <c r="W11114" s="24"/>
      <c r="X11114" s="24"/>
      <c r="Y11114" s="24"/>
      <c r="Z11114" s="24"/>
      <c r="AA11114" s="24"/>
    </row>
    <row r="11115">
      <c r="A11115" s="24"/>
      <c r="B11115" s="25"/>
      <c r="C11115" s="24"/>
      <c r="D11115" s="26"/>
      <c r="E11115" s="24"/>
      <c r="F11115" s="24"/>
      <c r="G11115" s="24"/>
      <c r="H11115" s="24"/>
      <c r="I11115" s="24"/>
      <c r="J11115" s="24"/>
      <c r="K11115" s="24"/>
      <c r="L11115" s="24"/>
      <c r="M11115" s="24"/>
      <c r="N11115" s="24"/>
      <c r="O11115" s="24"/>
      <c r="P11115" s="24"/>
      <c r="Q11115" s="24"/>
      <c r="R11115" s="24"/>
      <c r="S11115" s="24"/>
      <c r="T11115" s="24"/>
      <c r="U11115" s="24"/>
      <c r="V11115" s="24"/>
      <c r="W11115" s="24"/>
      <c r="X11115" s="24"/>
      <c r="Y11115" s="24"/>
      <c r="Z11115" s="24"/>
      <c r="AA11115" s="24"/>
    </row>
    <row r="11116">
      <c r="A11116" s="24"/>
      <c r="B11116" s="25"/>
      <c r="C11116" s="24"/>
      <c r="D11116" s="26"/>
      <c r="E11116" s="24"/>
      <c r="F11116" s="24"/>
      <c r="G11116" s="24"/>
      <c r="H11116" s="24"/>
      <c r="I11116" s="24"/>
      <c r="J11116" s="24"/>
      <c r="K11116" s="24"/>
      <c r="L11116" s="24"/>
      <c r="M11116" s="24"/>
      <c r="N11116" s="24"/>
      <c r="O11116" s="24"/>
      <c r="P11116" s="24"/>
      <c r="Q11116" s="24"/>
      <c r="R11116" s="24"/>
      <c r="S11116" s="24"/>
      <c r="T11116" s="24"/>
      <c r="U11116" s="24"/>
      <c r="V11116" s="24"/>
      <c r="W11116" s="24"/>
      <c r="X11116" s="24"/>
      <c r="Y11116" s="24"/>
      <c r="Z11116" s="24"/>
      <c r="AA11116" s="24"/>
    </row>
    <row r="11117">
      <c r="A11117" s="24"/>
      <c r="B11117" s="25"/>
      <c r="C11117" s="24"/>
      <c r="D11117" s="26"/>
      <c r="E11117" s="24"/>
      <c r="F11117" s="24"/>
      <c r="G11117" s="24"/>
      <c r="H11117" s="24"/>
      <c r="I11117" s="24"/>
      <c r="J11117" s="24"/>
      <c r="K11117" s="24"/>
      <c r="L11117" s="24"/>
      <c r="M11117" s="24"/>
      <c r="N11117" s="24"/>
      <c r="O11117" s="24"/>
      <c r="P11117" s="24"/>
      <c r="Q11117" s="24"/>
      <c r="R11117" s="24"/>
      <c r="S11117" s="24"/>
      <c r="T11117" s="24"/>
      <c r="U11117" s="24"/>
      <c r="V11117" s="24"/>
      <c r="W11117" s="24"/>
      <c r="X11117" s="24"/>
      <c r="Y11117" s="24"/>
      <c r="Z11117" s="24"/>
      <c r="AA11117" s="24"/>
    </row>
    <row r="11118">
      <c r="A11118" s="24"/>
      <c r="B11118" s="25"/>
      <c r="C11118" s="24"/>
      <c r="D11118" s="26"/>
      <c r="E11118" s="24"/>
      <c r="F11118" s="24"/>
      <c r="G11118" s="24"/>
      <c r="H11118" s="24"/>
      <c r="I11118" s="24"/>
      <c r="J11118" s="24"/>
      <c r="K11118" s="24"/>
      <c r="L11118" s="24"/>
      <c r="M11118" s="24"/>
      <c r="N11118" s="24"/>
      <c r="O11118" s="24"/>
      <c r="P11118" s="24"/>
      <c r="Q11118" s="24"/>
      <c r="R11118" s="24"/>
      <c r="S11118" s="24"/>
      <c r="T11118" s="24"/>
      <c r="U11118" s="24"/>
      <c r="V11118" s="24"/>
      <c r="W11118" s="24"/>
      <c r="X11118" s="24"/>
      <c r="Y11118" s="24"/>
      <c r="Z11118" s="24"/>
      <c r="AA11118" s="24"/>
    </row>
    <row r="11119">
      <c r="A11119" s="24"/>
      <c r="B11119" s="25"/>
      <c r="C11119" s="24"/>
      <c r="D11119" s="26"/>
      <c r="E11119" s="24"/>
      <c r="F11119" s="24"/>
      <c r="G11119" s="24"/>
      <c r="H11119" s="24"/>
      <c r="I11119" s="24"/>
      <c r="J11119" s="24"/>
      <c r="K11119" s="24"/>
      <c r="L11119" s="24"/>
      <c r="M11119" s="24"/>
      <c r="N11119" s="24"/>
      <c r="O11119" s="24"/>
      <c r="P11119" s="24"/>
      <c r="Q11119" s="24"/>
      <c r="R11119" s="24"/>
      <c r="S11119" s="24"/>
      <c r="T11119" s="24"/>
      <c r="U11119" s="24"/>
      <c r="V11119" s="24"/>
      <c r="W11119" s="24"/>
      <c r="X11119" s="24"/>
      <c r="Y11119" s="24"/>
      <c r="Z11119" s="24"/>
      <c r="AA11119" s="24"/>
    </row>
    <row r="11120">
      <c r="A11120" s="24"/>
      <c r="B11120" s="25"/>
      <c r="C11120" s="24"/>
      <c r="D11120" s="26"/>
      <c r="E11120" s="24"/>
      <c r="F11120" s="24"/>
      <c r="G11120" s="24"/>
      <c r="H11120" s="24"/>
      <c r="I11120" s="24"/>
      <c r="J11120" s="24"/>
      <c r="K11120" s="24"/>
      <c r="L11120" s="24"/>
      <c r="M11120" s="24"/>
      <c r="N11120" s="24"/>
      <c r="O11120" s="24"/>
      <c r="P11120" s="24"/>
      <c r="Q11120" s="24"/>
      <c r="R11120" s="24"/>
      <c r="S11120" s="24"/>
      <c r="T11120" s="24"/>
      <c r="U11120" s="24"/>
      <c r="V11120" s="24"/>
      <c r="W11120" s="24"/>
      <c r="X11120" s="24"/>
      <c r="Y11120" s="24"/>
      <c r="Z11120" s="24"/>
      <c r="AA11120" s="24"/>
    </row>
    <row r="11121">
      <c r="A11121" s="24"/>
      <c r="B11121" s="25"/>
      <c r="C11121" s="24"/>
      <c r="D11121" s="26"/>
      <c r="E11121" s="24"/>
      <c r="F11121" s="24"/>
      <c r="G11121" s="24"/>
      <c r="H11121" s="24"/>
      <c r="I11121" s="24"/>
      <c r="J11121" s="24"/>
      <c r="K11121" s="24"/>
      <c r="L11121" s="24"/>
      <c r="M11121" s="24"/>
      <c r="N11121" s="24"/>
      <c r="O11121" s="24"/>
      <c r="P11121" s="24"/>
      <c r="Q11121" s="24"/>
      <c r="R11121" s="24"/>
      <c r="S11121" s="24"/>
      <c r="T11121" s="24"/>
      <c r="U11121" s="24"/>
      <c r="V11121" s="24"/>
      <c r="W11121" s="24"/>
      <c r="X11121" s="24"/>
      <c r="Y11121" s="24"/>
      <c r="Z11121" s="24"/>
      <c r="AA11121" s="24"/>
    </row>
    <row r="11122">
      <c r="A11122" s="24"/>
      <c r="B11122" s="25"/>
      <c r="C11122" s="24"/>
      <c r="D11122" s="26"/>
      <c r="E11122" s="24"/>
      <c r="F11122" s="24"/>
      <c r="G11122" s="24"/>
      <c r="H11122" s="24"/>
      <c r="I11122" s="24"/>
      <c r="J11122" s="24"/>
      <c r="K11122" s="24"/>
      <c r="L11122" s="24"/>
      <c r="M11122" s="24"/>
      <c r="N11122" s="24"/>
      <c r="O11122" s="24"/>
      <c r="P11122" s="24"/>
      <c r="Q11122" s="24"/>
      <c r="R11122" s="24"/>
      <c r="S11122" s="24"/>
      <c r="T11122" s="24"/>
      <c r="U11122" s="24"/>
      <c r="V11122" s="24"/>
      <c r="W11122" s="24"/>
      <c r="X11122" s="24"/>
      <c r="Y11122" s="24"/>
      <c r="Z11122" s="24"/>
      <c r="AA11122" s="24"/>
    </row>
    <row r="11123">
      <c r="A11123" s="24"/>
      <c r="B11123" s="25"/>
      <c r="C11123" s="24"/>
      <c r="D11123" s="26"/>
      <c r="E11123" s="24"/>
      <c r="F11123" s="24"/>
      <c r="G11123" s="24"/>
      <c r="H11123" s="24"/>
      <c r="I11123" s="24"/>
      <c r="J11123" s="24"/>
      <c r="K11123" s="24"/>
      <c r="L11123" s="24"/>
      <c r="M11123" s="24"/>
      <c r="N11123" s="24"/>
      <c r="O11123" s="24"/>
      <c r="P11123" s="24"/>
      <c r="Q11123" s="24"/>
      <c r="R11123" s="24"/>
      <c r="S11123" s="24"/>
      <c r="T11123" s="24"/>
      <c r="U11123" s="24"/>
      <c r="V11123" s="24"/>
      <c r="W11123" s="24"/>
      <c r="X11123" s="24"/>
      <c r="Y11123" s="24"/>
      <c r="Z11123" s="24"/>
      <c r="AA11123" s="24"/>
    </row>
    <row r="11124">
      <c r="A11124" s="24"/>
      <c r="B11124" s="25"/>
      <c r="C11124" s="24"/>
      <c r="D11124" s="26"/>
      <c r="E11124" s="24"/>
      <c r="F11124" s="24"/>
      <c r="G11124" s="24"/>
      <c r="H11124" s="24"/>
      <c r="I11124" s="24"/>
      <c r="J11124" s="24"/>
      <c r="K11124" s="24"/>
      <c r="L11124" s="24"/>
      <c r="M11124" s="24"/>
      <c r="N11124" s="24"/>
      <c r="O11124" s="24"/>
      <c r="P11124" s="24"/>
      <c r="Q11124" s="24"/>
      <c r="R11124" s="24"/>
      <c r="S11124" s="24"/>
      <c r="T11124" s="24"/>
      <c r="U11124" s="24"/>
      <c r="V11124" s="24"/>
      <c r="W11124" s="24"/>
      <c r="X11124" s="24"/>
      <c r="Y11124" s="24"/>
      <c r="Z11124" s="24"/>
      <c r="AA11124" s="24"/>
    </row>
    <row r="11125">
      <c r="A11125" s="24"/>
      <c r="B11125" s="25"/>
      <c r="C11125" s="24"/>
      <c r="D11125" s="26"/>
      <c r="E11125" s="24"/>
      <c r="F11125" s="24"/>
      <c r="G11125" s="24"/>
      <c r="H11125" s="24"/>
      <c r="I11125" s="24"/>
      <c r="J11125" s="24"/>
      <c r="K11125" s="24"/>
      <c r="L11125" s="24"/>
      <c r="M11125" s="24"/>
      <c r="N11125" s="24"/>
      <c r="O11125" s="24"/>
      <c r="P11125" s="24"/>
      <c r="Q11125" s="24"/>
      <c r="R11125" s="24"/>
      <c r="S11125" s="24"/>
      <c r="T11125" s="24"/>
      <c r="U11125" s="24"/>
      <c r="V11125" s="24"/>
      <c r="W11125" s="24"/>
      <c r="X11125" s="24"/>
      <c r="Y11125" s="24"/>
      <c r="Z11125" s="24"/>
      <c r="AA11125" s="24"/>
    </row>
    <row r="11126">
      <c r="A11126" s="24"/>
      <c r="B11126" s="25"/>
      <c r="C11126" s="24"/>
      <c r="D11126" s="26"/>
      <c r="E11126" s="24"/>
      <c r="F11126" s="24"/>
      <c r="G11126" s="24"/>
      <c r="H11126" s="24"/>
      <c r="I11126" s="24"/>
      <c r="J11126" s="24"/>
      <c r="K11126" s="24"/>
      <c r="L11126" s="24"/>
      <c r="M11126" s="24"/>
      <c r="N11126" s="24"/>
      <c r="O11126" s="24"/>
      <c r="P11126" s="24"/>
      <c r="Q11126" s="24"/>
      <c r="R11126" s="24"/>
      <c r="S11126" s="24"/>
      <c r="T11126" s="24"/>
      <c r="U11126" s="24"/>
      <c r="V11126" s="24"/>
      <c r="W11126" s="24"/>
      <c r="X11126" s="24"/>
      <c r="Y11126" s="24"/>
      <c r="Z11126" s="24"/>
      <c r="AA11126" s="24"/>
    </row>
    <row r="11127">
      <c r="A11127" s="24"/>
      <c r="B11127" s="25"/>
      <c r="C11127" s="24"/>
      <c r="D11127" s="26"/>
      <c r="E11127" s="24"/>
      <c r="F11127" s="24"/>
      <c r="G11127" s="24"/>
      <c r="H11127" s="24"/>
      <c r="I11127" s="24"/>
      <c r="J11127" s="24"/>
      <c r="K11127" s="24"/>
      <c r="L11127" s="24"/>
      <c r="M11127" s="24"/>
      <c r="N11127" s="24"/>
      <c r="O11127" s="24"/>
      <c r="P11127" s="24"/>
      <c r="Q11127" s="24"/>
      <c r="R11127" s="24"/>
      <c r="S11127" s="24"/>
      <c r="T11127" s="24"/>
      <c r="U11127" s="24"/>
      <c r="V11127" s="24"/>
      <c r="W11127" s="24"/>
      <c r="X11127" s="24"/>
      <c r="Y11127" s="24"/>
      <c r="Z11127" s="24"/>
      <c r="AA11127" s="24"/>
    </row>
    <row r="11128">
      <c r="A11128" s="24"/>
      <c r="B11128" s="25"/>
      <c r="C11128" s="24"/>
      <c r="D11128" s="26"/>
      <c r="E11128" s="24"/>
      <c r="F11128" s="24"/>
      <c r="G11128" s="24"/>
      <c r="H11128" s="24"/>
      <c r="I11128" s="24"/>
      <c r="J11128" s="24"/>
      <c r="K11128" s="24"/>
      <c r="L11128" s="24"/>
      <c r="M11128" s="24"/>
      <c r="N11128" s="24"/>
      <c r="O11128" s="24"/>
      <c r="P11128" s="24"/>
      <c r="Q11128" s="24"/>
      <c r="R11128" s="24"/>
      <c r="S11128" s="24"/>
      <c r="T11128" s="24"/>
      <c r="U11128" s="24"/>
      <c r="V11128" s="24"/>
      <c r="W11128" s="24"/>
      <c r="X11128" s="24"/>
      <c r="Y11128" s="24"/>
      <c r="Z11128" s="24"/>
      <c r="AA11128" s="24"/>
    </row>
    <row r="11129">
      <c r="A11129" s="24"/>
      <c r="B11129" s="25"/>
      <c r="C11129" s="24"/>
      <c r="D11129" s="26"/>
      <c r="E11129" s="24"/>
      <c r="F11129" s="24"/>
      <c r="G11129" s="24"/>
      <c r="H11129" s="24"/>
      <c r="I11129" s="24"/>
      <c r="J11129" s="24"/>
      <c r="K11129" s="24"/>
      <c r="L11129" s="24"/>
      <c r="M11129" s="24"/>
      <c r="N11129" s="24"/>
      <c r="O11129" s="24"/>
      <c r="P11129" s="24"/>
      <c r="Q11129" s="24"/>
      <c r="R11129" s="24"/>
      <c r="S11129" s="24"/>
      <c r="T11129" s="24"/>
      <c r="U11129" s="24"/>
      <c r="V11129" s="24"/>
      <c r="W11129" s="24"/>
      <c r="X11129" s="24"/>
      <c r="Y11129" s="24"/>
      <c r="Z11129" s="24"/>
      <c r="AA11129" s="24"/>
    </row>
    <row r="11130">
      <c r="A11130" s="24"/>
      <c r="B11130" s="25"/>
      <c r="C11130" s="24"/>
      <c r="D11130" s="26"/>
      <c r="E11130" s="24"/>
      <c r="F11130" s="24"/>
      <c r="G11130" s="24"/>
      <c r="H11130" s="24"/>
      <c r="I11130" s="24"/>
      <c r="J11130" s="24"/>
      <c r="K11130" s="24"/>
      <c r="L11130" s="24"/>
      <c r="M11130" s="24"/>
      <c r="N11130" s="24"/>
      <c r="O11130" s="24"/>
      <c r="P11130" s="24"/>
      <c r="Q11130" s="24"/>
      <c r="R11130" s="24"/>
      <c r="S11130" s="24"/>
      <c r="T11130" s="24"/>
      <c r="U11130" s="24"/>
      <c r="V11130" s="24"/>
      <c r="W11130" s="24"/>
      <c r="X11130" s="24"/>
      <c r="Y11130" s="24"/>
      <c r="Z11130" s="24"/>
      <c r="AA11130" s="24"/>
    </row>
    <row r="11131">
      <c r="A11131" s="24"/>
      <c r="B11131" s="25"/>
      <c r="C11131" s="24"/>
      <c r="D11131" s="26"/>
      <c r="E11131" s="24"/>
      <c r="F11131" s="24"/>
      <c r="G11131" s="24"/>
      <c r="H11131" s="24"/>
      <c r="I11131" s="24"/>
      <c r="J11131" s="24"/>
      <c r="K11131" s="24"/>
      <c r="L11131" s="24"/>
      <c r="M11131" s="24"/>
      <c r="N11131" s="24"/>
      <c r="O11131" s="24"/>
      <c r="P11131" s="24"/>
      <c r="Q11131" s="24"/>
      <c r="R11131" s="24"/>
      <c r="S11131" s="24"/>
      <c r="T11131" s="24"/>
      <c r="U11131" s="24"/>
      <c r="V11131" s="24"/>
      <c r="W11131" s="24"/>
      <c r="X11131" s="24"/>
      <c r="Y11131" s="24"/>
      <c r="Z11131" s="24"/>
      <c r="AA11131" s="24"/>
    </row>
    <row r="11132">
      <c r="A11132" s="24"/>
      <c r="B11132" s="25"/>
      <c r="C11132" s="24"/>
      <c r="D11132" s="26"/>
      <c r="E11132" s="24"/>
      <c r="F11132" s="24"/>
      <c r="G11132" s="24"/>
      <c r="H11132" s="24"/>
      <c r="I11132" s="24"/>
      <c r="J11132" s="24"/>
      <c r="K11132" s="24"/>
      <c r="L11132" s="24"/>
      <c r="M11132" s="24"/>
      <c r="N11132" s="24"/>
      <c r="O11132" s="24"/>
      <c r="P11132" s="24"/>
      <c r="Q11132" s="24"/>
      <c r="R11132" s="24"/>
      <c r="S11132" s="24"/>
      <c r="T11132" s="24"/>
      <c r="U11132" s="24"/>
      <c r="V11132" s="24"/>
      <c r="W11132" s="24"/>
      <c r="X11132" s="24"/>
      <c r="Y11132" s="24"/>
      <c r="Z11132" s="24"/>
      <c r="AA11132" s="24"/>
    </row>
    <row r="11133">
      <c r="A11133" s="24"/>
      <c r="B11133" s="25"/>
      <c r="C11133" s="24"/>
      <c r="D11133" s="26"/>
      <c r="E11133" s="24"/>
      <c r="F11133" s="24"/>
      <c r="G11133" s="24"/>
      <c r="H11133" s="24"/>
      <c r="I11133" s="24"/>
      <c r="J11133" s="24"/>
      <c r="K11133" s="24"/>
      <c r="L11133" s="24"/>
      <c r="M11133" s="24"/>
      <c r="N11133" s="24"/>
      <c r="O11133" s="24"/>
      <c r="P11133" s="24"/>
      <c r="Q11133" s="24"/>
      <c r="R11133" s="24"/>
      <c r="S11133" s="24"/>
      <c r="T11133" s="24"/>
      <c r="U11133" s="24"/>
      <c r="V11133" s="24"/>
      <c r="W11133" s="24"/>
      <c r="X11133" s="24"/>
      <c r="Y11133" s="24"/>
      <c r="Z11133" s="24"/>
      <c r="AA11133" s="24"/>
    </row>
    <row r="11134">
      <c r="A11134" s="24"/>
      <c r="B11134" s="25"/>
      <c r="C11134" s="24"/>
      <c r="D11134" s="26"/>
      <c r="E11134" s="24"/>
      <c r="F11134" s="24"/>
      <c r="G11134" s="24"/>
      <c r="H11134" s="24"/>
      <c r="I11134" s="24"/>
      <c r="J11134" s="24"/>
      <c r="K11134" s="24"/>
      <c r="L11134" s="24"/>
      <c r="M11134" s="24"/>
      <c r="N11134" s="24"/>
      <c r="O11134" s="24"/>
      <c r="P11134" s="24"/>
      <c r="Q11134" s="24"/>
      <c r="R11134" s="24"/>
      <c r="S11134" s="24"/>
      <c r="T11134" s="24"/>
      <c r="U11134" s="24"/>
      <c r="V11134" s="24"/>
      <c r="W11134" s="24"/>
      <c r="X11134" s="24"/>
      <c r="Y11134" s="24"/>
      <c r="Z11134" s="24"/>
      <c r="AA11134" s="24"/>
    </row>
    <row r="11135">
      <c r="A11135" s="24"/>
      <c r="B11135" s="25"/>
      <c r="C11135" s="24"/>
      <c r="D11135" s="26"/>
      <c r="E11135" s="24"/>
      <c r="F11135" s="24"/>
      <c r="G11135" s="24"/>
      <c r="H11135" s="24"/>
      <c r="I11135" s="24"/>
      <c r="J11135" s="24"/>
      <c r="K11135" s="24"/>
      <c r="L11135" s="24"/>
      <c r="M11135" s="24"/>
      <c r="N11135" s="24"/>
      <c r="O11135" s="24"/>
      <c r="P11135" s="24"/>
      <c r="Q11135" s="24"/>
      <c r="R11135" s="24"/>
      <c r="S11135" s="24"/>
      <c r="T11135" s="24"/>
      <c r="U11135" s="24"/>
      <c r="V11135" s="24"/>
      <c r="W11135" s="24"/>
      <c r="X11135" s="24"/>
      <c r="Y11135" s="24"/>
      <c r="Z11135" s="24"/>
      <c r="AA11135" s="24"/>
    </row>
    <row r="11136">
      <c r="A11136" s="24"/>
      <c r="B11136" s="25"/>
      <c r="C11136" s="24"/>
      <c r="D11136" s="26"/>
      <c r="E11136" s="24"/>
      <c r="F11136" s="24"/>
      <c r="G11136" s="24"/>
      <c r="H11136" s="24"/>
      <c r="I11136" s="24"/>
      <c r="J11136" s="24"/>
      <c r="K11136" s="24"/>
      <c r="L11136" s="24"/>
      <c r="M11136" s="24"/>
      <c r="N11136" s="24"/>
      <c r="O11136" s="24"/>
      <c r="P11136" s="24"/>
      <c r="Q11136" s="24"/>
      <c r="R11136" s="24"/>
      <c r="S11136" s="24"/>
      <c r="T11136" s="24"/>
      <c r="U11136" s="24"/>
      <c r="V11136" s="24"/>
      <c r="W11136" s="24"/>
      <c r="X11136" s="24"/>
      <c r="Y11136" s="24"/>
      <c r="Z11136" s="24"/>
      <c r="AA11136" s="24"/>
    </row>
    <row r="11137">
      <c r="A11137" s="24"/>
      <c r="B11137" s="25"/>
      <c r="C11137" s="24"/>
      <c r="D11137" s="26"/>
      <c r="E11137" s="24"/>
      <c r="F11137" s="24"/>
      <c r="G11137" s="24"/>
      <c r="H11137" s="24"/>
      <c r="I11137" s="24"/>
      <c r="J11137" s="24"/>
      <c r="K11137" s="24"/>
      <c r="L11137" s="24"/>
      <c r="M11137" s="24"/>
      <c r="N11137" s="24"/>
      <c r="O11137" s="24"/>
      <c r="P11137" s="24"/>
      <c r="Q11137" s="24"/>
      <c r="R11137" s="24"/>
      <c r="S11137" s="24"/>
      <c r="T11137" s="24"/>
      <c r="U11137" s="24"/>
      <c r="V11137" s="24"/>
      <c r="W11137" s="24"/>
      <c r="X11137" s="24"/>
      <c r="Y11137" s="24"/>
      <c r="Z11137" s="24"/>
      <c r="AA11137" s="24"/>
    </row>
    <row r="11138">
      <c r="A11138" s="24"/>
      <c r="B11138" s="25"/>
      <c r="C11138" s="24"/>
      <c r="D11138" s="26"/>
      <c r="E11138" s="24"/>
      <c r="F11138" s="24"/>
      <c r="G11138" s="24"/>
      <c r="H11138" s="24"/>
      <c r="I11138" s="24"/>
      <c r="J11138" s="24"/>
      <c r="K11138" s="24"/>
      <c r="L11138" s="24"/>
      <c r="M11138" s="24"/>
      <c r="N11138" s="24"/>
      <c r="O11138" s="24"/>
      <c r="P11138" s="24"/>
      <c r="Q11138" s="24"/>
      <c r="R11138" s="24"/>
      <c r="S11138" s="24"/>
      <c r="T11138" s="24"/>
      <c r="U11138" s="24"/>
      <c r="V11138" s="24"/>
      <c r="W11138" s="24"/>
      <c r="X11138" s="24"/>
      <c r="Y11138" s="24"/>
      <c r="Z11138" s="24"/>
      <c r="AA11138" s="24"/>
    </row>
    <row r="11139">
      <c r="A11139" s="24"/>
      <c r="B11139" s="25"/>
      <c r="C11139" s="24"/>
      <c r="D11139" s="26"/>
      <c r="E11139" s="24"/>
      <c r="F11139" s="24"/>
      <c r="G11139" s="24"/>
      <c r="H11139" s="24"/>
      <c r="I11139" s="24"/>
      <c r="J11139" s="24"/>
      <c r="K11139" s="24"/>
      <c r="L11139" s="24"/>
      <c r="M11139" s="24"/>
      <c r="N11139" s="24"/>
      <c r="O11139" s="24"/>
      <c r="P11139" s="24"/>
      <c r="Q11139" s="24"/>
      <c r="R11139" s="24"/>
      <c r="S11139" s="24"/>
      <c r="T11139" s="24"/>
      <c r="U11139" s="24"/>
      <c r="V11139" s="24"/>
      <c r="W11139" s="24"/>
      <c r="X11139" s="24"/>
      <c r="Y11139" s="24"/>
      <c r="Z11139" s="24"/>
      <c r="AA11139" s="24"/>
    </row>
    <row r="11140">
      <c r="A11140" s="24"/>
      <c r="B11140" s="25"/>
      <c r="C11140" s="24"/>
      <c r="D11140" s="26"/>
      <c r="E11140" s="24"/>
      <c r="F11140" s="24"/>
      <c r="G11140" s="24"/>
      <c r="H11140" s="24"/>
      <c r="I11140" s="24"/>
      <c r="J11140" s="24"/>
      <c r="K11140" s="24"/>
      <c r="L11140" s="24"/>
      <c r="M11140" s="24"/>
      <c r="N11140" s="24"/>
      <c r="O11140" s="24"/>
      <c r="P11140" s="24"/>
      <c r="Q11140" s="24"/>
      <c r="R11140" s="24"/>
      <c r="S11140" s="24"/>
      <c r="T11140" s="24"/>
      <c r="U11140" s="24"/>
      <c r="V11140" s="24"/>
      <c r="W11140" s="24"/>
      <c r="X11140" s="24"/>
      <c r="Y11140" s="24"/>
      <c r="Z11140" s="24"/>
      <c r="AA11140" s="24"/>
    </row>
    <row r="11141">
      <c r="A11141" s="24"/>
      <c r="B11141" s="25"/>
      <c r="C11141" s="24"/>
      <c r="D11141" s="26"/>
      <c r="E11141" s="24"/>
      <c r="F11141" s="24"/>
      <c r="G11141" s="24"/>
      <c r="H11141" s="24"/>
      <c r="I11141" s="24"/>
      <c r="J11141" s="24"/>
      <c r="K11141" s="24"/>
      <c r="L11141" s="24"/>
      <c r="M11141" s="24"/>
      <c r="N11141" s="24"/>
      <c r="O11141" s="24"/>
      <c r="P11141" s="24"/>
      <c r="Q11141" s="24"/>
      <c r="R11141" s="24"/>
      <c r="S11141" s="24"/>
      <c r="T11141" s="24"/>
      <c r="U11141" s="24"/>
      <c r="V11141" s="24"/>
      <c r="W11141" s="24"/>
      <c r="X11141" s="24"/>
      <c r="Y11141" s="24"/>
      <c r="Z11141" s="24"/>
      <c r="AA11141" s="24"/>
    </row>
    <row r="11142">
      <c r="A11142" s="24"/>
      <c r="B11142" s="25"/>
      <c r="C11142" s="24"/>
      <c r="D11142" s="26"/>
      <c r="E11142" s="24"/>
      <c r="F11142" s="24"/>
      <c r="G11142" s="24"/>
      <c r="H11142" s="24"/>
      <c r="I11142" s="24"/>
      <c r="J11142" s="24"/>
      <c r="K11142" s="24"/>
      <c r="L11142" s="24"/>
      <c r="M11142" s="24"/>
      <c r="N11142" s="24"/>
      <c r="O11142" s="24"/>
      <c r="P11142" s="24"/>
      <c r="Q11142" s="24"/>
      <c r="R11142" s="24"/>
      <c r="S11142" s="24"/>
      <c r="T11142" s="24"/>
      <c r="U11142" s="24"/>
      <c r="V11142" s="24"/>
      <c r="W11142" s="24"/>
      <c r="X11142" s="24"/>
      <c r="Y11142" s="24"/>
      <c r="Z11142" s="24"/>
      <c r="AA11142" s="24"/>
    </row>
    <row r="11143">
      <c r="A11143" s="24"/>
      <c r="B11143" s="25"/>
      <c r="C11143" s="24"/>
      <c r="D11143" s="26"/>
      <c r="E11143" s="24"/>
      <c r="F11143" s="24"/>
      <c r="G11143" s="24"/>
      <c r="H11143" s="24"/>
      <c r="I11143" s="24"/>
      <c r="J11143" s="24"/>
      <c r="K11143" s="24"/>
      <c r="L11143" s="24"/>
      <c r="M11143" s="24"/>
      <c r="N11143" s="24"/>
      <c r="O11143" s="24"/>
      <c r="P11143" s="24"/>
      <c r="Q11143" s="24"/>
      <c r="R11143" s="24"/>
      <c r="S11143" s="24"/>
      <c r="T11143" s="24"/>
      <c r="U11143" s="24"/>
      <c r="V11143" s="24"/>
      <c r="W11143" s="24"/>
      <c r="X11143" s="24"/>
      <c r="Y11143" s="24"/>
      <c r="Z11143" s="24"/>
      <c r="AA11143" s="24"/>
    </row>
    <row r="11144">
      <c r="A11144" s="24"/>
      <c r="B11144" s="25"/>
      <c r="C11144" s="24"/>
      <c r="D11144" s="26"/>
      <c r="E11144" s="24"/>
      <c r="F11144" s="24"/>
      <c r="G11144" s="24"/>
      <c r="H11144" s="24"/>
      <c r="I11144" s="24"/>
      <c r="J11144" s="24"/>
      <c r="K11144" s="24"/>
      <c r="L11144" s="24"/>
      <c r="M11144" s="24"/>
      <c r="N11144" s="24"/>
      <c r="O11144" s="24"/>
      <c r="P11144" s="24"/>
      <c r="Q11144" s="24"/>
      <c r="R11144" s="24"/>
      <c r="S11144" s="24"/>
      <c r="T11144" s="24"/>
      <c r="U11144" s="24"/>
      <c r="V11144" s="24"/>
      <c r="W11144" s="24"/>
      <c r="X11144" s="24"/>
      <c r="Y11144" s="24"/>
      <c r="Z11144" s="24"/>
      <c r="AA11144" s="24"/>
    </row>
    <row r="11145">
      <c r="A11145" s="24"/>
      <c r="B11145" s="25"/>
      <c r="C11145" s="24"/>
      <c r="D11145" s="26"/>
      <c r="E11145" s="24"/>
      <c r="F11145" s="24"/>
      <c r="G11145" s="24"/>
      <c r="H11145" s="24"/>
      <c r="I11145" s="24"/>
      <c r="J11145" s="24"/>
      <c r="K11145" s="24"/>
      <c r="L11145" s="24"/>
      <c r="M11145" s="24"/>
      <c r="N11145" s="24"/>
      <c r="O11145" s="24"/>
      <c r="P11145" s="24"/>
      <c r="Q11145" s="24"/>
      <c r="R11145" s="24"/>
      <c r="S11145" s="24"/>
      <c r="T11145" s="24"/>
      <c r="U11145" s="24"/>
      <c r="V11145" s="24"/>
      <c r="W11145" s="24"/>
      <c r="X11145" s="24"/>
      <c r="Y11145" s="24"/>
      <c r="Z11145" s="24"/>
      <c r="AA11145" s="24"/>
    </row>
    <row r="11146">
      <c r="A11146" s="24"/>
      <c r="B11146" s="25"/>
      <c r="C11146" s="24"/>
      <c r="D11146" s="26"/>
      <c r="E11146" s="24"/>
      <c r="F11146" s="24"/>
      <c r="G11146" s="24"/>
      <c r="H11146" s="24"/>
      <c r="I11146" s="24"/>
      <c r="J11146" s="24"/>
      <c r="K11146" s="24"/>
      <c r="L11146" s="24"/>
      <c r="M11146" s="24"/>
      <c r="N11146" s="24"/>
      <c r="O11146" s="24"/>
      <c r="P11146" s="24"/>
      <c r="Q11146" s="24"/>
      <c r="R11146" s="24"/>
      <c r="S11146" s="24"/>
      <c r="T11146" s="24"/>
      <c r="U11146" s="24"/>
      <c r="V11146" s="24"/>
      <c r="W11146" s="24"/>
      <c r="X11146" s="24"/>
      <c r="Y11146" s="24"/>
      <c r="Z11146" s="24"/>
      <c r="AA11146" s="24"/>
    </row>
    <row r="11147">
      <c r="A11147" s="24"/>
      <c r="B11147" s="25"/>
      <c r="C11147" s="24"/>
      <c r="D11147" s="26"/>
      <c r="E11147" s="24"/>
      <c r="F11147" s="24"/>
      <c r="G11147" s="24"/>
      <c r="H11147" s="24"/>
      <c r="I11147" s="24"/>
      <c r="J11147" s="24"/>
      <c r="K11147" s="24"/>
      <c r="L11147" s="24"/>
      <c r="M11147" s="24"/>
      <c r="N11147" s="24"/>
      <c r="O11147" s="24"/>
      <c r="P11147" s="24"/>
      <c r="Q11147" s="24"/>
      <c r="R11147" s="24"/>
      <c r="S11147" s="24"/>
      <c r="T11147" s="24"/>
      <c r="U11147" s="24"/>
      <c r="V11147" s="24"/>
      <c r="W11147" s="24"/>
      <c r="X11147" s="24"/>
      <c r="Y11147" s="24"/>
      <c r="Z11147" s="24"/>
      <c r="AA11147" s="24"/>
    </row>
    <row r="11148">
      <c r="A11148" s="24"/>
      <c r="B11148" s="25"/>
      <c r="C11148" s="24"/>
      <c r="D11148" s="26"/>
      <c r="E11148" s="24"/>
      <c r="F11148" s="24"/>
      <c r="G11148" s="24"/>
      <c r="H11148" s="24"/>
      <c r="I11148" s="24"/>
      <c r="J11148" s="24"/>
      <c r="K11148" s="24"/>
      <c r="L11148" s="24"/>
      <c r="M11148" s="24"/>
      <c r="N11148" s="24"/>
      <c r="O11148" s="24"/>
      <c r="P11148" s="24"/>
      <c r="Q11148" s="24"/>
      <c r="R11148" s="24"/>
      <c r="S11148" s="24"/>
      <c r="T11148" s="24"/>
      <c r="U11148" s="24"/>
      <c r="V11148" s="24"/>
      <c r="W11148" s="24"/>
      <c r="X11148" s="24"/>
      <c r="Y11148" s="24"/>
      <c r="Z11148" s="24"/>
      <c r="AA11148" s="24"/>
    </row>
    <row r="11149">
      <c r="A11149" s="24"/>
      <c r="B11149" s="25"/>
      <c r="C11149" s="24"/>
      <c r="D11149" s="26"/>
      <c r="E11149" s="24"/>
      <c r="F11149" s="24"/>
      <c r="G11149" s="24"/>
      <c r="H11149" s="24"/>
      <c r="I11149" s="24"/>
      <c r="J11149" s="24"/>
      <c r="K11149" s="24"/>
      <c r="L11149" s="24"/>
      <c r="M11149" s="24"/>
      <c r="N11149" s="24"/>
      <c r="O11149" s="24"/>
      <c r="P11149" s="24"/>
      <c r="Q11149" s="24"/>
      <c r="R11149" s="24"/>
      <c r="S11149" s="24"/>
      <c r="T11149" s="24"/>
      <c r="U11149" s="24"/>
      <c r="V11149" s="24"/>
      <c r="W11149" s="24"/>
      <c r="X11149" s="24"/>
      <c r="Y11149" s="24"/>
      <c r="Z11149" s="24"/>
      <c r="AA11149" s="24"/>
    </row>
    <row r="11150">
      <c r="A11150" s="24"/>
      <c r="B11150" s="25"/>
      <c r="C11150" s="24"/>
      <c r="D11150" s="26"/>
      <c r="E11150" s="24"/>
      <c r="F11150" s="24"/>
      <c r="G11150" s="24"/>
      <c r="H11150" s="24"/>
      <c r="I11150" s="24"/>
      <c r="J11150" s="24"/>
      <c r="K11150" s="24"/>
      <c r="L11150" s="24"/>
      <c r="M11150" s="24"/>
      <c r="N11150" s="24"/>
      <c r="O11150" s="24"/>
      <c r="P11150" s="24"/>
      <c r="Q11150" s="24"/>
      <c r="R11150" s="24"/>
      <c r="S11150" s="24"/>
      <c r="T11150" s="24"/>
      <c r="U11150" s="24"/>
      <c r="V11150" s="24"/>
      <c r="W11150" s="24"/>
      <c r="X11150" s="24"/>
      <c r="Y11150" s="24"/>
      <c r="Z11150" s="24"/>
      <c r="AA11150" s="24"/>
    </row>
    <row r="11151">
      <c r="A11151" s="24"/>
      <c r="B11151" s="25"/>
      <c r="C11151" s="24"/>
      <c r="D11151" s="26"/>
      <c r="E11151" s="24"/>
      <c r="F11151" s="24"/>
      <c r="G11151" s="24"/>
      <c r="H11151" s="24"/>
      <c r="I11151" s="24"/>
      <c r="J11151" s="24"/>
      <c r="K11151" s="24"/>
      <c r="L11151" s="24"/>
      <c r="M11151" s="24"/>
      <c r="N11151" s="24"/>
      <c r="O11151" s="24"/>
      <c r="P11151" s="24"/>
      <c r="Q11151" s="24"/>
      <c r="R11151" s="24"/>
      <c r="S11151" s="24"/>
      <c r="T11151" s="24"/>
      <c r="U11151" s="24"/>
      <c r="V11151" s="24"/>
      <c r="W11151" s="24"/>
      <c r="X11151" s="24"/>
      <c r="Y11151" s="24"/>
      <c r="Z11151" s="24"/>
      <c r="AA11151" s="24"/>
    </row>
    <row r="11152">
      <c r="A11152" s="24"/>
      <c r="B11152" s="25"/>
      <c r="C11152" s="24"/>
      <c r="D11152" s="26"/>
      <c r="E11152" s="24"/>
      <c r="F11152" s="24"/>
      <c r="G11152" s="24"/>
      <c r="H11152" s="24"/>
      <c r="I11152" s="24"/>
      <c r="J11152" s="24"/>
      <c r="K11152" s="24"/>
      <c r="L11152" s="24"/>
      <c r="M11152" s="24"/>
      <c r="N11152" s="24"/>
      <c r="O11152" s="24"/>
      <c r="P11152" s="24"/>
      <c r="Q11152" s="24"/>
      <c r="R11152" s="24"/>
      <c r="S11152" s="24"/>
      <c r="T11152" s="24"/>
      <c r="U11152" s="24"/>
      <c r="V11152" s="24"/>
      <c r="W11152" s="24"/>
      <c r="X11152" s="24"/>
      <c r="Y11152" s="24"/>
      <c r="Z11152" s="24"/>
      <c r="AA11152" s="24"/>
    </row>
    <row r="11153">
      <c r="A11153" s="24"/>
      <c r="B11153" s="25"/>
      <c r="C11153" s="24"/>
      <c r="D11153" s="26"/>
      <c r="E11153" s="24"/>
      <c r="F11153" s="24"/>
      <c r="G11153" s="24"/>
      <c r="H11153" s="24"/>
      <c r="I11153" s="24"/>
      <c r="J11153" s="24"/>
      <c r="K11153" s="24"/>
      <c r="L11153" s="24"/>
      <c r="M11153" s="24"/>
      <c r="N11153" s="24"/>
      <c r="O11153" s="24"/>
      <c r="P11153" s="24"/>
      <c r="Q11153" s="24"/>
      <c r="R11153" s="24"/>
      <c r="S11153" s="24"/>
      <c r="T11153" s="24"/>
      <c r="U11153" s="24"/>
      <c r="V11153" s="24"/>
      <c r="W11153" s="24"/>
      <c r="X11153" s="24"/>
      <c r="Y11153" s="24"/>
      <c r="Z11153" s="24"/>
      <c r="AA11153" s="24"/>
    </row>
    <row r="11154">
      <c r="A11154" s="24"/>
      <c r="B11154" s="25"/>
      <c r="C11154" s="24"/>
      <c r="D11154" s="26"/>
      <c r="E11154" s="24"/>
      <c r="F11154" s="24"/>
      <c r="G11154" s="24"/>
      <c r="H11154" s="24"/>
      <c r="I11154" s="24"/>
      <c r="J11154" s="24"/>
      <c r="K11154" s="24"/>
      <c r="L11154" s="24"/>
      <c r="M11154" s="24"/>
      <c r="N11154" s="24"/>
      <c r="O11154" s="24"/>
      <c r="P11154" s="24"/>
      <c r="Q11154" s="24"/>
      <c r="R11154" s="24"/>
      <c r="S11154" s="24"/>
      <c r="T11154" s="24"/>
      <c r="U11154" s="24"/>
      <c r="V11154" s="24"/>
      <c r="W11154" s="24"/>
      <c r="X11154" s="24"/>
      <c r="Y11154" s="24"/>
      <c r="Z11154" s="24"/>
      <c r="AA11154" s="24"/>
    </row>
    <row r="11155">
      <c r="A11155" s="24"/>
      <c r="B11155" s="25"/>
      <c r="C11155" s="24"/>
      <c r="D11155" s="26"/>
      <c r="E11155" s="24"/>
      <c r="F11155" s="24"/>
      <c r="G11155" s="24"/>
      <c r="H11155" s="24"/>
      <c r="I11155" s="24"/>
      <c r="J11155" s="24"/>
      <c r="K11155" s="24"/>
      <c r="L11155" s="24"/>
      <c r="M11155" s="24"/>
      <c r="N11155" s="24"/>
      <c r="O11155" s="24"/>
      <c r="P11155" s="24"/>
      <c r="Q11155" s="24"/>
      <c r="R11155" s="24"/>
      <c r="S11155" s="24"/>
      <c r="T11155" s="24"/>
      <c r="U11155" s="24"/>
      <c r="V11155" s="24"/>
      <c r="W11155" s="24"/>
      <c r="X11155" s="24"/>
      <c r="Y11155" s="24"/>
      <c r="Z11155" s="24"/>
      <c r="AA11155" s="24"/>
    </row>
    <row r="11156">
      <c r="A11156" s="24"/>
      <c r="B11156" s="25"/>
      <c r="C11156" s="24"/>
      <c r="D11156" s="26"/>
      <c r="E11156" s="24"/>
      <c r="F11156" s="24"/>
      <c r="G11156" s="24"/>
      <c r="H11156" s="24"/>
      <c r="I11156" s="24"/>
      <c r="J11156" s="24"/>
      <c r="K11156" s="24"/>
      <c r="L11156" s="24"/>
      <c r="M11156" s="24"/>
      <c r="N11156" s="24"/>
      <c r="O11156" s="24"/>
      <c r="P11156" s="24"/>
      <c r="Q11156" s="24"/>
      <c r="R11156" s="24"/>
      <c r="S11156" s="24"/>
      <c r="T11156" s="24"/>
      <c r="U11156" s="24"/>
      <c r="V11156" s="24"/>
      <c r="W11156" s="24"/>
      <c r="X11156" s="24"/>
      <c r="Y11156" s="24"/>
      <c r="Z11156" s="24"/>
      <c r="AA11156" s="24"/>
    </row>
    <row r="11157">
      <c r="A11157" s="24"/>
      <c r="B11157" s="25"/>
      <c r="C11157" s="24"/>
      <c r="D11157" s="26"/>
      <c r="E11157" s="24"/>
      <c r="F11157" s="24"/>
      <c r="G11157" s="24"/>
      <c r="H11157" s="24"/>
      <c r="I11157" s="24"/>
      <c r="J11157" s="24"/>
      <c r="K11157" s="24"/>
      <c r="L11157" s="24"/>
      <c r="M11157" s="24"/>
      <c r="N11157" s="24"/>
      <c r="O11157" s="24"/>
      <c r="P11157" s="24"/>
      <c r="Q11157" s="24"/>
      <c r="R11157" s="24"/>
      <c r="S11157" s="24"/>
      <c r="T11157" s="24"/>
      <c r="U11157" s="24"/>
      <c r="V11157" s="24"/>
      <c r="W11157" s="24"/>
      <c r="X11157" s="24"/>
      <c r="Y11157" s="24"/>
      <c r="Z11157" s="24"/>
      <c r="AA11157" s="24"/>
    </row>
    <row r="11158">
      <c r="A11158" s="24"/>
      <c r="B11158" s="25"/>
      <c r="C11158" s="24"/>
      <c r="D11158" s="26"/>
      <c r="E11158" s="24"/>
      <c r="F11158" s="24"/>
      <c r="G11158" s="24"/>
      <c r="H11158" s="24"/>
      <c r="I11158" s="24"/>
      <c r="J11158" s="24"/>
      <c r="K11158" s="24"/>
      <c r="L11158" s="24"/>
      <c r="M11158" s="24"/>
      <c r="N11158" s="24"/>
      <c r="O11158" s="24"/>
      <c r="P11158" s="24"/>
      <c r="Q11158" s="24"/>
      <c r="R11158" s="24"/>
      <c r="S11158" s="24"/>
      <c r="T11158" s="24"/>
      <c r="U11158" s="24"/>
      <c r="V11158" s="24"/>
      <c r="W11158" s="24"/>
      <c r="X11158" s="24"/>
      <c r="Y11158" s="24"/>
      <c r="Z11158" s="24"/>
      <c r="AA11158" s="24"/>
    </row>
    <row r="11159">
      <c r="A11159" s="24"/>
      <c r="B11159" s="25"/>
      <c r="C11159" s="24"/>
      <c r="D11159" s="26"/>
      <c r="E11159" s="24"/>
      <c r="F11159" s="24"/>
      <c r="G11159" s="24"/>
      <c r="H11159" s="24"/>
      <c r="I11159" s="24"/>
      <c r="J11159" s="24"/>
      <c r="K11159" s="24"/>
      <c r="L11159" s="24"/>
      <c r="M11159" s="24"/>
      <c r="N11159" s="24"/>
      <c r="O11159" s="24"/>
      <c r="P11159" s="24"/>
      <c r="Q11159" s="24"/>
      <c r="R11159" s="24"/>
      <c r="S11159" s="24"/>
      <c r="T11159" s="24"/>
      <c r="U11159" s="24"/>
      <c r="V11159" s="24"/>
      <c r="W11159" s="24"/>
      <c r="X11159" s="24"/>
      <c r="Y11159" s="24"/>
      <c r="Z11159" s="24"/>
      <c r="AA11159" s="24"/>
    </row>
    <row r="11160">
      <c r="A11160" s="24"/>
      <c r="B11160" s="25"/>
      <c r="C11160" s="24"/>
      <c r="D11160" s="26"/>
      <c r="E11160" s="24"/>
      <c r="F11160" s="24"/>
      <c r="G11160" s="24"/>
      <c r="H11160" s="24"/>
      <c r="I11160" s="24"/>
      <c r="J11160" s="24"/>
      <c r="K11160" s="24"/>
      <c r="L11160" s="24"/>
      <c r="M11160" s="24"/>
      <c r="N11160" s="24"/>
      <c r="O11160" s="24"/>
      <c r="P11160" s="24"/>
      <c r="Q11160" s="24"/>
      <c r="R11160" s="24"/>
      <c r="S11160" s="24"/>
      <c r="T11160" s="24"/>
      <c r="U11160" s="24"/>
      <c r="V11160" s="24"/>
      <c r="W11160" s="24"/>
      <c r="X11160" s="24"/>
      <c r="Y11160" s="24"/>
      <c r="Z11160" s="24"/>
      <c r="AA11160" s="24"/>
    </row>
    <row r="11161">
      <c r="A11161" s="24"/>
      <c r="B11161" s="25"/>
      <c r="C11161" s="24"/>
      <c r="D11161" s="26"/>
      <c r="E11161" s="24"/>
      <c r="F11161" s="24"/>
      <c r="G11161" s="24"/>
      <c r="H11161" s="24"/>
      <c r="I11161" s="24"/>
      <c r="J11161" s="24"/>
      <c r="K11161" s="24"/>
      <c r="L11161" s="24"/>
      <c r="M11161" s="24"/>
      <c r="N11161" s="24"/>
      <c r="O11161" s="24"/>
      <c r="P11161" s="24"/>
      <c r="Q11161" s="24"/>
      <c r="R11161" s="24"/>
      <c r="S11161" s="24"/>
      <c r="T11161" s="24"/>
      <c r="U11161" s="24"/>
      <c r="V11161" s="24"/>
      <c r="W11161" s="24"/>
      <c r="X11161" s="24"/>
      <c r="Y11161" s="24"/>
      <c r="Z11161" s="24"/>
      <c r="AA11161" s="24"/>
    </row>
    <row r="11162">
      <c r="A11162" s="24"/>
      <c r="B11162" s="25"/>
      <c r="C11162" s="24"/>
      <c r="D11162" s="26"/>
      <c r="E11162" s="24"/>
      <c r="F11162" s="24"/>
      <c r="G11162" s="24"/>
      <c r="H11162" s="24"/>
      <c r="I11162" s="24"/>
      <c r="J11162" s="24"/>
      <c r="K11162" s="24"/>
      <c r="L11162" s="24"/>
      <c r="M11162" s="24"/>
      <c r="N11162" s="24"/>
      <c r="O11162" s="24"/>
      <c r="P11162" s="24"/>
      <c r="Q11162" s="24"/>
      <c r="R11162" s="24"/>
      <c r="S11162" s="24"/>
      <c r="T11162" s="24"/>
      <c r="U11162" s="24"/>
      <c r="V11162" s="24"/>
      <c r="W11162" s="24"/>
      <c r="X11162" s="24"/>
      <c r="Y11162" s="24"/>
      <c r="Z11162" s="24"/>
      <c r="AA11162" s="24"/>
    </row>
    <row r="11163">
      <c r="A11163" s="24"/>
      <c r="B11163" s="25"/>
      <c r="C11163" s="24"/>
      <c r="D11163" s="26"/>
      <c r="E11163" s="24"/>
      <c r="F11163" s="24"/>
      <c r="G11163" s="24"/>
      <c r="H11163" s="24"/>
      <c r="I11163" s="24"/>
      <c r="J11163" s="24"/>
      <c r="K11163" s="24"/>
      <c r="L11163" s="24"/>
      <c r="M11163" s="24"/>
      <c r="N11163" s="24"/>
      <c r="O11163" s="24"/>
      <c r="P11163" s="24"/>
      <c r="Q11163" s="24"/>
      <c r="R11163" s="24"/>
      <c r="S11163" s="24"/>
      <c r="T11163" s="24"/>
      <c r="U11163" s="24"/>
      <c r="V11163" s="24"/>
      <c r="W11163" s="24"/>
      <c r="X11163" s="24"/>
      <c r="Y11163" s="24"/>
      <c r="Z11163" s="24"/>
      <c r="AA11163" s="24"/>
    </row>
    <row r="11164">
      <c r="A11164" s="24"/>
      <c r="B11164" s="25"/>
      <c r="C11164" s="24"/>
      <c r="D11164" s="26"/>
      <c r="E11164" s="24"/>
      <c r="F11164" s="24"/>
      <c r="G11164" s="24"/>
      <c r="H11164" s="24"/>
      <c r="I11164" s="24"/>
      <c r="J11164" s="24"/>
      <c r="K11164" s="24"/>
      <c r="L11164" s="24"/>
      <c r="M11164" s="24"/>
      <c r="N11164" s="24"/>
      <c r="O11164" s="24"/>
      <c r="P11164" s="24"/>
      <c r="Q11164" s="24"/>
      <c r="R11164" s="24"/>
      <c r="S11164" s="24"/>
      <c r="T11164" s="24"/>
      <c r="U11164" s="24"/>
      <c r="V11164" s="24"/>
      <c r="W11164" s="24"/>
      <c r="X11164" s="24"/>
      <c r="Y11164" s="24"/>
      <c r="Z11164" s="24"/>
      <c r="AA11164" s="24"/>
    </row>
    <row r="11165">
      <c r="A11165" s="24"/>
      <c r="B11165" s="25"/>
      <c r="C11165" s="24"/>
      <c r="D11165" s="26"/>
      <c r="E11165" s="24"/>
      <c r="F11165" s="24"/>
      <c r="G11165" s="24"/>
      <c r="H11165" s="24"/>
      <c r="I11165" s="24"/>
      <c r="J11165" s="24"/>
      <c r="K11165" s="24"/>
      <c r="L11165" s="24"/>
      <c r="M11165" s="24"/>
      <c r="N11165" s="24"/>
      <c r="O11165" s="24"/>
      <c r="P11165" s="24"/>
      <c r="Q11165" s="24"/>
      <c r="R11165" s="24"/>
      <c r="S11165" s="24"/>
      <c r="T11165" s="24"/>
      <c r="U11165" s="24"/>
      <c r="V11165" s="24"/>
      <c r="W11165" s="24"/>
      <c r="X11165" s="24"/>
      <c r="Y11165" s="24"/>
      <c r="Z11165" s="24"/>
      <c r="AA11165" s="24"/>
    </row>
    <row r="11166">
      <c r="A11166" s="24"/>
      <c r="B11166" s="25"/>
      <c r="C11166" s="24"/>
      <c r="D11166" s="26"/>
      <c r="E11166" s="24"/>
      <c r="F11166" s="24"/>
      <c r="G11166" s="24"/>
      <c r="H11166" s="24"/>
      <c r="I11166" s="24"/>
      <c r="J11166" s="24"/>
      <c r="K11166" s="24"/>
      <c r="L11166" s="24"/>
      <c r="M11166" s="24"/>
      <c r="N11166" s="24"/>
      <c r="O11166" s="24"/>
      <c r="P11166" s="24"/>
      <c r="Q11166" s="24"/>
      <c r="R11166" s="24"/>
      <c r="S11166" s="24"/>
      <c r="T11166" s="24"/>
      <c r="U11166" s="24"/>
      <c r="V11166" s="24"/>
      <c r="W11166" s="24"/>
      <c r="X11166" s="24"/>
      <c r="Y11166" s="24"/>
      <c r="Z11166" s="24"/>
      <c r="AA11166" s="24"/>
    </row>
    <row r="11167">
      <c r="A11167" s="24"/>
      <c r="B11167" s="25"/>
      <c r="C11167" s="24"/>
      <c r="D11167" s="26"/>
      <c r="E11167" s="24"/>
      <c r="F11167" s="24"/>
      <c r="G11167" s="24"/>
      <c r="H11167" s="24"/>
      <c r="I11167" s="24"/>
      <c r="J11167" s="24"/>
      <c r="K11167" s="24"/>
      <c r="L11167" s="24"/>
      <c r="M11167" s="24"/>
      <c r="N11167" s="24"/>
      <c r="O11167" s="24"/>
      <c r="P11167" s="24"/>
      <c r="Q11167" s="24"/>
      <c r="R11167" s="24"/>
      <c r="S11167" s="24"/>
      <c r="T11167" s="24"/>
      <c r="U11167" s="24"/>
      <c r="V11167" s="24"/>
      <c r="W11167" s="24"/>
      <c r="X11167" s="24"/>
      <c r="Y11167" s="24"/>
      <c r="Z11167" s="24"/>
      <c r="AA11167" s="24"/>
    </row>
    <row r="11168">
      <c r="A11168" s="24"/>
      <c r="B11168" s="25"/>
      <c r="C11168" s="24"/>
      <c r="D11168" s="26"/>
      <c r="E11168" s="24"/>
      <c r="F11168" s="24"/>
      <c r="G11168" s="24"/>
      <c r="H11168" s="24"/>
      <c r="I11168" s="24"/>
      <c r="J11168" s="24"/>
      <c r="K11168" s="24"/>
      <c r="L11168" s="24"/>
      <c r="M11168" s="24"/>
      <c r="N11168" s="24"/>
      <c r="O11168" s="24"/>
      <c r="P11168" s="24"/>
      <c r="Q11168" s="24"/>
      <c r="R11168" s="24"/>
      <c r="S11168" s="24"/>
      <c r="T11168" s="24"/>
      <c r="U11168" s="24"/>
      <c r="V11168" s="24"/>
      <c r="W11168" s="24"/>
      <c r="X11168" s="24"/>
      <c r="Y11168" s="24"/>
      <c r="Z11168" s="24"/>
      <c r="AA11168" s="24"/>
    </row>
    <row r="11169">
      <c r="A11169" s="24"/>
      <c r="B11169" s="25"/>
      <c r="C11169" s="24"/>
      <c r="D11169" s="26"/>
      <c r="E11169" s="24"/>
      <c r="F11169" s="24"/>
      <c r="G11169" s="24"/>
      <c r="H11169" s="24"/>
      <c r="I11169" s="24"/>
      <c r="J11169" s="24"/>
      <c r="K11169" s="24"/>
      <c r="L11169" s="24"/>
      <c r="M11169" s="24"/>
      <c r="N11169" s="24"/>
      <c r="O11169" s="24"/>
      <c r="P11169" s="24"/>
      <c r="Q11169" s="24"/>
      <c r="R11169" s="24"/>
      <c r="S11169" s="24"/>
      <c r="T11169" s="24"/>
      <c r="U11169" s="24"/>
      <c r="V11169" s="24"/>
      <c r="W11169" s="24"/>
      <c r="X11169" s="24"/>
      <c r="Y11169" s="24"/>
      <c r="Z11169" s="24"/>
      <c r="AA11169" s="24"/>
    </row>
    <row r="11170">
      <c r="A11170" s="24"/>
      <c r="B11170" s="25"/>
      <c r="C11170" s="24"/>
      <c r="D11170" s="26"/>
      <c r="E11170" s="24"/>
      <c r="F11170" s="24"/>
      <c r="G11170" s="24"/>
      <c r="H11170" s="24"/>
      <c r="I11170" s="24"/>
      <c r="J11170" s="24"/>
      <c r="K11170" s="24"/>
      <c r="L11170" s="24"/>
      <c r="M11170" s="24"/>
      <c r="N11170" s="24"/>
      <c r="O11170" s="24"/>
      <c r="P11170" s="24"/>
      <c r="Q11170" s="24"/>
      <c r="R11170" s="24"/>
      <c r="S11170" s="24"/>
      <c r="T11170" s="24"/>
      <c r="U11170" s="24"/>
      <c r="V11170" s="24"/>
      <c r="W11170" s="24"/>
      <c r="X11170" s="24"/>
      <c r="Y11170" s="24"/>
      <c r="Z11170" s="24"/>
      <c r="AA11170" s="24"/>
    </row>
    <row r="11171">
      <c r="A11171" s="24"/>
      <c r="B11171" s="25"/>
      <c r="C11171" s="24"/>
      <c r="D11171" s="26"/>
      <c r="E11171" s="24"/>
      <c r="F11171" s="24"/>
      <c r="G11171" s="24"/>
      <c r="H11171" s="24"/>
      <c r="I11171" s="24"/>
      <c r="J11171" s="24"/>
      <c r="K11171" s="24"/>
      <c r="L11171" s="24"/>
      <c r="M11171" s="24"/>
      <c r="N11171" s="24"/>
      <c r="O11171" s="24"/>
      <c r="P11171" s="24"/>
      <c r="Q11171" s="24"/>
      <c r="R11171" s="24"/>
      <c r="S11171" s="24"/>
      <c r="T11171" s="24"/>
      <c r="U11171" s="24"/>
      <c r="V11171" s="24"/>
      <c r="W11171" s="24"/>
      <c r="X11171" s="24"/>
      <c r="Y11171" s="24"/>
      <c r="Z11171" s="24"/>
      <c r="AA11171" s="24"/>
    </row>
    <row r="11172">
      <c r="A11172" s="24"/>
      <c r="B11172" s="25"/>
      <c r="C11172" s="24"/>
      <c r="D11172" s="26"/>
      <c r="E11172" s="24"/>
      <c r="F11172" s="24"/>
      <c r="G11172" s="24"/>
      <c r="H11172" s="24"/>
      <c r="I11172" s="24"/>
      <c r="J11172" s="24"/>
      <c r="K11172" s="24"/>
      <c r="L11172" s="24"/>
      <c r="M11172" s="24"/>
      <c r="N11172" s="24"/>
      <c r="O11172" s="24"/>
      <c r="P11172" s="24"/>
      <c r="Q11172" s="24"/>
      <c r="R11172" s="24"/>
      <c r="S11172" s="24"/>
      <c r="T11172" s="24"/>
      <c r="U11172" s="24"/>
      <c r="V11172" s="24"/>
      <c r="W11172" s="24"/>
      <c r="X11172" s="24"/>
      <c r="Y11172" s="24"/>
      <c r="Z11172" s="24"/>
      <c r="AA11172" s="24"/>
    </row>
    <row r="11173">
      <c r="A11173" s="24"/>
      <c r="B11173" s="25"/>
      <c r="C11173" s="24"/>
      <c r="D11173" s="26"/>
      <c r="E11173" s="24"/>
      <c r="F11173" s="24"/>
      <c r="G11173" s="24"/>
      <c r="H11173" s="24"/>
      <c r="I11173" s="24"/>
      <c r="J11173" s="24"/>
      <c r="K11173" s="24"/>
      <c r="L11173" s="24"/>
      <c r="M11173" s="24"/>
      <c r="N11173" s="24"/>
      <c r="O11173" s="24"/>
      <c r="P11173" s="24"/>
      <c r="Q11173" s="24"/>
      <c r="R11173" s="24"/>
      <c r="S11173" s="24"/>
      <c r="T11173" s="24"/>
      <c r="U11173" s="24"/>
      <c r="V11173" s="24"/>
      <c r="W11173" s="24"/>
      <c r="X11173" s="24"/>
      <c r="Y11173" s="24"/>
      <c r="Z11173" s="24"/>
      <c r="AA11173" s="24"/>
    </row>
    <row r="11174">
      <c r="A11174" s="24"/>
      <c r="B11174" s="25"/>
      <c r="C11174" s="24"/>
      <c r="D11174" s="26"/>
      <c r="E11174" s="24"/>
      <c r="F11174" s="24"/>
      <c r="G11174" s="24"/>
      <c r="H11174" s="24"/>
      <c r="I11174" s="24"/>
      <c r="J11174" s="24"/>
      <c r="K11174" s="24"/>
      <c r="L11174" s="24"/>
      <c r="M11174" s="24"/>
      <c r="N11174" s="24"/>
      <c r="O11174" s="24"/>
      <c r="P11174" s="24"/>
      <c r="Q11174" s="24"/>
      <c r="R11174" s="24"/>
      <c r="S11174" s="24"/>
      <c r="T11174" s="24"/>
      <c r="U11174" s="24"/>
      <c r="V11174" s="24"/>
      <c r="W11174" s="24"/>
      <c r="X11174" s="24"/>
      <c r="Y11174" s="24"/>
      <c r="Z11174" s="24"/>
      <c r="AA11174" s="24"/>
    </row>
    <row r="11175">
      <c r="A11175" s="24"/>
      <c r="B11175" s="25"/>
      <c r="C11175" s="24"/>
      <c r="D11175" s="26"/>
      <c r="E11175" s="24"/>
      <c r="F11175" s="24"/>
      <c r="G11175" s="24"/>
      <c r="H11175" s="24"/>
      <c r="I11175" s="24"/>
      <c r="J11175" s="24"/>
      <c r="K11175" s="24"/>
      <c r="L11175" s="24"/>
      <c r="M11175" s="24"/>
      <c r="N11175" s="24"/>
      <c r="O11175" s="24"/>
      <c r="P11175" s="24"/>
      <c r="Q11175" s="24"/>
      <c r="R11175" s="24"/>
      <c r="S11175" s="24"/>
      <c r="T11175" s="24"/>
      <c r="U11175" s="24"/>
      <c r="V11175" s="24"/>
      <c r="W11175" s="24"/>
      <c r="X11175" s="24"/>
      <c r="Y11175" s="24"/>
      <c r="Z11175" s="24"/>
      <c r="AA11175" s="24"/>
    </row>
    <row r="11176">
      <c r="A11176" s="24"/>
      <c r="B11176" s="25"/>
      <c r="C11176" s="24"/>
      <c r="D11176" s="26"/>
      <c r="E11176" s="24"/>
      <c r="F11176" s="24"/>
      <c r="G11176" s="24"/>
      <c r="H11176" s="24"/>
      <c r="I11176" s="24"/>
      <c r="J11176" s="24"/>
      <c r="K11176" s="24"/>
      <c r="L11176" s="24"/>
      <c r="M11176" s="24"/>
      <c r="N11176" s="24"/>
      <c r="O11176" s="24"/>
      <c r="P11176" s="24"/>
      <c r="Q11176" s="24"/>
      <c r="R11176" s="24"/>
      <c r="S11176" s="24"/>
      <c r="T11176" s="24"/>
      <c r="U11176" s="24"/>
      <c r="V11176" s="24"/>
      <c r="W11176" s="24"/>
      <c r="X11176" s="24"/>
      <c r="Y11176" s="24"/>
      <c r="Z11176" s="24"/>
      <c r="AA11176" s="24"/>
    </row>
    <row r="11177">
      <c r="A11177" s="24"/>
      <c r="B11177" s="25"/>
      <c r="C11177" s="24"/>
      <c r="D11177" s="26"/>
      <c r="E11177" s="24"/>
      <c r="F11177" s="24"/>
      <c r="G11177" s="24"/>
      <c r="H11177" s="24"/>
      <c r="I11177" s="24"/>
      <c r="J11177" s="24"/>
      <c r="K11177" s="24"/>
      <c r="L11177" s="24"/>
      <c r="M11177" s="24"/>
      <c r="N11177" s="24"/>
      <c r="O11177" s="24"/>
      <c r="P11177" s="24"/>
      <c r="Q11177" s="24"/>
      <c r="R11177" s="24"/>
      <c r="S11177" s="24"/>
      <c r="T11177" s="24"/>
      <c r="U11177" s="24"/>
      <c r="V11177" s="24"/>
      <c r="W11177" s="24"/>
      <c r="X11177" s="24"/>
      <c r="Y11177" s="24"/>
      <c r="Z11177" s="24"/>
      <c r="AA11177" s="24"/>
    </row>
    <row r="11178">
      <c r="A11178" s="24"/>
      <c r="B11178" s="25"/>
      <c r="C11178" s="24"/>
      <c r="D11178" s="26"/>
      <c r="E11178" s="24"/>
      <c r="F11178" s="24"/>
      <c r="G11178" s="24"/>
      <c r="H11178" s="24"/>
      <c r="I11178" s="24"/>
      <c r="J11178" s="24"/>
      <c r="K11178" s="24"/>
      <c r="L11178" s="24"/>
      <c r="M11178" s="24"/>
      <c r="N11178" s="24"/>
      <c r="O11178" s="24"/>
      <c r="P11178" s="24"/>
      <c r="Q11178" s="24"/>
      <c r="R11178" s="24"/>
      <c r="S11178" s="24"/>
      <c r="T11178" s="24"/>
      <c r="U11178" s="24"/>
      <c r="V11178" s="24"/>
      <c r="W11178" s="24"/>
      <c r="X11178" s="24"/>
      <c r="Y11178" s="24"/>
      <c r="Z11178" s="24"/>
      <c r="AA11178" s="24"/>
    </row>
    <row r="11179">
      <c r="A11179" s="24"/>
      <c r="B11179" s="25"/>
      <c r="C11179" s="24"/>
      <c r="D11179" s="26"/>
      <c r="E11179" s="24"/>
      <c r="F11179" s="24"/>
      <c r="G11179" s="24"/>
      <c r="H11179" s="24"/>
      <c r="I11179" s="24"/>
      <c r="J11179" s="24"/>
      <c r="K11179" s="24"/>
      <c r="L11179" s="24"/>
      <c r="M11179" s="24"/>
      <c r="N11179" s="24"/>
      <c r="O11179" s="24"/>
      <c r="P11179" s="24"/>
      <c r="Q11179" s="24"/>
      <c r="R11179" s="24"/>
      <c r="S11179" s="24"/>
      <c r="T11179" s="24"/>
      <c r="U11179" s="24"/>
      <c r="V11179" s="24"/>
      <c r="W11179" s="24"/>
      <c r="X11179" s="24"/>
      <c r="Y11179" s="24"/>
      <c r="Z11179" s="24"/>
      <c r="AA11179" s="24"/>
    </row>
    <row r="11180">
      <c r="A11180" s="24"/>
      <c r="B11180" s="25"/>
      <c r="C11180" s="24"/>
      <c r="D11180" s="26"/>
      <c r="E11180" s="24"/>
      <c r="F11180" s="24"/>
      <c r="G11180" s="24"/>
      <c r="H11180" s="24"/>
      <c r="I11180" s="24"/>
      <c r="J11180" s="24"/>
      <c r="K11180" s="24"/>
      <c r="L11180" s="24"/>
      <c r="M11180" s="24"/>
      <c r="N11180" s="24"/>
      <c r="O11180" s="24"/>
      <c r="P11180" s="24"/>
      <c r="Q11180" s="24"/>
      <c r="R11180" s="24"/>
      <c r="S11180" s="24"/>
      <c r="T11180" s="24"/>
      <c r="U11180" s="24"/>
      <c r="V11180" s="24"/>
      <c r="W11180" s="24"/>
      <c r="X11180" s="24"/>
      <c r="Y11180" s="24"/>
      <c r="Z11180" s="24"/>
      <c r="AA11180" s="24"/>
    </row>
    <row r="11181">
      <c r="A11181" s="24"/>
      <c r="B11181" s="25"/>
      <c r="C11181" s="24"/>
      <c r="D11181" s="26"/>
      <c r="E11181" s="24"/>
      <c r="F11181" s="24"/>
      <c r="G11181" s="24"/>
      <c r="H11181" s="24"/>
      <c r="I11181" s="24"/>
      <c r="J11181" s="24"/>
      <c r="K11181" s="24"/>
      <c r="L11181" s="24"/>
      <c r="M11181" s="24"/>
      <c r="N11181" s="24"/>
      <c r="O11181" s="24"/>
      <c r="P11181" s="24"/>
      <c r="Q11181" s="24"/>
      <c r="R11181" s="24"/>
      <c r="S11181" s="24"/>
      <c r="T11181" s="24"/>
      <c r="U11181" s="24"/>
      <c r="V11181" s="24"/>
      <c r="W11181" s="24"/>
      <c r="X11181" s="24"/>
      <c r="Y11181" s="24"/>
      <c r="Z11181" s="24"/>
      <c r="AA11181" s="24"/>
    </row>
    <row r="11182">
      <c r="A11182" s="24"/>
      <c r="B11182" s="25"/>
      <c r="C11182" s="24"/>
      <c r="D11182" s="26"/>
      <c r="E11182" s="24"/>
      <c r="F11182" s="24"/>
      <c r="G11182" s="24"/>
      <c r="H11182" s="24"/>
      <c r="I11182" s="24"/>
      <c r="J11182" s="24"/>
      <c r="K11182" s="24"/>
      <c r="L11182" s="24"/>
      <c r="M11182" s="24"/>
      <c r="N11182" s="24"/>
      <c r="O11182" s="24"/>
      <c r="P11182" s="24"/>
      <c r="Q11182" s="24"/>
      <c r="R11182" s="24"/>
      <c r="S11182" s="24"/>
      <c r="T11182" s="24"/>
      <c r="U11182" s="24"/>
      <c r="V11182" s="24"/>
      <c r="W11182" s="24"/>
      <c r="X11182" s="24"/>
      <c r="Y11182" s="24"/>
      <c r="Z11182" s="24"/>
      <c r="AA11182" s="24"/>
    </row>
    <row r="11183">
      <c r="A11183" s="24"/>
      <c r="B11183" s="25"/>
      <c r="C11183" s="24"/>
      <c r="D11183" s="26"/>
      <c r="E11183" s="24"/>
      <c r="F11183" s="24"/>
      <c r="G11183" s="24"/>
      <c r="H11183" s="24"/>
      <c r="I11183" s="24"/>
      <c r="J11183" s="24"/>
      <c r="K11183" s="24"/>
      <c r="L11183" s="24"/>
      <c r="M11183" s="24"/>
      <c r="N11183" s="24"/>
      <c r="O11183" s="24"/>
      <c r="P11183" s="24"/>
      <c r="Q11183" s="24"/>
      <c r="R11183" s="24"/>
      <c r="S11183" s="24"/>
      <c r="T11183" s="24"/>
      <c r="U11183" s="24"/>
      <c r="V11183" s="24"/>
      <c r="W11183" s="24"/>
      <c r="X11183" s="24"/>
      <c r="Y11183" s="24"/>
      <c r="Z11183" s="24"/>
      <c r="AA11183" s="24"/>
    </row>
    <row r="11184">
      <c r="A11184" s="24"/>
      <c r="B11184" s="25"/>
      <c r="C11184" s="24"/>
      <c r="D11184" s="26"/>
      <c r="E11184" s="24"/>
      <c r="F11184" s="24"/>
      <c r="G11184" s="24"/>
      <c r="H11184" s="24"/>
      <c r="I11184" s="24"/>
      <c r="J11184" s="24"/>
      <c r="K11184" s="24"/>
      <c r="L11184" s="24"/>
      <c r="M11184" s="24"/>
      <c r="N11184" s="24"/>
      <c r="O11184" s="24"/>
      <c r="P11184" s="24"/>
      <c r="Q11184" s="24"/>
      <c r="R11184" s="24"/>
      <c r="S11184" s="24"/>
      <c r="T11184" s="24"/>
      <c r="U11184" s="24"/>
      <c r="V11184" s="24"/>
      <c r="W11184" s="24"/>
      <c r="X11184" s="24"/>
      <c r="Y11184" s="24"/>
      <c r="Z11184" s="24"/>
      <c r="AA11184" s="24"/>
    </row>
    <row r="11185">
      <c r="A11185" s="24"/>
      <c r="B11185" s="25"/>
      <c r="C11185" s="24"/>
      <c r="D11185" s="26"/>
      <c r="E11185" s="24"/>
      <c r="F11185" s="24"/>
      <c r="G11185" s="24"/>
      <c r="H11185" s="24"/>
      <c r="I11185" s="24"/>
      <c r="J11185" s="24"/>
      <c r="K11185" s="24"/>
      <c r="L11185" s="24"/>
      <c r="M11185" s="24"/>
      <c r="N11185" s="24"/>
      <c r="O11185" s="24"/>
      <c r="P11185" s="24"/>
      <c r="Q11185" s="24"/>
      <c r="R11185" s="24"/>
      <c r="S11185" s="24"/>
      <c r="T11185" s="24"/>
      <c r="U11185" s="24"/>
      <c r="V11185" s="24"/>
      <c r="W11185" s="24"/>
      <c r="X11185" s="24"/>
      <c r="Y11185" s="24"/>
      <c r="Z11185" s="24"/>
      <c r="AA11185" s="24"/>
    </row>
    <row r="11186">
      <c r="A11186" s="24"/>
      <c r="B11186" s="25"/>
      <c r="C11186" s="24"/>
      <c r="D11186" s="26"/>
      <c r="E11186" s="24"/>
      <c r="F11186" s="24"/>
      <c r="G11186" s="24"/>
      <c r="H11186" s="24"/>
      <c r="I11186" s="24"/>
      <c r="J11186" s="24"/>
      <c r="K11186" s="24"/>
      <c r="L11186" s="24"/>
      <c r="M11186" s="24"/>
      <c r="N11186" s="24"/>
      <c r="O11186" s="24"/>
      <c r="P11186" s="24"/>
      <c r="Q11186" s="24"/>
      <c r="R11186" s="24"/>
      <c r="S11186" s="24"/>
      <c r="T11186" s="24"/>
      <c r="U11186" s="24"/>
      <c r="V11186" s="24"/>
      <c r="W11186" s="24"/>
      <c r="X11186" s="24"/>
      <c r="Y11186" s="24"/>
      <c r="Z11186" s="24"/>
      <c r="AA11186" s="24"/>
    </row>
    <row r="11187">
      <c r="A11187" s="24"/>
      <c r="B11187" s="25"/>
      <c r="C11187" s="24"/>
      <c r="D11187" s="26"/>
      <c r="E11187" s="24"/>
      <c r="F11187" s="24"/>
      <c r="G11187" s="24"/>
      <c r="H11187" s="24"/>
      <c r="I11187" s="24"/>
      <c r="J11187" s="24"/>
      <c r="K11187" s="24"/>
      <c r="L11187" s="24"/>
      <c r="M11187" s="24"/>
      <c r="N11187" s="24"/>
      <c r="O11187" s="24"/>
      <c r="P11187" s="24"/>
      <c r="Q11187" s="24"/>
      <c r="R11187" s="24"/>
      <c r="S11187" s="24"/>
      <c r="T11187" s="24"/>
      <c r="U11187" s="24"/>
      <c r="V11187" s="24"/>
      <c r="W11187" s="24"/>
      <c r="X11187" s="24"/>
      <c r="Y11187" s="24"/>
      <c r="Z11187" s="24"/>
      <c r="AA11187" s="24"/>
    </row>
    <row r="11188">
      <c r="A11188" s="24"/>
      <c r="B11188" s="25"/>
      <c r="C11188" s="24"/>
      <c r="D11188" s="26"/>
      <c r="E11188" s="24"/>
      <c r="F11188" s="24"/>
      <c r="G11188" s="24"/>
      <c r="H11188" s="24"/>
      <c r="I11188" s="24"/>
      <c r="J11188" s="24"/>
      <c r="K11188" s="24"/>
      <c r="L11188" s="24"/>
      <c r="M11188" s="24"/>
      <c r="N11188" s="24"/>
      <c r="O11188" s="24"/>
      <c r="P11188" s="24"/>
      <c r="Q11188" s="24"/>
      <c r="R11188" s="24"/>
      <c r="S11188" s="24"/>
      <c r="T11188" s="24"/>
      <c r="U11188" s="24"/>
      <c r="V11188" s="24"/>
      <c r="W11188" s="24"/>
      <c r="X11188" s="24"/>
      <c r="Y11188" s="24"/>
      <c r="Z11188" s="24"/>
      <c r="AA11188" s="24"/>
    </row>
    <row r="11189">
      <c r="A11189" s="24"/>
      <c r="B11189" s="25"/>
      <c r="C11189" s="24"/>
      <c r="D11189" s="26"/>
      <c r="E11189" s="24"/>
      <c r="F11189" s="24"/>
      <c r="G11189" s="24"/>
      <c r="H11189" s="24"/>
      <c r="I11189" s="24"/>
      <c r="J11189" s="24"/>
      <c r="K11189" s="24"/>
      <c r="L11189" s="24"/>
      <c r="M11189" s="24"/>
      <c r="N11189" s="24"/>
      <c r="O11189" s="24"/>
      <c r="P11189" s="24"/>
      <c r="Q11189" s="24"/>
      <c r="R11189" s="24"/>
      <c r="S11189" s="24"/>
      <c r="T11189" s="24"/>
      <c r="U11189" s="24"/>
      <c r="V11189" s="24"/>
      <c r="W11189" s="24"/>
      <c r="X11189" s="24"/>
      <c r="Y11189" s="24"/>
      <c r="Z11189" s="24"/>
      <c r="AA11189" s="24"/>
    </row>
    <row r="11190">
      <c r="A11190" s="24"/>
      <c r="B11190" s="25"/>
      <c r="C11190" s="24"/>
      <c r="D11190" s="26"/>
      <c r="E11190" s="24"/>
      <c r="F11190" s="24"/>
      <c r="G11190" s="24"/>
      <c r="H11190" s="24"/>
      <c r="I11190" s="24"/>
      <c r="J11190" s="24"/>
      <c r="K11190" s="24"/>
      <c r="L11190" s="24"/>
      <c r="M11190" s="24"/>
      <c r="N11190" s="24"/>
      <c r="O11190" s="24"/>
      <c r="P11190" s="24"/>
      <c r="Q11190" s="24"/>
      <c r="R11190" s="24"/>
      <c r="S11190" s="24"/>
      <c r="T11190" s="24"/>
      <c r="U11190" s="24"/>
      <c r="V11190" s="24"/>
      <c r="W11190" s="24"/>
      <c r="X11190" s="24"/>
      <c r="Y11190" s="24"/>
      <c r="Z11190" s="24"/>
      <c r="AA11190" s="24"/>
    </row>
    <row r="11191">
      <c r="A11191" s="24"/>
      <c r="B11191" s="25"/>
      <c r="C11191" s="24"/>
      <c r="D11191" s="26"/>
      <c r="E11191" s="24"/>
      <c r="F11191" s="24"/>
      <c r="G11191" s="24"/>
      <c r="H11191" s="24"/>
      <c r="I11191" s="24"/>
      <c r="J11191" s="24"/>
      <c r="K11191" s="24"/>
      <c r="L11191" s="24"/>
      <c r="M11191" s="24"/>
      <c r="N11191" s="24"/>
      <c r="O11191" s="24"/>
      <c r="P11191" s="24"/>
      <c r="Q11191" s="24"/>
      <c r="R11191" s="24"/>
      <c r="S11191" s="24"/>
      <c r="T11191" s="24"/>
      <c r="U11191" s="24"/>
      <c r="V11191" s="24"/>
      <c r="W11191" s="24"/>
      <c r="X11191" s="24"/>
      <c r="Y11191" s="24"/>
      <c r="Z11191" s="24"/>
      <c r="AA11191" s="24"/>
    </row>
    <row r="11192">
      <c r="A11192" s="24"/>
      <c r="B11192" s="25"/>
      <c r="C11192" s="24"/>
      <c r="D11192" s="26"/>
      <c r="E11192" s="24"/>
      <c r="F11192" s="24"/>
      <c r="G11192" s="24"/>
      <c r="H11192" s="24"/>
      <c r="I11192" s="24"/>
      <c r="J11192" s="24"/>
      <c r="K11192" s="24"/>
      <c r="L11192" s="24"/>
      <c r="M11192" s="24"/>
      <c r="N11192" s="24"/>
      <c r="O11192" s="24"/>
      <c r="P11192" s="24"/>
      <c r="Q11192" s="24"/>
      <c r="R11192" s="24"/>
      <c r="S11192" s="24"/>
      <c r="T11192" s="24"/>
      <c r="U11192" s="24"/>
      <c r="V11192" s="24"/>
      <c r="W11192" s="24"/>
      <c r="X11192" s="24"/>
      <c r="Y11192" s="24"/>
      <c r="Z11192" s="24"/>
      <c r="AA11192" s="24"/>
    </row>
    <row r="11193">
      <c r="A11193" s="24"/>
      <c r="B11193" s="25"/>
      <c r="C11193" s="24"/>
      <c r="D11193" s="26"/>
      <c r="E11193" s="24"/>
      <c r="F11193" s="24"/>
      <c r="G11193" s="24"/>
      <c r="H11193" s="24"/>
      <c r="I11193" s="24"/>
      <c r="J11193" s="24"/>
      <c r="K11193" s="24"/>
      <c r="L11193" s="24"/>
      <c r="M11193" s="24"/>
      <c r="N11193" s="24"/>
      <c r="O11193" s="24"/>
      <c r="P11193" s="24"/>
      <c r="Q11193" s="24"/>
      <c r="R11193" s="24"/>
      <c r="S11193" s="24"/>
      <c r="T11193" s="24"/>
      <c r="U11193" s="24"/>
      <c r="V11193" s="24"/>
      <c r="W11193" s="24"/>
      <c r="X11193" s="24"/>
      <c r="Y11193" s="24"/>
      <c r="Z11193" s="24"/>
      <c r="AA11193" s="24"/>
    </row>
    <row r="11194">
      <c r="A11194" s="24"/>
      <c r="B11194" s="25"/>
      <c r="C11194" s="24"/>
      <c r="D11194" s="26"/>
      <c r="E11194" s="24"/>
      <c r="F11194" s="24"/>
      <c r="G11194" s="24"/>
      <c r="H11194" s="24"/>
      <c r="I11194" s="24"/>
      <c r="J11194" s="24"/>
      <c r="K11194" s="24"/>
      <c r="L11194" s="24"/>
      <c r="M11194" s="24"/>
      <c r="N11194" s="24"/>
      <c r="O11194" s="24"/>
      <c r="P11194" s="24"/>
      <c r="Q11194" s="24"/>
      <c r="R11194" s="24"/>
      <c r="S11194" s="24"/>
      <c r="T11194" s="24"/>
      <c r="U11194" s="24"/>
      <c r="V11194" s="24"/>
      <c r="W11194" s="24"/>
      <c r="X11194" s="24"/>
      <c r="Y11194" s="24"/>
      <c r="Z11194" s="24"/>
      <c r="AA11194" s="24"/>
    </row>
    <row r="11195">
      <c r="A11195" s="24"/>
      <c r="B11195" s="25"/>
      <c r="C11195" s="24"/>
      <c r="D11195" s="26"/>
      <c r="E11195" s="24"/>
      <c r="F11195" s="24"/>
      <c r="G11195" s="24"/>
      <c r="H11195" s="24"/>
      <c r="I11195" s="24"/>
      <c r="J11195" s="24"/>
      <c r="K11195" s="24"/>
      <c r="L11195" s="24"/>
      <c r="M11195" s="24"/>
      <c r="N11195" s="24"/>
      <c r="O11195" s="24"/>
      <c r="P11195" s="24"/>
      <c r="Q11195" s="24"/>
      <c r="R11195" s="24"/>
      <c r="S11195" s="24"/>
      <c r="T11195" s="24"/>
      <c r="U11195" s="24"/>
      <c r="V11195" s="24"/>
      <c r="W11195" s="24"/>
      <c r="X11195" s="24"/>
      <c r="Y11195" s="24"/>
      <c r="Z11195" s="24"/>
      <c r="AA11195" s="24"/>
    </row>
    <row r="11196">
      <c r="A11196" s="24"/>
      <c r="B11196" s="25"/>
      <c r="C11196" s="24"/>
      <c r="D11196" s="26"/>
      <c r="E11196" s="24"/>
      <c r="F11196" s="24"/>
      <c r="G11196" s="24"/>
      <c r="H11196" s="24"/>
      <c r="I11196" s="24"/>
      <c r="J11196" s="24"/>
      <c r="K11196" s="24"/>
      <c r="L11196" s="24"/>
      <c r="M11196" s="24"/>
      <c r="N11196" s="24"/>
      <c r="O11196" s="24"/>
      <c r="P11196" s="24"/>
      <c r="Q11196" s="24"/>
      <c r="R11196" s="24"/>
      <c r="S11196" s="24"/>
      <c r="T11196" s="24"/>
      <c r="U11196" s="24"/>
      <c r="V11196" s="24"/>
      <c r="W11196" s="24"/>
      <c r="X11196" s="24"/>
      <c r="Y11196" s="24"/>
      <c r="Z11196" s="24"/>
      <c r="AA11196" s="24"/>
    </row>
    <row r="11197">
      <c r="A11197" s="24"/>
      <c r="B11197" s="25"/>
      <c r="C11197" s="24"/>
      <c r="D11197" s="26"/>
      <c r="E11197" s="24"/>
      <c r="F11197" s="24"/>
      <c r="G11197" s="24"/>
      <c r="H11197" s="24"/>
      <c r="I11197" s="24"/>
      <c r="J11197" s="24"/>
      <c r="K11197" s="24"/>
      <c r="L11197" s="24"/>
      <c r="M11197" s="24"/>
      <c r="N11197" s="24"/>
      <c r="O11197" s="24"/>
      <c r="P11197" s="24"/>
      <c r="Q11197" s="24"/>
      <c r="R11197" s="24"/>
      <c r="S11197" s="24"/>
      <c r="T11197" s="24"/>
      <c r="U11197" s="24"/>
      <c r="V11197" s="24"/>
      <c r="W11197" s="24"/>
      <c r="X11197" s="24"/>
      <c r="Y11197" s="24"/>
      <c r="Z11197" s="24"/>
      <c r="AA11197" s="24"/>
    </row>
    <row r="11198">
      <c r="A11198" s="24"/>
      <c r="B11198" s="25"/>
      <c r="C11198" s="24"/>
      <c r="D11198" s="26"/>
      <c r="E11198" s="24"/>
      <c r="F11198" s="24"/>
      <c r="G11198" s="24"/>
      <c r="H11198" s="24"/>
      <c r="I11198" s="24"/>
      <c r="J11198" s="24"/>
      <c r="K11198" s="24"/>
      <c r="L11198" s="24"/>
      <c r="M11198" s="24"/>
      <c r="N11198" s="24"/>
      <c r="O11198" s="24"/>
      <c r="P11198" s="24"/>
      <c r="Q11198" s="24"/>
      <c r="R11198" s="24"/>
      <c r="S11198" s="24"/>
      <c r="T11198" s="24"/>
      <c r="U11198" s="24"/>
      <c r="V11198" s="24"/>
      <c r="W11198" s="24"/>
      <c r="X11198" s="24"/>
      <c r="Y11198" s="24"/>
      <c r="Z11198" s="24"/>
      <c r="AA11198" s="24"/>
    </row>
    <row r="11199">
      <c r="A11199" s="24"/>
      <c r="B11199" s="25"/>
      <c r="C11199" s="24"/>
      <c r="D11199" s="26"/>
      <c r="E11199" s="24"/>
      <c r="F11199" s="24"/>
      <c r="G11199" s="24"/>
      <c r="H11199" s="24"/>
      <c r="I11199" s="24"/>
      <c r="J11199" s="24"/>
      <c r="K11199" s="24"/>
      <c r="L11199" s="24"/>
      <c r="M11199" s="24"/>
      <c r="N11199" s="24"/>
      <c r="O11199" s="24"/>
      <c r="P11199" s="24"/>
      <c r="Q11199" s="24"/>
      <c r="R11199" s="24"/>
      <c r="S11199" s="24"/>
      <c r="T11199" s="24"/>
      <c r="U11199" s="24"/>
      <c r="V11199" s="24"/>
      <c r="W11199" s="24"/>
      <c r="X11199" s="24"/>
      <c r="Y11199" s="24"/>
      <c r="Z11199" s="24"/>
      <c r="AA11199" s="24"/>
    </row>
    <row r="11200">
      <c r="A11200" s="24"/>
      <c r="B11200" s="25"/>
      <c r="C11200" s="24"/>
      <c r="D11200" s="26"/>
      <c r="E11200" s="24"/>
      <c r="F11200" s="24"/>
      <c r="G11200" s="24"/>
      <c r="H11200" s="24"/>
      <c r="I11200" s="24"/>
      <c r="J11200" s="24"/>
      <c r="K11200" s="24"/>
      <c r="L11200" s="24"/>
      <c r="M11200" s="24"/>
      <c r="N11200" s="24"/>
      <c r="O11200" s="24"/>
      <c r="P11200" s="24"/>
      <c r="Q11200" s="24"/>
      <c r="R11200" s="24"/>
      <c r="S11200" s="24"/>
      <c r="T11200" s="24"/>
      <c r="U11200" s="24"/>
      <c r="V11200" s="24"/>
      <c r="W11200" s="24"/>
      <c r="X11200" s="24"/>
      <c r="Y11200" s="24"/>
      <c r="Z11200" s="24"/>
      <c r="AA11200" s="24"/>
    </row>
    <row r="11201">
      <c r="A11201" s="24"/>
      <c r="B11201" s="25"/>
      <c r="C11201" s="24"/>
      <c r="D11201" s="26"/>
      <c r="E11201" s="24"/>
      <c r="F11201" s="24"/>
      <c r="G11201" s="24"/>
      <c r="H11201" s="24"/>
      <c r="I11201" s="24"/>
      <c r="J11201" s="24"/>
      <c r="K11201" s="24"/>
      <c r="L11201" s="24"/>
      <c r="M11201" s="24"/>
      <c r="N11201" s="24"/>
      <c r="O11201" s="24"/>
      <c r="P11201" s="24"/>
      <c r="Q11201" s="24"/>
      <c r="R11201" s="24"/>
      <c r="S11201" s="24"/>
      <c r="T11201" s="24"/>
      <c r="U11201" s="24"/>
      <c r="V11201" s="24"/>
      <c r="W11201" s="24"/>
      <c r="X11201" s="24"/>
      <c r="Y11201" s="24"/>
      <c r="Z11201" s="24"/>
      <c r="AA11201" s="24"/>
    </row>
    <row r="11202">
      <c r="A11202" s="24"/>
      <c r="B11202" s="25"/>
      <c r="C11202" s="24"/>
      <c r="D11202" s="26"/>
      <c r="E11202" s="24"/>
      <c r="F11202" s="24"/>
      <c r="G11202" s="24"/>
      <c r="H11202" s="24"/>
      <c r="I11202" s="24"/>
      <c r="J11202" s="24"/>
      <c r="K11202" s="24"/>
      <c r="L11202" s="24"/>
      <c r="M11202" s="24"/>
      <c r="N11202" s="24"/>
      <c r="O11202" s="24"/>
      <c r="P11202" s="24"/>
      <c r="Q11202" s="24"/>
      <c r="R11202" s="24"/>
      <c r="S11202" s="24"/>
      <c r="T11202" s="24"/>
      <c r="U11202" s="24"/>
      <c r="V11202" s="24"/>
      <c r="W11202" s="24"/>
      <c r="X11202" s="24"/>
      <c r="Y11202" s="24"/>
      <c r="Z11202" s="24"/>
      <c r="AA11202" s="24"/>
    </row>
    <row r="11203">
      <c r="A11203" s="24"/>
      <c r="B11203" s="25"/>
      <c r="C11203" s="24"/>
      <c r="D11203" s="26"/>
      <c r="E11203" s="24"/>
      <c r="F11203" s="24"/>
      <c r="G11203" s="24"/>
      <c r="H11203" s="24"/>
      <c r="I11203" s="24"/>
      <c r="J11203" s="24"/>
      <c r="K11203" s="24"/>
      <c r="L11203" s="24"/>
      <c r="M11203" s="24"/>
      <c r="N11203" s="24"/>
      <c r="O11203" s="24"/>
      <c r="P11203" s="24"/>
      <c r="Q11203" s="24"/>
      <c r="R11203" s="24"/>
      <c r="S11203" s="24"/>
      <c r="T11203" s="24"/>
      <c r="U11203" s="24"/>
      <c r="V11203" s="24"/>
      <c r="W11203" s="24"/>
      <c r="X11203" s="24"/>
      <c r="Y11203" s="24"/>
      <c r="Z11203" s="24"/>
      <c r="AA11203" s="24"/>
    </row>
    <row r="11204">
      <c r="A11204" s="24"/>
      <c r="B11204" s="25"/>
      <c r="C11204" s="24"/>
      <c r="D11204" s="26"/>
      <c r="E11204" s="24"/>
      <c r="F11204" s="24"/>
      <c r="G11204" s="24"/>
      <c r="H11204" s="24"/>
      <c r="I11204" s="24"/>
      <c r="J11204" s="24"/>
      <c r="K11204" s="24"/>
      <c r="L11204" s="24"/>
      <c r="M11204" s="24"/>
      <c r="N11204" s="24"/>
      <c r="O11204" s="24"/>
      <c r="P11204" s="24"/>
      <c r="Q11204" s="24"/>
      <c r="R11204" s="24"/>
      <c r="S11204" s="24"/>
      <c r="T11204" s="24"/>
      <c r="U11204" s="24"/>
      <c r="V11204" s="24"/>
      <c r="W11204" s="24"/>
      <c r="X11204" s="24"/>
      <c r="Y11204" s="24"/>
      <c r="Z11204" s="24"/>
      <c r="AA11204" s="24"/>
    </row>
    <row r="11205">
      <c r="A11205" s="24"/>
      <c r="B11205" s="25"/>
      <c r="C11205" s="24"/>
      <c r="D11205" s="26"/>
      <c r="E11205" s="24"/>
      <c r="F11205" s="24"/>
      <c r="G11205" s="24"/>
      <c r="H11205" s="24"/>
      <c r="I11205" s="24"/>
      <c r="J11205" s="24"/>
      <c r="K11205" s="24"/>
      <c r="L11205" s="24"/>
      <c r="M11205" s="24"/>
      <c r="N11205" s="24"/>
      <c r="O11205" s="24"/>
      <c r="P11205" s="24"/>
      <c r="Q11205" s="24"/>
      <c r="R11205" s="24"/>
      <c r="S11205" s="24"/>
      <c r="T11205" s="24"/>
      <c r="U11205" s="24"/>
      <c r="V11205" s="24"/>
      <c r="W11205" s="24"/>
      <c r="X11205" s="24"/>
      <c r="Y11205" s="24"/>
      <c r="Z11205" s="24"/>
      <c r="AA11205" s="24"/>
    </row>
    <row r="11206">
      <c r="A11206" s="24"/>
      <c r="B11206" s="25"/>
      <c r="C11206" s="24"/>
      <c r="D11206" s="26"/>
      <c r="E11206" s="24"/>
      <c r="F11206" s="24"/>
      <c r="G11206" s="24"/>
      <c r="H11206" s="24"/>
      <c r="I11206" s="24"/>
      <c r="J11206" s="24"/>
      <c r="K11206" s="24"/>
      <c r="L11206" s="24"/>
      <c r="M11206" s="24"/>
      <c r="N11206" s="24"/>
      <c r="O11206" s="24"/>
      <c r="P11206" s="24"/>
      <c r="Q11206" s="24"/>
      <c r="R11206" s="24"/>
      <c r="S11206" s="24"/>
      <c r="T11206" s="24"/>
      <c r="U11206" s="24"/>
      <c r="V11206" s="24"/>
      <c r="W11206" s="24"/>
      <c r="X11206" s="24"/>
      <c r="Y11206" s="24"/>
      <c r="Z11206" s="24"/>
      <c r="AA11206" s="24"/>
    </row>
    <row r="11207">
      <c r="A11207" s="24"/>
      <c r="B11207" s="25"/>
      <c r="C11207" s="24"/>
      <c r="D11207" s="26"/>
      <c r="E11207" s="24"/>
      <c r="F11207" s="24"/>
      <c r="G11207" s="24"/>
      <c r="H11207" s="24"/>
      <c r="I11207" s="24"/>
      <c r="J11207" s="24"/>
      <c r="K11207" s="24"/>
      <c r="L11207" s="24"/>
      <c r="M11207" s="24"/>
      <c r="N11207" s="24"/>
      <c r="O11207" s="24"/>
      <c r="P11207" s="24"/>
      <c r="Q11207" s="24"/>
      <c r="R11207" s="24"/>
      <c r="S11207" s="24"/>
      <c r="T11207" s="24"/>
      <c r="U11207" s="24"/>
      <c r="V11207" s="24"/>
      <c r="W11207" s="24"/>
      <c r="X11207" s="24"/>
      <c r="Y11207" s="24"/>
      <c r="Z11207" s="24"/>
      <c r="AA11207" s="24"/>
    </row>
    <row r="11208">
      <c r="A11208" s="24"/>
      <c r="B11208" s="25"/>
      <c r="C11208" s="24"/>
      <c r="D11208" s="26"/>
      <c r="E11208" s="24"/>
      <c r="F11208" s="24"/>
      <c r="G11208" s="24"/>
      <c r="H11208" s="24"/>
      <c r="I11208" s="24"/>
      <c r="J11208" s="24"/>
      <c r="K11208" s="24"/>
      <c r="L11208" s="24"/>
      <c r="M11208" s="24"/>
      <c r="N11208" s="24"/>
      <c r="O11208" s="24"/>
      <c r="P11208" s="24"/>
      <c r="Q11208" s="24"/>
      <c r="R11208" s="24"/>
      <c r="S11208" s="24"/>
      <c r="T11208" s="24"/>
      <c r="U11208" s="24"/>
      <c r="V11208" s="24"/>
      <c r="W11208" s="24"/>
      <c r="X11208" s="24"/>
      <c r="Y11208" s="24"/>
      <c r="Z11208" s="24"/>
      <c r="AA11208" s="24"/>
    </row>
    <row r="11209">
      <c r="A11209" s="24"/>
      <c r="B11209" s="25"/>
      <c r="C11209" s="24"/>
      <c r="D11209" s="26"/>
      <c r="E11209" s="24"/>
      <c r="F11209" s="24"/>
      <c r="G11209" s="24"/>
      <c r="H11209" s="24"/>
      <c r="I11209" s="24"/>
      <c r="J11209" s="24"/>
      <c r="K11209" s="24"/>
      <c r="L11209" s="24"/>
      <c r="M11209" s="24"/>
      <c r="N11209" s="24"/>
      <c r="O11209" s="24"/>
      <c r="P11209" s="24"/>
      <c r="Q11209" s="24"/>
      <c r="R11209" s="24"/>
      <c r="S11209" s="24"/>
      <c r="T11209" s="24"/>
      <c r="U11209" s="24"/>
      <c r="V11209" s="24"/>
      <c r="W11209" s="24"/>
      <c r="X11209" s="24"/>
      <c r="Y11209" s="24"/>
      <c r="Z11209" s="24"/>
      <c r="AA11209" s="24"/>
    </row>
    <row r="11210">
      <c r="A11210" s="24"/>
      <c r="B11210" s="25"/>
      <c r="C11210" s="24"/>
      <c r="D11210" s="26"/>
      <c r="E11210" s="24"/>
      <c r="F11210" s="24"/>
      <c r="G11210" s="24"/>
      <c r="H11210" s="24"/>
      <c r="I11210" s="24"/>
      <c r="J11210" s="24"/>
      <c r="K11210" s="24"/>
      <c r="L11210" s="24"/>
      <c r="M11210" s="24"/>
      <c r="N11210" s="24"/>
      <c r="O11210" s="24"/>
      <c r="P11210" s="24"/>
      <c r="Q11210" s="24"/>
      <c r="R11210" s="24"/>
      <c r="S11210" s="24"/>
      <c r="T11210" s="24"/>
      <c r="U11210" s="24"/>
      <c r="V11210" s="24"/>
      <c r="W11210" s="24"/>
      <c r="X11210" s="24"/>
      <c r="Y11210" s="24"/>
      <c r="Z11210" s="24"/>
      <c r="AA11210" s="24"/>
    </row>
    <row r="11211">
      <c r="A11211" s="24"/>
      <c r="B11211" s="25"/>
      <c r="C11211" s="24"/>
      <c r="D11211" s="26"/>
      <c r="E11211" s="24"/>
      <c r="F11211" s="24"/>
      <c r="G11211" s="24"/>
      <c r="H11211" s="24"/>
      <c r="I11211" s="24"/>
      <c r="J11211" s="24"/>
      <c r="K11211" s="24"/>
      <c r="L11211" s="24"/>
      <c r="M11211" s="24"/>
      <c r="N11211" s="24"/>
      <c r="O11211" s="24"/>
      <c r="P11211" s="24"/>
      <c r="Q11211" s="24"/>
      <c r="R11211" s="24"/>
      <c r="S11211" s="24"/>
      <c r="T11211" s="24"/>
      <c r="U11211" s="24"/>
      <c r="V11211" s="24"/>
      <c r="W11211" s="24"/>
      <c r="X11211" s="24"/>
      <c r="Y11211" s="24"/>
      <c r="Z11211" s="24"/>
      <c r="AA11211" s="24"/>
    </row>
    <row r="11212">
      <c r="A11212" s="24"/>
      <c r="B11212" s="25"/>
      <c r="C11212" s="24"/>
      <c r="D11212" s="26"/>
      <c r="E11212" s="24"/>
      <c r="F11212" s="24"/>
      <c r="G11212" s="24"/>
      <c r="H11212" s="24"/>
      <c r="I11212" s="24"/>
      <c r="J11212" s="24"/>
      <c r="K11212" s="24"/>
      <c r="L11212" s="24"/>
      <c r="M11212" s="24"/>
      <c r="N11212" s="24"/>
      <c r="O11212" s="24"/>
      <c r="P11212" s="24"/>
      <c r="Q11212" s="24"/>
      <c r="R11212" s="24"/>
      <c r="S11212" s="24"/>
      <c r="T11212" s="24"/>
      <c r="U11212" s="24"/>
      <c r="V11212" s="24"/>
      <c r="W11212" s="24"/>
      <c r="X11212" s="24"/>
      <c r="Y11212" s="24"/>
      <c r="Z11212" s="24"/>
      <c r="AA11212" s="24"/>
    </row>
    <row r="11213">
      <c r="A11213" s="24"/>
      <c r="B11213" s="25"/>
      <c r="C11213" s="24"/>
      <c r="D11213" s="26"/>
      <c r="E11213" s="24"/>
      <c r="F11213" s="24"/>
      <c r="G11213" s="24"/>
      <c r="H11213" s="24"/>
      <c r="I11213" s="24"/>
      <c r="J11213" s="24"/>
      <c r="K11213" s="24"/>
      <c r="L11213" s="24"/>
      <c r="M11213" s="24"/>
      <c r="N11213" s="24"/>
      <c r="O11213" s="24"/>
      <c r="P11213" s="24"/>
      <c r="Q11213" s="24"/>
      <c r="R11213" s="24"/>
      <c r="S11213" s="24"/>
      <c r="T11213" s="24"/>
      <c r="U11213" s="24"/>
      <c r="V11213" s="24"/>
      <c r="W11213" s="24"/>
      <c r="X11213" s="24"/>
      <c r="Y11213" s="24"/>
      <c r="Z11213" s="24"/>
      <c r="AA11213" s="24"/>
    </row>
    <row r="11214">
      <c r="A11214" s="24"/>
      <c r="B11214" s="25"/>
      <c r="C11214" s="24"/>
      <c r="D11214" s="26"/>
      <c r="E11214" s="24"/>
      <c r="F11214" s="24"/>
      <c r="G11214" s="24"/>
      <c r="H11214" s="24"/>
      <c r="I11214" s="24"/>
      <c r="J11214" s="24"/>
      <c r="K11214" s="24"/>
      <c r="L11214" s="24"/>
      <c r="M11214" s="24"/>
      <c r="N11214" s="24"/>
      <c r="O11214" s="24"/>
      <c r="P11214" s="24"/>
      <c r="Q11214" s="24"/>
      <c r="R11214" s="24"/>
      <c r="S11214" s="24"/>
      <c r="T11214" s="24"/>
      <c r="U11214" s="24"/>
      <c r="V11214" s="24"/>
      <c r="W11214" s="24"/>
      <c r="X11214" s="24"/>
      <c r="Y11214" s="24"/>
      <c r="Z11214" s="24"/>
      <c r="AA11214" s="24"/>
    </row>
    <row r="11215">
      <c r="A11215" s="24"/>
      <c r="B11215" s="25"/>
      <c r="C11215" s="24"/>
      <c r="D11215" s="26"/>
      <c r="E11215" s="24"/>
      <c r="F11215" s="24"/>
      <c r="G11215" s="24"/>
      <c r="H11215" s="24"/>
      <c r="I11215" s="24"/>
      <c r="J11215" s="24"/>
      <c r="K11215" s="24"/>
      <c r="L11215" s="24"/>
      <c r="M11215" s="24"/>
      <c r="N11215" s="24"/>
      <c r="O11215" s="24"/>
      <c r="P11215" s="24"/>
      <c r="Q11215" s="24"/>
      <c r="R11215" s="24"/>
      <c r="S11215" s="24"/>
      <c r="T11215" s="24"/>
      <c r="U11215" s="24"/>
      <c r="V11215" s="24"/>
      <c r="W11215" s="24"/>
      <c r="X11215" s="24"/>
      <c r="Y11215" s="24"/>
      <c r="Z11215" s="24"/>
      <c r="AA11215" s="24"/>
    </row>
    <row r="11216">
      <c r="A11216" s="24"/>
      <c r="B11216" s="25"/>
      <c r="C11216" s="24"/>
      <c r="D11216" s="26"/>
      <c r="E11216" s="24"/>
      <c r="F11216" s="24"/>
      <c r="G11216" s="24"/>
      <c r="H11216" s="24"/>
      <c r="I11216" s="24"/>
      <c r="J11216" s="24"/>
      <c r="K11216" s="24"/>
      <c r="L11216" s="24"/>
      <c r="M11216" s="24"/>
      <c r="N11216" s="24"/>
      <c r="O11216" s="24"/>
      <c r="P11216" s="24"/>
      <c r="Q11216" s="24"/>
      <c r="R11216" s="24"/>
      <c r="S11216" s="24"/>
      <c r="T11216" s="24"/>
      <c r="U11216" s="24"/>
      <c r="V11216" s="24"/>
      <c r="W11216" s="24"/>
      <c r="X11216" s="24"/>
      <c r="Y11216" s="24"/>
      <c r="Z11216" s="24"/>
      <c r="AA11216" s="24"/>
    </row>
    <row r="11217">
      <c r="A11217" s="24"/>
      <c r="B11217" s="25"/>
      <c r="C11217" s="24"/>
      <c r="D11217" s="26"/>
      <c r="E11217" s="24"/>
      <c r="F11217" s="24"/>
      <c r="G11217" s="24"/>
      <c r="H11217" s="24"/>
      <c r="I11217" s="24"/>
      <c r="J11217" s="24"/>
      <c r="K11217" s="24"/>
      <c r="L11217" s="24"/>
      <c r="M11217" s="24"/>
      <c r="N11217" s="24"/>
      <c r="O11217" s="24"/>
      <c r="P11217" s="24"/>
      <c r="Q11217" s="24"/>
      <c r="R11217" s="24"/>
      <c r="S11217" s="24"/>
      <c r="T11217" s="24"/>
      <c r="U11217" s="24"/>
      <c r="V11217" s="24"/>
      <c r="W11217" s="24"/>
      <c r="X11217" s="24"/>
      <c r="Y11217" s="24"/>
      <c r="Z11217" s="24"/>
      <c r="AA11217" s="24"/>
    </row>
    <row r="11218">
      <c r="A11218" s="24"/>
      <c r="B11218" s="25"/>
      <c r="C11218" s="24"/>
      <c r="D11218" s="26"/>
      <c r="E11218" s="24"/>
      <c r="F11218" s="24"/>
      <c r="G11218" s="24"/>
      <c r="H11218" s="24"/>
      <c r="I11218" s="24"/>
      <c r="J11218" s="24"/>
      <c r="K11218" s="24"/>
      <c r="L11218" s="24"/>
      <c r="M11218" s="24"/>
      <c r="N11218" s="24"/>
      <c r="O11218" s="24"/>
      <c r="P11218" s="24"/>
      <c r="Q11218" s="24"/>
      <c r="R11218" s="24"/>
      <c r="S11218" s="24"/>
      <c r="T11218" s="24"/>
      <c r="U11218" s="24"/>
      <c r="V11218" s="24"/>
      <c r="W11218" s="24"/>
      <c r="X11218" s="24"/>
      <c r="Y11218" s="24"/>
      <c r="Z11218" s="24"/>
      <c r="AA11218" s="24"/>
    </row>
    <row r="11219">
      <c r="A11219" s="24"/>
      <c r="B11219" s="25"/>
      <c r="C11219" s="24"/>
      <c r="D11219" s="26"/>
      <c r="E11219" s="24"/>
      <c r="F11219" s="24"/>
      <c r="G11219" s="24"/>
      <c r="H11219" s="24"/>
      <c r="I11219" s="24"/>
      <c r="J11219" s="24"/>
      <c r="K11219" s="24"/>
      <c r="L11219" s="24"/>
      <c r="M11219" s="24"/>
      <c r="N11219" s="24"/>
      <c r="O11219" s="24"/>
      <c r="P11219" s="24"/>
      <c r="Q11219" s="24"/>
      <c r="R11219" s="24"/>
      <c r="S11219" s="24"/>
      <c r="T11219" s="24"/>
      <c r="U11219" s="24"/>
      <c r="V11219" s="24"/>
      <c r="W11219" s="24"/>
      <c r="X11219" s="24"/>
      <c r="Y11219" s="24"/>
      <c r="Z11219" s="24"/>
      <c r="AA11219" s="24"/>
    </row>
    <row r="11220">
      <c r="A11220" s="24"/>
      <c r="B11220" s="25"/>
      <c r="C11220" s="24"/>
      <c r="D11220" s="26"/>
      <c r="E11220" s="24"/>
      <c r="F11220" s="24"/>
      <c r="G11220" s="24"/>
      <c r="H11220" s="24"/>
      <c r="I11220" s="24"/>
      <c r="J11220" s="24"/>
      <c r="K11220" s="24"/>
      <c r="L11220" s="24"/>
      <c r="M11220" s="24"/>
      <c r="N11220" s="24"/>
      <c r="O11220" s="24"/>
      <c r="P11220" s="24"/>
      <c r="Q11220" s="24"/>
      <c r="R11220" s="24"/>
      <c r="S11220" s="24"/>
      <c r="T11220" s="24"/>
      <c r="U11220" s="24"/>
      <c r="V11220" s="24"/>
      <c r="W11220" s="24"/>
      <c r="X11220" s="24"/>
      <c r="Y11220" s="24"/>
      <c r="Z11220" s="24"/>
      <c r="AA11220" s="24"/>
    </row>
    <row r="11221">
      <c r="A11221" s="24"/>
      <c r="B11221" s="25"/>
      <c r="C11221" s="24"/>
      <c r="D11221" s="26"/>
      <c r="E11221" s="24"/>
      <c r="F11221" s="24"/>
      <c r="G11221" s="24"/>
      <c r="H11221" s="24"/>
      <c r="I11221" s="24"/>
      <c r="J11221" s="24"/>
      <c r="K11221" s="24"/>
      <c r="L11221" s="24"/>
      <c r="M11221" s="24"/>
      <c r="N11221" s="24"/>
      <c r="O11221" s="24"/>
      <c r="P11221" s="24"/>
      <c r="Q11221" s="24"/>
      <c r="R11221" s="24"/>
      <c r="S11221" s="24"/>
      <c r="T11221" s="24"/>
      <c r="U11221" s="24"/>
      <c r="V11221" s="24"/>
      <c r="W11221" s="24"/>
      <c r="X11221" s="24"/>
      <c r="Y11221" s="24"/>
      <c r="Z11221" s="24"/>
      <c r="AA11221" s="24"/>
    </row>
    <row r="11222">
      <c r="A11222" s="24"/>
      <c r="B11222" s="25"/>
      <c r="C11222" s="24"/>
      <c r="D11222" s="26"/>
      <c r="E11222" s="24"/>
      <c r="F11222" s="24"/>
      <c r="G11222" s="24"/>
      <c r="H11222" s="24"/>
      <c r="I11222" s="24"/>
      <c r="J11222" s="24"/>
      <c r="K11222" s="24"/>
      <c r="L11222" s="24"/>
      <c r="M11222" s="24"/>
      <c r="N11222" s="24"/>
      <c r="O11222" s="24"/>
      <c r="P11222" s="24"/>
      <c r="Q11222" s="24"/>
      <c r="R11222" s="24"/>
      <c r="S11222" s="24"/>
      <c r="T11222" s="24"/>
      <c r="U11222" s="24"/>
      <c r="V11222" s="24"/>
      <c r="W11222" s="24"/>
      <c r="X11222" s="24"/>
      <c r="Y11222" s="24"/>
      <c r="Z11222" s="24"/>
      <c r="AA11222" s="24"/>
    </row>
    <row r="11223">
      <c r="A11223" s="24"/>
      <c r="B11223" s="25"/>
      <c r="C11223" s="24"/>
      <c r="D11223" s="26"/>
      <c r="E11223" s="24"/>
      <c r="F11223" s="24"/>
      <c r="G11223" s="24"/>
      <c r="H11223" s="24"/>
      <c r="I11223" s="24"/>
      <c r="J11223" s="24"/>
      <c r="K11223" s="24"/>
      <c r="L11223" s="24"/>
      <c r="M11223" s="24"/>
      <c r="N11223" s="24"/>
      <c r="O11223" s="24"/>
      <c r="P11223" s="24"/>
      <c r="Q11223" s="24"/>
      <c r="R11223" s="24"/>
      <c r="S11223" s="24"/>
      <c r="T11223" s="24"/>
      <c r="U11223" s="24"/>
      <c r="V11223" s="24"/>
      <c r="W11223" s="24"/>
      <c r="X11223" s="24"/>
      <c r="Y11223" s="24"/>
      <c r="Z11223" s="24"/>
      <c r="AA11223" s="24"/>
    </row>
    <row r="11224">
      <c r="A11224" s="24"/>
      <c r="B11224" s="25"/>
      <c r="C11224" s="24"/>
      <c r="D11224" s="26"/>
      <c r="E11224" s="24"/>
      <c r="F11224" s="24"/>
      <c r="G11224" s="24"/>
      <c r="H11224" s="24"/>
      <c r="I11224" s="24"/>
      <c r="J11224" s="24"/>
      <c r="K11224" s="24"/>
      <c r="L11224" s="24"/>
      <c r="M11224" s="24"/>
      <c r="N11224" s="24"/>
      <c r="O11224" s="24"/>
      <c r="P11224" s="24"/>
      <c r="Q11224" s="24"/>
      <c r="R11224" s="24"/>
      <c r="S11224" s="24"/>
      <c r="T11224" s="24"/>
      <c r="U11224" s="24"/>
      <c r="V11224" s="24"/>
      <c r="W11224" s="24"/>
      <c r="X11224" s="24"/>
      <c r="Y11224" s="24"/>
      <c r="Z11224" s="24"/>
      <c r="AA11224" s="24"/>
    </row>
    <row r="11225">
      <c r="A11225" s="24"/>
      <c r="B11225" s="25"/>
      <c r="C11225" s="24"/>
      <c r="D11225" s="26"/>
      <c r="E11225" s="24"/>
      <c r="F11225" s="24"/>
      <c r="G11225" s="24"/>
      <c r="H11225" s="24"/>
      <c r="I11225" s="24"/>
      <c r="J11225" s="24"/>
      <c r="K11225" s="24"/>
      <c r="L11225" s="24"/>
      <c r="M11225" s="24"/>
      <c r="N11225" s="24"/>
      <c r="O11225" s="24"/>
      <c r="P11225" s="24"/>
      <c r="Q11225" s="24"/>
      <c r="R11225" s="24"/>
      <c r="S11225" s="24"/>
      <c r="T11225" s="24"/>
      <c r="U11225" s="24"/>
      <c r="V11225" s="24"/>
      <c r="W11225" s="24"/>
      <c r="X11225" s="24"/>
      <c r="Y11225" s="24"/>
      <c r="Z11225" s="24"/>
      <c r="AA11225" s="24"/>
    </row>
    <row r="11226">
      <c r="A11226" s="24"/>
      <c r="B11226" s="25"/>
      <c r="C11226" s="24"/>
      <c r="D11226" s="26"/>
      <c r="E11226" s="24"/>
      <c r="F11226" s="24"/>
      <c r="G11226" s="24"/>
      <c r="H11226" s="24"/>
      <c r="I11226" s="24"/>
      <c r="J11226" s="24"/>
      <c r="K11226" s="24"/>
      <c r="L11226" s="24"/>
      <c r="M11226" s="24"/>
      <c r="N11226" s="24"/>
      <c r="O11226" s="24"/>
      <c r="P11226" s="24"/>
      <c r="Q11226" s="24"/>
      <c r="R11226" s="24"/>
      <c r="S11226" s="24"/>
      <c r="T11226" s="24"/>
      <c r="U11226" s="24"/>
      <c r="V11226" s="24"/>
      <c r="W11226" s="24"/>
      <c r="X11226" s="24"/>
      <c r="Y11226" s="24"/>
      <c r="Z11226" s="24"/>
      <c r="AA11226" s="24"/>
    </row>
    <row r="11227">
      <c r="A11227" s="24"/>
      <c r="B11227" s="25"/>
      <c r="C11227" s="24"/>
      <c r="D11227" s="26"/>
      <c r="E11227" s="24"/>
      <c r="F11227" s="24"/>
      <c r="G11227" s="24"/>
      <c r="H11227" s="24"/>
      <c r="I11227" s="24"/>
      <c r="J11227" s="24"/>
      <c r="K11227" s="24"/>
      <c r="L11227" s="24"/>
      <c r="M11227" s="24"/>
      <c r="N11227" s="24"/>
      <c r="O11227" s="24"/>
      <c r="P11227" s="24"/>
      <c r="Q11227" s="24"/>
      <c r="R11227" s="24"/>
      <c r="S11227" s="24"/>
      <c r="T11227" s="24"/>
      <c r="U11227" s="24"/>
      <c r="V11227" s="24"/>
      <c r="W11227" s="24"/>
      <c r="X11227" s="24"/>
      <c r="Y11227" s="24"/>
      <c r="Z11227" s="24"/>
      <c r="AA11227" s="24"/>
    </row>
    <row r="11228">
      <c r="A11228" s="24"/>
      <c r="B11228" s="25"/>
      <c r="C11228" s="24"/>
      <c r="D11228" s="26"/>
      <c r="E11228" s="24"/>
      <c r="F11228" s="24"/>
      <c r="G11228" s="24"/>
      <c r="H11228" s="24"/>
      <c r="I11228" s="24"/>
      <c r="J11228" s="24"/>
      <c r="K11228" s="24"/>
      <c r="L11228" s="24"/>
      <c r="M11228" s="24"/>
      <c r="N11228" s="24"/>
      <c r="O11228" s="24"/>
      <c r="P11228" s="24"/>
      <c r="Q11228" s="24"/>
      <c r="R11228" s="24"/>
      <c r="S11228" s="24"/>
      <c r="T11228" s="24"/>
      <c r="U11228" s="24"/>
      <c r="V11228" s="24"/>
      <c r="W11228" s="24"/>
      <c r="X11228" s="24"/>
      <c r="Y11228" s="24"/>
      <c r="Z11228" s="24"/>
      <c r="AA11228" s="24"/>
    </row>
    <row r="11229">
      <c r="A11229" s="24"/>
      <c r="B11229" s="25"/>
      <c r="C11229" s="24"/>
      <c r="D11229" s="26"/>
      <c r="E11229" s="24"/>
      <c r="F11229" s="24"/>
      <c r="G11229" s="24"/>
      <c r="H11229" s="24"/>
      <c r="I11229" s="24"/>
      <c r="J11229" s="24"/>
      <c r="K11229" s="24"/>
      <c r="L11229" s="24"/>
      <c r="M11229" s="24"/>
      <c r="N11229" s="24"/>
      <c r="O11229" s="24"/>
      <c r="P11229" s="24"/>
      <c r="Q11229" s="24"/>
      <c r="R11229" s="24"/>
      <c r="S11229" s="24"/>
      <c r="T11229" s="24"/>
      <c r="U11229" s="24"/>
      <c r="V11229" s="24"/>
      <c r="W11229" s="24"/>
      <c r="X11229" s="24"/>
      <c r="Y11229" s="24"/>
      <c r="Z11229" s="24"/>
      <c r="AA11229" s="24"/>
    </row>
    <row r="11230">
      <c r="A11230" s="24"/>
      <c r="B11230" s="25"/>
      <c r="C11230" s="24"/>
      <c r="D11230" s="26"/>
      <c r="E11230" s="24"/>
      <c r="F11230" s="24"/>
      <c r="G11230" s="24"/>
      <c r="H11230" s="24"/>
      <c r="I11230" s="24"/>
      <c r="J11230" s="24"/>
      <c r="K11230" s="24"/>
      <c r="L11230" s="24"/>
      <c r="M11230" s="24"/>
      <c r="N11230" s="24"/>
      <c r="O11230" s="24"/>
      <c r="P11230" s="24"/>
      <c r="Q11230" s="24"/>
      <c r="R11230" s="24"/>
      <c r="S11230" s="24"/>
      <c r="T11230" s="24"/>
      <c r="U11230" s="24"/>
      <c r="V11230" s="24"/>
      <c r="W11230" s="24"/>
      <c r="X11230" s="24"/>
      <c r="Y11230" s="24"/>
      <c r="Z11230" s="24"/>
      <c r="AA11230" s="24"/>
    </row>
    <row r="11231">
      <c r="A11231" s="24"/>
      <c r="B11231" s="25"/>
      <c r="C11231" s="24"/>
      <c r="D11231" s="26"/>
      <c r="E11231" s="24"/>
      <c r="F11231" s="24"/>
      <c r="G11231" s="24"/>
      <c r="H11231" s="24"/>
      <c r="I11231" s="24"/>
      <c r="J11231" s="24"/>
      <c r="K11231" s="24"/>
      <c r="L11231" s="24"/>
      <c r="M11231" s="24"/>
      <c r="N11231" s="24"/>
      <c r="O11231" s="24"/>
      <c r="P11231" s="24"/>
      <c r="Q11231" s="24"/>
      <c r="R11231" s="24"/>
      <c r="S11231" s="24"/>
      <c r="T11231" s="24"/>
      <c r="U11231" s="24"/>
      <c r="V11231" s="24"/>
      <c r="W11231" s="24"/>
      <c r="X11231" s="24"/>
      <c r="Y11231" s="24"/>
      <c r="Z11231" s="24"/>
      <c r="AA11231" s="24"/>
    </row>
    <row r="11232">
      <c r="A11232" s="24"/>
      <c r="B11232" s="25"/>
      <c r="C11232" s="24"/>
      <c r="D11232" s="26"/>
      <c r="E11232" s="24"/>
      <c r="F11232" s="24"/>
      <c r="G11232" s="24"/>
      <c r="H11232" s="24"/>
      <c r="I11232" s="24"/>
      <c r="J11232" s="24"/>
      <c r="K11232" s="24"/>
      <c r="L11232" s="24"/>
      <c r="M11232" s="24"/>
      <c r="N11232" s="24"/>
      <c r="O11232" s="24"/>
      <c r="P11232" s="24"/>
      <c r="Q11232" s="24"/>
      <c r="R11232" s="24"/>
      <c r="S11232" s="24"/>
      <c r="T11232" s="24"/>
      <c r="U11232" s="24"/>
      <c r="V11232" s="24"/>
      <c r="W11232" s="24"/>
      <c r="X11232" s="24"/>
      <c r="Y11232" s="24"/>
      <c r="Z11232" s="24"/>
      <c r="AA11232" s="24"/>
    </row>
    <row r="11233">
      <c r="A11233" s="24"/>
      <c r="B11233" s="25"/>
      <c r="C11233" s="24"/>
      <c r="D11233" s="26"/>
      <c r="E11233" s="24"/>
      <c r="F11233" s="24"/>
      <c r="G11233" s="24"/>
      <c r="H11233" s="24"/>
      <c r="I11233" s="24"/>
      <c r="J11233" s="24"/>
      <c r="K11233" s="24"/>
      <c r="L11233" s="24"/>
      <c r="M11233" s="24"/>
      <c r="N11233" s="24"/>
      <c r="O11233" s="24"/>
      <c r="P11233" s="24"/>
      <c r="Q11233" s="24"/>
      <c r="R11233" s="24"/>
      <c r="S11233" s="24"/>
      <c r="T11233" s="24"/>
      <c r="U11233" s="24"/>
      <c r="V11233" s="24"/>
      <c r="W11233" s="24"/>
      <c r="X11233" s="24"/>
      <c r="Y11233" s="24"/>
      <c r="Z11233" s="24"/>
      <c r="AA11233" s="24"/>
    </row>
    <row r="11234">
      <c r="A11234" s="24"/>
      <c r="B11234" s="25"/>
      <c r="C11234" s="24"/>
      <c r="D11234" s="26"/>
      <c r="E11234" s="24"/>
      <c r="F11234" s="24"/>
      <c r="G11234" s="24"/>
      <c r="H11234" s="24"/>
      <c r="I11234" s="24"/>
      <c r="J11234" s="24"/>
      <c r="K11234" s="24"/>
      <c r="L11234" s="24"/>
      <c r="M11234" s="24"/>
      <c r="N11234" s="24"/>
      <c r="O11234" s="24"/>
      <c r="P11234" s="24"/>
      <c r="Q11234" s="24"/>
      <c r="R11234" s="24"/>
      <c r="S11234" s="24"/>
      <c r="T11234" s="24"/>
      <c r="U11234" s="24"/>
      <c r="V11234" s="24"/>
      <c r="W11234" s="24"/>
      <c r="X11234" s="24"/>
      <c r="Y11234" s="24"/>
      <c r="Z11234" s="24"/>
      <c r="AA11234" s="24"/>
    </row>
    <row r="11235">
      <c r="A11235" s="24"/>
      <c r="B11235" s="25"/>
      <c r="C11235" s="24"/>
      <c r="D11235" s="26"/>
      <c r="E11235" s="24"/>
      <c r="F11235" s="24"/>
      <c r="G11235" s="24"/>
      <c r="H11235" s="24"/>
      <c r="I11235" s="24"/>
      <c r="J11235" s="24"/>
      <c r="K11235" s="24"/>
      <c r="L11235" s="24"/>
      <c r="M11235" s="24"/>
      <c r="N11235" s="24"/>
      <c r="O11235" s="24"/>
      <c r="P11235" s="24"/>
      <c r="Q11235" s="24"/>
      <c r="R11235" s="24"/>
      <c r="S11235" s="24"/>
      <c r="T11235" s="24"/>
      <c r="U11235" s="24"/>
      <c r="V11235" s="24"/>
      <c r="W11235" s="24"/>
      <c r="X11235" s="24"/>
      <c r="Y11235" s="24"/>
      <c r="Z11235" s="24"/>
      <c r="AA11235" s="24"/>
    </row>
    <row r="11236">
      <c r="A11236" s="24"/>
      <c r="B11236" s="25"/>
      <c r="C11236" s="24"/>
      <c r="D11236" s="26"/>
      <c r="E11236" s="24"/>
      <c r="F11236" s="24"/>
      <c r="G11236" s="24"/>
      <c r="H11236" s="24"/>
      <c r="I11236" s="24"/>
      <c r="J11236" s="24"/>
      <c r="K11236" s="24"/>
      <c r="L11236" s="24"/>
      <c r="M11236" s="24"/>
      <c r="N11236" s="24"/>
      <c r="O11236" s="24"/>
      <c r="P11236" s="24"/>
      <c r="Q11236" s="24"/>
      <c r="R11236" s="24"/>
      <c r="S11236" s="24"/>
      <c r="T11236" s="24"/>
      <c r="U11236" s="24"/>
      <c r="V11236" s="24"/>
      <c r="W11236" s="24"/>
      <c r="X11236" s="24"/>
      <c r="Y11236" s="24"/>
      <c r="Z11236" s="24"/>
      <c r="AA11236" s="24"/>
    </row>
    <row r="11237">
      <c r="A11237" s="24"/>
      <c r="B11237" s="25"/>
      <c r="C11237" s="24"/>
      <c r="D11237" s="26"/>
      <c r="E11237" s="24"/>
      <c r="F11237" s="24"/>
      <c r="G11237" s="24"/>
      <c r="H11237" s="24"/>
      <c r="I11237" s="24"/>
      <c r="J11237" s="24"/>
      <c r="K11237" s="24"/>
      <c r="L11237" s="24"/>
      <c r="M11237" s="24"/>
      <c r="N11237" s="24"/>
      <c r="O11237" s="24"/>
      <c r="P11237" s="24"/>
      <c r="Q11237" s="24"/>
      <c r="R11237" s="24"/>
      <c r="S11237" s="24"/>
      <c r="T11237" s="24"/>
      <c r="U11237" s="24"/>
      <c r="V11237" s="24"/>
      <c r="W11237" s="24"/>
      <c r="X11237" s="24"/>
      <c r="Y11237" s="24"/>
      <c r="Z11237" s="24"/>
      <c r="AA11237" s="24"/>
    </row>
    <row r="11238">
      <c r="A11238" s="24"/>
      <c r="B11238" s="25"/>
      <c r="C11238" s="24"/>
      <c r="D11238" s="26"/>
      <c r="E11238" s="24"/>
      <c r="F11238" s="24"/>
      <c r="G11238" s="24"/>
      <c r="H11238" s="24"/>
      <c r="I11238" s="24"/>
      <c r="J11238" s="24"/>
      <c r="K11238" s="24"/>
      <c r="L11238" s="24"/>
      <c r="M11238" s="24"/>
      <c r="N11238" s="24"/>
      <c r="O11238" s="24"/>
      <c r="P11238" s="24"/>
      <c r="Q11238" s="24"/>
      <c r="R11238" s="24"/>
      <c r="S11238" s="24"/>
      <c r="T11238" s="24"/>
      <c r="U11238" s="24"/>
      <c r="V11238" s="24"/>
      <c r="W11238" s="24"/>
      <c r="X11238" s="24"/>
      <c r="Y11238" s="24"/>
      <c r="Z11238" s="24"/>
      <c r="AA11238" s="24"/>
    </row>
    <row r="11239">
      <c r="A11239" s="24"/>
      <c r="B11239" s="25"/>
      <c r="C11239" s="24"/>
      <c r="D11239" s="26"/>
      <c r="E11239" s="24"/>
      <c r="F11239" s="24"/>
      <c r="G11239" s="24"/>
      <c r="H11239" s="24"/>
      <c r="I11239" s="24"/>
      <c r="J11239" s="24"/>
      <c r="K11239" s="24"/>
      <c r="L11239" s="24"/>
      <c r="M11239" s="24"/>
      <c r="N11239" s="24"/>
      <c r="O11239" s="24"/>
      <c r="P11239" s="24"/>
      <c r="Q11239" s="24"/>
      <c r="R11239" s="24"/>
      <c r="S11239" s="24"/>
      <c r="T11239" s="24"/>
      <c r="U11239" s="24"/>
      <c r="V11239" s="24"/>
      <c r="W11239" s="24"/>
      <c r="X11239" s="24"/>
      <c r="Y11239" s="24"/>
      <c r="Z11239" s="24"/>
      <c r="AA11239" s="24"/>
    </row>
    <row r="11240">
      <c r="A11240" s="24"/>
      <c r="B11240" s="25"/>
      <c r="C11240" s="24"/>
      <c r="D11240" s="26"/>
      <c r="E11240" s="24"/>
      <c r="F11240" s="24"/>
      <c r="G11240" s="24"/>
      <c r="H11240" s="24"/>
      <c r="I11240" s="24"/>
      <c r="J11240" s="24"/>
      <c r="K11240" s="24"/>
      <c r="L11240" s="24"/>
      <c r="M11240" s="24"/>
      <c r="N11240" s="24"/>
      <c r="O11240" s="24"/>
      <c r="P11240" s="24"/>
      <c r="Q11240" s="24"/>
      <c r="R11240" s="24"/>
      <c r="S11240" s="24"/>
      <c r="T11240" s="24"/>
      <c r="U11240" s="24"/>
      <c r="V11240" s="24"/>
      <c r="W11240" s="24"/>
      <c r="X11240" s="24"/>
      <c r="Y11240" s="24"/>
      <c r="Z11240" s="24"/>
      <c r="AA11240" s="24"/>
    </row>
    <row r="11241">
      <c r="A11241" s="24"/>
      <c r="B11241" s="25"/>
      <c r="C11241" s="24"/>
      <c r="D11241" s="26"/>
      <c r="E11241" s="24"/>
      <c r="F11241" s="24"/>
      <c r="G11241" s="24"/>
      <c r="H11241" s="24"/>
      <c r="I11241" s="24"/>
      <c r="J11241" s="24"/>
      <c r="K11241" s="24"/>
      <c r="L11241" s="24"/>
      <c r="M11241" s="24"/>
      <c r="N11241" s="24"/>
      <c r="O11241" s="24"/>
      <c r="P11241" s="24"/>
      <c r="Q11241" s="24"/>
      <c r="R11241" s="24"/>
      <c r="S11241" s="24"/>
      <c r="T11241" s="24"/>
      <c r="U11241" s="24"/>
      <c r="V11241" s="24"/>
      <c r="W11241" s="24"/>
      <c r="X11241" s="24"/>
      <c r="Y11241" s="24"/>
      <c r="Z11241" s="24"/>
      <c r="AA11241" s="24"/>
    </row>
    <row r="11242">
      <c r="A11242" s="24"/>
      <c r="B11242" s="25"/>
      <c r="C11242" s="24"/>
      <c r="D11242" s="26"/>
      <c r="E11242" s="24"/>
      <c r="F11242" s="24"/>
      <c r="G11242" s="24"/>
      <c r="H11242" s="24"/>
      <c r="I11242" s="24"/>
      <c r="J11242" s="24"/>
      <c r="K11242" s="24"/>
      <c r="L11242" s="24"/>
      <c r="M11242" s="24"/>
      <c r="N11242" s="24"/>
      <c r="O11242" s="24"/>
      <c r="P11242" s="24"/>
      <c r="Q11242" s="24"/>
      <c r="R11242" s="24"/>
      <c r="S11242" s="24"/>
      <c r="T11242" s="24"/>
      <c r="U11242" s="24"/>
      <c r="V11242" s="24"/>
      <c r="W11242" s="24"/>
      <c r="X11242" s="24"/>
      <c r="Y11242" s="24"/>
      <c r="Z11242" s="24"/>
      <c r="AA11242" s="24"/>
    </row>
    <row r="11243">
      <c r="A11243" s="24"/>
      <c r="B11243" s="25"/>
      <c r="C11243" s="24"/>
      <c r="D11243" s="26"/>
      <c r="E11243" s="24"/>
      <c r="F11243" s="24"/>
      <c r="G11243" s="24"/>
      <c r="H11243" s="24"/>
      <c r="I11243" s="24"/>
      <c r="J11243" s="24"/>
      <c r="K11243" s="24"/>
      <c r="L11243" s="24"/>
      <c r="M11243" s="24"/>
      <c r="N11243" s="24"/>
      <c r="O11243" s="24"/>
      <c r="P11243" s="24"/>
      <c r="Q11243" s="24"/>
      <c r="R11243" s="24"/>
      <c r="S11243" s="24"/>
      <c r="T11243" s="24"/>
      <c r="U11243" s="24"/>
      <c r="V11243" s="24"/>
      <c r="W11243" s="24"/>
      <c r="X11243" s="24"/>
      <c r="Y11243" s="24"/>
      <c r="Z11243" s="24"/>
      <c r="AA11243" s="24"/>
    </row>
    <row r="11244">
      <c r="A11244" s="24"/>
      <c r="B11244" s="25"/>
      <c r="C11244" s="24"/>
      <c r="D11244" s="26"/>
      <c r="E11244" s="24"/>
      <c r="F11244" s="24"/>
      <c r="G11244" s="24"/>
      <c r="H11244" s="24"/>
      <c r="I11244" s="24"/>
      <c r="J11244" s="24"/>
      <c r="K11244" s="24"/>
      <c r="L11244" s="24"/>
      <c r="M11244" s="24"/>
      <c r="N11244" s="24"/>
      <c r="O11244" s="24"/>
      <c r="P11244" s="24"/>
      <c r="Q11244" s="24"/>
      <c r="R11244" s="24"/>
      <c r="S11244" s="24"/>
      <c r="T11244" s="24"/>
      <c r="U11244" s="24"/>
      <c r="V11244" s="24"/>
      <c r="W11244" s="24"/>
      <c r="X11244" s="24"/>
      <c r="Y11244" s="24"/>
      <c r="Z11244" s="24"/>
      <c r="AA11244" s="24"/>
    </row>
    <row r="11245">
      <c r="A11245" s="24"/>
      <c r="B11245" s="25"/>
      <c r="C11245" s="24"/>
      <c r="D11245" s="26"/>
      <c r="E11245" s="24"/>
      <c r="F11245" s="24"/>
      <c r="G11245" s="24"/>
      <c r="H11245" s="24"/>
      <c r="I11245" s="24"/>
      <c r="J11245" s="24"/>
      <c r="K11245" s="24"/>
      <c r="L11245" s="24"/>
      <c r="M11245" s="24"/>
      <c r="N11245" s="24"/>
      <c r="O11245" s="24"/>
      <c r="P11245" s="24"/>
      <c r="Q11245" s="24"/>
      <c r="R11245" s="24"/>
      <c r="S11245" s="24"/>
      <c r="T11245" s="24"/>
      <c r="U11245" s="24"/>
      <c r="V11245" s="24"/>
      <c r="W11245" s="24"/>
      <c r="X11245" s="24"/>
      <c r="Y11245" s="24"/>
      <c r="Z11245" s="24"/>
      <c r="AA11245" s="24"/>
    </row>
    <row r="11246">
      <c r="A11246" s="24"/>
      <c r="B11246" s="25"/>
      <c r="C11246" s="24"/>
      <c r="D11246" s="26"/>
      <c r="E11246" s="24"/>
      <c r="F11246" s="24"/>
      <c r="G11246" s="24"/>
      <c r="H11246" s="24"/>
      <c r="I11246" s="24"/>
      <c r="J11246" s="24"/>
      <c r="K11246" s="24"/>
      <c r="L11246" s="24"/>
      <c r="M11246" s="24"/>
      <c r="N11246" s="24"/>
      <c r="O11246" s="24"/>
      <c r="P11246" s="24"/>
      <c r="Q11246" s="24"/>
      <c r="R11246" s="24"/>
      <c r="S11246" s="24"/>
      <c r="T11246" s="24"/>
      <c r="U11246" s="24"/>
      <c r="V11246" s="24"/>
      <c r="W11246" s="24"/>
      <c r="X11246" s="24"/>
      <c r="Y11246" s="24"/>
      <c r="Z11246" s="24"/>
      <c r="AA11246" s="24"/>
    </row>
    <row r="11247">
      <c r="A11247" s="24"/>
      <c r="B11247" s="25"/>
      <c r="C11247" s="24"/>
      <c r="D11247" s="26"/>
      <c r="E11247" s="24"/>
      <c r="F11247" s="24"/>
      <c r="G11247" s="24"/>
      <c r="H11247" s="24"/>
      <c r="I11247" s="24"/>
      <c r="J11247" s="24"/>
      <c r="K11247" s="24"/>
      <c r="L11247" s="24"/>
      <c r="M11247" s="24"/>
      <c r="N11247" s="24"/>
      <c r="O11247" s="24"/>
      <c r="P11247" s="24"/>
      <c r="Q11247" s="24"/>
      <c r="R11247" s="24"/>
      <c r="S11247" s="24"/>
      <c r="T11247" s="24"/>
      <c r="U11247" s="24"/>
      <c r="V11247" s="24"/>
      <c r="W11247" s="24"/>
      <c r="X11247" s="24"/>
      <c r="Y11247" s="24"/>
      <c r="Z11247" s="24"/>
      <c r="AA11247" s="24"/>
    </row>
    <row r="11248">
      <c r="A11248" s="24"/>
      <c r="B11248" s="25"/>
      <c r="C11248" s="24"/>
      <c r="D11248" s="26"/>
      <c r="E11248" s="24"/>
      <c r="F11248" s="24"/>
      <c r="G11248" s="24"/>
      <c r="H11248" s="24"/>
      <c r="I11248" s="24"/>
      <c r="J11248" s="24"/>
      <c r="K11248" s="24"/>
      <c r="L11248" s="24"/>
      <c r="M11248" s="24"/>
      <c r="N11248" s="24"/>
      <c r="O11248" s="24"/>
      <c r="P11248" s="24"/>
      <c r="Q11248" s="24"/>
      <c r="R11248" s="24"/>
      <c r="S11248" s="24"/>
      <c r="T11248" s="24"/>
      <c r="U11248" s="24"/>
      <c r="V11248" s="24"/>
      <c r="W11248" s="24"/>
      <c r="X11248" s="24"/>
      <c r="Y11248" s="24"/>
      <c r="Z11248" s="24"/>
      <c r="AA11248" s="24"/>
    </row>
    <row r="11249">
      <c r="A11249" s="24"/>
      <c r="B11249" s="25"/>
      <c r="C11249" s="24"/>
      <c r="D11249" s="26"/>
      <c r="E11249" s="24"/>
      <c r="F11249" s="24"/>
      <c r="G11249" s="24"/>
      <c r="H11249" s="24"/>
      <c r="I11249" s="24"/>
      <c r="J11249" s="24"/>
      <c r="K11249" s="24"/>
      <c r="L11249" s="24"/>
      <c r="M11249" s="24"/>
      <c r="N11249" s="24"/>
      <c r="O11249" s="24"/>
      <c r="P11249" s="24"/>
      <c r="Q11249" s="24"/>
      <c r="R11249" s="24"/>
      <c r="S11249" s="24"/>
      <c r="T11249" s="24"/>
      <c r="U11249" s="24"/>
      <c r="V11249" s="24"/>
      <c r="W11249" s="24"/>
      <c r="X11249" s="24"/>
      <c r="Y11249" s="24"/>
      <c r="Z11249" s="24"/>
      <c r="AA11249" s="24"/>
    </row>
    <row r="11250">
      <c r="A11250" s="24"/>
      <c r="B11250" s="25"/>
      <c r="C11250" s="24"/>
      <c r="D11250" s="26"/>
      <c r="E11250" s="24"/>
      <c r="F11250" s="24"/>
      <c r="G11250" s="24"/>
      <c r="H11250" s="24"/>
      <c r="I11250" s="24"/>
      <c r="J11250" s="24"/>
      <c r="K11250" s="24"/>
      <c r="L11250" s="24"/>
      <c r="M11250" s="24"/>
      <c r="N11250" s="24"/>
      <c r="O11250" s="24"/>
      <c r="P11250" s="24"/>
      <c r="Q11250" s="24"/>
      <c r="R11250" s="24"/>
      <c r="S11250" s="24"/>
      <c r="T11250" s="24"/>
      <c r="U11250" s="24"/>
      <c r="V11250" s="24"/>
      <c r="W11250" s="24"/>
      <c r="X11250" s="24"/>
      <c r="Y11250" s="24"/>
      <c r="Z11250" s="24"/>
      <c r="AA11250" s="24"/>
    </row>
    <row r="11251">
      <c r="A11251" s="24"/>
      <c r="B11251" s="25"/>
      <c r="C11251" s="24"/>
      <c r="D11251" s="26"/>
      <c r="E11251" s="24"/>
      <c r="F11251" s="24"/>
      <c r="G11251" s="24"/>
      <c r="H11251" s="24"/>
      <c r="I11251" s="24"/>
      <c r="J11251" s="24"/>
      <c r="K11251" s="24"/>
      <c r="L11251" s="24"/>
      <c r="M11251" s="24"/>
      <c r="N11251" s="24"/>
      <c r="O11251" s="24"/>
      <c r="P11251" s="24"/>
      <c r="Q11251" s="24"/>
      <c r="R11251" s="24"/>
      <c r="S11251" s="24"/>
      <c r="T11251" s="24"/>
      <c r="U11251" s="24"/>
      <c r="V11251" s="24"/>
      <c r="W11251" s="24"/>
      <c r="X11251" s="24"/>
      <c r="Y11251" s="24"/>
      <c r="Z11251" s="24"/>
      <c r="AA11251" s="24"/>
    </row>
    <row r="11252">
      <c r="A11252" s="24"/>
      <c r="B11252" s="25"/>
      <c r="C11252" s="24"/>
      <c r="D11252" s="26"/>
      <c r="E11252" s="24"/>
      <c r="F11252" s="24"/>
      <c r="G11252" s="24"/>
      <c r="H11252" s="24"/>
      <c r="I11252" s="24"/>
      <c r="J11252" s="24"/>
      <c r="K11252" s="24"/>
      <c r="L11252" s="24"/>
      <c r="M11252" s="24"/>
      <c r="N11252" s="24"/>
      <c r="O11252" s="24"/>
      <c r="P11252" s="24"/>
      <c r="Q11252" s="24"/>
      <c r="R11252" s="24"/>
      <c r="S11252" s="24"/>
      <c r="T11252" s="24"/>
      <c r="U11252" s="24"/>
      <c r="V11252" s="24"/>
      <c r="W11252" s="24"/>
      <c r="X11252" s="24"/>
      <c r="Y11252" s="24"/>
      <c r="Z11252" s="24"/>
      <c r="AA11252" s="24"/>
    </row>
    <row r="11253">
      <c r="A11253" s="24"/>
      <c r="B11253" s="25"/>
      <c r="C11253" s="24"/>
      <c r="D11253" s="26"/>
      <c r="E11253" s="24"/>
      <c r="F11253" s="24"/>
      <c r="G11253" s="24"/>
      <c r="H11253" s="24"/>
      <c r="I11253" s="24"/>
      <c r="J11253" s="24"/>
      <c r="K11253" s="24"/>
      <c r="L11253" s="24"/>
      <c r="M11253" s="24"/>
      <c r="N11253" s="24"/>
      <c r="O11253" s="24"/>
      <c r="P11253" s="24"/>
      <c r="Q11253" s="24"/>
      <c r="R11253" s="24"/>
      <c r="S11253" s="24"/>
      <c r="T11253" s="24"/>
      <c r="U11253" s="24"/>
      <c r="V11253" s="24"/>
      <c r="W11253" s="24"/>
      <c r="X11253" s="24"/>
      <c r="Y11253" s="24"/>
      <c r="Z11253" s="24"/>
      <c r="AA11253" s="24"/>
    </row>
    <row r="11254">
      <c r="A11254" s="24"/>
      <c r="B11254" s="25"/>
      <c r="C11254" s="24"/>
      <c r="D11254" s="26"/>
      <c r="E11254" s="24"/>
      <c r="F11254" s="24"/>
      <c r="G11254" s="24"/>
      <c r="H11254" s="24"/>
      <c r="I11254" s="24"/>
      <c r="J11254" s="24"/>
      <c r="K11254" s="24"/>
      <c r="L11254" s="24"/>
      <c r="M11254" s="24"/>
      <c r="N11254" s="24"/>
      <c r="O11254" s="24"/>
      <c r="P11254" s="24"/>
      <c r="Q11254" s="24"/>
      <c r="R11254" s="24"/>
      <c r="S11254" s="24"/>
      <c r="T11254" s="24"/>
      <c r="U11254" s="24"/>
      <c r="V11254" s="24"/>
      <c r="W11254" s="24"/>
      <c r="X11254" s="24"/>
      <c r="Y11254" s="24"/>
      <c r="Z11254" s="24"/>
      <c r="AA11254" s="24"/>
    </row>
    <row r="11255">
      <c r="A11255" s="24"/>
      <c r="B11255" s="25"/>
      <c r="C11255" s="24"/>
      <c r="D11255" s="26"/>
      <c r="E11255" s="24"/>
      <c r="F11255" s="24"/>
      <c r="G11255" s="24"/>
      <c r="H11255" s="24"/>
      <c r="I11255" s="24"/>
      <c r="J11255" s="24"/>
      <c r="K11255" s="24"/>
      <c r="L11255" s="24"/>
      <c r="M11255" s="24"/>
      <c r="N11255" s="24"/>
      <c r="O11255" s="24"/>
      <c r="P11255" s="24"/>
      <c r="Q11255" s="24"/>
      <c r="R11255" s="24"/>
      <c r="S11255" s="24"/>
      <c r="T11255" s="24"/>
      <c r="U11255" s="24"/>
      <c r="V11255" s="24"/>
      <c r="W11255" s="24"/>
      <c r="X11255" s="24"/>
      <c r="Y11255" s="24"/>
      <c r="Z11255" s="24"/>
      <c r="AA11255" s="24"/>
    </row>
    <row r="11256">
      <c r="A11256" s="24"/>
      <c r="B11256" s="25"/>
      <c r="C11256" s="24"/>
      <c r="D11256" s="26"/>
      <c r="E11256" s="24"/>
      <c r="F11256" s="24"/>
      <c r="G11256" s="24"/>
      <c r="H11256" s="24"/>
      <c r="I11256" s="24"/>
      <c r="J11256" s="24"/>
      <c r="K11256" s="24"/>
      <c r="L11256" s="24"/>
      <c r="M11256" s="24"/>
      <c r="N11256" s="24"/>
      <c r="O11256" s="24"/>
      <c r="P11256" s="24"/>
      <c r="Q11256" s="24"/>
      <c r="R11256" s="24"/>
      <c r="S11256" s="24"/>
      <c r="T11256" s="24"/>
      <c r="U11256" s="24"/>
      <c r="V11256" s="24"/>
      <c r="W11256" s="24"/>
      <c r="X11256" s="24"/>
      <c r="Y11256" s="24"/>
      <c r="Z11256" s="24"/>
      <c r="AA11256" s="24"/>
    </row>
    <row r="11257">
      <c r="A11257" s="24"/>
      <c r="B11257" s="25"/>
      <c r="C11257" s="24"/>
      <c r="D11257" s="26"/>
      <c r="E11257" s="24"/>
      <c r="F11257" s="24"/>
      <c r="G11257" s="24"/>
      <c r="H11257" s="24"/>
      <c r="I11257" s="24"/>
      <c r="J11257" s="24"/>
      <c r="K11257" s="24"/>
      <c r="L11257" s="24"/>
      <c r="M11257" s="24"/>
      <c r="N11257" s="24"/>
      <c r="O11257" s="24"/>
      <c r="P11257" s="24"/>
      <c r="Q11257" s="24"/>
      <c r="R11257" s="24"/>
      <c r="S11257" s="24"/>
      <c r="T11257" s="24"/>
      <c r="U11257" s="24"/>
      <c r="V11257" s="24"/>
      <c r="W11257" s="24"/>
      <c r="X11257" s="24"/>
      <c r="Y11257" s="24"/>
      <c r="Z11257" s="24"/>
      <c r="AA11257" s="24"/>
    </row>
    <row r="11258">
      <c r="A11258" s="24"/>
      <c r="B11258" s="25"/>
      <c r="C11258" s="24"/>
      <c r="D11258" s="26"/>
      <c r="E11258" s="24"/>
      <c r="F11258" s="24"/>
      <c r="G11258" s="24"/>
      <c r="H11258" s="24"/>
      <c r="I11258" s="24"/>
      <c r="J11258" s="24"/>
      <c r="K11258" s="24"/>
      <c r="L11258" s="24"/>
      <c r="M11258" s="24"/>
      <c r="N11258" s="24"/>
      <c r="O11258" s="24"/>
      <c r="P11258" s="24"/>
      <c r="Q11258" s="24"/>
      <c r="R11258" s="24"/>
      <c r="S11258" s="24"/>
      <c r="T11258" s="24"/>
      <c r="U11258" s="24"/>
      <c r="V11258" s="24"/>
      <c r="W11258" s="24"/>
      <c r="X11258" s="24"/>
      <c r="Y11258" s="24"/>
      <c r="Z11258" s="24"/>
      <c r="AA11258" s="24"/>
    </row>
    <row r="11259">
      <c r="A11259" s="24"/>
      <c r="B11259" s="25"/>
      <c r="C11259" s="24"/>
      <c r="D11259" s="26"/>
      <c r="E11259" s="24"/>
      <c r="F11259" s="24"/>
      <c r="G11259" s="24"/>
      <c r="H11259" s="24"/>
      <c r="I11259" s="24"/>
      <c r="J11259" s="24"/>
      <c r="K11259" s="24"/>
      <c r="L11259" s="24"/>
      <c r="M11259" s="24"/>
      <c r="N11259" s="24"/>
      <c r="O11259" s="24"/>
      <c r="P11259" s="24"/>
      <c r="Q11259" s="24"/>
      <c r="R11259" s="24"/>
      <c r="S11259" s="24"/>
      <c r="T11259" s="24"/>
      <c r="U11259" s="24"/>
      <c r="V11259" s="24"/>
      <c r="W11259" s="24"/>
      <c r="X11259" s="24"/>
      <c r="Y11259" s="24"/>
      <c r="Z11259" s="24"/>
      <c r="AA11259" s="24"/>
    </row>
    <row r="11260">
      <c r="A11260" s="24"/>
      <c r="B11260" s="25"/>
      <c r="C11260" s="24"/>
      <c r="D11260" s="26"/>
      <c r="E11260" s="24"/>
      <c r="F11260" s="24"/>
      <c r="G11260" s="24"/>
      <c r="H11260" s="24"/>
      <c r="I11260" s="24"/>
      <c r="J11260" s="24"/>
      <c r="K11260" s="24"/>
      <c r="L11260" s="24"/>
      <c r="M11260" s="24"/>
      <c r="N11260" s="24"/>
      <c r="O11260" s="24"/>
      <c r="P11260" s="24"/>
      <c r="Q11260" s="24"/>
      <c r="R11260" s="24"/>
      <c r="S11260" s="24"/>
      <c r="T11260" s="24"/>
      <c r="U11260" s="24"/>
      <c r="V11260" s="24"/>
      <c r="W11260" s="24"/>
      <c r="X11260" s="24"/>
      <c r="Y11260" s="24"/>
      <c r="Z11260" s="24"/>
      <c r="AA11260" s="24"/>
    </row>
    <row r="11261">
      <c r="A11261" s="24"/>
      <c r="B11261" s="25"/>
      <c r="C11261" s="24"/>
      <c r="D11261" s="26"/>
      <c r="E11261" s="24"/>
      <c r="F11261" s="24"/>
      <c r="G11261" s="24"/>
      <c r="H11261" s="24"/>
      <c r="I11261" s="24"/>
      <c r="J11261" s="24"/>
      <c r="K11261" s="24"/>
      <c r="L11261" s="24"/>
      <c r="M11261" s="24"/>
      <c r="N11261" s="24"/>
      <c r="O11261" s="24"/>
      <c r="P11261" s="24"/>
      <c r="Q11261" s="24"/>
      <c r="R11261" s="24"/>
      <c r="S11261" s="24"/>
      <c r="T11261" s="24"/>
      <c r="U11261" s="24"/>
      <c r="V11261" s="24"/>
      <c r="W11261" s="24"/>
      <c r="X11261" s="24"/>
      <c r="Y11261" s="24"/>
      <c r="Z11261" s="24"/>
      <c r="AA11261" s="24"/>
    </row>
    <row r="11262">
      <c r="A11262" s="24"/>
      <c r="B11262" s="25"/>
      <c r="C11262" s="24"/>
      <c r="D11262" s="26"/>
      <c r="E11262" s="24"/>
      <c r="F11262" s="24"/>
      <c r="G11262" s="24"/>
      <c r="H11262" s="24"/>
      <c r="I11262" s="24"/>
      <c r="J11262" s="24"/>
      <c r="K11262" s="24"/>
      <c r="L11262" s="24"/>
      <c r="M11262" s="24"/>
      <c r="N11262" s="24"/>
      <c r="O11262" s="24"/>
      <c r="P11262" s="24"/>
      <c r="Q11262" s="24"/>
      <c r="R11262" s="24"/>
      <c r="S11262" s="24"/>
      <c r="T11262" s="24"/>
      <c r="U11262" s="24"/>
      <c r="V11262" s="24"/>
      <c r="W11262" s="24"/>
      <c r="X11262" s="24"/>
      <c r="Y11262" s="24"/>
      <c r="Z11262" s="24"/>
      <c r="AA11262" s="24"/>
    </row>
    <row r="11263">
      <c r="A11263" s="24"/>
      <c r="B11263" s="25"/>
      <c r="C11263" s="24"/>
      <c r="D11263" s="26"/>
      <c r="E11263" s="24"/>
      <c r="F11263" s="24"/>
      <c r="G11263" s="24"/>
      <c r="H11263" s="24"/>
      <c r="I11263" s="24"/>
      <c r="J11263" s="24"/>
      <c r="K11263" s="24"/>
      <c r="L11263" s="24"/>
      <c r="M11263" s="24"/>
      <c r="N11263" s="24"/>
      <c r="O11263" s="24"/>
      <c r="P11263" s="24"/>
      <c r="Q11263" s="24"/>
      <c r="R11263" s="24"/>
      <c r="S11263" s="24"/>
      <c r="T11263" s="24"/>
      <c r="U11263" s="24"/>
      <c r="V11263" s="24"/>
      <c r="W11263" s="24"/>
      <c r="X11263" s="24"/>
      <c r="Y11263" s="24"/>
      <c r="Z11263" s="24"/>
      <c r="AA11263" s="24"/>
    </row>
    <row r="11264">
      <c r="A11264" s="24"/>
      <c r="B11264" s="25"/>
      <c r="C11264" s="24"/>
      <c r="D11264" s="26"/>
      <c r="E11264" s="24"/>
      <c r="F11264" s="24"/>
      <c r="G11264" s="24"/>
      <c r="H11264" s="24"/>
      <c r="I11264" s="24"/>
      <c r="J11264" s="24"/>
      <c r="K11264" s="24"/>
      <c r="L11264" s="24"/>
      <c r="M11264" s="24"/>
      <c r="N11264" s="24"/>
      <c r="O11264" s="24"/>
      <c r="P11264" s="24"/>
      <c r="Q11264" s="24"/>
      <c r="R11264" s="24"/>
      <c r="S11264" s="24"/>
      <c r="T11264" s="24"/>
      <c r="U11264" s="24"/>
      <c r="V11264" s="24"/>
      <c r="W11264" s="24"/>
      <c r="X11264" s="24"/>
      <c r="Y11264" s="24"/>
      <c r="Z11264" s="24"/>
      <c r="AA11264" s="24"/>
    </row>
    <row r="11265">
      <c r="A11265" s="24"/>
      <c r="B11265" s="25"/>
      <c r="C11265" s="24"/>
      <c r="D11265" s="26"/>
      <c r="E11265" s="24"/>
      <c r="F11265" s="24"/>
      <c r="G11265" s="24"/>
      <c r="H11265" s="24"/>
      <c r="I11265" s="24"/>
      <c r="J11265" s="24"/>
      <c r="K11265" s="24"/>
      <c r="L11265" s="24"/>
      <c r="M11265" s="24"/>
      <c r="N11265" s="24"/>
      <c r="O11265" s="24"/>
      <c r="P11265" s="24"/>
      <c r="Q11265" s="24"/>
      <c r="R11265" s="24"/>
      <c r="S11265" s="24"/>
      <c r="T11265" s="24"/>
      <c r="U11265" s="24"/>
      <c r="V11265" s="24"/>
      <c r="W11265" s="24"/>
      <c r="X11265" s="24"/>
      <c r="Y11265" s="24"/>
      <c r="Z11265" s="24"/>
      <c r="AA11265" s="24"/>
    </row>
    <row r="11266">
      <c r="A11266" s="24"/>
      <c r="B11266" s="25"/>
      <c r="C11266" s="24"/>
      <c r="D11266" s="26"/>
      <c r="E11266" s="24"/>
      <c r="F11266" s="24"/>
      <c r="G11266" s="24"/>
      <c r="H11266" s="24"/>
      <c r="I11266" s="24"/>
      <c r="J11266" s="24"/>
      <c r="K11266" s="24"/>
      <c r="L11266" s="24"/>
      <c r="M11266" s="24"/>
      <c r="N11266" s="24"/>
      <c r="O11266" s="24"/>
      <c r="P11266" s="24"/>
      <c r="Q11266" s="24"/>
      <c r="R11266" s="24"/>
      <c r="S11266" s="24"/>
      <c r="T11266" s="24"/>
      <c r="U11266" s="24"/>
      <c r="V11266" s="24"/>
      <c r="W11266" s="24"/>
      <c r="X11266" s="24"/>
      <c r="Y11266" s="24"/>
      <c r="Z11266" s="24"/>
      <c r="AA11266" s="24"/>
    </row>
    <row r="11267">
      <c r="A11267" s="24"/>
      <c r="B11267" s="25"/>
      <c r="C11267" s="24"/>
      <c r="D11267" s="26"/>
      <c r="E11267" s="24"/>
      <c r="F11267" s="24"/>
      <c r="G11267" s="24"/>
      <c r="H11267" s="24"/>
      <c r="I11267" s="24"/>
      <c r="J11267" s="24"/>
      <c r="K11267" s="24"/>
      <c r="L11267" s="24"/>
      <c r="M11267" s="24"/>
      <c r="N11267" s="24"/>
      <c r="O11267" s="24"/>
      <c r="P11267" s="24"/>
      <c r="Q11267" s="24"/>
      <c r="R11267" s="24"/>
      <c r="S11267" s="24"/>
      <c r="T11267" s="24"/>
      <c r="U11267" s="24"/>
      <c r="V11267" s="24"/>
      <c r="W11267" s="24"/>
      <c r="X11267" s="24"/>
      <c r="Y11267" s="24"/>
      <c r="Z11267" s="24"/>
      <c r="AA11267" s="24"/>
    </row>
    <row r="11268">
      <c r="A11268" s="24"/>
      <c r="B11268" s="25"/>
      <c r="C11268" s="24"/>
      <c r="D11268" s="26"/>
      <c r="E11268" s="24"/>
      <c r="F11268" s="24"/>
      <c r="G11268" s="24"/>
      <c r="H11268" s="24"/>
      <c r="I11268" s="24"/>
      <c r="J11268" s="24"/>
      <c r="K11268" s="24"/>
      <c r="L11268" s="24"/>
      <c r="M11268" s="24"/>
      <c r="N11268" s="24"/>
      <c r="O11268" s="24"/>
      <c r="P11268" s="24"/>
      <c r="Q11268" s="24"/>
      <c r="R11268" s="24"/>
      <c r="S11268" s="24"/>
      <c r="T11268" s="24"/>
      <c r="U11268" s="24"/>
      <c r="V11268" s="24"/>
      <c r="W11268" s="24"/>
      <c r="X11268" s="24"/>
      <c r="Y11268" s="24"/>
      <c r="Z11268" s="24"/>
      <c r="AA11268" s="24"/>
    </row>
    <row r="11269">
      <c r="A11269" s="24"/>
      <c r="B11269" s="25"/>
      <c r="C11269" s="24"/>
      <c r="D11269" s="26"/>
      <c r="E11269" s="24"/>
      <c r="F11269" s="24"/>
      <c r="G11269" s="24"/>
      <c r="H11269" s="24"/>
      <c r="I11269" s="24"/>
      <c r="J11269" s="24"/>
      <c r="K11269" s="24"/>
      <c r="L11269" s="24"/>
      <c r="M11269" s="24"/>
      <c r="N11269" s="24"/>
      <c r="O11269" s="24"/>
      <c r="P11269" s="24"/>
      <c r="Q11269" s="24"/>
      <c r="R11269" s="24"/>
      <c r="S11269" s="24"/>
      <c r="T11269" s="24"/>
      <c r="U11269" s="24"/>
      <c r="V11269" s="24"/>
      <c r="W11269" s="24"/>
      <c r="X11269" s="24"/>
      <c r="Y11269" s="24"/>
      <c r="Z11269" s="24"/>
      <c r="AA11269" s="24"/>
    </row>
    <row r="11270">
      <c r="A11270" s="24"/>
      <c r="B11270" s="25"/>
      <c r="C11270" s="24"/>
      <c r="D11270" s="26"/>
      <c r="E11270" s="24"/>
      <c r="F11270" s="24"/>
      <c r="G11270" s="24"/>
      <c r="H11270" s="24"/>
      <c r="I11270" s="24"/>
      <c r="J11270" s="24"/>
      <c r="K11270" s="24"/>
      <c r="L11270" s="24"/>
      <c r="M11270" s="24"/>
      <c r="N11270" s="24"/>
      <c r="O11270" s="24"/>
      <c r="P11270" s="24"/>
      <c r="Q11270" s="24"/>
      <c r="R11270" s="24"/>
      <c r="S11270" s="24"/>
      <c r="T11270" s="24"/>
      <c r="U11270" s="24"/>
      <c r="V11270" s="24"/>
      <c r="W11270" s="24"/>
      <c r="X11270" s="24"/>
      <c r="Y11270" s="24"/>
      <c r="Z11270" s="24"/>
      <c r="AA11270" s="24"/>
    </row>
    <row r="11271">
      <c r="A11271" s="24"/>
      <c r="B11271" s="25"/>
      <c r="C11271" s="24"/>
      <c r="D11271" s="26"/>
      <c r="E11271" s="24"/>
      <c r="F11271" s="24"/>
      <c r="G11271" s="24"/>
      <c r="H11271" s="24"/>
      <c r="I11271" s="24"/>
      <c r="J11271" s="24"/>
      <c r="K11271" s="24"/>
      <c r="L11271" s="24"/>
      <c r="M11271" s="24"/>
      <c r="N11271" s="24"/>
      <c r="O11271" s="24"/>
      <c r="P11271" s="24"/>
      <c r="Q11271" s="24"/>
      <c r="R11271" s="24"/>
      <c r="S11271" s="24"/>
      <c r="T11271" s="24"/>
      <c r="U11271" s="24"/>
      <c r="V11271" s="24"/>
      <c r="W11271" s="24"/>
      <c r="X11271" s="24"/>
      <c r="Y11271" s="24"/>
      <c r="Z11271" s="24"/>
      <c r="AA11271" s="24"/>
    </row>
    <row r="11272">
      <c r="A11272" s="24"/>
      <c r="B11272" s="25"/>
      <c r="C11272" s="24"/>
      <c r="D11272" s="26"/>
      <c r="E11272" s="24"/>
      <c r="F11272" s="24"/>
      <c r="G11272" s="24"/>
      <c r="H11272" s="24"/>
      <c r="I11272" s="24"/>
      <c r="J11272" s="24"/>
      <c r="K11272" s="24"/>
      <c r="L11272" s="24"/>
      <c r="M11272" s="24"/>
      <c r="N11272" s="24"/>
      <c r="O11272" s="24"/>
      <c r="P11272" s="24"/>
      <c r="Q11272" s="24"/>
      <c r="R11272" s="24"/>
      <c r="S11272" s="24"/>
      <c r="T11272" s="24"/>
      <c r="U11272" s="24"/>
      <c r="V11272" s="24"/>
      <c r="W11272" s="24"/>
      <c r="X11272" s="24"/>
      <c r="Y11272" s="24"/>
      <c r="Z11272" s="24"/>
      <c r="AA11272" s="24"/>
    </row>
    <row r="11273">
      <c r="A11273" s="24"/>
      <c r="B11273" s="25"/>
      <c r="C11273" s="24"/>
      <c r="D11273" s="26"/>
      <c r="E11273" s="24"/>
      <c r="F11273" s="24"/>
      <c r="G11273" s="24"/>
      <c r="H11273" s="24"/>
      <c r="I11273" s="24"/>
      <c r="J11273" s="24"/>
      <c r="K11273" s="24"/>
      <c r="L11273" s="24"/>
      <c r="M11273" s="24"/>
      <c r="N11273" s="24"/>
      <c r="O11273" s="24"/>
      <c r="P11273" s="24"/>
      <c r="Q11273" s="24"/>
      <c r="R11273" s="24"/>
      <c r="S11273" s="24"/>
      <c r="T11273" s="24"/>
      <c r="U11273" s="24"/>
      <c r="V11273" s="24"/>
      <c r="W11273" s="24"/>
      <c r="X11273" s="24"/>
      <c r="Y11273" s="24"/>
      <c r="Z11273" s="24"/>
      <c r="AA11273" s="24"/>
    </row>
    <row r="11274">
      <c r="A11274" s="24"/>
      <c r="B11274" s="25"/>
      <c r="C11274" s="24"/>
      <c r="D11274" s="26"/>
      <c r="E11274" s="24"/>
      <c r="F11274" s="24"/>
      <c r="G11274" s="24"/>
      <c r="H11274" s="24"/>
      <c r="I11274" s="24"/>
      <c r="J11274" s="24"/>
      <c r="K11274" s="24"/>
      <c r="L11274" s="24"/>
      <c r="M11274" s="24"/>
      <c r="N11274" s="24"/>
      <c r="O11274" s="24"/>
      <c r="P11274" s="24"/>
      <c r="Q11274" s="24"/>
      <c r="R11274" s="24"/>
      <c r="S11274" s="24"/>
      <c r="T11274" s="24"/>
      <c r="U11274" s="24"/>
      <c r="V11274" s="24"/>
      <c r="W11274" s="24"/>
      <c r="X11274" s="24"/>
      <c r="Y11274" s="24"/>
      <c r="Z11274" s="24"/>
      <c r="AA11274" s="24"/>
    </row>
    <row r="11275">
      <c r="A11275" s="24"/>
      <c r="B11275" s="25"/>
      <c r="C11275" s="24"/>
      <c r="D11275" s="26"/>
      <c r="E11275" s="24"/>
      <c r="F11275" s="24"/>
      <c r="G11275" s="24"/>
      <c r="H11275" s="24"/>
      <c r="I11275" s="24"/>
      <c r="J11275" s="24"/>
      <c r="K11275" s="24"/>
      <c r="L11275" s="24"/>
      <c r="M11275" s="24"/>
      <c r="N11275" s="24"/>
      <c r="O11275" s="24"/>
      <c r="P11275" s="24"/>
      <c r="Q11275" s="24"/>
      <c r="R11275" s="24"/>
      <c r="S11275" s="24"/>
      <c r="T11275" s="24"/>
      <c r="U11275" s="24"/>
      <c r="V11275" s="24"/>
      <c r="W11275" s="24"/>
      <c r="X11275" s="24"/>
      <c r="Y11275" s="24"/>
      <c r="Z11275" s="24"/>
      <c r="AA11275" s="24"/>
    </row>
    <row r="11276">
      <c r="A11276" s="24"/>
      <c r="B11276" s="25"/>
      <c r="C11276" s="24"/>
      <c r="D11276" s="26"/>
      <c r="E11276" s="24"/>
      <c r="F11276" s="24"/>
      <c r="G11276" s="24"/>
      <c r="H11276" s="24"/>
      <c r="I11276" s="24"/>
      <c r="J11276" s="24"/>
      <c r="K11276" s="24"/>
      <c r="L11276" s="24"/>
      <c r="M11276" s="24"/>
      <c r="N11276" s="24"/>
      <c r="O11276" s="24"/>
      <c r="P11276" s="24"/>
      <c r="Q11276" s="24"/>
      <c r="R11276" s="24"/>
      <c r="S11276" s="24"/>
      <c r="T11276" s="24"/>
      <c r="U11276" s="24"/>
      <c r="V11276" s="24"/>
      <c r="W11276" s="24"/>
      <c r="X11276" s="24"/>
      <c r="Y11276" s="24"/>
      <c r="Z11276" s="24"/>
      <c r="AA11276" s="24"/>
    </row>
    <row r="11277">
      <c r="A11277" s="24"/>
      <c r="B11277" s="25"/>
      <c r="C11277" s="24"/>
      <c r="D11277" s="26"/>
      <c r="E11277" s="24"/>
      <c r="F11277" s="24"/>
      <c r="G11277" s="24"/>
      <c r="H11277" s="24"/>
      <c r="I11277" s="24"/>
      <c r="J11277" s="24"/>
      <c r="K11277" s="24"/>
      <c r="L11277" s="24"/>
      <c r="M11277" s="24"/>
      <c r="N11277" s="24"/>
      <c r="O11277" s="24"/>
      <c r="P11277" s="24"/>
      <c r="Q11277" s="24"/>
      <c r="R11277" s="24"/>
      <c r="S11277" s="24"/>
      <c r="T11277" s="24"/>
      <c r="U11277" s="24"/>
      <c r="V11277" s="24"/>
      <c r="W11277" s="24"/>
      <c r="X11277" s="24"/>
      <c r="Y11277" s="24"/>
      <c r="Z11277" s="24"/>
      <c r="AA11277" s="24"/>
    </row>
    <row r="11278">
      <c r="A11278" s="24"/>
      <c r="B11278" s="25"/>
      <c r="C11278" s="24"/>
      <c r="D11278" s="26"/>
      <c r="E11278" s="24"/>
      <c r="F11278" s="24"/>
      <c r="G11278" s="24"/>
      <c r="H11278" s="24"/>
      <c r="I11278" s="24"/>
      <c r="J11278" s="24"/>
      <c r="K11278" s="24"/>
      <c r="L11278" s="24"/>
      <c r="M11278" s="24"/>
      <c r="N11278" s="24"/>
      <c r="O11278" s="24"/>
      <c r="P11278" s="24"/>
      <c r="Q11278" s="24"/>
      <c r="R11278" s="24"/>
      <c r="S11278" s="24"/>
      <c r="T11278" s="24"/>
      <c r="U11278" s="24"/>
      <c r="V11278" s="24"/>
      <c r="W11278" s="24"/>
      <c r="X11278" s="24"/>
      <c r="Y11278" s="24"/>
      <c r="Z11278" s="24"/>
      <c r="AA11278" s="24"/>
    </row>
    <row r="11279">
      <c r="A11279" s="24"/>
      <c r="B11279" s="25"/>
      <c r="C11279" s="24"/>
      <c r="D11279" s="26"/>
      <c r="E11279" s="24"/>
      <c r="F11279" s="24"/>
      <c r="G11279" s="24"/>
      <c r="H11279" s="24"/>
      <c r="I11279" s="24"/>
      <c r="J11279" s="24"/>
      <c r="K11279" s="24"/>
      <c r="L11279" s="24"/>
      <c r="M11279" s="24"/>
      <c r="N11279" s="24"/>
      <c r="O11279" s="24"/>
      <c r="P11279" s="24"/>
      <c r="Q11279" s="24"/>
      <c r="R11279" s="24"/>
      <c r="S11279" s="24"/>
      <c r="T11279" s="24"/>
      <c r="U11279" s="24"/>
      <c r="V11279" s="24"/>
      <c r="W11279" s="24"/>
      <c r="X11279" s="24"/>
      <c r="Y11279" s="24"/>
      <c r="Z11279" s="24"/>
      <c r="AA11279" s="24"/>
    </row>
    <row r="11280">
      <c r="A11280" s="24"/>
      <c r="B11280" s="25"/>
      <c r="C11280" s="24"/>
      <c r="D11280" s="26"/>
      <c r="E11280" s="24"/>
      <c r="F11280" s="24"/>
      <c r="G11280" s="24"/>
      <c r="H11280" s="24"/>
      <c r="I11280" s="24"/>
      <c r="J11280" s="24"/>
      <c r="K11280" s="24"/>
      <c r="L11280" s="24"/>
      <c r="M11280" s="24"/>
      <c r="N11280" s="24"/>
      <c r="O11280" s="24"/>
      <c r="P11280" s="24"/>
      <c r="Q11280" s="24"/>
      <c r="R11280" s="24"/>
      <c r="S11280" s="24"/>
      <c r="T11280" s="24"/>
      <c r="U11280" s="24"/>
      <c r="V11280" s="24"/>
      <c r="W11280" s="24"/>
      <c r="X11280" s="24"/>
      <c r="Y11280" s="24"/>
      <c r="Z11280" s="24"/>
      <c r="AA11280" s="24"/>
    </row>
    <row r="11281">
      <c r="A11281" s="24"/>
      <c r="B11281" s="25"/>
      <c r="C11281" s="24"/>
      <c r="D11281" s="26"/>
      <c r="E11281" s="24"/>
      <c r="F11281" s="24"/>
      <c r="G11281" s="24"/>
      <c r="H11281" s="24"/>
      <c r="I11281" s="24"/>
      <c r="J11281" s="24"/>
      <c r="K11281" s="24"/>
      <c r="L11281" s="24"/>
      <c r="M11281" s="24"/>
      <c r="N11281" s="24"/>
      <c r="O11281" s="24"/>
      <c r="P11281" s="24"/>
      <c r="Q11281" s="24"/>
      <c r="R11281" s="24"/>
      <c r="S11281" s="24"/>
      <c r="T11281" s="24"/>
      <c r="U11281" s="24"/>
      <c r="V11281" s="24"/>
      <c r="W11281" s="24"/>
      <c r="X11281" s="24"/>
      <c r="Y11281" s="24"/>
      <c r="Z11281" s="24"/>
      <c r="AA11281" s="24"/>
    </row>
    <row r="11282">
      <c r="A11282" s="24"/>
      <c r="B11282" s="25"/>
      <c r="C11282" s="24"/>
      <c r="D11282" s="26"/>
      <c r="E11282" s="24"/>
      <c r="F11282" s="24"/>
      <c r="G11282" s="24"/>
      <c r="H11282" s="24"/>
      <c r="I11282" s="24"/>
      <c r="J11282" s="24"/>
      <c r="K11282" s="24"/>
      <c r="L11282" s="24"/>
      <c r="M11282" s="24"/>
      <c r="N11282" s="24"/>
      <c r="O11282" s="24"/>
      <c r="P11282" s="24"/>
      <c r="Q11282" s="24"/>
      <c r="R11282" s="24"/>
      <c r="S11282" s="24"/>
      <c r="T11282" s="24"/>
      <c r="U11282" s="24"/>
      <c r="V11282" s="24"/>
      <c r="W11282" s="24"/>
      <c r="X11282" s="24"/>
      <c r="Y11282" s="24"/>
      <c r="Z11282" s="24"/>
      <c r="AA11282" s="24"/>
    </row>
    <row r="11283">
      <c r="A11283" s="24"/>
      <c r="B11283" s="25"/>
      <c r="C11283" s="24"/>
      <c r="D11283" s="26"/>
      <c r="E11283" s="24"/>
      <c r="F11283" s="24"/>
      <c r="G11283" s="24"/>
      <c r="H11283" s="24"/>
      <c r="I11283" s="24"/>
      <c r="J11283" s="24"/>
      <c r="K11283" s="24"/>
      <c r="L11283" s="24"/>
      <c r="M11283" s="24"/>
      <c r="N11283" s="24"/>
      <c r="O11283" s="24"/>
      <c r="P11283" s="24"/>
      <c r="Q11283" s="24"/>
      <c r="R11283" s="24"/>
      <c r="S11283" s="24"/>
      <c r="T11283" s="24"/>
      <c r="U11283" s="24"/>
      <c r="V11283" s="24"/>
      <c r="W11283" s="24"/>
      <c r="X11283" s="24"/>
      <c r="Y11283" s="24"/>
      <c r="Z11283" s="24"/>
      <c r="AA11283" s="24"/>
    </row>
    <row r="11284">
      <c r="A11284" s="24"/>
      <c r="B11284" s="25"/>
      <c r="C11284" s="24"/>
      <c r="D11284" s="26"/>
      <c r="E11284" s="24"/>
      <c r="F11284" s="24"/>
      <c r="G11284" s="24"/>
      <c r="H11284" s="24"/>
      <c r="I11284" s="24"/>
      <c r="J11284" s="24"/>
      <c r="K11284" s="24"/>
      <c r="L11284" s="24"/>
      <c r="M11284" s="24"/>
      <c r="N11284" s="24"/>
      <c r="O11284" s="24"/>
      <c r="P11284" s="24"/>
      <c r="Q11284" s="24"/>
      <c r="R11284" s="24"/>
      <c r="S11284" s="24"/>
      <c r="T11284" s="24"/>
      <c r="U11284" s="24"/>
      <c r="V11284" s="24"/>
      <c r="W11284" s="24"/>
      <c r="X11284" s="24"/>
      <c r="Y11284" s="24"/>
      <c r="Z11284" s="24"/>
      <c r="AA11284" s="24"/>
    </row>
    <row r="11285">
      <c r="A11285" s="24"/>
      <c r="B11285" s="25"/>
      <c r="C11285" s="24"/>
      <c r="D11285" s="26"/>
      <c r="E11285" s="24"/>
      <c r="F11285" s="24"/>
      <c r="G11285" s="24"/>
      <c r="H11285" s="24"/>
      <c r="I11285" s="24"/>
      <c r="J11285" s="24"/>
      <c r="K11285" s="24"/>
      <c r="L11285" s="24"/>
      <c r="M11285" s="24"/>
      <c r="N11285" s="24"/>
      <c r="O11285" s="24"/>
      <c r="P11285" s="24"/>
      <c r="Q11285" s="24"/>
      <c r="R11285" s="24"/>
      <c r="S11285" s="24"/>
      <c r="T11285" s="24"/>
      <c r="U11285" s="24"/>
      <c r="V11285" s="24"/>
      <c r="W11285" s="24"/>
      <c r="X11285" s="24"/>
      <c r="Y11285" s="24"/>
      <c r="Z11285" s="24"/>
      <c r="AA11285" s="24"/>
    </row>
    <row r="11286">
      <c r="A11286" s="24"/>
      <c r="B11286" s="25"/>
      <c r="C11286" s="24"/>
      <c r="D11286" s="26"/>
      <c r="E11286" s="24"/>
      <c r="F11286" s="24"/>
      <c r="G11286" s="24"/>
      <c r="H11286" s="24"/>
      <c r="I11286" s="24"/>
      <c r="J11286" s="24"/>
      <c r="K11286" s="24"/>
      <c r="L11286" s="24"/>
      <c r="M11286" s="24"/>
      <c r="N11286" s="24"/>
      <c r="O11286" s="24"/>
      <c r="P11286" s="24"/>
      <c r="Q11286" s="24"/>
      <c r="R11286" s="24"/>
      <c r="S11286" s="24"/>
      <c r="T11286" s="24"/>
      <c r="U11286" s="24"/>
      <c r="V11286" s="24"/>
      <c r="W11286" s="24"/>
      <c r="X11286" s="24"/>
      <c r="Y11286" s="24"/>
      <c r="Z11286" s="24"/>
      <c r="AA11286" s="24"/>
    </row>
    <row r="11287">
      <c r="A11287" s="24"/>
      <c r="B11287" s="25"/>
      <c r="C11287" s="24"/>
      <c r="D11287" s="26"/>
      <c r="E11287" s="24"/>
      <c r="F11287" s="24"/>
      <c r="G11287" s="24"/>
      <c r="H11287" s="24"/>
      <c r="I11287" s="24"/>
      <c r="J11287" s="24"/>
      <c r="K11287" s="24"/>
      <c r="L11287" s="24"/>
      <c r="M11287" s="24"/>
      <c r="N11287" s="24"/>
      <c r="O11287" s="24"/>
      <c r="P11287" s="24"/>
      <c r="Q11287" s="24"/>
      <c r="R11287" s="24"/>
      <c r="S11287" s="24"/>
      <c r="T11287" s="24"/>
      <c r="U11287" s="24"/>
      <c r="V11287" s="24"/>
      <c r="W11287" s="24"/>
      <c r="X11287" s="24"/>
      <c r="Y11287" s="24"/>
      <c r="Z11287" s="24"/>
      <c r="AA11287" s="24"/>
    </row>
    <row r="11288">
      <c r="A11288" s="24"/>
      <c r="B11288" s="25"/>
      <c r="C11288" s="24"/>
      <c r="D11288" s="26"/>
      <c r="E11288" s="24"/>
      <c r="F11288" s="24"/>
      <c r="G11288" s="24"/>
      <c r="H11288" s="24"/>
      <c r="I11288" s="24"/>
      <c r="J11288" s="24"/>
      <c r="K11288" s="24"/>
      <c r="L11288" s="24"/>
      <c r="M11288" s="24"/>
      <c r="N11288" s="24"/>
      <c r="O11288" s="24"/>
      <c r="P11288" s="24"/>
      <c r="Q11288" s="24"/>
      <c r="R11288" s="24"/>
      <c r="S11288" s="24"/>
      <c r="T11288" s="24"/>
      <c r="U11288" s="24"/>
      <c r="V11288" s="24"/>
      <c r="W11288" s="24"/>
      <c r="X11288" s="24"/>
      <c r="Y11288" s="24"/>
      <c r="Z11288" s="24"/>
      <c r="AA11288" s="24"/>
    </row>
    <row r="11289">
      <c r="A11289" s="24"/>
      <c r="B11289" s="25"/>
      <c r="C11289" s="24"/>
      <c r="D11289" s="26"/>
      <c r="E11289" s="24"/>
      <c r="F11289" s="24"/>
      <c r="G11289" s="24"/>
      <c r="H11289" s="24"/>
      <c r="I11289" s="24"/>
      <c r="J11289" s="24"/>
      <c r="K11289" s="24"/>
      <c r="L11289" s="24"/>
      <c r="M11289" s="24"/>
      <c r="N11289" s="24"/>
      <c r="O11289" s="24"/>
      <c r="P11289" s="24"/>
      <c r="Q11289" s="24"/>
      <c r="R11289" s="24"/>
      <c r="S11289" s="24"/>
      <c r="T11289" s="24"/>
      <c r="U11289" s="24"/>
      <c r="V11289" s="24"/>
      <c r="W11289" s="24"/>
      <c r="X11289" s="24"/>
      <c r="Y11289" s="24"/>
      <c r="Z11289" s="24"/>
      <c r="AA11289" s="24"/>
    </row>
    <row r="11290">
      <c r="A11290" s="24"/>
      <c r="B11290" s="25"/>
      <c r="C11290" s="24"/>
      <c r="D11290" s="26"/>
      <c r="E11290" s="24"/>
      <c r="F11290" s="24"/>
      <c r="G11290" s="24"/>
      <c r="H11290" s="24"/>
      <c r="I11290" s="24"/>
      <c r="J11290" s="24"/>
      <c r="K11290" s="24"/>
      <c r="L11290" s="24"/>
      <c r="M11290" s="24"/>
      <c r="N11290" s="24"/>
      <c r="O11290" s="24"/>
      <c r="P11290" s="24"/>
      <c r="Q11290" s="24"/>
      <c r="R11290" s="24"/>
      <c r="S11290" s="24"/>
      <c r="T11290" s="24"/>
      <c r="U11290" s="24"/>
      <c r="V11290" s="24"/>
      <c r="W11290" s="24"/>
      <c r="X11290" s="24"/>
      <c r="Y11290" s="24"/>
      <c r="Z11290" s="24"/>
      <c r="AA11290" s="24"/>
    </row>
    <row r="11291">
      <c r="A11291" s="24"/>
      <c r="B11291" s="25"/>
      <c r="C11291" s="24"/>
      <c r="D11291" s="26"/>
      <c r="E11291" s="24"/>
      <c r="F11291" s="24"/>
      <c r="G11291" s="24"/>
      <c r="H11291" s="24"/>
      <c r="I11291" s="24"/>
      <c r="J11291" s="24"/>
      <c r="K11291" s="24"/>
      <c r="L11291" s="24"/>
      <c r="M11291" s="24"/>
      <c r="N11291" s="24"/>
      <c r="O11291" s="24"/>
      <c r="P11291" s="24"/>
      <c r="Q11291" s="24"/>
      <c r="R11291" s="24"/>
      <c r="S11291" s="24"/>
      <c r="T11291" s="24"/>
      <c r="U11291" s="24"/>
      <c r="V11291" s="24"/>
      <c r="W11291" s="24"/>
      <c r="X11291" s="24"/>
      <c r="Y11291" s="24"/>
      <c r="Z11291" s="24"/>
      <c r="AA11291" s="24"/>
    </row>
    <row r="11292">
      <c r="A11292" s="24"/>
      <c r="B11292" s="25"/>
      <c r="C11292" s="24"/>
      <c r="D11292" s="26"/>
      <c r="E11292" s="24"/>
      <c r="F11292" s="24"/>
      <c r="G11292" s="24"/>
      <c r="H11292" s="24"/>
      <c r="I11292" s="24"/>
      <c r="J11292" s="24"/>
      <c r="K11292" s="24"/>
      <c r="L11292" s="24"/>
      <c r="M11292" s="24"/>
      <c r="N11292" s="24"/>
      <c r="O11292" s="24"/>
      <c r="P11292" s="24"/>
      <c r="Q11292" s="24"/>
      <c r="R11292" s="24"/>
      <c r="S11292" s="24"/>
      <c r="T11292" s="24"/>
      <c r="U11292" s="24"/>
      <c r="V11292" s="24"/>
      <c r="W11292" s="24"/>
      <c r="X11292" s="24"/>
      <c r="Y11292" s="24"/>
      <c r="Z11292" s="24"/>
      <c r="AA11292" s="24"/>
    </row>
    <row r="11293">
      <c r="A11293" s="24"/>
      <c r="B11293" s="25"/>
      <c r="C11293" s="24"/>
      <c r="D11293" s="26"/>
      <c r="E11293" s="24"/>
      <c r="F11293" s="24"/>
      <c r="G11293" s="24"/>
      <c r="H11293" s="24"/>
      <c r="I11293" s="24"/>
      <c r="J11293" s="24"/>
      <c r="K11293" s="24"/>
      <c r="L11293" s="24"/>
      <c r="M11293" s="24"/>
      <c r="N11293" s="24"/>
      <c r="O11293" s="24"/>
      <c r="P11293" s="24"/>
      <c r="Q11293" s="24"/>
      <c r="R11293" s="24"/>
      <c r="S11293" s="24"/>
      <c r="T11293" s="24"/>
      <c r="U11293" s="24"/>
      <c r="V11293" s="24"/>
      <c r="W11293" s="24"/>
      <c r="X11293" s="24"/>
      <c r="Y11293" s="24"/>
      <c r="Z11293" s="24"/>
      <c r="AA11293" s="24"/>
    </row>
    <row r="11294">
      <c r="A11294" s="24"/>
      <c r="B11294" s="25"/>
      <c r="C11294" s="24"/>
      <c r="D11294" s="26"/>
      <c r="E11294" s="24"/>
      <c r="F11294" s="24"/>
      <c r="G11294" s="24"/>
      <c r="H11294" s="24"/>
      <c r="I11294" s="24"/>
      <c r="J11294" s="24"/>
      <c r="K11294" s="24"/>
      <c r="L11294" s="24"/>
      <c r="M11294" s="24"/>
      <c r="N11294" s="24"/>
      <c r="O11294" s="24"/>
      <c r="P11294" s="24"/>
      <c r="Q11294" s="24"/>
      <c r="R11294" s="24"/>
      <c r="S11294" s="24"/>
      <c r="T11294" s="24"/>
      <c r="U11294" s="24"/>
      <c r="V11294" s="24"/>
      <c r="W11294" s="24"/>
      <c r="X11294" s="24"/>
      <c r="Y11294" s="24"/>
      <c r="Z11294" s="24"/>
      <c r="AA11294" s="24"/>
    </row>
    <row r="11295">
      <c r="A11295" s="24"/>
      <c r="B11295" s="25"/>
      <c r="C11295" s="24"/>
      <c r="D11295" s="26"/>
      <c r="E11295" s="24"/>
      <c r="F11295" s="24"/>
      <c r="G11295" s="24"/>
      <c r="H11295" s="24"/>
      <c r="I11295" s="24"/>
      <c r="J11295" s="24"/>
      <c r="K11295" s="24"/>
      <c r="L11295" s="24"/>
      <c r="M11295" s="24"/>
      <c r="N11295" s="24"/>
      <c r="O11295" s="24"/>
      <c r="P11295" s="24"/>
      <c r="Q11295" s="24"/>
      <c r="R11295" s="24"/>
      <c r="S11295" s="24"/>
      <c r="T11295" s="24"/>
      <c r="U11295" s="24"/>
      <c r="V11295" s="24"/>
      <c r="W11295" s="24"/>
      <c r="X11295" s="24"/>
      <c r="Y11295" s="24"/>
      <c r="Z11295" s="24"/>
      <c r="AA11295" s="24"/>
    </row>
    <row r="11296">
      <c r="A11296" s="24"/>
      <c r="B11296" s="25"/>
      <c r="C11296" s="24"/>
      <c r="D11296" s="26"/>
      <c r="E11296" s="24"/>
      <c r="F11296" s="24"/>
      <c r="G11296" s="24"/>
      <c r="H11296" s="24"/>
      <c r="I11296" s="24"/>
      <c r="J11296" s="24"/>
      <c r="K11296" s="24"/>
      <c r="L11296" s="24"/>
      <c r="M11296" s="24"/>
      <c r="N11296" s="24"/>
      <c r="O11296" s="24"/>
      <c r="P11296" s="24"/>
      <c r="Q11296" s="24"/>
      <c r="R11296" s="24"/>
      <c r="S11296" s="24"/>
      <c r="T11296" s="24"/>
      <c r="U11296" s="24"/>
      <c r="V11296" s="24"/>
      <c r="W11296" s="24"/>
      <c r="X11296" s="24"/>
      <c r="Y11296" s="24"/>
      <c r="Z11296" s="24"/>
      <c r="AA11296" s="24"/>
    </row>
    <row r="11297">
      <c r="A11297" s="24"/>
      <c r="B11297" s="25"/>
      <c r="C11297" s="24"/>
      <c r="D11297" s="26"/>
      <c r="E11297" s="24"/>
      <c r="F11297" s="24"/>
      <c r="G11297" s="24"/>
      <c r="H11297" s="24"/>
      <c r="I11297" s="24"/>
      <c r="J11297" s="24"/>
      <c r="K11297" s="24"/>
      <c r="L11297" s="24"/>
      <c r="M11297" s="24"/>
      <c r="N11297" s="24"/>
      <c r="O11297" s="24"/>
      <c r="P11297" s="24"/>
      <c r="Q11297" s="24"/>
      <c r="R11297" s="24"/>
      <c r="S11297" s="24"/>
      <c r="T11297" s="24"/>
      <c r="U11297" s="24"/>
      <c r="V11297" s="24"/>
      <c r="W11297" s="24"/>
      <c r="X11297" s="24"/>
      <c r="Y11297" s="24"/>
      <c r="Z11297" s="24"/>
      <c r="AA11297" s="24"/>
    </row>
    <row r="11298">
      <c r="A11298" s="24"/>
      <c r="B11298" s="25"/>
      <c r="C11298" s="24"/>
      <c r="D11298" s="26"/>
      <c r="E11298" s="24"/>
      <c r="F11298" s="24"/>
      <c r="G11298" s="24"/>
      <c r="H11298" s="24"/>
      <c r="I11298" s="24"/>
      <c r="J11298" s="24"/>
      <c r="K11298" s="24"/>
      <c r="L11298" s="24"/>
      <c r="M11298" s="24"/>
      <c r="N11298" s="24"/>
      <c r="O11298" s="24"/>
      <c r="P11298" s="24"/>
      <c r="Q11298" s="24"/>
      <c r="R11298" s="24"/>
      <c r="S11298" s="24"/>
      <c r="T11298" s="24"/>
      <c r="U11298" s="24"/>
      <c r="V11298" s="24"/>
      <c r="W11298" s="24"/>
      <c r="X11298" s="24"/>
      <c r="Y11298" s="24"/>
      <c r="Z11298" s="24"/>
      <c r="AA11298" s="24"/>
    </row>
    <row r="11299">
      <c r="A11299" s="24"/>
      <c r="B11299" s="25"/>
      <c r="C11299" s="24"/>
      <c r="D11299" s="26"/>
      <c r="E11299" s="24"/>
      <c r="F11299" s="24"/>
      <c r="G11299" s="24"/>
      <c r="H11299" s="24"/>
      <c r="I11299" s="24"/>
      <c r="J11299" s="24"/>
      <c r="K11299" s="24"/>
      <c r="L11299" s="24"/>
      <c r="M11299" s="24"/>
      <c r="N11299" s="24"/>
      <c r="O11299" s="24"/>
      <c r="P11299" s="24"/>
      <c r="Q11299" s="24"/>
      <c r="R11299" s="24"/>
      <c r="S11299" s="24"/>
      <c r="T11299" s="24"/>
      <c r="U11299" s="24"/>
      <c r="V11299" s="24"/>
      <c r="W11299" s="24"/>
      <c r="X11299" s="24"/>
      <c r="Y11299" s="24"/>
      <c r="Z11299" s="24"/>
      <c r="AA11299" s="24"/>
    </row>
    <row r="11300">
      <c r="A11300" s="24"/>
      <c r="B11300" s="25"/>
      <c r="C11300" s="24"/>
      <c r="D11300" s="26"/>
      <c r="E11300" s="24"/>
      <c r="F11300" s="24"/>
      <c r="G11300" s="24"/>
      <c r="H11300" s="24"/>
      <c r="I11300" s="24"/>
      <c r="J11300" s="24"/>
      <c r="K11300" s="24"/>
      <c r="L11300" s="24"/>
      <c r="M11300" s="24"/>
      <c r="N11300" s="24"/>
      <c r="O11300" s="24"/>
      <c r="P11300" s="24"/>
      <c r="Q11300" s="24"/>
      <c r="R11300" s="24"/>
      <c r="S11300" s="24"/>
      <c r="T11300" s="24"/>
      <c r="U11300" s="24"/>
      <c r="V11300" s="24"/>
      <c r="W11300" s="24"/>
      <c r="X11300" s="24"/>
      <c r="Y11300" s="24"/>
      <c r="Z11300" s="24"/>
      <c r="AA11300" s="24"/>
    </row>
    <row r="11301">
      <c r="A11301" s="24"/>
      <c r="B11301" s="25"/>
      <c r="C11301" s="24"/>
      <c r="D11301" s="26"/>
      <c r="E11301" s="24"/>
      <c r="F11301" s="24"/>
      <c r="G11301" s="24"/>
      <c r="H11301" s="24"/>
      <c r="I11301" s="24"/>
      <c r="J11301" s="24"/>
      <c r="K11301" s="24"/>
      <c r="L11301" s="24"/>
      <c r="M11301" s="24"/>
      <c r="N11301" s="24"/>
      <c r="O11301" s="24"/>
      <c r="P11301" s="24"/>
      <c r="Q11301" s="24"/>
      <c r="R11301" s="24"/>
      <c r="S11301" s="24"/>
      <c r="T11301" s="24"/>
      <c r="U11301" s="24"/>
      <c r="V11301" s="24"/>
      <c r="W11301" s="24"/>
      <c r="X11301" s="24"/>
      <c r="Y11301" s="24"/>
      <c r="Z11301" s="24"/>
      <c r="AA11301" s="24"/>
    </row>
    <row r="11302">
      <c r="A11302" s="24"/>
      <c r="B11302" s="25"/>
      <c r="C11302" s="24"/>
      <c r="D11302" s="26"/>
      <c r="E11302" s="24"/>
      <c r="F11302" s="24"/>
      <c r="G11302" s="24"/>
      <c r="H11302" s="24"/>
      <c r="I11302" s="24"/>
      <c r="J11302" s="24"/>
      <c r="K11302" s="24"/>
      <c r="L11302" s="24"/>
      <c r="M11302" s="24"/>
      <c r="N11302" s="24"/>
      <c r="O11302" s="24"/>
      <c r="P11302" s="24"/>
      <c r="Q11302" s="24"/>
      <c r="R11302" s="24"/>
      <c r="S11302" s="24"/>
      <c r="T11302" s="24"/>
      <c r="U11302" s="24"/>
      <c r="V11302" s="24"/>
      <c r="W11302" s="24"/>
      <c r="X11302" s="24"/>
      <c r="Y11302" s="24"/>
      <c r="Z11302" s="24"/>
      <c r="AA11302" s="24"/>
    </row>
    <row r="11303">
      <c r="A11303" s="24"/>
      <c r="B11303" s="25"/>
      <c r="C11303" s="24"/>
      <c r="D11303" s="26"/>
      <c r="E11303" s="24"/>
      <c r="F11303" s="24"/>
      <c r="G11303" s="24"/>
      <c r="H11303" s="24"/>
      <c r="I11303" s="24"/>
      <c r="J11303" s="24"/>
      <c r="K11303" s="24"/>
      <c r="L11303" s="24"/>
      <c r="M11303" s="24"/>
      <c r="N11303" s="24"/>
      <c r="O11303" s="24"/>
      <c r="P11303" s="24"/>
      <c r="Q11303" s="24"/>
      <c r="R11303" s="24"/>
      <c r="S11303" s="24"/>
      <c r="T11303" s="24"/>
      <c r="U11303" s="24"/>
      <c r="V11303" s="24"/>
      <c r="W11303" s="24"/>
      <c r="X11303" s="24"/>
      <c r="Y11303" s="24"/>
      <c r="Z11303" s="24"/>
      <c r="AA11303" s="24"/>
    </row>
    <row r="11304">
      <c r="A11304" s="24"/>
      <c r="B11304" s="25"/>
      <c r="C11304" s="24"/>
      <c r="D11304" s="26"/>
      <c r="E11304" s="24"/>
      <c r="F11304" s="24"/>
      <c r="G11304" s="24"/>
      <c r="H11304" s="24"/>
      <c r="I11304" s="24"/>
      <c r="J11304" s="24"/>
      <c r="K11304" s="24"/>
      <c r="L11304" s="24"/>
      <c r="M11304" s="24"/>
      <c r="N11304" s="24"/>
      <c r="O11304" s="24"/>
      <c r="P11304" s="24"/>
      <c r="Q11304" s="24"/>
      <c r="R11304" s="24"/>
      <c r="S11304" s="24"/>
      <c r="T11304" s="24"/>
      <c r="U11304" s="24"/>
      <c r="V11304" s="24"/>
      <c r="W11304" s="24"/>
      <c r="X11304" s="24"/>
      <c r="Y11304" s="24"/>
      <c r="Z11304" s="24"/>
      <c r="AA11304" s="24"/>
    </row>
    <row r="11305">
      <c r="A11305" s="24"/>
      <c r="B11305" s="25"/>
      <c r="C11305" s="24"/>
      <c r="D11305" s="26"/>
      <c r="E11305" s="24"/>
      <c r="F11305" s="24"/>
      <c r="G11305" s="24"/>
      <c r="H11305" s="24"/>
      <c r="I11305" s="24"/>
      <c r="J11305" s="24"/>
      <c r="K11305" s="24"/>
      <c r="L11305" s="24"/>
      <c r="M11305" s="24"/>
      <c r="N11305" s="24"/>
      <c r="O11305" s="24"/>
      <c r="P11305" s="24"/>
      <c r="Q11305" s="24"/>
      <c r="R11305" s="24"/>
      <c r="S11305" s="24"/>
      <c r="T11305" s="24"/>
      <c r="U11305" s="24"/>
      <c r="V11305" s="24"/>
      <c r="W11305" s="24"/>
      <c r="X11305" s="24"/>
      <c r="Y11305" s="24"/>
      <c r="Z11305" s="24"/>
      <c r="AA11305" s="24"/>
    </row>
    <row r="11306">
      <c r="A11306" s="24"/>
      <c r="B11306" s="25"/>
      <c r="C11306" s="24"/>
      <c r="D11306" s="26"/>
      <c r="E11306" s="24"/>
      <c r="F11306" s="24"/>
      <c r="G11306" s="24"/>
      <c r="H11306" s="24"/>
      <c r="I11306" s="24"/>
      <c r="J11306" s="24"/>
      <c r="K11306" s="24"/>
      <c r="L11306" s="24"/>
      <c r="M11306" s="24"/>
      <c r="N11306" s="24"/>
      <c r="O11306" s="24"/>
      <c r="P11306" s="24"/>
      <c r="Q11306" s="24"/>
      <c r="R11306" s="24"/>
      <c r="S11306" s="24"/>
      <c r="T11306" s="24"/>
      <c r="U11306" s="24"/>
      <c r="V11306" s="24"/>
      <c r="W11306" s="24"/>
      <c r="X11306" s="24"/>
      <c r="Y11306" s="24"/>
      <c r="Z11306" s="24"/>
      <c r="AA11306" s="24"/>
    </row>
    <row r="11307">
      <c r="A11307" s="24"/>
      <c r="B11307" s="25"/>
      <c r="C11307" s="24"/>
      <c r="D11307" s="26"/>
      <c r="E11307" s="24"/>
      <c r="F11307" s="24"/>
      <c r="G11307" s="24"/>
      <c r="H11307" s="24"/>
      <c r="I11307" s="24"/>
      <c r="J11307" s="24"/>
      <c r="K11307" s="24"/>
      <c r="L11307" s="24"/>
      <c r="M11307" s="24"/>
      <c r="N11307" s="24"/>
      <c r="O11307" s="24"/>
      <c r="P11307" s="24"/>
      <c r="Q11307" s="24"/>
      <c r="R11307" s="24"/>
      <c r="S11307" s="24"/>
      <c r="T11307" s="24"/>
      <c r="U11307" s="24"/>
      <c r="V11307" s="24"/>
      <c r="W11307" s="24"/>
      <c r="X11307" s="24"/>
      <c r="Y11307" s="24"/>
      <c r="Z11307" s="24"/>
      <c r="AA11307" s="24"/>
    </row>
    <row r="11308">
      <c r="A11308" s="24"/>
      <c r="B11308" s="25"/>
      <c r="C11308" s="24"/>
      <c r="D11308" s="26"/>
      <c r="E11308" s="24"/>
      <c r="F11308" s="24"/>
      <c r="G11308" s="24"/>
      <c r="H11308" s="24"/>
      <c r="I11308" s="24"/>
      <c r="J11308" s="24"/>
      <c r="K11308" s="24"/>
      <c r="L11308" s="24"/>
      <c r="M11308" s="24"/>
      <c r="N11308" s="24"/>
      <c r="O11308" s="24"/>
      <c r="P11308" s="24"/>
      <c r="Q11308" s="24"/>
      <c r="R11308" s="24"/>
      <c r="S11308" s="24"/>
      <c r="T11308" s="24"/>
      <c r="U11308" s="24"/>
      <c r="V11308" s="24"/>
      <c r="W11308" s="24"/>
      <c r="X11308" s="24"/>
      <c r="Y11308" s="24"/>
      <c r="Z11308" s="24"/>
      <c r="AA11308" s="24"/>
    </row>
    <row r="11309">
      <c r="A11309" s="24"/>
      <c r="B11309" s="25"/>
      <c r="C11309" s="24"/>
      <c r="D11309" s="26"/>
      <c r="E11309" s="24"/>
      <c r="F11309" s="24"/>
      <c r="G11309" s="24"/>
      <c r="H11309" s="24"/>
      <c r="I11309" s="24"/>
      <c r="J11309" s="24"/>
      <c r="K11309" s="24"/>
      <c r="L11309" s="24"/>
      <c r="M11309" s="24"/>
      <c r="N11309" s="24"/>
      <c r="O11309" s="24"/>
      <c r="P11309" s="24"/>
      <c r="Q11309" s="24"/>
      <c r="R11309" s="24"/>
      <c r="S11309" s="24"/>
      <c r="T11309" s="24"/>
      <c r="U11309" s="24"/>
      <c r="V11309" s="24"/>
      <c r="W11309" s="24"/>
      <c r="X11309" s="24"/>
      <c r="Y11309" s="24"/>
      <c r="Z11309" s="24"/>
      <c r="AA11309" s="24"/>
    </row>
    <row r="11310">
      <c r="A11310" s="24"/>
      <c r="B11310" s="25"/>
      <c r="C11310" s="24"/>
      <c r="D11310" s="26"/>
      <c r="E11310" s="24"/>
      <c r="F11310" s="24"/>
      <c r="G11310" s="24"/>
      <c r="H11310" s="24"/>
      <c r="I11310" s="24"/>
      <c r="J11310" s="24"/>
      <c r="K11310" s="24"/>
      <c r="L11310" s="24"/>
      <c r="M11310" s="24"/>
      <c r="N11310" s="24"/>
      <c r="O11310" s="24"/>
      <c r="P11310" s="24"/>
      <c r="Q11310" s="24"/>
      <c r="R11310" s="24"/>
      <c r="S11310" s="24"/>
      <c r="T11310" s="24"/>
      <c r="U11310" s="24"/>
      <c r="V11310" s="24"/>
      <c r="W11310" s="24"/>
      <c r="X11310" s="24"/>
      <c r="Y11310" s="24"/>
      <c r="Z11310" s="24"/>
      <c r="AA11310" s="24"/>
    </row>
    <row r="11311">
      <c r="A11311" s="24"/>
      <c r="B11311" s="25"/>
      <c r="C11311" s="24"/>
      <c r="D11311" s="26"/>
      <c r="E11311" s="24"/>
      <c r="F11311" s="24"/>
      <c r="G11311" s="24"/>
      <c r="H11311" s="24"/>
      <c r="I11311" s="24"/>
      <c r="J11311" s="24"/>
      <c r="K11311" s="24"/>
      <c r="L11311" s="24"/>
      <c r="M11311" s="24"/>
      <c r="N11311" s="24"/>
      <c r="O11311" s="24"/>
      <c r="P11311" s="24"/>
      <c r="Q11311" s="24"/>
      <c r="R11311" s="24"/>
      <c r="S11311" s="24"/>
      <c r="T11311" s="24"/>
      <c r="U11311" s="24"/>
      <c r="V11311" s="24"/>
      <c r="W11311" s="24"/>
      <c r="X11311" s="24"/>
      <c r="Y11311" s="24"/>
      <c r="Z11311" s="24"/>
      <c r="AA11311" s="24"/>
    </row>
    <row r="11312">
      <c r="A11312" s="24"/>
      <c r="B11312" s="25"/>
      <c r="C11312" s="24"/>
      <c r="D11312" s="26"/>
      <c r="E11312" s="24"/>
      <c r="F11312" s="24"/>
      <c r="G11312" s="24"/>
      <c r="H11312" s="24"/>
      <c r="I11312" s="24"/>
      <c r="J11312" s="24"/>
      <c r="K11312" s="24"/>
      <c r="L11312" s="24"/>
      <c r="M11312" s="24"/>
      <c r="N11312" s="24"/>
      <c r="O11312" s="24"/>
      <c r="P11312" s="24"/>
      <c r="Q11312" s="24"/>
      <c r="R11312" s="24"/>
      <c r="S11312" s="24"/>
      <c r="T11312" s="24"/>
      <c r="U11312" s="24"/>
      <c r="V11312" s="24"/>
      <c r="W11312" s="24"/>
      <c r="X11312" s="24"/>
      <c r="Y11312" s="24"/>
      <c r="Z11312" s="24"/>
      <c r="AA11312" s="24"/>
    </row>
    <row r="11313">
      <c r="A11313" s="24"/>
      <c r="B11313" s="25"/>
      <c r="C11313" s="24"/>
      <c r="D11313" s="26"/>
      <c r="E11313" s="24"/>
      <c r="F11313" s="24"/>
      <c r="G11313" s="24"/>
      <c r="H11313" s="24"/>
      <c r="I11313" s="24"/>
      <c r="J11313" s="24"/>
      <c r="K11313" s="24"/>
      <c r="L11313" s="24"/>
      <c r="M11313" s="24"/>
      <c r="N11313" s="24"/>
      <c r="O11313" s="24"/>
      <c r="P11313" s="24"/>
      <c r="Q11313" s="24"/>
      <c r="R11313" s="24"/>
      <c r="S11313" s="24"/>
      <c r="T11313" s="24"/>
      <c r="U11313" s="24"/>
      <c r="V11313" s="24"/>
      <c r="W11313" s="24"/>
      <c r="X11313" s="24"/>
      <c r="Y11313" s="24"/>
      <c r="Z11313" s="24"/>
      <c r="AA11313" s="24"/>
    </row>
    <row r="11314">
      <c r="A11314" s="24"/>
      <c r="B11314" s="25"/>
      <c r="C11314" s="24"/>
      <c r="D11314" s="26"/>
      <c r="E11314" s="24"/>
      <c r="F11314" s="24"/>
      <c r="G11314" s="24"/>
      <c r="H11314" s="24"/>
      <c r="I11314" s="24"/>
      <c r="J11314" s="24"/>
      <c r="K11314" s="24"/>
      <c r="L11314" s="24"/>
      <c r="M11314" s="24"/>
      <c r="N11314" s="24"/>
      <c r="O11314" s="24"/>
      <c r="P11314" s="24"/>
      <c r="Q11314" s="24"/>
      <c r="R11314" s="24"/>
      <c r="S11314" s="24"/>
      <c r="T11314" s="24"/>
      <c r="U11314" s="24"/>
      <c r="V11314" s="24"/>
      <c r="W11314" s="24"/>
      <c r="X11314" s="24"/>
      <c r="Y11314" s="24"/>
      <c r="Z11314" s="24"/>
      <c r="AA11314" s="24"/>
    </row>
    <row r="11315">
      <c r="A11315" s="24"/>
      <c r="B11315" s="25"/>
      <c r="C11315" s="24"/>
      <c r="D11315" s="26"/>
      <c r="E11315" s="24"/>
      <c r="F11315" s="24"/>
      <c r="G11315" s="24"/>
      <c r="H11315" s="24"/>
      <c r="I11315" s="24"/>
      <c r="J11315" s="24"/>
      <c r="K11315" s="24"/>
      <c r="L11315" s="24"/>
      <c r="M11315" s="24"/>
      <c r="N11315" s="24"/>
      <c r="O11315" s="24"/>
      <c r="P11315" s="24"/>
      <c r="Q11315" s="24"/>
      <c r="R11315" s="24"/>
      <c r="S11315" s="24"/>
      <c r="T11315" s="24"/>
      <c r="U11315" s="24"/>
      <c r="V11315" s="24"/>
      <c r="W11315" s="24"/>
      <c r="X11315" s="24"/>
      <c r="Y11315" s="24"/>
      <c r="Z11315" s="24"/>
      <c r="AA11315" s="24"/>
    </row>
    <row r="11316">
      <c r="A11316" s="24"/>
      <c r="B11316" s="25"/>
      <c r="C11316" s="24"/>
      <c r="D11316" s="26"/>
      <c r="E11316" s="24"/>
      <c r="F11316" s="24"/>
      <c r="G11316" s="24"/>
      <c r="H11316" s="24"/>
      <c r="I11316" s="24"/>
      <c r="J11316" s="24"/>
      <c r="K11316" s="24"/>
      <c r="L11316" s="24"/>
      <c r="M11316" s="24"/>
      <c r="N11316" s="24"/>
      <c r="O11316" s="24"/>
      <c r="P11316" s="24"/>
      <c r="Q11316" s="24"/>
      <c r="R11316" s="24"/>
      <c r="S11316" s="24"/>
      <c r="T11316" s="24"/>
      <c r="U11316" s="24"/>
      <c r="V11316" s="24"/>
      <c r="W11316" s="24"/>
      <c r="X11316" s="24"/>
      <c r="Y11316" s="24"/>
      <c r="Z11316" s="24"/>
      <c r="AA11316" s="24"/>
    </row>
    <row r="11317">
      <c r="A11317" s="24"/>
      <c r="B11317" s="25"/>
      <c r="C11317" s="24"/>
      <c r="D11317" s="26"/>
      <c r="E11317" s="24"/>
      <c r="F11317" s="24"/>
      <c r="G11317" s="24"/>
      <c r="H11317" s="24"/>
      <c r="I11317" s="24"/>
      <c r="J11317" s="24"/>
      <c r="K11317" s="24"/>
      <c r="L11317" s="24"/>
      <c r="M11317" s="24"/>
      <c r="N11317" s="24"/>
      <c r="O11317" s="24"/>
      <c r="P11317" s="24"/>
      <c r="Q11317" s="24"/>
      <c r="R11317" s="24"/>
      <c r="S11317" s="24"/>
      <c r="T11317" s="24"/>
      <c r="U11317" s="24"/>
      <c r="V11317" s="24"/>
      <c r="W11317" s="24"/>
      <c r="X11317" s="24"/>
      <c r="Y11317" s="24"/>
      <c r="Z11317" s="24"/>
      <c r="AA11317" s="24"/>
    </row>
    <row r="11318">
      <c r="A11318" s="24"/>
      <c r="B11318" s="25"/>
      <c r="C11318" s="24"/>
      <c r="D11318" s="26"/>
      <c r="E11318" s="24"/>
      <c r="F11318" s="24"/>
      <c r="G11318" s="24"/>
      <c r="H11318" s="24"/>
      <c r="I11318" s="24"/>
      <c r="J11318" s="24"/>
      <c r="K11318" s="24"/>
      <c r="L11318" s="24"/>
      <c r="M11318" s="24"/>
      <c r="N11318" s="24"/>
      <c r="O11318" s="24"/>
      <c r="P11318" s="24"/>
      <c r="Q11318" s="24"/>
      <c r="R11318" s="24"/>
      <c r="S11318" s="24"/>
      <c r="T11318" s="24"/>
      <c r="U11318" s="24"/>
      <c r="V11318" s="24"/>
      <c r="W11318" s="24"/>
      <c r="X11318" s="24"/>
      <c r="Y11318" s="24"/>
      <c r="Z11318" s="24"/>
      <c r="AA11318" s="24"/>
    </row>
    <row r="11319">
      <c r="A11319" s="24"/>
      <c r="B11319" s="25"/>
      <c r="C11319" s="24"/>
      <c r="D11319" s="26"/>
      <c r="E11319" s="24"/>
      <c r="F11319" s="24"/>
      <c r="G11319" s="24"/>
      <c r="H11319" s="24"/>
      <c r="I11319" s="24"/>
      <c r="J11319" s="24"/>
      <c r="K11319" s="24"/>
      <c r="L11319" s="24"/>
      <c r="M11319" s="24"/>
      <c r="N11319" s="24"/>
      <c r="O11319" s="24"/>
      <c r="P11319" s="24"/>
      <c r="Q11319" s="24"/>
      <c r="R11319" s="24"/>
      <c r="S11319" s="24"/>
      <c r="T11319" s="24"/>
      <c r="U11319" s="24"/>
      <c r="V11319" s="24"/>
      <c r="W11319" s="24"/>
      <c r="X11319" s="24"/>
      <c r="Y11319" s="24"/>
      <c r="Z11319" s="24"/>
      <c r="AA11319" s="24"/>
    </row>
    <row r="11320">
      <c r="A11320" s="24"/>
      <c r="B11320" s="25"/>
      <c r="C11320" s="24"/>
      <c r="D11320" s="26"/>
      <c r="E11320" s="24"/>
      <c r="F11320" s="24"/>
      <c r="G11320" s="24"/>
      <c r="H11320" s="24"/>
      <c r="I11320" s="24"/>
      <c r="J11320" s="24"/>
      <c r="K11320" s="24"/>
      <c r="L11320" s="24"/>
      <c r="M11320" s="24"/>
      <c r="N11320" s="24"/>
      <c r="O11320" s="24"/>
      <c r="P11320" s="24"/>
      <c r="Q11320" s="24"/>
      <c r="R11320" s="24"/>
      <c r="S11320" s="24"/>
      <c r="T11320" s="24"/>
      <c r="U11320" s="24"/>
      <c r="V11320" s="24"/>
      <c r="W11320" s="24"/>
      <c r="X11320" s="24"/>
      <c r="Y11320" s="24"/>
      <c r="Z11320" s="24"/>
      <c r="AA11320" s="24"/>
    </row>
    <row r="11321">
      <c r="A11321" s="24"/>
      <c r="B11321" s="25"/>
      <c r="C11321" s="24"/>
      <c r="D11321" s="26"/>
      <c r="E11321" s="24"/>
      <c r="F11321" s="24"/>
      <c r="G11321" s="24"/>
      <c r="H11321" s="24"/>
      <c r="I11321" s="24"/>
      <c r="J11321" s="24"/>
      <c r="K11321" s="24"/>
      <c r="L11321" s="24"/>
      <c r="M11321" s="24"/>
      <c r="N11321" s="24"/>
      <c r="O11321" s="24"/>
      <c r="P11321" s="24"/>
      <c r="Q11321" s="24"/>
      <c r="R11321" s="24"/>
      <c r="S11321" s="24"/>
      <c r="T11321" s="24"/>
      <c r="U11321" s="24"/>
      <c r="V11321" s="24"/>
      <c r="W11321" s="24"/>
      <c r="X11321" s="24"/>
      <c r="Y11321" s="24"/>
      <c r="Z11321" s="24"/>
      <c r="AA11321" s="24"/>
    </row>
    <row r="11322">
      <c r="A11322" s="24"/>
      <c r="B11322" s="25"/>
      <c r="C11322" s="24"/>
      <c r="D11322" s="26"/>
      <c r="E11322" s="24"/>
      <c r="F11322" s="24"/>
      <c r="G11322" s="24"/>
      <c r="H11322" s="24"/>
      <c r="I11322" s="24"/>
      <c r="J11322" s="24"/>
      <c r="K11322" s="24"/>
      <c r="L11322" s="24"/>
      <c r="M11322" s="24"/>
      <c r="N11322" s="24"/>
      <c r="O11322" s="24"/>
      <c r="P11322" s="24"/>
      <c r="Q11322" s="24"/>
      <c r="R11322" s="24"/>
      <c r="S11322" s="24"/>
      <c r="T11322" s="24"/>
      <c r="U11322" s="24"/>
      <c r="V11322" s="24"/>
      <c r="W11322" s="24"/>
      <c r="X11322" s="24"/>
      <c r="Y11322" s="24"/>
      <c r="Z11322" s="24"/>
      <c r="AA11322" s="24"/>
    </row>
    <row r="11323">
      <c r="A11323" s="24"/>
      <c r="B11323" s="25"/>
      <c r="C11323" s="24"/>
      <c r="D11323" s="26"/>
      <c r="E11323" s="24"/>
      <c r="F11323" s="24"/>
      <c r="G11323" s="24"/>
      <c r="H11323" s="24"/>
      <c r="I11323" s="24"/>
      <c r="J11323" s="24"/>
      <c r="K11323" s="24"/>
      <c r="L11323" s="24"/>
      <c r="M11323" s="24"/>
      <c r="N11323" s="24"/>
      <c r="O11323" s="24"/>
      <c r="P11323" s="24"/>
      <c r="Q11323" s="24"/>
      <c r="R11323" s="24"/>
      <c r="S11323" s="24"/>
      <c r="T11323" s="24"/>
      <c r="U11323" s="24"/>
      <c r="V11323" s="24"/>
      <c r="W11323" s="24"/>
      <c r="X11323" s="24"/>
      <c r="Y11323" s="24"/>
      <c r="Z11323" s="24"/>
      <c r="AA11323" s="24"/>
    </row>
    <row r="11324">
      <c r="A11324" s="24"/>
      <c r="B11324" s="25"/>
      <c r="C11324" s="24"/>
      <c r="D11324" s="26"/>
      <c r="E11324" s="24"/>
      <c r="F11324" s="24"/>
      <c r="G11324" s="24"/>
      <c r="H11324" s="24"/>
      <c r="I11324" s="24"/>
      <c r="J11324" s="24"/>
      <c r="K11324" s="24"/>
      <c r="L11324" s="24"/>
      <c r="M11324" s="24"/>
      <c r="N11324" s="24"/>
      <c r="O11324" s="24"/>
      <c r="P11324" s="24"/>
      <c r="Q11324" s="24"/>
      <c r="R11324" s="24"/>
      <c r="S11324" s="24"/>
      <c r="T11324" s="24"/>
      <c r="U11324" s="24"/>
      <c r="V11324" s="24"/>
      <c r="W11324" s="24"/>
      <c r="X11324" s="24"/>
      <c r="Y11324" s="24"/>
      <c r="Z11324" s="24"/>
      <c r="AA11324" s="24"/>
    </row>
    <row r="11325">
      <c r="A11325" s="24"/>
      <c r="B11325" s="25"/>
      <c r="C11325" s="24"/>
      <c r="D11325" s="26"/>
      <c r="E11325" s="24"/>
      <c r="F11325" s="24"/>
      <c r="G11325" s="24"/>
      <c r="H11325" s="24"/>
      <c r="I11325" s="24"/>
      <c r="J11325" s="24"/>
      <c r="K11325" s="24"/>
      <c r="L11325" s="24"/>
      <c r="M11325" s="24"/>
      <c r="N11325" s="24"/>
      <c r="O11325" s="24"/>
      <c r="P11325" s="24"/>
      <c r="Q11325" s="24"/>
      <c r="R11325" s="24"/>
      <c r="S11325" s="24"/>
      <c r="T11325" s="24"/>
      <c r="U11325" s="24"/>
      <c r="V11325" s="24"/>
      <c r="W11325" s="24"/>
      <c r="X11325" s="24"/>
      <c r="Y11325" s="24"/>
      <c r="Z11325" s="24"/>
      <c r="AA11325" s="24"/>
    </row>
    <row r="11326">
      <c r="A11326" s="24"/>
      <c r="B11326" s="25"/>
      <c r="C11326" s="24"/>
      <c r="D11326" s="26"/>
      <c r="E11326" s="24"/>
      <c r="F11326" s="24"/>
      <c r="G11326" s="24"/>
      <c r="H11326" s="24"/>
      <c r="I11326" s="24"/>
      <c r="J11326" s="24"/>
      <c r="K11326" s="24"/>
      <c r="L11326" s="24"/>
      <c r="M11326" s="24"/>
      <c r="N11326" s="24"/>
      <c r="O11326" s="24"/>
      <c r="P11326" s="24"/>
      <c r="Q11326" s="24"/>
      <c r="R11326" s="24"/>
      <c r="S11326" s="24"/>
      <c r="T11326" s="24"/>
      <c r="U11326" s="24"/>
      <c r="V11326" s="24"/>
      <c r="W11326" s="24"/>
      <c r="X11326" s="24"/>
      <c r="Y11326" s="24"/>
      <c r="Z11326" s="24"/>
      <c r="AA11326" s="24"/>
    </row>
    <row r="11327">
      <c r="A11327" s="24"/>
      <c r="B11327" s="25"/>
      <c r="C11327" s="24"/>
      <c r="D11327" s="26"/>
      <c r="E11327" s="24"/>
      <c r="F11327" s="24"/>
      <c r="G11327" s="24"/>
      <c r="H11327" s="24"/>
      <c r="I11327" s="24"/>
      <c r="J11327" s="24"/>
      <c r="K11327" s="24"/>
      <c r="L11327" s="24"/>
      <c r="M11327" s="24"/>
      <c r="N11327" s="24"/>
      <c r="O11327" s="24"/>
      <c r="P11327" s="24"/>
      <c r="Q11327" s="24"/>
      <c r="R11327" s="24"/>
      <c r="S11327" s="24"/>
      <c r="T11327" s="24"/>
      <c r="U11327" s="24"/>
      <c r="V11327" s="24"/>
      <c r="W11327" s="24"/>
      <c r="X11327" s="24"/>
      <c r="Y11327" s="24"/>
      <c r="Z11327" s="24"/>
      <c r="AA11327" s="24"/>
    </row>
    <row r="11328">
      <c r="A11328" s="24"/>
      <c r="B11328" s="25"/>
      <c r="C11328" s="24"/>
      <c r="D11328" s="26"/>
      <c r="E11328" s="24"/>
      <c r="F11328" s="24"/>
      <c r="G11328" s="24"/>
      <c r="H11328" s="24"/>
      <c r="I11328" s="24"/>
      <c r="J11328" s="24"/>
      <c r="K11328" s="24"/>
      <c r="L11328" s="24"/>
      <c r="M11328" s="24"/>
      <c r="N11328" s="24"/>
      <c r="O11328" s="24"/>
      <c r="P11328" s="24"/>
      <c r="Q11328" s="24"/>
      <c r="R11328" s="24"/>
      <c r="S11328" s="24"/>
      <c r="T11328" s="24"/>
      <c r="U11328" s="24"/>
      <c r="V11328" s="24"/>
      <c r="W11328" s="24"/>
      <c r="X11328" s="24"/>
      <c r="Y11328" s="24"/>
      <c r="Z11328" s="24"/>
      <c r="AA11328" s="24"/>
    </row>
    <row r="11329">
      <c r="A11329" s="24"/>
      <c r="B11329" s="25"/>
      <c r="C11329" s="24"/>
      <c r="D11329" s="26"/>
      <c r="E11329" s="24"/>
      <c r="F11329" s="24"/>
      <c r="G11329" s="24"/>
      <c r="H11329" s="24"/>
      <c r="I11329" s="24"/>
      <c r="J11329" s="24"/>
      <c r="K11329" s="24"/>
      <c r="L11329" s="24"/>
      <c r="M11329" s="24"/>
      <c r="N11329" s="24"/>
      <c r="O11329" s="24"/>
      <c r="P11329" s="24"/>
      <c r="Q11329" s="24"/>
      <c r="R11329" s="24"/>
      <c r="S11329" s="24"/>
      <c r="T11329" s="24"/>
      <c r="U11329" s="24"/>
      <c r="V11329" s="24"/>
      <c r="W11329" s="24"/>
      <c r="X11329" s="24"/>
      <c r="Y11329" s="24"/>
      <c r="Z11329" s="24"/>
      <c r="AA11329" s="24"/>
    </row>
    <row r="11330">
      <c r="A11330" s="24"/>
      <c r="B11330" s="25"/>
      <c r="C11330" s="24"/>
      <c r="D11330" s="26"/>
      <c r="E11330" s="24"/>
      <c r="F11330" s="24"/>
      <c r="G11330" s="24"/>
      <c r="H11330" s="24"/>
      <c r="I11330" s="24"/>
      <c r="J11330" s="24"/>
      <c r="K11330" s="24"/>
      <c r="L11330" s="24"/>
      <c r="M11330" s="24"/>
      <c r="N11330" s="24"/>
      <c r="O11330" s="24"/>
      <c r="P11330" s="24"/>
      <c r="Q11330" s="24"/>
      <c r="R11330" s="24"/>
      <c r="S11330" s="24"/>
      <c r="T11330" s="24"/>
      <c r="U11330" s="24"/>
      <c r="V11330" s="24"/>
      <c r="W11330" s="24"/>
      <c r="X11330" s="24"/>
      <c r="Y11330" s="24"/>
      <c r="Z11330" s="24"/>
      <c r="AA11330" s="24"/>
    </row>
    <row r="11331">
      <c r="A11331" s="24"/>
      <c r="B11331" s="25"/>
      <c r="C11331" s="24"/>
      <c r="D11331" s="26"/>
      <c r="E11331" s="24"/>
      <c r="F11331" s="24"/>
      <c r="G11331" s="24"/>
      <c r="H11331" s="24"/>
      <c r="I11331" s="24"/>
      <c r="J11331" s="24"/>
      <c r="K11331" s="24"/>
      <c r="L11331" s="24"/>
      <c r="M11331" s="24"/>
      <c r="N11331" s="24"/>
      <c r="O11331" s="24"/>
      <c r="P11331" s="24"/>
      <c r="Q11331" s="24"/>
      <c r="R11331" s="24"/>
      <c r="S11331" s="24"/>
      <c r="T11331" s="24"/>
      <c r="U11331" s="24"/>
      <c r="V11331" s="24"/>
      <c r="W11331" s="24"/>
      <c r="X11331" s="24"/>
      <c r="Y11331" s="24"/>
      <c r="Z11331" s="24"/>
      <c r="AA11331" s="24"/>
    </row>
    <row r="11332">
      <c r="A11332" s="24"/>
      <c r="B11332" s="25"/>
      <c r="C11332" s="24"/>
      <c r="D11332" s="26"/>
      <c r="E11332" s="24"/>
      <c r="F11332" s="24"/>
      <c r="G11332" s="24"/>
      <c r="H11332" s="24"/>
      <c r="I11332" s="24"/>
      <c r="J11332" s="24"/>
      <c r="K11332" s="24"/>
      <c r="L11332" s="24"/>
      <c r="M11332" s="24"/>
      <c r="N11332" s="24"/>
      <c r="O11332" s="24"/>
      <c r="P11332" s="24"/>
      <c r="Q11332" s="24"/>
      <c r="R11332" s="24"/>
      <c r="S11332" s="24"/>
      <c r="T11332" s="24"/>
      <c r="U11332" s="24"/>
      <c r="V11332" s="24"/>
      <c r="W11332" s="24"/>
      <c r="X11332" s="24"/>
      <c r="Y11332" s="24"/>
      <c r="Z11332" s="24"/>
      <c r="AA11332" s="24"/>
    </row>
    <row r="11333">
      <c r="A11333" s="24"/>
      <c r="B11333" s="25"/>
      <c r="C11333" s="24"/>
      <c r="D11333" s="26"/>
      <c r="E11333" s="24"/>
      <c r="F11333" s="24"/>
      <c r="G11333" s="24"/>
      <c r="H11333" s="24"/>
      <c r="I11333" s="24"/>
      <c r="J11333" s="24"/>
      <c r="K11333" s="24"/>
      <c r="L11333" s="24"/>
      <c r="M11333" s="24"/>
      <c r="N11333" s="24"/>
      <c r="O11333" s="24"/>
      <c r="P11333" s="24"/>
      <c r="Q11333" s="24"/>
      <c r="R11333" s="24"/>
      <c r="S11333" s="24"/>
      <c r="T11333" s="24"/>
      <c r="U11333" s="24"/>
      <c r="V11333" s="24"/>
      <c r="W11333" s="24"/>
      <c r="X11333" s="24"/>
      <c r="Y11333" s="24"/>
      <c r="Z11333" s="24"/>
      <c r="AA11333" s="24"/>
    </row>
    <row r="11334">
      <c r="A11334" s="24"/>
      <c r="B11334" s="25"/>
      <c r="C11334" s="24"/>
      <c r="D11334" s="26"/>
      <c r="E11334" s="24"/>
      <c r="F11334" s="24"/>
      <c r="G11334" s="24"/>
      <c r="H11334" s="24"/>
      <c r="I11334" s="24"/>
      <c r="J11334" s="24"/>
      <c r="K11334" s="24"/>
      <c r="L11334" s="24"/>
      <c r="M11334" s="24"/>
      <c r="N11334" s="24"/>
      <c r="O11334" s="24"/>
      <c r="P11334" s="24"/>
      <c r="Q11334" s="24"/>
      <c r="R11334" s="24"/>
      <c r="S11334" s="24"/>
      <c r="T11334" s="24"/>
      <c r="U11334" s="24"/>
      <c r="V11334" s="24"/>
      <c r="W11334" s="24"/>
      <c r="X11334" s="24"/>
      <c r="Y11334" s="24"/>
      <c r="Z11334" s="24"/>
      <c r="AA11334" s="24"/>
    </row>
    <row r="11335">
      <c r="A11335" s="24"/>
      <c r="B11335" s="25"/>
      <c r="C11335" s="24"/>
      <c r="D11335" s="26"/>
      <c r="E11335" s="24"/>
      <c r="F11335" s="24"/>
      <c r="G11335" s="24"/>
      <c r="H11335" s="24"/>
      <c r="I11335" s="24"/>
      <c r="J11335" s="24"/>
      <c r="K11335" s="24"/>
      <c r="L11335" s="24"/>
      <c r="M11335" s="24"/>
      <c r="N11335" s="24"/>
      <c r="O11335" s="24"/>
      <c r="P11335" s="24"/>
      <c r="Q11335" s="24"/>
      <c r="R11335" s="24"/>
      <c r="S11335" s="24"/>
      <c r="T11335" s="24"/>
      <c r="U11335" s="24"/>
      <c r="V11335" s="24"/>
      <c r="W11335" s="24"/>
      <c r="X11335" s="24"/>
      <c r="Y11335" s="24"/>
      <c r="Z11335" s="24"/>
      <c r="AA11335" s="24"/>
    </row>
    <row r="11336">
      <c r="A11336" s="24"/>
      <c r="B11336" s="25"/>
      <c r="C11336" s="24"/>
      <c r="D11336" s="26"/>
      <c r="E11336" s="24"/>
      <c r="F11336" s="24"/>
      <c r="G11336" s="24"/>
      <c r="H11336" s="24"/>
      <c r="I11336" s="24"/>
      <c r="J11336" s="24"/>
      <c r="K11336" s="24"/>
      <c r="L11336" s="24"/>
      <c r="M11336" s="24"/>
      <c r="N11336" s="24"/>
      <c r="O11336" s="24"/>
      <c r="P11336" s="24"/>
      <c r="Q11336" s="24"/>
      <c r="R11336" s="24"/>
      <c r="S11336" s="24"/>
      <c r="T11336" s="24"/>
      <c r="U11336" s="24"/>
      <c r="V11336" s="24"/>
      <c r="W11336" s="24"/>
      <c r="X11336" s="24"/>
      <c r="Y11336" s="24"/>
      <c r="Z11336" s="24"/>
      <c r="AA11336" s="24"/>
    </row>
    <row r="11337">
      <c r="A11337" s="24"/>
      <c r="B11337" s="25"/>
      <c r="C11337" s="24"/>
      <c r="D11337" s="26"/>
      <c r="E11337" s="24"/>
      <c r="F11337" s="24"/>
      <c r="G11337" s="24"/>
      <c r="H11337" s="24"/>
      <c r="I11337" s="24"/>
      <c r="J11337" s="24"/>
      <c r="K11337" s="24"/>
      <c r="L11337" s="24"/>
      <c r="M11337" s="24"/>
      <c r="N11337" s="24"/>
      <c r="O11337" s="24"/>
      <c r="P11337" s="24"/>
      <c r="Q11337" s="24"/>
      <c r="R11337" s="24"/>
      <c r="S11337" s="24"/>
      <c r="T11337" s="24"/>
      <c r="U11337" s="24"/>
      <c r="V11337" s="24"/>
      <c r="W11337" s="24"/>
      <c r="X11337" s="24"/>
      <c r="Y11337" s="24"/>
      <c r="Z11337" s="24"/>
      <c r="AA11337" s="24"/>
    </row>
    <row r="11338">
      <c r="A11338" s="24"/>
      <c r="B11338" s="25"/>
      <c r="C11338" s="24"/>
      <c r="D11338" s="26"/>
      <c r="E11338" s="24"/>
      <c r="F11338" s="24"/>
      <c r="G11338" s="24"/>
      <c r="H11338" s="24"/>
      <c r="I11338" s="24"/>
      <c r="J11338" s="24"/>
      <c r="K11338" s="24"/>
      <c r="L11338" s="24"/>
      <c r="M11338" s="24"/>
      <c r="N11338" s="24"/>
      <c r="O11338" s="24"/>
      <c r="P11338" s="24"/>
      <c r="Q11338" s="24"/>
      <c r="R11338" s="24"/>
      <c r="S11338" s="24"/>
      <c r="T11338" s="24"/>
      <c r="U11338" s="24"/>
      <c r="V11338" s="24"/>
      <c r="W11338" s="24"/>
      <c r="X11338" s="24"/>
      <c r="Y11338" s="24"/>
      <c r="Z11338" s="24"/>
      <c r="AA11338" s="24"/>
    </row>
    <row r="11339">
      <c r="A11339" s="24"/>
      <c r="B11339" s="25"/>
      <c r="C11339" s="24"/>
      <c r="D11339" s="26"/>
      <c r="E11339" s="24"/>
      <c r="F11339" s="24"/>
      <c r="G11339" s="24"/>
      <c r="H11339" s="24"/>
      <c r="I11339" s="24"/>
      <c r="J11339" s="24"/>
      <c r="K11339" s="24"/>
      <c r="L11339" s="24"/>
      <c r="M11339" s="24"/>
      <c r="N11339" s="24"/>
      <c r="O11339" s="24"/>
      <c r="P11339" s="24"/>
      <c r="Q11339" s="24"/>
      <c r="R11339" s="24"/>
      <c r="S11339" s="24"/>
      <c r="T11339" s="24"/>
      <c r="U11339" s="24"/>
      <c r="V11339" s="24"/>
      <c r="W11339" s="24"/>
      <c r="X11339" s="24"/>
      <c r="Y11339" s="24"/>
      <c r="Z11339" s="24"/>
      <c r="AA11339" s="24"/>
    </row>
    <row r="11340">
      <c r="A11340" s="24"/>
      <c r="B11340" s="25"/>
      <c r="C11340" s="24"/>
      <c r="D11340" s="26"/>
      <c r="E11340" s="24"/>
      <c r="F11340" s="24"/>
      <c r="G11340" s="24"/>
      <c r="H11340" s="24"/>
      <c r="I11340" s="24"/>
      <c r="J11340" s="24"/>
      <c r="K11340" s="24"/>
      <c r="L11340" s="24"/>
      <c r="M11340" s="24"/>
      <c r="N11340" s="24"/>
      <c r="O11340" s="24"/>
      <c r="P11340" s="24"/>
      <c r="Q11340" s="24"/>
      <c r="R11340" s="24"/>
      <c r="S11340" s="24"/>
      <c r="T11340" s="24"/>
      <c r="U11340" s="24"/>
      <c r="V11340" s="24"/>
      <c r="W11340" s="24"/>
      <c r="X11340" s="24"/>
      <c r="Y11340" s="24"/>
      <c r="Z11340" s="24"/>
      <c r="AA11340" s="24"/>
    </row>
    <row r="11341">
      <c r="A11341" s="24"/>
      <c r="B11341" s="25"/>
      <c r="C11341" s="24"/>
      <c r="D11341" s="26"/>
      <c r="E11341" s="24"/>
      <c r="F11341" s="24"/>
      <c r="G11341" s="24"/>
      <c r="H11341" s="24"/>
      <c r="I11341" s="24"/>
      <c r="J11341" s="24"/>
      <c r="K11341" s="24"/>
      <c r="L11341" s="24"/>
      <c r="M11341" s="24"/>
      <c r="N11341" s="24"/>
      <c r="O11341" s="24"/>
      <c r="P11341" s="24"/>
      <c r="Q11341" s="24"/>
      <c r="R11341" s="24"/>
      <c r="S11341" s="24"/>
      <c r="T11341" s="24"/>
      <c r="U11341" s="24"/>
      <c r="V11341" s="24"/>
      <c r="W11341" s="24"/>
      <c r="X11341" s="24"/>
      <c r="Y11341" s="24"/>
      <c r="Z11341" s="24"/>
      <c r="AA11341" s="24"/>
    </row>
    <row r="11342">
      <c r="A11342" s="24"/>
      <c r="B11342" s="25"/>
      <c r="C11342" s="24"/>
      <c r="D11342" s="26"/>
      <c r="E11342" s="24"/>
      <c r="F11342" s="24"/>
      <c r="G11342" s="24"/>
      <c r="H11342" s="24"/>
      <c r="I11342" s="24"/>
      <c r="J11342" s="24"/>
      <c r="K11342" s="24"/>
      <c r="L11342" s="24"/>
      <c r="M11342" s="24"/>
      <c r="N11342" s="24"/>
      <c r="O11342" s="24"/>
      <c r="P11342" s="24"/>
      <c r="Q11342" s="24"/>
      <c r="R11342" s="24"/>
      <c r="S11342" s="24"/>
      <c r="T11342" s="24"/>
      <c r="U11342" s="24"/>
      <c r="V11342" s="24"/>
      <c r="W11342" s="24"/>
      <c r="X11342" s="24"/>
      <c r="Y11342" s="24"/>
      <c r="Z11342" s="24"/>
      <c r="AA11342" s="24"/>
    </row>
    <row r="11343">
      <c r="A11343" s="24"/>
      <c r="B11343" s="25"/>
      <c r="C11343" s="24"/>
      <c r="D11343" s="26"/>
      <c r="E11343" s="24"/>
      <c r="F11343" s="24"/>
      <c r="G11343" s="24"/>
      <c r="H11343" s="24"/>
      <c r="I11343" s="24"/>
      <c r="J11343" s="24"/>
      <c r="K11343" s="24"/>
      <c r="L11343" s="24"/>
      <c r="M11343" s="24"/>
      <c r="N11343" s="24"/>
      <c r="O11343" s="24"/>
      <c r="P11343" s="24"/>
      <c r="Q11343" s="24"/>
      <c r="R11343" s="24"/>
      <c r="S11343" s="24"/>
      <c r="T11343" s="24"/>
      <c r="U11343" s="24"/>
      <c r="V11343" s="24"/>
      <c r="W11343" s="24"/>
      <c r="X11343" s="24"/>
      <c r="Y11343" s="24"/>
      <c r="Z11343" s="24"/>
      <c r="AA11343" s="24"/>
    </row>
    <row r="11344">
      <c r="A11344" s="24"/>
      <c r="B11344" s="25"/>
      <c r="C11344" s="24"/>
      <c r="D11344" s="26"/>
      <c r="E11344" s="24"/>
      <c r="F11344" s="24"/>
      <c r="G11344" s="24"/>
      <c r="H11344" s="24"/>
      <c r="I11344" s="24"/>
      <c r="J11344" s="24"/>
      <c r="K11344" s="24"/>
      <c r="L11344" s="24"/>
      <c r="M11344" s="24"/>
      <c r="N11344" s="24"/>
      <c r="O11344" s="24"/>
      <c r="P11344" s="24"/>
      <c r="Q11344" s="24"/>
      <c r="R11344" s="24"/>
      <c r="S11344" s="24"/>
      <c r="T11344" s="24"/>
      <c r="U11344" s="24"/>
      <c r="V11344" s="24"/>
      <c r="W11344" s="24"/>
      <c r="X11344" s="24"/>
      <c r="Y11344" s="24"/>
      <c r="Z11344" s="24"/>
      <c r="AA11344" s="24"/>
    </row>
    <row r="11345">
      <c r="A11345" s="24"/>
      <c r="B11345" s="25"/>
      <c r="C11345" s="24"/>
      <c r="D11345" s="26"/>
      <c r="E11345" s="24"/>
      <c r="F11345" s="24"/>
      <c r="G11345" s="24"/>
      <c r="H11345" s="24"/>
      <c r="I11345" s="24"/>
      <c r="J11345" s="24"/>
      <c r="K11345" s="24"/>
      <c r="L11345" s="24"/>
      <c r="M11345" s="24"/>
      <c r="N11345" s="24"/>
      <c r="O11345" s="24"/>
      <c r="P11345" s="24"/>
      <c r="Q11345" s="24"/>
      <c r="R11345" s="24"/>
      <c r="S11345" s="24"/>
      <c r="T11345" s="24"/>
      <c r="U11345" s="24"/>
      <c r="V11345" s="24"/>
      <c r="W11345" s="24"/>
      <c r="X11345" s="24"/>
      <c r="Y11345" s="24"/>
      <c r="Z11345" s="24"/>
      <c r="AA11345" s="24"/>
    </row>
    <row r="11346">
      <c r="A11346" s="24"/>
      <c r="B11346" s="25"/>
      <c r="C11346" s="24"/>
      <c r="D11346" s="26"/>
      <c r="E11346" s="24"/>
      <c r="F11346" s="24"/>
      <c r="G11346" s="24"/>
      <c r="H11346" s="24"/>
      <c r="I11346" s="24"/>
      <c r="J11346" s="24"/>
      <c r="K11346" s="24"/>
      <c r="L11346" s="24"/>
      <c r="M11346" s="24"/>
      <c r="N11346" s="24"/>
      <c r="O11346" s="24"/>
      <c r="P11346" s="24"/>
      <c r="Q11346" s="24"/>
      <c r="R11346" s="24"/>
      <c r="S11346" s="24"/>
      <c r="T11346" s="24"/>
      <c r="U11346" s="24"/>
      <c r="V11346" s="24"/>
      <c r="W11346" s="24"/>
      <c r="X11346" s="24"/>
      <c r="Y11346" s="24"/>
      <c r="Z11346" s="24"/>
      <c r="AA11346" s="24"/>
    </row>
    <row r="11347">
      <c r="A11347" s="24"/>
      <c r="B11347" s="25"/>
      <c r="C11347" s="24"/>
      <c r="D11347" s="26"/>
      <c r="E11347" s="24"/>
      <c r="F11347" s="24"/>
      <c r="G11347" s="24"/>
      <c r="H11347" s="24"/>
      <c r="I11347" s="24"/>
      <c r="J11347" s="24"/>
      <c r="K11347" s="24"/>
      <c r="L11347" s="24"/>
      <c r="M11347" s="24"/>
      <c r="N11347" s="24"/>
      <c r="O11347" s="24"/>
      <c r="P11347" s="24"/>
      <c r="Q11347" s="24"/>
      <c r="R11347" s="24"/>
      <c r="S11347" s="24"/>
      <c r="T11347" s="24"/>
      <c r="U11347" s="24"/>
      <c r="V11347" s="24"/>
      <c r="W11347" s="24"/>
      <c r="X11347" s="24"/>
      <c r="Y11347" s="24"/>
      <c r="Z11347" s="24"/>
      <c r="AA11347" s="24"/>
    </row>
    <row r="11348">
      <c r="A11348" s="24"/>
      <c r="B11348" s="25"/>
      <c r="C11348" s="24"/>
      <c r="D11348" s="26"/>
      <c r="E11348" s="24"/>
      <c r="F11348" s="24"/>
      <c r="G11348" s="24"/>
      <c r="H11348" s="24"/>
      <c r="I11348" s="24"/>
      <c r="J11348" s="24"/>
      <c r="K11348" s="24"/>
      <c r="L11348" s="24"/>
      <c r="M11348" s="24"/>
      <c r="N11348" s="24"/>
      <c r="O11348" s="24"/>
      <c r="P11348" s="24"/>
      <c r="Q11348" s="24"/>
      <c r="R11348" s="24"/>
      <c r="S11348" s="24"/>
      <c r="T11348" s="24"/>
      <c r="U11348" s="24"/>
      <c r="V11348" s="24"/>
      <c r="W11348" s="24"/>
      <c r="X11348" s="24"/>
      <c r="Y11348" s="24"/>
      <c r="Z11348" s="24"/>
      <c r="AA11348" s="24"/>
    </row>
    <row r="11349">
      <c r="A11349" s="24"/>
      <c r="B11349" s="25"/>
      <c r="C11349" s="24"/>
      <c r="D11349" s="26"/>
      <c r="E11349" s="24"/>
      <c r="F11349" s="24"/>
      <c r="G11349" s="24"/>
      <c r="H11349" s="24"/>
      <c r="I11349" s="24"/>
      <c r="J11349" s="24"/>
      <c r="K11349" s="24"/>
      <c r="L11349" s="24"/>
      <c r="M11349" s="24"/>
      <c r="N11349" s="24"/>
      <c r="O11349" s="24"/>
      <c r="P11349" s="24"/>
      <c r="Q11349" s="24"/>
      <c r="R11349" s="24"/>
      <c r="S11349" s="24"/>
      <c r="T11349" s="24"/>
      <c r="U11349" s="24"/>
      <c r="V11349" s="24"/>
      <c r="W11349" s="24"/>
      <c r="X11349" s="24"/>
      <c r="Y11349" s="24"/>
      <c r="Z11349" s="24"/>
      <c r="AA11349" s="24"/>
    </row>
    <row r="11350">
      <c r="A11350" s="24"/>
      <c r="B11350" s="25"/>
      <c r="C11350" s="24"/>
      <c r="D11350" s="26"/>
      <c r="E11350" s="24"/>
      <c r="F11350" s="24"/>
      <c r="G11350" s="24"/>
      <c r="H11350" s="24"/>
      <c r="I11350" s="24"/>
      <c r="J11350" s="24"/>
      <c r="K11350" s="24"/>
      <c r="L11350" s="24"/>
      <c r="M11350" s="24"/>
      <c r="N11350" s="24"/>
      <c r="O11350" s="24"/>
      <c r="P11350" s="24"/>
      <c r="Q11350" s="24"/>
      <c r="R11350" s="24"/>
      <c r="S11350" s="24"/>
      <c r="T11350" s="24"/>
      <c r="U11350" s="24"/>
      <c r="V11350" s="24"/>
      <c r="W11350" s="24"/>
      <c r="X11350" s="24"/>
      <c r="Y11350" s="24"/>
      <c r="Z11350" s="24"/>
      <c r="AA11350" s="24"/>
    </row>
    <row r="11351">
      <c r="A11351" s="24"/>
      <c r="B11351" s="25"/>
      <c r="C11351" s="24"/>
      <c r="D11351" s="26"/>
      <c r="E11351" s="24"/>
      <c r="F11351" s="24"/>
      <c r="G11351" s="24"/>
      <c r="H11351" s="24"/>
      <c r="I11351" s="24"/>
      <c r="J11351" s="24"/>
      <c r="K11351" s="24"/>
      <c r="L11351" s="24"/>
      <c r="M11351" s="24"/>
      <c r="N11351" s="24"/>
      <c r="O11351" s="24"/>
      <c r="P11351" s="24"/>
      <c r="Q11351" s="24"/>
      <c r="R11351" s="24"/>
      <c r="S11351" s="24"/>
      <c r="T11351" s="24"/>
      <c r="U11351" s="24"/>
      <c r="V11351" s="24"/>
      <c r="W11351" s="24"/>
      <c r="X11351" s="24"/>
      <c r="Y11351" s="24"/>
      <c r="Z11351" s="24"/>
      <c r="AA11351" s="24"/>
    </row>
    <row r="11352">
      <c r="A11352" s="24"/>
      <c r="B11352" s="25"/>
      <c r="C11352" s="24"/>
      <c r="D11352" s="26"/>
      <c r="E11352" s="24"/>
      <c r="F11352" s="24"/>
      <c r="G11352" s="24"/>
      <c r="H11352" s="24"/>
      <c r="I11352" s="24"/>
      <c r="J11352" s="24"/>
      <c r="K11352" s="24"/>
      <c r="L11352" s="24"/>
      <c r="M11352" s="24"/>
      <c r="N11352" s="24"/>
      <c r="O11352" s="24"/>
      <c r="P11352" s="24"/>
      <c r="Q11352" s="24"/>
      <c r="R11352" s="24"/>
      <c r="S11352" s="24"/>
      <c r="T11352" s="24"/>
      <c r="U11352" s="24"/>
      <c r="V11352" s="24"/>
      <c r="W11352" s="24"/>
      <c r="X11352" s="24"/>
      <c r="Y11352" s="24"/>
      <c r="Z11352" s="24"/>
      <c r="AA11352" s="24"/>
    </row>
    <row r="11353">
      <c r="A11353" s="24"/>
      <c r="B11353" s="25"/>
      <c r="C11353" s="24"/>
      <c r="D11353" s="26"/>
      <c r="E11353" s="24"/>
      <c r="F11353" s="24"/>
      <c r="G11353" s="24"/>
      <c r="H11353" s="24"/>
      <c r="I11353" s="24"/>
      <c r="J11353" s="24"/>
      <c r="K11353" s="24"/>
      <c r="L11353" s="24"/>
      <c r="M11353" s="24"/>
      <c r="N11353" s="24"/>
      <c r="O11353" s="24"/>
      <c r="P11353" s="24"/>
      <c r="Q11353" s="24"/>
      <c r="R11353" s="24"/>
      <c r="S11353" s="24"/>
      <c r="T11353" s="24"/>
      <c r="U11353" s="24"/>
      <c r="V11353" s="24"/>
      <c r="W11353" s="24"/>
      <c r="X11353" s="24"/>
      <c r="Y11353" s="24"/>
      <c r="Z11353" s="24"/>
      <c r="AA11353" s="24"/>
    </row>
    <row r="11354">
      <c r="A11354" s="24"/>
      <c r="B11354" s="25"/>
      <c r="C11354" s="24"/>
      <c r="D11354" s="26"/>
      <c r="E11354" s="24"/>
      <c r="F11354" s="24"/>
      <c r="G11354" s="24"/>
      <c r="H11354" s="24"/>
      <c r="I11354" s="24"/>
      <c r="J11354" s="24"/>
      <c r="K11354" s="24"/>
      <c r="L11354" s="24"/>
      <c r="M11354" s="24"/>
      <c r="N11354" s="24"/>
      <c r="O11354" s="24"/>
      <c r="P11354" s="24"/>
      <c r="Q11354" s="24"/>
      <c r="R11354" s="24"/>
      <c r="S11354" s="24"/>
      <c r="T11354" s="24"/>
      <c r="U11354" s="24"/>
      <c r="V11354" s="24"/>
      <c r="W11354" s="24"/>
      <c r="X11354" s="24"/>
      <c r="Y11354" s="24"/>
      <c r="Z11354" s="24"/>
      <c r="AA11354" s="24"/>
    </row>
    <row r="11355">
      <c r="A11355" s="24"/>
      <c r="B11355" s="25"/>
      <c r="C11355" s="24"/>
      <c r="D11355" s="26"/>
      <c r="E11355" s="24"/>
      <c r="F11355" s="24"/>
      <c r="G11355" s="24"/>
      <c r="H11355" s="24"/>
      <c r="I11355" s="24"/>
      <c r="J11355" s="24"/>
      <c r="K11355" s="24"/>
      <c r="L11355" s="24"/>
      <c r="M11355" s="24"/>
      <c r="N11355" s="24"/>
      <c r="O11355" s="24"/>
      <c r="P11355" s="24"/>
      <c r="Q11355" s="24"/>
      <c r="R11355" s="24"/>
      <c r="S11355" s="24"/>
      <c r="T11355" s="24"/>
      <c r="U11355" s="24"/>
      <c r="V11355" s="24"/>
      <c r="W11355" s="24"/>
      <c r="X11355" s="24"/>
      <c r="Y11355" s="24"/>
      <c r="Z11355" s="24"/>
      <c r="AA11355" s="24"/>
    </row>
    <row r="11356">
      <c r="A11356" s="24"/>
      <c r="B11356" s="25"/>
      <c r="C11356" s="24"/>
      <c r="D11356" s="26"/>
      <c r="E11356" s="24"/>
      <c r="F11356" s="24"/>
      <c r="G11356" s="24"/>
      <c r="H11356" s="24"/>
      <c r="I11356" s="24"/>
      <c r="J11356" s="24"/>
      <c r="K11356" s="24"/>
      <c r="L11356" s="24"/>
      <c r="M11356" s="24"/>
      <c r="N11356" s="24"/>
      <c r="O11356" s="24"/>
      <c r="P11356" s="24"/>
      <c r="Q11356" s="24"/>
      <c r="R11356" s="24"/>
      <c r="S11356" s="24"/>
      <c r="T11356" s="24"/>
      <c r="U11356" s="24"/>
      <c r="V11356" s="24"/>
      <c r="W11356" s="24"/>
      <c r="X11356" s="24"/>
      <c r="Y11356" s="24"/>
      <c r="Z11356" s="24"/>
      <c r="AA11356" s="24"/>
    </row>
    <row r="11357">
      <c r="A11357" s="24"/>
      <c r="B11357" s="25"/>
      <c r="C11357" s="24"/>
      <c r="D11357" s="26"/>
      <c r="E11357" s="24"/>
      <c r="F11357" s="24"/>
      <c r="G11357" s="24"/>
      <c r="H11357" s="24"/>
      <c r="I11357" s="24"/>
      <c r="J11357" s="24"/>
      <c r="K11357" s="24"/>
      <c r="L11357" s="24"/>
      <c r="M11357" s="24"/>
      <c r="N11357" s="24"/>
      <c r="O11357" s="24"/>
      <c r="P11357" s="24"/>
      <c r="Q11357" s="24"/>
      <c r="R11357" s="24"/>
      <c r="S11357" s="24"/>
      <c r="T11357" s="24"/>
      <c r="U11357" s="24"/>
      <c r="V11357" s="24"/>
      <c r="W11357" s="24"/>
      <c r="X11357" s="24"/>
      <c r="Y11357" s="24"/>
      <c r="Z11357" s="24"/>
      <c r="AA11357" s="24"/>
    </row>
    <row r="11358">
      <c r="A11358" s="24"/>
      <c r="B11358" s="25"/>
      <c r="C11358" s="24"/>
      <c r="D11358" s="26"/>
      <c r="E11358" s="24"/>
      <c r="F11358" s="24"/>
      <c r="G11358" s="24"/>
      <c r="H11358" s="24"/>
      <c r="I11358" s="24"/>
      <c r="J11358" s="24"/>
      <c r="K11358" s="24"/>
      <c r="L11358" s="24"/>
      <c r="M11358" s="24"/>
      <c r="N11358" s="24"/>
      <c r="O11358" s="24"/>
      <c r="P11358" s="24"/>
      <c r="Q11358" s="24"/>
      <c r="R11358" s="24"/>
      <c r="S11358" s="24"/>
      <c r="T11358" s="24"/>
      <c r="U11358" s="24"/>
      <c r="V11358" s="24"/>
      <c r="W11358" s="24"/>
      <c r="X11358" s="24"/>
      <c r="Y11358" s="24"/>
      <c r="Z11358" s="24"/>
      <c r="AA11358" s="24"/>
    </row>
    <row r="11359">
      <c r="A11359" s="24"/>
      <c r="B11359" s="25"/>
      <c r="C11359" s="24"/>
      <c r="D11359" s="26"/>
      <c r="E11359" s="24"/>
      <c r="F11359" s="24"/>
      <c r="G11359" s="24"/>
      <c r="H11359" s="24"/>
      <c r="I11359" s="24"/>
      <c r="J11359" s="24"/>
      <c r="K11359" s="24"/>
      <c r="L11359" s="24"/>
      <c r="M11359" s="24"/>
      <c r="N11359" s="24"/>
      <c r="O11359" s="24"/>
      <c r="P11359" s="24"/>
      <c r="Q11359" s="24"/>
      <c r="R11359" s="24"/>
      <c r="S11359" s="24"/>
      <c r="T11359" s="24"/>
      <c r="U11359" s="24"/>
      <c r="V11359" s="24"/>
      <c r="W11359" s="24"/>
      <c r="X11359" s="24"/>
      <c r="Y11359" s="24"/>
      <c r="Z11359" s="24"/>
      <c r="AA11359" s="24"/>
    </row>
    <row r="11360">
      <c r="A11360" s="24"/>
      <c r="B11360" s="25"/>
      <c r="C11360" s="24"/>
      <c r="D11360" s="26"/>
      <c r="E11360" s="24"/>
      <c r="F11360" s="24"/>
      <c r="G11360" s="24"/>
      <c r="H11360" s="24"/>
      <c r="I11360" s="24"/>
      <c r="J11360" s="24"/>
      <c r="K11360" s="24"/>
      <c r="L11360" s="24"/>
      <c r="M11360" s="24"/>
      <c r="N11360" s="24"/>
      <c r="O11360" s="24"/>
      <c r="P11360" s="24"/>
      <c r="Q11360" s="24"/>
      <c r="R11360" s="24"/>
      <c r="S11360" s="24"/>
      <c r="T11360" s="24"/>
      <c r="U11360" s="24"/>
      <c r="V11360" s="24"/>
      <c r="W11360" s="24"/>
      <c r="X11360" s="24"/>
      <c r="Y11360" s="24"/>
      <c r="Z11360" s="24"/>
      <c r="AA11360" s="24"/>
    </row>
    <row r="11361">
      <c r="A11361" s="24"/>
      <c r="B11361" s="25"/>
      <c r="C11361" s="24"/>
      <c r="D11361" s="26"/>
      <c r="E11361" s="24"/>
      <c r="F11361" s="24"/>
      <c r="G11361" s="24"/>
      <c r="H11361" s="24"/>
      <c r="I11361" s="24"/>
      <c r="J11361" s="24"/>
      <c r="K11361" s="24"/>
      <c r="L11361" s="24"/>
      <c r="M11361" s="24"/>
      <c r="N11361" s="24"/>
      <c r="O11361" s="24"/>
      <c r="P11361" s="24"/>
      <c r="Q11361" s="24"/>
      <c r="R11361" s="24"/>
      <c r="S11361" s="24"/>
      <c r="T11361" s="24"/>
      <c r="U11361" s="24"/>
      <c r="V11361" s="24"/>
      <c r="W11361" s="24"/>
      <c r="X11361" s="24"/>
      <c r="Y11361" s="24"/>
      <c r="Z11361" s="24"/>
      <c r="AA11361" s="24"/>
    </row>
    <row r="11362">
      <c r="A11362" s="24"/>
      <c r="B11362" s="25"/>
      <c r="C11362" s="24"/>
      <c r="D11362" s="26"/>
      <c r="E11362" s="24"/>
      <c r="F11362" s="24"/>
      <c r="G11362" s="24"/>
      <c r="H11362" s="24"/>
      <c r="I11362" s="24"/>
      <c r="J11362" s="24"/>
      <c r="K11362" s="24"/>
      <c r="L11362" s="24"/>
      <c r="M11362" s="24"/>
      <c r="N11362" s="24"/>
      <c r="O11362" s="24"/>
      <c r="P11362" s="24"/>
      <c r="Q11362" s="24"/>
      <c r="R11362" s="24"/>
      <c r="S11362" s="24"/>
      <c r="T11362" s="24"/>
      <c r="U11362" s="24"/>
      <c r="V11362" s="24"/>
      <c r="W11362" s="24"/>
      <c r="X11362" s="24"/>
      <c r="Y11362" s="24"/>
      <c r="Z11362" s="24"/>
      <c r="AA11362" s="24"/>
    </row>
    <row r="11363">
      <c r="A11363" s="24"/>
      <c r="B11363" s="25"/>
      <c r="C11363" s="24"/>
      <c r="D11363" s="26"/>
      <c r="E11363" s="24"/>
      <c r="F11363" s="24"/>
      <c r="G11363" s="24"/>
      <c r="H11363" s="24"/>
      <c r="I11363" s="24"/>
      <c r="J11363" s="24"/>
      <c r="K11363" s="24"/>
      <c r="L11363" s="24"/>
      <c r="M11363" s="24"/>
      <c r="N11363" s="24"/>
      <c r="O11363" s="24"/>
      <c r="P11363" s="24"/>
      <c r="Q11363" s="24"/>
      <c r="R11363" s="24"/>
      <c r="S11363" s="24"/>
      <c r="T11363" s="24"/>
      <c r="U11363" s="24"/>
      <c r="V11363" s="24"/>
      <c r="W11363" s="24"/>
      <c r="X11363" s="24"/>
      <c r="Y11363" s="24"/>
      <c r="Z11363" s="24"/>
      <c r="AA11363" s="24"/>
    </row>
    <row r="11364">
      <c r="A11364" s="24"/>
      <c r="B11364" s="25"/>
      <c r="C11364" s="24"/>
      <c r="D11364" s="26"/>
      <c r="E11364" s="24"/>
      <c r="F11364" s="24"/>
      <c r="G11364" s="24"/>
      <c r="H11364" s="24"/>
      <c r="I11364" s="24"/>
      <c r="J11364" s="24"/>
      <c r="K11364" s="24"/>
      <c r="L11364" s="24"/>
      <c r="M11364" s="24"/>
      <c r="N11364" s="24"/>
      <c r="O11364" s="24"/>
      <c r="P11364" s="24"/>
      <c r="Q11364" s="24"/>
      <c r="R11364" s="24"/>
      <c r="S11364" s="24"/>
      <c r="T11364" s="24"/>
      <c r="U11364" s="24"/>
      <c r="V11364" s="24"/>
      <c r="W11364" s="24"/>
      <c r="X11364" s="24"/>
      <c r="Y11364" s="24"/>
      <c r="Z11364" s="24"/>
      <c r="AA11364" s="24"/>
    </row>
    <row r="11365">
      <c r="A11365" s="24"/>
      <c r="B11365" s="25"/>
      <c r="C11365" s="24"/>
      <c r="D11365" s="26"/>
      <c r="E11365" s="24"/>
      <c r="F11365" s="24"/>
      <c r="G11365" s="24"/>
      <c r="H11365" s="24"/>
      <c r="I11365" s="24"/>
      <c r="J11365" s="24"/>
      <c r="K11365" s="24"/>
      <c r="L11365" s="24"/>
      <c r="M11365" s="24"/>
      <c r="N11365" s="24"/>
      <c r="O11365" s="24"/>
      <c r="P11365" s="24"/>
      <c r="Q11365" s="24"/>
      <c r="R11365" s="24"/>
      <c r="S11365" s="24"/>
      <c r="T11365" s="24"/>
      <c r="U11365" s="24"/>
      <c r="V11365" s="24"/>
      <c r="W11365" s="24"/>
      <c r="X11365" s="24"/>
      <c r="Y11365" s="24"/>
      <c r="Z11365" s="24"/>
      <c r="AA11365" s="24"/>
    </row>
    <row r="11366">
      <c r="A11366" s="24"/>
      <c r="B11366" s="25"/>
      <c r="C11366" s="24"/>
      <c r="D11366" s="26"/>
      <c r="E11366" s="24"/>
      <c r="F11366" s="24"/>
      <c r="G11366" s="24"/>
      <c r="H11366" s="24"/>
      <c r="I11366" s="24"/>
      <c r="J11366" s="24"/>
      <c r="K11366" s="24"/>
      <c r="L11366" s="24"/>
      <c r="M11366" s="24"/>
      <c r="N11366" s="24"/>
      <c r="O11366" s="24"/>
      <c r="P11366" s="24"/>
      <c r="Q11366" s="24"/>
      <c r="R11366" s="24"/>
      <c r="S11366" s="24"/>
      <c r="T11366" s="24"/>
      <c r="U11366" s="24"/>
      <c r="V11366" s="24"/>
      <c r="W11366" s="24"/>
      <c r="X11366" s="24"/>
      <c r="Y11366" s="24"/>
      <c r="Z11366" s="24"/>
      <c r="AA11366" s="24"/>
    </row>
    <row r="11367">
      <c r="A11367" s="24"/>
      <c r="B11367" s="25"/>
      <c r="C11367" s="24"/>
      <c r="D11367" s="26"/>
      <c r="E11367" s="24"/>
      <c r="F11367" s="24"/>
      <c r="G11367" s="24"/>
      <c r="H11367" s="24"/>
      <c r="I11367" s="24"/>
      <c r="J11367" s="24"/>
      <c r="K11367" s="24"/>
      <c r="L11367" s="24"/>
      <c r="M11367" s="24"/>
      <c r="N11367" s="24"/>
      <c r="O11367" s="24"/>
      <c r="P11367" s="24"/>
      <c r="Q11367" s="24"/>
      <c r="R11367" s="24"/>
      <c r="S11367" s="24"/>
      <c r="T11367" s="24"/>
      <c r="U11367" s="24"/>
      <c r="V11367" s="24"/>
      <c r="W11367" s="24"/>
      <c r="X11367" s="24"/>
      <c r="Y11367" s="24"/>
      <c r="Z11367" s="24"/>
      <c r="AA11367" s="24"/>
    </row>
    <row r="11368">
      <c r="A11368" s="24"/>
      <c r="B11368" s="25"/>
      <c r="C11368" s="24"/>
      <c r="D11368" s="26"/>
      <c r="E11368" s="24"/>
      <c r="F11368" s="24"/>
      <c r="G11368" s="24"/>
      <c r="H11368" s="24"/>
      <c r="I11368" s="24"/>
      <c r="J11368" s="24"/>
      <c r="K11368" s="24"/>
      <c r="L11368" s="24"/>
      <c r="M11368" s="24"/>
      <c r="N11368" s="24"/>
      <c r="O11368" s="24"/>
      <c r="P11368" s="24"/>
      <c r="Q11368" s="24"/>
      <c r="R11368" s="24"/>
      <c r="S11368" s="24"/>
      <c r="T11368" s="24"/>
      <c r="U11368" s="24"/>
      <c r="V11368" s="24"/>
      <c r="W11368" s="24"/>
      <c r="X11368" s="24"/>
      <c r="Y11368" s="24"/>
      <c r="Z11368" s="24"/>
      <c r="AA11368" s="24"/>
    </row>
    <row r="11369">
      <c r="A11369" s="24"/>
      <c r="B11369" s="25"/>
      <c r="C11369" s="24"/>
      <c r="D11369" s="26"/>
      <c r="E11369" s="24"/>
      <c r="F11369" s="24"/>
      <c r="G11369" s="24"/>
      <c r="H11369" s="24"/>
      <c r="I11369" s="24"/>
      <c r="J11369" s="24"/>
      <c r="K11369" s="24"/>
      <c r="L11369" s="24"/>
      <c r="M11369" s="24"/>
      <c r="N11369" s="24"/>
      <c r="O11369" s="24"/>
      <c r="P11369" s="24"/>
      <c r="Q11369" s="24"/>
      <c r="R11369" s="24"/>
      <c r="S11369" s="24"/>
      <c r="T11369" s="24"/>
      <c r="U11369" s="24"/>
      <c r="V11369" s="24"/>
      <c r="W11369" s="24"/>
      <c r="X11369" s="24"/>
      <c r="Y11369" s="24"/>
      <c r="Z11369" s="24"/>
      <c r="AA11369" s="24"/>
    </row>
    <row r="11370">
      <c r="A11370" s="24"/>
      <c r="B11370" s="25"/>
      <c r="C11370" s="24"/>
      <c r="D11370" s="26"/>
      <c r="E11370" s="24"/>
      <c r="F11370" s="24"/>
      <c r="G11370" s="24"/>
      <c r="H11370" s="24"/>
      <c r="I11370" s="24"/>
      <c r="J11370" s="24"/>
      <c r="K11370" s="24"/>
      <c r="L11370" s="24"/>
      <c r="M11370" s="24"/>
      <c r="N11370" s="24"/>
      <c r="O11370" s="24"/>
      <c r="P11370" s="24"/>
      <c r="Q11370" s="24"/>
      <c r="R11370" s="24"/>
      <c r="S11370" s="24"/>
      <c r="T11370" s="24"/>
      <c r="U11370" s="24"/>
      <c r="V11370" s="24"/>
      <c r="W11370" s="24"/>
      <c r="X11370" s="24"/>
      <c r="Y11370" s="24"/>
      <c r="Z11370" s="24"/>
      <c r="AA11370" s="24"/>
    </row>
    <row r="11371">
      <c r="A11371" s="24"/>
      <c r="B11371" s="25"/>
      <c r="C11371" s="24"/>
      <c r="D11371" s="26"/>
      <c r="E11371" s="24"/>
      <c r="F11371" s="24"/>
      <c r="G11371" s="24"/>
      <c r="H11371" s="24"/>
      <c r="I11371" s="24"/>
      <c r="J11371" s="24"/>
      <c r="K11371" s="24"/>
      <c r="L11371" s="24"/>
      <c r="M11371" s="24"/>
      <c r="N11371" s="24"/>
      <c r="O11371" s="24"/>
      <c r="P11371" s="24"/>
      <c r="Q11371" s="24"/>
      <c r="R11371" s="24"/>
      <c r="S11371" s="24"/>
      <c r="T11371" s="24"/>
      <c r="U11371" s="24"/>
      <c r="V11371" s="24"/>
      <c r="W11371" s="24"/>
      <c r="X11371" s="24"/>
      <c r="Y11371" s="24"/>
      <c r="Z11371" s="24"/>
      <c r="AA11371" s="24"/>
    </row>
    <row r="11372">
      <c r="A11372" s="24"/>
      <c r="B11372" s="25"/>
      <c r="C11372" s="24"/>
      <c r="D11372" s="26"/>
      <c r="E11372" s="24"/>
      <c r="F11372" s="24"/>
      <c r="G11372" s="24"/>
      <c r="H11372" s="24"/>
      <c r="I11372" s="24"/>
      <c r="J11372" s="24"/>
      <c r="K11372" s="24"/>
      <c r="L11372" s="24"/>
      <c r="M11372" s="24"/>
      <c r="N11372" s="24"/>
      <c r="O11372" s="24"/>
      <c r="P11372" s="24"/>
      <c r="Q11372" s="24"/>
      <c r="R11372" s="24"/>
      <c r="S11372" s="24"/>
      <c r="T11372" s="24"/>
      <c r="U11372" s="24"/>
      <c r="V11372" s="24"/>
      <c r="W11372" s="24"/>
      <c r="X11372" s="24"/>
      <c r="Y11372" s="24"/>
      <c r="Z11372" s="24"/>
      <c r="AA11372" s="24"/>
    </row>
    <row r="11373">
      <c r="A11373" s="24"/>
      <c r="B11373" s="25"/>
      <c r="C11373" s="24"/>
      <c r="D11373" s="26"/>
      <c r="E11373" s="24"/>
      <c r="F11373" s="24"/>
      <c r="G11373" s="24"/>
      <c r="H11373" s="24"/>
      <c r="I11373" s="24"/>
      <c r="J11373" s="24"/>
      <c r="K11373" s="24"/>
      <c r="L11373" s="24"/>
      <c r="M11373" s="24"/>
      <c r="N11373" s="24"/>
      <c r="O11373" s="24"/>
      <c r="P11373" s="24"/>
      <c r="Q11373" s="24"/>
      <c r="R11373" s="24"/>
      <c r="S11373" s="24"/>
      <c r="T11373" s="24"/>
      <c r="U11373" s="24"/>
      <c r="V11373" s="24"/>
      <c r="W11373" s="24"/>
      <c r="X11373" s="24"/>
      <c r="Y11373" s="24"/>
      <c r="Z11373" s="24"/>
      <c r="AA11373" s="24"/>
    </row>
    <row r="11374">
      <c r="A11374" s="24"/>
      <c r="B11374" s="25"/>
      <c r="C11374" s="24"/>
      <c r="D11374" s="26"/>
      <c r="E11374" s="24"/>
      <c r="F11374" s="24"/>
      <c r="G11374" s="24"/>
      <c r="H11374" s="24"/>
      <c r="I11374" s="24"/>
      <c r="J11374" s="24"/>
      <c r="K11374" s="24"/>
      <c r="L11374" s="24"/>
      <c r="M11374" s="24"/>
      <c r="N11374" s="24"/>
      <c r="O11374" s="24"/>
      <c r="P11374" s="24"/>
      <c r="Q11374" s="24"/>
      <c r="R11374" s="24"/>
      <c r="S11374" s="24"/>
      <c r="T11374" s="24"/>
      <c r="U11374" s="24"/>
      <c r="V11374" s="24"/>
      <c r="W11374" s="24"/>
      <c r="X11374" s="24"/>
      <c r="Y11374" s="24"/>
      <c r="Z11374" s="24"/>
      <c r="AA11374" s="24"/>
    </row>
    <row r="11375">
      <c r="A11375" s="24"/>
      <c r="B11375" s="25"/>
      <c r="C11375" s="24"/>
      <c r="D11375" s="26"/>
      <c r="E11375" s="24"/>
      <c r="F11375" s="24"/>
      <c r="G11375" s="24"/>
      <c r="H11375" s="24"/>
      <c r="I11375" s="24"/>
      <c r="J11375" s="24"/>
      <c r="K11375" s="24"/>
      <c r="L11375" s="24"/>
      <c r="M11375" s="24"/>
      <c r="N11375" s="24"/>
      <c r="O11375" s="24"/>
      <c r="P11375" s="24"/>
      <c r="Q11375" s="24"/>
      <c r="R11375" s="24"/>
      <c r="S11375" s="24"/>
      <c r="T11375" s="24"/>
      <c r="U11375" s="24"/>
      <c r="V11375" s="24"/>
      <c r="W11375" s="24"/>
      <c r="X11375" s="24"/>
      <c r="Y11375" s="24"/>
      <c r="Z11375" s="24"/>
      <c r="AA11375" s="24"/>
    </row>
    <row r="11376">
      <c r="A11376" s="24"/>
      <c r="B11376" s="25"/>
      <c r="C11376" s="24"/>
      <c r="D11376" s="26"/>
      <c r="E11376" s="24"/>
      <c r="F11376" s="24"/>
      <c r="G11376" s="24"/>
      <c r="H11376" s="24"/>
      <c r="I11376" s="24"/>
      <c r="J11376" s="24"/>
      <c r="K11376" s="24"/>
      <c r="L11376" s="24"/>
      <c r="M11376" s="24"/>
      <c r="N11376" s="24"/>
      <c r="O11376" s="24"/>
      <c r="P11376" s="24"/>
      <c r="Q11376" s="24"/>
      <c r="R11376" s="24"/>
      <c r="S11376" s="24"/>
      <c r="T11376" s="24"/>
      <c r="U11376" s="24"/>
      <c r="V11376" s="24"/>
      <c r="W11376" s="24"/>
      <c r="X11376" s="24"/>
      <c r="Y11376" s="24"/>
      <c r="Z11376" s="24"/>
      <c r="AA11376" s="24"/>
    </row>
    <row r="11377">
      <c r="A11377" s="24"/>
      <c r="B11377" s="25"/>
      <c r="C11377" s="24"/>
      <c r="D11377" s="26"/>
      <c r="E11377" s="24"/>
      <c r="F11377" s="24"/>
      <c r="G11377" s="24"/>
      <c r="H11377" s="24"/>
      <c r="I11377" s="24"/>
      <c r="J11377" s="24"/>
      <c r="K11377" s="24"/>
      <c r="L11377" s="24"/>
      <c r="M11377" s="24"/>
      <c r="N11377" s="24"/>
      <c r="O11377" s="24"/>
      <c r="P11377" s="24"/>
      <c r="Q11377" s="24"/>
      <c r="R11377" s="24"/>
      <c r="S11377" s="24"/>
      <c r="T11377" s="24"/>
      <c r="U11377" s="24"/>
      <c r="V11377" s="24"/>
      <c r="W11377" s="24"/>
      <c r="X11377" s="24"/>
      <c r="Y11377" s="24"/>
      <c r="Z11377" s="24"/>
      <c r="AA11377" s="24"/>
    </row>
    <row r="11378">
      <c r="A11378" s="24"/>
      <c r="B11378" s="25"/>
      <c r="C11378" s="24"/>
      <c r="D11378" s="26"/>
      <c r="E11378" s="24"/>
      <c r="F11378" s="24"/>
      <c r="G11378" s="24"/>
      <c r="H11378" s="24"/>
      <c r="I11378" s="24"/>
      <c r="J11378" s="24"/>
      <c r="K11378" s="24"/>
      <c r="L11378" s="24"/>
      <c r="M11378" s="24"/>
      <c r="N11378" s="24"/>
      <c r="O11378" s="24"/>
      <c r="P11378" s="24"/>
      <c r="Q11378" s="24"/>
      <c r="R11378" s="24"/>
      <c r="S11378" s="24"/>
      <c r="T11378" s="24"/>
      <c r="U11378" s="24"/>
      <c r="V11378" s="24"/>
      <c r="W11378" s="24"/>
      <c r="X11378" s="24"/>
      <c r="Y11378" s="24"/>
      <c r="Z11378" s="24"/>
      <c r="AA11378" s="24"/>
    </row>
    <row r="11379">
      <c r="A11379" s="24"/>
      <c r="B11379" s="25"/>
      <c r="C11379" s="24"/>
      <c r="D11379" s="26"/>
      <c r="E11379" s="24"/>
      <c r="F11379" s="24"/>
      <c r="G11379" s="24"/>
      <c r="H11379" s="24"/>
      <c r="I11379" s="24"/>
      <c r="J11379" s="24"/>
      <c r="K11379" s="24"/>
      <c r="L11379" s="24"/>
      <c r="M11379" s="24"/>
      <c r="N11379" s="24"/>
      <c r="O11379" s="24"/>
      <c r="P11379" s="24"/>
      <c r="Q11379" s="24"/>
      <c r="R11379" s="24"/>
      <c r="S11379" s="24"/>
      <c r="T11379" s="24"/>
      <c r="U11379" s="24"/>
      <c r="V11379" s="24"/>
      <c r="W11379" s="24"/>
      <c r="X11379" s="24"/>
      <c r="Y11379" s="24"/>
      <c r="Z11379" s="24"/>
      <c r="AA11379" s="24"/>
    </row>
    <row r="11380">
      <c r="A11380" s="24"/>
      <c r="B11380" s="25"/>
      <c r="C11380" s="24"/>
      <c r="D11380" s="26"/>
      <c r="E11380" s="24"/>
      <c r="F11380" s="24"/>
      <c r="G11380" s="24"/>
      <c r="H11380" s="24"/>
      <c r="I11380" s="24"/>
      <c r="J11380" s="24"/>
      <c r="K11380" s="24"/>
      <c r="L11380" s="24"/>
      <c r="M11380" s="24"/>
      <c r="N11380" s="24"/>
      <c r="O11380" s="24"/>
      <c r="P11380" s="24"/>
      <c r="Q11380" s="24"/>
      <c r="R11380" s="24"/>
      <c r="S11380" s="24"/>
      <c r="T11380" s="24"/>
      <c r="U11380" s="24"/>
      <c r="V11380" s="24"/>
      <c r="W11380" s="24"/>
      <c r="X11380" s="24"/>
      <c r="Y11380" s="24"/>
      <c r="Z11380" s="24"/>
      <c r="AA11380" s="24"/>
    </row>
    <row r="11381">
      <c r="A11381" s="24"/>
      <c r="B11381" s="25"/>
      <c r="C11381" s="24"/>
      <c r="D11381" s="26"/>
      <c r="E11381" s="24"/>
      <c r="F11381" s="24"/>
      <c r="G11381" s="24"/>
      <c r="H11381" s="24"/>
      <c r="I11381" s="24"/>
      <c r="J11381" s="24"/>
      <c r="K11381" s="24"/>
      <c r="L11381" s="24"/>
      <c r="M11381" s="24"/>
      <c r="N11381" s="24"/>
      <c r="O11381" s="24"/>
      <c r="P11381" s="24"/>
      <c r="Q11381" s="24"/>
      <c r="R11381" s="24"/>
      <c r="S11381" s="24"/>
      <c r="T11381" s="24"/>
      <c r="U11381" s="24"/>
      <c r="V11381" s="24"/>
      <c r="W11381" s="24"/>
      <c r="X11381" s="24"/>
      <c r="Y11381" s="24"/>
      <c r="Z11381" s="24"/>
      <c r="AA11381" s="24"/>
    </row>
    <row r="11382">
      <c r="A11382" s="24"/>
      <c r="B11382" s="25"/>
      <c r="C11382" s="24"/>
      <c r="D11382" s="26"/>
      <c r="E11382" s="24"/>
      <c r="F11382" s="24"/>
      <c r="G11382" s="24"/>
      <c r="H11382" s="24"/>
      <c r="I11382" s="24"/>
      <c r="J11382" s="24"/>
      <c r="K11382" s="24"/>
      <c r="L11382" s="24"/>
      <c r="M11382" s="24"/>
      <c r="N11382" s="24"/>
      <c r="O11382" s="24"/>
      <c r="P11382" s="24"/>
      <c r="Q11382" s="24"/>
      <c r="R11382" s="24"/>
      <c r="S11382" s="24"/>
      <c r="T11382" s="24"/>
      <c r="U11382" s="24"/>
      <c r="V11382" s="24"/>
      <c r="W11382" s="24"/>
      <c r="X11382" s="24"/>
      <c r="Y11382" s="24"/>
      <c r="Z11382" s="24"/>
      <c r="AA11382" s="24"/>
    </row>
    <row r="11383">
      <c r="A11383" s="24"/>
      <c r="B11383" s="25"/>
      <c r="C11383" s="24"/>
      <c r="D11383" s="26"/>
      <c r="E11383" s="24"/>
      <c r="F11383" s="24"/>
      <c r="G11383" s="24"/>
      <c r="H11383" s="24"/>
      <c r="I11383" s="24"/>
      <c r="J11383" s="24"/>
      <c r="K11383" s="24"/>
      <c r="L11383" s="24"/>
      <c r="M11383" s="24"/>
      <c r="N11383" s="24"/>
      <c r="O11383" s="24"/>
      <c r="P11383" s="24"/>
      <c r="Q11383" s="24"/>
      <c r="R11383" s="24"/>
      <c r="S11383" s="24"/>
      <c r="T11383" s="24"/>
      <c r="U11383" s="24"/>
      <c r="V11383" s="24"/>
      <c r="W11383" s="24"/>
      <c r="X11383" s="24"/>
      <c r="Y11383" s="24"/>
      <c r="Z11383" s="24"/>
      <c r="AA11383" s="24"/>
    </row>
    <row r="11384">
      <c r="A11384" s="24"/>
      <c r="B11384" s="25"/>
      <c r="C11384" s="24"/>
      <c r="D11384" s="26"/>
      <c r="E11384" s="24"/>
      <c r="F11384" s="24"/>
      <c r="G11384" s="24"/>
      <c r="H11384" s="24"/>
      <c r="I11384" s="24"/>
      <c r="J11384" s="24"/>
      <c r="K11384" s="24"/>
      <c r="L11384" s="24"/>
      <c r="M11384" s="24"/>
      <c r="N11384" s="24"/>
      <c r="O11384" s="24"/>
      <c r="P11384" s="24"/>
      <c r="Q11384" s="24"/>
      <c r="R11384" s="24"/>
      <c r="S11384" s="24"/>
      <c r="T11384" s="24"/>
      <c r="U11384" s="24"/>
      <c r="V11384" s="24"/>
      <c r="W11384" s="24"/>
      <c r="X11384" s="24"/>
      <c r="Y11384" s="24"/>
      <c r="Z11384" s="24"/>
      <c r="AA11384" s="24"/>
    </row>
    <row r="11385">
      <c r="A11385" s="24"/>
      <c r="B11385" s="25"/>
      <c r="C11385" s="24"/>
      <c r="D11385" s="26"/>
      <c r="E11385" s="24"/>
      <c r="F11385" s="24"/>
      <c r="G11385" s="24"/>
      <c r="H11385" s="24"/>
      <c r="I11385" s="24"/>
      <c r="J11385" s="24"/>
      <c r="K11385" s="24"/>
      <c r="L11385" s="24"/>
      <c r="M11385" s="24"/>
      <c r="N11385" s="24"/>
      <c r="O11385" s="24"/>
      <c r="P11385" s="24"/>
      <c r="Q11385" s="24"/>
      <c r="R11385" s="24"/>
      <c r="S11385" s="24"/>
      <c r="T11385" s="24"/>
      <c r="U11385" s="24"/>
      <c r="V11385" s="24"/>
      <c r="W11385" s="24"/>
      <c r="X11385" s="24"/>
      <c r="Y11385" s="24"/>
      <c r="Z11385" s="24"/>
      <c r="AA11385" s="24"/>
    </row>
    <row r="11386">
      <c r="A11386" s="24"/>
      <c r="B11386" s="25"/>
      <c r="C11386" s="24"/>
      <c r="D11386" s="26"/>
      <c r="E11386" s="24"/>
      <c r="F11386" s="24"/>
      <c r="G11386" s="24"/>
      <c r="H11386" s="24"/>
      <c r="I11386" s="24"/>
      <c r="J11386" s="24"/>
      <c r="K11386" s="24"/>
      <c r="L11386" s="24"/>
      <c r="M11386" s="24"/>
      <c r="N11386" s="24"/>
      <c r="O11386" s="24"/>
      <c r="P11386" s="24"/>
      <c r="Q11386" s="24"/>
      <c r="R11386" s="24"/>
      <c r="S11386" s="24"/>
      <c r="T11386" s="24"/>
      <c r="U11386" s="24"/>
      <c r="V11386" s="24"/>
      <c r="W11386" s="24"/>
      <c r="X11386" s="24"/>
      <c r="Y11386" s="24"/>
      <c r="Z11386" s="24"/>
      <c r="AA11386" s="24"/>
    </row>
    <row r="11387">
      <c r="A11387" s="24"/>
      <c r="B11387" s="25"/>
      <c r="C11387" s="24"/>
      <c r="D11387" s="26"/>
      <c r="E11387" s="24"/>
      <c r="F11387" s="24"/>
      <c r="G11387" s="24"/>
      <c r="H11387" s="24"/>
      <c r="I11387" s="24"/>
      <c r="J11387" s="24"/>
      <c r="K11387" s="24"/>
      <c r="L11387" s="24"/>
      <c r="M11387" s="24"/>
      <c r="N11387" s="24"/>
      <c r="O11387" s="24"/>
      <c r="P11387" s="24"/>
      <c r="Q11387" s="24"/>
      <c r="R11387" s="24"/>
      <c r="S11387" s="24"/>
      <c r="T11387" s="24"/>
      <c r="U11387" s="24"/>
      <c r="V11387" s="24"/>
      <c r="W11387" s="24"/>
      <c r="X11387" s="24"/>
      <c r="Y11387" s="24"/>
      <c r="Z11387" s="24"/>
      <c r="AA11387" s="24"/>
    </row>
    <row r="11388">
      <c r="A11388" s="24"/>
      <c r="B11388" s="25"/>
      <c r="C11388" s="24"/>
      <c r="D11388" s="26"/>
      <c r="E11388" s="24"/>
      <c r="F11388" s="24"/>
      <c r="G11388" s="24"/>
      <c r="H11388" s="24"/>
      <c r="I11388" s="24"/>
      <c r="J11388" s="24"/>
      <c r="K11388" s="24"/>
      <c r="L11388" s="24"/>
      <c r="M11388" s="24"/>
      <c r="N11388" s="24"/>
      <c r="O11388" s="24"/>
      <c r="P11388" s="24"/>
      <c r="Q11388" s="24"/>
      <c r="R11388" s="24"/>
      <c r="S11388" s="24"/>
      <c r="T11388" s="24"/>
      <c r="U11388" s="24"/>
      <c r="V11388" s="24"/>
      <c r="W11388" s="24"/>
      <c r="X11388" s="24"/>
      <c r="Y11388" s="24"/>
      <c r="Z11388" s="24"/>
      <c r="AA11388" s="24"/>
    </row>
    <row r="11389">
      <c r="A11389" s="24"/>
      <c r="B11389" s="25"/>
      <c r="C11389" s="24"/>
      <c r="D11389" s="26"/>
      <c r="E11389" s="24"/>
      <c r="F11389" s="24"/>
      <c r="G11389" s="24"/>
      <c r="H11389" s="24"/>
      <c r="I11389" s="24"/>
      <c r="J11389" s="24"/>
      <c r="K11389" s="24"/>
      <c r="L11389" s="24"/>
      <c r="M11389" s="24"/>
      <c r="N11389" s="24"/>
      <c r="O11389" s="24"/>
      <c r="P11389" s="24"/>
      <c r="Q11389" s="24"/>
      <c r="R11389" s="24"/>
      <c r="S11389" s="24"/>
      <c r="T11389" s="24"/>
      <c r="U11389" s="24"/>
      <c r="V11389" s="24"/>
      <c r="W11389" s="24"/>
      <c r="X11389" s="24"/>
      <c r="Y11389" s="24"/>
      <c r="Z11389" s="24"/>
      <c r="AA11389" s="24"/>
    </row>
    <row r="11390">
      <c r="A11390" s="24"/>
      <c r="B11390" s="25"/>
      <c r="C11390" s="24"/>
      <c r="D11390" s="26"/>
      <c r="E11390" s="24"/>
      <c r="F11390" s="24"/>
      <c r="G11390" s="24"/>
      <c r="H11390" s="24"/>
      <c r="I11390" s="24"/>
      <c r="J11390" s="24"/>
      <c r="K11390" s="24"/>
      <c r="L11390" s="24"/>
      <c r="M11390" s="24"/>
      <c r="N11390" s="24"/>
      <c r="O11390" s="24"/>
      <c r="P11390" s="24"/>
      <c r="Q11390" s="24"/>
      <c r="R11390" s="24"/>
      <c r="S11390" s="24"/>
      <c r="T11390" s="24"/>
      <c r="U11390" s="24"/>
      <c r="V11390" s="24"/>
      <c r="W11390" s="24"/>
      <c r="X11390" s="24"/>
      <c r="Y11390" s="24"/>
      <c r="Z11390" s="24"/>
      <c r="AA11390" s="24"/>
    </row>
    <row r="11391">
      <c r="A11391" s="24"/>
      <c r="B11391" s="25"/>
      <c r="C11391" s="24"/>
      <c r="D11391" s="26"/>
      <c r="E11391" s="24"/>
      <c r="F11391" s="24"/>
      <c r="G11391" s="24"/>
      <c r="H11391" s="24"/>
      <c r="I11391" s="24"/>
      <c r="J11391" s="24"/>
      <c r="K11391" s="24"/>
      <c r="L11391" s="24"/>
      <c r="M11391" s="24"/>
      <c r="N11391" s="24"/>
      <c r="O11391" s="24"/>
      <c r="P11391" s="24"/>
      <c r="Q11391" s="24"/>
      <c r="R11391" s="24"/>
      <c r="S11391" s="24"/>
      <c r="T11391" s="24"/>
      <c r="U11391" s="24"/>
      <c r="V11391" s="24"/>
      <c r="W11391" s="24"/>
      <c r="X11391" s="24"/>
      <c r="Y11391" s="24"/>
      <c r="Z11391" s="24"/>
      <c r="AA11391" s="24"/>
    </row>
    <row r="11392">
      <c r="A11392" s="24"/>
      <c r="B11392" s="25"/>
      <c r="C11392" s="24"/>
      <c r="D11392" s="26"/>
      <c r="E11392" s="24"/>
      <c r="F11392" s="24"/>
      <c r="G11392" s="24"/>
      <c r="H11392" s="24"/>
      <c r="I11392" s="24"/>
      <c r="J11392" s="24"/>
      <c r="K11392" s="24"/>
      <c r="L11392" s="24"/>
      <c r="M11392" s="24"/>
      <c r="N11392" s="24"/>
      <c r="O11392" s="24"/>
      <c r="P11392" s="24"/>
      <c r="Q11392" s="24"/>
      <c r="R11392" s="24"/>
      <c r="S11392" s="24"/>
      <c r="T11392" s="24"/>
      <c r="U11392" s="24"/>
      <c r="V11392" s="24"/>
      <c r="W11392" s="24"/>
      <c r="X11392" s="24"/>
      <c r="Y11392" s="24"/>
      <c r="Z11392" s="24"/>
      <c r="AA11392" s="24"/>
    </row>
    <row r="11393">
      <c r="A11393" s="24"/>
      <c r="B11393" s="25"/>
      <c r="C11393" s="24"/>
      <c r="D11393" s="26"/>
      <c r="E11393" s="24"/>
      <c r="F11393" s="24"/>
      <c r="G11393" s="24"/>
      <c r="H11393" s="24"/>
      <c r="I11393" s="24"/>
      <c r="J11393" s="24"/>
      <c r="K11393" s="24"/>
      <c r="L11393" s="24"/>
      <c r="M11393" s="24"/>
      <c r="N11393" s="24"/>
      <c r="O11393" s="24"/>
      <c r="P11393" s="24"/>
      <c r="Q11393" s="24"/>
      <c r="R11393" s="24"/>
      <c r="S11393" s="24"/>
      <c r="T11393" s="24"/>
      <c r="U11393" s="24"/>
      <c r="V11393" s="24"/>
      <c r="W11393" s="24"/>
      <c r="X11393" s="24"/>
      <c r="Y11393" s="24"/>
      <c r="Z11393" s="24"/>
      <c r="AA11393" s="24"/>
    </row>
    <row r="11394">
      <c r="A11394" s="24"/>
      <c r="B11394" s="25"/>
      <c r="C11394" s="24"/>
      <c r="D11394" s="26"/>
      <c r="E11394" s="24"/>
      <c r="F11394" s="24"/>
      <c r="G11394" s="24"/>
      <c r="H11394" s="24"/>
      <c r="I11394" s="24"/>
      <c r="J11394" s="24"/>
      <c r="K11394" s="24"/>
      <c r="L11394" s="24"/>
      <c r="M11394" s="24"/>
      <c r="N11394" s="24"/>
      <c r="O11394" s="24"/>
      <c r="P11394" s="24"/>
      <c r="Q11394" s="24"/>
      <c r="R11394" s="24"/>
      <c r="S11394" s="24"/>
      <c r="T11394" s="24"/>
      <c r="U11394" s="24"/>
      <c r="V11394" s="24"/>
      <c r="W11394" s="24"/>
      <c r="X11394" s="24"/>
      <c r="Y11394" s="24"/>
      <c r="Z11394" s="24"/>
      <c r="AA11394" s="24"/>
    </row>
    <row r="11395">
      <c r="A11395" s="24"/>
      <c r="B11395" s="25"/>
      <c r="C11395" s="24"/>
      <c r="D11395" s="26"/>
      <c r="E11395" s="24"/>
      <c r="F11395" s="24"/>
      <c r="G11395" s="24"/>
      <c r="H11395" s="24"/>
      <c r="I11395" s="24"/>
      <c r="J11395" s="24"/>
      <c r="K11395" s="24"/>
      <c r="L11395" s="24"/>
      <c r="M11395" s="24"/>
      <c r="N11395" s="24"/>
      <c r="O11395" s="24"/>
      <c r="P11395" s="24"/>
      <c r="Q11395" s="24"/>
      <c r="R11395" s="24"/>
      <c r="S11395" s="24"/>
      <c r="T11395" s="24"/>
      <c r="U11395" s="24"/>
      <c r="V11395" s="24"/>
      <c r="W11395" s="24"/>
      <c r="X11395" s="24"/>
      <c r="Y11395" s="24"/>
      <c r="Z11395" s="24"/>
      <c r="AA11395" s="24"/>
    </row>
    <row r="11396">
      <c r="A11396" s="24"/>
      <c r="B11396" s="25"/>
      <c r="C11396" s="24"/>
      <c r="D11396" s="26"/>
      <c r="E11396" s="24"/>
      <c r="F11396" s="24"/>
      <c r="G11396" s="24"/>
      <c r="H11396" s="24"/>
      <c r="I11396" s="24"/>
      <c r="J11396" s="24"/>
      <c r="K11396" s="24"/>
      <c r="L11396" s="24"/>
      <c r="M11396" s="24"/>
      <c r="N11396" s="24"/>
      <c r="O11396" s="24"/>
      <c r="P11396" s="24"/>
      <c r="Q11396" s="24"/>
      <c r="R11396" s="24"/>
      <c r="S11396" s="24"/>
      <c r="T11396" s="24"/>
      <c r="U11396" s="24"/>
      <c r="V11396" s="24"/>
      <c r="W11396" s="24"/>
      <c r="X11396" s="24"/>
      <c r="Y11396" s="24"/>
      <c r="Z11396" s="24"/>
      <c r="AA11396" s="24"/>
    </row>
    <row r="11397">
      <c r="A11397" s="24"/>
      <c r="B11397" s="25"/>
      <c r="C11397" s="24"/>
      <c r="D11397" s="26"/>
      <c r="E11397" s="24"/>
      <c r="F11397" s="24"/>
      <c r="G11397" s="24"/>
      <c r="H11397" s="24"/>
      <c r="I11397" s="24"/>
      <c r="J11397" s="24"/>
      <c r="K11397" s="24"/>
      <c r="L11397" s="24"/>
      <c r="M11397" s="24"/>
      <c r="N11397" s="24"/>
      <c r="O11397" s="24"/>
      <c r="P11397" s="24"/>
      <c r="Q11397" s="24"/>
      <c r="R11397" s="24"/>
      <c r="S11397" s="24"/>
      <c r="T11397" s="24"/>
      <c r="U11397" s="24"/>
      <c r="V11397" s="24"/>
      <c r="W11397" s="24"/>
      <c r="X11397" s="24"/>
      <c r="Y11397" s="24"/>
      <c r="Z11397" s="24"/>
      <c r="AA11397" s="24"/>
    </row>
    <row r="11398">
      <c r="A11398" s="24"/>
      <c r="B11398" s="25"/>
      <c r="C11398" s="24"/>
      <c r="D11398" s="26"/>
      <c r="E11398" s="24"/>
      <c r="F11398" s="24"/>
      <c r="G11398" s="24"/>
      <c r="H11398" s="24"/>
      <c r="I11398" s="24"/>
      <c r="J11398" s="24"/>
      <c r="K11398" s="24"/>
      <c r="L11398" s="24"/>
      <c r="M11398" s="24"/>
      <c r="N11398" s="24"/>
      <c r="O11398" s="24"/>
      <c r="P11398" s="24"/>
      <c r="Q11398" s="24"/>
      <c r="R11398" s="24"/>
      <c r="S11398" s="24"/>
      <c r="T11398" s="24"/>
      <c r="U11398" s="24"/>
      <c r="V11398" s="24"/>
      <c r="W11398" s="24"/>
      <c r="X11398" s="24"/>
      <c r="Y11398" s="24"/>
      <c r="Z11398" s="24"/>
      <c r="AA11398" s="24"/>
    </row>
    <row r="11399">
      <c r="A11399" s="24"/>
      <c r="B11399" s="25"/>
      <c r="C11399" s="24"/>
      <c r="D11399" s="26"/>
      <c r="E11399" s="24"/>
      <c r="F11399" s="24"/>
      <c r="G11399" s="24"/>
      <c r="H11399" s="24"/>
      <c r="I11399" s="24"/>
      <c r="J11399" s="24"/>
      <c r="K11399" s="24"/>
      <c r="L11399" s="24"/>
      <c r="M11399" s="24"/>
      <c r="N11399" s="24"/>
      <c r="O11399" s="24"/>
      <c r="P11399" s="24"/>
      <c r="Q11399" s="24"/>
      <c r="R11399" s="24"/>
      <c r="S11399" s="24"/>
      <c r="T11399" s="24"/>
      <c r="U11399" s="24"/>
      <c r="V11399" s="24"/>
      <c r="W11399" s="24"/>
      <c r="X11399" s="24"/>
      <c r="Y11399" s="24"/>
      <c r="Z11399" s="24"/>
      <c r="AA11399" s="24"/>
    </row>
    <row r="11400">
      <c r="A11400" s="24"/>
      <c r="B11400" s="25"/>
      <c r="C11400" s="24"/>
      <c r="D11400" s="26"/>
      <c r="E11400" s="24"/>
      <c r="F11400" s="24"/>
      <c r="G11400" s="24"/>
      <c r="H11400" s="24"/>
      <c r="I11400" s="24"/>
      <c r="J11400" s="24"/>
      <c r="K11400" s="24"/>
      <c r="L11400" s="24"/>
      <c r="M11400" s="24"/>
      <c r="N11400" s="24"/>
      <c r="O11400" s="24"/>
      <c r="P11400" s="24"/>
      <c r="Q11400" s="24"/>
      <c r="R11400" s="24"/>
      <c r="S11400" s="24"/>
      <c r="T11400" s="24"/>
      <c r="U11400" s="24"/>
      <c r="V11400" s="24"/>
      <c r="W11400" s="24"/>
      <c r="X11400" s="24"/>
      <c r="Y11400" s="24"/>
      <c r="Z11400" s="24"/>
      <c r="AA11400" s="24"/>
    </row>
    <row r="11401">
      <c r="A11401" s="24"/>
      <c r="B11401" s="25"/>
      <c r="C11401" s="24"/>
      <c r="D11401" s="26"/>
      <c r="E11401" s="24"/>
      <c r="F11401" s="24"/>
      <c r="G11401" s="24"/>
      <c r="H11401" s="24"/>
      <c r="I11401" s="24"/>
      <c r="J11401" s="24"/>
      <c r="K11401" s="24"/>
      <c r="L11401" s="24"/>
      <c r="M11401" s="24"/>
      <c r="N11401" s="24"/>
      <c r="O11401" s="24"/>
      <c r="P11401" s="24"/>
      <c r="Q11401" s="24"/>
      <c r="R11401" s="24"/>
      <c r="S11401" s="24"/>
      <c r="T11401" s="24"/>
      <c r="U11401" s="24"/>
      <c r="V11401" s="24"/>
      <c r="W11401" s="24"/>
      <c r="X11401" s="24"/>
      <c r="Y11401" s="24"/>
      <c r="Z11401" s="24"/>
      <c r="AA11401" s="24"/>
    </row>
    <row r="11402">
      <c r="A11402" s="24"/>
      <c r="B11402" s="25"/>
      <c r="C11402" s="24"/>
      <c r="D11402" s="26"/>
      <c r="E11402" s="24"/>
      <c r="F11402" s="24"/>
      <c r="G11402" s="24"/>
      <c r="H11402" s="24"/>
      <c r="I11402" s="24"/>
      <c r="J11402" s="24"/>
      <c r="K11402" s="24"/>
      <c r="L11402" s="24"/>
      <c r="M11402" s="24"/>
      <c r="N11402" s="24"/>
      <c r="O11402" s="24"/>
      <c r="P11402" s="24"/>
      <c r="Q11402" s="24"/>
      <c r="R11402" s="24"/>
      <c r="S11402" s="24"/>
      <c r="T11402" s="24"/>
      <c r="U11402" s="24"/>
      <c r="V11402" s="24"/>
      <c r="W11402" s="24"/>
      <c r="X11402" s="24"/>
      <c r="Y11402" s="24"/>
      <c r="Z11402" s="24"/>
      <c r="AA11402" s="24"/>
    </row>
    <row r="11403">
      <c r="A11403" s="24"/>
      <c r="B11403" s="25"/>
      <c r="C11403" s="24"/>
      <c r="D11403" s="26"/>
      <c r="E11403" s="24"/>
      <c r="F11403" s="24"/>
      <c r="G11403" s="24"/>
      <c r="H11403" s="24"/>
      <c r="I11403" s="24"/>
      <c r="J11403" s="24"/>
      <c r="K11403" s="24"/>
      <c r="L11403" s="24"/>
      <c r="M11403" s="24"/>
      <c r="N11403" s="24"/>
      <c r="O11403" s="24"/>
      <c r="P11403" s="24"/>
      <c r="Q11403" s="24"/>
      <c r="R11403" s="24"/>
      <c r="S11403" s="24"/>
      <c r="T11403" s="24"/>
      <c r="U11403" s="24"/>
      <c r="V11403" s="24"/>
      <c r="W11403" s="24"/>
      <c r="X11403" s="24"/>
      <c r="Y11403" s="24"/>
      <c r="Z11403" s="24"/>
      <c r="AA11403" s="24"/>
    </row>
    <row r="11404">
      <c r="A11404" s="24"/>
      <c r="B11404" s="25"/>
      <c r="C11404" s="24"/>
      <c r="D11404" s="26"/>
      <c r="E11404" s="24"/>
      <c r="F11404" s="24"/>
      <c r="G11404" s="24"/>
      <c r="H11404" s="24"/>
      <c r="I11404" s="24"/>
      <c r="J11404" s="24"/>
      <c r="K11404" s="24"/>
      <c r="L11404" s="24"/>
      <c r="M11404" s="24"/>
      <c r="N11404" s="24"/>
      <c r="O11404" s="24"/>
      <c r="P11404" s="24"/>
      <c r="Q11404" s="24"/>
      <c r="R11404" s="24"/>
      <c r="S11404" s="24"/>
      <c r="T11404" s="24"/>
      <c r="U11404" s="24"/>
      <c r="V11404" s="24"/>
      <c r="W11404" s="24"/>
      <c r="X11404" s="24"/>
      <c r="Y11404" s="24"/>
      <c r="Z11404" s="24"/>
      <c r="AA11404" s="24"/>
    </row>
    <row r="11405">
      <c r="A11405" s="24"/>
      <c r="B11405" s="25"/>
      <c r="C11405" s="24"/>
      <c r="D11405" s="26"/>
      <c r="E11405" s="24"/>
      <c r="F11405" s="24"/>
      <c r="G11405" s="24"/>
      <c r="H11405" s="24"/>
      <c r="I11405" s="24"/>
      <c r="J11405" s="24"/>
      <c r="K11405" s="24"/>
      <c r="L11405" s="24"/>
      <c r="M11405" s="24"/>
      <c r="N11405" s="24"/>
      <c r="O11405" s="24"/>
      <c r="P11405" s="24"/>
      <c r="Q11405" s="24"/>
      <c r="R11405" s="24"/>
      <c r="S11405" s="24"/>
      <c r="T11405" s="24"/>
      <c r="U11405" s="24"/>
      <c r="V11405" s="24"/>
      <c r="W11405" s="24"/>
      <c r="X11405" s="24"/>
      <c r="Y11405" s="24"/>
      <c r="Z11405" s="24"/>
      <c r="AA11405" s="24"/>
    </row>
    <row r="11406">
      <c r="A11406" s="24"/>
      <c r="B11406" s="25"/>
      <c r="C11406" s="24"/>
      <c r="D11406" s="26"/>
      <c r="E11406" s="24"/>
      <c r="F11406" s="24"/>
      <c r="G11406" s="24"/>
      <c r="H11406" s="24"/>
      <c r="I11406" s="24"/>
      <c r="J11406" s="24"/>
      <c r="K11406" s="24"/>
      <c r="L11406" s="24"/>
      <c r="M11406" s="24"/>
      <c r="N11406" s="24"/>
      <c r="O11406" s="24"/>
      <c r="P11406" s="24"/>
      <c r="Q11406" s="24"/>
      <c r="R11406" s="24"/>
      <c r="S11406" s="24"/>
      <c r="T11406" s="24"/>
      <c r="U11406" s="24"/>
      <c r="V11406" s="24"/>
      <c r="W11406" s="24"/>
      <c r="X11406" s="24"/>
      <c r="Y11406" s="24"/>
      <c r="Z11406" s="24"/>
      <c r="AA11406" s="24"/>
    </row>
    <row r="11407">
      <c r="A11407" s="24"/>
      <c r="B11407" s="25"/>
      <c r="C11407" s="24"/>
      <c r="D11407" s="26"/>
      <c r="E11407" s="24"/>
      <c r="F11407" s="24"/>
      <c r="G11407" s="24"/>
      <c r="H11407" s="24"/>
      <c r="I11407" s="24"/>
      <c r="J11407" s="24"/>
      <c r="K11407" s="24"/>
      <c r="L11407" s="24"/>
      <c r="M11407" s="24"/>
      <c r="N11407" s="24"/>
      <c r="O11407" s="24"/>
      <c r="P11407" s="24"/>
      <c r="Q11407" s="24"/>
      <c r="R11407" s="24"/>
      <c r="S11407" s="24"/>
      <c r="T11407" s="24"/>
      <c r="U11407" s="24"/>
      <c r="V11407" s="24"/>
      <c r="W11407" s="24"/>
      <c r="X11407" s="24"/>
      <c r="Y11407" s="24"/>
      <c r="Z11407" s="24"/>
      <c r="AA11407" s="24"/>
    </row>
    <row r="11408">
      <c r="A11408" s="24"/>
      <c r="B11408" s="25"/>
      <c r="C11408" s="24"/>
      <c r="D11408" s="26"/>
      <c r="E11408" s="24"/>
      <c r="F11408" s="24"/>
      <c r="G11408" s="24"/>
      <c r="H11408" s="24"/>
      <c r="I11408" s="24"/>
      <c r="J11408" s="24"/>
      <c r="K11408" s="24"/>
      <c r="L11408" s="24"/>
      <c r="M11408" s="24"/>
      <c r="N11408" s="24"/>
      <c r="O11408" s="24"/>
      <c r="P11408" s="24"/>
      <c r="Q11408" s="24"/>
      <c r="R11408" s="24"/>
      <c r="S11408" s="24"/>
      <c r="T11408" s="24"/>
      <c r="U11408" s="24"/>
      <c r="V11408" s="24"/>
      <c r="W11408" s="24"/>
      <c r="X11408" s="24"/>
      <c r="Y11408" s="24"/>
      <c r="Z11408" s="24"/>
      <c r="AA11408" s="24"/>
    </row>
    <row r="11409">
      <c r="A11409" s="24"/>
      <c r="B11409" s="25"/>
      <c r="C11409" s="24"/>
      <c r="D11409" s="26"/>
      <c r="E11409" s="24"/>
      <c r="F11409" s="24"/>
      <c r="G11409" s="24"/>
      <c r="H11409" s="24"/>
      <c r="I11409" s="24"/>
      <c r="J11409" s="24"/>
      <c r="K11409" s="24"/>
      <c r="L11409" s="24"/>
      <c r="M11409" s="24"/>
      <c r="N11409" s="24"/>
      <c r="O11409" s="24"/>
      <c r="P11409" s="24"/>
      <c r="Q11409" s="24"/>
      <c r="R11409" s="24"/>
      <c r="S11409" s="24"/>
      <c r="T11409" s="24"/>
      <c r="U11409" s="24"/>
      <c r="V11409" s="24"/>
      <c r="W11409" s="24"/>
      <c r="X11409" s="24"/>
      <c r="Y11409" s="24"/>
      <c r="Z11409" s="24"/>
      <c r="AA11409" s="24"/>
    </row>
    <row r="11410">
      <c r="A11410" s="24"/>
      <c r="B11410" s="25"/>
      <c r="C11410" s="24"/>
      <c r="D11410" s="26"/>
      <c r="E11410" s="24"/>
      <c r="F11410" s="24"/>
      <c r="G11410" s="24"/>
      <c r="H11410" s="24"/>
      <c r="I11410" s="24"/>
      <c r="J11410" s="24"/>
      <c r="K11410" s="24"/>
      <c r="L11410" s="24"/>
      <c r="M11410" s="24"/>
      <c r="N11410" s="24"/>
      <c r="O11410" s="24"/>
      <c r="P11410" s="24"/>
      <c r="Q11410" s="24"/>
      <c r="R11410" s="24"/>
      <c r="S11410" s="24"/>
      <c r="T11410" s="24"/>
      <c r="U11410" s="24"/>
      <c r="V11410" s="24"/>
      <c r="W11410" s="24"/>
      <c r="X11410" s="24"/>
      <c r="Y11410" s="24"/>
      <c r="Z11410" s="24"/>
      <c r="AA11410" s="24"/>
    </row>
    <row r="11411">
      <c r="A11411" s="24"/>
      <c r="B11411" s="25"/>
      <c r="C11411" s="24"/>
      <c r="D11411" s="26"/>
      <c r="E11411" s="24"/>
      <c r="F11411" s="24"/>
      <c r="G11411" s="24"/>
      <c r="H11411" s="24"/>
      <c r="I11411" s="24"/>
      <c r="J11411" s="24"/>
      <c r="K11411" s="24"/>
      <c r="L11411" s="24"/>
      <c r="M11411" s="24"/>
      <c r="N11411" s="24"/>
      <c r="O11411" s="24"/>
      <c r="P11411" s="24"/>
      <c r="Q11411" s="24"/>
      <c r="R11411" s="24"/>
      <c r="S11411" s="24"/>
      <c r="T11411" s="24"/>
      <c r="U11411" s="24"/>
      <c r="V11411" s="24"/>
      <c r="W11411" s="24"/>
      <c r="X11411" s="24"/>
      <c r="Y11411" s="24"/>
      <c r="Z11411" s="24"/>
      <c r="AA11411" s="24"/>
    </row>
    <row r="11412">
      <c r="A11412" s="24"/>
      <c r="B11412" s="25"/>
      <c r="C11412" s="24"/>
      <c r="D11412" s="26"/>
      <c r="E11412" s="24"/>
      <c r="F11412" s="24"/>
      <c r="G11412" s="24"/>
      <c r="H11412" s="24"/>
      <c r="I11412" s="24"/>
      <c r="J11412" s="24"/>
      <c r="K11412" s="24"/>
      <c r="L11412" s="24"/>
      <c r="M11412" s="24"/>
      <c r="N11412" s="24"/>
      <c r="O11412" s="24"/>
      <c r="P11412" s="24"/>
      <c r="Q11412" s="24"/>
      <c r="R11412" s="24"/>
      <c r="S11412" s="24"/>
      <c r="T11412" s="24"/>
      <c r="U11412" s="24"/>
      <c r="V11412" s="24"/>
      <c r="W11412" s="24"/>
      <c r="X11412" s="24"/>
      <c r="Y11412" s="24"/>
      <c r="Z11412" s="24"/>
      <c r="AA11412" s="24"/>
    </row>
    <row r="11413">
      <c r="A11413" s="24"/>
      <c r="B11413" s="25"/>
      <c r="C11413" s="24"/>
      <c r="D11413" s="26"/>
      <c r="E11413" s="24"/>
      <c r="F11413" s="24"/>
      <c r="G11413" s="24"/>
      <c r="H11413" s="24"/>
      <c r="I11413" s="24"/>
      <c r="J11413" s="24"/>
      <c r="K11413" s="24"/>
      <c r="L11413" s="24"/>
      <c r="M11413" s="24"/>
      <c r="N11413" s="24"/>
      <c r="O11413" s="24"/>
      <c r="P11413" s="24"/>
      <c r="Q11413" s="24"/>
      <c r="R11413" s="24"/>
      <c r="S11413" s="24"/>
      <c r="T11413" s="24"/>
      <c r="U11413" s="24"/>
      <c r="V11413" s="24"/>
      <c r="W11413" s="24"/>
      <c r="X11413" s="24"/>
      <c r="Y11413" s="24"/>
      <c r="Z11413" s="24"/>
      <c r="AA11413" s="24"/>
    </row>
    <row r="11414">
      <c r="A11414" s="24"/>
      <c r="B11414" s="25"/>
      <c r="C11414" s="24"/>
      <c r="D11414" s="26"/>
      <c r="E11414" s="24"/>
      <c r="F11414" s="24"/>
      <c r="G11414" s="24"/>
      <c r="H11414" s="24"/>
      <c r="I11414" s="24"/>
      <c r="J11414" s="24"/>
      <c r="K11414" s="24"/>
      <c r="L11414" s="24"/>
      <c r="M11414" s="24"/>
      <c r="N11414" s="24"/>
      <c r="O11414" s="24"/>
      <c r="P11414" s="24"/>
      <c r="Q11414" s="24"/>
      <c r="R11414" s="24"/>
      <c r="S11414" s="24"/>
      <c r="T11414" s="24"/>
      <c r="U11414" s="24"/>
      <c r="V11414" s="24"/>
      <c r="W11414" s="24"/>
      <c r="X11414" s="24"/>
      <c r="Y11414" s="24"/>
      <c r="Z11414" s="24"/>
      <c r="AA11414" s="24"/>
    </row>
    <row r="11415">
      <c r="A11415" s="24"/>
      <c r="B11415" s="25"/>
      <c r="C11415" s="24"/>
      <c r="D11415" s="26"/>
      <c r="E11415" s="24"/>
      <c r="F11415" s="24"/>
      <c r="G11415" s="24"/>
      <c r="H11415" s="24"/>
      <c r="I11415" s="24"/>
      <c r="J11415" s="24"/>
      <c r="K11415" s="24"/>
      <c r="L11415" s="24"/>
      <c r="M11415" s="24"/>
      <c r="N11415" s="24"/>
      <c r="O11415" s="24"/>
      <c r="P11415" s="24"/>
      <c r="Q11415" s="24"/>
      <c r="R11415" s="24"/>
      <c r="S11415" s="24"/>
      <c r="T11415" s="24"/>
      <c r="U11415" s="24"/>
      <c r="V11415" s="24"/>
      <c r="W11415" s="24"/>
      <c r="X11415" s="24"/>
      <c r="Y11415" s="24"/>
      <c r="Z11415" s="24"/>
      <c r="AA11415" s="24"/>
    </row>
    <row r="11416">
      <c r="A11416" s="24"/>
      <c r="B11416" s="25"/>
      <c r="C11416" s="24"/>
      <c r="D11416" s="26"/>
      <c r="E11416" s="24"/>
      <c r="F11416" s="24"/>
      <c r="G11416" s="24"/>
      <c r="H11416" s="24"/>
      <c r="I11416" s="24"/>
      <c r="J11416" s="24"/>
      <c r="K11416" s="24"/>
      <c r="L11416" s="24"/>
      <c r="M11416" s="24"/>
      <c r="N11416" s="24"/>
      <c r="O11416" s="24"/>
      <c r="P11416" s="24"/>
      <c r="Q11416" s="24"/>
      <c r="R11416" s="24"/>
      <c r="S11416" s="24"/>
      <c r="T11416" s="24"/>
      <c r="U11416" s="24"/>
      <c r="V11416" s="24"/>
      <c r="W11416" s="24"/>
      <c r="X11416" s="24"/>
      <c r="Y11416" s="24"/>
      <c r="Z11416" s="24"/>
      <c r="AA11416" s="24"/>
    </row>
    <row r="11417">
      <c r="A11417" s="24"/>
      <c r="B11417" s="25"/>
      <c r="C11417" s="24"/>
      <c r="D11417" s="26"/>
      <c r="E11417" s="24"/>
      <c r="F11417" s="24"/>
      <c r="G11417" s="24"/>
      <c r="H11417" s="24"/>
      <c r="I11417" s="24"/>
      <c r="J11417" s="24"/>
      <c r="K11417" s="24"/>
      <c r="L11417" s="24"/>
      <c r="M11417" s="24"/>
      <c r="N11417" s="24"/>
      <c r="O11417" s="24"/>
      <c r="P11417" s="24"/>
      <c r="Q11417" s="24"/>
      <c r="R11417" s="24"/>
      <c r="S11417" s="24"/>
      <c r="T11417" s="24"/>
      <c r="U11417" s="24"/>
      <c r="V11417" s="24"/>
      <c r="W11417" s="24"/>
      <c r="X11417" s="24"/>
      <c r="Y11417" s="24"/>
      <c r="Z11417" s="24"/>
      <c r="AA11417" s="24"/>
    </row>
    <row r="11418">
      <c r="A11418" s="24"/>
      <c r="B11418" s="25"/>
      <c r="C11418" s="24"/>
      <c r="D11418" s="26"/>
      <c r="E11418" s="24"/>
      <c r="F11418" s="24"/>
      <c r="G11418" s="24"/>
      <c r="H11418" s="24"/>
      <c r="I11418" s="24"/>
      <c r="J11418" s="24"/>
      <c r="K11418" s="24"/>
      <c r="L11418" s="24"/>
      <c r="M11418" s="24"/>
      <c r="N11418" s="24"/>
      <c r="O11418" s="24"/>
      <c r="P11418" s="24"/>
      <c r="Q11418" s="24"/>
      <c r="R11418" s="24"/>
      <c r="S11418" s="24"/>
      <c r="T11418" s="24"/>
      <c r="U11418" s="24"/>
      <c r="V11418" s="24"/>
      <c r="W11418" s="24"/>
      <c r="X11418" s="24"/>
      <c r="Y11418" s="24"/>
      <c r="Z11418" s="24"/>
      <c r="AA11418" s="24"/>
    </row>
    <row r="11419">
      <c r="A11419" s="24"/>
      <c r="B11419" s="25"/>
      <c r="C11419" s="24"/>
      <c r="D11419" s="26"/>
      <c r="E11419" s="24"/>
      <c r="F11419" s="24"/>
      <c r="G11419" s="24"/>
      <c r="H11419" s="24"/>
      <c r="I11419" s="24"/>
      <c r="J11419" s="24"/>
      <c r="K11419" s="24"/>
      <c r="L11419" s="24"/>
      <c r="M11419" s="24"/>
      <c r="N11419" s="24"/>
      <c r="O11419" s="24"/>
      <c r="P11419" s="24"/>
      <c r="Q11419" s="24"/>
      <c r="R11419" s="24"/>
      <c r="S11419" s="24"/>
      <c r="T11419" s="24"/>
      <c r="U11419" s="24"/>
      <c r="V11419" s="24"/>
      <c r="W11419" s="24"/>
      <c r="X11419" s="24"/>
      <c r="Y11419" s="24"/>
      <c r="Z11419" s="24"/>
      <c r="AA11419" s="24"/>
    </row>
    <row r="11420">
      <c r="A11420" s="24"/>
      <c r="B11420" s="25"/>
      <c r="C11420" s="24"/>
      <c r="D11420" s="26"/>
      <c r="E11420" s="24"/>
      <c r="F11420" s="24"/>
      <c r="G11420" s="24"/>
      <c r="H11420" s="24"/>
      <c r="I11420" s="24"/>
      <c r="J11420" s="24"/>
      <c r="K11420" s="24"/>
      <c r="L11420" s="24"/>
      <c r="M11420" s="24"/>
      <c r="N11420" s="24"/>
      <c r="O11420" s="24"/>
      <c r="P11420" s="24"/>
      <c r="Q11420" s="24"/>
      <c r="R11420" s="24"/>
      <c r="S11420" s="24"/>
      <c r="T11420" s="24"/>
      <c r="U11420" s="24"/>
      <c r="V11420" s="24"/>
      <c r="W11420" s="24"/>
      <c r="X11420" s="24"/>
      <c r="Y11420" s="24"/>
      <c r="Z11420" s="24"/>
      <c r="AA11420" s="24"/>
    </row>
    <row r="11421">
      <c r="A11421" s="24"/>
      <c r="B11421" s="25"/>
      <c r="C11421" s="24"/>
      <c r="D11421" s="26"/>
      <c r="E11421" s="24"/>
      <c r="F11421" s="24"/>
      <c r="G11421" s="24"/>
      <c r="H11421" s="24"/>
      <c r="I11421" s="24"/>
      <c r="J11421" s="24"/>
      <c r="K11421" s="24"/>
      <c r="L11421" s="24"/>
      <c r="M11421" s="24"/>
      <c r="N11421" s="24"/>
      <c r="O11421" s="24"/>
      <c r="P11421" s="24"/>
      <c r="Q11421" s="24"/>
      <c r="R11421" s="24"/>
      <c r="S11421" s="24"/>
      <c r="T11421" s="24"/>
      <c r="U11421" s="24"/>
      <c r="V11421" s="24"/>
      <c r="W11421" s="24"/>
      <c r="X11421" s="24"/>
      <c r="Y11421" s="24"/>
      <c r="Z11421" s="24"/>
      <c r="AA11421" s="24"/>
    </row>
    <row r="11422">
      <c r="A11422" s="24"/>
      <c r="B11422" s="25"/>
      <c r="C11422" s="24"/>
      <c r="D11422" s="26"/>
      <c r="E11422" s="24"/>
      <c r="F11422" s="24"/>
      <c r="G11422" s="24"/>
      <c r="H11422" s="24"/>
      <c r="I11422" s="24"/>
      <c r="J11422" s="24"/>
      <c r="K11422" s="24"/>
      <c r="L11422" s="24"/>
      <c r="M11422" s="24"/>
      <c r="N11422" s="24"/>
      <c r="O11422" s="24"/>
      <c r="P11422" s="24"/>
      <c r="Q11422" s="24"/>
      <c r="R11422" s="24"/>
      <c r="S11422" s="24"/>
      <c r="T11422" s="24"/>
      <c r="U11422" s="24"/>
      <c r="V11422" s="24"/>
      <c r="W11422" s="24"/>
      <c r="X11422" s="24"/>
      <c r="Y11422" s="24"/>
      <c r="Z11422" s="24"/>
      <c r="AA11422" s="24"/>
    </row>
    <row r="11423">
      <c r="A11423" s="24"/>
      <c r="B11423" s="25"/>
      <c r="C11423" s="24"/>
      <c r="D11423" s="26"/>
      <c r="E11423" s="24"/>
      <c r="F11423" s="24"/>
      <c r="G11423" s="24"/>
      <c r="H11423" s="24"/>
      <c r="I11423" s="24"/>
      <c r="J11423" s="24"/>
      <c r="K11423" s="24"/>
      <c r="L11423" s="24"/>
      <c r="M11423" s="24"/>
      <c r="N11423" s="24"/>
      <c r="O11423" s="24"/>
      <c r="P11423" s="24"/>
      <c r="Q11423" s="24"/>
      <c r="R11423" s="24"/>
      <c r="S11423" s="24"/>
      <c r="T11423" s="24"/>
      <c r="U11423" s="24"/>
      <c r="V11423" s="24"/>
      <c r="W11423" s="24"/>
      <c r="X11423" s="24"/>
      <c r="Y11423" s="24"/>
      <c r="Z11423" s="24"/>
      <c r="AA11423" s="24"/>
    </row>
    <row r="11424">
      <c r="A11424" s="24"/>
      <c r="B11424" s="25"/>
      <c r="C11424" s="24"/>
      <c r="D11424" s="26"/>
      <c r="E11424" s="24"/>
      <c r="F11424" s="24"/>
      <c r="G11424" s="24"/>
      <c r="H11424" s="24"/>
      <c r="I11424" s="24"/>
      <c r="J11424" s="24"/>
      <c r="K11424" s="24"/>
      <c r="L11424" s="24"/>
      <c r="M11424" s="24"/>
      <c r="N11424" s="24"/>
      <c r="O11424" s="24"/>
      <c r="P11424" s="24"/>
      <c r="Q11424" s="24"/>
      <c r="R11424" s="24"/>
      <c r="S11424" s="24"/>
      <c r="T11424" s="24"/>
      <c r="U11424" s="24"/>
      <c r="V11424" s="24"/>
      <c r="W11424" s="24"/>
      <c r="X11424" s="24"/>
      <c r="Y11424" s="24"/>
      <c r="Z11424" s="24"/>
      <c r="AA11424" s="24"/>
    </row>
    <row r="11425">
      <c r="A11425" s="24"/>
      <c r="B11425" s="25"/>
      <c r="C11425" s="24"/>
      <c r="D11425" s="26"/>
      <c r="E11425" s="24"/>
      <c r="F11425" s="24"/>
      <c r="G11425" s="24"/>
      <c r="H11425" s="24"/>
      <c r="I11425" s="24"/>
      <c r="J11425" s="24"/>
      <c r="K11425" s="24"/>
      <c r="L11425" s="24"/>
      <c r="M11425" s="24"/>
      <c r="N11425" s="24"/>
      <c r="O11425" s="24"/>
      <c r="P11425" s="24"/>
      <c r="Q11425" s="24"/>
      <c r="R11425" s="24"/>
      <c r="S11425" s="24"/>
      <c r="T11425" s="24"/>
      <c r="U11425" s="24"/>
      <c r="V11425" s="24"/>
      <c r="W11425" s="24"/>
      <c r="X11425" s="24"/>
      <c r="Y11425" s="24"/>
      <c r="Z11425" s="24"/>
      <c r="AA11425" s="24"/>
    </row>
    <row r="11426">
      <c r="A11426" s="24"/>
      <c r="B11426" s="25"/>
      <c r="C11426" s="24"/>
      <c r="D11426" s="26"/>
      <c r="E11426" s="24"/>
      <c r="F11426" s="24"/>
      <c r="G11426" s="24"/>
      <c r="H11426" s="24"/>
      <c r="I11426" s="24"/>
      <c r="J11426" s="24"/>
      <c r="K11426" s="24"/>
      <c r="L11426" s="24"/>
      <c r="M11426" s="24"/>
      <c r="N11426" s="24"/>
      <c r="O11426" s="24"/>
      <c r="P11426" s="24"/>
      <c r="Q11426" s="24"/>
      <c r="R11426" s="24"/>
      <c r="S11426" s="24"/>
      <c r="T11426" s="24"/>
      <c r="U11426" s="24"/>
      <c r="V11426" s="24"/>
      <c r="W11426" s="24"/>
      <c r="X11426" s="24"/>
      <c r="Y11426" s="24"/>
      <c r="Z11426" s="24"/>
      <c r="AA11426" s="24"/>
    </row>
    <row r="11427">
      <c r="A11427" s="24"/>
      <c r="B11427" s="25"/>
      <c r="C11427" s="24"/>
      <c r="D11427" s="26"/>
      <c r="E11427" s="24"/>
      <c r="F11427" s="24"/>
      <c r="G11427" s="24"/>
      <c r="H11427" s="24"/>
      <c r="I11427" s="24"/>
      <c r="J11427" s="24"/>
      <c r="K11427" s="24"/>
      <c r="L11427" s="24"/>
      <c r="M11427" s="24"/>
      <c r="N11427" s="24"/>
      <c r="O11427" s="24"/>
      <c r="P11427" s="24"/>
      <c r="Q11427" s="24"/>
      <c r="R11427" s="24"/>
      <c r="S11427" s="24"/>
      <c r="T11427" s="24"/>
      <c r="U11427" s="24"/>
      <c r="V11427" s="24"/>
      <c r="W11427" s="24"/>
      <c r="X11427" s="24"/>
      <c r="Y11427" s="24"/>
      <c r="Z11427" s="24"/>
      <c r="AA11427" s="24"/>
    </row>
    <row r="11428">
      <c r="A11428" s="24"/>
      <c r="B11428" s="25"/>
      <c r="C11428" s="24"/>
      <c r="D11428" s="26"/>
      <c r="E11428" s="24"/>
      <c r="F11428" s="24"/>
      <c r="G11428" s="24"/>
      <c r="H11428" s="24"/>
      <c r="I11428" s="24"/>
      <c r="J11428" s="24"/>
      <c r="K11428" s="24"/>
      <c r="L11428" s="24"/>
      <c r="M11428" s="24"/>
      <c r="N11428" s="24"/>
      <c r="O11428" s="24"/>
      <c r="P11428" s="24"/>
      <c r="Q11428" s="24"/>
      <c r="R11428" s="24"/>
      <c r="S11428" s="24"/>
      <c r="T11428" s="24"/>
      <c r="U11428" s="24"/>
      <c r="V11428" s="24"/>
      <c r="W11428" s="24"/>
      <c r="X11428" s="24"/>
      <c r="Y11428" s="24"/>
      <c r="Z11428" s="24"/>
      <c r="AA11428" s="24"/>
    </row>
    <row r="11429">
      <c r="A11429" s="24"/>
      <c r="B11429" s="25"/>
      <c r="C11429" s="24"/>
      <c r="D11429" s="26"/>
      <c r="E11429" s="24"/>
      <c r="F11429" s="24"/>
      <c r="G11429" s="24"/>
      <c r="H11429" s="24"/>
      <c r="I11429" s="24"/>
      <c r="J11429" s="24"/>
      <c r="K11429" s="24"/>
      <c r="L11429" s="24"/>
      <c r="M11429" s="24"/>
      <c r="N11429" s="24"/>
      <c r="O11429" s="24"/>
      <c r="P11429" s="24"/>
      <c r="Q11429" s="24"/>
      <c r="R11429" s="24"/>
      <c r="S11429" s="24"/>
      <c r="T11429" s="24"/>
      <c r="U11429" s="24"/>
      <c r="V11429" s="24"/>
      <c r="W11429" s="24"/>
      <c r="X11429" s="24"/>
      <c r="Y11429" s="24"/>
      <c r="Z11429" s="24"/>
      <c r="AA11429" s="24"/>
    </row>
    <row r="11430">
      <c r="A11430" s="24"/>
      <c r="B11430" s="25"/>
      <c r="C11430" s="24"/>
      <c r="D11430" s="26"/>
      <c r="E11430" s="24"/>
      <c r="F11430" s="24"/>
      <c r="G11430" s="24"/>
      <c r="H11430" s="24"/>
      <c r="I11430" s="24"/>
      <c r="J11430" s="24"/>
      <c r="K11430" s="24"/>
      <c r="L11430" s="24"/>
      <c r="M11430" s="24"/>
      <c r="N11430" s="24"/>
      <c r="O11430" s="24"/>
      <c r="P11430" s="24"/>
      <c r="Q11430" s="24"/>
      <c r="R11430" s="24"/>
      <c r="S11430" s="24"/>
      <c r="T11430" s="24"/>
      <c r="U11430" s="24"/>
      <c r="V11430" s="24"/>
      <c r="W11430" s="24"/>
      <c r="X11430" s="24"/>
      <c r="Y11430" s="24"/>
      <c r="Z11430" s="24"/>
      <c r="AA11430" s="24"/>
    </row>
    <row r="11431">
      <c r="A11431" s="24"/>
      <c r="B11431" s="25"/>
      <c r="C11431" s="24"/>
      <c r="D11431" s="26"/>
      <c r="E11431" s="24"/>
      <c r="F11431" s="24"/>
      <c r="G11431" s="24"/>
      <c r="H11431" s="24"/>
      <c r="I11431" s="24"/>
      <c r="J11431" s="24"/>
      <c r="K11431" s="24"/>
      <c r="L11431" s="24"/>
      <c r="M11431" s="24"/>
      <c r="N11431" s="24"/>
      <c r="O11431" s="24"/>
      <c r="P11431" s="24"/>
      <c r="Q11431" s="24"/>
      <c r="R11431" s="24"/>
      <c r="S11431" s="24"/>
      <c r="T11431" s="24"/>
      <c r="U11431" s="24"/>
      <c r="V11431" s="24"/>
      <c r="W11431" s="24"/>
      <c r="X11431" s="24"/>
      <c r="Y11431" s="24"/>
      <c r="Z11431" s="24"/>
      <c r="AA11431" s="24"/>
    </row>
    <row r="11432">
      <c r="A11432" s="24"/>
      <c r="B11432" s="25"/>
      <c r="C11432" s="24"/>
      <c r="D11432" s="26"/>
      <c r="E11432" s="24"/>
      <c r="F11432" s="24"/>
      <c r="G11432" s="24"/>
      <c r="H11432" s="24"/>
      <c r="I11432" s="24"/>
      <c r="J11432" s="24"/>
      <c r="K11432" s="24"/>
      <c r="L11432" s="24"/>
      <c r="M11432" s="24"/>
      <c r="N11432" s="24"/>
      <c r="O11432" s="24"/>
      <c r="P11432" s="24"/>
      <c r="Q11432" s="24"/>
      <c r="R11432" s="24"/>
      <c r="S11432" s="24"/>
      <c r="T11432" s="24"/>
      <c r="U11432" s="24"/>
      <c r="V11432" s="24"/>
      <c r="W11432" s="24"/>
      <c r="X11432" s="24"/>
      <c r="Y11432" s="24"/>
      <c r="Z11432" s="24"/>
      <c r="AA11432" s="24"/>
    </row>
    <row r="11433">
      <c r="A11433" s="24"/>
      <c r="B11433" s="25"/>
      <c r="C11433" s="24"/>
      <c r="D11433" s="26"/>
      <c r="E11433" s="24"/>
      <c r="F11433" s="24"/>
      <c r="G11433" s="24"/>
      <c r="H11433" s="24"/>
      <c r="I11433" s="24"/>
      <c r="J11433" s="24"/>
      <c r="K11433" s="24"/>
      <c r="L11433" s="24"/>
      <c r="M11433" s="24"/>
      <c r="N11433" s="24"/>
      <c r="O11433" s="24"/>
      <c r="P11433" s="24"/>
      <c r="Q11433" s="24"/>
      <c r="R11433" s="24"/>
      <c r="S11433" s="24"/>
      <c r="T11433" s="24"/>
      <c r="U11433" s="24"/>
      <c r="V11433" s="24"/>
      <c r="W11433" s="24"/>
      <c r="X11433" s="24"/>
      <c r="Y11433" s="24"/>
      <c r="Z11433" s="24"/>
      <c r="AA11433" s="24"/>
    </row>
    <row r="11434">
      <c r="A11434" s="24"/>
      <c r="B11434" s="25"/>
      <c r="C11434" s="24"/>
      <c r="D11434" s="26"/>
      <c r="E11434" s="24"/>
      <c r="F11434" s="24"/>
      <c r="G11434" s="24"/>
      <c r="H11434" s="24"/>
      <c r="I11434" s="24"/>
      <c r="J11434" s="24"/>
      <c r="K11434" s="24"/>
      <c r="L11434" s="24"/>
      <c r="M11434" s="24"/>
      <c r="N11434" s="24"/>
      <c r="O11434" s="24"/>
      <c r="P11434" s="24"/>
      <c r="Q11434" s="24"/>
      <c r="R11434" s="24"/>
      <c r="S11434" s="24"/>
      <c r="T11434" s="24"/>
      <c r="U11434" s="24"/>
      <c r="V11434" s="24"/>
      <c r="W11434" s="24"/>
      <c r="X11434" s="24"/>
      <c r="Y11434" s="24"/>
      <c r="Z11434" s="24"/>
      <c r="AA11434" s="24"/>
    </row>
    <row r="11435">
      <c r="A11435" s="24"/>
      <c r="B11435" s="25"/>
      <c r="C11435" s="24"/>
      <c r="D11435" s="26"/>
      <c r="E11435" s="24"/>
      <c r="F11435" s="24"/>
      <c r="G11435" s="24"/>
      <c r="H11435" s="24"/>
      <c r="I11435" s="24"/>
      <c r="J11435" s="24"/>
      <c r="K11435" s="24"/>
      <c r="L11435" s="24"/>
      <c r="M11435" s="24"/>
      <c r="N11435" s="24"/>
      <c r="O11435" s="24"/>
      <c r="P11435" s="24"/>
      <c r="Q11435" s="24"/>
      <c r="R11435" s="24"/>
      <c r="S11435" s="24"/>
      <c r="T11435" s="24"/>
      <c r="U11435" s="24"/>
      <c r="V11435" s="24"/>
      <c r="W11435" s="24"/>
      <c r="X11435" s="24"/>
      <c r="Y11435" s="24"/>
      <c r="Z11435" s="24"/>
      <c r="AA11435" s="24"/>
    </row>
    <row r="11436">
      <c r="A11436" s="24"/>
      <c r="B11436" s="25"/>
      <c r="C11436" s="24"/>
      <c r="D11436" s="26"/>
      <c r="E11436" s="24"/>
      <c r="F11436" s="24"/>
      <c r="G11436" s="24"/>
      <c r="H11436" s="24"/>
      <c r="I11436" s="24"/>
      <c r="J11436" s="24"/>
      <c r="K11436" s="24"/>
      <c r="L11436" s="24"/>
      <c r="M11436" s="24"/>
      <c r="N11436" s="24"/>
      <c r="O11436" s="24"/>
      <c r="P11436" s="24"/>
      <c r="Q11436" s="24"/>
      <c r="R11436" s="24"/>
      <c r="S11436" s="24"/>
      <c r="T11436" s="24"/>
      <c r="U11436" s="24"/>
      <c r="V11436" s="24"/>
      <c r="W11436" s="24"/>
      <c r="X11436" s="24"/>
      <c r="Y11436" s="24"/>
      <c r="Z11436" s="24"/>
      <c r="AA11436" s="24"/>
    </row>
    <row r="11437">
      <c r="A11437" s="24"/>
      <c r="B11437" s="25"/>
      <c r="C11437" s="24"/>
      <c r="D11437" s="26"/>
      <c r="E11437" s="24"/>
      <c r="F11437" s="24"/>
      <c r="G11437" s="24"/>
      <c r="H11437" s="24"/>
      <c r="I11437" s="24"/>
      <c r="J11437" s="24"/>
      <c r="K11437" s="24"/>
      <c r="L11437" s="24"/>
      <c r="M11437" s="24"/>
      <c r="N11437" s="24"/>
      <c r="O11437" s="24"/>
      <c r="P11437" s="24"/>
      <c r="Q11437" s="24"/>
      <c r="R11437" s="24"/>
      <c r="S11437" s="24"/>
      <c r="T11437" s="24"/>
      <c r="U11437" s="24"/>
      <c r="V11437" s="24"/>
      <c r="W11437" s="24"/>
      <c r="X11437" s="24"/>
      <c r="Y11437" s="24"/>
      <c r="Z11437" s="24"/>
      <c r="AA11437" s="24"/>
    </row>
    <row r="11438">
      <c r="A11438" s="24"/>
      <c r="B11438" s="25"/>
      <c r="C11438" s="24"/>
      <c r="D11438" s="26"/>
      <c r="E11438" s="24"/>
      <c r="F11438" s="24"/>
      <c r="G11438" s="24"/>
      <c r="H11438" s="24"/>
      <c r="I11438" s="24"/>
      <c r="J11438" s="24"/>
      <c r="K11438" s="24"/>
      <c r="L11438" s="24"/>
      <c r="M11438" s="24"/>
      <c r="N11438" s="24"/>
      <c r="O11438" s="24"/>
      <c r="P11438" s="24"/>
      <c r="Q11438" s="24"/>
      <c r="R11438" s="24"/>
      <c r="S11438" s="24"/>
      <c r="T11438" s="24"/>
      <c r="U11438" s="24"/>
      <c r="V11438" s="24"/>
      <c r="W11438" s="24"/>
      <c r="X11438" s="24"/>
      <c r="Y11438" s="24"/>
      <c r="Z11438" s="24"/>
      <c r="AA11438" s="24"/>
    </row>
    <row r="11439">
      <c r="A11439" s="24"/>
      <c r="B11439" s="25"/>
      <c r="C11439" s="24"/>
      <c r="D11439" s="26"/>
      <c r="E11439" s="24"/>
      <c r="F11439" s="24"/>
      <c r="G11439" s="24"/>
      <c r="H11439" s="24"/>
      <c r="I11439" s="24"/>
      <c r="J11439" s="24"/>
      <c r="K11439" s="24"/>
      <c r="L11439" s="24"/>
      <c r="M11439" s="24"/>
      <c r="N11439" s="24"/>
      <c r="O11439" s="24"/>
      <c r="P11439" s="24"/>
      <c r="Q11439" s="24"/>
      <c r="R11439" s="24"/>
      <c r="S11439" s="24"/>
      <c r="T11439" s="24"/>
      <c r="U11439" s="24"/>
      <c r="V11439" s="24"/>
      <c r="W11439" s="24"/>
      <c r="X11439" s="24"/>
      <c r="Y11439" s="24"/>
      <c r="Z11439" s="24"/>
      <c r="AA11439" s="24"/>
    </row>
    <row r="11440">
      <c r="A11440" s="24"/>
      <c r="B11440" s="25"/>
      <c r="C11440" s="24"/>
      <c r="D11440" s="26"/>
      <c r="E11440" s="24"/>
      <c r="F11440" s="24"/>
      <c r="G11440" s="24"/>
      <c r="H11440" s="24"/>
      <c r="I11440" s="24"/>
      <c r="J11440" s="24"/>
      <c r="K11440" s="24"/>
      <c r="L11440" s="24"/>
      <c r="M11440" s="24"/>
      <c r="N11440" s="24"/>
      <c r="O11440" s="24"/>
      <c r="P11440" s="24"/>
      <c r="Q11440" s="24"/>
      <c r="R11440" s="24"/>
      <c r="S11440" s="24"/>
      <c r="T11440" s="24"/>
      <c r="U11440" s="24"/>
      <c r="V11440" s="24"/>
      <c r="W11440" s="24"/>
      <c r="X11440" s="24"/>
      <c r="Y11440" s="24"/>
      <c r="Z11440" s="24"/>
      <c r="AA11440" s="24"/>
    </row>
    <row r="11441">
      <c r="A11441" s="24"/>
      <c r="B11441" s="25"/>
      <c r="C11441" s="24"/>
      <c r="D11441" s="26"/>
      <c r="E11441" s="24"/>
      <c r="F11441" s="24"/>
      <c r="G11441" s="24"/>
      <c r="H11441" s="24"/>
      <c r="I11441" s="24"/>
      <c r="J11441" s="24"/>
      <c r="K11441" s="24"/>
      <c r="L11441" s="24"/>
      <c r="M11441" s="24"/>
      <c r="N11441" s="24"/>
      <c r="O11441" s="24"/>
      <c r="P11441" s="24"/>
      <c r="Q11441" s="24"/>
      <c r="R11441" s="24"/>
      <c r="S11441" s="24"/>
      <c r="T11441" s="24"/>
      <c r="U11441" s="24"/>
      <c r="V11441" s="24"/>
      <c r="W11441" s="24"/>
      <c r="X11441" s="24"/>
      <c r="Y11441" s="24"/>
      <c r="Z11441" s="24"/>
      <c r="AA11441" s="24"/>
    </row>
    <row r="11442">
      <c r="A11442" s="24"/>
      <c r="B11442" s="25"/>
      <c r="C11442" s="24"/>
      <c r="D11442" s="26"/>
      <c r="E11442" s="24"/>
      <c r="F11442" s="24"/>
      <c r="G11442" s="24"/>
      <c r="H11442" s="24"/>
      <c r="I11442" s="24"/>
      <c r="J11442" s="24"/>
      <c r="K11442" s="24"/>
      <c r="L11442" s="24"/>
      <c r="M11442" s="24"/>
      <c r="N11442" s="24"/>
      <c r="O11442" s="24"/>
      <c r="P11442" s="24"/>
      <c r="Q11442" s="24"/>
      <c r="R11442" s="24"/>
      <c r="S11442" s="24"/>
      <c r="T11442" s="24"/>
      <c r="U11442" s="24"/>
      <c r="V11442" s="24"/>
      <c r="W11442" s="24"/>
      <c r="X11442" s="24"/>
      <c r="Y11442" s="24"/>
      <c r="Z11442" s="24"/>
      <c r="AA11442" s="24"/>
    </row>
    <row r="11443">
      <c r="A11443" s="24"/>
      <c r="B11443" s="25"/>
      <c r="C11443" s="24"/>
      <c r="D11443" s="26"/>
      <c r="E11443" s="24"/>
      <c r="F11443" s="24"/>
      <c r="G11443" s="24"/>
      <c r="H11443" s="24"/>
      <c r="I11443" s="24"/>
      <c r="J11443" s="24"/>
      <c r="K11443" s="24"/>
      <c r="L11443" s="24"/>
      <c r="M11443" s="24"/>
      <c r="N11443" s="24"/>
      <c r="O11443" s="24"/>
      <c r="P11443" s="24"/>
      <c r="Q11443" s="24"/>
      <c r="R11443" s="24"/>
      <c r="S11443" s="24"/>
      <c r="T11443" s="24"/>
      <c r="U11443" s="24"/>
      <c r="V11443" s="24"/>
      <c r="W11443" s="24"/>
      <c r="X11443" s="24"/>
      <c r="Y11443" s="24"/>
      <c r="Z11443" s="24"/>
      <c r="AA11443" s="24"/>
    </row>
    <row r="11444">
      <c r="A11444" s="24"/>
      <c r="B11444" s="25"/>
      <c r="C11444" s="24"/>
      <c r="D11444" s="26"/>
      <c r="E11444" s="24"/>
      <c r="F11444" s="24"/>
      <c r="G11444" s="24"/>
      <c r="H11444" s="24"/>
      <c r="I11444" s="24"/>
      <c r="J11444" s="24"/>
      <c r="K11444" s="24"/>
      <c r="L11444" s="24"/>
      <c r="M11444" s="24"/>
      <c r="N11444" s="24"/>
      <c r="O11444" s="24"/>
      <c r="P11444" s="24"/>
      <c r="Q11444" s="24"/>
      <c r="R11444" s="24"/>
      <c r="S11444" s="24"/>
      <c r="T11444" s="24"/>
      <c r="U11444" s="24"/>
      <c r="V11444" s="24"/>
      <c r="W11444" s="24"/>
      <c r="X11444" s="24"/>
      <c r="Y11444" s="24"/>
      <c r="Z11444" s="24"/>
      <c r="AA11444" s="24"/>
    </row>
    <row r="11445">
      <c r="A11445" s="24"/>
      <c r="B11445" s="25"/>
      <c r="C11445" s="24"/>
      <c r="D11445" s="26"/>
      <c r="E11445" s="24"/>
      <c r="F11445" s="24"/>
      <c r="G11445" s="24"/>
      <c r="H11445" s="24"/>
      <c r="I11445" s="24"/>
      <c r="J11445" s="24"/>
      <c r="K11445" s="24"/>
      <c r="L11445" s="24"/>
      <c r="M11445" s="24"/>
      <c r="N11445" s="24"/>
      <c r="O11445" s="24"/>
      <c r="P11445" s="24"/>
      <c r="Q11445" s="24"/>
      <c r="R11445" s="24"/>
      <c r="S11445" s="24"/>
      <c r="T11445" s="24"/>
      <c r="U11445" s="24"/>
      <c r="V11445" s="24"/>
      <c r="W11445" s="24"/>
      <c r="X11445" s="24"/>
      <c r="Y11445" s="24"/>
      <c r="Z11445" s="24"/>
      <c r="AA11445" s="24"/>
    </row>
    <row r="11446">
      <c r="A11446" s="24"/>
      <c r="B11446" s="25"/>
      <c r="C11446" s="24"/>
      <c r="D11446" s="26"/>
      <c r="E11446" s="24"/>
      <c r="F11446" s="24"/>
      <c r="G11446" s="24"/>
      <c r="H11446" s="24"/>
      <c r="I11446" s="24"/>
      <c r="J11446" s="24"/>
      <c r="K11446" s="24"/>
      <c r="L11446" s="24"/>
      <c r="M11446" s="24"/>
      <c r="N11446" s="24"/>
      <c r="O11446" s="24"/>
      <c r="P11446" s="24"/>
      <c r="Q11446" s="24"/>
      <c r="R11446" s="24"/>
      <c r="S11446" s="24"/>
      <c r="T11446" s="24"/>
      <c r="U11446" s="24"/>
      <c r="V11446" s="24"/>
      <c r="W11446" s="24"/>
      <c r="X11446" s="24"/>
      <c r="Y11446" s="24"/>
      <c r="Z11446" s="24"/>
      <c r="AA11446" s="24"/>
    </row>
    <row r="11447">
      <c r="A11447" s="24"/>
      <c r="B11447" s="25"/>
      <c r="C11447" s="24"/>
      <c r="D11447" s="26"/>
      <c r="E11447" s="24"/>
      <c r="F11447" s="24"/>
      <c r="G11447" s="24"/>
      <c r="H11447" s="24"/>
      <c r="I11447" s="24"/>
      <c r="J11447" s="24"/>
      <c r="K11447" s="24"/>
      <c r="L11447" s="24"/>
      <c r="M11447" s="24"/>
      <c r="N11447" s="24"/>
      <c r="O11447" s="24"/>
      <c r="P11447" s="24"/>
      <c r="Q11447" s="24"/>
      <c r="R11447" s="24"/>
      <c r="S11447" s="24"/>
      <c r="T11447" s="24"/>
      <c r="U11447" s="24"/>
      <c r="V11447" s="24"/>
      <c r="W11447" s="24"/>
      <c r="X11447" s="24"/>
      <c r="Y11447" s="24"/>
      <c r="Z11447" s="24"/>
      <c r="AA11447" s="24"/>
    </row>
    <row r="11448">
      <c r="A11448" s="24"/>
      <c r="B11448" s="25"/>
      <c r="C11448" s="24"/>
      <c r="D11448" s="26"/>
      <c r="E11448" s="24"/>
      <c r="F11448" s="24"/>
      <c r="G11448" s="24"/>
      <c r="H11448" s="24"/>
      <c r="I11448" s="24"/>
      <c r="J11448" s="24"/>
      <c r="K11448" s="24"/>
      <c r="L11448" s="24"/>
      <c r="M11448" s="24"/>
      <c r="N11448" s="24"/>
      <c r="O11448" s="24"/>
      <c r="P11448" s="24"/>
      <c r="Q11448" s="24"/>
      <c r="R11448" s="24"/>
      <c r="S11448" s="24"/>
      <c r="T11448" s="24"/>
      <c r="U11448" s="24"/>
      <c r="V11448" s="24"/>
      <c r="W11448" s="24"/>
      <c r="X11448" s="24"/>
      <c r="Y11448" s="24"/>
      <c r="Z11448" s="24"/>
      <c r="AA11448" s="24"/>
    </row>
    <row r="11449">
      <c r="A11449" s="24"/>
      <c r="B11449" s="25"/>
      <c r="C11449" s="24"/>
      <c r="D11449" s="26"/>
      <c r="E11449" s="24"/>
      <c r="F11449" s="24"/>
      <c r="G11449" s="24"/>
      <c r="H11449" s="24"/>
      <c r="I11449" s="24"/>
      <c r="J11449" s="24"/>
      <c r="K11449" s="24"/>
      <c r="L11449" s="24"/>
      <c r="M11449" s="24"/>
      <c r="N11449" s="24"/>
      <c r="O11449" s="24"/>
      <c r="P11449" s="24"/>
      <c r="Q11449" s="24"/>
      <c r="R11449" s="24"/>
      <c r="S11449" s="24"/>
      <c r="T11449" s="24"/>
      <c r="U11449" s="24"/>
      <c r="V11449" s="24"/>
      <c r="W11449" s="24"/>
      <c r="X11449" s="24"/>
      <c r="Y11449" s="24"/>
      <c r="Z11449" s="24"/>
      <c r="AA11449" s="24"/>
    </row>
    <row r="11450">
      <c r="A11450" s="24"/>
      <c r="B11450" s="25"/>
      <c r="C11450" s="24"/>
      <c r="D11450" s="26"/>
      <c r="E11450" s="24"/>
      <c r="F11450" s="24"/>
      <c r="G11450" s="24"/>
      <c r="H11450" s="24"/>
      <c r="I11450" s="24"/>
      <c r="J11450" s="24"/>
      <c r="K11450" s="24"/>
      <c r="L11450" s="24"/>
      <c r="M11450" s="24"/>
      <c r="N11450" s="24"/>
      <c r="O11450" s="24"/>
      <c r="P11450" s="24"/>
      <c r="Q11450" s="24"/>
      <c r="R11450" s="24"/>
      <c r="S11450" s="24"/>
      <c r="T11450" s="24"/>
      <c r="U11450" s="24"/>
      <c r="V11450" s="24"/>
      <c r="W11450" s="24"/>
      <c r="X11450" s="24"/>
      <c r="Y11450" s="24"/>
      <c r="Z11450" s="24"/>
      <c r="AA11450" s="24"/>
    </row>
    <row r="11451">
      <c r="A11451" s="24"/>
      <c r="B11451" s="25"/>
      <c r="C11451" s="24"/>
      <c r="D11451" s="26"/>
      <c r="E11451" s="24"/>
      <c r="F11451" s="24"/>
      <c r="G11451" s="24"/>
      <c r="H11451" s="24"/>
      <c r="I11451" s="24"/>
      <c r="J11451" s="24"/>
      <c r="K11451" s="24"/>
      <c r="L11451" s="24"/>
      <c r="M11451" s="24"/>
      <c r="N11451" s="24"/>
      <c r="O11451" s="24"/>
      <c r="P11451" s="24"/>
      <c r="Q11451" s="24"/>
      <c r="R11451" s="24"/>
      <c r="S11451" s="24"/>
      <c r="T11451" s="24"/>
      <c r="U11451" s="24"/>
      <c r="V11451" s="24"/>
      <c r="W11451" s="24"/>
      <c r="X11451" s="24"/>
      <c r="Y11451" s="24"/>
      <c r="Z11451" s="24"/>
      <c r="AA11451" s="24"/>
    </row>
    <row r="11452">
      <c r="A11452" s="24"/>
      <c r="B11452" s="25"/>
      <c r="C11452" s="24"/>
      <c r="D11452" s="26"/>
      <c r="E11452" s="24"/>
      <c r="F11452" s="24"/>
      <c r="G11452" s="24"/>
      <c r="H11452" s="24"/>
      <c r="I11452" s="24"/>
      <c r="J11452" s="24"/>
      <c r="K11452" s="24"/>
      <c r="L11452" s="24"/>
      <c r="M11452" s="24"/>
      <c r="N11452" s="24"/>
      <c r="O11452" s="24"/>
      <c r="P11452" s="24"/>
      <c r="Q11452" s="24"/>
      <c r="R11452" s="24"/>
      <c r="S11452" s="24"/>
      <c r="T11452" s="24"/>
      <c r="U11452" s="24"/>
      <c r="V11452" s="24"/>
      <c r="W11452" s="24"/>
      <c r="X11452" s="24"/>
      <c r="Y11452" s="24"/>
      <c r="Z11452" s="24"/>
      <c r="AA11452" s="24"/>
    </row>
    <row r="11453">
      <c r="A11453" s="24"/>
      <c r="B11453" s="25"/>
      <c r="C11453" s="24"/>
      <c r="D11453" s="26"/>
      <c r="E11453" s="24"/>
      <c r="F11453" s="24"/>
      <c r="G11453" s="24"/>
      <c r="H11453" s="24"/>
      <c r="I11453" s="24"/>
      <c r="J11453" s="24"/>
      <c r="K11453" s="24"/>
      <c r="L11453" s="24"/>
      <c r="M11453" s="24"/>
      <c r="N11453" s="24"/>
      <c r="O11453" s="24"/>
      <c r="P11453" s="24"/>
      <c r="Q11453" s="24"/>
      <c r="R11453" s="24"/>
      <c r="S11453" s="24"/>
      <c r="T11453" s="24"/>
      <c r="U11453" s="24"/>
      <c r="V11453" s="24"/>
      <c r="W11453" s="24"/>
      <c r="X11453" s="24"/>
      <c r="Y11453" s="24"/>
      <c r="Z11453" s="24"/>
      <c r="AA11453" s="24"/>
    </row>
    <row r="11454">
      <c r="A11454" s="24"/>
      <c r="B11454" s="25"/>
      <c r="C11454" s="24"/>
      <c r="D11454" s="26"/>
      <c r="E11454" s="24"/>
      <c r="F11454" s="24"/>
      <c r="G11454" s="24"/>
      <c r="H11454" s="24"/>
      <c r="I11454" s="24"/>
      <c r="J11454" s="24"/>
      <c r="K11454" s="24"/>
      <c r="L11454" s="24"/>
      <c r="M11454" s="24"/>
      <c r="N11454" s="24"/>
      <c r="O11454" s="24"/>
      <c r="P11454" s="24"/>
      <c r="Q11454" s="24"/>
      <c r="R11454" s="24"/>
      <c r="S11454" s="24"/>
      <c r="T11454" s="24"/>
      <c r="U11454" s="24"/>
      <c r="V11454" s="24"/>
      <c r="W11454" s="24"/>
      <c r="X11454" s="24"/>
      <c r="Y11454" s="24"/>
      <c r="Z11454" s="24"/>
      <c r="AA11454" s="24"/>
    </row>
    <row r="11455">
      <c r="A11455" s="24"/>
      <c r="B11455" s="25"/>
      <c r="C11455" s="24"/>
      <c r="D11455" s="26"/>
      <c r="E11455" s="24"/>
      <c r="F11455" s="24"/>
      <c r="G11455" s="24"/>
      <c r="H11455" s="24"/>
      <c r="I11455" s="24"/>
      <c r="J11455" s="24"/>
      <c r="K11455" s="24"/>
      <c r="L11455" s="24"/>
      <c r="M11455" s="24"/>
      <c r="N11455" s="24"/>
      <c r="O11455" s="24"/>
      <c r="P11455" s="24"/>
      <c r="Q11455" s="24"/>
      <c r="R11455" s="24"/>
      <c r="S11455" s="24"/>
      <c r="T11455" s="24"/>
      <c r="U11455" s="24"/>
      <c r="V11455" s="24"/>
      <c r="W11455" s="24"/>
      <c r="X11455" s="24"/>
      <c r="Y11455" s="24"/>
      <c r="Z11455" s="24"/>
      <c r="AA11455" s="24"/>
    </row>
    <row r="11456">
      <c r="A11456" s="24"/>
      <c r="B11456" s="25"/>
      <c r="C11456" s="24"/>
      <c r="D11456" s="26"/>
      <c r="E11456" s="24"/>
      <c r="F11456" s="24"/>
      <c r="G11456" s="24"/>
      <c r="H11456" s="24"/>
      <c r="I11456" s="24"/>
      <c r="J11456" s="24"/>
      <c r="K11456" s="24"/>
      <c r="L11456" s="24"/>
      <c r="M11456" s="24"/>
      <c r="N11456" s="24"/>
      <c r="O11456" s="24"/>
      <c r="P11456" s="24"/>
      <c r="Q11456" s="24"/>
      <c r="R11456" s="24"/>
      <c r="S11456" s="24"/>
      <c r="T11456" s="24"/>
      <c r="U11456" s="24"/>
      <c r="V11456" s="24"/>
      <c r="W11456" s="24"/>
      <c r="X11456" s="24"/>
      <c r="Y11456" s="24"/>
      <c r="Z11456" s="24"/>
      <c r="AA11456" s="24"/>
    </row>
    <row r="11457">
      <c r="A11457" s="24"/>
      <c r="B11457" s="25"/>
      <c r="C11457" s="24"/>
      <c r="D11457" s="26"/>
      <c r="E11457" s="24"/>
      <c r="F11457" s="24"/>
      <c r="G11457" s="24"/>
      <c r="H11457" s="24"/>
      <c r="I11457" s="24"/>
      <c r="J11457" s="24"/>
      <c r="K11457" s="24"/>
      <c r="L11457" s="24"/>
      <c r="M11457" s="24"/>
      <c r="N11457" s="24"/>
      <c r="O11457" s="24"/>
      <c r="P11457" s="24"/>
      <c r="Q11457" s="24"/>
      <c r="R11457" s="24"/>
      <c r="S11457" s="24"/>
      <c r="T11457" s="24"/>
      <c r="U11457" s="24"/>
      <c r="V11457" s="24"/>
      <c r="W11457" s="24"/>
      <c r="X11457" s="24"/>
      <c r="Y11457" s="24"/>
      <c r="Z11457" s="24"/>
      <c r="AA11457" s="24"/>
    </row>
    <row r="11458">
      <c r="A11458" s="24"/>
      <c r="B11458" s="25"/>
      <c r="C11458" s="24"/>
      <c r="D11458" s="26"/>
      <c r="E11458" s="24"/>
      <c r="F11458" s="24"/>
      <c r="G11458" s="24"/>
      <c r="H11458" s="24"/>
      <c r="I11458" s="24"/>
      <c r="J11458" s="24"/>
      <c r="K11458" s="24"/>
      <c r="L11458" s="24"/>
      <c r="M11458" s="24"/>
      <c r="N11458" s="24"/>
      <c r="O11458" s="24"/>
      <c r="P11458" s="24"/>
      <c r="Q11458" s="24"/>
      <c r="R11458" s="24"/>
      <c r="S11458" s="24"/>
      <c r="T11458" s="24"/>
      <c r="U11458" s="24"/>
      <c r="V11458" s="24"/>
      <c r="W11458" s="24"/>
      <c r="X11458" s="24"/>
      <c r="Y11458" s="24"/>
      <c r="Z11458" s="24"/>
      <c r="AA11458" s="24"/>
    </row>
    <row r="11459">
      <c r="A11459" s="24"/>
      <c r="B11459" s="25"/>
      <c r="C11459" s="24"/>
      <c r="D11459" s="26"/>
      <c r="E11459" s="24"/>
      <c r="F11459" s="24"/>
      <c r="G11459" s="24"/>
      <c r="H11459" s="24"/>
      <c r="I11459" s="24"/>
      <c r="J11459" s="24"/>
      <c r="K11459" s="24"/>
      <c r="L11459" s="24"/>
      <c r="M11459" s="24"/>
      <c r="N11459" s="24"/>
      <c r="O11459" s="24"/>
      <c r="P11459" s="24"/>
      <c r="Q11459" s="24"/>
      <c r="R11459" s="24"/>
      <c r="S11459" s="24"/>
      <c r="T11459" s="24"/>
      <c r="U11459" s="24"/>
      <c r="V11459" s="24"/>
      <c r="W11459" s="24"/>
      <c r="X11459" s="24"/>
      <c r="Y11459" s="24"/>
      <c r="Z11459" s="24"/>
      <c r="AA11459" s="24"/>
    </row>
    <row r="11460">
      <c r="A11460" s="24"/>
      <c r="B11460" s="25"/>
      <c r="C11460" s="24"/>
      <c r="D11460" s="26"/>
      <c r="E11460" s="24"/>
      <c r="F11460" s="24"/>
      <c r="G11460" s="24"/>
      <c r="H11460" s="24"/>
      <c r="I11460" s="24"/>
      <c r="J11460" s="24"/>
      <c r="K11460" s="24"/>
      <c r="L11460" s="24"/>
      <c r="M11460" s="24"/>
      <c r="N11460" s="24"/>
      <c r="O11460" s="24"/>
      <c r="P11460" s="24"/>
      <c r="Q11460" s="24"/>
      <c r="R11460" s="24"/>
      <c r="S11460" s="24"/>
      <c r="T11460" s="24"/>
      <c r="U11460" s="24"/>
      <c r="V11460" s="24"/>
      <c r="W11460" s="24"/>
      <c r="X11460" s="24"/>
      <c r="Y11460" s="24"/>
      <c r="Z11460" s="24"/>
      <c r="AA11460" s="24"/>
    </row>
    <row r="11461">
      <c r="A11461" s="24"/>
      <c r="B11461" s="25"/>
      <c r="C11461" s="24"/>
      <c r="D11461" s="26"/>
      <c r="E11461" s="24"/>
      <c r="F11461" s="24"/>
      <c r="G11461" s="24"/>
      <c r="H11461" s="24"/>
      <c r="I11461" s="24"/>
      <c r="J11461" s="24"/>
      <c r="K11461" s="24"/>
      <c r="L11461" s="24"/>
      <c r="M11461" s="24"/>
      <c r="N11461" s="24"/>
      <c r="O11461" s="24"/>
      <c r="P11461" s="24"/>
      <c r="Q11461" s="24"/>
      <c r="R11461" s="24"/>
      <c r="S11461" s="24"/>
      <c r="T11461" s="24"/>
      <c r="U11461" s="24"/>
      <c r="V11461" s="24"/>
      <c r="W11461" s="24"/>
      <c r="X11461" s="24"/>
      <c r="Y11461" s="24"/>
      <c r="Z11461" s="24"/>
      <c r="AA11461" s="24"/>
    </row>
    <row r="11462">
      <c r="A11462" s="24"/>
      <c r="B11462" s="25"/>
      <c r="C11462" s="24"/>
      <c r="D11462" s="26"/>
      <c r="E11462" s="24"/>
      <c r="F11462" s="24"/>
      <c r="G11462" s="24"/>
      <c r="H11462" s="24"/>
      <c r="I11462" s="24"/>
      <c r="J11462" s="24"/>
      <c r="K11462" s="24"/>
      <c r="L11462" s="24"/>
      <c r="M11462" s="24"/>
      <c r="N11462" s="24"/>
      <c r="O11462" s="24"/>
      <c r="P11462" s="24"/>
      <c r="Q11462" s="24"/>
      <c r="R11462" s="24"/>
      <c r="S11462" s="24"/>
      <c r="T11462" s="24"/>
      <c r="U11462" s="24"/>
      <c r="V11462" s="24"/>
      <c r="W11462" s="24"/>
      <c r="X11462" s="24"/>
      <c r="Y11462" s="24"/>
      <c r="Z11462" s="24"/>
      <c r="AA11462" s="24"/>
    </row>
    <row r="11463">
      <c r="A11463" s="24"/>
      <c r="B11463" s="25"/>
      <c r="C11463" s="24"/>
      <c r="D11463" s="26"/>
      <c r="E11463" s="24"/>
      <c r="F11463" s="24"/>
      <c r="G11463" s="24"/>
      <c r="H11463" s="24"/>
      <c r="I11463" s="24"/>
      <c r="J11463" s="24"/>
      <c r="K11463" s="24"/>
      <c r="L11463" s="24"/>
      <c r="M11463" s="24"/>
      <c r="N11463" s="24"/>
      <c r="O11463" s="24"/>
      <c r="P11463" s="24"/>
      <c r="Q11463" s="24"/>
      <c r="R11463" s="24"/>
      <c r="S11463" s="24"/>
      <c r="T11463" s="24"/>
      <c r="U11463" s="24"/>
      <c r="V11463" s="24"/>
      <c r="W11463" s="24"/>
      <c r="X11463" s="24"/>
      <c r="Y11463" s="24"/>
      <c r="Z11463" s="24"/>
      <c r="AA11463" s="24"/>
    </row>
    <row r="11464">
      <c r="A11464" s="24"/>
      <c r="B11464" s="25"/>
      <c r="C11464" s="24"/>
      <c r="D11464" s="26"/>
      <c r="E11464" s="24"/>
      <c r="F11464" s="24"/>
      <c r="G11464" s="24"/>
      <c r="H11464" s="24"/>
      <c r="I11464" s="24"/>
      <c r="J11464" s="24"/>
      <c r="K11464" s="24"/>
      <c r="L11464" s="24"/>
      <c r="M11464" s="24"/>
      <c r="N11464" s="24"/>
      <c r="O11464" s="24"/>
      <c r="P11464" s="24"/>
      <c r="Q11464" s="24"/>
      <c r="R11464" s="24"/>
      <c r="S11464" s="24"/>
      <c r="T11464" s="24"/>
      <c r="U11464" s="24"/>
      <c r="V11464" s="24"/>
      <c r="W11464" s="24"/>
      <c r="X11464" s="24"/>
      <c r="Y11464" s="24"/>
      <c r="Z11464" s="24"/>
      <c r="AA11464" s="24"/>
    </row>
    <row r="11465">
      <c r="A11465" s="24"/>
      <c r="B11465" s="25"/>
      <c r="C11465" s="24"/>
      <c r="D11465" s="26"/>
      <c r="E11465" s="24"/>
      <c r="F11465" s="24"/>
      <c r="G11465" s="24"/>
      <c r="H11465" s="24"/>
      <c r="I11465" s="24"/>
      <c r="J11465" s="24"/>
      <c r="K11465" s="24"/>
      <c r="L11465" s="24"/>
      <c r="M11465" s="24"/>
      <c r="N11465" s="24"/>
      <c r="O11465" s="24"/>
      <c r="P11465" s="24"/>
      <c r="Q11465" s="24"/>
      <c r="R11465" s="24"/>
      <c r="S11465" s="24"/>
      <c r="T11465" s="24"/>
      <c r="U11465" s="24"/>
      <c r="V11465" s="24"/>
      <c r="W11465" s="24"/>
      <c r="X11465" s="24"/>
      <c r="Y11465" s="24"/>
      <c r="Z11465" s="24"/>
      <c r="AA11465" s="24"/>
    </row>
    <row r="11466">
      <c r="A11466" s="24"/>
      <c r="B11466" s="25"/>
      <c r="C11466" s="24"/>
      <c r="D11466" s="26"/>
      <c r="E11466" s="24"/>
      <c r="F11466" s="24"/>
      <c r="G11466" s="24"/>
      <c r="H11466" s="24"/>
      <c r="I11466" s="24"/>
      <c r="J11466" s="24"/>
      <c r="K11466" s="24"/>
      <c r="L11466" s="24"/>
      <c r="M11466" s="24"/>
      <c r="N11466" s="24"/>
      <c r="O11466" s="24"/>
      <c r="P11466" s="24"/>
      <c r="Q11466" s="24"/>
      <c r="R11466" s="24"/>
      <c r="S11466" s="24"/>
      <c r="T11466" s="24"/>
      <c r="U11466" s="24"/>
      <c r="V11466" s="24"/>
      <c r="W11466" s="24"/>
      <c r="X11466" s="24"/>
      <c r="Y11466" s="24"/>
      <c r="Z11466" s="24"/>
      <c r="AA11466" s="24"/>
    </row>
    <row r="11467">
      <c r="A11467" s="24"/>
      <c r="B11467" s="25"/>
      <c r="C11467" s="24"/>
      <c r="D11467" s="26"/>
      <c r="E11467" s="24"/>
      <c r="F11467" s="24"/>
      <c r="G11467" s="24"/>
      <c r="H11467" s="24"/>
      <c r="I11467" s="24"/>
      <c r="J11467" s="24"/>
      <c r="K11467" s="24"/>
      <c r="L11467" s="24"/>
      <c r="M11467" s="24"/>
      <c r="N11467" s="24"/>
      <c r="O11467" s="24"/>
      <c r="P11467" s="24"/>
      <c r="Q11467" s="24"/>
      <c r="R11467" s="24"/>
      <c r="S11467" s="24"/>
      <c r="T11467" s="24"/>
      <c r="U11467" s="24"/>
      <c r="V11467" s="24"/>
      <c r="W11467" s="24"/>
      <c r="X11467" s="24"/>
      <c r="Y11467" s="24"/>
      <c r="Z11467" s="24"/>
      <c r="AA11467" s="24"/>
    </row>
    <row r="11468">
      <c r="A11468" s="24"/>
      <c r="B11468" s="25"/>
      <c r="C11468" s="24"/>
      <c r="D11468" s="26"/>
      <c r="E11468" s="24"/>
      <c r="F11468" s="24"/>
      <c r="G11468" s="24"/>
      <c r="H11468" s="24"/>
      <c r="I11468" s="24"/>
      <c r="J11468" s="24"/>
      <c r="K11468" s="24"/>
      <c r="L11468" s="24"/>
      <c r="M11468" s="24"/>
      <c r="N11468" s="24"/>
      <c r="O11468" s="24"/>
      <c r="P11468" s="24"/>
      <c r="Q11468" s="24"/>
      <c r="R11468" s="24"/>
      <c r="S11468" s="24"/>
      <c r="T11468" s="24"/>
      <c r="U11468" s="24"/>
      <c r="V11468" s="24"/>
      <c r="W11468" s="24"/>
      <c r="X11468" s="24"/>
      <c r="Y11468" s="24"/>
      <c r="Z11468" s="24"/>
      <c r="AA11468" s="24"/>
    </row>
    <row r="11469">
      <c r="A11469" s="24"/>
      <c r="B11469" s="25"/>
      <c r="C11469" s="24"/>
      <c r="D11469" s="26"/>
      <c r="E11469" s="24"/>
      <c r="F11469" s="24"/>
      <c r="G11469" s="24"/>
      <c r="H11469" s="24"/>
      <c r="I11469" s="24"/>
      <c r="J11469" s="24"/>
      <c r="K11469" s="24"/>
      <c r="L11469" s="24"/>
      <c r="M11469" s="24"/>
      <c r="N11469" s="24"/>
      <c r="O11469" s="24"/>
      <c r="P11469" s="24"/>
      <c r="Q11469" s="24"/>
      <c r="R11469" s="24"/>
      <c r="S11469" s="24"/>
      <c r="T11469" s="24"/>
      <c r="U11469" s="24"/>
      <c r="V11469" s="24"/>
      <c r="W11469" s="24"/>
      <c r="X11469" s="24"/>
      <c r="Y11469" s="24"/>
      <c r="Z11469" s="24"/>
      <c r="AA11469" s="24"/>
    </row>
    <row r="11470">
      <c r="A11470" s="24"/>
      <c r="B11470" s="25"/>
      <c r="C11470" s="24"/>
      <c r="D11470" s="26"/>
      <c r="E11470" s="24"/>
      <c r="F11470" s="24"/>
      <c r="G11470" s="24"/>
      <c r="H11470" s="24"/>
      <c r="I11470" s="24"/>
      <c r="J11470" s="24"/>
      <c r="K11470" s="24"/>
      <c r="L11470" s="24"/>
      <c r="M11470" s="24"/>
      <c r="N11470" s="24"/>
      <c r="O11470" s="24"/>
      <c r="P11470" s="24"/>
      <c r="Q11470" s="24"/>
      <c r="R11470" s="24"/>
      <c r="S11470" s="24"/>
      <c r="T11470" s="24"/>
      <c r="U11470" s="24"/>
      <c r="V11470" s="24"/>
      <c r="W11470" s="24"/>
      <c r="X11470" s="24"/>
      <c r="Y11470" s="24"/>
      <c r="Z11470" s="24"/>
      <c r="AA11470" s="24"/>
    </row>
    <row r="11471">
      <c r="A11471" s="24"/>
      <c r="B11471" s="25"/>
      <c r="C11471" s="24"/>
      <c r="D11471" s="26"/>
      <c r="E11471" s="24"/>
      <c r="F11471" s="24"/>
      <c r="G11471" s="24"/>
      <c r="H11471" s="24"/>
      <c r="I11471" s="24"/>
      <c r="J11471" s="24"/>
      <c r="K11471" s="24"/>
      <c r="L11471" s="24"/>
      <c r="M11471" s="24"/>
      <c r="N11471" s="24"/>
      <c r="O11471" s="24"/>
      <c r="P11471" s="24"/>
      <c r="Q11471" s="24"/>
      <c r="R11471" s="24"/>
      <c r="S11471" s="24"/>
      <c r="T11471" s="24"/>
      <c r="U11471" s="24"/>
      <c r="V11471" s="24"/>
      <c r="W11471" s="24"/>
      <c r="X11471" s="24"/>
      <c r="Y11471" s="24"/>
      <c r="Z11471" s="24"/>
      <c r="AA11471" s="24"/>
    </row>
    <row r="11472">
      <c r="A11472" s="24"/>
      <c r="B11472" s="25"/>
      <c r="C11472" s="24"/>
      <c r="D11472" s="26"/>
      <c r="E11472" s="24"/>
      <c r="F11472" s="24"/>
      <c r="G11472" s="24"/>
      <c r="H11472" s="24"/>
      <c r="I11472" s="24"/>
      <c r="J11472" s="24"/>
      <c r="K11472" s="24"/>
      <c r="L11472" s="24"/>
      <c r="M11472" s="24"/>
      <c r="N11472" s="24"/>
      <c r="O11472" s="24"/>
      <c r="P11472" s="24"/>
      <c r="Q11472" s="24"/>
      <c r="R11472" s="24"/>
      <c r="S11472" s="24"/>
      <c r="T11472" s="24"/>
      <c r="U11472" s="24"/>
      <c r="V11472" s="24"/>
      <c r="W11472" s="24"/>
      <c r="X11472" s="24"/>
      <c r="Y11472" s="24"/>
      <c r="Z11472" s="24"/>
      <c r="AA11472" s="24"/>
    </row>
    <row r="11473">
      <c r="A11473" s="24"/>
      <c r="B11473" s="25"/>
      <c r="C11473" s="24"/>
      <c r="D11473" s="26"/>
      <c r="E11473" s="24"/>
      <c r="F11473" s="24"/>
      <c r="G11473" s="24"/>
      <c r="H11473" s="24"/>
      <c r="I11473" s="24"/>
      <c r="J11473" s="24"/>
      <c r="K11473" s="24"/>
      <c r="L11473" s="24"/>
      <c r="M11473" s="24"/>
      <c r="N11473" s="24"/>
      <c r="O11473" s="24"/>
      <c r="P11473" s="24"/>
      <c r="Q11473" s="24"/>
      <c r="R11473" s="24"/>
      <c r="S11473" s="24"/>
      <c r="T11473" s="24"/>
      <c r="U11473" s="24"/>
      <c r="V11473" s="24"/>
      <c r="W11473" s="24"/>
      <c r="X11473" s="24"/>
      <c r="Y11473" s="24"/>
      <c r="Z11473" s="24"/>
      <c r="AA11473" s="24"/>
    </row>
    <row r="11474">
      <c r="A11474" s="24"/>
      <c r="B11474" s="25"/>
      <c r="C11474" s="24"/>
      <c r="D11474" s="26"/>
      <c r="E11474" s="24"/>
      <c r="F11474" s="24"/>
      <c r="G11474" s="24"/>
      <c r="H11474" s="24"/>
      <c r="I11474" s="24"/>
      <c r="J11474" s="24"/>
      <c r="K11474" s="24"/>
      <c r="L11474" s="24"/>
      <c r="M11474" s="24"/>
      <c r="N11474" s="24"/>
      <c r="O11474" s="24"/>
      <c r="P11474" s="24"/>
      <c r="Q11474" s="24"/>
      <c r="R11474" s="24"/>
      <c r="S11474" s="24"/>
      <c r="T11474" s="24"/>
      <c r="U11474" s="24"/>
      <c r="V11474" s="24"/>
      <c r="W11474" s="24"/>
      <c r="X11474" s="24"/>
      <c r="Y11474" s="24"/>
      <c r="Z11474" s="24"/>
      <c r="AA11474" s="24"/>
    </row>
    <row r="11475">
      <c r="A11475" s="24"/>
      <c r="B11475" s="25"/>
      <c r="C11475" s="24"/>
      <c r="D11475" s="26"/>
      <c r="E11475" s="24"/>
      <c r="F11475" s="24"/>
      <c r="G11475" s="24"/>
      <c r="H11475" s="24"/>
      <c r="I11475" s="24"/>
      <c r="J11475" s="24"/>
      <c r="K11475" s="24"/>
      <c r="L11475" s="24"/>
      <c r="M11475" s="24"/>
      <c r="N11475" s="24"/>
      <c r="O11475" s="24"/>
      <c r="P11475" s="24"/>
      <c r="Q11475" s="24"/>
      <c r="R11475" s="24"/>
      <c r="S11475" s="24"/>
      <c r="T11475" s="24"/>
      <c r="U11475" s="24"/>
      <c r="V11475" s="24"/>
      <c r="W11475" s="24"/>
      <c r="X11475" s="24"/>
      <c r="Y11475" s="24"/>
      <c r="Z11475" s="24"/>
      <c r="AA11475" s="24"/>
    </row>
    <row r="11476">
      <c r="A11476" s="24"/>
      <c r="B11476" s="25"/>
      <c r="C11476" s="24"/>
      <c r="D11476" s="26"/>
      <c r="E11476" s="24"/>
      <c r="F11476" s="24"/>
      <c r="G11476" s="24"/>
      <c r="H11476" s="24"/>
      <c r="I11476" s="24"/>
      <c r="J11476" s="24"/>
      <c r="K11476" s="24"/>
      <c r="L11476" s="24"/>
      <c r="M11476" s="24"/>
      <c r="N11476" s="24"/>
      <c r="O11476" s="24"/>
      <c r="P11476" s="24"/>
      <c r="Q11476" s="24"/>
      <c r="R11476" s="24"/>
      <c r="S11476" s="24"/>
      <c r="T11476" s="24"/>
      <c r="U11476" s="24"/>
      <c r="V11476" s="24"/>
      <c r="W11476" s="24"/>
      <c r="X11476" s="24"/>
      <c r="Y11476" s="24"/>
      <c r="Z11476" s="24"/>
      <c r="AA11476" s="24"/>
    </row>
    <row r="11477">
      <c r="A11477" s="24"/>
      <c r="B11477" s="25"/>
      <c r="C11477" s="24"/>
      <c r="D11477" s="26"/>
      <c r="E11477" s="24"/>
      <c r="F11477" s="24"/>
      <c r="G11477" s="24"/>
      <c r="H11477" s="24"/>
      <c r="I11477" s="24"/>
      <c r="J11477" s="24"/>
      <c r="K11477" s="24"/>
      <c r="L11477" s="24"/>
      <c r="M11477" s="24"/>
      <c r="N11477" s="24"/>
      <c r="O11477" s="24"/>
      <c r="P11477" s="24"/>
      <c r="Q11477" s="24"/>
      <c r="R11477" s="24"/>
      <c r="S11477" s="24"/>
      <c r="T11477" s="24"/>
      <c r="U11477" s="24"/>
      <c r="V11477" s="24"/>
      <c r="W11477" s="24"/>
      <c r="X11477" s="24"/>
      <c r="Y11477" s="24"/>
      <c r="Z11477" s="24"/>
      <c r="AA11477" s="24"/>
    </row>
    <row r="11478">
      <c r="A11478" s="24"/>
      <c r="B11478" s="25"/>
      <c r="C11478" s="24"/>
      <c r="D11478" s="26"/>
      <c r="E11478" s="24"/>
      <c r="F11478" s="24"/>
      <c r="G11478" s="24"/>
      <c r="H11478" s="24"/>
      <c r="I11478" s="24"/>
      <c r="J11478" s="24"/>
      <c r="K11478" s="24"/>
      <c r="L11478" s="24"/>
      <c r="M11478" s="24"/>
      <c r="N11478" s="24"/>
      <c r="O11478" s="24"/>
      <c r="P11478" s="24"/>
      <c r="Q11478" s="24"/>
      <c r="R11478" s="24"/>
      <c r="S11478" s="24"/>
      <c r="T11478" s="24"/>
      <c r="U11478" s="24"/>
      <c r="V11478" s="24"/>
      <c r="W11478" s="24"/>
      <c r="X11478" s="24"/>
      <c r="Y11478" s="24"/>
      <c r="Z11478" s="24"/>
      <c r="AA11478" s="24"/>
    </row>
    <row r="11479">
      <c r="A11479" s="24"/>
      <c r="B11479" s="25"/>
      <c r="C11479" s="24"/>
      <c r="D11479" s="26"/>
      <c r="E11479" s="24"/>
      <c r="F11479" s="24"/>
      <c r="G11479" s="24"/>
      <c r="H11479" s="24"/>
      <c r="I11479" s="24"/>
      <c r="J11479" s="24"/>
      <c r="K11479" s="24"/>
      <c r="L11479" s="24"/>
      <c r="M11479" s="24"/>
      <c r="N11479" s="24"/>
      <c r="O11479" s="24"/>
      <c r="P11479" s="24"/>
      <c r="Q11479" s="24"/>
      <c r="R11479" s="24"/>
      <c r="S11479" s="24"/>
      <c r="T11479" s="24"/>
      <c r="U11479" s="24"/>
      <c r="V11479" s="24"/>
      <c r="W11479" s="24"/>
      <c r="X11479" s="24"/>
      <c r="Y11479" s="24"/>
      <c r="Z11479" s="24"/>
      <c r="AA11479" s="24"/>
    </row>
    <row r="11480">
      <c r="A11480" s="24"/>
      <c r="B11480" s="25"/>
      <c r="C11480" s="24"/>
      <c r="D11480" s="26"/>
      <c r="E11480" s="24"/>
      <c r="F11480" s="24"/>
      <c r="G11480" s="24"/>
      <c r="H11480" s="24"/>
      <c r="I11480" s="24"/>
      <c r="J11480" s="24"/>
      <c r="K11480" s="24"/>
      <c r="L11480" s="24"/>
      <c r="M11480" s="24"/>
      <c r="N11480" s="24"/>
      <c r="O11480" s="24"/>
      <c r="P11480" s="24"/>
      <c r="Q11480" s="24"/>
      <c r="R11480" s="24"/>
      <c r="S11480" s="24"/>
      <c r="T11480" s="24"/>
      <c r="U11480" s="24"/>
      <c r="V11480" s="24"/>
      <c r="W11480" s="24"/>
      <c r="X11480" s="24"/>
      <c r="Y11480" s="24"/>
      <c r="Z11480" s="24"/>
      <c r="AA11480" s="24"/>
    </row>
    <row r="11481">
      <c r="A11481" s="24"/>
      <c r="B11481" s="25"/>
      <c r="C11481" s="24"/>
      <c r="D11481" s="26"/>
      <c r="E11481" s="24"/>
      <c r="F11481" s="24"/>
      <c r="G11481" s="24"/>
      <c r="H11481" s="24"/>
      <c r="I11481" s="24"/>
      <c r="J11481" s="24"/>
      <c r="K11481" s="24"/>
      <c r="L11481" s="24"/>
      <c r="M11481" s="24"/>
      <c r="N11481" s="24"/>
      <c r="O11481" s="24"/>
      <c r="P11481" s="24"/>
      <c r="Q11481" s="24"/>
      <c r="R11481" s="24"/>
      <c r="S11481" s="24"/>
      <c r="T11481" s="24"/>
      <c r="U11481" s="24"/>
      <c r="V11481" s="24"/>
      <c r="W11481" s="24"/>
      <c r="X11481" s="24"/>
      <c r="Y11481" s="24"/>
      <c r="Z11481" s="24"/>
      <c r="AA11481" s="24"/>
    </row>
    <row r="11482">
      <c r="A11482" s="24"/>
      <c r="B11482" s="25"/>
      <c r="C11482" s="24"/>
      <c r="D11482" s="26"/>
      <c r="E11482" s="24"/>
      <c r="F11482" s="24"/>
      <c r="G11482" s="24"/>
      <c r="H11482" s="24"/>
      <c r="I11482" s="24"/>
      <c r="J11482" s="24"/>
      <c r="K11482" s="24"/>
      <c r="L11482" s="24"/>
      <c r="M11482" s="24"/>
      <c r="N11482" s="24"/>
      <c r="O11482" s="24"/>
      <c r="P11482" s="24"/>
      <c r="Q11482" s="24"/>
      <c r="R11482" s="24"/>
      <c r="S11482" s="24"/>
      <c r="T11482" s="24"/>
      <c r="U11482" s="24"/>
      <c r="V11482" s="24"/>
      <c r="W11482" s="24"/>
      <c r="X11482" s="24"/>
      <c r="Y11482" s="24"/>
      <c r="Z11482" s="24"/>
      <c r="AA11482" s="24"/>
    </row>
    <row r="11483">
      <c r="A11483" s="24"/>
      <c r="B11483" s="25"/>
      <c r="C11483" s="24"/>
      <c r="D11483" s="26"/>
      <c r="E11483" s="24"/>
      <c r="F11483" s="24"/>
      <c r="G11483" s="24"/>
      <c r="H11483" s="24"/>
      <c r="I11483" s="24"/>
      <c r="J11483" s="24"/>
      <c r="K11483" s="24"/>
      <c r="L11483" s="24"/>
      <c r="M11483" s="24"/>
      <c r="N11483" s="24"/>
      <c r="O11483" s="24"/>
      <c r="P11483" s="24"/>
      <c r="Q11483" s="24"/>
      <c r="R11483" s="24"/>
      <c r="S11483" s="24"/>
      <c r="T11483" s="24"/>
      <c r="U11483" s="24"/>
      <c r="V11483" s="24"/>
      <c r="W11483" s="24"/>
      <c r="X11483" s="24"/>
      <c r="Y11483" s="24"/>
      <c r="Z11483" s="24"/>
      <c r="AA11483" s="24"/>
    </row>
    <row r="11484">
      <c r="A11484" s="24"/>
      <c r="B11484" s="25"/>
      <c r="C11484" s="24"/>
      <c r="D11484" s="26"/>
      <c r="E11484" s="24"/>
      <c r="F11484" s="24"/>
      <c r="G11484" s="24"/>
      <c r="H11484" s="24"/>
      <c r="I11484" s="24"/>
      <c r="J11484" s="24"/>
      <c r="K11484" s="24"/>
      <c r="L11484" s="24"/>
      <c r="M11484" s="24"/>
      <c r="N11484" s="24"/>
      <c r="O11484" s="24"/>
      <c r="P11484" s="24"/>
      <c r="Q11484" s="24"/>
      <c r="R11484" s="24"/>
      <c r="S11484" s="24"/>
      <c r="T11484" s="24"/>
      <c r="U11484" s="24"/>
      <c r="V11484" s="24"/>
      <c r="W11484" s="24"/>
      <c r="X11484" s="24"/>
      <c r="Y11484" s="24"/>
      <c r="Z11484" s="24"/>
      <c r="AA11484" s="24"/>
    </row>
    <row r="11485">
      <c r="A11485" s="24"/>
      <c r="B11485" s="25"/>
      <c r="C11485" s="24"/>
      <c r="D11485" s="26"/>
      <c r="E11485" s="24"/>
      <c r="F11485" s="24"/>
      <c r="G11485" s="24"/>
      <c r="H11485" s="24"/>
      <c r="I11485" s="24"/>
      <c r="J11485" s="24"/>
      <c r="K11485" s="24"/>
      <c r="L11485" s="24"/>
      <c r="M11485" s="24"/>
      <c r="N11485" s="24"/>
      <c r="O11485" s="24"/>
      <c r="P11485" s="24"/>
      <c r="Q11485" s="24"/>
      <c r="R11485" s="24"/>
      <c r="S11485" s="24"/>
      <c r="T11485" s="24"/>
      <c r="U11485" s="24"/>
      <c r="V11485" s="24"/>
      <c r="W11485" s="24"/>
      <c r="X11485" s="24"/>
      <c r="Y11485" s="24"/>
      <c r="Z11485" s="24"/>
      <c r="AA11485" s="24"/>
    </row>
    <row r="11486">
      <c r="A11486" s="24"/>
      <c r="B11486" s="25"/>
      <c r="C11486" s="24"/>
      <c r="D11486" s="26"/>
      <c r="E11486" s="24"/>
      <c r="F11486" s="24"/>
      <c r="G11486" s="24"/>
      <c r="H11486" s="24"/>
      <c r="I11486" s="24"/>
      <c r="J11486" s="24"/>
      <c r="K11486" s="24"/>
      <c r="L11486" s="24"/>
      <c r="M11486" s="24"/>
      <c r="N11486" s="24"/>
      <c r="O11486" s="24"/>
      <c r="P11486" s="24"/>
      <c r="Q11486" s="24"/>
      <c r="R11486" s="24"/>
      <c r="S11486" s="24"/>
      <c r="T11486" s="24"/>
      <c r="U11486" s="24"/>
      <c r="V11486" s="24"/>
      <c r="W11486" s="24"/>
      <c r="X11486" s="24"/>
      <c r="Y11486" s="24"/>
      <c r="Z11486" s="24"/>
      <c r="AA11486" s="24"/>
    </row>
    <row r="11487">
      <c r="A11487" s="24"/>
      <c r="B11487" s="25"/>
      <c r="C11487" s="24"/>
      <c r="D11487" s="26"/>
      <c r="E11487" s="24"/>
      <c r="F11487" s="24"/>
      <c r="G11487" s="24"/>
      <c r="H11487" s="24"/>
      <c r="I11487" s="24"/>
      <c r="J11487" s="24"/>
      <c r="K11487" s="24"/>
      <c r="L11487" s="24"/>
      <c r="M11487" s="24"/>
      <c r="N11487" s="24"/>
      <c r="O11487" s="24"/>
      <c r="P11487" s="24"/>
      <c r="Q11487" s="24"/>
      <c r="R11487" s="24"/>
      <c r="S11487" s="24"/>
      <c r="T11487" s="24"/>
      <c r="U11487" s="24"/>
      <c r="V11487" s="24"/>
      <c r="W11487" s="24"/>
      <c r="X11487" s="24"/>
      <c r="Y11487" s="24"/>
      <c r="Z11487" s="24"/>
      <c r="AA11487" s="24"/>
    </row>
    <row r="11488">
      <c r="A11488" s="24"/>
      <c r="B11488" s="25"/>
      <c r="C11488" s="24"/>
      <c r="D11488" s="26"/>
      <c r="E11488" s="24"/>
      <c r="F11488" s="24"/>
      <c r="G11488" s="24"/>
      <c r="H11488" s="24"/>
      <c r="I11488" s="24"/>
      <c r="J11488" s="24"/>
      <c r="K11488" s="24"/>
      <c r="L11488" s="24"/>
      <c r="M11488" s="24"/>
      <c r="N11488" s="24"/>
      <c r="O11488" s="24"/>
      <c r="P11488" s="24"/>
      <c r="Q11488" s="24"/>
      <c r="R11488" s="24"/>
      <c r="S11488" s="24"/>
      <c r="T11488" s="24"/>
      <c r="U11488" s="24"/>
      <c r="V11488" s="24"/>
      <c r="W11488" s="24"/>
      <c r="X11488" s="24"/>
      <c r="Y11488" s="24"/>
      <c r="Z11488" s="24"/>
      <c r="AA11488" s="24"/>
    </row>
    <row r="11489">
      <c r="A11489" s="24"/>
      <c r="B11489" s="25"/>
      <c r="C11489" s="24"/>
      <c r="D11489" s="26"/>
      <c r="E11489" s="24"/>
      <c r="F11489" s="24"/>
      <c r="G11489" s="24"/>
      <c r="H11489" s="24"/>
      <c r="I11489" s="24"/>
      <c r="J11489" s="24"/>
      <c r="K11489" s="24"/>
      <c r="L11489" s="24"/>
      <c r="M11489" s="24"/>
      <c r="N11489" s="24"/>
      <c r="O11489" s="24"/>
      <c r="P11489" s="24"/>
      <c r="Q11489" s="24"/>
      <c r="R11489" s="24"/>
      <c r="S11489" s="24"/>
      <c r="T11489" s="24"/>
      <c r="U11489" s="24"/>
      <c r="V11489" s="24"/>
      <c r="W11489" s="24"/>
      <c r="X11489" s="24"/>
      <c r="Y11489" s="24"/>
      <c r="Z11489" s="24"/>
      <c r="AA11489" s="24"/>
    </row>
    <row r="11490">
      <c r="A11490" s="24"/>
      <c r="B11490" s="25"/>
      <c r="C11490" s="24"/>
      <c r="D11490" s="26"/>
      <c r="E11490" s="24"/>
      <c r="F11490" s="24"/>
      <c r="G11490" s="24"/>
      <c r="H11490" s="24"/>
      <c r="I11490" s="24"/>
      <c r="J11490" s="24"/>
      <c r="K11490" s="24"/>
      <c r="L11490" s="24"/>
      <c r="M11490" s="24"/>
      <c r="N11490" s="24"/>
      <c r="O11490" s="24"/>
      <c r="P11490" s="24"/>
      <c r="Q11490" s="24"/>
      <c r="R11490" s="24"/>
      <c r="S11490" s="24"/>
      <c r="T11490" s="24"/>
      <c r="U11490" s="24"/>
      <c r="V11490" s="24"/>
      <c r="W11490" s="24"/>
      <c r="X11490" s="24"/>
      <c r="Y11490" s="24"/>
      <c r="Z11490" s="24"/>
      <c r="AA11490" s="24"/>
    </row>
    <row r="11491">
      <c r="A11491" s="24"/>
      <c r="B11491" s="25"/>
      <c r="C11491" s="24"/>
      <c r="D11491" s="26"/>
      <c r="E11491" s="24"/>
      <c r="F11491" s="24"/>
      <c r="G11491" s="24"/>
      <c r="H11491" s="24"/>
      <c r="I11491" s="24"/>
      <c r="J11491" s="24"/>
      <c r="K11491" s="24"/>
      <c r="L11491" s="24"/>
      <c r="M11491" s="24"/>
      <c r="N11491" s="24"/>
      <c r="O11491" s="24"/>
      <c r="P11491" s="24"/>
      <c r="Q11491" s="24"/>
      <c r="R11491" s="24"/>
      <c r="S11491" s="24"/>
      <c r="T11491" s="24"/>
      <c r="U11491" s="24"/>
      <c r="V11491" s="24"/>
      <c r="W11491" s="24"/>
      <c r="X11491" s="24"/>
      <c r="Y11491" s="24"/>
      <c r="Z11491" s="24"/>
      <c r="AA11491" s="24"/>
    </row>
    <row r="11492">
      <c r="A11492" s="24"/>
      <c r="B11492" s="25"/>
      <c r="C11492" s="24"/>
      <c r="D11492" s="26"/>
      <c r="E11492" s="24"/>
      <c r="F11492" s="24"/>
      <c r="G11492" s="24"/>
      <c r="H11492" s="24"/>
      <c r="I11492" s="24"/>
      <c r="J11492" s="24"/>
      <c r="K11492" s="24"/>
      <c r="L11492" s="24"/>
      <c r="M11492" s="24"/>
      <c r="N11492" s="24"/>
      <c r="O11492" s="24"/>
      <c r="P11492" s="24"/>
      <c r="Q11492" s="24"/>
      <c r="R11492" s="24"/>
      <c r="S11492" s="24"/>
      <c r="T11492" s="24"/>
      <c r="U11492" s="24"/>
      <c r="V11492" s="24"/>
      <c r="W11492" s="24"/>
      <c r="X11492" s="24"/>
      <c r="Y11492" s="24"/>
      <c r="Z11492" s="24"/>
      <c r="AA11492" s="24"/>
    </row>
    <row r="11493">
      <c r="A11493" s="24"/>
      <c r="B11493" s="25"/>
      <c r="C11493" s="24"/>
      <c r="D11493" s="26"/>
      <c r="E11493" s="24"/>
      <c r="F11493" s="24"/>
      <c r="G11493" s="24"/>
      <c r="H11493" s="24"/>
      <c r="I11493" s="24"/>
      <c r="J11493" s="24"/>
      <c r="K11493" s="24"/>
      <c r="L11493" s="24"/>
      <c r="M11493" s="24"/>
      <c r="N11493" s="24"/>
      <c r="O11493" s="24"/>
      <c r="P11493" s="24"/>
      <c r="Q11493" s="24"/>
      <c r="R11493" s="24"/>
      <c r="S11493" s="24"/>
      <c r="T11493" s="24"/>
      <c r="U11493" s="24"/>
      <c r="V11493" s="24"/>
      <c r="W11493" s="24"/>
      <c r="X11493" s="24"/>
      <c r="Y11493" s="24"/>
      <c r="Z11493" s="24"/>
      <c r="AA11493" s="24"/>
    </row>
    <row r="11494">
      <c r="A11494" s="24"/>
      <c r="B11494" s="25"/>
      <c r="C11494" s="24"/>
      <c r="D11494" s="26"/>
      <c r="E11494" s="24"/>
      <c r="F11494" s="24"/>
      <c r="G11494" s="24"/>
      <c r="H11494" s="24"/>
      <c r="I11494" s="24"/>
      <c r="J11494" s="24"/>
      <c r="K11494" s="24"/>
      <c r="L11494" s="24"/>
      <c r="M11494" s="24"/>
      <c r="N11494" s="24"/>
      <c r="O11494" s="24"/>
      <c r="P11494" s="24"/>
      <c r="Q11494" s="24"/>
      <c r="R11494" s="24"/>
      <c r="S11494" s="24"/>
      <c r="T11494" s="24"/>
      <c r="U11494" s="24"/>
      <c r="V11494" s="24"/>
      <c r="W11494" s="24"/>
      <c r="X11494" s="24"/>
      <c r="Y11494" s="24"/>
      <c r="Z11494" s="24"/>
      <c r="AA11494" s="24"/>
    </row>
    <row r="11495">
      <c r="A11495" s="24"/>
      <c r="B11495" s="25"/>
      <c r="C11495" s="24"/>
      <c r="D11495" s="26"/>
      <c r="E11495" s="24"/>
      <c r="F11495" s="24"/>
      <c r="G11495" s="24"/>
      <c r="H11495" s="24"/>
      <c r="I11495" s="24"/>
      <c r="J11495" s="24"/>
      <c r="K11495" s="24"/>
      <c r="L11495" s="24"/>
      <c r="M11495" s="24"/>
      <c r="N11495" s="24"/>
      <c r="O11495" s="24"/>
      <c r="P11495" s="24"/>
      <c r="Q11495" s="24"/>
      <c r="R11495" s="24"/>
      <c r="S11495" s="24"/>
      <c r="T11495" s="24"/>
      <c r="U11495" s="24"/>
      <c r="V11495" s="24"/>
      <c r="W11495" s="24"/>
      <c r="X11495" s="24"/>
      <c r="Y11495" s="24"/>
      <c r="Z11495" s="24"/>
      <c r="AA11495" s="24"/>
    </row>
    <row r="11496">
      <c r="A11496" s="24"/>
      <c r="B11496" s="25"/>
      <c r="C11496" s="24"/>
      <c r="D11496" s="26"/>
      <c r="E11496" s="24"/>
      <c r="F11496" s="24"/>
      <c r="G11496" s="24"/>
      <c r="H11496" s="24"/>
      <c r="I11496" s="24"/>
      <c r="J11496" s="24"/>
      <c r="K11496" s="24"/>
      <c r="L11496" s="24"/>
      <c r="M11496" s="24"/>
      <c r="N11496" s="24"/>
      <c r="O11496" s="24"/>
      <c r="P11496" s="24"/>
      <c r="Q11496" s="24"/>
      <c r="R11496" s="24"/>
      <c r="S11496" s="24"/>
      <c r="T11496" s="24"/>
      <c r="U11496" s="24"/>
      <c r="V11496" s="24"/>
      <c r="W11496" s="24"/>
      <c r="X11496" s="24"/>
      <c r="Y11496" s="24"/>
      <c r="Z11496" s="24"/>
      <c r="AA11496" s="24"/>
    </row>
    <row r="11497">
      <c r="A11497" s="24"/>
      <c r="B11497" s="25"/>
      <c r="C11497" s="24"/>
      <c r="D11497" s="26"/>
      <c r="E11497" s="24"/>
      <c r="F11497" s="24"/>
      <c r="G11497" s="24"/>
      <c r="H11497" s="24"/>
      <c r="I11497" s="24"/>
      <c r="J11497" s="24"/>
      <c r="K11497" s="24"/>
      <c r="L11497" s="24"/>
      <c r="M11497" s="24"/>
      <c r="N11497" s="24"/>
      <c r="O11497" s="24"/>
      <c r="P11497" s="24"/>
      <c r="Q11497" s="24"/>
      <c r="R11497" s="24"/>
      <c r="S11497" s="24"/>
      <c r="T11497" s="24"/>
      <c r="U11497" s="24"/>
      <c r="V11497" s="24"/>
      <c r="W11497" s="24"/>
      <c r="X11497" s="24"/>
      <c r="Y11497" s="24"/>
      <c r="Z11497" s="24"/>
      <c r="AA11497" s="24"/>
    </row>
    <row r="11498">
      <c r="A11498" s="24"/>
      <c r="B11498" s="25"/>
      <c r="C11498" s="24"/>
      <c r="D11498" s="26"/>
      <c r="E11498" s="24"/>
      <c r="F11498" s="24"/>
      <c r="G11498" s="24"/>
      <c r="H11498" s="24"/>
      <c r="I11498" s="24"/>
      <c r="J11498" s="24"/>
      <c r="K11498" s="24"/>
      <c r="L11498" s="24"/>
      <c r="M11498" s="24"/>
      <c r="N11498" s="24"/>
      <c r="O11498" s="24"/>
      <c r="P11498" s="24"/>
      <c r="Q11498" s="24"/>
      <c r="R11498" s="24"/>
      <c r="S11498" s="24"/>
      <c r="T11498" s="24"/>
      <c r="U11498" s="24"/>
      <c r="V11498" s="24"/>
      <c r="W11498" s="24"/>
      <c r="X11498" s="24"/>
      <c r="Y11498" s="24"/>
      <c r="Z11498" s="24"/>
      <c r="AA11498" s="24"/>
    </row>
    <row r="11499">
      <c r="A11499" s="24"/>
      <c r="B11499" s="25"/>
      <c r="C11499" s="24"/>
      <c r="D11499" s="26"/>
      <c r="E11499" s="24"/>
      <c r="F11499" s="24"/>
      <c r="G11499" s="24"/>
      <c r="H11499" s="24"/>
      <c r="I11499" s="24"/>
      <c r="J11499" s="24"/>
      <c r="K11499" s="24"/>
      <c r="L11499" s="24"/>
      <c r="M11499" s="24"/>
      <c r="N11499" s="24"/>
      <c r="O11499" s="24"/>
      <c r="P11499" s="24"/>
      <c r="Q11499" s="24"/>
      <c r="R11499" s="24"/>
      <c r="S11499" s="24"/>
      <c r="T11499" s="24"/>
      <c r="U11499" s="24"/>
      <c r="V11499" s="24"/>
      <c r="W11499" s="24"/>
      <c r="X11499" s="24"/>
      <c r="Y11499" s="24"/>
      <c r="Z11499" s="24"/>
      <c r="AA11499" s="24"/>
    </row>
    <row r="11500">
      <c r="A11500" s="24"/>
      <c r="B11500" s="25"/>
      <c r="C11500" s="24"/>
      <c r="D11500" s="26"/>
      <c r="E11500" s="24"/>
      <c r="F11500" s="24"/>
      <c r="G11500" s="24"/>
      <c r="H11500" s="24"/>
      <c r="I11500" s="24"/>
      <c r="J11500" s="24"/>
      <c r="K11500" s="24"/>
      <c r="L11500" s="24"/>
      <c r="M11500" s="24"/>
      <c r="N11500" s="24"/>
      <c r="O11500" s="24"/>
      <c r="P11500" s="24"/>
      <c r="Q11500" s="24"/>
      <c r="R11500" s="24"/>
      <c r="S11500" s="24"/>
      <c r="T11500" s="24"/>
      <c r="U11500" s="24"/>
      <c r="V11500" s="24"/>
      <c r="W11500" s="24"/>
      <c r="X11500" s="24"/>
      <c r="Y11500" s="24"/>
      <c r="Z11500" s="24"/>
      <c r="AA11500" s="24"/>
    </row>
    <row r="11501">
      <c r="A11501" s="24"/>
      <c r="B11501" s="25"/>
      <c r="C11501" s="24"/>
      <c r="D11501" s="26"/>
      <c r="E11501" s="24"/>
      <c r="F11501" s="24"/>
      <c r="G11501" s="24"/>
      <c r="H11501" s="24"/>
      <c r="I11501" s="24"/>
      <c r="J11501" s="24"/>
      <c r="K11501" s="24"/>
      <c r="L11501" s="24"/>
      <c r="M11501" s="24"/>
      <c r="N11501" s="24"/>
      <c r="O11501" s="24"/>
      <c r="P11501" s="24"/>
      <c r="Q11501" s="24"/>
      <c r="R11501" s="24"/>
      <c r="S11501" s="24"/>
      <c r="T11501" s="24"/>
      <c r="U11501" s="24"/>
      <c r="V11501" s="24"/>
      <c r="W11501" s="24"/>
      <c r="X11501" s="24"/>
      <c r="Y11501" s="24"/>
      <c r="Z11501" s="24"/>
      <c r="AA11501" s="24"/>
    </row>
    <row r="11502">
      <c r="A11502" s="24"/>
      <c r="B11502" s="25"/>
      <c r="C11502" s="24"/>
      <c r="D11502" s="26"/>
      <c r="E11502" s="24"/>
      <c r="F11502" s="24"/>
      <c r="G11502" s="24"/>
      <c r="H11502" s="24"/>
      <c r="I11502" s="24"/>
      <c r="J11502" s="24"/>
      <c r="K11502" s="24"/>
      <c r="L11502" s="24"/>
      <c r="M11502" s="24"/>
      <c r="N11502" s="24"/>
      <c r="O11502" s="24"/>
      <c r="P11502" s="24"/>
      <c r="Q11502" s="24"/>
      <c r="R11502" s="24"/>
      <c r="S11502" s="24"/>
      <c r="T11502" s="24"/>
      <c r="U11502" s="24"/>
      <c r="V11502" s="24"/>
      <c r="W11502" s="24"/>
      <c r="X11502" s="24"/>
      <c r="Y11502" s="24"/>
      <c r="Z11502" s="24"/>
      <c r="AA11502" s="24"/>
    </row>
    <row r="11503">
      <c r="A11503" s="24"/>
      <c r="B11503" s="25"/>
      <c r="C11503" s="24"/>
      <c r="D11503" s="26"/>
      <c r="E11503" s="24"/>
      <c r="F11503" s="24"/>
      <c r="G11503" s="24"/>
      <c r="H11503" s="24"/>
      <c r="I11503" s="24"/>
      <c r="J11503" s="24"/>
      <c r="K11503" s="24"/>
      <c r="L11503" s="24"/>
      <c r="M11503" s="24"/>
      <c r="N11503" s="24"/>
      <c r="O11503" s="24"/>
      <c r="P11503" s="24"/>
      <c r="Q11503" s="24"/>
      <c r="R11503" s="24"/>
      <c r="S11503" s="24"/>
      <c r="T11503" s="24"/>
      <c r="U11503" s="24"/>
      <c r="V11503" s="24"/>
      <c r="W11503" s="24"/>
      <c r="X11503" s="24"/>
      <c r="Y11503" s="24"/>
      <c r="Z11503" s="24"/>
      <c r="AA11503" s="24"/>
    </row>
    <row r="11504">
      <c r="A11504" s="24"/>
      <c r="B11504" s="25"/>
      <c r="C11504" s="24"/>
      <c r="D11504" s="26"/>
      <c r="E11504" s="24"/>
      <c r="F11504" s="24"/>
      <c r="G11504" s="24"/>
      <c r="H11504" s="24"/>
      <c r="I11504" s="24"/>
      <c r="J11504" s="24"/>
      <c r="K11504" s="24"/>
      <c r="L11504" s="24"/>
      <c r="M11504" s="24"/>
      <c r="N11504" s="24"/>
      <c r="O11504" s="24"/>
      <c r="P11504" s="24"/>
      <c r="Q11504" s="24"/>
      <c r="R11504" s="24"/>
      <c r="S11504" s="24"/>
      <c r="T11504" s="24"/>
      <c r="U11504" s="24"/>
      <c r="V11504" s="24"/>
      <c r="W11504" s="24"/>
      <c r="X11504" s="24"/>
      <c r="Y11504" s="24"/>
      <c r="Z11504" s="24"/>
      <c r="AA11504" s="24"/>
    </row>
    <row r="11505">
      <c r="A11505" s="24"/>
      <c r="B11505" s="25"/>
      <c r="C11505" s="24"/>
      <c r="D11505" s="26"/>
      <c r="E11505" s="24"/>
      <c r="F11505" s="24"/>
      <c r="G11505" s="24"/>
      <c r="H11505" s="24"/>
      <c r="I11505" s="24"/>
      <c r="J11505" s="24"/>
      <c r="K11505" s="24"/>
      <c r="L11505" s="24"/>
      <c r="M11505" s="24"/>
      <c r="N11505" s="24"/>
      <c r="O11505" s="24"/>
      <c r="P11505" s="24"/>
      <c r="Q11505" s="24"/>
      <c r="R11505" s="24"/>
      <c r="S11505" s="24"/>
      <c r="T11505" s="24"/>
      <c r="U11505" s="24"/>
      <c r="V11505" s="24"/>
      <c r="W11505" s="24"/>
      <c r="X11505" s="24"/>
      <c r="Y11505" s="24"/>
      <c r="Z11505" s="24"/>
      <c r="AA11505" s="24"/>
    </row>
    <row r="11506">
      <c r="A11506" s="24"/>
      <c r="B11506" s="25"/>
      <c r="C11506" s="24"/>
      <c r="D11506" s="26"/>
      <c r="E11506" s="24"/>
      <c r="F11506" s="24"/>
      <c r="G11506" s="24"/>
      <c r="H11506" s="24"/>
      <c r="I11506" s="24"/>
      <c r="J11506" s="24"/>
      <c r="K11506" s="24"/>
      <c r="L11506" s="24"/>
      <c r="M11506" s="24"/>
      <c r="N11506" s="24"/>
      <c r="O11506" s="24"/>
      <c r="P11506" s="24"/>
      <c r="Q11506" s="24"/>
      <c r="R11506" s="24"/>
      <c r="S11506" s="24"/>
      <c r="T11506" s="24"/>
      <c r="U11506" s="24"/>
      <c r="V11506" s="24"/>
      <c r="W11506" s="24"/>
      <c r="X11506" s="24"/>
      <c r="Y11506" s="24"/>
      <c r="Z11506" s="24"/>
      <c r="AA11506" s="24"/>
    </row>
    <row r="11507">
      <c r="A11507" s="24"/>
      <c r="B11507" s="25"/>
      <c r="C11507" s="24"/>
      <c r="D11507" s="26"/>
      <c r="E11507" s="24"/>
      <c r="F11507" s="24"/>
      <c r="G11507" s="24"/>
      <c r="H11507" s="24"/>
      <c r="I11507" s="24"/>
      <c r="J11507" s="24"/>
      <c r="K11507" s="24"/>
      <c r="L11507" s="24"/>
      <c r="M11507" s="24"/>
      <c r="N11507" s="24"/>
      <c r="O11507" s="24"/>
      <c r="P11507" s="24"/>
      <c r="Q11507" s="24"/>
      <c r="R11507" s="24"/>
      <c r="S11507" s="24"/>
      <c r="T11507" s="24"/>
      <c r="U11507" s="24"/>
      <c r="V11507" s="24"/>
      <c r="W11507" s="24"/>
      <c r="X11507" s="24"/>
      <c r="Y11507" s="24"/>
      <c r="Z11507" s="24"/>
      <c r="AA11507" s="24"/>
    </row>
    <row r="11508">
      <c r="A11508" s="24"/>
      <c r="B11508" s="25"/>
      <c r="C11508" s="24"/>
      <c r="D11508" s="26"/>
      <c r="E11508" s="24"/>
      <c r="F11508" s="24"/>
      <c r="G11508" s="24"/>
      <c r="H11508" s="24"/>
      <c r="I11508" s="24"/>
      <c r="J11508" s="24"/>
      <c r="K11508" s="24"/>
      <c r="L11508" s="24"/>
      <c r="M11508" s="24"/>
      <c r="N11508" s="24"/>
      <c r="O11508" s="24"/>
      <c r="P11508" s="24"/>
      <c r="Q11508" s="24"/>
      <c r="R11508" s="24"/>
      <c r="S11508" s="24"/>
      <c r="T11508" s="24"/>
      <c r="U11508" s="24"/>
      <c r="V11508" s="24"/>
      <c r="W11508" s="24"/>
      <c r="X11508" s="24"/>
      <c r="Y11508" s="24"/>
      <c r="Z11508" s="24"/>
      <c r="AA11508" s="24"/>
    </row>
    <row r="11509">
      <c r="A11509" s="24"/>
      <c r="B11509" s="25"/>
      <c r="C11509" s="24"/>
      <c r="D11509" s="26"/>
      <c r="E11509" s="24"/>
      <c r="F11509" s="24"/>
      <c r="G11509" s="24"/>
      <c r="H11509" s="24"/>
      <c r="I11509" s="24"/>
      <c r="J11509" s="24"/>
      <c r="K11509" s="24"/>
      <c r="L11509" s="24"/>
      <c r="M11509" s="24"/>
      <c r="N11509" s="24"/>
      <c r="O11509" s="24"/>
      <c r="P11509" s="24"/>
      <c r="Q11509" s="24"/>
      <c r="R11509" s="24"/>
      <c r="S11509" s="24"/>
      <c r="T11509" s="24"/>
      <c r="U11509" s="24"/>
      <c r="V11509" s="24"/>
      <c r="W11509" s="24"/>
      <c r="X11509" s="24"/>
      <c r="Y11509" s="24"/>
      <c r="Z11509" s="24"/>
      <c r="AA11509" s="24"/>
    </row>
    <row r="11510">
      <c r="A11510" s="24"/>
      <c r="B11510" s="25"/>
      <c r="C11510" s="24"/>
      <c r="D11510" s="26"/>
      <c r="E11510" s="24"/>
      <c r="F11510" s="24"/>
      <c r="G11510" s="24"/>
      <c r="H11510" s="24"/>
      <c r="I11510" s="24"/>
      <c r="J11510" s="24"/>
      <c r="K11510" s="24"/>
      <c r="L11510" s="24"/>
      <c r="M11510" s="24"/>
      <c r="N11510" s="24"/>
      <c r="O11510" s="24"/>
      <c r="P11510" s="24"/>
      <c r="Q11510" s="24"/>
      <c r="R11510" s="24"/>
      <c r="S11510" s="24"/>
      <c r="T11510" s="24"/>
      <c r="U11510" s="24"/>
      <c r="V11510" s="24"/>
      <c r="W11510" s="24"/>
      <c r="X11510" s="24"/>
      <c r="Y11510" s="24"/>
      <c r="Z11510" s="24"/>
      <c r="AA11510" s="24"/>
    </row>
    <row r="11511">
      <c r="A11511" s="24"/>
      <c r="B11511" s="25"/>
      <c r="C11511" s="24"/>
      <c r="D11511" s="26"/>
      <c r="E11511" s="24"/>
      <c r="F11511" s="24"/>
      <c r="G11511" s="24"/>
      <c r="H11511" s="24"/>
      <c r="I11511" s="24"/>
      <c r="J11511" s="24"/>
      <c r="K11511" s="24"/>
      <c r="L11511" s="24"/>
      <c r="M11511" s="24"/>
      <c r="N11511" s="24"/>
      <c r="O11511" s="24"/>
      <c r="P11511" s="24"/>
      <c r="Q11511" s="24"/>
      <c r="R11511" s="24"/>
      <c r="S11511" s="24"/>
      <c r="T11511" s="24"/>
      <c r="U11511" s="24"/>
      <c r="V11511" s="24"/>
      <c r="W11511" s="24"/>
      <c r="X11511" s="24"/>
      <c r="Y11511" s="24"/>
      <c r="Z11511" s="24"/>
      <c r="AA11511" s="24"/>
    </row>
    <row r="11512">
      <c r="A11512" s="24"/>
      <c r="B11512" s="25"/>
      <c r="C11512" s="24"/>
      <c r="D11512" s="26"/>
      <c r="E11512" s="24"/>
      <c r="F11512" s="24"/>
      <c r="G11512" s="24"/>
      <c r="H11512" s="24"/>
      <c r="I11512" s="24"/>
      <c r="J11512" s="24"/>
      <c r="K11512" s="24"/>
      <c r="L11512" s="24"/>
      <c r="M11512" s="24"/>
      <c r="N11512" s="24"/>
      <c r="O11512" s="24"/>
      <c r="P11512" s="24"/>
      <c r="Q11512" s="24"/>
      <c r="R11512" s="24"/>
      <c r="S11512" s="24"/>
      <c r="T11512" s="24"/>
      <c r="U11512" s="24"/>
      <c r="V11512" s="24"/>
      <c r="W11512" s="24"/>
      <c r="X11512" s="24"/>
      <c r="Y11512" s="24"/>
      <c r="Z11512" s="24"/>
      <c r="AA11512" s="24"/>
    </row>
    <row r="11513">
      <c r="A11513" s="24"/>
      <c r="B11513" s="25"/>
      <c r="C11513" s="24"/>
      <c r="D11513" s="26"/>
      <c r="E11513" s="24"/>
      <c r="F11513" s="24"/>
      <c r="G11513" s="24"/>
      <c r="H11513" s="24"/>
      <c r="I11513" s="24"/>
      <c r="J11513" s="24"/>
      <c r="K11513" s="24"/>
      <c r="L11513" s="24"/>
      <c r="M11513" s="24"/>
      <c r="N11513" s="24"/>
      <c r="O11513" s="24"/>
      <c r="P11513" s="24"/>
      <c r="Q11513" s="24"/>
      <c r="R11513" s="24"/>
      <c r="S11513" s="24"/>
      <c r="T11513" s="24"/>
      <c r="U11513" s="24"/>
      <c r="V11513" s="24"/>
      <c r="W11513" s="24"/>
      <c r="X11513" s="24"/>
      <c r="Y11513" s="24"/>
      <c r="Z11513" s="24"/>
      <c r="AA11513" s="24"/>
    </row>
    <row r="11514">
      <c r="A11514" s="24"/>
      <c r="B11514" s="25"/>
      <c r="C11514" s="24"/>
      <c r="D11514" s="26"/>
      <c r="E11514" s="24"/>
      <c r="F11514" s="24"/>
      <c r="G11514" s="24"/>
      <c r="H11514" s="24"/>
      <c r="I11514" s="24"/>
      <c r="J11514" s="24"/>
      <c r="K11514" s="24"/>
      <c r="L11514" s="24"/>
      <c r="M11514" s="24"/>
      <c r="N11514" s="24"/>
      <c r="O11514" s="24"/>
      <c r="P11514" s="24"/>
      <c r="Q11514" s="24"/>
      <c r="R11514" s="24"/>
      <c r="S11514" s="24"/>
      <c r="T11514" s="24"/>
      <c r="U11514" s="24"/>
      <c r="V11514" s="24"/>
      <c r="W11514" s="24"/>
      <c r="X11514" s="24"/>
      <c r="Y11514" s="24"/>
      <c r="Z11514" s="24"/>
      <c r="AA11514" s="24"/>
    </row>
    <row r="11515">
      <c r="A11515" s="24"/>
      <c r="B11515" s="25"/>
      <c r="C11515" s="24"/>
      <c r="D11515" s="26"/>
      <c r="E11515" s="24"/>
      <c r="F11515" s="24"/>
      <c r="G11515" s="24"/>
      <c r="H11515" s="24"/>
      <c r="I11515" s="24"/>
      <c r="J11515" s="24"/>
      <c r="K11515" s="24"/>
      <c r="L11515" s="24"/>
      <c r="M11515" s="24"/>
      <c r="N11515" s="24"/>
      <c r="O11515" s="24"/>
      <c r="P11515" s="24"/>
      <c r="Q11515" s="24"/>
      <c r="R11515" s="24"/>
      <c r="S11515" s="24"/>
      <c r="T11515" s="24"/>
      <c r="U11515" s="24"/>
      <c r="V11515" s="24"/>
      <c r="W11515" s="24"/>
      <c r="X11515" s="24"/>
      <c r="Y11515" s="24"/>
      <c r="Z11515" s="24"/>
      <c r="AA11515" s="24"/>
    </row>
    <row r="11516">
      <c r="A11516" s="24"/>
      <c r="B11516" s="25"/>
      <c r="C11516" s="24"/>
      <c r="D11516" s="26"/>
      <c r="E11516" s="24"/>
      <c r="F11516" s="24"/>
      <c r="G11516" s="24"/>
      <c r="H11516" s="24"/>
      <c r="I11516" s="24"/>
      <c r="J11516" s="24"/>
      <c r="K11516" s="24"/>
      <c r="L11516" s="24"/>
      <c r="M11516" s="24"/>
      <c r="N11516" s="24"/>
      <c r="O11516" s="24"/>
      <c r="P11516" s="24"/>
      <c r="Q11516" s="24"/>
      <c r="R11516" s="24"/>
      <c r="S11516" s="24"/>
      <c r="T11516" s="24"/>
      <c r="U11516" s="24"/>
      <c r="V11516" s="24"/>
      <c r="W11516" s="24"/>
      <c r="X11516" s="24"/>
      <c r="Y11516" s="24"/>
      <c r="Z11516" s="24"/>
      <c r="AA11516" s="24"/>
    </row>
    <row r="11517">
      <c r="A11517" s="24"/>
      <c r="B11517" s="25"/>
      <c r="C11517" s="24"/>
      <c r="D11517" s="26"/>
      <c r="E11517" s="24"/>
      <c r="F11517" s="24"/>
      <c r="G11517" s="24"/>
      <c r="H11517" s="24"/>
      <c r="I11517" s="24"/>
      <c r="J11517" s="24"/>
      <c r="K11517" s="24"/>
      <c r="L11517" s="24"/>
      <c r="M11517" s="24"/>
      <c r="N11517" s="24"/>
      <c r="O11517" s="24"/>
      <c r="P11517" s="24"/>
      <c r="Q11517" s="24"/>
      <c r="R11517" s="24"/>
      <c r="S11517" s="24"/>
      <c r="T11517" s="24"/>
      <c r="U11517" s="24"/>
      <c r="V11517" s="24"/>
      <c r="W11517" s="24"/>
      <c r="X11517" s="24"/>
      <c r="Y11517" s="24"/>
      <c r="Z11517" s="24"/>
      <c r="AA11517" s="24"/>
    </row>
    <row r="11518">
      <c r="A11518" s="24"/>
      <c r="B11518" s="25"/>
      <c r="C11518" s="24"/>
      <c r="D11518" s="26"/>
      <c r="E11518" s="24"/>
      <c r="F11518" s="24"/>
      <c r="G11518" s="24"/>
      <c r="H11518" s="24"/>
      <c r="I11518" s="24"/>
      <c r="J11518" s="24"/>
      <c r="K11518" s="24"/>
      <c r="L11518" s="24"/>
      <c r="M11518" s="24"/>
      <c r="N11518" s="24"/>
      <c r="O11518" s="24"/>
      <c r="P11518" s="24"/>
      <c r="Q11518" s="24"/>
      <c r="R11518" s="24"/>
      <c r="S11518" s="24"/>
      <c r="T11518" s="24"/>
      <c r="U11518" s="24"/>
      <c r="V11518" s="24"/>
      <c r="W11518" s="24"/>
      <c r="X11518" s="24"/>
      <c r="Y11518" s="24"/>
      <c r="Z11518" s="24"/>
      <c r="AA11518" s="24"/>
    </row>
    <row r="11519">
      <c r="A11519" s="24"/>
      <c r="B11519" s="25"/>
      <c r="C11519" s="24"/>
      <c r="D11519" s="26"/>
      <c r="E11519" s="24"/>
      <c r="F11519" s="24"/>
      <c r="G11519" s="24"/>
      <c r="H11519" s="24"/>
      <c r="I11519" s="24"/>
      <c r="J11519" s="24"/>
      <c r="K11519" s="24"/>
      <c r="L11519" s="24"/>
      <c r="M11519" s="24"/>
      <c r="N11519" s="24"/>
      <c r="O11519" s="24"/>
      <c r="P11519" s="24"/>
      <c r="Q11519" s="24"/>
      <c r="R11519" s="24"/>
      <c r="S11519" s="24"/>
      <c r="T11519" s="24"/>
      <c r="U11519" s="24"/>
      <c r="V11519" s="24"/>
      <c r="W11519" s="24"/>
      <c r="X11519" s="24"/>
      <c r="Y11519" s="24"/>
      <c r="Z11519" s="24"/>
      <c r="AA11519" s="24"/>
    </row>
    <row r="11520">
      <c r="A11520" s="24"/>
      <c r="B11520" s="25"/>
      <c r="C11520" s="24"/>
      <c r="D11520" s="26"/>
      <c r="E11520" s="24"/>
      <c r="F11520" s="24"/>
      <c r="G11520" s="24"/>
      <c r="H11520" s="24"/>
      <c r="I11520" s="24"/>
      <c r="J11520" s="24"/>
      <c r="K11520" s="24"/>
      <c r="L11520" s="24"/>
      <c r="M11520" s="24"/>
      <c r="N11520" s="24"/>
      <c r="O11520" s="24"/>
      <c r="P11520" s="24"/>
      <c r="Q11520" s="24"/>
      <c r="R11520" s="24"/>
      <c r="S11520" s="24"/>
      <c r="T11520" s="24"/>
      <c r="U11520" s="24"/>
      <c r="V11520" s="24"/>
      <c r="W11520" s="24"/>
      <c r="X11520" s="24"/>
      <c r="Y11520" s="24"/>
      <c r="Z11520" s="24"/>
      <c r="AA11520" s="24"/>
    </row>
    <row r="11521">
      <c r="A11521" s="24"/>
      <c r="B11521" s="25"/>
      <c r="C11521" s="24"/>
      <c r="D11521" s="26"/>
      <c r="E11521" s="24"/>
      <c r="F11521" s="24"/>
      <c r="G11521" s="24"/>
      <c r="H11521" s="24"/>
      <c r="I11521" s="24"/>
      <c r="J11521" s="24"/>
      <c r="K11521" s="24"/>
      <c r="L11521" s="24"/>
      <c r="M11521" s="24"/>
      <c r="N11521" s="24"/>
      <c r="O11521" s="24"/>
      <c r="P11521" s="24"/>
      <c r="Q11521" s="24"/>
      <c r="R11521" s="24"/>
      <c r="S11521" s="24"/>
      <c r="T11521" s="24"/>
      <c r="U11521" s="24"/>
      <c r="V11521" s="24"/>
      <c r="W11521" s="24"/>
      <c r="X11521" s="24"/>
      <c r="Y11521" s="24"/>
      <c r="Z11521" s="24"/>
      <c r="AA11521" s="24"/>
    </row>
    <row r="11522">
      <c r="A11522" s="24"/>
      <c r="B11522" s="25"/>
      <c r="C11522" s="24"/>
      <c r="D11522" s="26"/>
      <c r="E11522" s="24"/>
      <c r="F11522" s="24"/>
      <c r="G11522" s="24"/>
      <c r="H11522" s="24"/>
      <c r="I11522" s="24"/>
      <c r="J11522" s="24"/>
      <c r="K11522" s="24"/>
      <c r="L11522" s="24"/>
      <c r="M11522" s="24"/>
      <c r="N11522" s="24"/>
      <c r="O11522" s="24"/>
      <c r="P11522" s="24"/>
      <c r="Q11522" s="24"/>
      <c r="R11522" s="24"/>
      <c r="S11522" s="24"/>
      <c r="T11522" s="24"/>
      <c r="U11522" s="24"/>
      <c r="V11522" s="24"/>
      <c r="W11522" s="24"/>
      <c r="X11522" s="24"/>
      <c r="Y11522" s="24"/>
      <c r="Z11522" s="24"/>
      <c r="AA11522" s="24"/>
    </row>
    <row r="11523">
      <c r="A11523" s="24"/>
      <c r="B11523" s="25"/>
      <c r="C11523" s="24"/>
      <c r="D11523" s="26"/>
      <c r="E11523" s="24"/>
      <c r="F11523" s="24"/>
      <c r="G11523" s="24"/>
      <c r="H11523" s="24"/>
      <c r="I11523" s="24"/>
      <c r="J11523" s="24"/>
      <c r="K11523" s="24"/>
      <c r="L11523" s="24"/>
      <c r="M11523" s="24"/>
      <c r="N11523" s="24"/>
      <c r="O11523" s="24"/>
      <c r="P11523" s="24"/>
      <c r="Q11523" s="24"/>
      <c r="R11523" s="24"/>
      <c r="S11523" s="24"/>
      <c r="T11523" s="24"/>
      <c r="U11523" s="24"/>
      <c r="V11523" s="24"/>
      <c r="W11523" s="24"/>
      <c r="X11523" s="24"/>
      <c r="Y11523" s="24"/>
      <c r="Z11523" s="24"/>
      <c r="AA11523" s="24"/>
    </row>
    <row r="11524">
      <c r="A11524" s="24"/>
      <c r="B11524" s="25"/>
      <c r="C11524" s="24"/>
      <c r="D11524" s="26"/>
      <c r="E11524" s="24"/>
      <c r="F11524" s="24"/>
      <c r="G11524" s="24"/>
      <c r="H11524" s="24"/>
      <c r="I11524" s="24"/>
      <c r="J11524" s="24"/>
      <c r="K11524" s="24"/>
      <c r="L11524" s="24"/>
      <c r="M11524" s="24"/>
      <c r="N11524" s="24"/>
      <c r="O11524" s="24"/>
      <c r="P11524" s="24"/>
      <c r="Q11524" s="24"/>
      <c r="R11524" s="24"/>
      <c r="S11524" s="24"/>
      <c r="T11524" s="24"/>
      <c r="U11524" s="24"/>
      <c r="V11524" s="24"/>
      <c r="W11524" s="24"/>
      <c r="X11524" s="24"/>
      <c r="Y11524" s="24"/>
      <c r="Z11524" s="24"/>
      <c r="AA11524" s="24"/>
    </row>
    <row r="11525">
      <c r="A11525" s="24"/>
      <c r="B11525" s="25"/>
      <c r="C11525" s="24"/>
      <c r="D11525" s="26"/>
      <c r="E11525" s="24"/>
      <c r="F11525" s="24"/>
      <c r="G11525" s="24"/>
      <c r="H11525" s="24"/>
      <c r="I11525" s="24"/>
      <c r="J11525" s="24"/>
      <c r="K11525" s="24"/>
      <c r="L11525" s="24"/>
      <c r="M11525" s="24"/>
      <c r="N11525" s="24"/>
      <c r="O11525" s="24"/>
      <c r="P11525" s="24"/>
      <c r="Q11525" s="24"/>
      <c r="R11525" s="24"/>
      <c r="S11525" s="24"/>
      <c r="T11525" s="24"/>
      <c r="U11525" s="24"/>
      <c r="V11525" s="24"/>
      <c r="W11525" s="24"/>
      <c r="X11525" s="24"/>
      <c r="Y11525" s="24"/>
      <c r="Z11525" s="24"/>
      <c r="AA11525" s="24"/>
    </row>
    <row r="11526">
      <c r="A11526" s="24"/>
      <c r="B11526" s="25"/>
      <c r="C11526" s="24"/>
      <c r="D11526" s="26"/>
      <c r="E11526" s="24"/>
      <c r="F11526" s="24"/>
      <c r="G11526" s="24"/>
      <c r="H11526" s="24"/>
      <c r="I11526" s="24"/>
      <c r="J11526" s="24"/>
      <c r="K11526" s="24"/>
      <c r="L11526" s="24"/>
      <c r="M11526" s="24"/>
      <c r="N11526" s="24"/>
      <c r="O11526" s="24"/>
      <c r="P11526" s="24"/>
      <c r="Q11526" s="24"/>
      <c r="R11526" s="24"/>
      <c r="S11526" s="24"/>
      <c r="T11526" s="24"/>
      <c r="U11526" s="24"/>
      <c r="V11526" s="24"/>
      <c r="W11526" s="24"/>
      <c r="X11526" s="24"/>
      <c r="Y11526" s="24"/>
      <c r="Z11526" s="24"/>
      <c r="AA11526" s="24"/>
    </row>
    <row r="11527">
      <c r="A11527" s="24"/>
      <c r="B11527" s="25"/>
      <c r="C11527" s="24"/>
      <c r="D11527" s="26"/>
      <c r="E11527" s="24"/>
      <c r="F11527" s="24"/>
      <c r="G11527" s="24"/>
      <c r="H11527" s="24"/>
      <c r="I11527" s="24"/>
      <c r="J11527" s="24"/>
      <c r="K11527" s="24"/>
      <c r="L11527" s="24"/>
      <c r="M11527" s="24"/>
      <c r="N11527" s="24"/>
      <c r="O11527" s="24"/>
      <c r="P11527" s="24"/>
      <c r="Q11527" s="24"/>
      <c r="R11527" s="24"/>
      <c r="S11527" s="24"/>
      <c r="T11527" s="24"/>
      <c r="U11527" s="24"/>
      <c r="V11527" s="24"/>
      <c r="W11527" s="24"/>
      <c r="X11527" s="24"/>
      <c r="Y11527" s="24"/>
      <c r="Z11527" s="24"/>
      <c r="AA11527" s="24"/>
    </row>
    <row r="11528">
      <c r="A11528" s="24"/>
      <c r="B11528" s="25"/>
      <c r="C11528" s="24"/>
      <c r="D11528" s="26"/>
      <c r="E11528" s="24"/>
      <c r="F11528" s="24"/>
      <c r="G11528" s="24"/>
      <c r="H11528" s="24"/>
      <c r="I11528" s="24"/>
      <c r="J11528" s="24"/>
      <c r="K11528" s="24"/>
      <c r="L11528" s="24"/>
      <c r="M11528" s="24"/>
      <c r="N11528" s="24"/>
      <c r="O11528" s="24"/>
      <c r="P11528" s="24"/>
      <c r="Q11528" s="24"/>
      <c r="R11528" s="24"/>
      <c r="S11528" s="24"/>
      <c r="T11528" s="24"/>
      <c r="U11528" s="24"/>
      <c r="V11528" s="24"/>
      <c r="W11528" s="24"/>
      <c r="X11528" s="24"/>
      <c r="Y11528" s="24"/>
      <c r="Z11528" s="24"/>
      <c r="AA11528" s="24"/>
    </row>
    <row r="11529">
      <c r="A11529" s="24"/>
      <c r="B11529" s="25"/>
      <c r="C11529" s="24"/>
      <c r="D11529" s="26"/>
      <c r="E11529" s="24"/>
      <c r="F11529" s="24"/>
      <c r="G11529" s="24"/>
      <c r="H11529" s="24"/>
      <c r="I11529" s="24"/>
      <c r="J11529" s="24"/>
      <c r="K11529" s="24"/>
      <c r="L11529" s="24"/>
      <c r="M11529" s="24"/>
      <c r="N11529" s="24"/>
      <c r="O11529" s="24"/>
      <c r="P11529" s="24"/>
      <c r="Q11529" s="24"/>
      <c r="R11529" s="24"/>
      <c r="S11529" s="24"/>
      <c r="T11529" s="24"/>
      <c r="U11529" s="24"/>
      <c r="V11529" s="24"/>
      <c r="W11529" s="24"/>
      <c r="X11529" s="24"/>
      <c r="Y11529" s="24"/>
      <c r="Z11529" s="24"/>
      <c r="AA11529" s="24"/>
    </row>
    <row r="11530">
      <c r="A11530" s="24"/>
      <c r="B11530" s="25"/>
      <c r="C11530" s="24"/>
      <c r="D11530" s="26"/>
      <c r="E11530" s="24"/>
      <c r="F11530" s="24"/>
      <c r="G11530" s="24"/>
      <c r="H11530" s="24"/>
      <c r="I11530" s="24"/>
      <c r="J11530" s="24"/>
      <c r="K11530" s="24"/>
      <c r="L11530" s="24"/>
      <c r="M11530" s="24"/>
      <c r="N11530" s="24"/>
      <c r="O11530" s="24"/>
      <c r="P11530" s="24"/>
      <c r="Q11530" s="24"/>
      <c r="R11530" s="24"/>
      <c r="S11530" s="24"/>
      <c r="T11530" s="24"/>
      <c r="U11530" s="24"/>
      <c r="V11530" s="24"/>
      <c r="W11530" s="24"/>
      <c r="X11530" s="24"/>
      <c r="Y11530" s="24"/>
      <c r="Z11530" s="24"/>
      <c r="AA11530" s="24"/>
    </row>
    <row r="11531">
      <c r="A11531" s="24"/>
      <c r="B11531" s="25"/>
      <c r="C11531" s="24"/>
      <c r="D11531" s="26"/>
      <c r="E11531" s="24"/>
      <c r="F11531" s="24"/>
      <c r="G11531" s="24"/>
      <c r="H11531" s="24"/>
      <c r="I11531" s="24"/>
      <c r="J11531" s="24"/>
      <c r="K11531" s="24"/>
      <c r="L11531" s="24"/>
      <c r="M11531" s="24"/>
      <c r="N11531" s="24"/>
      <c r="O11531" s="24"/>
      <c r="P11531" s="24"/>
      <c r="Q11531" s="24"/>
      <c r="R11531" s="24"/>
      <c r="S11531" s="24"/>
      <c r="T11531" s="24"/>
      <c r="U11531" s="24"/>
      <c r="V11531" s="24"/>
      <c r="W11531" s="24"/>
      <c r="X11531" s="24"/>
      <c r="Y11531" s="24"/>
      <c r="Z11531" s="24"/>
      <c r="AA11531" s="24"/>
    </row>
    <row r="11532">
      <c r="A11532" s="24"/>
      <c r="B11532" s="25"/>
      <c r="C11532" s="24"/>
      <c r="D11532" s="26"/>
      <c r="E11532" s="24"/>
      <c r="F11532" s="24"/>
      <c r="G11532" s="24"/>
      <c r="H11532" s="24"/>
      <c r="I11532" s="24"/>
      <c r="J11532" s="24"/>
      <c r="K11532" s="24"/>
      <c r="L11532" s="24"/>
      <c r="M11532" s="24"/>
      <c r="N11532" s="24"/>
      <c r="O11532" s="24"/>
      <c r="P11532" s="24"/>
      <c r="Q11532" s="24"/>
      <c r="R11532" s="24"/>
      <c r="S11532" s="24"/>
      <c r="T11532" s="24"/>
      <c r="U11532" s="24"/>
      <c r="V11532" s="24"/>
      <c r="W11532" s="24"/>
      <c r="X11532" s="24"/>
      <c r="Y11532" s="24"/>
      <c r="Z11532" s="24"/>
      <c r="AA11532" s="24"/>
    </row>
    <row r="11533">
      <c r="A11533" s="24"/>
      <c r="B11533" s="25"/>
      <c r="C11533" s="24"/>
      <c r="D11533" s="26"/>
      <c r="E11533" s="24"/>
      <c r="F11533" s="24"/>
      <c r="G11533" s="24"/>
      <c r="H11533" s="24"/>
      <c r="I11533" s="24"/>
      <c r="J11533" s="24"/>
      <c r="K11533" s="24"/>
      <c r="L11533" s="24"/>
      <c r="M11533" s="24"/>
      <c r="N11533" s="24"/>
      <c r="O11533" s="24"/>
      <c r="P11533" s="24"/>
      <c r="Q11533" s="24"/>
      <c r="R11533" s="24"/>
      <c r="S11533" s="24"/>
      <c r="T11533" s="24"/>
      <c r="U11533" s="24"/>
      <c r="V11533" s="24"/>
      <c r="W11533" s="24"/>
      <c r="X11533" s="24"/>
      <c r="Y11533" s="24"/>
      <c r="Z11533" s="24"/>
      <c r="AA11533" s="24"/>
    </row>
    <row r="11534">
      <c r="A11534" s="24"/>
      <c r="B11534" s="25"/>
      <c r="C11534" s="24"/>
      <c r="D11534" s="26"/>
      <c r="E11534" s="24"/>
      <c r="F11534" s="24"/>
      <c r="G11534" s="24"/>
      <c r="H11534" s="24"/>
      <c r="I11534" s="24"/>
      <c r="J11534" s="24"/>
      <c r="K11534" s="24"/>
      <c r="L11534" s="24"/>
      <c r="M11534" s="24"/>
      <c r="N11534" s="24"/>
      <c r="O11534" s="24"/>
      <c r="P11534" s="24"/>
      <c r="Q11534" s="24"/>
      <c r="R11534" s="24"/>
      <c r="S11534" s="24"/>
      <c r="T11534" s="24"/>
      <c r="U11534" s="24"/>
      <c r="V11534" s="24"/>
      <c r="W11534" s="24"/>
      <c r="X11534" s="24"/>
      <c r="Y11534" s="24"/>
      <c r="Z11534" s="24"/>
      <c r="AA11534" s="24"/>
    </row>
    <row r="11535">
      <c r="A11535" s="24"/>
      <c r="B11535" s="25"/>
      <c r="C11535" s="24"/>
      <c r="D11535" s="26"/>
      <c r="E11535" s="24"/>
      <c r="F11535" s="24"/>
      <c r="G11535" s="24"/>
      <c r="H11535" s="24"/>
      <c r="I11535" s="24"/>
      <c r="J11535" s="24"/>
      <c r="K11535" s="24"/>
      <c r="L11535" s="24"/>
      <c r="M11535" s="24"/>
      <c r="N11535" s="24"/>
      <c r="O11535" s="24"/>
      <c r="P11535" s="24"/>
      <c r="Q11535" s="24"/>
      <c r="R11535" s="24"/>
      <c r="S11535" s="24"/>
      <c r="T11535" s="24"/>
      <c r="U11535" s="24"/>
      <c r="V11535" s="24"/>
      <c r="W11535" s="24"/>
      <c r="X11535" s="24"/>
      <c r="Y11535" s="24"/>
      <c r="Z11535" s="24"/>
      <c r="AA11535" s="24"/>
    </row>
    <row r="11536">
      <c r="A11536" s="24"/>
      <c r="B11536" s="25"/>
      <c r="C11536" s="24"/>
      <c r="D11536" s="26"/>
      <c r="E11536" s="24"/>
      <c r="F11536" s="24"/>
      <c r="G11536" s="24"/>
      <c r="H11536" s="24"/>
      <c r="I11536" s="24"/>
      <c r="J11536" s="24"/>
      <c r="K11536" s="24"/>
      <c r="L11536" s="24"/>
      <c r="M11536" s="24"/>
      <c r="N11536" s="24"/>
      <c r="O11536" s="24"/>
      <c r="P11536" s="24"/>
      <c r="Q11536" s="24"/>
      <c r="R11536" s="24"/>
      <c r="S11536" s="24"/>
      <c r="T11536" s="24"/>
      <c r="U11536" s="24"/>
      <c r="V11536" s="24"/>
      <c r="W11536" s="24"/>
      <c r="X11536" s="24"/>
      <c r="Y11536" s="24"/>
      <c r="Z11536" s="24"/>
      <c r="AA11536" s="24"/>
    </row>
    <row r="11537">
      <c r="A11537" s="24"/>
      <c r="B11537" s="25"/>
      <c r="C11537" s="24"/>
      <c r="D11537" s="26"/>
      <c r="E11537" s="24"/>
      <c r="F11537" s="24"/>
      <c r="G11537" s="24"/>
      <c r="H11537" s="24"/>
      <c r="I11537" s="24"/>
      <c r="J11537" s="24"/>
      <c r="K11537" s="24"/>
      <c r="L11537" s="24"/>
      <c r="M11537" s="24"/>
      <c r="N11537" s="24"/>
      <c r="O11537" s="24"/>
      <c r="P11537" s="24"/>
      <c r="Q11537" s="24"/>
      <c r="R11537" s="24"/>
      <c r="S11537" s="24"/>
      <c r="T11537" s="24"/>
      <c r="U11537" s="24"/>
      <c r="V11537" s="24"/>
      <c r="W11537" s="24"/>
      <c r="X11537" s="24"/>
      <c r="Y11537" s="24"/>
      <c r="Z11537" s="24"/>
      <c r="AA11537" s="24"/>
    </row>
    <row r="11538">
      <c r="A11538" s="24"/>
      <c r="B11538" s="25"/>
      <c r="C11538" s="24"/>
      <c r="D11538" s="26"/>
      <c r="E11538" s="24"/>
      <c r="F11538" s="24"/>
      <c r="G11538" s="24"/>
      <c r="H11538" s="24"/>
      <c r="I11538" s="24"/>
      <c r="J11538" s="24"/>
      <c r="K11538" s="24"/>
      <c r="L11538" s="24"/>
      <c r="M11538" s="24"/>
      <c r="N11538" s="24"/>
      <c r="O11538" s="24"/>
      <c r="P11538" s="24"/>
      <c r="Q11538" s="24"/>
      <c r="R11538" s="24"/>
      <c r="S11538" s="24"/>
      <c r="T11538" s="24"/>
      <c r="U11538" s="24"/>
      <c r="V11538" s="24"/>
      <c r="W11538" s="24"/>
      <c r="X11538" s="24"/>
      <c r="Y11538" s="24"/>
      <c r="Z11538" s="24"/>
      <c r="AA11538" s="24"/>
    </row>
    <row r="11539">
      <c r="A11539" s="24"/>
      <c r="B11539" s="25"/>
      <c r="C11539" s="24"/>
      <c r="D11539" s="26"/>
      <c r="E11539" s="24"/>
      <c r="F11539" s="24"/>
      <c r="G11539" s="24"/>
      <c r="H11539" s="24"/>
      <c r="I11539" s="24"/>
      <c r="J11539" s="24"/>
      <c r="K11539" s="24"/>
      <c r="L11539" s="24"/>
      <c r="M11539" s="24"/>
      <c r="N11539" s="24"/>
      <c r="O11539" s="24"/>
      <c r="P11539" s="24"/>
      <c r="Q11539" s="24"/>
      <c r="R11539" s="24"/>
      <c r="S11539" s="24"/>
      <c r="T11539" s="24"/>
      <c r="U11539" s="24"/>
      <c r="V11539" s="24"/>
      <c r="W11539" s="24"/>
      <c r="X11539" s="24"/>
      <c r="Y11539" s="24"/>
      <c r="Z11539" s="24"/>
      <c r="AA11539" s="24"/>
    </row>
    <row r="11540">
      <c r="A11540" s="24"/>
      <c r="B11540" s="25"/>
      <c r="C11540" s="24"/>
      <c r="D11540" s="26"/>
      <c r="E11540" s="24"/>
      <c r="F11540" s="24"/>
      <c r="G11540" s="24"/>
      <c r="H11540" s="24"/>
      <c r="I11540" s="24"/>
      <c r="J11540" s="24"/>
      <c r="K11540" s="24"/>
      <c r="L11540" s="24"/>
      <c r="M11540" s="24"/>
      <c r="N11540" s="24"/>
      <c r="O11540" s="24"/>
      <c r="P11540" s="24"/>
      <c r="Q11540" s="24"/>
      <c r="R11540" s="24"/>
      <c r="S11540" s="24"/>
      <c r="T11540" s="24"/>
      <c r="U11540" s="24"/>
      <c r="V11540" s="24"/>
      <c r="W11540" s="24"/>
      <c r="X11540" s="24"/>
      <c r="Y11540" s="24"/>
      <c r="Z11540" s="24"/>
      <c r="AA11540" s="24"/>
    </row>
    <row r="11541">
      <c r="A11541" s="24"/>
      <c r="B11541" s="25"/>
      <c r="C11541" s="24"/>
      <c r="D11541" s="26"/>
      <c r="E11541" s="24"/>
      <c r="F11541" s="24"/>
      <c r="G11541" s="24"/>
      <c r="H11541" s="24"/>
      <c r="I11541" s="24"/>
      <c r="J11541" s="24"/>
      <c r="K11541" s="24"/>
      <c r="L11541" s="24"/>
      <c r="M11541" s="24"/>
      <c r="N11541" s="24"/>
      <c r="O11541" s="24"/>
      <c r="P11541" s="24"/>
      <c r="Q11541" s="24"/>
      <c r="R11541" s="24"/>
      <c r="S11541" s="24"/>
      <c r="T11541" s="24"/>
      <c r="U11541" s="24"/>
      <c r="V11541" s="24"/>
      <c r="W11541" s="24"/>
      <c r="X11541" s="24"/>
      <c r="Y11541" s="24"/>
      <c r="Z11541" s="24"/>
      <c r="AA11541" s="24"/>
    </row>
    <row r="11542">
      <c r="A11542" s="24"/>
      <c r="B11542" s="25"/>
      <c r="C11542" s="24"/>
      <c r="D11542" s="26"/>
      <c r="E11542" s="24"/>
      <c r="F11542" s="24"/>
      <c r="G11542" s="24"/>
      <c r="H11542" s="24"/>
      <c r="I11542" s="24"/>
      <c r="J11542" s="24"/>
      <c r="K11542" s="24"/>
      <c r="L11542" s="24"/>
      <c r="M11542" s="24"/>
      <c r="N11542" s="24"/>
      <c r="O11542" s="24"/>
      <c r="P11542" s="24"/>
      <c r="Q11542" s="24"/>
      <c r="R11542" s="24"/>
      <c r="S11542" s="24"/>
      <c r="T11542" s="24"/>
      <c r="U11542" s="24"/>
      <c r="V11542" s="24"/>
      <c r="W11542" s="24"/>
      <c r="X11542" s="24"/>
      <c r="Y11542" s="24"/>
      <c r="Z11542" s="24"/>
      <c r="AA11542" s="24"/>
    </row>
    <row r="11543">
      <c r="A11543" s="24"/>
      <c r="B11543" s="25"/>
      <c r="C11543" s="24"/>
      <c r="D11543" s="26"/>
      <c r="E11543" s="24"/>
      <c r="F11543" s="24"/>
      <c r="G11543" s="24"/>
      <c r="H11543" s="24"/>
      <c r="I11543" s="24"/>
      <c r="J11543" s="24"/>
      <c r="K11543" s="24"/>
      <c r="L11543" s="24"/>
      <c r="M11543" s="24"/>
      <c r="N11543" s="24"/>
      <c r="O11543" s="24"/>
      <c r="P11543" s="24"/>
      <c r="Q11543" s="24"/>
      <c r="R11543" s="24"/>
      <c r="S11543" s="24"/>
      <c r="T11543" s="24"/>
      <c r="U11543" s="24"/>
      <c r="V11543" s="24"/>
      <c r="W11543" s="24"/>
      <c r="X11543" s="24"/>
      <c r="Y11543" s="24"/>
      <c r="Z11543" s="24"/>
      <c r="AA11543" s="24"/>
    </row>
    <row r="11544">
      <c r="A11544" s="24"/>
      <c r="B11544" s="25"/>
      <c r="C11544" s="24"/>
      <c r="D11544" s="26"/>
      <c r="E11544" s="24"/>
      <c r="F11544" s="24"/>
      <c r="G11544" s="24"/>
      <c r="H11544" s="24"/>
      <c r="I11544" s="24"/>
      <c r="J11544" s="24"/>
      <c r="K11544" s="24"/>
      <c r="L11544" s="24"/>
      <c r="M11544" s="24"/>
      <c r="N11544" s="24"/>
      <c r="O11544" s="24"/>
      <c r="P11544" s="24"/>
      <c r="Q11544" s="24"/>
      <c r="R11544" s="24"/>
      <c r="S11544" s="24"/>
      <c r="T11544" s="24"/>
      <c r="U11544" s="24"/>
      <c r="V11544" s="24"/>
      <c r="W11544" s="24"/>
      <c r="X11544" s="24"/>
      <c r="Y11544" s="24"/>
      <c r="Z11544" s="24"/>
      <c r="AA11544" s="24"/>
    </row>
    <row r="11545">
      <c r="A11545" s="24"/>
      <c r="B11545" s="25"/>
      <c r="C11545" s="24"/>
      <c r="D11545" s="26"/>
      <c r="E11545" s="24"/>
      <c r="F11545" s="24"/>
      <c r="G11545" s="24"/>
      <c r="H11545" s="24"/>
      <c r="I11545" s="24"/>
      <c r="J11545" s="24"/>
      <c r="K11545" s="24"/>
      <c r="L11545" s="24"/>
      <c r="M11545" s="24"/>
      <c r="N11545" s="24"/>
      <c r="O11545" s="24"/>
      <c r="P11545" s="24"/>
      <c r="Q11545" s="24"/>
      <c r="R11545" s="24"/>
      <c r="S11545" s="24"/>
      <c r="T11545" s="24"/>
      <c r="U11545" s="24"/>
      <c r="V11545" s="24"/>
      <c r="W11545" s="24"/>
      <c r="X11545" s="24"/>
      <c r="Y11545" s="24"/>
      <c r="Z11545" s="24"/>
      <c r="AA11545" s="24"/>
    </row>
    <row r="11546">
      <c r="A11546" s="24"/>
      <c r="B11546" s="25"/>
      <c r="C11546" s="24"/>
      <c r="D11546" s="26"/>
      <c r="E11546" s="24"/>
      <c r="F11546" s="24"/>
      <c r="G11546" s="24"/>
      <c r="H11546" s="24"/>
      <c r="I11546" s="24"/>
      <c r="J11546" s="24"/>
      <c r="K11546" s="24"/>
      <c r="L11546" s="24"/>
      <c r="M11546" s="24"/>
      <c r="N11546" s="24"/>
      <c r="O11546" s="24"/>
      <c r="P11546" s="24"/>
      <c r="Q11546" s="24"/>
      <c r="R11546" s="24"/>
      <c r="S11546" s="24"/>
      <c r="T11546" s="24"/>
      <c r="U11546" s="24"/>
      <c r="V11546" s="24"/>
      <c r="W11546" s="24"/>
      <c r="X11546" s="24"/>
      <c r="Y11546" s="24"/>
      <c r="Z11546" s="24"/>
      <c r="AA11546" s="24"/>
    </row>
    <row r="11547">
      <c r="A11547" s="24"/>
      <c r="B11547" s="25"/>
      <c r="C11547" s="24"/>
      <c r="D11547" s="26"/>
      <c r="E11547" s="24"/>
      <c r="F11547" s="24"/>
      <c r="G11547" s="24"/>
      <c r="H11547" s="24"/>
      <c r="I11547" s="24"/>
      <c r="J11547" s="24"/>
      <c r="K11547" s="24"/>
      <c r="L11547" s="24"/>
      <c r="M11547" s="24"/>
      <c r="N11547" s="24"/>
      <c r="O11547" s="24"/>
      <c r="P11547" s="24"/>
      <c r="Q11547" s="24"/>
      <c r="R11547" s="24"/>
      <c r="S11547" s="24"/>
      <c r="T11547" s="24"/>
      <c r="U11547" s="24"/>
      <c r="V11547" s="24"/>
      <c r="W11547" s="24"/>
      <c r="X11547" s="24"/>
      <c r="Y11547" s="24"/>
      <c r="Z11547" s="24"/>
      <c r="AA11547" s="24"/>
    </row>
    <row r="11548">
      <c r="A11548" s="24"/>
      <c r="B11548" s="25"/>
      <c r="C11548" s="24"/>
      <c r="D11548" s="26"/>
      <c r="E11548" s="24"/>
      <c r="F11548" s="24"/>
      <c r="G11548" s="24"/>
      <c r="H11548" s="24"/>
      <c r="I11548" s="24"/>
      <c r="J11548" s="24"/>
      <c r="K11548" s="24"/>
      <c r="L11548" s="24"/>
      <c r="M11548" s="24"/>
      <c r="N11548" s="24"/>
      <c r="O11548" s="24"/>
      <c r="P11548" s="24"/>
      <c r="Q11548" s="24"/>
      <c r="R11548" s="24"/>
      <c r="S11548" s="24"/>
      <c r="T11548" s="24"/>
      <c r="U11548" s="24"/>
      <c r="V11548" s="24"/>
      <c r="W11548" s="24"/>
      <c r="X11548" s="24"/>
      <c r="Y11548" s="24"/>
      <c r="Z11548" s="24"/>
      <c r="AA11548" s="24"/>
    </row>
    <row r="11549">
      <c r="A11549" s="24"/>
      <c r="B11549" s="25"/>
      <c r="C11549" s="24"/>
      <c r="D11549" s="26"/>
      <c r="E11549" s="24"/>
      <c r="F11549" s="24"/>
      <c r="G11549" s="24"/>
      <c r="H11549" s="24"/>
      <c r="I11549" s="24"/>
      <c r="J11549" s="24"/>
      <c r="K11549" s="24"/>
      <c r="L11549" s="24"/>
      <c r="M11549" s="24"/>
      <c r="N11549" s="24"/>
      <c r="O11549" s="24"/>
      <c r="P11549" s="24"/>
      <c r="Q11549" s="24"/>
      <c r="R11549" s="24"/>
      <c r="S11549" s="24"/>
      <c r="T11549" s="24"/>
      <c r="U11549" s="24"/>
      <c r="V11549" s="24"/>
      <c r="W11549" s="24"/>
      <c r="X11549" s="24"/>
      <c r="Y11549" s="24"/>
      <c r="Z11549" s="24"/>
      <c r="AA11549" s="24"/>
    </row>
    <row r="11550">
      <c r="A11550" s="24"/>
      <c r="B11550" s="25"/>
      <c r="C11550" s="24"/>
      <c r="D11550" s="26"/>
      <c r="E11550" s="24"/>
      <c r="F11550" s="24"/>
      <c r="G11550" s="24"/>
      <c r="H11550" s="24"/>
      <c r="I11550" s="24"/>
      <c r="J11550" s="24"/>
      <c r="K11550" s="24"/>
      <c r="L11550" s="24"/>
      <c r="M11550" s="24"/>
      <c r="N11550" s="24"/>
      <c r="O11550" s="24"/>
      <c r="P11550" s="24"/>
      <c r="Q11550" s="24"/>
      <c r="R11550" s="24"/>
      <c r="S11550" s="24"/>
      <c r="T11550" s="24"/>
      <c r="U11550" s="24"/>
      <c r="V11550" s="24"/>
      <c r="W11550" s="24"/>
      <c r="X11550" s="24"/>
      <c r="Y11550" s="24"/>
      <c r="Z11550" s="24"/>
      <c r="AA11550" s="24"/>
    </row>
    <row r="11551">
      <c r="A11551" s="24"/>
      <c r="B11551" s="25"/>
      <c r="C11551" s="24"/>
      <c r="D11551" s="26"/>
      <c r="E11551" s="24"/>
      <c r="F11551" s="24"/>
      <c r="G11551" s="24"/>
      <c r="H11551" s="24"/>
      <c r="I11551" s="24"/>
      <c r="J11551" s="24"/>
      <c r="K11551" s="24"/>
      <c r="L11551" s="24"/>
      <c r="M11551" s="24"/>
      <c r="N11551" s="24"/>
      <c r="O11551" s="24"/>
      <c r="P11551" s="24"/>
      <c r="Q11551" s="24"/>
      <c r="R11551" s="24"/>
      <c r="S11551" s="24"/>
      <c r="T11551" s="24"/>
      <c r="U11551" s="24"/>
      <c r="V11551" s="24"/>
      <c r="W11551" s="24"/>
      <c r="X11551" s="24"/>
      <c r="Y11551" s="24"/>
      <c r="Z11551" s="24"/>
      <c r="AA11551" s="24"/>
    </row>
    <row r="11552">
      <c r="A11552" s="24"/>
      <c r="B11552" s="25"/>
      <c r="C11552" s="24"/>
      <c r="D11552" s="26"/>
      <c r="E11552" s="24"/>
      <c r="F11552" s="24"/>
      <c r="G11552" s="24"/>
      <c r="H11552" s="24"/>
      <c r="I11552" s="24"/>
      <c r="J11552" s="24"/>
      <c r="K11552" s="24"/>
      <c r="L11552" s="24"/>
      <c r="M11552" s="24"/>
      <c r="N11552" s="24"/>
      <c r="O11552" s="24"/>
      <c r="P11552" s="24"/>
      <c r="Q11552" s="24"/>
      <c r="R11552" s="24"/>
      <c r="S11552" s="24"/>
      <c r="T11552" s="24"/>
      <c r="U11552" s="24"/>
      <c r="V11552" s="24"/>
      <c r="W11552" s="24"/>
      <c r="X11552" s="24"/>
      <c r="Y11552" s="24"/>
      <c r="Z11552" s="24"/>
      <c r="AA11552" s="24"/>
    </row>
    <row r="11553">
      <c r="A11553" s="24"/>
      <c r="B11553" s="25"/>
      <c r="C11553" s="24"/>
      <c r="D11553" s="26"/>
      <c r="E11553" s="24"/>
      <c r="F11553" s="24"/>
      <c r="G11553" s="24"/>
      <c r="H11553" s="24"/>
      <c r="I11553" s="24"/>
      <c r="J11553" s="24"/>
      <c r="K11553" s="24"/>
      <c r="L11553" s="24"/>
      <c r="M11553" s="24"/>
      <c r="N11553" s="24"/>
      <c r="O11553" s="24"/>
      <c r="P11553" s="24"/>
      <c r="Q11553" s="24"/>
      <c r="R11553" s="24"/>
      <c r="S11553" s="24"/>
      <c r="T11553" s="24"/>
      <c r="U11553" s="24"/>
      <c r="V11553" s="24"/>
      <c r="W11553" s="24"/>
      <c r="X11553" s="24"/>
      <c r="Y11553" s="24"/>
      <c r="Z11553" s="24"/>
      <c r="AA11553" s="24"/>
    </row>
    <row r="11554">
      <c r="A11554" s="24"/>
      <c r="B11554" s="25"/>
      <c r="C11554" s="24"/>
      <c r="D11554" s="26"/>
      <c r="E11554" s="24"/>
      <c r="F11554" s="24"/>
      <c r="G11554" s="24"/>
      <c r="H11554" s="24"/>
      <c r="I11554" s="24"/>
      <c r="J11554" s="24"/>
      <c r="K11554" s="24"/>
      <c r="L11554" s="24"/>
      <c r="M11554" s="24"/>
      <c r="N11554" s="24"/>
      <c r="O11554" s="24"/>
      <c r="P11554" s="24"/>
      <c r="Q11554" s="24"/>
      <c r="R11554" s="24"/>
      <c r="S11554" s="24"/>
      <c r="T11554" s="24"/>
      <c r="U11554" s="24"/>
      <c r="V11554" s="24"/>
      <c r="W11554" s="24"/>
      <c r="X11554" s="24"/>
      <c r="Y11554" s="24"/>
      <c r="Z11554" s="24"/>
      <c r="AA11554" s="24"/>
    </row>
    <row r="11555">
      <c r="A11555" s="24"/>
      <c r="B11555" s="25"/>
      <c r="C11555" s="24"/>
      <c r="D11555" s="26"/>
      <c r="E11555" s="24"/>
      <c r="F11555" s="24"/>
      <c r="G11555" s="24"/>
      <c r="H11555" s="24"/>
      <c r="I11555" s="24"/>
      <c r="J11555" s="24"/>
      <c r="K11555" s="24"/>
      <c r="L11555" s="24"/>
      <c r="M11555" s="24"/>
      <c r="N11555" s="24"/>
      <c r="O11555" s="24"/>
      <c r="P11555" s="24"/>
      <c r="Q11555" s="24"/>
      <c r="R11555" s="24"/>
      <c r="S11555" s="24"/>
      <c r="T11555" s="24"/>
      <c r="U11555" s="24"/>
      <c r="V11555" s="24"/>
      <c r="W11555" s="24"/>
      <c r="X11555" s="24"/>
      <c r="Y11555" s="24"/>
      <c r="Z11555" s="24"/>
      <c r="AA11555" s="24"/>
    </row>
    <row r="11556">
      <c r="A11556" s="24"/>
      <c r="B11556" s="25"/>
      <c r="C11556" s="24"/>
      <c r="D11556" s="26"/>
      <c r="E11556" s="24"/>
      <c r="F11556" s="24"/>
      <c r="G11556" s="24"/>
      <c r="H11556" s="24"/>
      <c r="I11556" s="24"/>
      <c r="J11556" s="24"/>
      <c r="K11556" s="24"/>
      <c r="L11556" s="24"/>
      <c r="M11556" s="24"/>
      <c r="N11556" s="24"/>
      <c r="O11556" s="24"/>
      <c r="P11556" s="24"/>
      <c r="Q11556" s="24"/>
      <c r="R11556" s="24"/>
      <c r="S11556" s="24"/>
      <c r="T11556" s="24"/>
      <c r="U11556" s="24"/>
      <c r="V11556" s="24"/>
      <c r="W11556" s="24"/>
      <c r="X11556" s="24"/>
      <c r="Y11556" s="24"/>
      <c r="Z11556" s="24"/>
      <c r="AA11556" s="24"/>
    </row>
    <row r="11557">
      <c r="A11557" s="24"/>
      <c r="B11557" s="25"/>
      <c r="C11557" s="24"/>
      <c r="D11557" s="26"/>
      <c r="E11557" s="24"/>
      <c r="F11557" s="24"/>
      <c r="G11557" s="24"/>
      <c r="H11557" s="24"/>
      <c r="I11557" s="24"/>
      <c r="J11557" s="24"/>
      <c r="K11557" s="24"/>
      <c r="L11557" s="24"/>
      <c r="M11557" s="24"/>
      <c r="N11557" s="24"/>
      <c r="O11557" s="24"/>
      <c r="P11557" s="24"/>
      <c r="Q11557" s="24"/>
      <c r="R11557" s="24"/>
      <c r="S11557" s="24"/>
      <c r="T11557" s="24"/>
      <c r="U11557" s="24"/>
      <c r="V11557" s="24"/>
      <c r="W11557" s="24"/>
      <c r="X11557" s="24"/>
      <c r="Y11557" s="24"/>
      <c r="Z11557" s="24"/>
      <c r="AA11557" s="24"/>
    </row>
    <row r="11558">
      <c r="A11558" s="24"/>
      <c r="B11558" s="25"/>
      <c r="C11558" s="24"/>
      <c r="D11558" s="26"/>
      <c r="E11558" s="24"/>
      <c r="F11558" s="24"/>
      <c r="G11558" s="24"/>
      <c r="H11558" s="24"/>
      <c r="I11558" s="24"/>
      <c r="J11558" s="24"/>
      <c r="K11558" s="24"/>
      <c r="L11558" s="24"/>
      <c r="M11558" s="24"/>
      <c r="N11558" s="24"/>
      <c r="O11558" s="24"/>
      <c r="P11558" s="24"/>
      <c r="Q11558" s="24"/>
      <c r="R11558" s="24"/>
      <c r="S11558" s="24"/>
      <c r="T11558" s="24"/>
      <c r="U11558" s="24"/>
      <c r="V11558" s="24"/>
      <c r="W11558" s="24"/>
      <c r="X11558" s="24"/>
      <c r="Y11558" s="24"/>
      <c r="Z11558" s="24"/>
      <c r="AA11558" s="24"/>
    </row>
    <row r="11559">
      <c r="A11559" s="24"/>
      <c r="B11559" s="25"/>
      <c r="C11559" s="24"/>
      <c r="D11559" s="26"/>
      <c r="E11559" s="24"/>
      <c r="F11559" s="24"/>
      <c r="G11559" s="24"/>
      <c r="H11559" s="24"/>
      <c r="I11559" s="24"/>
      <c r="J11559" s="24"/>
      <c r="K11559" s="24"/>
      <c r="L11559" s="24"/>
      <c r="M11559" s="24"/>
      <c r="N11559" s="24"/>
      <c r="O11559" s="24"/>
      <c r="P11559" s="24"/>
      <c r="Q11559" s="24"/>
      <c r="R11559" s="24"/>
      <c r="S11559" s="24"/>
      <c r="T11559" s="24"/>
      <c r="U11559" s="24"/>
      <c r="V11559" s="24"/>
      <c r="W11559" s="24"/>
      <c r="X11559" s="24"/>
      <c r="Y11559" s="24"/>
      <c r="Z11559" s="24"/>
      <c r="AA11559" s="24"/>
    </row>
    <row r="11560">
      <c r="A11560" s="24"/>
      <c r="B11560" s="25"/>
      <c r="C11560" s="24"/>
      <c r="D11560" s="26"/>
      <c r="E11560" s="24"/>
      <c r="F11560" s="24"/>
      <c r="G11560" s="24"/>
      <c r="H11560" s="24"/>
      <c r="I11560" s="24"/>
      <c r="J11560" s="24"/>
      <c r="K11560" s="24"/>
      <c r="L11560" s="24"/>
      <c r="M11560" s="24"/>
      <c r="N11560" s="24"/>
      <c r="O11560" s="24"/>
      <c r="P11560" s="24"/>
      <c r="Q11560" s="24"/>
      <c r="R11560" s="24"/>
      <c r="S11560" s="24"/>
      <c r="T11560" s="24"/>
      <c r="U11560" s="24"/>
      <c r="V11560" s="24"/>
      <c r="W11560" s="24"/>
      <c r="X11560" s="24"/>
      <c r="Y11560" s="24"/>
      <c r="Z11560" s="24"/>
      <c r="AA11560" s="24"/>
    </row>
    <row r="11561">
      <c r="A11561" s="24"/>
      <c r="B11561" s="25"/>
      <c r="C11561" s="24"/>
      <c r="D11561" s="26"/>
      <c r="E11561" s="24"/>
      <c r="F11561" s="24"/>
      <c r="G11561" s="24"/>
      <c r="H11561" s="24"/>
      <c r="I11561" s="24"/>
      <c r="J11561" s="24"/>
      <c r="K11561" s="24"/>
      <c r="L11561" s="24"/>
      <c r="M11561" s="24"/>
      <c r="N11561" s="24"/>
      <c r="O11561" s="24"/>
      <c r="P11561" s="24"/>
      <c r="Q11561" s="24"/>
      <c r="R11561" s="24"/>
      <c r="S11561" s="24"/>
      <c r="T11561" s="24"/>
      <c r="U11561" s="24"/>
      <c r="V11561" s="24"/>
      <c r="W11561" s="24"/>
      <c r="X11561" s="24"/>
      <c r="Y11561" s="24"/>
      <c r="Z11561" s="24"/>
      <c r="AA11561" s="24"/>
    </row>
    <row r="11562">
      <c r="A11562" s="24"/>
      <c r="B11562" s="25"/>
      <c r="C11562" s="24"/>
      <c r="D11562" s="26"/>
      <c r="E11562" s="24"/>
      <c r="F11562" s="24"/>
      <c r="G11562" s="24"/>
      <c r="H11562" s="24"/>
      <c r="I11562" s="24"/>
      <c r="J11562" s="24"/>
      <c r="K11562" s="24"/>
      <c r="L11562" s="24"/>
      <c r="M11562" s="24"/>
      <c r="N11562" s="24"/>
      <c r="O11562" s="24"/>
      <c r="P11562" s="24"/>
      <c r="Q11562" s="24"/>
      <c r="R11562" s="24"/>
      <c r="S11562" s="24"/>
      <c r="T11562" s="24"/>
      <c r="U11562" s="24"/>
      <c r="V11562" s="24"/>
      <c r="W11562" s="24"/>
      <c r="X11562" s="24"/>
      <c r="Y11562" s="24"/>
      <c r="Z11562" s="24"/>
      <c r="AA11562" s="24"/>
    </row>
    <row r="11563">
      <c r="A11563" s="24"/>
      <c r="B11563" s="25"/>
      <c r="C11563" s="24"/>
      <c r="D11563" s="26"/>
      <c r="E11563" s="24"/>
      <c r="F11563" s="24"/>
      <c r="G11563" s="24"/>
      <c r="H11563" s="24"/>
      <c r="I11563" s="24"/>
      <c r="J11563" s="24"/>
      <c r="K11563" s="24"/>
      <c r="L11563" s="24"/>
      <c r="M11563" s="24"/>
      <c r="N11563" s="24"/>
      <c r="O11563" s="24"/>
      <c r="P11563" s="24"/>
      <c r="Q11563" s="24"/>
      <c r="R11563" s="24"/>
      <c r="S11563" s="24"/>
      <c r="T11563" s="24"/>
      <c r="U11563" s="24"/>
      <c r="V11563" s="24"/>
      <c r="W11563" s="24"/>
      <c r="X11563" s="24"/>
      <c r="Y11563" s="24"/>
      <c r="Z11563" s="24"/>
      <c r="AA11563" s="24"/>
    </row>
    <row r="11564">
      <c r="A11564" s="24"/>
      <c r="B11564" s="25"/>
      <c r="C11564" s="24"/>
      <c r="D11564" s="26"/>
      <c r="E11564" s="24"/>
      <c r="F11564" s="24"/>
      <c r="G11564" s="24"/>
      <c r="H11564" s="24"/>
      <c r="I11564" s="24"/>
      <c r="J11564" s="24"/>
      <c r="K11564" s="24"/>
      <c r="L11564" s="24"/>
      <c r="M11564" s="24"/>
      <c r="N11564" s="24"/>
      <c r="O11564" s="24"/>
      <c r="P11564" s="24"/>
      <c r="Q11564" s="24"/>
      <c r="R11564" s="24"/>
      <c r="S11564" s="24"/>
      <c r="T11564" s="24"/>
      <c r="U11564" s="24"/>
      <c r="V11564" s="24"/>
      <c r="W11564" s="24"/>
      <c r="X11564" s="24"/>
      <c r="Y11564" s="24"/>
      <c r="Z11564" s="24"/>
      <c r="AA11564" s="24"/>
    </row>
    <row r="11565">
      <c r="A11565" s="24"/>
      <c r="B11565" s="25"/>
      <c r="C11565" s="24"/>
      <c r="D11565" s="26"/>
      <c r="E11565" s="24"/>
      <c r="F11565" s="24"/>
      <c r="G11565" s="24"/>
      <c r="H11565" s="24"/>
      <c r="I11565" s="24"/>
      <c r="J11565" s="24"/>
      <c r="K11565" s="24"/>
      <c r="L11565" s="24"/>
      <c r="M11565" s="24"/>
      <c r="N11565" s="24"/>
      <c r="O11565" s="24"/>
      <c r="P11565" s="24"/>
      <c r="Q11565" s="24"/>
      <c r="R11565" s="24"/>
      <c r="S11565" s="24"/>
      <c r="T11565" s="24"/>
      <c r="U11565" s="24"/>
      <c r="V11565" s="24"/>
      <c r="W11565" s="24"/>
      <c r="X11565" s="24"/>
      <c r="Y11565" s="24"/>
      <c r="Z11565" s="24"/>
      <c r="AA11565" s="24"/>
    </row>
    <row r="11566">
      <c r="A11566" s="24"/>
      <c r="B11566" s="25"/>
      <c r="C11566" s="24"/>
      <c r="D11566" s="26"/>
      <c r="E11566" s="24"/>
      <c r="F11566" s="24"/>
      <c r="G11566" s="24"/>
      <c r="H11566" s="24"/>
      <c r="I11566" s="24"/>
      <c r="J11566" s="24"/>
      <c r="K11566" s="24"/>
      <c r="L11566" s="24"/>
      <c r="M11566" s="24"/>
      <c r="N11566" s="24"/>
      <c r="O11566" s="24"/>
      <c r="P11566" s="24"/>
      <c r="Q11566" s="24"/>
      <c r="R11566" s="24"/>
      <c r="S11566" s="24"/>
      <c r="T11566" s="24"/>
      <c r="U11566" s="24"/>
      <c r="V11566" s="24"/>
      <c r="W11566" s="24"/>
      <c r="X11566" s="24"/>
      <c r="Y11566" s="24"/>
      <c r="Z11566" s="24"/>
      <c r="AA11566" s="24"/>
    </row>
    <row r="11567">
      <c r="A11567" s="24"/>
      <c r="B11567" s="25"/>
      <c r="C11567" s="24"/>
      <c r="D11567" s="26"/>
      <c r="E11567" s="24"/>
      <c r="F11567" s="24"/>
      <c r="G11567" s="24"/>
      <c r="H11567" s="24"/>
      <c r="I11567" s="24"/>
      <c r="J11567" s="24"/>
      <c r="K11567" s="24"/>
      <c r="L11567" s="24"/>
      <c r="M11567" s="24"/>
      <c r="N11567" s="24"/>
      <c r="O11567" s="24"/>
      <c r="P11567" s="24"/>
      <c r="Q11567" s="24"/>
      <c r="R11567" s="24"/>
      <c r="S11567" s="24"/>
      <c r="T11567" s="24"/>
      <c r="U11567" s="24"/>
      <c r="V11567" s="24"/>
      <c r="W11567" s="24"/>
      <c r="X11567" s="24"/>
      <c r="Y11567" s="24"/>
      <c r="Z11567" s="24"/>
      <c r="AA11567" s="24"/>
    </row>
    <row r="11568">
      <c r="A11568" s="24"/>
      <c r="B11568" s="25"/>
      <c r="C11568" s="24"/>
      <c r="D11568" s="26"/>
      <c r="E11568" s="24"/>
      <c r="F11568" s="24"/>
      <c r="G11568" s="24"/>
      <c r="H11568" s="24"/>
      <c r="I11568" s="24"/>
      <c r="J11568" s="24"/>
      <c r="K11568" s="24"/>
      <c r="L11568" s="24"/>
      <c r="M11568" s="24"/>
      <c r="N11568" s="24"/>
      <c r="O11568" s="24"/>
      <c r="P11568" s="24"/>
      <c r="Q11568" s="24"/>
      <c r="R11568" s="24"/>
      <c r="S11568" s="24"/>
      <c r="T11568" s="24"/>
      <c r="U11568" s="24"/>
      <c r="V11568" s="24"/>
      <c r="W11568" s="24"/>
      <c r="X11568" s="24"/>
      <c r="Y11568" s="24"/>
      <c r="Z11568" s="24"/>
      <c r="AA11568" s="24"/>
    </row>
    <row r="11569">
      <c r="A11569" s="24"/>
      <c r="B11569" s="25"/>
      <c r="C11569" s="24"/>
      <c r="D11569" s="26"/>
      <c r="E11569" s="24"/>
      <c r="F11569" s="24"/>
      <c r="G11569" s="24"/>
      <c r="H11569" s="24"/>
      <c r="I11569" s="24"/>
      <c r="J11569" s="24"/>
      <c r="K11569" s="24"/>
      <c r="L11569" s="24"/>
      <c r="M11569" s="24"/>
      <c r="N11569" s="24"/>
      <c r="O11569" s="24"/>
      <c r="P11569" s="24"/>
      <c r="Q11569" s="24"/>
      <c r="R11569" s="24"/>
      <c r="S11569" s="24"/>
      <c r="T11569" s="24"/>
      <c r="U11569" s="24"/>
      <c r="V11569" s="24"/>
      <c r="W11569" s="24"/>
      <c r="X11569" s="24"/>
      <c r="Y11569" s="24"/>
      <c r="Z11569" s="24"/>
      <c r="AA11569" s="24"/>
    </row>
    <row r="11570">
      <c r="A11570" s="24"/>
      <c r="B11570" s="25"/>
      <c r="C11570" s="24"/>
      <c r="D11570" s="26"/>
      <c r="E11570" s="24"/>
      <c r="F11570" s="24"/>
      <c r="G11570" s="24"/>
      <c r="H11570" s="24"/>
      <c r="I11570" s="24"/>
      <c r="J11570" s="24"/>
      <c r="K11570" s="24"/>
      <c r="L11570" s="24"/>
      <c r="M11570" s="24"/>
      <c r="N11570" s="24"/>
      <c r="O11570" s="24"/>
      <c r="P11570" s="24"/>
      <c r="Q11570" s="24"/>
      <c r="R11570" s="24"/>
      <c r="S11570" s="24"/>
      <c r="T11570" s="24"/>
      <c r="U11570" s="24"/>
      <c r="V11570" s="24"/>
      <c r="W11570" s="24"/>
      <c r="X11570" s="24"/>
      <c r="Y11570" s="24"/>
      <c r="Z11570" s="24"/>
      <c r="AA11570" s="24"/>
    </row>
    <row r="11571">
      <c r="A11571" s="24"/>
      <c r="B11571" s="25"/>
      <c r="C11571" s="24"/>
      <c r="D11571" s="26"/>
      <c r="E11571" s="24"/>
      <c r="F11571" s="24"/>
      <c r="G11571" s="24"/>
      <c r="H11571" s="24"/>
      <c r="I11571" s="24"/>
      <c r="J11571" s="24"/>
      <c r="K11571" s="24"/>
      <c r="L11571" s="24"/>
      <c r="M11571" s="24"/>
      <c r="N11571" s="24"/>
      <c r="O11571" s="24"/>
      <c r="P11571" s="24"/>
      <c r="Q11571" s="24"/>
      <c r="R11571" s="24"/>
      <c r="S11571" s="24"/>
      <c r="T11571" s="24"/>
      <c r="U11571" s="24"/>
      <c r="V11571" s="24"/>
      <c r="W11571" s="24"/>
      <c r="X11571" s="24"/>
      <c r="Y11571" s="24"/>
      <c r="Z11571" s="24"/>
      <c r="AA11571" s="24"/>
    </row>
    <row r="11572">
      <c r="A11572" s="24"/>
      <c r="B11572" s="25"/>
      <c r="C11572" s="24"/>
      <c r="D11572" s="26"/>
      <c r="E11572" s="24"/>
      <c r="F11572" s="24"/>
      <c r="G11572" s="24"/>
      <c r="H11572" s="24"/>
      <c r="I11572" s="24"/>
      <c r="J11572" s="24"/>
      <c r="K11572" s="24"/>
      <c r="L11572" s="24"/>
      <c r="M11572" s="24"/>
      <c r="N11572" s="24"/>
      <c r="O11572" s="24"/>
      <c r="P11572" s="24"/>
      <c r="Q11572" s="24"/>
      <c r="R11572" s="24"/>
      <c r="S11572" s="24"/>
      <c r="T11572" s="24"/>
      <c r="U11572" s="24"/>
      <c r="V11572" s="24"/>
      <c r="W11572" s="24"/>
      <c r="X11572" s="24"/>
      <c r="Y11572" s="24"/>
      <c r="Z11572" s="24"/>
      <c r="AA11572" s="24"/>
    </row>
    <row r="11573">
      <c r="A11573" s="24"/>
      <c r="B11573" s="25"/>
      <c r="C11573" s="24"/>
      <c r="D11573" s="26"/>
      <c r="E11573" s="24"/>
      <c r="F11573" s="24"/>
      <c r="G11573" s="24"/>
      <c r="H11573" s="24"/>
      <c r="I11573" s="24"/>
      <c r="J11573" s="24"/>
      <c r="K11573" s="24"/>
      <c r="L11573" s="24"/>
      <c r="M11573" s="24"/>
      <c r="N11573" s="24"/>
      <c r="O11573" s="24"/>
      <c r="P11573" s="24"/>
      <c r="Q11573" s="24"/>
      <c r="R11573" s="24"/>
      <c r="S11573" s="24"/>
      <c r="T11573" s="24"/>
      <c r="U11573" s="24"/>
      <c r="V11573" s="24"/>
      <c r="W11573" s="24"/>
      <c r="X11573" s="24"/>
      <c r="Y11573" s="24"/>
      <c r="Z11573" s="24"/>
      <c r="AA11573" s="24"/>
    </row>
    <row r="11574">
      <c r="A11574" s="24"/>
      <c r="B11574" s="25"/>
      <c r="C11574" s="24"/>
      <c r="D11574" s="26"/>
      <c r="E11574" s="24"/>
      <c r="F11574" s="24"/>
      <c r="G11574" s="24"/>
      <c r="H11574" s="24"/>
      <c r="I11574" s="24"/>
      <c r="J11574" s="24"/>
      <c r="K11574" s="24"/>
      <c r="L11574" s="24"/>
      <c r="M11574" s="24"/>
      <c r="N11574" s="24"/>
      <c r="O11574" s="24"/>
      <c r="P11574" s="24"/>
      <c r="Q11574" s="24"/>
      <c r="R11574" s="24"/>
      <c r="S11574" s="24"/>
      <c r="T11574" s="24"/>
      <c r="U11574" s="24"/>
      <c r="V11574" s="24"/>
      <c r="W11574" s="24"/>
      <c r="X11574" s="24"/>
      <c r="Y11574" s="24"/>
      <c r="Z11574" s="24"/>
      <c r="AA11574" s="24"/>
    </row>
    <row r="11575">
      <c r="A11575" s="24"/>
      <c r="B11575" s="25"/>
      <c r="C11575" s="24"/>
      <c r="D11575" s="26"/>
      <c r="E11575" s="24"/>
      <c r="F11575" s="24"/>
      <c r="G11575" s="24"/>
      <c r="H11575" s="24"/>
      <c r="I11575" s="24"/>
      <c r="J11575" s="24"/>
      <c r="K11575" s="24"/>
      <c r="L11575" s="24"/>
      <c r="M11575" s="24"/>
      <c r="N11575" s="24"/>
      <c r="O11575" s="24"/>
      <c r="P11575" s="24"/>
      <c r="Q11575" s="24"/>
      <c r="R11575" s="24"/>
      <c r="S11575" s="24"/>
      <c r="T11575" s="24"/>
      <c r="U11575" s="24"/>
      <c r="V11575" s="24"/>
      <c r="W11575" s="24"/>
      <c r="X11575" s="24"/>
      <c r="Y11575" s="24"/>
      <c r="Z11575" s="24"/>
      <c r="AA11575" s="24"/>
    </row>
    <row r="11576">
      <c r="A11576" s="24"/>
      <c r="B11576" s="25"/>
      <c r="C11576" s="24"/>
      <c r="D11576" s="26"/>
      <c r="E11576" s="24"/>
      <c r="F11576" s="24"/>
      <c r="G11576" s="24"/>
      <c r="H11576" s="24"/>
      <c r="I11576" s="24"/>
      <c r="J11576" s="24"/>
      <c r="K11576" s="24"/>
      <c r="L11576" s="24"/>
      <c r="M11576" s="24"/>
      <c r="N11576" s="24"/>
      <c r="O11576" s="24"/>
      <c r="P11576" s="24"/>
      <c r="Q11576" s="24"/>
      <c r="R11576" s="24"/>
      <c r="S11576" s="24"/>
      <c r="T11576" s="24"/>
      <c r="U11576" s="24"/>
      <c r="V11576" s="24"/>
      <c r="W11576" s="24"/>
      <c r="X11576" s="24"/>
      <c r="Y11576" s="24"/>
      <c r="Z11576" s="24"/>
      <c r="AA11576" s="24"/>
    </row>
    <row r="11577">
      <c r="A11577" s="24"/>
      <c r="B11577" s="25"/>
      <c r="C11577" s="24"/>
      <c r="D11577" s="26"/>
      <c r="E11577" s="24"/>
      <c r="F11577" s="24"/>
      <c r="G11577" s="24"/>
      <c r="H11577" s="24"/>
      <c r="I11577" s="24"/>
      <c r="J11577" s="24"/>
      <c r="K11577" s="24"/>
      <c r="L11577" s="24"/>
      <c r="M11577" s="24"/>
      <c r="N11577" s="24"/>
      <c r="O11577" s="24"/>
      <c r="P11577" s="24"/>
      <c r="Q11577" s="24"/>
      <c r="R11577" s="24"/>
      <c r="S11577" s="24"/>
      <c r="T11577" s="24"/>
      <c r="U11577" s="24"/>
      <c r="V11577" s="24"/>
      <c r="W11577" s="24"/>
      <c r="X11577" s="24"/>
      <c r="Y11577" s="24"/>
      <c r="Z11577" s="24"/>
      <c r="AA11577" s="24"/>
    </row>
    <row r="11578">
      <c r="A11578" s="24"/>
      <c r="B11578" s="25"/>
      <c r="C11578" s="24"/>
      <c r="D11578" s="26"/>
      <c r="E11578" s="24"/>
      <c r="F11578" s="24"/>
      <c r="G11578" s="24"/>
      <c r="H11578" s="24"/>
      <c r="I11578" s="24"/>
      <c r="J11578" s="24"/>
      <c r="K11578" s="24"/>
      <c r="L11578" s="24"/>
      <c r="M11578" s="24"/>
      <c r="N11578" s="24"/>
      <c r="O11578" s="24"/>
      <c r="P11578" s="24"/>
      <c r="Q11578" s="24"/>
      <c r="R11578" s="24"/>
      <c r="S11578" s="24"/>
      <c r="T11578" s="24"/>
      <c r="U11578" s="24"/>
      <c r="V11578" s="24"/>
      <c r="W11578" s="24"/>
      <c r="X11578" s="24"/>
      <c r="Y11578" s="24"/>
      <c r="Z11578" s="24"/>
      <c r="AA11578" s="24"/>
    </row>
    <row r="11579">
      <c r="A11579" s="24"/>
      <c r="B11579" s="25"/>
      <c r="C11579" s="24"/>
      <c r="D11579" s="26"/>
      <c r="E11579" s="24"/>
      <c r="F11579" s="24"/>
      <c r="G11579" s="24"/>
      <c r="H11579" s="24"/>
      <c r="I11579" s="24"/>
      <c r="J11579" s="24"/>
      <c r="K11579" s="24"/>
      <c r="L11579" s="24"/>
      <c r="M11579" s="24"/>
      <c r="N11579" s="24"/>
      <c r="O11579" s="24"/>
      <c r="P11579" s="24"/>
      <c r="Q11579" s="24"/>
      <c r="R11579" s="24"/>
      <c r="S11579" s="24"/>
      <c r="T11579" s="24"/>
      <c r="U11579" s="24"/>
      <c r="V11579" s="24"/>
      <c r="W11579" s="24"/>
      <c r="X11579" s="24"/>
      <c r="Y11579" s="24"/>
      <c r="Z11579" s="24"/>
      <c r="AA11579" s="24"/>
    </row>
    <row r="11580">
      <c r="A11580" s="24"/>
      <c r="B11580" s="25"/>
      <c r="C11580" s="24"/>
      <c r="D11580" s="26"/>
      <c r="E11580" s="24"/>
      <c r="F11580" s="24"/>
      <c r="G11580" s="24"/>
      <c r="H11580" s="24"/>
      <c r="I11580" s="24"/>
      <c r="J11580" s="24"/>
      <c r="K11580" s="24"/>
      <c r="L11580" s="24"/>
      <c r="M11580" s="24"/>
      <c r="N11580" s="24"/>
      <c r="O11580" s="24"/>
      <c r="P11580" s="24"/>
      <c r="Q11580" s="24"/>
      <c r="R11580" s="24"/>
      <c r="S11580" s="24"/>
      <c r="T11580" s="24"/>
      <c r="U11580" s="24"/>
      <c r="V11580" s="24"/>
      <c r="W11580" s="24"/>
      <c r="X11580" s="24"/>
      <c r="Y11580" s="24"/>
      <c r="Z11580" s="24"/>
      <c r="AA11580" s="24"/>
    </row>
    <row r="11581">
      <c r="A11581" s="24"/>
      <c r="B11581" s="25"/>
      <c r="C11581" s="24"/>
      <c r="D11581" s="26"/>
      <c r="E11581" s="24"/>
      <c r="F11581" s="24"/>
      <c r="G11581" s="24"/>
      <c r="H11581" s="24"/>
      <c r="I11581" s="24"/>
      <c r="J11581" s="24"/>
      <c r="K11581" s="24"/>
      <c r="L11581" s="24"/>
      <c r="M11581" s="24"/>
      <c r="N11581" s="24"/>
      <c r="O11581" s="24"/>
      <c r="P11581" s="24"/>
      <c r="Q11581" s="24"/>
      <c r="R11581" s="24"/>
      <c r="S11581" s="24"/>
      <c r="T11581" s="24"/>
      <c r="U11581" s="24"/>
      <c r="V11581" s="24"/>
      <c r="W11581" s="24"/>
      <c r="X11581" s="24"/>
      <c r="Y11581" s="24"/>
      <c r="Z11581" s="24"/>
      <c r="AA11581" s="24"/>
    </row>
    <row r="11582">
      <c r="A11582" s="24"/>
      <c r="B11582" s="25"/>
      <c r="C11582" s="24"/>
      <c r="D11582" s="26"/>
      <c r="E11582" s="24"/>
      <c r="F11582" s="24"/>
      <c r="G11582" s="24"/>
      <c r="H11582" s="24"/>
      <c r="I11582" s="24"/>
      <c r="J11582" s="24"/>
      <c r="K11582" s="24"/>
      <c r="L11582" s="24"/>
      <c r="M11582" s="24"/>
      <c r="N11582" s="24"/>
      <c r="O11582" s="24"/>
      <c r="P11582" s="24"/>
      <c r="Q11582" s="24"/>
      <c r="R11582" s="24"/>
      <c r="S11582" s="24"/>
      <c r="T11582" s="24"/>
      <c r="U11582" s="24"/>
      <c r="V11582" s="24"/>
      <c r="W11582" s="24"/>
      <c r="X11582" s="24"/>
      <c r="Y11582" s="24"/>
      <c r="Z11582" s="24"/>
      <c r="AA11582" s="24"/>
    </row>
    <row r="11583">
      <c r="A11583" s="24"/>
      <c r="B11583" s="25"/>
      <c r="C11583" s="24"/>
      <c r="D11583" s="26"/>
      <c r="E11583" s="24"/>
      <c r="F11583" s="24"/>
      <c r="G11583" s="24"/>
      <c r="H11583" s="24"/>
      <c r="I11583" s="24"/>
      <c r="J11583" s="24"/>
      <c r="K11583" s="24"/>
      <c r="L11583" s="24"/>
      <c r="M11583" s="24"/>
      <c r="N11583" s="24"/>
      <c r="O11583" s="24"/>
      <c r="P11583" s="24"/>
      <c r="Q11583" s="24"/>
      <c r="R11583" s="24"/>
      <c r="S11583" s="24"/>
      <c r="T11583" s="24"/>
      <c r="U11583" s="24"/>
      <c r="V11583" s="24"/>
      <c r="W11583" s="24"/>
      <c r="X11583" s="24"/>
      <c r="Y11583" s="24"/>
      <c r="Z11583" s="24"/>
      <c r="AA11583" s="24"/>
    </row>
    <row r="11584">
      <c r="A11584" s="24"/>
      <c r="B11584" s="25"/>
      <c r="C11584" s="24"/>
      <c r="D11584" s="26"/>
      <c r="E11584" s="24"/>
      <c r="F11584" s="24"/>
      <c r="G11584" s="24"/>
      <c r="H11584" s="24"/>
      <c r="I11584" s="24"/>
      <c r="J11584" s="24"/>
      <c r="K11584" s="24"/>
      <c r="L11584" s="24"/>
      <c r="M11584" s="24"/>
      <c r="N11584" s="24"/>
      <c r="O11584" s="24"/>
      <c r="P11584" s="24"/>
      <c r="Q11584" s="24"/>
      <c r="R11584" s="24"/>
      <c r="S11584" s="24"/>
      <c r="T11584" s="24"/>
      <c r="U11584" s="24"/>
      <c r="V11584" s="24"/>
      <c r="W11584" s="24"/>
      <c r="X11584" s="24"/>
      <c r="Y11584" s="24"/>
      <c r="Z11584" s="24"/>
      <c r="AA11584" s="24"/>
    </row>
    <row r="11585">
      <c r="A11585" s="24"/>
      <c r="B11585" s="25"/>
      <c r="C11585" s="24"/>
      <c r="D11585" s="26"/>
      <c r="E11585" s="24"/>
      <c r="F11585" s="24"/>
      <c r="G11585" s="24"/>
      <c r="H11585" s="24"/>
      <c r="I11585" s="24"/>
      <c r="J11585" s="24"/>
      <c r="K11585" s="24"/>
      <c r="L11585" s="24"/>
      <c r="M11585" s="24"/>
      <c r="N11585" s="24"/>
      <c r="O11585" s="24"/>
      <c r="P11585" s="24"/>
      <c r="Q11585" s="24"/>
      <c r="R11585" s="24"/>
      <c r="S11585" s="24"/>
      <c r="T11585" s="24"/>
      <c r="U11585" s="24"/>
      <c r="V11585" s="24"/>
      <c r="W11585" s="24"/>
      <c r="X11585" s="24"/>
      <c r="Y11585" s="24"/>
      <c r="Z11585" s="24"/>
      <c r="AA11585" s="24"/>
    </row>
    <row r="11586">
      <c r="A11586" s="24"/>
      <c r="B11586" s="25"/>
      <c r="C11586" s="24"/>
      <c r="D11586" s="26"/>
      <c r="E11586" s="24"/>
      <c r="F11586" s="24"/>
      <c r="G11586" s="24"/>
      <c r="H11586" s="24"/>
      <c r="I11586" s="24"/>
      <c r="J11586" s="24"/>
      <c r="K11586" s="24"/>
      <c r="L11586" s="24"/>
      <c r="M11586" s="24"/>
      <c r="N11586" s="24"/>
      <c r="O11586" s="24"/>
      <c r="P11586" s="24"/>
      <c r="Q11586" s="24"/>
      <c r="R11586" s="24"/>
      <c r="S11586" s="24"/>
      <c r="T11586" s="24"/>
      <c r="U11586" s="24"/>
      <c r="V11586" s="24"/>
      <c r="W11586" s="24"/>
      <c r="X11586" s="24"/>
      <c r="Y11586" s="24"/>
      <c r="Z11586" s="24"/>
      <c r="AA11586" s="24"/>
    </row>
    <row r="11587">
      <c r="A11587" s="24"/>
      <c r="B11587" s="25"/>
      <c r="C11587" s="24"/>
      <c r="D11587" s="26"/>
      <c r="E11587" s="24"/>
      <c r="F11587" s="24"/>
      <c r="G11587" s="24"/>
      <c r="H11587" s="24"/>
      <c r="I11587" s="24"/>
      <c r="J11587" s="24"/>
      <c r="K11587" s="24"/>
      <c r="L11587" s="24"/>
      <c r="M11587" s="24"/>
      <c r="N11587" s="24"/>
      <c r="O11587" s="24"/>
      <c r="P11587" s="24"/>
      <c r="Q11587" s="24"/>
      <c r="R11587" s="24"/>
      <c r="S11587" s="24"/>
      <c r="T11587" s="24"/>
      <c r="U11587" s="24"/>
      <c r="V11587" s="24"/>
      <c r="W11587" s="24"/>
      <c r="X11587" s="24"/>
      <c r="Y11587" s="24"/>
      <c r="Z11587" s="24"/>
      <c r="AA11587" s="24"/>
    </row>
    <row r="11588">
      <c r="A11588" s="24"/>
      <c r="B11588" s="25"/>
      <c r="C11588" s="24"/>
      <c r="D11588" s="26"/>
      <c r="E11588" s="24"/>
      <c r="F11588" s="24"/>
      <c r="G11588" s="24"/>
      <c r="H11588" s="24"/>
      <c r="I11588" s="24"/>
      <c r="J11588" s="24"/>
      <c r="K11588" s="24"/>
      <c r="L11588" s="24"/>
      <c r="M11588" s="24"/>
      <c r="N11588" s="24"/>
      <c r="O11588" s="24"/>
      <c r="P11588" s="24"/>
      <c r="Q11588" s="24"/>
      <c r="R11588" s="24"/>
      <c r="S11588" s="24"/>
      <c r="T11588" s="24"/>
      <c r="U11588" s="24"/>
      <c r="V11588" s="24"/>
      <c r="W11588" s="24"/>
      <c r="X11588" s="24"/>
      <c r="Y11588" s="24"/>
      <c r="Z11588" s="24"/>
      <c r="AA11588" s="24"/>
    </row>
    <row r="11589">
      <c r="A11589" s="24"/>
      <c r="B11589" s="25"/>
      <c r="C11589" s="24"/>
      <c r="D11589" s="26"/>
      <c r="E11589" s="24"/>
      <c r="F11589" s="24"/>
      <c r="G11589" s="24"/>
      <c r="H11589" s="24"/>
      <c r="I11589" s="24"/>
      <c r="J11589" s="24"/>
      <c r="K11589" s="24"/>
      <c r="L11589" s="24"/>
      <c r="M11589" s="24"/>
      <c r="N11589" s="24"/>
      <c r="O11589" s="24"/>
      <c r="P11589" s="24"/>
      <c r="Q11589" s="24"/>
      <c r="R11589" s="24"/>
      <c r="S11589" s="24"/>
      <c r="T11589" s="24"/>
      <c r="U11589" s="24"/>
      <c r="V11589" s="24"/>
      <c r="W11589" s="24"/>
      <c r="X11589" s="24"/>
      <c r="Y11589" s="24"/>
      <c r="Z11589" s="24"/>
      <c r="AA11589" s="24"/>
    </row>
    <row r="11590">
      <c r="A11590" s="24"/>
      <c r="B11590" s="25"/>
      <c r="C11590" s="24"/>
      <c r="D11590" s="26"/>
      <c r="E11590" s="24"/>
      <c r="F11590" s="24"/>
      <c r="G11590" s="24"/>
      <c r="H11590" s="24"/>
      <c r="I11590" s="24"/>
      <c r="J11590" s="24"/>
      <c r="K11590" s="24"/>
      <c r="L11590" s="24"/>
      <c r="M11590" s="24"/>
      <c r="N11590" s="24"/>
      <c r="O11590" s="24"/>
      <c r="P11590" s="24"/>
      <c r="Q11590" s="24"/>
      <c r="R11590" s="24"/>
      <c r="S11590" s="24"/>
      <c r="T11590" s="24"/>
      <c r="U11590" s="24"/>
      <c r="V11590" s="24"/>
      <c r="W11590" s="24"/>
      <c r="X11590" s="24"/>
      <c r="Y11590" s="24"/>
      <c r="Z11590" s="24"/>
      <c r="AA11590" s="24"/>
    </row>
    <row r="11591">
      <c r="A11591" s="24"/>
      <c r="B11591" s="25"/>
      <c r="C11591" s="24"/>
      <c r="D11591" s="26"/>
      <c r="E11591" s="24"/>
      <c r="F11591" s="24"/>
      <c r="G11591" s="24"/>
      <c r="H11591" s="24"/>
      <c r="I11591" s="24"/>
      <c r="J11591" s="24"/>
      <c r="K11591" s="24"/>
      <c r="L11591" s="24"/>
      <c r="M11591" s="24"/>
      <c r="N11591" s="24"/>
      <c r="O11591" s="24"/>
      <c r="P11591" s="24"/>
      <c r="Q11591" s="24"/>
      <c r="R11591" s="24"/>
      <c r="S11591" s="24"/>
      <c r="T11591" s="24"/>
      <c r="U11591" s="24"/>
      <c r="V11591" s="24"/>
      <c r="W11591" s="24"/>
      <c r="X11591" s="24"/>
      <c r="Y11591" s="24"/>
      <c r="Z11591" s="24"/>
      <c r="AA11591" s="24"/>
    </row>
    <row r="11592">
      <c r="A11592" s="24"/>
      <c r="B11592" s="25"/>
      <c r="C11592" s="24"/>
      <c r="D11592" s="26"/>
      <c r="E11592" s="24"/>
      <c r="F11592" s="24"/>
      <c r="G11592" s="24"/>
      <c r="H11592" s="24"/>
      <c r="I11592" s="24"/>
      <c r="J11592" s="24"/>
      <c r="K11592" s="24"/>
      <c r="L11592" s="24"/>
      <c r="M11592" s="24"/>
      <c r="N11592" s="24"/>
      <c r="O11592" s="24"/>
      <c r="P11592" s="24"/>
      <c r="Q11592" s="24"/>
      <c r="R11592" s="24"/>
      <c r="S11592" s="24"/>
      <c r="T11592" s="24"/>
      <c r="U11592" s="24"/>
      <c r="V11592" s="24"/>
      <c r="W11592" s="24"/>
      <c r="X11592" s="24"/>
      <c r="Y11592" s="24"/>
      <c r="Z11592" s="24"/>
      <c r="AA11592" s="24"/>
    </row>
    <row r="11593">
      <c r="A11593" s="24"/>
      <c r="B11593" s="25"/>
      <c r="C11593" s="24"/>
      <c r="D11593" s="26"/>
      <c r="E11593" s="24"/>
      <c r="F11593" s="24"/>
      <c r="G11593" s="24"/>
      <c r="H11593" s="24"/>
      <c r="I11593" s="24"/>
      <c r="J11593" s="24"/>
      <c r="K11593" s="24"/>
      <c r="L11593" s="24"/>
      <c r="M11593" s="24"/>
      <c r="N11593" s="24"/>
      <c r="O11593" s="24"/>
      <c r="P11593" s="24"/>
      <c r="Q11593" s="24"/>
      <c r="R11593" s="24"/>
      <c r="S11593" s="24"/>
      <c r="T11593" s="24"/>
      <c r="U11593" s="24"/>
      <c r="V11593" s="24"/>
      <c r="W11593" s="24"/>
      <c r="X11593" s="24"/>
      <c r="Y11593" s="24"/>
      <c r="Z11593" s="24"/>
      <c r="AA11593" s="24"/>
    </row>
    <row r="11594">
      <c r="A11594" s="24"/>
      <c r="B11594" s="25"/>
      <c r="C11594" s="24"/>
      <c r="D11594" s="26"/>
      <c r="E11594" s="24"/>
      <c r="F11594" s="24"/>
      <c r="G11594" s="24"/>
      <c r="H11594" s="24"/>
      <c r="I11594" s="24"/>
      <c r="J11594" s="24"/>
      <c r="K11594" s="24"/>
      <c r="L11594" s="24"/>
      <c r="M11594" s="24"/>
      <c r="N11594" s="24"/>
      <c r="O11594" s="24"/>
      <c r="P11594" s="24"/>
      <c r="Q11594" s="24"/>
      <c r="R11594" s="24"/>
      <c r="S11594" s="24"/>
      <c r="T11594" s="24"/>
      <c r="U11594" s="24"/>
      <c r="V11594" s="24"/>
      <c r="W11594" s="24"/>
      <c r="X11594" s="24"/>
      <c r="Y11594" s="24"/>
      <c r="Z11594" s="24"/>
      <c r="AA11594" s="24"/>
    </row>
    <row r="11595">
      <c r="A11595" s="24"/>
      <c r="B11595" s="25"/>
      <c r="C11595" s="24"/>
      <c r="D11595" s="26"/>
      <c r="E11595" s="24"/>
      <c r="F11595" s="24"/>
      <c r="G11595" s="24"/>
      <c r="H11595" s="24"/>
      <c r="I11595" s="24"/>
      <c r="J11595" s="24"/>
      <c r="K11595" s="24"/>
      <c r="L11595" s="24"/>
      <c r="M11595" s="24"/>
      <c r="N11595" s="24"/>
      <c r="O11595" s="24"/>
      <c r="P11595" s="24"/>
      <c r="Q11595" s="24"/>
      <c r="R11595" s="24"/>
      <c r="S11595" s="24"/>
      <c r="T11595" s="24"/>
      <c r="U11595" s="24"/>
      <c r="V11595" s="24"/>
      <c r="W11595" s="24"/>
      <c r="X11595" s="24"/>
      <c r="Y11595" s="24"/>
      <c r="Z11595" s="24"/>
      <c r="AA11595" s="24"/>
    </row>
    <row r="11596">
      <c r="A11596" s="24"/>
      <c r="B11596" s="25"/>
      <c r="C11596" s="24"/>
      <c r="D11596" s="26"/>
      <c r="E11596" s="24"/>
      <c r="F11596" s="24"/>
      <c r="G11596" s="24"/>
      <c r="H11596" s="24"/>
      <c r="I11596" s="24"/>
      <c r="J11596" s="24"/>
      <c r="K11596" s="24"/>
      <c r="L11596" s="24"/>
      <c r="M11596" s="24"/>
      <c r="N11596" s="24"/>
      <c r="O11596" s="24"/>
      <c r="P11596" s="24"/>
      <c r="Q11596" s="24"/>
      <c r="R11596" s="24"/>
      <c r="S11596" s="24"/>
      <c r="T11596" s="24"/>
      <c r="U11596" s="24"/>
      <c r="V11596" s="24"/>
      <c r="W11596" s="24"/>
      <c r="X11596" s="24"/>
      <c r="Y11596" s="24"/>
      <c r="Z11596" s="24"/>
      <c r="AA11596" s="24"/>
    </row>
    <row r="11597">
      <c r="A11597" s="24"/>
      <c r="B11597" s="25"/>
      <c r="C11597" s="24"/>
      <c r="D11597" s="26"/>
      <c r="E11597" s="24"/>
      <c r="F11597" s="24"/>
      <c r="G11597" s="24"/>
      <c r="H11597" s="24"/>
      <c r="I11597" s="24"/>
      <c r="J11597" s="24"/>
      <c r="K11597" s="24"/>
      <c r="L11597" s="24"/>
      <c r="M11597" s="24"/>
      <c r="N11597" s="24"/>
      <c r="O11597" s="24"/>
      <c r="P11597" s="24"/>
      <c r="Q11597" s="24"/>
      <c r="R11597" s="24"/>
      <c r="S11597" s="24"/>
      <c r="T11597" s="24"/>
      <c r="U11597" s="24"/>
      <c r="V11597" s="24"/>
      <c r="W11597" s="24"/>
      <c r="X11597" s="24"/>
      <c r="Y11597" s="24"/>
      <c r="Z11597" s="24"/>
      <c r="AA11597" s="24"/>
    </row>
    <row r="11598">
      <c r="A11598" s="24"/>
      <c r="B11598" s="25"/>
      <c r="C11598" s="24"/>
      <c r="D11598" s="26"/>
      <c r="E11598" s="24"/>
      <c r="F11598" s="24"/>
      <c r="G11598" s="24"/>
      <c r="H11598" s="24"/>
      <c r="I11598" s="24"/>
      <c r="J11598" s="24"/>
      <c r="K11598" s="24"/>
      <c r="L11598" s="24"/>
      <c r="M11598" s="24"/>
      <c r="N11598" s="24"/>
      <c r="O11598" s="24"/>
      <c r="P11598" s="24"/>
      <c r="Q11598" s="24"/>
      <c r="R11598" s="24"/>
      <c r="S11598" s="24"/>
      <c r="T11598" s="24"/>
      <c r="U11598" s="24"/>
      <c r="V11598" s="24"/>
      <c r="W11598" s="24"/>
      <c r="X11598" s="24"/>
      <c r="Y11598" s="24"/>
      <c r="Z11598" s="24"/>
      <c r="AA11598" s="24"/>
    </row>
    <row r="11599">
      <c r="A11599" s="24"/>
      <c r="B11599" s="25"/>
      <c r="C11599" s="24"/>
      <c r="D11599" s="26"/>
      <c r="E11599" s="24"/>
      <c r="F11599" s="24"/>
      <c r="G11599" s="24"/>
      <c r="H11599" s="24"/>
      <c r="I11599" s="24"/>
      <c r="J11599" s="24"/>
      <c r="K11599" s="24"/>
      <c r="L11599" s="24"/>
      <c r="M11599" s="24"/>
      <c r="N11599" s="24"/>
      <c r="O11599" s="24"/>
      <c r="P11599" s="24"/>
      <c r="Q11599" s="24"/>
      <c r="R11599" s="24"/>
      <c r="S11599" s="24"/>
      <c r="T11599" s="24"/>
      <c r="U11599" s="24"/>
      <c r="V11599" s="24"/>
      <c r="W11599" s="24"/>
      <c r="X11599" s="24"/>
      <c r="Y11599" s="24"/>
      <c r="Z11599" s="24"/>
      <c r="AA11599" s="24"/>
    </row>
    <row r="11600">
      <c r="A11600" s="24"/>
      <c r="B11600" s="25"/>
      <c r="C11600" s="24"/>
      <c r="D11600" s="26"/>
      <c r="E11600" s="24"/>
      <c r="F11600" s="24"/>
      <c r="G11600" s="24"/>
      <c r="H11600" s="24"/>
      <c r="I11600" s="24"/>
      <c r="J11600" s="24"/>
      <c r="K11600" s="24"/>
      <c r="L11600" s="24"/>
      <c r="M11600" s="24"/>
      <c r="N11600" s="24"/>
      <c r="O11600" s="24"/>
      <c r="P11600" s="24"/>
      <c r="Q11600" s="24"/>
      <c r="R11600" s="24"/>
      <c r="S11600" s="24"/>
      <c r="T11600" s="24"/>
      <c r="U11600" s="24"/>
      <c r="V11600" s="24"/>
      <c r="W11600" s="24"/>
      <c r="X11600" s="24"/>
      <c r="Y11600" s="24"/>
      <c r="Z11600" s="24"/>
      <c r="AA11600" s="24"/>
    </row>
    <row r="11601">
      <c r="A11601" s="24"/>
      <c r="B11601" s="25"/>
      <c r="C11601" s="24"/>
      <c r="D11601" s="26"/>
      <c r="E11601" s="24"/>
      <c r="F11601" s="24"/>
      <c r="G11601" s="24"/>
      <c r="H11601" s="24"/>
      <c r="I11601" s="24"/>
      <c r="J11601" s="24"/>
      <c r="K11601" s="24"/>
      <c r="L11601" s="24"/>
      <c r="M11601" s="24"/>
      <c r="N11601" s="24"/>
      <c r="O11601" s="24"/>
      <c r="P11601" s="24"/>
      <c r="Q11601" s="24"/>
      <c r="R11601" s="24"/>
      <c r="S11601" s="24"/>
      <c r="T11601" s="24"/>
      <c r="U11601" s="24"/>
      <c r="V11601" s="24"/>
      <c r="W11601" s="24"/>
      <c r="X11601" s="24"/>
      <c r="Y11601" s="24"/>
      <c r="Z11601" s="24"/>
      <c r="AA11601" s="24"/>
    </row>
    <row r="11602">
      <c r="A11602" s="24"/>
      <c r="B11602" s="25"/>
      <c r="C11602" s="24"/>
      <c r="D11602" s="26"/>
      <c r="E11602" s="24"/>
      <c r="F11602" s="24"/>
      <c r="G11602" s="24"/>
      <c r="H11602" s="24"/>
      <c r="I11602" s="24"/>
      <c r="J11602" s="24"/>
      <c r="K11602" s="24"/>
      <c r="L11602" s="24"/>
      <c r="M11602" s="24"/>
      <c r="N11602" s="24"/>
      <c r="O11602" s="24"/>
      <c r="P11602" s="24"/>
      <c r="Q11602" s="24"/>
      <c r="R11602" s="24"/>
      <c r="S11602" s="24"/>
      <c r="T11602" s="24"/>
      <c r="U11602" s="24"/>
      <c r="V11602" s="24"/>
      <c r="W11602" s="24"/>
      <c r="X11602" s="24"/>
      <c r="Y11602" s="24"/>
      <c r="Z11602" s="24"/>
      <c r="AA11602" s="24"/>
    </row>
    <row r="11603">
      <c r="A11603" s="24"/>
      <c r="B11603" s="25"/>
      <c r="C11603" s="24"/>
      <c r="D11603" s="26"/>
      <c r="E11603" s="24"/>
      <c r="F11603" s="24"/>
      <c r="G11603" s="24"/>
      <c r="H11603" s="24"/>
      <c r="I11603" s="24"/>
      <c r="J11603" s="24"/>
      <c r="K11603" s="24"/>
      <c r="L11603" s="24"/>
      <c r="M11603" s="24"/>
      <c r="N11603" s="24"/>
      <c r="O11603" s="24"/>
      <c r="P11603" s="24"/>
      <c r="Q11603" s="24"/>
      <c r="R11603" s="24"/>
      <c r="S11603" s="24"/>
      <c r="T11603" s="24"/>
      <c r="U11603" s="24"/>
      <c r="V11603" s="24"/>
      <c r="W11603" s="24"/>
      <c r="X11603" s="24"/>
      <c r="Y11603" s="24"/>
      <c r="Z11603" s="24"/>
      <c r="AA11603" s="24"/>
    </row>
    <row r="11604">
      <c r="A11604" s="24"/>
      <c r="B11604" s="25"/>
      <c r="C11604" s="24"/>
      <c r="D11604" s="26"/>
      <c r="E11604" s="24"/>
      <c r="F11604" s="24"/>
      <c r="G11604" s="24"/>
      <c r="H11604" s="24"/>
      <c r="I11604" s="24"/>
      <c r="J11604" s="24"/>
      <c r="K11604" s="24"/>
      <c r="L11604" s="24"/>
      <c r="M11604" s="24"/>
      <c r="N11604" s="24"/>
      <c r="O11604" s="24"/>
      <c r="P11604" s="24"/>
      <c r="Q11604" s="24"/>
      <c r="R11604" s="24"/>
      <c r="S11604" s="24"/>
      <c r="T11604" s="24"/>
      <c r="U11604" s="24"/>
      <c r="V11604" s="24"/>
      <c r="W11604" s="24"/>
      <c r="X11604" s="24"/>
      <c r="Y11604" s="24"/>
      <c r="Z11604" s="24"/>
      <c r="AA11604" s="24"/>
    </row>
    <row r="11605">
      <c r="A11605" s="24"/>
      <c r="B11605" s="25"/>
      <c r="C11605" s="24"/>
      <c r="D11605" s="26"/>
      <c r="E11605" s="24"/>
      <c r="F11605" s="24"/>
      <c r="G11605" s="24"/>
      <c r="H11605" s="24"/>
      <c r="I11605" s="24"/>
      <c r="J11605" s="24"/>
      <c r="K11605" s="24"/>
      <c r="L11605" s="24"/>
      <c r="M11605" s="24"/>
      <c r="N11605" s="24"/>
      <c r="O11605" s="24"/>
      <c r="P11605" s="24"/>
      <c r="Q11605" s="24"/>
      <c r="R11605" s="24"/>
      <c r="S11605" s="24"/>
      <c r="T11605" s="24"/>
      <c r="U11605" s="24"/>
      <c r="V11605" s="24"/>
      <c r="W11605" s="24"/>
      <c r="X11605" s="24"/>
      <c r="Y11605" s="24"/>
      <c r="Z11605" s="24"/>
      <c r="AA11605" s="24"/>
    </row>
    <row r="11606">
      <c r="A11606" s="24"/>
      <c r="B11606" s="25"/>
      <c r="C11606" s="24"/>
      <c r="D11606" s="26"/>
      <c r="E11606" s="24"/>
      <c r="F11606" s="24"/>
      <c r="G11606" s="24"/>
      <c r="H11606" s="24"/>
      <c r="I11606" s="24"/>
      <c r="J11606" s="24"/>
      <c r="K11606" s="24"/>
      <c r="L11606" s="24"/>
      <c r="M11606" s="24"/>
      <c r="N11606" s="24"/>
      <c r="O11606" s="24"/>
      <c r="P11606" s="24"/>
      <c r="Q11606" s="24"/>
      <c r="R11606" s="24"/>
      <c r="S11606" s="24"/>
      <c r="T11606" s="24"/>
      <c r="U11606" s="24"/>
      <c r="V11606" s="24"/>
      <c r="W11606" s="24"/>
      <c r="X11606" s="24"/>
      <c r="Y11606" s="24"/>
      <c r="Z11606" s="24"/>
      <c r="AA11606" s="24"/>
    </row>
    <row r="11607">
      <c r="A11607" s="24"/>
      <c r="B11607" s="25"/>
      <c r="C11607" s="24"/>
      <c r="D11607" s="26"/>
      <c r="E11607" s="24"/>
      <c r="F11607" s="24"/>
      <c r="G11607" s="24"/>
      <c r="H11607" s="24"/>
      <c r="I11607" s="24"/>
      <c r="J11607" s="24"/>
      <c r="K11607" s="24"/>
      <c r="L11607" s="24"/>
      <c r="M11607" s="24"/>
      <c r="N11607" s="24"/>
      <c r="O11607" s="24"/>
      <c r="P11607" s="24"/>
      <c r="Q11607" s="24"/>
      <c r="R11607" s="24"/>
      <c r="S11607" s="24"/>
      <c r="T11607" s="24"/>
      <c r="U11607" s="24"/>
      <c r="V11607" s="24"/>
      <c r="W11607" s="24"/>
      <c r="X11607" s="24"/>
      <c r="Y11607" s="24"/>
      <c r="Z11607" s="24"/>
      <c r="AA11607" s="24"/>
    </row>
    <row r="11608">
      <c r="A11608" s="24"/>
      <c r="B11608" s="25"/>
      <c r="C11608" s="24"/>
      <c r="D11608" s="26"/>
      <c r="E11608" s="24"/>
      <c r="F11608" s="24"/>
      <c r="G11608" s="24"/>
      <c r="H11608" s="24"/>
      <c r="I11608" s="24"/>
      <c r="J11608" s="24"/>
      <c r="K11608" s="24"/>
      <c r="L11608" s="24"/>
      <c r="M11608" s="24"/>
      <c r="N11608" s="24"/>
      <c r="O11608" s="24"/>
      <c r="P11608" s="24"/>
      <c r="Q11608" s="24"/>
      <c r="R11608" s="24"/>
      <c r="S11608" s="24"/>
      <c r="T11608" s="24"/>
      <c r="U11608" s="24"/>
      <c r="V11608" s="24"/>
      <c r="W11608" s="24"/>
      <c r="X11608" s="24"/>
      <c r="Y11608" s="24"/>
      <c r="Z11608" s="24"/>
      <c r="AA11608" s="24"/>
    </row>
    <row r="11609">
      <c r="A11609" s="24"/>
      <c r="B11609" s="25"/>
      <c r="C11609" s="24"/>
      <c r="D11609" s="26"/>
      <c r="E11609" s="24"/>
      <c r="F11609" s="24"/>
      <c r="G11609" s="24"/>
      <c r="H11609" s="24"/>
      <c r="I11609" s="24"/>
      <c r="J11609" s="24"/>
      <c r="K11609" s="24"/>
      <c r="L11609" s="24"/>
      <c r="M11609" s="24"/>
      <c r="N11609" s="24"/>
      <c r="O11609" s="24"/>
      <c r="P11609" s="24"/>
      <c r="Q11609" s="24"/>
      <c r="R11609" s="24"/>
      <c r="S11609" s="24"/>
      <c r="T11609" s="24"/>
      <c r="U11609" s="24"/>
      <c r="V11609" s="24"/>
      <c r="W11609" s="24"/>
      <c r="X11609" s="24"/>
      <c r="Y11609" s="24"/>
      <c r="Z11609" s="24"/>
      <c r="AA11609" s="24"/>
    </row>
    <row r="11610">
      <c r="A11610" s="24"/>
      <c r="B11610" s="25"/>
      <c r="C11610" s="24"/>
      <c r="D11610" s="26"/>
      <c r="E11610" s="24"/>
      <c r="F11610" s="24"/>
      <c r="G11610" s="24"/>
      <c r="H11610" s="24"/>
      <c r="I11610" s="24"/>
      <c r="J11610" s="24"/>
      <c r="K11610" s="24"/>
      <c r="L11610" s="24"/>
      <c r="M11610" s="24"/>
      <c r="N11610" s="24"/>
      <c r="O11610" s="24"/>
      <c r="P11610" s="24"/>
      <c r="Q11610" s="24"/>
      <c r="R11610" s="24"/>
      <c r="S11610" s="24"/>
      <c r="T11610" s="24"/>
      <c r="U11610" s="24"/>
      <c r="V11610" s="24"/>
      <c r="W11610" s="24"/>
      <c r="X11610" s="24"/>
      <c r="Y11610" s="24"/>
      <c r="Z11610" s="24"/>
      <c r="AA11610" s="24"/>
    </row>
    <row r="11611">
      <c r="A11611" s="24"/>
      <c r="B11611" s="25"/>
      <c r="C11611" s="24"/>
      <c r="D11611" s="26"/>
      <c r="E11611" s="24"/>
      <c r="F11611" s="24"/>
      <c r="G11611" s="24"/>
      <c r="H11611" s="24"/>
      <c r="I11611" s="24"/>
      <c r="J11611" s="24"/>
      <c r="K11611" s="24"/>
      <c r="L11611" s="24"/>
      <c r="M11611" s="24"/>
      <c r="N11611" s="24"/>
      <c r="O11611" s="24"/>
      <c r="P11611" s="24"/>
      <c r="Q11611" s="24"/>
      <c r="R11611" s="24"/>
      <c r="S11611" s="24"/>
      <c r="T11611" s="24"/>
      <c r="U11611" s="24"/>
      <c r="V11611" s="24"/>
      <c r="W11611" s="24"/>
      <c r="X11611" s="24"/>
      <c r="Y11611" s="24"/>
      <c r="Z11611" s="24"/>
      <c r="AA11611" s="24"/>
    </row>
    <row r="11612">
      <c r="A11612" s="24"/>
      <c r="B11612" s="25"/>
      <c r="C11612" s="24"/>
      <c r="D11612" s="26"/>
      <c r="E11612" s="24"/>
      <c r="F11612" s="24"/>
      <c r="G11612" s="24"/>
      <c r="H11612" s="24"/>
      <c r="I11612" s="24"/>
      <c r="J11612" s="24"/>
      <c r="K11612" s="24"/>
      <c r="L11612" s="24"/>
      <c r="M11612" s="24"/>
      <c r="N11612" s="24"/>
      <c r="O11612" s="24"/>
      <c r="P11612" s="24"/>
      <c r="Q11612" s="24"/>
      <c r="R11612" s="24"/>
      <c r="S11612" s="24"/>
      <c r="T11612" s="24"/>
      <c r="U11612" s="24"/>
      <c r="V11612" s="24"/>
      <c r="W11612" s="24"/>
      <c r="X11612" s="24"/>
      <c r="Y11612" s="24"/>
      <c r="Z11612" s="24"/>
      <c r="AA11612" s="24"/>
    </row>
    <row r="11613">
      <c r="A11613" s="24"/>
      <c r="B11613" s="25"/>
      <c r="C11613" s="24"/>
      <c r="D11613" s="26"/>
      <c r="E11613" s="24"/>
      <c r="F11613" s="24"/>
      <c r="G11613" s="24"/>
      <c r="H11613" s="24"/>
      <c r="I11613" s="24"/>
      <c r="J11613" s="24"/>
      <c r="K11613" s="24"/>
      <c r="L11613" s="24"/>
      <c r="M11613" s="24"/>
      <c r="N11613" s="24"/>
      <c r="O11613" s="24"/>
      <c r="P11613" s="24"/>
      <c r="Q11613" s="24"/>
      <c r="R11613" s="24"/>
      <c r="S11613" s="24"/>
      <c r="T11613" s="24"/>
      <c r="U11613" s="24"/>
      <c r="V11613" s="24"/>
      <c r="W11613" s="24"/>
      <c r="X11613" s="24"/>
      <c r="Y11613" s="24"/>
      <c r="Z11613" s="24"/>
      <c r="AA11613" s="24"/>
    </row>
    <row r="11614">
      <c r="A11614" s="24"/>
      <c r="B11614" s="25"/>
      <c r="C11614" s="24"/>
      <c r="D11614" s="26"/>
      <c r="E11614" s="24"/>
      <c r="F11614" s="24"/>
      <c r="G11614" s="24"/>
      <c r="H11614" s="24"/>
      <c r="I11614" s="24"/>
      <c r="J11614" s="24"/>
      <c r="K11614" s="24"/>
      <c r="L11614" s="24"/>
      <c r="M11614" s="24"/>
      <c r="N11614" s="24"/>
      <c r="O11614" s="24"/>
      <c r="P11614" s="24"/>
      <c r="Q11614" s="24"/>
      <c r="R11614" s="24"/>
      <c r="S11614" s="24"/>
      <c r="T11614" s="24"/>
      <c r="U11614" s="24"/>
      <c r="V11614" s="24"/>
      <c r="W11614" s="24"/>
      <c r="X11614" s="24"/>
      <c r="Y11614" s="24"/>
      <c r="Z11614" s="24"/>
      <c r="AA11614" s="24"/>
    </row>
    <row r="11615">
      <c r="A11615" s="24"/>
      <c r="B11615" s="25"/>
      <c r="C11615" s="24"/>
      <c r="D11615" s="26"/>
      <c r="E11615" s="24"/>
      <c r="F11615" s="24"/>
      <c r="G11615" s="24"/>
      <c r="H11615" s="24"/>
      <c r="I11615" s="24"/>
      <c r="J11615" s="24"/>
      <c r="K11615" s="24"/>
      <c r="L11615" s="24"/>
      <c r="M11615" s="24"/>
      <c r="N11615" s="24"/>
      <c r="O11615" s="24"/>
      <c r="P11615" s="24"/>
      <c r="Q11615" s="24"/>
      <c r="R11615" s="24"/>
      <c r="S11615" s="24"/>
      <c r="T11615" s="24"/>
      <c r="U11615" s="24"/>
      <c r="V11615" s="24"/>
      <c r="W11615" s="24"/>
      <c r="X11615" s="24"/>
      <c r="Y11615" s="24"/>
      <c r="Z11615" s="24"/>
      <c r="AA11615" s="24"/>
    </row>
    <row r="11616">
      <c r="A11616" s="24"/>
      <c r="B11616" s="25"/>
      <c r="C11616" s="24"/>
      <c r="D11616" s="26"/>
      <c r="E11616" s="24"/>
      <c r="F11616" s="24"/>
      <c r="G11616" s="24"/>
      <c r="H11616" s="24"/>
      <c r="I11616" s="24"/>
      <c r="J11616" s="24"/>
      <c r="K11616" s="24"/>
      <c r="L11616" s="24"/>
      <c r="M11616" s="24"/>
      <c r="N11616" s="24"/>
      <c r="O11616" s="24"/>
      <c r="P11616" s="24"/>
      <c r="Q11616" s="24"/>
      <c r="R11616" s="24"/>
      <c r="S11616" s="24"/>
      <c r="T11616" s="24"/>
      <c r="U11616" s="24"/>
      <c r="V11616" s="24"/>
      <c r="W11616" s="24"/>
      <c r="X11616" s="24"/>
      <c r="Y11616" s="24"/>
      <c r="Z11616" s="24"/>
      <c r="AA11616" s="24"/>
    </row>
    <row r="11617">
      <c r="A11617" s="24"/>
      <c r="B11617" s="25"/>
      <c r="C11617" s="24"/>
      <c r="D11617" s="26"/>
      <c r="E11617" s="24"/>
      <c r="F11617" s="24"/>
      <c r="G11617" s="24"/>
      <c r="H11617" s="24"/>
      <c r="I11617" s="24"/>
      <c r="J11617" s="24"/>
      <c r="K11617" s="24"/>
      <c r="L11617" s="24"/>
      <c r="M11617" s="24"/>
      <c r="N11617" s="24"/>
      <c r="O11617" s="24"/>
      <c r="P11617" s="24"/>
      <c r="Q11617" s="24"/>
      <c r="R11617" s="24"/>
      <c r="S11617" s="24"/>
      <c r="T11617" s="24"/>
      <c r="U11617" s="24"/>
      <c r="V11617" s="24"/>
      <c r="W11617" s="24"/>
      <c r="X11617" s="24"/>
      <c r="Y11617" s="24"/>
      <c r="Z11617" s="24"/>
      <c r="AA11617" s="24"/>
    </row>
    <row r="11618">
      <c r="A11618" s="24"/>
      <c r="B11618" s="25"/>
      <c r="C11618" s="24"/>
      <c r="D11618" s="26"/>
      <c r="E11618" s="24"/>
      <c r="F11618" s="24"/>
      <c r="G11618" s="24"/>
      <c r="H11618" s="24"/>
      <c r="I11618" s="24"/>
      <c r="J11618" s="24"/>
      <c r="K11618" s="24"/>
      <c r="L11618" s="24"/>
      <c r="M11618" s="24"/>
      <c r="N11618" s="24"/>
      <c r="O11618" s="24"/>
      <c r="P11618" s="24"/>
      <c r="Q11618" s="24"/>
      <c r="R11618" s="24"/>
      <c r="S11618" s="24"/>
      <c r="T11618" s="24"/>
      <c r="U11618" s="24"/>
      <c r="V11618" s="24"/>
      <c r="W11618" s="24"/>
      <c r="X11618" s="24"/>
      <c r="Y11618" s="24"/>
      <c r="Z11618" s="24"/>
      <c r="AA11618" s="24"/>
    </row>
    <row r="11619">
      <c r="A11619" s="24"/>
      <c r="B11619" s="25"/>
      <c r="C11619" s="24"/>
      <c r="D11619" s="26"/>
      <c r="E11619" s="24"/>
      <c r="F11619" s="24"/>
      <c r="G11619" s="24"/>
      <c r="H11619" s="24"/>
      <c r="I11619" s="24"/>
      <c r="J11619" s="24"/>
      <c r="K11619" s="24"/>
      <c r="L11619" s="24"/>
      <c r="M11619" s="24"/>
      <c r="N11619" s="24"/>
      <c r="O11619" s="24"/>
      <c r="P11619" s="24"/>
      <c r="Q11619" s="24"/>
      <c r="R11619" s="24"/>
      <c r="S11619" s="24"/>
      <c r="T11619" s="24"/>
      <c r="U11619" s="24"/>
      <c r="V11619" s="24"/>
      <c r="W11619" s="24"/>
      <c r="X11619" s="24"/>
      <c r="Y11619" s="24"/>
      <c r="Z11619" s="24"/>
      <c r="AA11619" s="24"/>
    </row>
    <row r="11620">
      <c r="A11620" s="24"/>
      <c r="B11620" s="25"/>
      <c r="C11620" s="24"/>
      <c r="D11620" s="26"/>
      <c r="E11620" s="24"/>
      <c r="F11620" s="24"/>
      <c r="G11620" s="24"/>
      <c r="H11620" s="24"/>
      <c r="I11620" s="24"/>
      <c r="J11620" s="24"/>
      <c r="K11620" s="24"/>
      <c r="L11620" s="24"/>
      <c r="M11620" s="24"/>
      <c r="N11620" s="24"/>
      <c r="O11620" s="24"/>
      <c r="P11620" s="24"/>
      <c r="Q11620" s="24"/>
      <c r="R11620" s="24"/>
      <c r="S11620" s="24"/>
      <c r="T11620" s="24"/>
      <c r="U11620" s="24"/>
      <c r="V11620" s="24"/>
      <c r="W11620" s="24"/>
      <c r="X11620" s="24"/>
      <c r="Y11620" s="24"/>
      <c r="Z11620" s="24"/>
      <c r="AA11620" s="24"/>
    </row>
    <row r="11621">
      <c r="A11621" s="24"/>
      <c r="B11621" s="25"/>
      <c r="C11621" s="24"/>
      <c r="D11621" s="26"/>
      <c r="E11621" s="24"/>
      <c r="F11621" s="24"/>
      <c r="G11621" s="24"/>
      <c r="H11621" s="24"/>
      <c r="I11621" s="24"/>
      <c r="J11621" s="24"/>
      <c r="K11621" s="24"/>
      <c r="L11621" s="24"/>
      <c r="M11621" s="24"/>
      <c r="N11621" s="24"/>
      <c r="O11621" s="24"/>
      <c r="P11621" s="24"/>
      <c r="Q11621" s="24"/>
      <c r="R11621" s="24"/>
      <c r="S11621" s="24"/>
      <c r="T11621" s="24"/>
      <c r="U11621" s="24"/>
      <c r="V11621" s="24"/>
      <c r="W11621" s="24"/>
      <c r="X11621" s="24"/>
      <c r="Y11621" s="24"/>
      <c r="Z11621" s="24"/>
      <c r="AA11621" s="24"/>
    </row>
    <row r="11622">
      <c r="A11622" s="24"/>
      <c r="B11622" s="25"/>
      <c r="C11622" s="24"/>
      <c r="D11622" s="26"/>
      <c r="E11622" s="24"/>
      <c r="F11622" s="24"/>
      <c r="G11622" s="24"/>
      <c r="H11622" s="24"/>
      <c r="I11622" s="24"/>
      <c r="J11622" s="24"/>
      <c r="K11622" s="24"/>
      <c r="L11622" s="24"/>
      <c r="M11622" s="24"/>
      <c r="N11622" s="24"/>
      <c r="O11622" s="24"/>
      <c r="P11622" s="24"/>
      <c r="Q11622" s="24"/>
      <c r="R11622" s="24"/>
      <c r="S11622" s="24"/>
      <c r="T11622" s="24"/>
      <c r="U11622" s="24"/>
      <c r="V11622" s="24"/>
      <c r="W11622" s="24"/>
      <c r="X11622" s="24"/>
      <c r="Y11622" s="24"/>
      <c r="Z11622" s="24"/>
      <c r="AA11622" s="24"/>
    </row>
    <row r="11623">
      <c r="A11623" s="24"/>
      <c r="B11623" s="25"/>
      <c r="C11623" s="24"/>
      <c r="D11623" s="26"/>
      <c r="E11623" s="24"/>
      <c r="F11623" s="24"/>
      <c r="G11623" s="24"/>
      <c r="H11623" s="24"/>
      <c r="I11623" s="24"/>
      <c r="J11623" s="24"/>
      <c r="K11623" s="24"/>
      <c r="L11623" s="24"/>
      <c r="M11623" s="24"/>
      <c r="N11623" s="24"/>
      <c r="O11623" s="24"/>
      <c r="P11623" s="24"/>
      <c r="Q11623" s="24"/>
      <c r="R11623" s="24"/>
      <c r="S11623" s="24"/>
      <c r="T11623" s="24"/>
      <c r="U11623" s="24"/>
      <c r="V11623" s="24"/>
      <c r="W11623" s="24"/>
      <c r="X11623" s="24"/>
      <c r="Y11623" s="24"/>
      <c r="Z11623" s="24"/>
      <c r="AA11623" s="24"/>
    </row>
    <row r="11624">
      <c r="A11624" s="24"/>
      <c r="B11624" s="25"/>
      <c r="C11624" s="24"/>
      <c r="D11624" s="26"/>
      <c r="E11624" s="24"/>
      <c r="F11624" s="24"/>
      <c r="G11624" s="24"/>
      <c r="H11624" s="24"/>
      <c r="I11624" s="24"/>
      <c r="J11624" s="24"/>
      <c r="K11624" s="24"/>
      <c r="L11624" s="24"/>
      <c r="M11624" s="24"/>
      <c r="N11624" s="24"/>
      <c r="O11624" s="24"/>
      <c r="P11624" s="24"/>
      <c r="Q11624" s="24"/>
      <c r="R11624" s="24"/>
      <c r="S11624" s="24"/>
      <c r="T11624" s="24"/>
      <c r="U11624" s="24"/>
      <c r="V11624" s="24"/>
      <c r="W11624" s="24"/>
      <c r="X11624" s="24"/>
      <c r="Y11624" s="24"/>
      <c r="Z11624" s="24"/>
      <c r="AA11624" s="24"/>
    </row>
    <row r="11625">
      <c r="A11625" s="24"/>
      <c r="B11625" s="25"/>
      <c r="C11625" s="24"/>
      <c r="D11625" s="26"/>
      <c r="E11625" s="24"/>
      <c r="F11625" s="24"/>
      <c r="G11625" s="24"/>
      <c r="H11625" s="24"/>
      <c r="I11625" s="24"/>
      <c r="J11625" s="24"/>
      <c r="K11625" s="24"/>
      <c r="L11625" s="24"/>
      <c r="M11625" s="24"/>
      <c r="N11625" s="24"/>
      <c r="O11625" s="24"/>
      <c r="P11625" s="24"/>
      <c r="Q11625" s="24"/>
      <c r="R11625" s="24"/>
      <c r="S11625" s="24"/>
      <c r="T11625" s="24"/>
      <c r="U11625" s="24"/>
      <c r="V11625" s="24"/>
      <c r="W11625" s="24"/>
      <c r="X11625" s="24"/>
      <c r="Y11625" s="24"/>
      <c r="Z11625" s="24"/>
      <c r="AA11625" s="24"/>
    </row>
    <row r="11626">
      <c r="A11626" s="24"/>
      <c r="B11626" s="25"/>
      <c r="C11626" s="24"/>
      <c r="D11626" s="26"/>
      <c r="E11626" s="24"/>
      <c r="F11626" s="24"/>
      <c r="G11626" s="24"/>
      <c r="H11626" s="24"/>
      <c r="I11626" s="24"/>
      <c r="J11626" s="24"/>
      <c r="K11626" s="24"/>
      <c r="L11626" s="24"/>
      <c r="M11626" s="24"/>
      <c r="N11626" s="24"/>
      <c r="O11626" s="24"/>
      <c r="P11626" s="24"/>
      <c r="Q11626" s="24"/>
      <c r="R11626" s="24"/>
      <c r="S11626" s="24"/>
      <c r="T11626" s="24"/>
      <c r="U11626" s="24"/>
      <c r="V11626" s="24"/>
      <c r="W11626" s="24"/>
      <c r="X11626" s="24"/>
      <c r="Y11626" s="24"/>
      <c r="Z11626" s="24"/>
      <c r="AA11626" s="24"/>
    </row>
    <row r="11627">
      <c r="A11627" s="24"/>
      <c r="B11627" s="25"/>
      <c r="C11627" s="24"/>
      <c r="D11627" s="26"/>
      <c r="E11627" s="24"/>
      <c r="F11627" s="24"/>
      <c r="G11627" s="24"/>
      <c r="H11627" s="24"/>
      <c r="I11627" s="24"/>
      <c r="J11627" s="24"/>
      <c r="K11627" s="24"/>
      <c r="L11627" s="24"/>
      <c r="M11627" s="24"/>
      <c r="N11627" s="24"/>
      <c r="O11627" s="24"/>
      <c r="P11627" s="24"/>
      <c r="Q11627" s="24"/>
      <c r="R11627" s="24"/>
      <c r="S11627" s="24"/>
      <c r="T11627" s="24"/>
      <c r="U11627" s="24"/>
      <c r="V11627" s="24"/>
      <c r="W11627" s="24"/>
      <c r="X11627" s="24"/>
      <c r="Y11627" s="24"/>
      <c r="Z11627" s="24"/>
      <c r="AA11627" s="24"/>
    </row>
    <row r="11628">
      <c r="A11628" s="24"/>
      <c r="B11628" s="25"/>
      <c r="C11628" s="24"/>
      <c r="D11628" s="26"/>
      <c r="E11628" s="24"/>
      <c r="F11628" s="24"/>
      <c r="G11628" s="24"/>
      <c r="H11628" s="24"/>
      <c r="I11628" s="24"/>
      <c r="J11628" s="24"/>
      <c r="K11628" s="24"/>
      <c r="L11628" s="24"/>
      <c r="M11628" s="24"/>
      <c r="N11628" s="24"/>
      <c r="O11628" s="24"/>
      <c r="P11628" s="24"/>
      <c r="Q11628" s="24"/>
      <c r="R11628" s="24"/>
      <c r="S11628" s="24"/>
      <c r="T11628" s="24"/>
      <c r="U11628" s="24"/>
      <c r="V11628" s="24"/>
      <c r="W11628" s="24"/>
      <c r="X11628" s="24"/>
      <c r="Y11628" s="24"/>
      <c r="Z11628" s="24"/>
      <c r="AA11628" s="24"/>
    </row>
    <row r="11629">
      <c r="A11629" s="24"/>
      <c r="B11629" s="25"/>
      <c r="C11629" s="24"/>
      <c r="D11629" s="26"/>
      <c r="E11629" s="24"/>
      <c r="F11629" s="24"/>
      <c r="G11629" s="24"/>
      <c r="H11629" s="24"/>
      <c r="I11629" s="24"/>
      <c r="J11629" s="24"/>
      <c r="K11629" s="24"/>
      <c r="L11629" s="24"/>
      <c r="M11629" s="24"/>
      <c r="N11629" s="24"/>
      <c r="O11629" s="24"/>
      <c r="P11629" s="24"/>
      <c r="Q11629" s="24"/>
      <c r="R11629" s="24"/>
      <c r="S11629" s="24"/>
      <c r="T11629" s="24"/>
      <c r="U11629" s="24"/>
      <c r="V11629" s="24"/>
      <c r="W11629" s="24"/>
      <c r="X11629" s="24"/>
      <c r="Y11629" s="24"/>
      <c r="Z11629" s="24"/>
      <c r="AA11629" s="24"/>
    </row>
    <row r="11630">
      <c r="A11630" s="24"/>
      <c r="B11630" s="25"/>
      <c r="C11630" s="24"/>
      <c r="D11630" s="26"/>
      <c r="E11630" s="24"/>
      <c r="F11630" s="24"/>
      <c r="G11630" s="24"/>
      <c r="H11630" s="24"/>
      <c r="I11630" s="24"/>
      <c r="J11630" s="24"/>
      <c r="K11630" s="24"/>
      <c r="L11630" s="24"/>
      <c r="M11630" s="24"/>
      <c r="N11630" s="24"/>
      <c r="O11630" s="24"/>
      <c r="P11630" s="24"/>
      <c r="Q11630" s="24"/>
      <c r="R11630" s="24"/>
      <c r="S11630" s="24"/>
      <c r="T11630" s="24"/>
      <c r="U11630" s="24"/>
      <c r="V11630" s="24"/>
      <c r="W11630" s="24"/>
      <c r="X11630" s="24"/>
      <c r="Y11630" s="24"/>
      <c r="Z11630" s="24"/>
      <c r="AA11630" s="24"/>
    </row>
    <row r="11631">
      <c r="A11631" s="24"/>
      <c r="B11631" s="25"/>
      <c r="C11631" s="24"/>
      <c r="D11631" s="26"/>
      <c r="E11631" s="24"/>
      <c r="F11631" s="24"/>
      <c r="G11631" s="24"/>
      <c r="H11631" s="24"/>
      <c r="I11631" s="24"/>
      <c r="J11631" s="24"/>
      <c r="K11631" s="24"/>
      <c r="L11631" s="24"/>
      <c r="M11631" s="24"/>
      <c r="N11631" s="24"/>
      <c r="O11631" s="24"/>
      <c r="P11631" s="24"/>
      <c r="Q11631" s="24"/>
      <c r="R11631" s="24"/>
      <c r="S11631" s="24"/>
      <c r="T11631" s="24"/>
      <c r="U11631" s="24"/>
      <c r="V11631" s="24"/>
      <c r="W11631" s="24"/>
      <c r="X11631" s="24"/>
      <c r="Y11631" s="24"/>
      <c r="Z11631" s="24"/>
      <c r="AA11631" s="24"/>
    </row>
    <row r="11632">
      <c r="A11632" s="24"/>
      <c r="B11632" s="25"/>
      <c r="C11632" s="24"/>
      <c r="D11632" s="26"/>
      <c r="E11632" s="24"/>
      <c r="F11632" s="24"/>
      <c r="G11632" s="24"/>
      <c r="H11632" s="24"/>
      <c r="I11632" s="24"/>
      <c r="J11632" s="24"/>
      <c r="K11632" s="24"/>
      <c r="L11632" s="24"/>
      <c r="M11632" s="24"/>
      <c r="N11632" s="24"/>
      <c r="O11632" s="24"/>
      <c r="P11632" s="24"/>
      <c r="Q11632" s="24"/>
      <c r="R11632" s="24"/>
      <c r="S11632" s="24"/>
      <c r="T11632" s="24"/>
      <c r="U11632" s="24"/>
      <c r="V11632" s="24"/>
      <c r="W11632" s="24"/>
      <c r="X11632" s="24"/>
      <c r="Y11632" s="24"/>
      <c r="Z11632" s="24"/>
      <c r="AA11632" s="24"/>
    </row>
    <row r="11633">
      <c r="A11633" s="24"/>
      <c r="B11633" s="25"/>
      <c r="C11633" s="24"/>
      <c r="D11633" s="26"/>
      <c r="E11633" s="24"/>
      <c r="F11633" s="24"/>
      <c r="G11633" s="24"/>
      <c r="H11633" s="24"/>
      <c r="I11633" s="24"/>
      <c r="J11633" s="24"/>
      <c r="K11633" s="24"/>
      <c r="L11633" s="24"/>
      <c r="M11633" s="24"/>
      <c r="N11633" s="24"/>
      <c r="O11633" s="24"/>
      <c r="P11633" s="24"/>
      <c r="Q11633" s="24"/>
      <c r="R11633" s="24"/>
      <c r="S11633" s="24"/>
      <c r="T11633" s="24"/>
      <c r="U11633" s="24"/>
      <c r="V11633" s="24"/>
      <c r="W11633" s="24"/>
      <c r="X11633" s="24"/>
      <c r="Y11633" s="24"/>
      <c r="Z11633" s="24"/>
      <c r="AA11633" s="24"/>
    </row>
    <row r="11634">
      <c r="A11634" s="24"/>
      <c r="B11634" s="25"/>
      <c r="C11634" s="24"/>
      <c r="D11634" s="26"/>
      <c r="E11634" s="24"/>
      <c r="F11634" s="24"/>
      <c r="G11634" s="24"/>
      <c r="H11634" s="24"/>
      <c r="I11634" s="24"/>
      <c r="J11634" s="24"/>
      <c r="K11634" s="24"/>
      <c r="L11634" s="24"/>
      <c r="M11634" s="24"/>
      <c r="N11634" s="24"/>
      <c r="O11634" s="24"/>
      <c r="P11634" s="24"/>
      <c r="Q11634" s="24"/>
      <c r="R11634" s="24"/>
      <c r="S11634" s="24"/>
      <c r="T11634" s="24"/>
      <c r="U11634" s="24"/>
      <c r="V11634" s="24"/>
      <c r="W11634" s="24"/>
      <c r="X11634" s="24"/>
      <c r="Y11634" s="24"/>
      <c r="Z11634" s="24"/>
      <c r="AA11634" s="24"/>
    </row>
    <row r="11635">
      <c r="A11635" s="24"/>
      <c r="B11635" s="25"/>
      <c r="C11635" s="24"/>
      <c r="D11635" s="26"/>
      <c r="E11635" s="24"/>
      <c r="F11635" s="24"/>
      <c r="G11635" s="24"/>
      <c r="H11635" s="24"/>
      <c r="I11635" s="24"/>
      <c r="J11635" s="24"/>
      <c r="K11635" s="24"/>
      <c r="L11635" s="24"/>
      <c r="M11635" s="24"/>
      <c r="N11635" s="24"/>
      <c r="O11635" s="24"/>
      <c r="P11635" s="24"/>
      <c r="Q11635" s="24"/>
      <c r="R11635" s="24"/>
      <c r="S11635" s="24"/>
      <c r="T11635" s="24"/>
      <c r="U11635" s="24"/>
      <c r="V11635" s="24"/>
      <c r="W11635" s="24"/>
      <c r="X11635" s="24"/>
      <c r="Y11635" s="24"/>
      <c r="Z11635" s="24"/>
      <c r="AA11635" s="24"/>
    </row>
    <row r="11636">
      <c r="A11636" s="24"/>
      <c r="B11636" s="25"/>
      <c r="C11636" s="24"/>
      <c r="D11636" s="26"/>
      <c r="E11636" s="24"/>
      <c r="F11636" s="24"/>
      <c r="G11636" s="24"/>
      <c r="H11636" s="24"/>
      <c r="I11636" s="24"/>
      <c r="J11636" s="24"/>
      <c r="K11636" s="24"/>
      <c r="L11636" s="24"/>
      <c r="M11636" s="24"/>
      <c r="N11636" s="24"/>
      <c r="O11636" s="24"/>
      <c r="P11636" s="24"/>
      <c r="Q11636" s="24"/>
      <c r="R11636" s="24"/>
      <c r="S11636" s="24"/>
      <c r="T11636" s="24"/>
      <c r="U11636" s="24"/>
      <c r="V11636" s="24"/>
      <c r="W11636" s="24"/>
      <c r="X11636" s="24"/>
      <c r="Y11636" s="24"/>
      <c r="Z11636" s="24"/>
      <c r="AA11636" s="24"/>
    </row>
    <row r="11637">
      <c r="A11637" s="24"/>
      <c r="B11637" s="25"/>
      <c r="C11637" s="24"/>
      <c r="D11637" s="26"/>
      <c r="E11637" s="24"/>
      <c r="F11637" s="24"/>
      <c r="G11637" s="24"/>
      <c r="H11637" s="24"/>
      <c r="I11637" s="24"/>
      <c r="J11637" s="24"/>
      <c r="K11637" s="24"/>
      <c r="L11637" s="24"/>
      <c r="M11637" s="24"/>
      <c r="N11637" s="24"/>
      <c r="O11637" s="24"/>
      <c r="P11637" s="24"/>
      <c r="Q11637" s="24"/>
      <c r="R11637" s="24"/>
      <c r="S11637" s="24"/>
      <c r="T11637" s="24"/>
      <c r="U11637" s="24"/>
      <c r="V11637" s="24"/>
      <c r="W11637" s="24"/>
      <c r="X11637" s="24"/>
      <c r="Y11637" s="24"/>
      <c r="Z11637" s="24"/>
      <c r="AA11637" s="24"/>
    </row>
    <row r="11638">
      <c r="A11638" s="24"/>
      <c r="B11638" s="25"/>
      <c r="C11638" s="24"/>
      <c r="D11638" s="26"/>
      <c r="E11638" s="24"/>
      <c r="F11638" s="24"/>
      <c r="G11638" s="24"/>
      <c r="H11638" s="24"/>
      <c r="I11638" s="24"/>
      <c r="J11638" s="24"/>
      <c r="K11638" s="24"/>
      <c r="L11638" s="24"/>
      <c r="M11638" s="24"/>
      <c r="N11638" s="24"/>
      <c r="O11638" s="24"/>
      <c r="P11638" s="24"/>
      <c r="Q11638" s="24"/>
      <c r="R11638" s="24"/>
      <c r="S11638" s="24"/>
      <c r="T11638" s="24"/>
      <c r="U11638" s="24"/>
      <c r="V11638" s="24"/>
      <c r="W11638" s="24"/>
      <c r="X11638" s="24"/>
      <c r="Y11638" s="24"/>
      <c r="Z11638" s="24"/>
      <c r="AA11638" s="24"/>
    </row>
    <row r="11639">
      <c r="A11639" s="24"/>
      <c r="B11639" s="25"/>
      <c r="C11639" s="24"/>
      <c r="D11639" s="26"/>
      <c r="E11639" s="24"/>
      <c r="F11639" s="24"/>
      <c r="G11639" s="24"/>
      <c r="H11639" s="24"/>
      <c r="I11639" s="24"/>
      <c r="J11639" s="24"/>
      <c r="K11639" s="24"/>
      <c r="L11639" s="24"/>
      <c r="M11639" s="24"/>
      <c r="N11639" s="24"/>
      <c r="O11639" s="24"/>
      <c r="P11639" s="24"/>
      <c r="Q11639" s="24"/>
      <c r="R11639" s="24"/>
      <c r="S11639" s="24"/>
      <c r="T11639" s="24"/>
      <c r="U11639" s="24"/>
      <c r="V11639" s="24"/>
      <c r="W11639" s="24"/>
      <c r="X11639" s="24"/>
      <c r="Y11639" s="24"/>
      <c r="Z11639" s="24"/>
      <c r="AA11639" s="24"/>
    </row>
    <row r="11640">
      <c r="A11640" s="24"/>
      <c r="B11640" s="25"/>
      <c r="C11640" s="24"/>
      <c r="D11640" s="26"/>
      <c r="E11640" s="24"/>
      <c r="F11640" s="24"/>
      <c r="G11640" s="24"/>
      <c r="H11640" s="24"/>
      <c r="I11640" s="24"/>
      <c r="J11640" s="24"/>
      <c r="K11640" s="24"/>
      <c r="L11640" s="24"/>
      <c r="M11640" s="24"/>
      <c r="N11640" s="24"/>
      <c r="O11640" s="24"/>
      <c r="P11640" s="24"/>
      <c r="Q11640" s="24"/>
      <c r="R11640" s="24"/>
      <c r="S11640" s="24"/>
      <c r="T11640" s="24"/>
      <c r="U11640" s="24"/>
      <c r="V11640" s="24"/>
      <c r="W11640" s="24"/>
      <c r="X11640" s="24"/>
      <c r="Y11640" s="24"/>
      <c r="Z11640" s="24"/>
      <c r="AA11640" s="24"/>
    </row>
    <row r="11641">
      <c r="A11641" s="24"/>
      <c r="B11641" s="25"/>
      <c r="C11641" s="24"/>
      <c r="D11641" s="26"/>
      <c r="E11641" s="24"/>
      <c r="F11641" s="24"/>
      <c r="G11641" s="24"/>
      <c r="H11641" s="24"/>
      <c r="I11641" s="24"/>
      <c r="J11641" s="24"/>
      <c r="K11641" s="24"/>
      <c r="L11641" s="24"/>
      <c r="M11641" s="24"/>
      <c r="N11641" s="24"/>
      <c r="O11641" s="24"/>
      <c r="P11641" s="24"/>
      <c r="Q11641" s="24"/>
      <c r="R11641" s="24"/>
      <c r="S11641" s="24"/>
      <c r="T11641" s="24"/>
      <c r="U11641" s="24"/>
      <c r="V11641" s="24"/>
      <c r="W11641" s="24"/>
      <c r="X11641" s="24"/>
      <c r="Y11641" s="24"/>
      <c r="Z11641" s="24"/>
      <c r="AA11641" s="24"/>
    </row>
    <row r="11642">
      <c r="A11642" s="24"/>
      <c r="B11642" s="25"/>
      <c r="C11642" s="24"/>
      <c r="D11642" s="26"/>
      <c r="E11642" s="24"/>
      <c r="F11642" s="24"/>
      <c r="G11642" s="24"/>
      <c r="H11642" s="24"/>
      <c r="I11642" s="24"/>
      <c r="J11642" s="24"/>
      <c r="K11642" s="24"/>
      <c r="L11642" s="24"/>
      <c r="M11642" s="24"/>
      <c r="N11642" s="24"/>
      <c r="O11642" s="24"/>
      <c r="P11642" s="24"/>
      <c r="Q11642" s="24"/>
      <c r="R11642" s="24"/>
      <c r="S11642" s="24"/>
      <c r="T11642" s="24"/>
      <c r="U11642" s="24"/>
      <c r="V11642" s="24"/>
      <c r="W11642" s="24"/>
      <c r="X11642" s="24"/>
      <c r="Y11642" s="24"/>
      <c r="Z11642" s="24"/>
      <c r="AA11642" s="24"/>
    </row>
    <row r="11643">
      <c r="A11643" s="24"/>
      <c r="B11643" s="25"/>
      <c r="C11643" s="24"/>
      <c r="D11643" s="26"/>
      <c r="E11643" s="24"/>
      <c r="F11643" s="24"/>
      <c r="G11643" s="24"/>
      <c r="H11643" s="24"/>
      <c r="I11643" s="24"/>
      <c r="J11643" s="24"/>
      <c r="K11643" s="24"/>
      <c r="L11643" s="24"/>
      <c r="M11643" s="24"/>
      <c r="N11643" s="24"/>
      <c r="O11643" s="24"/>
      <c r="P11643" s="24"/>
      <c r="Q11643" s="24"/>
      <c r="R11643" s="24"/>
      <c r="S11643" s="24"/>
      <c r="T11643" s="24"/>
      <c r="U11643" s="24"/>
      <c r="V11643" s="24"/>
      <c r="W11643" s="24"/>
      <c r="X11643" s="24"/>
      <c r="Y11643" s="24"/>
      <c r="Z11643" s="24"/>
      <c r="AA11643" s="24"/>
    </row>
    <row r="11644">
      <c r="A11644" s="24"/>
      <c r="B11644" s="25"/>
      <c r="C11644" s="24"/>
      <c r="D11644" s="26"/>
      <c r="E11644" s="24"/>
      <c r="F11644" s="24"/>
      <c r="G11644" s="24"/>
      <c r="H11644" s="24"/>
      <c r="I11644" s="24"/>
      <c r="J11644" s="24"/>
      <c r="K11644" s="24"/>
      <c r="L11644" s="24"/>
      <c r="M11644" s="24"/>
      <c r="N11644" s="24"/>
      <c r="O11644" s="24"/>
      <c r="P11644" s="24"/>
      <c r="Q11644" s="24"/>
      <c r="R11644" s="24"/>
      <c r="S11644" s="24"/>
      <c r="T11644" s="24"/>
      <c r="U11644" s="24"/>
      <c r="V11644" s="24"/>
      <c r="W11644" s="24"/>
      <c r="X11644" s="24"/>
      <c r="Y11644" s="24"/>
      <c r="Z11644" s="24"/>
      <c r="AA11644" s="24"/>
    </row>
    <row r="11645">
      <c r="A11645" s="24"/>
      <c r="B11645" s="25"/>
      <c r="C11645" s="24"/>
      <c r="D11645" s="26"/>
      <c r="E11645" s="24"/>
      <c r="F11645" s="24"/>
      <c r="G11645" s="24"/>
      <c r="H11645" s="24"/>
      <c r="I11645" s="24"/>
      <c r="J11645" s="24"/>
      <c r="K11645" s="24"/>
      <c r="L11645" s="24"/>
      <c r="M11645" s="24"/>
      <c r="N11645" s="24"/>
      <c r="O11645" s="24"/>
      <c r="P11645" s="24"/>
      <c r="Q11645" s="24"/>
      <c r="R11645" s="24"/>
      <c r="S11645" s="24"/>
      <c r="T11645" s="24"/>
      <c r="U11645" s="24"/>
      <c r="V11645" s="24"/>
      <c r="W11645" s="24"/>
      <c r="X11645" s="24"/>
      <c r="Y11645" s="24"/>
      <c r="Z11645" s="24"/>
      <c r="AA11645" s="24"/>
    </row>
    <row r="11646">
      <c r="A11646" s="24"/>
      <c r="B11646" s="25"/>
      <c r="C11646" s="24"/>
      <c r="D11646" s="26"/>
      <c r="E11646" s="24"/>
      <c r="F11646" s="24"/>
      <c r="G11646" s="24"/>
      <c r="H11646" s="24"/>
      <c r="I11646" s="24"/>
      <c r="J11646" s="24"/>
      <c r="K11646" s="24"/>
      <c r="L11646" s="24"/>
      <c r="M11646" s="24"/>
      <c r="N11646" s="24"/>
      <c r="O11646" s="24"/>
      <c r="P11646" s="24"/>
      <c r="Q11646" s="24"/>
      <c r="R11646" s="24"/>
      <c r="S11646" s="24"/>
      <c r="T11646" s="24"/>
      <c r="U11646" s="24"/>
      <c r="V11646" s="24"/>
      <c r="W11646" s="24"/>
      <c r="X11646" s="24"/>
      <c r="Y11646" s="24"/>
      <c r="Z11646" s="24"/>
      <c r="AA11646" s="24"/>
    </row>
    <row r="11647">
      <c r="A11647" s="24"/>
      <c r="B11647" s="25"/>
      <c r="C11647" s="24"/>
      <c r="D11647" s="26"/>
      <c r="E11647" s="24"/>
      <c r="F11647" s="24"/>
      <c r="G11647" s="24"/>
      <c r="H11647" s="24"/>
      <c r="I11647" s="24"/>
      <c r="J11647" s="24"/>
      <c r="K11647" s="24"/>
      <c r="L11647" s="24"/>
      <c r="M11647" s="24"/>
      <c r="N11647" s="24"/>
      <c r="O11647" s="24"/>
      <c r="P11647" s="24"/>
      <c r="Q11647" s="24"/>
      <c r="R11647" s="24"/>
      <c r="S11647" s="24"/>
      <c r="T11647" s="24"/>
      <c r="U11647" s="24"/>
      <c r="V11647" s="24"/>
      <c r="W11647" s="24"/>
      <c r="X11647" s="24"/>
      <c r="Y11647" s="24"/>
      <c r="Z11647" s="24"/>
      <c r="AA11647" s="24"/>
    </row>
    <row r="11648">
      <c r="A11648" s="24"/>
      <c r="B11648" s="25"/>
      <c r="C11648" s="24"/>
      <c r="D11648" s="26"/>
      <c r="E11648" s="24"/>
      <c r="F11648" s="24"/>
      <c r="G11648" s="24"/>
      <c r="H11648" s="24"/>
      <c r="I11648" s="24"/>
      <c r="J11648" s="24"/>
      <c r="K11648" s="24"/>
      <c r="L11648" s="24"/>
      <c r="M11648" s="24"/>
      <c r="N11648" s="24"/>
      <c r="O11648" s="24"/>
      <c r="P11648" s="24"/>
      <c r="Q11648" s="24"/>
      <c r="R11648" s="24"/>
      <c r="S11648" s="24"/>
      <c r="T11648" s="24"/>
      <c r="U11648" s="24"/>
      <c r="V11648" s="24"/>
      <c r="W11648" s="24"/>
      <c r="X11648" s="24"/>
      <c r="Y11648" s="24"/>
      <c r="Z11648" s="24"/>
      <c r="AA11648" s="24"/>
    </row>
    <row r="11649">
      <c r="A11649" s="24"/>
      <c r="B11649" s="25"/>
      <c r="C11649" s="24"/>
      <c r="D11649" s="26"/>
      <c r="E11649" s="24"/>
      <c r="F11649" s="24"/>
      <c r="G11649" s="24"/>
      <c r="H11649" s="24"/>
      <c r="I11649" s="24"/>
      <c r="J11649" s="24"/>
      <c r="K11649" s="24"/>
      <c r="L11649" s="24"/>
      <c r="M11649" s="24"/>
      <c r="N11649" s="24"/>
      <c r="O11649" s="24"/>
      <c r="P11649" s="24"/>
      <c r="Q11649" s="24"/>
      <c r="R11649" s="24"/>
      <c r="S11649" s="24"/>
      <c r="T11649" s="24"/>
      <c r="U11649" s="24"/>
      <c r="V11649" s="24"/>
      <c r="W11649" s="24"/>
      <c r="X11649" s="24"/>
      <c r="Y11649" s="24"/>
      <c r="Z11649" s="24"/>
      <c r="AA11649" s="24"/>
    </row>
    <row r="11650">
      <c r="A11650" s="24"/>
      <c r="B11650" s="25"/>
      <c r="C11650" s="24"/>
      <c r="D11650" s="26"/>
      <c r="E11650" s="24"/>
      <c r="F11650" s="24"/>
      <c r="G11650" s="24"/>
      <c r="H11650" s="24"/>
      <c r="I11650" s="24"/>
      <c r="J11650" s="24"/>
      <c r="K11650" s="24"/>
      <c r="L11650" s="24"/>
      <c r="M11650" s="24"/>
      <c r="N11650" s="24"/>
      <c r="O11650" s="24"/>
      <c r="P11650" s="24"/>
      <c r="Q11650" s="24"/>
      <c r="R11650" s="24"/>
      <c r="S11650" s="24"/>
      <c r="T11650" s="24"/>
      <c r="U11650" s="24"/>
      <c r="V11650" s="24"/>
      <c r="W11650" s="24"/>
      <c r="X11650" s="24"/>
      <c r="Y11650" s="24"/>
      <c r="Z11650" s="24"/>
      <c r="AA11650" s="24"/>
    </row>
    <row r="11651">
      <c r="A11651" s="24"/>
      <c r="B11651" s="25"/>
      <c r="C11651" s="24"/>
      <c r="D11651" s="26"/>
      <c r="E11651" s="24"/>
      <c r="F11651" s="24"/>
      <c r="G11651" s="24"/>
      <c r="H11651" s="24"/>
      <c r="I11651" s="24"/>
      <c r="J11651" s="24"/>
      <c r="K11651" s="24"/>
      <c r="L11651" s="24"/>
      <c r="M11651" s="24"/>
      <c r="N11651" s="24"/>
      <c r="O11651" s="24"/>
      <c r="P11651" s="24"/>
      <c r="Q11651" s="24"/>
      <c r="R11651" s="24"/>
      <c r="S11651" s="24"/>
      <c r="T11651" s="24"/>
      <c r="U11651" s="24"/>
      <c r="V11651" s="24"/>
      <c r="W11651" s="24"/>
      <c r="X11651" s="24"/>
      <c r="Y11651" s="24"/>
      <c r="Z11651" s="24"/>
      <c r="AA11651" s="24"/>
    </row>
    <row r="11652">
      <c r="A11652" s="24"/>
      <c r="B11652" s="25"/>
      <c r="C11652" s="24"/>
      <c r="D11652" s="26"/>
      <c r="E11652" s="24"/>
      <c r="F11652" s="24"/>
      <c r="G11652" s="24"/>
      <c r="H11652" s="24"/>
      <c r="I11652" s="24"/>
      <c r="J11652" s="24"/>
      <c r="K11652" s="24"/>
      <c r="L11652" s="24"/>
      <c r="M11652" s="24"/>
      <c r="N11652" s="24"/>
      <c r="O11652" s="24"/>
      <c r="P11652" s="24"/>
      <c r="Q11652" s="24"/>
      <c r="R11652" s="24"/>
      <c r="S11652" s="24"/>
      <c r="T11652" s="24"/>
      <c r="U11652" s="24"/>
      <c r="V11652" s="24"/>
      <c r="W11652" s="24"/>
      <c r="X11652" s="24"/>
      <c r="Y11652" s="24"/>
      <c r="Z11652" s="24"/>
      <c r="AA11652" s="24"/>
    </row>
    <row r="11653">
      <c r="A11653" s="24"/>
      <c r="B11653" s="25"/>
      <c r="C11653" s="24"/>
      <c r="D11653" s="26"/>
      <c r="E11653" s="24"/>
      <c r="F11653" s="24"/>
      <c r="G11653" s="24"/>
      <c r="H11653" s="24"/>
      <c r="I11653" s="24"/>
      <c r="J11653" s="24"/>
      <c r="K11653" s="24"/>
      <c r="L11653" s="24"/>
      <c r="M11653" s="24"/>
      <c r="N11653" s="24"/>
      <c r="O11653" s="24"/>
      <c r="P11653" s="24"/>
      <c r="Q11653" s="24"/>
      <c r="R11653" s="24"/>
      <c r="S11653" s="24"/>
      <c r="T11653" s="24"/>
      <c r="U11653" s="24"/>
      <c r="V11653" s="24"/>
      <c r="W11653" s="24"/>
      <c r="X11653" s="24"/>
      <c r="Y11653" s="24"/>
      <c r="Z11653" s="24"/>
      <c r="AA11653" s="24"/>
    </row>
    <row r="11654">
      <c r="A11654" s="24"/>
      <c r="B11654" s="25"/>
      <c r="C11654" s="24"/>
      <c r="D11654" s="26"/>
      <c r="E11654" s="24"/>
      <c r="F11654" s="24"/>
      <c r="G11654" s="24"/>
      <c r="H11654" s="24"/>
      <c r="I11654" s="24"/>
      <c r="J11654" s="24"/>
      <c r="K11654" s="24"/>
      <c r="L11654" s="24"/>
      <c r="M11654" s="24"/>
      <c r="N11654" s="24"/>
      <c r="O11654" s="24"/>
      <c r="P11654" s="24"/>
      <c r="Q11654" s="24"/>
      <c r="R11654" s="24"/>
      <c r="S11654" s="24"/>
      <c r="T11654" s="24"/>
      <c r="U11654" s="24"/>
      <c r="V11654" s="24"/>
      <c r="W11654" s="24"/>
      <c r="X11654" s="24"/>
      <c r="Y11654" s="24"/>
      <c r="Z11654" s="24"/>
      <c r="AA11654" s="24"/>
    </row>
    <row r="11655">
      <c r="A11655" s="24"/>
      <c r="B11655" s="25"/>
      <c r="C11655" s="24"/>
      <c r="D11655" s="26"/>
      <c r="E11655" s="24"/>
      <c r="F11655" s="24"/>
      <c r="G11655" s="24"/>
      <c r="H11655" s="24"/>
      <c r="I11655" s="24"/>
      <c r="J11655" s="24"/>
      <c r="K11655" s="24"/>
      <c r="L11655" s="24"/>
      <c r="M11655" s="24"/>
      <c r="N11655" s="24"/>
      <c r="O11655" s="24"/>
      <c r="P11655" s="24"/>
      <c r="Q11655" s="24"/>
      <c r="R11655" s="24"/>
      <c r="S11655" s="24"/>
      <c r="T11655" s="24"/>
      <c r="U11655" s="24"/>
      <c r="V11655" s="24"/>
      <c r="W11655" s="24"/>
      <c r="X11655" s="24"/>
      <c r="Y11655" s="24"/>
      <c r="Z11655" s="24"/>
      <c r="AA11655" s="24"/>
    </row>
    <row r="11656">
      <c r="A11656" s="24"/>
      <c r="B11656" s="25"/>
      <c r="C11656" s="24"/>
      <c r="D11656" s="26"/>
      <c r="E11656" s="24"/>
      <c r="F11656" s="24"/>
      <c r="G11656" s="24"/>
      <c r="H11656" s="24"/>
      <c r="I11656" s="24"/>
      <c r="J11656" s="24"/>
      <c r="K11656" s="24"/>
      <c r="L11656" s="24"/>
      <c r="M11656" s="24"/>
      <c r="N11656" s="24"/>
      <c r="O11656" s="24"/>
      <c r="P11656" s="24"/>
      <c r="Q11656" s="24"/>
      <c r="R11656" s="24"/>
      <c r="S11656" s="24"/>
      <c r="T11656" s="24"/>
      <c r="U11656" s="24"/>
      <c r="V11656" s="24"/>
      <c r="W11656" s="24"/>
      <c r="X11656" s="24"/>
      <c r="Y11656" s="24"/>
      <c r="Z11656" s="24"/>
      <c r="AA11656" s="24"/>
    </row>
    <row r="11657">
      <c r="A11657" s="24"/>
      <c r="B11657" s="25"/>
      <c r="C11657" s="24"/>
      <c r="D11657" s="26"/>
      <c r="E11657" s="24"/>
      <c r="F11657" s="24"/>
      <c r="G11657" s="24"/>
      <c r="H11657" s="24"/>
      <c r="I11657" s="24"/>
      <c r="J11657" s="24"/>
      <c r="K11657" s="24"/>
      <c r="L11657" s="24"/>
      <c r="M11657" s="24"/>
      <c r="N11657" s="24"/>
      <c r="O11657" s="24"/>
      <c r="P11657" s="24"/>
      <c r="Q11657" s="24"/>
      <c r="R11657" s="24"/>
      <c r="S11657" s="24"/>
      <c r="T11657" s="24"/>
      <c r="U11657" s="24"/>
      <c r="V11657" s="24"/>
      <c r="W11657" s="24"/>
      <c r="X11657" s="24"/>
      <c r="Y11657" s="24"/>
      <c r="Z11657" s="24"/>
      <c r="AA11657" s="24"/>
    </row>
    <row r="11658">
      <c r="A11658" s="24"/>
      <c r="B11658" s="25"/>
      <c r="C11658" s="24"/>
      <c r="D11658" s="26"/>
      <c r="E11658" s="24"/>
      <c r="F11658" s="24"/>
      <c r="G11658" s="24"/>
      <c r="H11658" s="24"/>
      <c r="I11658" s="24"/>
      <c r="J11658" s="24"/>
      <c r="K11658" s="24"/>
      <c r="L11658" s="24"/>
      <c r="M11658" s="24"/>
      <c r="N11658" s="24"/>
      <c r="O11658" s="24"/>
      <c r="P11658" s="24"/>
      <c r="Q11658" s="24"/>
      <c r="R11658" s="24"/>
      <c r="S11658" s="24"/>
      <c r="T11658" s="24"/>
      <c r="U11658" s="24"/>
      <c r="V11658" s="24"/>
      <c r="W11658" s="24"/>
      <c r="X11658" s="24"/>
      <c r="Y11658" s="24"/>
      <c r="Z11658" s="24"/>
      <c r="AA11658" s="24"/>
    </row>
    <row r="11659">
      <c r="A11659" s="24"/>
      <c r="B11659" s="25"/>
      <c r="C11659" s="24"/>
      <c r="D11659" s="26"/>
      <c r="E11659" s="24"/>
      <c r="F11659" s="24"/>
      <c r="G11659" s="24"/>
      <c r="H11659" s="24"/>
      <c r="I11659" s="24"/>
      <c r="J11659" s="24"/>
      <c r="K11659" s="24"/>
      <c r="L11659" s="24"/>
      <c r="M11659" s="24"/>
      <c r="N11659" s="24"/>
      <c r="O11659" s="24"/>
      <c r="P11659" s="24"/>
      <c r="Q11659" s="24"/>
      <c r="R11659" s="24"/>
      <c r="S11659" s="24"/>
      <c r="T11659" s="24"/>
      <c r="U11659" s="24"/>
      <c r="V11659" s="24"/>
      <c r="W11659" s="24"/>
      <c r="X11659" s="24"/>
      <c r="Y11659" s="24"/>
      <c r="Z11659" s="24"/>
      <c r="AA11659" s="24"/>
    </row>
    <row r="11660">
      <c r="A11660" s="24"/>
      <c r="B11660" s="25"/>
      <c r="C11660" s="24"/>
      <c r="D11660" s="26"/>
      <c r="E11660" s="24"/>
      <c r="F11660" s="24"/>
      <c r="G11660" s="24"/>
      <c r="H11660" s="24"/>
      <c r="I11660" s="24"/>
      <c r="J11660" s="24"/>
      <c r="K11660" s="24"/>
      <c r="L11660" s="24"/>
      <c r="M11660" s="24"/>
      <c r="N11660" s="24"/>
      <c r="O11660" s="24"/>
      <c r="P11660" s="24"/>
      <c r="Q11660" s="24"/>
      <c r="R11660" s="24"/>
      <c r="S11660" s="24"/>
      <c r="T11660" s="24"/>
      <c r="U11660" s="24"/>
      <c r="V11660" s="24"/>
      <c r="W11660" s="24"/>
      <c r="X11660" s="24"/>
      <c r="Y11660" s="24"/>
      <c r="Z11660" s="24"/>
      <c r="AA11660" s="24"/>
    </row>
    <row r="11661">
      <c r="A11661" s="24"/>
      <c r="B11661" s="25"/>
      <c r="C11661" s="24"/>
      <c r="D11661" s="26"/>
      <c r="E11661" s="24"/>
      <c r="F11661" s="24"/>
      <c r="G11661" s="24"/>
      <c r="H11661" s="24"/>
      <c r="I11661" s="24"/>
      <c r="J11661" s="24"/>
      <c r="K11661" s="24"/>
      <c r="L11661" s="24"/>
      <c r="M11661" s="24"/>
      <c r="N11661" s="24"/>
      <c r="O11661" s="24"/>
      <c r="P11661" s="24"/>
      <c r="Q11661" s="24"/>
      <c r="R11661" s="24"/>
      <c r="S11661" s="24"/>
      <c r="T11661" s="24"/>
      <c r="U11661" s="24"/>
      <c r="V11661" s="24"/>
      <c r="W11661" s="24"/>
      <c r="X11661" s="24"/>
      <c r="Y11661" s="24"/>
      <c r="Z11661" s="24"/>
      <c r="AA11661" s="24"/>
    </row>
    <row r="11662">
      <c r="A11662" s="24"/>
      <c r="B11662" s="25"/>
      <c r="C11662" s="24"/>
      <c r="D11662" s="26"/>
      <c r="E11662" s="24"/>
      <c r="F11662" s="24"/>
      <c r="G11662" s="24"/>
      <c r="H11662" s="24"/>
      <c r="I11662" s="24"/>
      <c r="J11662" s="24"/>
      <c r="K11662" s="24"/>
      <c r="L11662" s="24"/>
      <c r="M11662" s="24"/>
      <c r="N11662" s="24"/>
      <c r="O11662" s="24"/>
      <c r="P11662" s="24"/>
      <c r="Q11662" s="24"/>
      <c r="R11662" s="24"/>
      <c r="S11662" s="24"/>
      <c r="T11662" s="24"/>
      <c r="U11662" s="24"/>
      <c r="V11662" s="24"/>
      <c r="W11662" s="24"/>
      <c r="X11662" s="24"/>
      <c r="Y11662" s="24"/>
      <c r="Z11662" s="24"/>
      <c r="AA11662" s="24"/>
    </row>
    <row r="11663">
      <c r="A11663" s="24"/>
      <c r="B11663" s="25"/>
      <c r="C11663" s="24"/>
      <c r="D11663" s="26"/>
      <c r="E11663" s="24"/>
      <c r="F11663" s="24"/>
      <c r="G11663" s="24"/>
      <c r="H11663" s="24"/>
      <c r="I11663" s="24"/>
      <c r="J11663" s="24"/>
      <c r="K11663" s="24"/>
      <c r="L11663" s="24"/>
      <c r="M11663" s="24"/>
      <c r="N11663" s="24"/>
      <c r="O11663" s="24"/>
      <c r="P11663" s="24"/>
      <c r="Q11663" s="24"/>
      <c r="R11663" s="24"/>
      <c r="S11663" s="24"/>
      <c r="T11663" s="24"/>
      <c r="U11663" s="24"/>
      <c r="V11663" s="24"/>
      <c r="W11663" s="24"/>
      <c r="X11663" s="24"/>
      <c r="Y11663" s="24"/>
      <c r="Z11663" s="24"/>
      <c r="AA11663" s="24"/>
    </row>
    <row r="11664">
      <c r="A11664" s="24"/>
      <c r="B11664" s="25"/>
      <c r="C11664" s="24"/>
      <c r="D11664" s="26"/>
      <c r="E11664" s="24"/>
      <c r="F11664" s="24"/>
      <c r="G11664" s="24"/>
      <c r="H11664" s="24"/>
      <c r="I11664" s="24"/>
      <c r="J11664" s="24"/>
      <c r="K11664" s="24"/>
      <c r="L11664" s="24"/>
      <c r="M11664" s="24"/>
      <c r="N11664" s="24"/>
      <c r="O11664" s="24"/>
      <c r="P11664" s="24"/>
      <c r="Q11664" s="24"/>
      <c r="R11664" s="24"/>
      <c r="S11664" s="24"/>
      <c r="T11664" s="24"/>
      <c r="U11664" s="24"/>
      <c r="V11664" s="24"/>
      <c r="W11664" s="24"/>
      <c r="X11664" s="24"/>
      <c r="Y11664" s="24"/>
      <c r="Z11664" s="24"/>
      <c r="AA11664" s="24"/>
    </row>
    <row r="11665">
      <c r="A11665" s="24"/>
      <c r="B11665" s="25"/>
      <c r="C11665" s="24"/>
      <c r="D11665" s="26"/>
      <c r="E11665" s="24"/>
      <c r="F11665" s="24"/>
      <c r="G11665" s="24"/>
      <c r="H11665" s="24"/>
      <c r="I11665" s="24"/>
      <c r="J11665" s="24"/>
      <c r="K11665" s="24"/>
      <c r="L11665" s="24"/>
      <c r="M11665" s="24"/>
      <c r="N11665" s="24"/>
      <c r="O11665" s="24"/>
      <c r="P11665" s="24"/>
      <c r="Q11665" s="24"/>
      <c r="R11665" s="24"/>
      <c r="S11665" s="24"/>
      <c r="T11665" s="24"/>
      <c r="U11665" s="24"/>
      <c r="V11665" s="24"/>
      <c r="W11665" s="24"/>
      <c r="X11665" s="24"/>
      <c r="Y11665" s="24"/>
      <c r="Z11665" s="24"/>
      <c r="AA11665" s="24"/>
    </row>
    <row r="11666">
      <c r="A11666" s="24"/>
      <c r="B11666" s="25"/>
      <c r="C11666" s="24"/>
      <c r="D11666" s="26"/>
      <c r="E11666" s="24"/>
      <c r="F11666" s="24"/>
      <c r="G11666" s="24"/>
      <c r="H11666" s="24"/>
      <c r="I11666" s="24"/>
      <c r="J11666" s="24"/>
      <c r="K11666" s="24"/>
      <c r="L11666" s="24"/>
      <c r="M11666" s="24"/>
      <c r="N11666" s="24"/>
      <c r="O11666" s="24"/>
      <c r="P11666" s="24"/>
      <c r="Q11666" s="24"/>
      <c r="R11666" s="24"/>
      <c r="S11666" s="24"/>
      <c r="T11666" s="24"/>
      <c r="U11666" s="24"/>
      <c r="V11666" s="24"/>
      <c r="W11666" s="24"/>
      <c r="X11666" s="24"/>
      <c r="Y11666" s="24"/>
      <c r="Z11666" s="24"/>
      <c r="AA11666" s="24"/>
    </row>
    <row r="11667">
      <c r="A11667" s="24"/>
      <c r="B11667" s="25"/>
      <c r="C11667" s="24"/>
      <c r="D11667" s="26"/>
      <c r="E11667" s="24"/>
      <c r="F11667" s="24"/>
      <c r="G11667" s="24"/>
      <c r="H11667" s="24"/>
      <c r="I11667" s="24"/>
      <c r="J11667" s="24"/>
      <c r="K11667" s="24"/>
      <c r="L11667" s="24"/>
      <c r="M11667" s="24"/>
      <c r="N11667" s="24"/>
      <c r="O11667" s="24"/>
      <c r="P11667" s="24"/>
      <c r="Q11667" s="24"/>
      <c r="R11667" s="24"/>
      <c r="S11667" s="24"/>
      <c r="T11667" s="24"/>
      <c r="U11667" s="24"/>
      <c r="V11667" s="24"/>
      <c r="W11667" s="24"/>
      <c r="X11667" s="24"/>
      <c r="Y11667" s="24"/>
      <c r="Z11667" s="24"/>
      <c r="AA11667" s="24"/>
    </row>
    <row r="11668">
      <c r="A11668" s="24"/>
      <c r="B11668" s="25"/>
      <c r="C11668" s="24"/>
      <c r="D11668" s="26"/>
      <c r="E11668" s="24"/>
      <c r="F11668" s="24"/>
      <c r="G11668" s="24"/>
      <c r="H11668" s="24"/>
      <c r="I11668" s="24"/>
      <c r="J11668" s="24"/>
      <c r="K11668" s="24"/>
      <c r="L11668" s="24"/>
      <c r="M11668" s="24"/>
      <c r="N11668" s="24"/>
      <c r="O11668" s="24"/>
      <c r="P11668" s="24"/>
      <c r="Q11668" s="24"/>
      <c r="R11668" s="24"/>
      <c r="S11668" s="24"/>
      <c r="T11668" s="24"/>
      <c r="U11668" s="24"/>
      <c r="V11668" s="24"/>
      <c r="W11668" s="24"/>
      <c r="X11668" s="24"/>
      <c r="Y11668" s="24"/>
      <c r="Z11668" s="24"/>
      <c r="AA11668" s="24"/>
    </row>
    <row r="11669">
      <c r="A11669" s="24"/>
      <c r="B11669" s="25"/>
      <c r="C11669" s="24"/>
      <c r="D11669" s="26"/>
      <c r="E11669" s="24"/>
      <c r="F11669" s="24"/>
      <c r="G11669" s="24"/>
      <c r="H11669" s="24"/>
      <c r="I11669" s="24"/>
      <c r="J11669" s="24"/>
      <c r="K11669" s="24"/>
      <c r="L11669" s="24"/>
      <c r="M11669" s="24"/>
      <c r="N11669" s="24"/>
      <c r="O11669" s="24"/>
      <c r="P11669" s="24"/>
      <c r="Q11669" s="24"/>
      <c r="R11669" s="24"/>
      <c r="S11669" s="24"/>
      <c r="T11669" s="24"/>
      <c r="U11669" s="24"/>
      <c r="V11669" s="24"/>
      <c r="W11669" s="24"/>
      <c r="X11669" s="24"/>
      <c r="Y11669" s="24"/>
      <c r="Z11669" s="24"/>
      <c r="AA11669" s="24"/>
    </row>
    <row r="11670">
      <c r="A11670" s="24"/>
      <c r="B11670" s="25"/>
      <c r="C11670" s="24"/>
      <c r="D11670" s="26"/>
      <c r="E11670" s="24"/>
      <c r="F11670" s="24"/>
      <c r="G11670" s="24"/>
      <c r="H11670" s="24"/>
      <c r="I11670" s="24"/>
      <c r="J11670" s="24"/>
      <c r="K11670" s="24"/>
      <c r="L11670" s="24"/>
      <c r="M11670" s="24"/>
      <c r="N11670" s="24"/>
      <c r="O11670" s="24"/>
      <c r="P11670" s="24"/>
      <c r="Q11670" s="24"/>
      <c r="R11670" s="24"/>
      <c r="S11670" s="24"/>
      <c r="T11670" s="24"/>
      <c r="U11670" s="24"/>
      <c r="V11670" s="24"/>
      <c r="W11670" s="24"/>
      <c r="X11670" s="24"/>
      <c r="Y11670" s="24"/>
      <c r="Z11670" s="24"/>
      <c r="AA11670" s="24"/>
    </row>
    <row r="11671">
      <c r="A11671" s="24"/>
      <c r="B11671" s="25"/>
      <c r="C11671" s="24"/>
      <c r="D11671" s="26"/>
      <c r="E11671" s="24"/>
      <c r="F11671" s="24"/>
      <c r="G11671" s="24"/>
      <c r="H11671" s="24"/>
      <c r="I11671" s="24"/>
      <c r="J11671" s="24"/>
      <c r="K11671" s="24"/>
      <c r="L11671" s="24"/>
      <c r="M11671" s="24"/>
      <c r="N11671" s="24"/>
      <c r="O11671" s="24"/>
      <c r="P11671" s="24"/>
      <c r="Q11671" s="24"/>
      <c r="R11671" s="24"/>
      <c r="S11671" s="24"/>
      <c r="T11671" s="24"/>
      <c r="U11671" s="24"/>
      <c r="V11671" s="24"/>
      <c r="W11671" s="24"/>
      <c r="X11671" s="24"/>
      <c r="Y11671" s="24"/>
      <c r="Z11671" s="24"/>
      <c r="AA11671" s="24"/>
    </row>
    <row r="11672">
      <c r="A11672" s="24"/>
      <c r="B11672" s="25"/>
      <c r="C11672" s="24"/>
      <c r="D11672" s="26"/>
      <c r="E11672" s="24"/>
      <c r="F11672" s="24"/>
      <c r="G11672" s="24"/>
      <c r="H11672" s="24"/>
      <c r="I11672" s="24"/>
      <c r="J11672" s="24"/>
      <c r="K11672" s="24"/>
      <c r="L11672" s="24"/>
      <c r="M11672" s="24"/>
      <c r="N11672" s="24"/>
      <c r="O11672" s="24"/>
      <c r="P11672" s="24"/>
      <c r="Q11672" s="24"/>
      <c r="R11672" s="24"/>
      <c r="S11672" s="24"/>
      <c r="T11672" s="24"/>
      <c r="U11672" s="24"/>
      <c r="V11672" s="24"/>
      <c r="W11672" s="24"/>
      <c r="X11672" s="24"/>
      <c r="Y11672" s="24"/>
      <c r="Z11672" s="24"/>
      <c r="AA11672" s="24"/>
    </row>
    <row r="11673">
      <c r="A11673" s="24"/>
      <c r="B11673" s="25"/>
      <c r="C11673" s="24"/>
      <c r="D11673" s="26"/>
      <c r="E11673" s="24"/>
      <c r="F11673" s="24"/>
      <c r="G11673" s="24"/>
      <c r="H11673" s="24"/>
      <c r="I11673" s="24"/>
      <c r="J11673" s="24"/>
      <c r="K11673" s="24"/>
      <c r="L11673" s="24"/>
      <c r="M11673" s="24"/>
      <c r="N11673" s="24"/>
      <c r="O11673" s="24"/>
      <c r="P11673" s="24"/>
      <c r="Q11673" s="24"/>
      <c r="R11673" s="24"/>
      <c r="S11673" s="24"/>
      <c r="T11673" s="24"/>
      <c r="U11673" s="24"/>
      <c r="V11673" s="24"/>
      <c r="W11673" s="24"/>
      <c r="X11673" s="24"/>
      <c r="Y11673" s="24"/>
      <c r="Z11673" s="24"/>
      <c r="AA11673" s="24"/>
    </row>
    <row r="11674">
      <c r="A11674" s="24"/>
      <c r="B11674" s="25"/>
      <c r="C11674" s="24"/>
      <c r="D11674" s="26"/>
      <c r="E11674" s="24"/>
      <c r="F11674" s="24"/>
      <c r="G11674" s="24"/>
      <c r="H11674" s="24"/>
      <c r="I11674" s="24"/>
      <c r="J11674" s="24"/>
      <c r="K11674" s="24"/>
      <c r="L11674" s="24"/>
      <c r="M11674" s="24"/>
      <c r="N11674" s="24"/>
      <c r="O11674" s="24"/>
      <c r="P11674" s="24"/>
      <c r="Q11674" s="24"/>
      <c r="R11674" s="24"/>
      <c r="S11674" s="24"/>
      <c r="T11674" s="24"/>
      <c r="U11674" s="24"/>
      <c r="V11674" s="24"/>
      <c r="W11674" s="24"/>
      <c r="X11674" s="24"/>
      <c r="Y11674" s="24"/>
      <c r="Z11674" s="24"/>
      <c r="AA11674" s="24"/>
    </row>
    <row r="11675">
      <c r="A11675" s="24"/>
      <c r="B11675" s="25"/>
      <c r="C11675" s="24"/>
      <c r="D11675" s="26"/>
      <c r="E11675" s="24"/>
      <c r="F11675" s="24"/>
      <c r="G11675" s="24"/>
      <c r="H11675" s="24"/>
      <c r="I11675" s="24"/>
      <c r="J11675" s="24"/>
      <c r="K11675" s="24"/>
      <c r="L11675" s="24"/>
      <c r="M11675" s="24"/>
      <c r="N11675" s="24"/>
      <c r="O11675" s="24"/>
      <c r="P11675" s="24"/>
      <c r="Q11675" s="24"/>
      <c r="R11675" s="24"/>
      <c r="S11675" s="24"/>
      <c r="T11675" s="24"/>
      <c r="U11675" s="24"/>
      <c r="V11675" s="24"/>
      <c r="W11675" s="24"/>
      <c r="X11675" s="24"/>
      <c r="Y11675" s="24"/>
      <c r="Z11675" s="24"/>
      <c r="AA11675" s="24"/>
    </row>
    <row r="11676">
      <c r="A11676" s="24"/>
      <c r="B11676" s="25"/>
      <c r="C11676" s="24"/>
      <c r="D11676" s="26"/>
      <c r="E11676" s="24"/>
      <c r="F11676" s="24"/>
      <c r="G11676" s="24"/>
      <c r="H11676" s="24"/>
      <c r="I11676" s="24"/>
      <c r="J11676" s="24"/>
      <c r="K11676" s="24"/>
      <c r="L11676" s="24"/>
      <c r="M11676" s="24"/>
      <c r="N11676" s="24"/>
      <c r="O11676" s="24"/>
      <c r="P11676" s="24"/>
      <c r="Q11676" s="24"/>
      <c r="R11676" s="24"/>
      <c r="S11676" s="24"/>
      <c r="T11676" s="24"/>
      <c r="U11676" s="24"/>
      <c r="V11676" s="24"/>
      <c r="W11676" s="24"/>
      <c r="X11676" s="24"/>
      <c r="Y11676" s="24"/>
      <c r="Z11676" s="24"/>
      <c r="AA11676" s="24"/>
    </row>
    <row r="11677">
      <c r="A11677" s="24"/>
      <c r="B11677" s="25"/>
      <c r="C11677" s="24"/>
      <c r="D11677" s="26"/>
      <c r="E11677" s="24"/>
      <c r="F11677" s="24"/>
      <c r="G11677" s="24"/>
      <c r="H11677" s="24"/>
      <c r="I11677" s="24"/>
      <c r="J11677" s="24"/>
      <c r="K11677" s="24"/>
      <c r="L11677" s="24"/>
      <c r="M11677" s="24"/>
      <c r="N11677" s="24"/>
      <c r="O11677" s="24"/>
      <c r="P11677" s="24"/>
      <c r="Q11677" s="24"/>
      <c r="R11677" s="24"/>
      <c r="S11677" s="24"/>
      <c r="T11677" s="24"/>
      <c r="U11677" s="24"/>
      <c r="V11677" s="24"/>
      <c r="W11677" s="24"/>
      <c r="X11677" s="24"/>
      <c r="Y11677" s="24"/>
      <c r="Z11677" s="24"/>
      <c r="AA11677" s="24"/>
    </row>
    <row r="11678">
      <c r="A11678" s="24"/>
      <c r="B11678" s="25"/>
      <c r="C11678" s="24"/>
      <c r="D11678" s="26"/>
      <c r="E11678" s="24"/>
      <c r="F11678" s="24"/>
      <c r="G11678" s="24"/>
      <c r="H11678" s="24"/>
      <c r="I11678" s="24"/>
      <c r="J11678" s="24"/>
      <c r="K11678" s="24"/>
      <c r="L11678" s="24"/>
      <c r="M11678" s="24"/>
      <c r="N11678" s="24"/>
      <c r="O11678" s="24"/>
      <c r="P11678" s="24"/>
      <c r="Q11678" s="24"/>
      <c r="R11678" s="24"/>
      <c r="S11678" s="24"/>
      <c r="T11678" s="24"/>
      <c r="U11678" s="24"/>
      <c r="V11678" s="24"/>
      <c r="W11678" s="24"/>
      <c r="X11678" s="24"/>
      <c r="Y11678" s="24"/>
      <c r="Z11678" s="24"/>
      <c r="AA11678" s="24"/>
    </row>
    <row r="11679">
      <c r="A11679" s="24"/>
      <c r="B11679" s="25"/>
      <c r="C11679" s="24"/>
      <c r="D11679" s="26"/>
      <c r="E11679" s="24"/>
      <c r="F11679" s="24"/>
      <c r="G11679" s="24"/>
      <c r="H11679" s="24"/>
      <c r="I11679" s="24"/>
      <c r="J11679" s="24"/>
      <c r="K11679" s="24"/>
      <c r="L11679" s="24"/>
      <c r="M11679" s="24"/>
      <c r="N11679" s="24"/>
      <c r="O11679" s="24"/>
      <c r="P11679" s="24"/>
      <c r="Q11679" s="24"/>
      <c r="R11679" s="24"/>
      <c r="S11679" s="24"/>
      <c r="T11679" s="24"/>
      <c r="U11679" s="24"/>
      <c r="V11679" s="24"/>
      <c r="W11679" s="24"/>
      <c r="X11679" s="24"/>
      <c r="Y11679" s="24"/>
      <c r="Z11679" s="24"/>
      <c r="AA11679" s="24"/>
    </row>
    <row r="11680">
      <c r="A11680" s="24"/>
      <c r="B11680" s="25"/>
      <c r="C11680" s="24"/>
      <c r="D11680" s="26"/>
      <c r="E11680" s="24"/>
      <c r="F11680" s="24"/>
      <c r="G11680" s="24"/>
      <c r="H11680" s="24"/>
      <c r="I11680" s="24"/>
      <c r="J11680" s="24"/>
      <c r="K11680" s="24"/>
      <c r="L11680" s="24"/>
      <c r="M11680" s="24"/>
      <c r="N11680" s="24"/>
      <c r="O11680" s="24"/>
      <c r="P11680" s="24"/>
      <c r="Q11680" s="24"/>
      <c r="R11680" s="24"/>
      <c r="S11680" s="24"/>
      <c r="T11680" s="24"/>
      <c r="U11680" s="24"/>
      <c r="V11680" s="24"/>
      <c r="W11680" s="24"/>
      <c r="X11680" s="24"/>
      <c r="Y11680" s="24"/>
      <c r="Z11680" s="24"/>
      <c r="AA11680" s="24"/>
    </row>
    <row r="11681">
      <c r="A11681" s="24"/>
      <c r="B11681" s="25"/>
      <c r="C11681" s="24"/>
      <c r="D11681" s="26"/>
      <c r="E11681" s="24"/>
      <c r="F11681" s="24"/>
      <c r="G11681" s="24"/>
      <c r="H11681" s="24"/>
      <c r="I11681" s="24"/>
      <c r="J11681" s="24"/>
      <c r="K11681" s="24"/>
      <c r="L11681" s="24"/>
      <c r="M11681" s="24"/>
      <c r="N11681" s="24"/>
      <c r="O11681" s="24"/>
      <c r="P11681" s="24"/>
      <c r="Q11681" s="24"/>
      <c r="R11681" s="24"/>
      <c r="S11681" s="24"/>
      <c r="T11681" s="24"/>
      <c r="U11681" s="24"/>
      <c r="V11681" s="24"/>
      <c r="W11681" s="24"/>
      <c r="X11681" s="24"/>
      <c r="Y11681" s="24"/>
      <c r="Z11681" s="24"/>
      <c r="AA11681" s="24"/>
    </row>
    <row r="11682">
      <c r="A11682" s="24"/>
      <c r="B11682" s="25"/>
      <c r="C11682" s="24"/>
      <c r="D11682" s="26"/>
      <c r="E11682" s="24"/>
      <c r="F11682" s="24"/>
      <c r="G11682" s="24"/>
      <c r="H11682" s="24"/>
      <c r="I11682" s="24"/>
      <c r="J11682" s="24"/>
      <c r="K11682" s="24"/>
      <c r="L11682" s="24"/>
      <c r="M11682" s="24"/>
      <c r="N11682" s="24"/>
      <c r="O11682" s="24"/>
      <c r="P11682" s="24"/>
      <c r="Q11682" s="24"/>
      <c r="R11682" s="24"/>
      <c r="S11682" s="24"/>
      <c r="T11682" s="24"/>
      <c r="U11682" s="24"/>
      <c r="V11682" s="24"/>
      <c r="W11682" s="24"/>
      <c r="X11682" s="24"/>
      <c r="Y11682" s="24"/>
      <c r="Z11682" s="24"/>
      <c r="AA11682" s="24"/>
    </row>
    <row r="11683">
      <c r="A11683" s="24"/>
      <c r="B11683" s="25"/>
      <c r="C11683" s="24"/>
      <c r="D11683" s="26"/>
      <c r="E11683" s="24"/>
      <c r="F11683" s="24"/>
      <c r="G11683" s="24"/>
      <c r="H11683" s="24"/>
      <c r="I11683" s="24"/>
      <c r="J11683" s="24"/>
      <c r="K11683" s="24"/>
      <c r="L11683" s="24"/>
      <c r="M11683" s="24"/>
      <c r="N11683" s="24"/>
      <c r="O11683" s="24"/>
      <c r="P11683" s="24"/>
      <c r="Q11683" s="24"/>
      <c r="R11683" s="24"/>
      <c r="S11683" s="24"/>
      <c r="T11683" s="24"/>
      <c r="U11683" s="24"/>
      <c r="V11683" s="24"/>
      <c r="W11683" s="24"/>
      <c r="X11683" s="24"/>
      <c r="Y11683" s="24"/>
      <c r="Z11683" s="24"/>
      <c r="AA11683" s="24"/>
    </row>
    <row r="11684">
      <c r="A11684" s="24"/>
      <c r="B11684" s="25"/>
      <c r="C11684" s="24"/>
      <c r="D11684" s="26"/>
      <c r="E11684" s="24"/>
      <c r="F11684" s="24"/>
      <c r="G11684" s="24"/>
      <c r="H11684" s="24"/>
      <c r="I11684" s="24"/>
      <c r="J11684" s="24"/>
      <c r="K11684" s="24"/>
      <c r="L11684" s="24"/>
      <c r="M11684" s="24"/>
      <c r="N11684" s="24"/>
      <c r="O11684" s="24"/>
      <c r="P11684" s="24"/>
      <c r="Q11684" s="24"/>
      <c r="R11684" s="24"/>
      <c r="S11684" s="24"/>
      <c r="T11684" s="24"/>
      <c r="U11684" s="24"/>
      <c r="V11684" s="24"/>
      <c r="W11684" s="24"/>
      <c r="X11684" s="24"/>
      <c r="Y11684" s="24"/>
      <c r="Z11684" s="24"/>
      <c r="AA11684" s="24"/>
    </row>
    <row r="11685">
      <c r="A11685" s="24"/>
      <c r="B11685" s="25"/>
      <c r="C11685" s="24"/>
      <c r="D11685" s="26"/>
      <c r="E11685" s="24"/>
      <c r="F11685" s="24"/>
      <c r="G11685" s="24"/>
      <c r="H11685" s="24"/>
      <c r="I11685" s="24"/>
      <c r="J11685" s="24"/>
      <c r="K11685" s="24"/>
      <c r="L11685" s="24"/>
      <c r="M11685" s="24"/>
      <c r="N11685" s="24"/>
      <c r="O11685" s="24"/>
      <c r="P11685" s="24"/>
      <c r="Q11685" s="24"/>
      <c r="R11685" s="24"/>
      <c r="S11685" s="24"/>
      <c r="T11685" s="24"/>
      <c r="U11685" s="24"/>
      <c r="V11685" s="24"/>
      <c r="W11685" s="24"/>
      <c r="X11685" s="24"/>
      <c r="Y11685" s="24"/>
      <c r="Z11685" s="24"/>
      <c r="AA11685" s="24"/>
    </row>
    <row r="11686">
      <c r="A11686" s="24"/>
      <c r="B11686" s="25"/>
      <c r="C11686" s="24"/>
      <c r="D11686" s="26"/>
      <c r="E11686" s="24"/>
      <c r="F11686" s="24"/>
      <c r="G11686" s="24"/>
      <c r="H11686" s="24"/>
      <c r="I11686" s="24"/>
      <c r="J11686" s="24"/>
      <c r="K11686" s="24"/>
      <c r="L11686" s="24"/>
      <c r="M11686" s="24"/>
      <c r="N11686" s="24"/>
      <c r="O11686" s="24"/>
      <c r="P11686" s="24"/>
      <c r="Q11686" s="24"/>
      <c r="R11686" s="24"/>
      <c r="S11686" s="24"/>
      <c r="T11686" s="24"/>
      <c r="U11686" s="24"/>
      <c r="V11686" s="24"/>
      <c r="W11686" s="24"/>
      <c r="X11686" s="24"/>
      <c r="Y11686" s="24"/>
      <c r="Z11686" s="24"/>
      <c r="AA11686" s="24"/>
    </row>
    <row r="11687">
      <c r="A11687" s="24"/>
      <c r="B11687" s="25"/>
      <c r="C11687" s="24"/>
      <c r="D11687" s="26"/>
      <c r="E11687" s="24"/>
      <c r="F11687" s="24"/>
      <c r="G11687" s="24"/>
      <c r="H11687" s="24"/>
      <c r="I11687" s="24"/>
      <c r="J11687" s="24"/>
      <c r="K11687" s="24"/>
      <c r="L11687" s="24"/>
      <c r="M11687" s="24"/>
      <c r="N11687" s="24"/>
      <c r="O11687" s="24"/>
      <c r="P11687" s="24"/>
      <c r="Q11687" s="24"/>
      <c r="R11687" s="24"/>
      <c r="S11687" s="24"/>
      <c r="T11687" s="24"/>
      <c r="U11687" s="24"/>
      <c r="V11687" s="24"/>
      <c r="W11687" s="24"/>
      <c r="X11687" s="24"/>
      <c r="Y11687" s="24"/>
      <c r="Z11687" s="24"/>
      <c r="AA11687" s="24"/>
    </row>
    <row r="11688">
      <c r="A11688" s="24"/>
      <c r="B11688" s="25"/>
      <c r="C11688" s="24"/>
      <c r="D11688" s="26"/>
      <c r="E11688" s="24"/>
      <c r="F11688" s="24"/>
      <c r="G11688" s="24"/>
      <c r="H11688" s="24"/>
      <c r="I11688" s="24"/>
      <c r="J11688" s="24"/>
      <c r="K11688" s="24"/>
      <c r="L11688" s="24"/>
      <c r="M11688" s="24"/>
      <c r="N11688" s="24"/>
      <c r="O11688" s="24"/>
      <c r="P11688" s="24"/>
      <c r="Q11688" s="24"/>
      <c r="R11688" s="24"/>
      <c r="S11688" s="24"/>
      <c r="T11688" s="24"/>
      <c r="U11688" s="24"/>
      <c r="V11688" s="24"/>
      <c r="W11688" s="24"/>
      <c r="X11688" s="24"/>
      <c r="Y11688" s="24"/>
      <c r="Z11688" s="24"/>
      <c r="AA11688" s="24"/>
    </row>
    <row r="11689">
      <c r="A11689" s="24"/>
      <c r="B11689" s="25"/>
      <c r="C11689" s="24"/>
      <c r="D11689" s="26"/>
      <c r="E11689" s="24"/>
      <c r="F11689" s="24"/>
      <c r="G11689" s="24"/>
      <c r="H11689" s="24"/>
      <c r="I11689" s="24"/>
      <c r="J11689" s="24"/>
      <c r="K11689" s="24"/>
      <c r="L11689" s="24"/>
      <c r="M11689" s="24"/>
      <c r="N11689" s="24"/>
      <c r="O11689" s="24"/>
      <c r="P11689" s="24"/>
      <c r="Q11689" s="24"/>
      <c r="R11689" s="24"/>
      <c r="S11689" s="24"/>
      <c r="T11689" s="24"/>
      <c r="U11689" s="24"/>
      <c r="V11689" s="24"/>
      <c r="W11689" s="24"/>
      <c r="X11689" s="24"/>
      <c r="Y11689" s="24"/>
      <c r="Z11689" s="24"/>
      <c r="AA11689" s="24"/>
    </row>
    <row r="11690">
      <c r="A11690" s="24"/>
      <c r="B11690" s="25"/>
      <c r="C11690" s="24"/>
      <c r="D11690" s="26"/>
      <c r="E11690" s="24"/>
      <c r="F11690" s="24"/>
      <c r="G11690" s="24"/>
      <c r="H11690" s="24"/>
      <c r="I11690" s="24"/>
      <c r="J11690" s="24"/>
      <c r="K11690" s="24"/>
      <c r="L11690" s="24"/>
      <c r="M11690" s="24"/>
      <c r="N11690" s="24"/>
      <c r="O11690" s="24"/>
      <c r="P11690" s="24"/>
      <c r="Q11690" s="24"/>
      <c r="R11690" s="24"/>
      <c r="S11690" s="24"/>
      <c r="T11690" s="24"/>
      <c r="U11690" s="24"/>
      <c r="V11690" s="24"/>
      <c r="W11690" s="24"/>
      <c r="X11690" s="24"/>
      <c r="Y11690" s="24"/>
      <c r="Z11690" s="24"/>
      <c r="AA11690" s="24"/>
    </row>
    <row r="11691">
      <c r="A11691" s="24"/>
      <c r="B11691" s="25"/>
      <c r="C11691" s="24"/>
      <c r="D11691" s="26"/>
      <c r="E11691" s="24"/>
      <c r="F11691" s="24"/>
      <c r="G11691" s="24"/>
      <c r="H11691" s="24"/>
      <c r="I11691" s="24"/>
      <c r="J11691" s="24"/>
      <c r="K11691" s="24"/>
      <c r="L11691" s="24"/>
      <c r="M11691" s="24"/>
      <c r="N11691" s="24"/>
      <c r="O11691" s="24"/>
      <c r="P11691" s="24"/>
      <c r="Q11691" s="24"/>
      <c r="R11691" s="24"/>
      <c r="S11691" s="24"/>
      <c r="T11691" s="24"/>
      <c r="U11691" s="24"/>
      <c r="V11691" s="24"/>
      <c r="W11691" s="24"/>
      <c r="X11691" s="24"/>
      <c r="Y11691" s="24"/>
      <c r="Z11691" s="24"/>
      <c r="AA11691" s="24"/>
    </row>
    <row r="11692">
      <c r="A11692" s="24"/>
      <c r="B11692" s="25"/>
      <c r="C11692" s="24"/>
      <c r="D11692" s="26"/>
      <c r="E11692" s="24"/>
      <c r="F11692" s="24"/>
      <c r="G11692" s="24"/>
      <c r="H11692" s="24"/>
      <c r="I11692" s="24"/>
      <c r="J11692" s="24"/>
      <c r="K11692" s="24"/>
      <c r="L11692" s="24"/>
      <c r="M11692" s="24"/>
      <c r="N11692" s="24"/>
      <c r="O11692" s="24"/>
      <c r="P11692" s="24"/>
      <c r="Q11692" s="24"/>
      <c r="R11692" s="24"/>
      <c r="S11692" s="24"/>
      <c r="T11692" s="24"/>
      <c r="U11692" s="24"/>
      <c r="V11692" s="24"/>
      <c r="W11692" s="24"/>
      <c r="X11692" s="24"/>
      <c r="Y11692" s="24"/>
      <c r="Z11692" s="24"/>
      <c r="AA11692" s="24"/>
    </row>
    <row r="11693">
      <c r="A11693" s="24"/>
      <c r="B11693" s="25"/>
      <c r="C11693" s="24"/>
      <c r="D11693" s="26"/>
      <c r="E11693" s="24"/>
      <c r="F11693" s="24"/>
      <c r="G11693" s="24"/>
      <c r="H11693" s="24"/>
      <c r="I11693" s="24"/>
      <c r="J11693" s="24"/>
      <c r="K11693" s="24"/>
      <c r="L11693" s="24"/>
      <c r="M11693" s="24"/>
      <c r="N11693" s="24"/>
      <c r="O11693" s="24"/>
      <c r="P11693" s="24"/>
      <c r="Q11693" s="24"/>
      <c r="R11693" s="24"/>
      <c r="S11693" s="24"/>
      <c r="T11693" s="24"/>
      <c r="U11693" s="24"/>
      <c r="V11693" s="24"/>
      <c r="W11693" s="24"/>
      <c r="X11693" s="24"/>
      <c r="Y11693" s="24"/>
      <c r="Z11693" s="24"/>
      <c r="AA11693" s="24"/>
    </row>
    <row r="11694">
      <c r="A11694" s="24"/>
      <c r="B11694" s="25"/>
      <c r="C11694" s="24"/>
      <c r="D11694" s="26"/>
      <c r="E11694" s="24"/>
      <c r="F11694" s="24"/>
      <c r="G11694" s="24"/>
      <c r="H11694" s="24"/>
      <c r="I11694" s="24"/>
      <c r="J11694" s="24"/>
      <c r="K11694" s="24"/>
      <c r="L11694" s="24"/>
      <c r="M11694" s="24"/>
      <c r="N11694" s="24"/>
      <c r="O11694" s="24"/>
      <c r="P11694" s="24"/>
      <c r="Q11694" s="24"/>
      <c r="R11694" s="24"/>
      <c r="S11694" s="24"/>
      <c r="T11694" s="24"/>
      <c r="U11694" s="24"/>
      <c r="V11694" s="24"/>
      <c r="W11694" s="24"/>
      <c r="X11694" s="24"/>
      <c r="Y11694" s="24"/>
      <c r="Z11694" s="24"/>
      <c r="AA11694" s="24"/>
    </row>
    <row r="11695">
      <c r="A11695" s="24"/>
      <c r="B11695" s="25"/>
      <c r="C11695" s="24"/>
      <c r="D11695" s="26"/>
      <c r="E11695" s="24"/>
      <c r="F11695" s="24"/>
      <c r="G11695" s="24"/>
      <c r="H11695" s="24"/>
      <c r="I11695" s="24"/>
      <c r="J11695" s="24"/>
      <c r="K11695" s="24"/>
      <c r="L11695" s="24"/>
      <c r="M11695" s="24"/>
      <c r="N11695" s="24"/>
      <c r="O11695" s="24"/>
      <c r="P11695" s="24"/>
      <c r="Q11695" s="24"/>
      <c r="R11695" s="24"/>
      <c r="S11695" s="24"/>
      <c r="T11695" s="24"/>
      <c r="U11695" s="24"/>
      <c r="V11695" s="24"/>
      <c r="W11695" s="24"/>
      <c r="X11695" s="24"/>
      <c r="Y11695" s="24"/>
      <c r="Z11695" s="24"/>
      <c r="AA11695" s="24"/>
    </row>
    <row r="11696">
      <c r="A11696" s="24"/>
      <c r="B11696" s="25"/>
      <c r="C11696" s="24"/>
      <c r="D11696" s="26"/>
      <c r="E11696" s="24"/>
      <c r="F11696" s="24"/>
      <c r="G11696" s="24"/>
      <c r="H11696" s="24"/>
      <c r="I11696" s="24"/>
      <c r="J11696" s="24"/>
      <c r="K11696" s="24"/>
      <c r="L11696" s="24"/>
      <c r="M11696" s="24"/>
      <c r="N11696" s="24"/>
      <c r="O11696" s="24"/>
      <c r="P11696" s="24"/>
      <c r="Q11696" s="24"/>
      <c r="R11696" s="24"/>
      <c r="S11696" s="24"/>
      <c r="T11696" s="24"/>
      <c r="U11696" s="24"/>
      <c r="V11696" s="24"/>
      <c r="W11696" s="24"/>
      <c r="X11696" s="24"/>
      <c r="Y11696" s="24"/>
      <c r="Z11696" s="24"/>
      <c r="AA11696" s="24"/>
    </row>
    <row r="11697">
      <c r="A11697" s="24"/>
      <c r="B11697" s="25"/>
      <c r="C11697" s="24"/>
      <c r="D11697" s="26"/>
      <c r="E11697" s="24"/>
      <c r="F11697" s="24"/>
      <c r="G11697" s="24"/>
      <c r="H11697" s="24"/>
      <c r="I11697" s="24"/>
      <c r="J11697" s="24"/>
      <c r="K11697" s="24"/>
      <c r="L11697" s="24"/>
      <c r="M11697" s="24"/>
      <c r="N11697" s="24"/>
      <c r="O11697" s="24"/>
      <c r="P11697" s="24"/>
      <c r="Q11697" s="24"/>
      <c r="R11697" s="24"/>
      <c r="S11697" s="24"/>
      <c r="T11697" s="24"/>
      <c r="U11697" s="24"/>
      <c r="V11697" s="24"/>
      <c r="W11697" s="24"/>
      <c r="X11697" s="24"/>
      <c r="Y11697" s="24"/>
      <c r="Z11697" s="24"/>
      <c r="AA11697" s="24"/>
    </row>
    <row r="11698">
      <c r="A11698" s="24"/>
      <c r="B11698" s="25"/>
      <c r="C11698" s="24"/>
      <c r="D11698" s="26"/>
      <c r="E11698" s="24"/>
      <c r="F11698" s="24"/>
      <c r="G11698" s="24"/>
      <c r="H11698" s="24"/>
      <c r="I11698" s="24"/>
      <c r="J11698" s="24"/>
      <c r="K11698" s="24"/>
      <c r="L11698" s="24"/>
      <c r="M11698" s="24"/>
      <c r="N11698" s="24"/>
      <c r="O11698" s="24"/>
      <c r="P11698" s="24"/>
      <c r="Q11698" s="24"/>
      <c r="R11698" s="24"/>
      <c r="S11698" s="24"/>
      <c r="T11698" s="24"/>
      <c r="U11698" s="24"/>
      <c r="V11698" s="24"/>
      <c r="W11698" s="24"/>
      <c r="X11698" s="24"/>
      <c r="Y11698" s="24"/>
      <c r="Z11698" s="24"/>
      <c r="AA11698" s="24"/>
    </row>
    <row r="11699">
      <c r="A11699" s="24"/>
      <c r="B11699" s="25"/>
      <c r="C11699" s="24"/>
      <c r="D11699" s="26"/>
      <c r="E11699" s="24"/>
      <c r="F11699" s="24"/>
      <c r="G11699" s="24"/>
      <c r="H11699" s="24"/>
      <c r="I11699" s="24"/>
      <c r="J11699" s="24"/>
      <c r="K11699" s="24"/>
      <c r="L11699" s="24"/>
      <c r="M11699" s="24"/>
      <c r="N11699" s="24"/>
      <c r="O11699" s="24"/>
      <c r="P11699" s="24"/>
      <c r="Q11699" s="24"/>
      <c r="R11699" s="24"/>
      <c r="S11699" s="24"/>
      <c r="T11699" s="24"/>
      <c r="U11699" s="24"/>
      <c r="V11699" s="24"/>
      <c r="W11699" s="24"/>
      <c r="X11699" s="24"/>
      <c r="Y11699" s="24"/>
      <c r="Z11699" s="24"/>
      <c r="AA11699" s="24"/>
    </row>
    <row r="11700">
      <c r="A11700" s="24"/>
      <c r="B11700" s="25"/>
      <c r="C11700" s="24"/>
      <c r="D11700" s="26"/>
      <c r="E11700" s="24"/>
      <c r="F11700" s="24"/>
      <c r="G11700" s="24"/>
      <c r="H11700" s="24"/>
      <c r="I11700" s="24"/>
      <c r="J11700" s="24"/>
      <c r="K11700" s="24"/>
      <c r="L11700" s="24"/>
      <c r="M11700" s="24"/>
      <c r="N11700" s="24"/>
      <c r="O11700" s="24"/>
      <c r="P11700" s="24"/>
      <c r="Q11700" s="24"/>
      <c r="R11700" s="24"/>
      <c r="S11700" s="24"/>
      <c r="T11700" s="24"/>
      <c r="U11700" s="24"/>
      <c r="V11700" s="24"/>
      <c r="W11700" s="24"/>
      <c r="X11700" s="24"/>
      <c r="Y11700" s="24"/>
      <c r="Z11700" s="24"/>
      <c r="AA11700" s="24"/>
    </row>
    <row r="11701">
      <c r="A11701" s="24"/>
      <c r="B11701" s="25"/>
      <c r="C11701" s="24"/>
      <c r="D11701" s="26"/>
      <c r="E11701" s="24"/>
      <c r="F11701" s="24"/>
      <c r="G11701" s="24"/>
      <c r="H11701" s="24"/>
      <c r="I11701" s="24"/>
      <c r="J11701" s="24"/>
      <c r="K11701" s="24"/>
      <c r="L11701" s="24"/>
      <c r="M11701" s="24"/>
      <c r="N11701" s="24"/>
      <c r="O11701" s="24"/>
      <c r="P11701" s="24"/>
      <c r="Q11701" s="24"/>
      <c r="R11701" s="24"/>
      <c r="S11701" s="24"/>
      <c r="T11701" s="24"/>
      <c r="U11701" s="24"/>
      <c r="V11701" s="24"/>
      <c r="W11701" s="24"/>
      <c r="X11701" s="24"/>
      <c r="Y11701" s="24"/>
      <c r="Z11701" s="24"/>
      <c r="AA11701" s="24"/>
    </row>
    <row r="11702">
      <c r="A11702" s="24"/>
      <c r="B11702" s="25"/>
      <c r="C11702" s="24"/>
      <c r="D11702" s="26"/>
      <c r="E11702" s="24"/>
      <c r="F11702" s="24"/>
      <c r="G11702" s="24"/>
      <c r="H11702" s="24"/>
      <c r="I11702" s="24"/>
      <c r="J11702" s="24"/>
      <c r="K11702" s="24"/>
      <c r="L11702" s="24"/>
      <c r="M11702" s="24"/>
      <c r="N11702" s="24"/>
      <c r="O11702" s="24"/>
      <c r="P11702" s="24"/>
      <c r="Q11702" s="24"/>
      <c r="R11702" s="24"/>
      <c r="S11702" s="24"/>
      <c r="T11702" s="24"/>
      <c r="U11702" s="24"/>
      <c r="V11702" s="24"/>
      <c r="W11702" s="24"/>
      <c r="X11702" s="24"/>
      <c r="Y11702" s="24"/>
      <c r="Z11702" s="24"/>
      <c r="AA11702" s="24"/>
    </row>
    <row r="11703">
      <c r="A11703" s="24"/>
      <c r="B11703" s="25"/>
      <c r="C11703" s="24"/>
      <c r="D11703" s="26"/>
      <c r="E11703" s="24"/>
      <c r="F11703" s="24"/>
      <c r="G11703" s="24"/>
      <c r="H11703" s="24"/>
      <c r="I11703" s="24"/>
      <c r="J11703" s="24"/>
      <c r="K11703" s="24"/>
      <c r="L11703" s="24"/>
      <c r="M11703" s="24"/>
      <c r="N11703" s="24"/>
      <c r="O11703" s="24"/>
      <c r="P11703" s="24"/>
      <c r="Q11703" s="24"/>
      <c r="R11703" s="24"/>
      <c r="S11703" s="24"/>
      <c r="T11703" s="24"/>
      <c r="U11703" s="24"/>
      <c r="V11703" s="24"/>
      <c r="W11703" s="24"/>
      <c r="X11703" s="24"/>
      <c r="Y11703" s="24"/>
      <c r="Z11703" s="24"/>
      <c r="AA11703" s="24"/>
    </row>
    <row r="11704">
      <c r="A11704" s="24"/>
      <c r="B11704" s="25"/>
      <c r="C11704" s="24"/>
      <c r="D11704" s="26"/>
      <c r="E11704" s="24"/>
      <c r="F11704" s="24"/>
      <c r="G11704" s="24"/>
      <c r="H11704" s="24"/>
      <c r="I11704" s="24"/>
      <c r="J11704" s="24"/>
      <c r="K11704" s="24"/>
      <c r="L11704" s="24"/>
      <c r="M11704" s="24"/>
      <c r="N11704" s="24"/>
      <c r="O11704" s="24"/>
      <c r="P11704" s="24"/>
      <c r="Q11704" s="24"/>
      <c r="R11704" s="24"/>
      <c r="S11704" s="24"/>
      <c r="T11704" s="24"/>
      <c r="U11704" s="24"/>
      <c r="V11704" s="24"/>
      <c r="W11704" s="24"/>
      <c r="X11704" s="24"/>
      <c r="Y11704" s="24"/>
      <c r="Z11704" s="24"/>
      <c r="AA11704" s="24"/>
    </row>
    <row r="11705">
      <c r="A11705" s="24"/>
      <c r="B11705" s="25"/>
      <c r="C11705" s="24"/>
      <c r="D11705" s="26"/>
      <c r="E11705" s="24"/>
      <c r="F11705" s="24"/>
      <c r="G11705" s="24"/>
      <c r="H11705" s="24"/>
      <c r="I11705" s="24"/>
      <c r="J11705" s="24"/>
      <c r="K11705" s="24"/>
      <c r="L11705" s="24"/>
      <c r="M11705" s="24"/>
      <c r="N11705" s="24"/>
      <c r="O11705" s="24"/>
      <c r="P11705" s="24"/>
      <c r="Q11705" s="24"/>
      <c r="R11705" s="24"/>
      <c r="S11705" s="24"/>
      <c r="T11705" s="24"/>
      <c r="U11705" s="24"/>
      <c r="V11705" s="24"/>
      <c r="W11705" s="24"/>
      <c r="X11705" s="24"/>
      <c r="Y11705" s="24"/>
      <c r="Z11705" s="24"/>
      <c r="AA11705" s="24"/>
    </row>
    <row r="11706">
      <c r="A11706" s="24"/>
      <c r="B11706" s="25"/>
      <c r="C11706" s="24"/>
      <c r="D11706" s="26"/>
      <c r="E11706" s="24"/>
      <c r="F11706" s="24"/>
      <c r="G11706" s="24"/>
      <c r="H11706" s="24"/>
      <c r="I11706" s="24"/>
      <c r="J11706" s="24"/>
      <c r="K11706" s="24"/>
      <c r="L11706" s="24"/>
      <c r="M11706" s="24"/>
      <c r="N11706" s="24"/>
      <c r="O11706" s="24"/>
      <c r="P11706" s="24"/>
      <c r="Q11706" s="24"/>
      <c r="R11706" s="24"/>
      <c r="S11706" s="24"/>
      <c r="T11706" s="24"/>
      <c r="U11706" s="24"/>
      <c r="V11706" s="24"/>
      <c r="W11706" s="24"/>
      <c r="X11706" s="24"/>
      <c r="Y11706" s="24"/>
      <c r="Z11706" s="24"/>
      <c r="AA11706" s="24"/>
    </row>
    <row r="11707">
      <c r="A11707" s="24"/>
      <c r="B11707" s="25"/>
      <c r="C11707" s="24"/>
      <c r="D11707" s="26"/>
      <c r="E11707" s="24"/>
      <c r="F11707" s="24"/>
      <c r="G11707" s="24"/>
      <c r="H11707" s="24"/>
      <c r="I11707" s="24"/>
      <c r="J11707" s="24"/>
      <c r="K11707" s="24"/>
      <c r="L11707" s="24"/>
      <c r="M11707" s="24"/>
      <c r="N11707" s="24"/>
      <c r="O11707" s="24"/>
      <c r="P11707" s="24"/>
      <c r="Q11707" s="24"/>
      <c r="R11707" s="24"/>
      <c r="S11707" s="24"/>
      <c r="T11707" s="24"/>
      <c r="U11707" s="24"/>
      <c r="V11707" s="24"/>
      <c r="W11707" s="24"/>
      <c r="X11707" s="24"/>
      <c r="Y11707" s="24"/>
      <c r="Z11707" s="24"/>
      <c r="AA11707" s="24"/>
    </row>
    <row r="11708">
      <c r="A11708" s="24"/>
      <c r="B11708" s="25"/>
      <c r="C11708" s="24"/>
      <c r="D11708" s="26"/>
      <c r="E11708" s="24"/>
      <c r="F11708" s="24"/>
      <c r="G11708" s="24"/>
      <c r="H11708" s="24"/>
      <c r="I11708" s="24"/>
      <c r="J11708" s="24"/>
      <c r="K11708" s="24"/>
      <c r="L11708" s="24"/>
      <c r="M11708" s="24"/>
      <c r="N11708" s="24"/>
      <c r="O11708" s="24"/>
      <c r="P11708" s="24"/>
      <c r="Q11708" s="24"/>
      <c r="R11708" s="24"/>
      <c r="S11708" s="24"/>
      <c r="T11708" s="24"/>
      <c r="U11708" s="24"/>
      <c r="V11708" s="24"/>
      <c r="W11708" s="24"/>
      <c r="X11708" s="24"/>
      <c r="Y11708" s="24"/>
      <c r="Z11708" s="24"/>
      <c r="AA11708" s="24"/>
    </row>
    <row r="11709">
      <c r="A11709" s="24"/>
      <c r="B11709" s="25"/>
      <c r="C11709" s="24"/>
      <c r="D11709" s="26"/>
      <c r="E11709" s="24"/>
      <c r="F11709" s="24"/>
      <c r="G11709" s="24"/>
      <c r="H11709" s="24"/>
      <c r="I11709" s="24"/>
      <c r="J11709" s="24"/>
      <c r="K11709" s="24"/>
      <c r="L11709" s="24"/>
      <c r="M11709" s="24"/>
      <c r="N11709" s="24"/>
      <c r="O11709" s="24"/>
      <c r="P11709" s="24"/>
      <c r="Q11709" s="24"/>
      <c r="R11709" s="24"/>
      <c r="S11709" s="24"/>
      <c r="T11709" s="24"/>
      <c r="U11709" s="24"/>
      <c r="V11709" s="24"/>
      <c r="W11709" s="24"/>
      <c r="X11709" s="24"/>
      <c r="Y11709" s="24"/>
      <c r="Z11709" s="24"/>
      <c r="AA11709" s="24"/>
    </row>
    <row r="11710">
      <c r="A11710" s="24"/>
      <c r="B11710" s="25"/>
      <c r="C11710" s="24"/>
      <c r="D11710" s="26"/>
      <c r="E11710" s="24"/>
      <c r="F11710" s="24"/>
      <c r="G11710" s="24"/>
      <c r="H11710" s="24"/>
      <c r="I11710" s="24"/>
      <c r="J11710" s="24"/>
      <c r="K11710" s="24"/>
      <c r="L11710" s="24"/>
      <c r="M11710" s="24"/>
      <c r="N11710" s="24"/>
      <c r="O11710" s="24"/>
      <c r="P11710" s="24"/>
      <c r="Q11710" s="24"/>
      <c r="R11710" s="24"/>
      <c r="S11710" s="24"/>
      <c r="T11710" s="24"/>
      <c r="U11710" s="24"/>
      <c r="V11710" s="24"/>
      <c r="W11710" s="24"/>
      <c r="X11710" s="24"/>
      <c r="Y11710" s="24"/>
      <c r="Z11710" s="24"/>
      <c r="AA11710" s="24"/>
    </row>
    <row r="11711">
      <c r="A11711" s="24"/>
      <c r="B11711" s="25"/>
      <c r="C11711" s="24"/>
      <c r="D11711" s="26"/>
      <c r="E11711" s="24"/>
      <c r="F11711" s="24"/>
      <c r="G11711" s="24"/>
      <c r="H11711" s="24"/>
      <c r="I11711" s="24"/>
      <c r="J11711" s="24"/>
      <c r="K11711" s="24"/>
      <c r="L11711" s="24"/>
      <c r="M11711" s="24"/>
      <c r="N11711" s="24"/>
      <c r="O11711" s="24"/>
      <c r="P11711" s="24"/>
      <c r="Q11711" s="24"/>
      <c r="R11711" s="24"/>
      <c r="S11711" s="24"/>
      <c r="T11711" s="24"/>
      <c r="U11711" s="24"/>
      <c r="V11711" s="24"/>
      <c r="W11711" s="24"/>
      <c r="X11711" s="24"/>
      <c r="Y11711" s="24"/>
      <c r="Z11711" s="24"/>
      <c r="AA11711" s="24"/>
    </row>
    <row r="11712">
      <c r="A11712" s="24"/>
      <c r="B11712" s="25"/>
      <c r="C11712" s="24"/>
      <c r="D11712" s="26"/>
      <c r="E11712" s="24"/>
      <c r="F11712" s="24"/>
      <c r="G11712" s="24"/>
      <c r="H11712" s="24"/>
      <c r="I11712" s="24"/>
      <c r="J11712" s="24"/>
      <c r="K11712" s="24"/>
      <c r="L11712" s="24"/>
      <c r="M11712" s="24"/>
      <c r="N11712" s="24"/>
      <c r="O11712" s="24"/>
      <c r="P11712" s="24"/>
      <c r="Q11712" s="24"/>
      <c r="R11712" s="24"/>
      <c r="S11712" s="24"/>
      <c r="T11712" s="24"/>
      <c r="U11712" s="24"/>
      <c r="V11712" s="24"/>
      <c r="W11712" s="24"/>
      <c r="X11712" s="24"/>
      <c r="Y11712" s="24"/>
      <c r="Z11712" s="24"/>
      <c r="AA11712" s="24"/>
    </row>
    <row r="11713">
      <c r="A11713" s="24"/>
      <c r="B11713" s="25"/>
      <c r="C11713" s="24"/>
      <c r="D11713" s="26"/>
      <c r="E11713" s="24"/>
      <c r="F11713" s="24"/>
      <c r="G11713" s="24"/>
      <c r="H11713" s="24"/>
      <c r="I11713" s="24"/>
      <c r="J11713" s="24"/>
      <c r="K11713" s="24"/>
      <c r="L11713" s="24"/>
      <c r="M11713" s="24"/>
      <c r="N11713" s="24"/>
      <c r="O11713" s="24"/>
      <c r="P11713" s="24"/>
      <c r="Q11713" s="24"/>
      <c r="R11713" s="24"/>
      <c r="S11713" s="24"/>
      <c r="T11713" s="24"/>
      <c r="U11713" s="24"/>
      <c r="V11713" s="24"/>
      <c r="W11713" s="24"/>
      <c r="X11713" s="24"/>
      <c r="Y11713" s="24"/>
      <c r="Z11713" s="24"/>
      <c r="AA11713" s="24"/>
    </row>
    <row r="11714">
      <c r="A11714" s="24"/>
      <c r="B11714" s="25"/>
      <c r="C11714" s="24"/>
      <c r="D11714" s="26"/>
      <c r="E11714" s="24"/>
      <c r="F11714" s="24"/>
      <c r="G11714" s="24"/>
      <c r="H11714" s="24"/>
      <c r="I11714" s="24"/>
      <c r="J11714" s="24"/>
      <c r="K11714" s="24"/>
      <c r="L11714" s="24"/>
      <c r="M11714" s="24"/>
      <c r="N11714" s="24"/>
      <c r="O11714" s="24"/>
      <c r="P11714" s="24"/>
      <c r="Q11714" s="24"/>
      <c r="R11714" s="24"/>
      <c r="S11714" s="24"/>
      <c r="T11714" s="24"/>
      <c r="U11714" s="24"/>
      <c r="V11714" s="24"/>
      <c r="W11714" s="24"/>
      <c r="X11714" s="24"/>
      <c r="Y11714" s="24"/>
      <c r="Z11714" s="24"/>
      <c r="AA11714" s="24"/>
    </row>
    <row r="11715">
      <c r="A11715" s="24"/>
      <c r="B11715" s="25"/>
      <c r="C11715" s="24"/>
      <c r="D11715" s="26"/>
      <c r="E11715" s="24"/>
      <c r="F11715" s="24"/>
      <c r="G11715" s="24"/>
      <c r="H11715" s="24"/>
      <c r="I11715" s="24"/>
      <c r="J11715" s="24"/>
      <c r="K11715" s="24"/>
      <c r="L11715" s="24"/>
      <c r="M11715" s="24"/>
      <c r="N11715" s="24"/>
      <c r="O11715" s="24"/>
      <c r="P11715" s="24"/>
      <c r="Q11715" s="24"/>
      <c r="R11715" s="24"/>
      <c r="S11715" s="24"/>
      <c r="T11715" s="24"/>
      <c r="U11715" s="24"/>
      <c r="V11715" s="24"/>
      <c r="W11715" s="24"/>
      <c r="X11715" s="24"/>
      <c r="Y11715" s="24"/>
      <c r="Z11715" s="24"/>
      <c r="AA11715" s="24"/>
    </row>
    <row r="11716">
      <c r="A11716" s="24"/>
      <c r="B11716" s="25"/>
      <c r="C11716" s="24"/>
      <c r="D11716" s="26"/>
      <c r="E11716" s="24"/>
      <c r="F11716" s="24"/>
      <c r="G11716" s="24"/>
      <c r="H11716" s="24"/>
      <c r="I11716" s="24"/>
      <c r="J11716" s="24"/>
      <c r="K11716" s="24"/>
      <c r="L11716" s="24"/>
      <c r="M11716" s="24"/>
      <c r="N11716" s="24"/>
      <c r="O11716" s="24"/>
      <c r="P11716" s="24"/>
      <c r="Q11716" s="24"/>
      <c r="R11716" s="24"/>
      <c r="S11716" s="24"/>
      <c r="T11716" s="24"/>
      <c r="U11716" s="24"/>
      <c r="V11716" s="24"/>
      <c r="W11716" s="24"/>
      <c r="X11716" s="24"/>
      <c r="Y11716" s="24"/>
      <c r="Z11716" s="24"/>
      <c r="AA11716" s="24"/>
    </row>
    <row r="11717">
      <c r="A11717" s="24"/>
      <c r="B11717" s="25"/>
      <c r="C11717" s="24"/>
      <c r="D11717" s="26"/>
      <c r="E11717" s="24"/>
      <c r="F11717" s="24"/>
      <c r="G11717" s="24"/>
      <c r="H11717" s="24"/>
      <c r="I11717" s="24"/>
      <c r="J11717" s="24"/>
      <c r="K11717" s="24"/>
      <c r="L11717" s="24"/>
      <c r="M11717" s="24"/>
      <c r="N11717" s="24"/>
      <c r="O11717" s="24"/>
      <c r="P11717" s="24"/>
      <c r="Q11717" s="24"/>
      <c r="R11717" s="24"/>
      <c r="S11717" s="24"/>
      <c r="T11717" s="24"/>
      <c r="U11717" s="24"/>
      <c r="V11717" s="24"/>
      <c r="W11717" s="24"/>
      <c r="X11717" s="24"/>
      <c r="Y11717" s="24"/>
      <c r="Z11717" s="24"/>
      <c r="AA11717" s="24"/>
    </row>
    <row r="11718">
      <c r="A11718" s="24"/>
      <c r="B11718" s="25"/>
      <c r="C11718" s="24"/>
      <c r="D11718" s="26"/>
      <c r="E11718" s="24"/>
      <c r="F11718" s="24"/>
      <c r="G11718" s="24"/>
      <c r="H11718" s="24"/>
      <c r="I11718" s="24"/>
      <c r="J11718" s="24"/>
      <c r="K11718" s="24"/>
      <c r="L11718" s="24"/>
      <c r="M11718" s="24"/>
      <c r="N11718" s="24"/>
      <c r="O11718" s="24"/>
      <c r="P11718" s="24"/>
      <c r="Q11718" s="24"/>
      <c r="R11718" s="24"/>
      <c r="S11718" s="24"/>
      <c r="T11718" s="24"/>
      <c r="U11718" s="24"/>
      <c r="V11718" s="24"/>
      <c r="W11718" s="24"/>
      <c r="X11718" s="24"/>
      <c r="Y11718" s="24"/>
      <c r="Z11718" s="24"/>
      <c r="AA11718" s="24"/>
    </row>
    <row r="11719">
      <c r="A11719" s="24"/>
      <c r="B11719" s="25"/>
      <c r="C11719" s="24"/>
      <c r="D11719" s="26"/>
      <c r="E11719" s="24"/>
      <c r="F11719" s="24"/>
      <c r="G11719" s="24"/>
      <c r="H11719" s="24"/>
      <c r="I11719" s="24"/>
      <c r="J11719" s="24"/>
      <c r="K11719" s="24"/>
      <c r="L11719" s="24"/>
      <c r="M11719" s="24"/>
      <c r="N11719" s="24"/>
      <c r="O11719" s="24"/>
      <c r="P11719" s="24"/>
      <c r="Q11719" s="24"/>
      <c r="R11719" s="24"/>
      <c r="S11719" s="24"/>
      <c r="T11719" s="24"/>
      <c r="U11719" s="24"/>
      <c r="V11719" s="24"/>
      <c r="W11719" s="24"/>
      <c r="X11719" s="24"/>
      <c r="Y11719" s="24"/>
      <c r="Z11719" s="24"/>
      <c r="AA11719" s="24"/>
    </row>
    <row r="11720">
      <c r="A11720" s="24"/>
      <c r="B11720" s="25"/>
      <c r="C11720" s="24"/>
      <c r="D11720" s="26"/>
      <c r="E11720" s="24"/>
      <c r="F11720" s="24"/>
      <c r="G11720" s="24"/>
      <c r="H11720" s="24"/>
      <c r="I11720" s="24"/>
      <c r="J11720" s="24"/>
      <c r="K11720" s="24"/>
      <c r="L11720" s="24"/>
      <c r="M11720" s="24"/>
      <c r="N11720" s="24"/>
      <c r="O11720" s="24"/>
      <c r="P11720" s="24"/>
      <c r="Q11720" s="24"/>
      <c r="R11720" s="24"/>
      <c r="S11720" s="24"/>
      <c r="T11720" s="24"/>
      <c r="U11720" s="24"/>
      <c r="V11720" s="24"/>
      <c r="W11720" s="24"/>
      <c r="X11720" s="24"/>
      <c r="Y11720" s="24"/>
      <c r="Z11720" s="24"/>
      <c r="AA11720" s="24"/>
    </row>
    <row r="11721">
      <c r="A11721" s="24"/>
      <c r="B11721" s="25"/>
      <c r="C11721" s="24"/>
      <c r="D11721" s="26"/>
      <c r="E11721" s="24"/>
      <c r="F11721" s="24"/>
      <c r="G11721" s="24"/>
      <c r="H11721" s="24"/>
      <c r="I11721" s="24"/>
      <c r="J11721" s="24"/>
      <c r="K11721" s="24"/>
      <c r="L11721" s="24"/>
      <c r="M11721" s="24"/>
      <c r="N11721" s="24"/>
      <c r="O11721" s="24"/>
      <c r="P11721" s="24"/>
      <c r="Q11721" s="24"/>
      <c r="R11721" s="24"/>
      <c r="S11721" s="24"/>
      <c r="T11721" s="24"/>
      <c r="U11721" s="24"/>
      <c r="V11721" s="24"/>
      <c r="W11721" s="24"/>
      <c r="X11721" s="24"/>
      <c r="Y11721" s="24"/>
      <c r="Z11721" s="24"/>
      <c r="AA11721" s="24"/>
    </row>
    <row r="11722">
      <c r="A11722" s="24"/>
      <c r="B11722" s="25"/>
      <c r="C11722" s="24"/>
      <c r="D11722" s="26"/>
      <c r="E11722" s="24"/>
      <c r="F11722" s="24"/>
      <c r="G11722" s="24"/>
      <c r="H11722" s="24"/>
      <c r="I11722" s="24"/>
      <c r="J11722" s="24"/>
      <c r="K11722" s="24"/>
      <c r="L11722" s="24"/>
      <c r="M11722" s="24"/>
      <c r="N11722" s="24"/>
      <c r="O11722" s="24"/>
      <c r="P11722" s="24"/>
      <c r="Q11722" s="24"/>
      <c r="R11722" s="24"/>
      <c r="S11722" s="24"/>
      <c r="T11722" s="24"/>
      <c r="U11722" s="24"/>
      <c r="V11722" s="24"/>
      <c r="W11722" s="24"/>
      <c r="X11722" s="24"/>
      <c r="Y11722" s="24"/>
      <c r="Z11722" s="24"/>
      <c r="AA11722" s="24"/>
    </row>
    <row r="11723">
      <c r="A11723" s="24"/>
      <c r="B11723" s="25"/>
      <c r="C11723" s="24"/>
      <c r="D11723" s="26"/>
      <c r="E11723" s="24"/>
      <c r="F11723" s="24"/>
      <c r="G11723" s="24"/>
      <c r="H11723" s="24"/>
      <c r="I11723" s="24"/>
      <c r="J11723" s="24"/>
      <c r="K11723" s="24"/>
      <c r="L11723" s="24"/>
      <c r="M11723" s="24"/>
      <c r="N11723" s="24"/>
      <c r="O11723" s="24"/>
      <c r="P11723" s="24"/>
      <c r="Q11723" s="24"/>
      <c r="R11723" s="24"/>
      <c r="S11723" s="24"/>
      <c r="T11723" s="24"/>
      <c r="U11723" s="24"/>
      <c r="V11723" s="24"/>
      <c r="W11723" s="24"/>
      <c r="X11723" s="24"/>
      <c r="Y11723" s="24"/>
      <c r="Z11723" s="24"/>
      <c r="AA11723" s="24"/>
    </row>
    <row r="11724">
      <c r="A11724" s="24"/>
      <c r="B11724" s="25"/>
      <c r="C11724" s="24"/>
      <c r="D11724" s="26"/>
      <c r="E11724" s="24"/>
      <c r="F11724" s="24"/>
      <c r="G11724" s="24"/>
      <c r="H11724" s="24"/>
      <c r="I11724" s="24"/>
      <c r="J11724" s="24"/>
      <c r="K11724" s="24"/>
      <c r="L11724" s="24"/>
      <c r="M11724" s="24"/>
      <c r="N11724" s="24"/>
      <c r="O11724" s="24"/>
      <c r="P11724" s="24"/>
      <c r="Q11724" s="24"/>
      <c r="R11724" s="24"/>
      <c r="S11724" s="24"/>
      <c r="T11724" s="24"/>
      <c r="U11724" s="24"/>
      <c r="V11724" s="24"/>
      <c r="W11724" s="24"/>
      <c r="X11724" s="24"/>
      <c r="Y11724" s="24"/>
      <c r="Z11724" s="24"/>
      <c r="AA11724" s="24"/>
    </row>
    <row r="11725">
      <c r="A11725" s="24"/>
      <c r="B11725" s="25"/>
      <c r="C11725" s="24"/>
      <c r="D11725" s="26"/>
      <c r="E11725" s="24"/>
      <c r="F11725" s="24"/>
      <c r="G11725" s="24"/>
      <c r="H11725" s="24"/>
      <c r="I11725" s="24"/>
      <c r="J11725" s="24"/>
      <c r="K11725" s="24"/>
      <c r="L11725" s="24"/>
      <c r="M11725" s="24"/>
      <c r="N11725" s="24"/>
      <c r="O11725" s="24"/>
      <c r="P11725" s="24"/>
      <c r="Q11725" s="24"/>
      <c r="R11725" s="24"/>
      <c r="S11725" s="24"/>
      <c r="T11725" s="24"/>
      <c r="U11725" s="24"/>
      <c r="V11725" s="24"/>
      <c r="W11725" s="24"/>
      <c r="X11725" s="24"/>
      <c r="Y11725" s="24"/>
      <c r="Z11725" s="24"/>
      <c r="AA11725" s="24"/>
    </row>
    <row r="11726">
      <c r="A11726" s="24"/>
      <c r="B11726" s="25"/>
      <c r="C11726" s="24"/>
      <c r="D11726" s="26"/>
      <c r="E11726" s="24"/>
      <c r="F11726" s="24"/>
      <c r="G11726" s="24"/>
      <c r="H11726" s="24"/>
      <c r="I11726" s="24"/>
      <c r="J11726" s="24"/>
      <c r="K11726" s="24"/>
      <c r="L11726" s="24"/>
      <c r="M11726" s="24"/>
      <c r="N11726" s="24"/>
      <c r="O11726" s="24"/>
      <c r="P11726" s="24"/>
      <c r="Q11726" s="24"/>
      <c r="R11726" s="24"/>
      <c r="S11726" s="24"/>
      <c r="T11726" s="24"/>
      <c r="U11726" s="24"/>
      <c r="V11726" s="24"/>
      <c r="W11726" s="24"/>
      <c r="X11726" s="24"/>
      <c r="Y11726" s="24"/>
      <c r="Z11726" s="24"/>
      <c r="AA11726" s="24"/>
    </row>
    <row r="11727">
      <c r="A11727" s="24"/>
      <c r="B11727" s="25"/>
      <c r="C11727" s="24"/>
      <c r="D11727" s="26"/>
      <c r="E11727" s="24"/>
      <c r="F11727" s="24"/>
      <c r="G11727" s="24"/>
      <c r="H11727" s="24"/>
      <c r="I11727" s="24"/>
      <c r="J11727" s="24"/>
      <c r="K11727" s="24"/>
      <c r="L11727" s="24"/>
      <c r="M11727" s="24"/>
      <c r="N11727" s="24"/>
      <c r="O11727" s="24"/>
      <c r="P11727" s="24"/>
      <c r="Q11727" s="24"/>
      <c r="R11727" s="24"/>
      <c r="S11727" s="24"/>
      <c r="T11727" s="24"/>
      <c r="U11727" s="24"/>
      <c r="V11727" s="24"/>
      <c r="W11727" s="24"/>
      <c r="X11727" s="24"/>
      <c r="Y11727" s="24"/>
      <c r="Z11727" s="24"/>
      <c r="AA11727" s="24"/>
    </row>
    <row r="11728">
      <c r="A11728" s="24"/>
      <c r="B11728" s="25"/>
      <c r="C11728" s="24"/>
      <c r="D11728" s="26"/>
      <c r="E11728" s="24"/>
      <c r="F11728" s="24"/>
      <c r="G11728" s="24"/>
      <c r="H11728" s="24"/>
      <c r="I11728" s="24"/>
      <c r="J11728" s="24"/>
      <c r="K11728" s="24"/>
      <c r="L11728" s="24"/>
      <c r="M11728" s="24"/>
      <c r="N11728" s="24"/>
      <c r="O11728" s="24"/>
      <c r="P11728" s="24"/>
      <c r="Q11728" s="24"/>
      <c r="R11728" s="24"/>
      <c r="S11728" s="24"/>
      <c r="T11728" s="24"/>
      <c r="U11728" s="24"/>
      <c r="V11728" s="24"/>
      <c r="W11728" s="24"/>
      <c r="X11728" s="24"/>
      <c r="Y11728" s="24"/>
      <c r="Z11728" s="24"/>
      <c r="AA11728" s="24"/>
    </row>
    <row r="11729">
      <c r="A11729" s="24"/>
      <c r="B11729" s="25"/>
      <c r="C11729" s="24"/>
      <c r="D11729" s="26"/>
      <c r="E11729" s="24"/>
      <c r="F11729" s="24"/>
      <c r="G11729" s="24"/>
      <c r="H11729" s="24"/>
      <c r="I11729" s="24"/>
      <c r="J11729" s="24"/>
      <c r="K11729" s="24"/>
      <c r="L11729" s="24"/>
      <c r="M11729" s="24"/>
      <c r="N11729" s="24"/>
      <c r="O11729" s="24"/>
      <c r="P11729" s="24"/>
      <c r="Q11729" s="24"/>
      <c r="R11729" s="24"/>
      <c r="S11729" s="24"/>
      <c r="T11729" s="24"/>
      <c r="U11729" s="24"/>
      <c r="V11729" s="24"/>
      <c r="W11729" s="24"/>
      <c r="X11729" s="24"/>
      <c r="Y11729" s="24"/>
      <c r="Z11729" s="24"/>
      <c r="AA11729" s="24"/>
    </row>
    <row r="11730">
      <c r="A11730" s="24"/>
      <c r="B11730" s="25"/>
      <c r="C11730" s="24"/>
      <c r="D11730" s="26"/>
      <c r="E11730" s="24"/>
      <c r="F11730" s="24"/>
      <c r="G11730" s="24"/>
      <c r="H11730" s="24"/>
      <c r="I11730" s="24"/>
      <c r="J11730" s="24"/>
      <c r="K11730" s="24"/>
      <c r="L11730" s="24"/>
      <c r="M11730" s="24"/>
      <c r="N11730" s="24"/>
      <c r="O11730" s="24"/>
      <c r="P11730" s="24"/>
      <c r="Q11730" s="24"/>
      <c r="R11730" s="24"/>
      <c r="S11730" s="24"/>
      <c r="T11730" s="24"/>
      <c r="U11730" s="24"/>
      <c r="V11730" s="24"/>
      <c r="W11730" s="24"/>
      <c r="X11730" s="24"/>
      <c r="Y11730" s="24"/>
      <c r="Z11730" s="24"/>
      <c r="AA11730" s="24"/>
    </row>
    <row r="11731">
      <c r="A11731" s="24"/>
      <c r="B11731" s="25"/>
      <c r="C11731" s="24"/>
      <c r="D11731" s="26"/>
      <c r="E11731" s="24"/>
      <c r="F11731" s="24"/>
      <c r="G11731" s="24"/>
      <c r="H11731" s="24"/>
      <c r="I11731" s="24"/>
      <c r="J11731" s="24"/>
      <c r="K11731" s="24"/>
      <c r="L11731" s="24"/>
      <c r="M11731" s="24"/>
      <c r="N11731" s="24"/>
      <c r="O11731" s="24"/>
      <c r="P11731" s="24"/>
      <c r="Q11731" s="24"/>
      <c r="R11731" s="24"/>
      <c r="S11731" s="24"/>
      <c r="T11731" s="24"/>
      <c r="U11731" s="24"/>
      <c r="V11731" s="24"/>
      <c r="W11731" s="24"/>
      <c r="X11731" s="24"/>
      <c r="Y11731" s="24"/>
      <c r="Z11731" s="24"/>
      <c r="AA11731" s="24"/>
    </row>
    <row r="11732">
      <c r="A11732" s="24"/>
      <c r="B11732" s="25"/>
      <c r="C11732" s="24"/>
      <c r="D11732" s="26"/>
      <c r="E11732" s="24"/>
      <c r="F11732" s="24"/>
      <c r="G11732" s="24"/>
      <c r="H11732" s="24"/>
      <c r="I11732" s="24"/>
      <c r="J11732" s="24"/>
      <c r="K11732" s="24"/>
      <c r="L11732" s="24"/>
      <c r="M11732" s="24"/>
      <c r="N11732" s="24"/>
      <c r="O11732" s="24"/>
      <c r="P11732" s="24"/>
      <c r="Q11732" s="24"/>
      <c r="R11732" s="24"/>
      <c r="S11732" s="24"/>
      <c r="T11732" s="24"/>
      <c r="U11732" s="24"/>
      <c r="V11732" s="24"/>
      <c r="W11732" s="24"/>
      <c r="X11732" s="24"/>
      <c r="Y11732" s="24"/>
      <c r="Z11732" s="24"/>
      <c r="AA11732" s="24"/>
    </row>
    <row r="11733">
      <c r="A11733" s="24"/>
      <c r="B11733" s="25"/>
      <c r="C11733" s="24"/>
      <c r="D11733" s="26"/>
      <c r="E11733" s="24"/>
      <c r="F11733" s="24"/>
      <c r="G11733" s="24"/>
      <c r="H11733" s="24"/>
      <c r="I11733" s="24"/>
      <c r="J11733" s="24"/>
      <c r="K11733" s="24"/>
      <c r="L11733" s="24"/>
      <c r="M11733" s="24"/>
      <c r="N11733" s="24"/>
      <c r="O11733" s="24"/>
      <c r="P11733" s="24"/>
      <c r="Q11733" s="24"/>
      <c r="R11733" s="24"/>
      <c r="S11733" s="24"/>
      <c r="T11733" s="24"/>
      <c r="U11733" s="24"/>
      <c r="V11733" s="24"/>
      <c r="W11733" s="24"/>
      <c r="X11733" s="24"/>
      <c r="Y11733" s="24"/>
      <c r="Z11733" s="24"/>
      <c r="AA11733" s="24"/>
    </row>
    <row r="11734">
      <c r="A11734" s="24"/>
      <c r="B11734" s="25"/>
      <c r="C11734" s="24"/>
      <c r="D11734" s="26"/>
      <c r="E11734" s="24"/>
      <c r="F11734" s="24"/>
      <c r="G11734" s="24"/>
      <c r="H11734" s="24"/>
      <c r="I11734" s="24"/>
      <c r="J11734" s="24"/>
      <c r="K11734" s="24"/>
      <c r="L11734" s="24"/>
      <c r="M11734" s="24"/>
      <c r="N11734" s="24"/>
      <c r="O11734" s="24"/>
      <c r="P11734" s="24"/>
      <c r="Q11734" s="24"/>
      <c r="R11734" s="24"/>
      <c r="S11734" s="24"/>
      <c r="T11734" s="24"/>
      <c r="U11734" s="24"/>
      <c r="V11734" s="24"/>
      <c r="W11734" s="24"/>
      <c r="X11734" s="24"/>
      <c r="Y11734" s="24"/>
      <c r="Z11734" s="24"/>
      <c r="AA11734" s="24"/>
    </row>
    <row r="11735">
      <c r="A11735" s="24"/>
      <c r="B11735" s="25"/>
      <c r="C11735" s="24"/>
      <c r="D11735" s="26"/>
      <c r="E11735" s="24"/>
      <c r="F11735" s="24"/>
      <c r="G11735" s="24"/>
      <c r="H11735" s="24"/>
      <c r="I11735" s="24"/>
      <c r="J11735" s="24"/>
      <c r="K11735" s="24"/>
      <c r="L11735" s="24"/>
      <c r="M11735" s="24"/>
      <c r="N11735" s="24"/>
      <c r="O11735" s="24"/>
      <c r="P11735" s="24"/>
      <c r="Q11735" s="24"/>
      <c r="R11735" s="24"/>
      <c r="S11735" s="24"/>
      <c r="T11735" s="24"/>
      <c r="U11735" s="24"/>
      <c r="V11735" s="24"/>
      <c r="W11735" s="24"/>
      <c r="X11735" s="24"/>
      <c r="Y11735" s="24"/>
      <c r="Z11735" s="24"/>
      <c r="AA11735" s="24"/>
    </row>
    <row r="11736">
      <c r="A11736" s="24"/>
      <c r="B11736" s="25"/>
      <c r="C11736" s="24"/>
      <c r="D11736" s="26"/>
      <c r="E11736" s="24"/>
      <c r="F11736" s="24"/>
      <c r="G11736" s="24"/>
      <c r="H11736" s="24"/>
      <c r="I11736" s="24"/>
      <c r="J11736" s="24"/>
      <c r="K11736" s="24"/>
      <c r="L11736" s="24"/>
      <c r="M11736" s="24"/>
      <c r="N11736" s="24"/>
      <c r="O11736" s="24"/>
      <c r="P11736" s="24"/>
      <c r="Q11736" s="24"/>
      <c r="R11736" s="24"/>
      <c r="S11736" s="24"/>
      <c r="T11736" s="24"/>
      <c r="U11736" s="24"/>
      <c r="V11736" s="24"/>
      <c r="W11736" s="24"/>
      <c r="X11736" s="24"/>
      <c r="Y11736" s="24"/>
      <c r="Z11736" s="24"/>
      <c r="AA11736" s="24"/>
    </row>
    <row r="11737">
      <c r="A11737" s="24"/>
      <c r="B11737" s="25"/>
      <c r="C11737" s="24"/>
      <c r="D11737" s="26"/>
      <c r="E11737" s="24"/>
      <c r="F11737" s="24"/>
      <c r="G11737" s="24"/>
      <c r="H11737" s="24"/>
      <c r="I11737" s="24"/>
      <c r="J11737" s="24"/>
      <c r="K11737" s="24"/>
      <c r="L11737" s="24"/>
      <c r="M11737" s="24"/>
      <c r="N11737" s="24"/>
      <c r="O11737" s="24"/>
      <c r="P11737" s="24"/>
      <c r="Q11737" s="24"/>
      <c r="R11737" s="24"/>
      <c r="S11737" s="24"/>
      <c r="T11737" s="24"/>
      <c r="U11737" s="24"/>
      <c r="V11737" s="24"/>
      <c r="W11737" s="24"/>
      <c r="X11737" s="24"/>
      <c r="Y11737" s="24"/>
      <c r="Z11737" s="24"/>
      <c r="AA11737" s="24"/>
    </row>
    <row r="11738">
      <c r="A11738" s="24"/>
      <c r="B11738" s="25"/>
      <c r="C11738" s="24"/>
      <c r="D11738" s="26"/>
      <c r="E11738" s="24"/>
      <c r="F11738" s="24"/>
      <c r="G11738" s="24"/>
      <c r="H11738" s="24"/>
      <c r="I11738" s="24"/>
      <c r="J11738" s="24"/>
      <c r="K11738" s="24"/>
      <c r="L11738" s="24"/>
      <c r="M11738" s="24"/>
      <c r="N11738" s="24"/>
      <c r="O11738" s="24"/>
      <c r="P11738" s="24"/>
      <c r="Q11738" s="24"/>
      <c r="R11738" s="24"/>
      <c r="S11738" s="24"/>
      <c r="T11738" s="24"/>
      <c r="U11738" s="24"/>
      <c r="V11738" s="24"/>
      <c r="W11738" s="24"/>
      <c r="X11738" s="24"/>
      <c r="Y11738" s="24"/>
      <c r="Z11738" s="24"/>
      <c r="AA11738" s="24"/>
    </row>
    <row r="11739">
      <c r="A11739" s="24"/>
      <c r="B11739" s="25"/>
      <c r="C11739" s="24"/>
      <c r="D11739" s="26"/>
      <c r="E11739" s="24"/>
      <c r="F11739" s="24"/>
      <c r="G11739" s="24"/>
      <c r="H11739" s="24"/>
      <c r="I11739" s="24"/>
      <c r="J11739" s="24"/>
      <c r="K11739" s="24"/>
      <c r="L11739" s="24"/>
      <c r="M11739" s="24"/>
      <c r="N11739" s="24"/>
      <c r="O11739" s="24"/>
      <c r="P11739" s="24"/>
      <c r="Q11739" s="24"/>
      <c r="R11739" s="24"/>
      <c r="S11739" s="24"/>
      <c r="T11739" s="24"/>
      <c r="U11739" s="24"/>
      <c r="V11739" s="24"/>
      <c r="W11739" s="24"/>
      <c r="X11739" s="24"/>
      <c r="Y11739" s="24"/>
      <c r="Z11739" s="24"/>
      <c r="AA11739" s="24"/>
    </row>
    <row r="11740">
      <c r="A11740" s="24"/>
      <c r="B11740" s="25"/>
      <c r="C11740" s="24"/>
      <c r="D11740" s="26"/>
      <c r="E11740" s="24"/>
      <c r="F11740" s="24"/>
      <c r="G11740" s="24"/>
      <c r="H11740" s="24"/>
      <c r="I11740" s="24"/>
      <c r="J11740" s="24"/>
      <c r="K11740" s="24"/>
      <c r="L11740" s="24"/>
      <c r="M11740" s="24"/>
      <c r="N11740" s="24"/>
      <c r="O11740" s="24"/>
      <c r="P11740" s="24"/>
      <c r="Q11740" s="24"/>
      <c r="R11740" s="24"/>
      <c r="S11740" s="24"/>
      <c r="T11740" s="24"/>
      <c r="U11740" s="24"/>
      <c r="V11740" s="24"/>
      <c r="W11740" s="24"/>
      <c r="X11740" s="24"/>
      <c r="Y11740" s="24"/>
      <c r="Z11740" s="24"/>
      <c r="AA11740" s="24"/>
    </row>
    <row r="11741">
      <c r="A11741" s="24"/>
      <c r="B11741" s="25"/>
      <c r="C11741" s="24"/>
      <c r="D11741" s="26"/>
      <c r="E11741" s="24"/>
      <c r="F11741" s="24"/>
      <c r="G11741" s="24"/>
      <c r="H11741" s="24"/>
      <c r="I11741" s="24"/>
      <c r="J11741" s="24"/>
      <c r="K11741" s="24"/>
      <c r="L11741" s="24"/>
      <c r="M11741" s="24"/>
      <c r="N11741" s="24"/>
      <c r="O11741" s="24"/>
      <c r="P11741" s="24"/>
      <c r="Q11741" s="24"/>
      <c r="R11741" s="24"/>
      <c r="S11741" s="24"/>
      <c r="T11741" s="24"/>
      <c r="U11741" s="24"/>
      <c r="V11741" s="24"/>
      <c r="W11741" s="24"/>
      <c r="X11741" s="24"/>
      <c r="Y11741" s="24"/>
      <c r="Z11741" s="24"/>
      <c r="AA11741" s="24"/>
    </row>
    <row r="11742">
      <c r="A11742" s="24"/>
      <c r="B11742" s="25"/>
      <c r="C11742" s="24"/>
      <c r="D11742" s="26"/>
      <c r="E11742" s="24"/>
      <c r="F11742" s="24"/>
      <c r="G11742" s="24"/>
      <c r="H11742" s="24"/>
      <c r="I11742" s="24"/>
      <c r="J11742" s="24"/>
      <c r="K11742" s="24"/>
      <c r="L11742" s="24"/>
      <c r="M11742" s="24"/>
      <c r="N11742" s="24"/>
      <c r="O11742" s="24"/>
      <c r="P11742" s="24"/>
      <c r="Q11742" s="24"/>
      <c r="R11742" s="24"/>
      <c r="S11742" s="24"/>
      <c r="T11742" s="24"/>
      <c r="U11742" s="24"/>
      <c r="V11742" s="24"/>
      <c r="W11742" s="24"/>
      <c r="X11742" s="24"/>
      <c r="Y11742" s="24"/>
      <c r="Z11742" s="24"/>
      <c r="AA11742" s="24"/>
    </row>
    <row r="11743">
      <c r="A11743" s="24"/>
      <c r="B11743" s="25"/>
      <c r="C11743" s="24"/>
      <c r="D11743" s="26"/>
      <c r="E11743" s="24"/>
      <c r="F11743" s="24"/>
      <c r="G11743" s="24"/>
      <c r="H11743" s="24"/>
      <c r="I11743" s="24"/>
      <c r="J11743" s="24"/>
      <c r="K11743" s="24"/>
      <c r="L11743" s="24"/>
      <c r="M11743" s="24"/>
      <c r="N11743" s="24"/>
      <c r="O11743" s="24"/>
      <c r="P11743" s="24"/>
      <c r="Q11743" s="24"/>
      <c r="R11743" s="24"/>
      <c r="S11743" s="24"/>
      <c r="T11743" s="24"/>
      <c r="U11743" s="24"/>
      <c r="V11743" s="24"/>
      <c r="W11743" s="24"/>
      <c r="X11743" s="24"/>
      <c r="Y11743" s="24"/>
      <c r="Z11743" s="24"/>
      <c r="AA11743" s="24"/>
    </row>
    <row r="11744">
      <c r="A11744" s="24"/>
      <c r="B11744" s="25"/>
      <c r="C11744" s="24"/>
      <c r="D11744" s="26"/>
      <c r="E11744" s="24"/>
      <c r="F11744" s="24"/>
      <c r="G11744" s="24"/>
      <c r="H11744" s="24"/>
      <c r="I11744" s="24"/>
      <c r="J11744" s="24"/>
      <c r="K11744" s="24"/>
      <c r="L11744" s="24"/>
      <c r="M11744" s="24"/>
      <c r="N11744" s="24"/>
      <c r="O11744" s="24"/>
      <c r="P11744" s="24"/>
      <c r="Q11744" s="24"/>
      <c r="R11744" s="24"/>
      <c r="S11744" s="24"/>
      <c r="T11744" s="24"/>
      <c r="U11744" s="24"/>
      <c r="V11744" s="24"/>
      <c r="W11744" s="24"/>
      <c r="X11744" s="24"/>
      <c r="Y11744" s="24"/>
      <c r="Z11744" s="24"/>
      <c r="AA11744" s="24"/>
    </row>
    <row r="11745">
      <c r="A11745" s="24"/>
      <c r="B11745" s="25"/>
      <c r="C11745" s="24"/>
      <c r="D11745" s="26"/>
      <c r="E11745" s="24"/>
      <c r="F11745" s="24"/>
      <c r="G11745" s="24"/>
      <c r="H11745" s="24"/>
      <c r="I11745" s="24"/>
      <c r="J11745" s="24"/>
      <c r="K11745" s="24"/>
      <c r="L11745" s="24"/>
      <c r="M11745" s="24"/>
      <c r="N11745" s="24"/>
      <c r="O11745" s="24"/>
      <c r="P11745" s="24"/>
      <c r="Q11745" s="24"/>
      <c r="R11745" s="24"/>
      <c r="S11745" s="24"/>
      <c r="T11745" s="24"/>
      <c r="U11745" s="24"/>
      <c r="V11745" s="24"/>
      <c r="W11745" s="24"/>
      <c r="X11745" s="24"/>
      <c r="Y11745" s="24"/>
      <c r="Z11745" s="24"/>
      <c r="AA11745" s="24"/>
    </row>
    <row r="11746">
      <c r="A11746" s="24"/>
      <c r="B11746" s="25"/>
      <c r="C11746" s="24"/>
      <c r="D11746" s="26"/>
      <c r="E11746" s="24"/>
      <c r="F11746" s="24"/>
      <c r="G11746" s="24"/>
      <c r="H11746" s="24"/>
      <c r="I11746" s="24"/>
      <c r="J11746" s="24"/>
      <c r="K11746" s="24"/>
      <c r="L11746" s="24"/>
      <c r="M11746" s="24"/>
      <c r="N11746" s="24"/>
      <c r="O11746" s="24"/>
      <c r="P11746" s="24"/>
      <c r="Q11746" s="24"/>
      <c r="R11746" s="24"/>
      <c r="S11746" s="24"/>
      <c r="T11746" s="24"/>
      <c r="U11746" s="24"/>
      <c r="V11746" s="24"/>
      <c r="W11746" s="24"/>
      <c r="X11746" s="24"/>
      <c r="Y11746" s="24"/>
      <c r="Z11746" s="24"/>
      <c r="AA11746" s="24"/>
    </row>
    <row r="11747">
      <c r="A11747" s="24"/>
      <c r="B11747" s="25"/>
      <c r="C11747" s="24"/>
      <c r="D11747" s="26"/>
      <c r="E11747" s="24"/>
      <c r="F11747" s="24"/>
      <c r="G11747" s="24"/>
      <c r="H11747" s="24"/>
      <c r="I11747" s="24"/>
      <c r="J11747" s="24"/>
      <c r="K11747" s="24"/>
      <c r="L11747" s="24"/>
      <c r="M11747" s="24"/>
      <c r="N11747" s="24"/>
      <c r="O11747" s="24"/>
      <c r="P11747" s="24"/>
      <c r="Q11747" s="24"/>
      <c r="R11747" s="24"/>
      <c r="S11747" s="24"/>
      <c r="T11747" s="24"/>
      <c r="U11747" s="24"/>
      <c r="V11747" s="24"/>
      <c r="W11747" s="24"/>
      <c r="X11747" s="24"/>
      <c r="Y11747" s="24"/>
      <c r="Z11747" s="24"/>
      <c r="AA11747" s="24"/>
    </row>
    <row r="11748">
      <c r="A11748" s="24"/>
      <c r="B11748" s="25"/>
      <c r="C11748" s="24"/>
      <c r="D11748" s="26"/>
      <c r="E11748" s="24"/>
      <c r="F11748" s="24"/>
      <c r="G11748" s="24"/>
      <c r="H11748" s="24"/>
      <c r="I11748" s="24"/>
      <c r="J11748" s="24"/>
      <c r="K11748" s="24"/>
      <c r="L11748" s="24"/>
      <c r="M11748" s="24"/>
      <c r="N11748" s="24"/>
      <c r="O11748" s="24"/>
      <c r="P11748" s="24"/>
      <c r="Q11748" s="24"/>
      <c r="R11748" s="24"/>
      <c r="S11748" s="24"/>
      <c r="T11748" s="24"/>
      <c r="U11748" s="24"/>
      <c r="V11748" s="24"/>
      <c r="W11748" s="24"/>
      <c r="X11748" s="24"/>
      <c r="Y11748" s="24"/>
      <c r="Z11748" s="24"/>
      <c r="AA11748" s="24"/>
    </row>
    <row r="11749">
      <c r="A11749" s="24"/>
      <c r="B11749" s="25"/>
      <c r="C11749" s="24"/>
      <c r="D11749" s="26"/>
      <c r="E11749" s="24"/>
      <c r="F11749" s="24"/>
      <c r="G11749" s="24"/>
      <c r="H11749" s="24"/>
      <c r="I11749" s="24"/>
      <c r="J11749" s="24"/>
      <c r="K11749" s="24"/>
      <c r="L11749" s="24"/>
      <c r="M11749" s="24"/>
      <c r="N11749" s="24"/>
      <c r="O11749" s="24"/>
      <c r="P11749" s="24"/>
      <c r="Q11749" s="24"/>
      <c r="R11749" s="24"/>
      <c r="S11749" s="24"/>
      <c r="T11749" s="24"/>
      <c r="U11749" s="24"/>
      <c r="V11749" s="24"/>
      <c r="W11749" s="24"/>
      <c r="X11749" s="24"/>
      <c r="Y11749" s="24"/>
      <c r="Z11749" s="24"/>
      <c r="AA11749" s="24"/>
    </row>
    <row r="11750">
      <c r="A11750" s="24"/>
      <c r="B11750" s="25"/>
      <c r="C11750" s="24"/>
      <c r="D11750" s="26"/>
      <c r="E11750" s="24"/>
      <c r="F11750" s="24"/>
      <c r="G11750" s="24"/>
      <c r="H11750" s="24"/>
      <c r="I11750" s="24"/>
      <c r="J11750" s="24"/>
      <c r="K11750" s="24"/>
      <c r="L11750" s="24"/>
      <c r="M11750" s="24"/>
      <c r="N11750" s="24"/>
      <c r="O11750" s="24"/>
      <c r="P11750" s="24"/>
      <c r="Q11750" s="24"/>
      <c r="R11750" s="24"/>
      <c r="S11750" s="24"/>
      <c r="T11750" s="24"/>
      <c r="U11750" s="24"/>
      <c r="V11750" s="24"/>
      <c r="W11750" s="24"/>
      <c r="X11750" s="24"/>
      <c r="Y11750" s="24"/>
      <c r="Z11750" s="24"/>
      <c r="AA11750" s="24"/>
    </row>
    <row r="11751">
      <c r="A11751" s="24"/>
      <c r="B11751" s="25"/>
      <c r="C11751" s="24"/>
      <c r="D11751" s="26"/>
      <c r="E11751" s="24"/>
      <c r="F11751" s="24"/>
      <c r="G11751" s="24"/>
      <c r="H11751" s="24"/>
      <c r="I11751" s="24"/>
      <c r="J11751" s="24"/>
      <c r="K11751" s="24"/>
      <c r="L11751" s="24"/>
      <c r="M11751" s="24"/>
      <c r="N11751" s="24"/>
      <c r="O11751" s="24"/>
      <c r="P11751" s="24"/>
      <c r="Q11751" s="24"/>
      <c r="R11751" s="24"/>
      <c r="S11751" s="24"/>
      <c r="T11751" s="24"/>
      <c r="U11751" s="24"/>
      <c r="V11751" s="24"/>
      <c r="W11751" s="24"/>
      <c r="X11751" s="24"/>
      <c r="Y11751" s="24"/>
      <c r="Z11751" s="24"/>
      <c r="AA11751" s="24"/>
    </row>
    <row r="11752">
      <c r="A11752" s="24"/>
      <c r="B11752" s="25"/>
      <c r="C11752" s="24"/>
      <c r="D11752" s="26"/>
      <c r="E11752" s="24"/>
      <c r="F11752" s="24"/>
      <c r="G11752" s="24"/>
      <c r="H11752" s="24"/>
      <c r="I11752" s="24"/>
      <c r="J11752" s="24"/>
      <c r="K11752" s="24"/>
      <c r="L11752" s="24"/>
      <c r="M11752" s="24"/>
      <c r="N11752" s="24"/>
      <c r="O11752" s="24"/>
      <c r="P11752" s="24"/>
      <c r="Q11752" s="24"/>
      <c r="R11752" s="24"/>
      <c r="S11752" s="24"/>
      <c r="T11752" s="24"/>
      <c r="U11752" s="24"/>
      <c r="V11752" s="24"/>
      <c r="W11752" s="24"/>
      <c r="X11752" s="24"/>
      <c r="Y11752" s="24"/>
      <c r="Z11752" s="24"/>
      <c r="AA11752" s="24"/>
    </row>
    <row r="11753">
      <c r="A11753" s="24"/>
      <c r="B11753" s="25"/>
      <c r="C11753" s="24"/>
      <c r="D11753" s="26"/>
      <c r="E11753" s="24"/>
      <c r="F11753" s="24"/>
      <c r="G11753" s="24"/>
      <c r="H11753" s="24"/>
      <c r="I11753" s="24"/>
      <c r="J11753" s="24"/>
      <c r="K11753" s="24"/>
      <c r="L11753" s="24"/>
      <c r="M11753" s="24"/>
      <c r="N11753" s="24"/>
      <c r="O11753" s="24"/>
      <c r="P11753" s="24"/>
      <c r="Q11753" s="24"/>
      <c r="R11753" s="24"/>
      <c r="S11753" s="24"/>
      <c r="T11753" s="24"/>
      <c r="U11753" s="24"/>
      <c r="V11753" s="24"/>
      <c r="W11753" s="24"/>
      <c r="X11753" s="24"/>
      <c r="Y11753" s="24"/>
      <c r="Z11753" s="24"/>
      <c r="AA11753" s="24"/>
    </row>
    <row r="11754">
      <c r="A11754" s="24"/>
      <c r="B11754" s="25"/>
      <c r="C11754" s="24"/>
      <c r="D11754" s="26"/>
      <c r="E11754" s="24"/>
      <c r="F11754" s="24"/>
      <c r="G11754" s="24"/>
      <c r="H11754" s="24"/>
      <c r="I11754" s="24"/>
      <c r="J11754" s="24"/>
      <c r="K11754" s="24"/>
      <c r="L11754" s="24"/>
      <c r="M11754" s="24"/>
      <c r="N11754" s="24"/>
      <c r="O11754" s="24"/>
      <c r="P11754" s="24"/>
      <c r="Q11754" s="24"/>
      <c r="R11754" s="24"/>
      <c r="S11754" s="24"/>
      <c r="T11754" s="24"/>
      <c r="U11754" s="24"/>
      <c r="V11754" s="24"/>
      <c r="W11754" s="24"/>
      <c r="X11754" s="24"/>
      <c r="Y11754" s="24"/>
      <c r="Z11754" s="24"/>
      <c r="AA11754" s="24"/>
    </row>
    <row r="11755">
      <c r="A11755" s="24"/>
      <c r="B11755" s="25"/>
      <c r="C11755" s="24"/>
      <c r="D11755" s="26"/>
      <c r="E11755" s="24"/>
      <c r="F11755" s="24"/>
      <c r="G11755" s="24"/>
      <c r="H11755" s="24"/>
      <c r="I11755" s="24"/>
      <c r="J11755" s="24"/>
      <c r="K11755" s="24"/>
      <c r="L11755" s="24"/>
      <c r="M11755" s="24"/>
      <c r="N11755" s="24"/>
      <c r="O11755" s="24"/>
      <c r="P11755" s="24"/>
      <c r="Q11755" s="24"/>
      <c r="R11755" s="24"/>
      <c r="S11755" s="24"/>
      <c r="T11755" s="24"/>
      <c r="U11755" s="24"/>
      <c r="V11755" s="24"/>
      <c r="W11755" s="24"/>
      <c r="X11755" s="24"/>
      <c r="Y11755" s="24"/>
      <c r="Z11755" s="24"/>
      <c r="AA11755" s="24"/>
    </row>
    <row r="11756">
      <c r="A11756" s="24"/>
      <c r="B11756" s="25"/>
      <c r="C11756" s="24"/>
      <c r="D11756" s="26"/>
      <c r="E11756" s="24"/>
      <c r="F11756" s="24"/>
      <c r="G11756" s="24"/>
      <c r="H11756" s="24"/>
      <c r="I11756" s="24"/>
      <c r="J11756" s="24"/>
      <c r="K11756" s="24"/>
      <c r="L11756" s="24"/>
      <c r="M11756" s="24"/>
      <c r="N11756" s="24"/>
      <c r="O11756" s="24"/>
      <c r="P11756" s="24"/>
      <c r="Q11756" s="24"/>
      <c r="R11756" s="24"/>
      <c r="S11756" s="24"/>
      <c r="T11756" s="24"/>
      <c r="U11756" s="24"/>
      <c r="V11756" s="24"/>
      <c r="W11756" s="24"/>
      <c r="X11756" s="24"/>
      <c r="Y11756" s="24"/>
      <c r="Z11756" s="24"/>
      <c r="AA11756" s="24"/>
    </row>
    <row r="11757">
      <c r="A11757" s="24"/>
      <c r="B11757" s="25"/>
      <c r="C11757" s="24"/>
      <c r="D11757" s="26"/>
      <c r="E11757" s="24"/>
      <c r="F11757" s="24"/>
      <c r="G11757" s="24"/>
      <c r="H11757" s="24"/>
      <c r="I11757" s="24"/>
      <c r="J11757" s="24"/>
      <c r="K11757" s="24"/>
      <c r="L11757" s="24"/>
      <c r="M11757" s="24"/>
      <c r="N11757" s="24"/>
      <c r="O11757" s="24"/>
      <c r="P11757" s="24"/>
      <c r="Q11757" s="24"/>
      <c r="R11757" s="24"/>
      <c r="S11757" s="24"/>
      <c r="T11757" s="24"/>
      <c r="U11757" s="24"/>
      <c r="V11757" s="24"/>
      <c r="W11757" s="24"/>
      <c r="X11757" s="24"/>
      <c r="Y11757" s="24"/>
      <c r="Z11757" s="24"/>
      <c r="AA11757" s="24"/>
    </row>
    <row r="11758">
      <c r="A11758" s="24"/>
      <c r="B11758" s="25"/>
      <c r="C11758" s="24"/>
      <c r="D11758" s="26"/>
      <c r="E11758" s="24"/>
      <c r="F11758" s="24"/>
      <c r="G11758" s="24"/>
      <c r="H11758" s="24"/>
      <c r="I11758" s="24"/>
      <c r="J11758" s="24"/>
      <c r="K11758" s="24"/>
      <c r="L11758" s="24"/>
      <c r="M11758" s="24"/>
      <c r="N11758" s="24"/>
      <c r="O11758" s="24"/>
      <c r="P11758" s="24"/>
      <c r="Q11758" s="24"/>
      <c r="R11758" s="24"/>
      <c r="S11758" s="24"/>
      <c r="T11758" s="24"/>
      <c r="U11758" s="24"/>
      <c r="V11758" s="24"/>
      <c r="W11758" s="24"/>
      <c r="X11758" s="24"/>
      <c r="Y11758" s="24"/>
      <c r="Z11758" s="24"/>
      <c r="AA11758" s="24"/>
    </row>
    <row r="11759">
      <c r="A11759" s="24"/>
      <c r="B11759" s="25"/>
      <c r="C11759" s="24"/>
      <c r="D11759" s="26"/>
      <c r="E11759" s="24"/>
      <c r="F11759" s="24"/>
      <c r="G11759" s="24"/>
      <c r="H11759" s="24"/>
      <c r="I11759" s="24"/>
      <c r="J11759" s="24"/>
      <c r="K11759" s="24"/>
      <c r="L11759" s="24"/>
      <c r="M11759" s="24"/>
      <c r="N11759" s="24"/>
      <c r="O11759" s="24"/>
      <c r="P11759" s="24"/>
      <c r="Q11759" s="24"/>
      <c r="R11759" s="24"/>
      <c r="S11759" s="24"/>
      <c r="T11759" s="24"/>
      <c r="U11759" s="24"/>
      <c r="V11759" s="24"/>
      <c r="W11759" s="24"/>
      <c r="X11759" s="24"/>
      <c r="Y11759" s="24"/>
      <c r="Z11759" s="24"/>
      <c r="AA11759" s="24"/>
    </row>
    <row r="11760">
      <c r="A11760" s="24"/>
      <c r="B11760" s="25"/>
      <c r="C11760" s="24"/>
      <c r="D11760" s="26"/>
      <c r="E11760" s="24"/>
      <c r="F11760" s="24"/>
      <c r="G11760" s="24"/>
      <c r="H11760" s="24"/>
      <c r="I11760" s="24"/>
      <c r="J11760" s="24"/>
      <c r="K11760" s="24"/>
      <c r="L11760" s="24"/>
      <c r="M11760" s="24"/>
      <c r="N11760" s="24"/>
      <c r="O11760" s="24"/>
      <c r="P11760" s="24"/>
      <c r="Q11760" s="24"/>
      <c r="R11760" s="24"/>
      <c r="S11760" s="24"/>
      <c r="T11760" s="24"/>
      <c r="U11760" s="24"/>
      <c r="V11760" s="24"/>
      <c r="W11760" s="24"/>
      <c r="X11760" s="24"/>
      <c r="Y11760" s="24"/>
      <c r="Z11760" s="24"/>
      <c r="AA11760" s="24"/>
    </row>
    <row r="11761">
      <c r="A11761" s="24"/>
      <c r="B11761" s="25"/>
      <c r="C11761" s="24"/>
      <c r="D11761" s="26"/>
      <c r="E11761" s="24"/>
      <c r="F11761" s="24"/>
      <c r="G11761" s="24"/>
      <c r="H11761" s="24"/>
      <c r="I11761" s="24"/>
      <c r="J11761" s="24"/>
      <c r="K11761" s="24"/>
      <c r="L11761" s="24"/>
      <c r="M11761" s="24"/>
      <c r="N11761" s="24"/>
      <c r="O11761" s="24"/>
      <c r="P11761" s="24"/>
      <c r="Q11761" s="24"/>
      <c r="R11761" s="24"/>
      <c r="S11761" s="24"/>
      <c r="T11761" s="24"/>
      <c r="U11761" s="24"/>
      <c r="V11761" s="24"/>
      <c r="W11761" s="24"/>
      <c r="X11761" s="24"/>
      <c r="Y11761" s="24"/>
      <c r="Z11761" s="24"/>
      <c r="AA11761" s="24"/>
    </row>
    <row r="11762">
      <c r="A11762" s="24"/>
      <c r="B11762" s="25"/>
      <c r="C11762" s="24"/>
      <c r="D11762" s="26"/>
      <c r="E11762" s="24"/>
      <c r="F11762" s="24"/>
      <c r="G11762" s="24"/>
      <c r="H11762" s="24"/>
      <c r="I11762" s="24"/>
      <c r="J11762" s="24"/>
      <c r="K11762" s="24"/>
      <c r="L11762" s="24"/>
      <c r="M11762" s="24"/>
      <c r="N11762" s="24"/>
      <c r="O11762" s="24"/>
      <c r="P11762" s="24"/>
      <c r="Q11762" s="24"/>
      <c r="R11762" s="24"/>
      <c r="S11762" s="24"/>
      <c r="T11762" s="24"/>
      <c r="U11762" s="24"/>
      <c r="V11762" s="24"/>
      <c r="W11762" s="24"/>
      <c r="X11762" s="24"/>
      <c r="Y11762" s="24"/>
      <c r="Z11762" s="24"/>
      <c r="AA11762" s="24"/>
    </row>
    <row r="11763">
      <c r="A11763" s="24"/>
      <c r="B11763" s="25"/>
      <c r="C11763" s="24"/>
      <c r="D11763" s="26"/>
      <c r="E11763" s="24"/>
      <c r="F11763" s="24"/>
      <c r="G11763" s="24"/>
      <c r="H11763" s="24"/>
      <c r="I11763" s="24"/>
      <c r="J11763" s="24"/>
      <c r="K11763" s="24"/>
      <c r="L11763" s="24"/>
      <c r="M11763" s="24"/>
      <c r="N11763" s="24"/>
      <c r="O11763" s="24"/>
      <c r="P11763" s="24"/>
      <c r="Q11763" s="24"/>
      <c r="R11763" s="24"/>
      <c r="S11763" s="24"/>
      <c r="T11763" s="24"/>
      <c r="U11763" s="24"/>
      <c r="V11763" s="24"/>
      <c r="W11763" s="24"/>
      <c r="X11763" s="24"/>
      <c r="Y11763" s="24"/>
      <c r="Z11763" s="24"/>
      <c r="AA11763" s="24"/>
    </row>
    <row r="11764">
      <c r="A11764" s="24"/>
      <c r="B11764" s="25"/>
      <c r="C11764" s="24"/>
      <c r="D11764" s="26"/>
      <c r="E11764" s="24"/>
      <c r="F11764" s="24"/>
      <c r="G11764" s="24"/>
      <c r="H11764" s="24"/>
      <c r="I11764" s="24"/>
      <c r="J11764" s="24"/>
      <c r="K11764" s="24"/>
      <c r="L11764" s="24"/>
      <c r="M11764" s="24"/>
      <c r="N11764" s="24"/>
      <c r="O11764" s="24"/>
      <c r="P11764" s="24"/>
      <c r="Q11764" s="24"/>
      <c r="R11764" s="24"/>
      <c r="S11764" s="24"/>
      <c r="T11764" s="24"/>
      <c r="U11764" s="24"/>
      <c r="V11764" s="24"/>
      <c r="W11764" s="24"/>
      <c r="X11764" s="24"/>
      <c r="Y11764" s="24"/>
      <c r="Z11764" s="24"/>
      <c r="AA11764" s="24"/>
    </row>
    <row r="11765">
      <c r="A11765" s="24"/>
      <c r="B11765" s="25"/>
      <c r="C11765" s="24"/>
      <c r="D11765" s="26"/>
      <c r="E11765" s="24"/>
      <c r="F11765" s="24"/>
      <c r="G11765" s="24"/>
      <c r="H11765" s="24"/>
      <c r="I11765" s="24"/>
      <c r="J11765" s="24"/>
      <c r="K11765" s="24"/>
      <c r="L11765" s="24"/>
      <c r="M11765" s="24"/>
      <c r="N11765" s="24"/>
      <c r="O11765" s="24"/>
      <c r="P11765" s="24"/>
      <c r="Q11765" s="24"/>
      <c r="R11765" s="24"/>
      <c r="S11765" s="24"/>
      <c r="T11765" s="24"/>
      <c r="U11765" s="24"/>
      <c r="V11765" s="24"/>
      <c r="W11765" s="24"/>
      <c r="X11765" s="24"/>
      <c r="Y11765" s="24"/>
      <c r="Z11765" s="24"/>
      <c r="AA11765" s="24"/>
    </row>
    <row r="11766">
      <c r="A11766" s="24"/>
      <c r="B11766" s="25"/>
      <c r="C11766" s="24"/>
      <c r="D11766" s="26"/>
      <c r="E11766" s="24"/>
      <c r="F11766" s="24"/>
      <c r="G11766" s="24"/>
      <c r="H11766" s="24"/>
      <c r="I11766" s="24"/>
      <c r="J11766" s="24"/>
      <c r="K11766" s="24"/>
      <c r="L11766" s="24"/>
      <c r="M11766" s="24"/>
      <c r="N11766" s="24"/>
      <c r="O11766" s="24"/>
      <c r="P11766" s="24"/>
      <c r="Q11766" s="24"/>
      <c r="R11766" s="24"/>
      <c r="S11766" s="24"/>
      <c r="T11766" s="24"/>
      <c r="U11766" s="24"/>
      <c r="V11766" s="24"/>
      <c r="W11766" s="24"/>
      <c r="X11766" s="24"/>
      <c r="Y11766" s="24"/>
      <c r="Z11766" s="24"/>
      <c r="AA11766" s="24"/>
    </row>
    <row r="11767">
      <c r="A11767" s="24"/>
      <c r="B11767" s="25"/>
      <c r="C11767" s="24"/>
      <c r="D11767" s="26"/>
      <c r="E11767" s="24"/>
      <c r="F11767" s="24"/>
      <c r="G11767" s="24"/>
      <c r="H11767" s="24"/>
      <c r="I11767" s="24"/>
      <c r="J11767" s="24"/>
      <c r="K11767" s="24"/>
      <c r="L11767" s="24"/>
      <c r="M11767" s="24"/>
      <c r="N11767" s="24"/>
      <c r="O11767" s="24"/>
      <c r="P11767" s="24"/>
      <c r="Q11767" s="24"/>
      <c r="R11767" s="24"/>
      <c r="S11767" s="24"/>
      <c r="T11767" s="24"/>
      <c r="U11767" s="24"/>
      <c r="V11767" s="24"/>
      <c r="W11767" s="24"/>
      <c r="X11767" s="24"/>
      <c r="Y11767" s="24"/>
      <c r="Z11767" s="24"/>
      <c r="AA11767" s="24"/>
    </row>
    <row r="11768">
      <c r="A11768" s="24"/>
      <c r="B11768" s="25"/>
      <c r="C11768" s="24"/>
      <c r="D11768" s="26"/>
      <c r="E11768" s="24"/>
      <c r="F11768" s="24"/>
      <c r="G11768" s="24"/>
      <c r="H11768" s="24"/>
      <c r="I11768" s="24"/>
      <c r="J11768" s="24"/>
      <c r="K11768" s="24"/>
      <c r="L11768" s="24"/>
      <c r="M11768" s="24"/>
      <c r="N11768" s="24"/>
      <c r="O11768" s="24"/>
      <c r="P11768" s="24"/>
      <c r="Q11768" s="24"/>
      <c r="R11768" s="24"/>
      <c r="S11768" s="24"/>
      <c r="T11768" s="24"/>
      <c r="U11768" s="24"/>
      <c r="V11768" s="24"/>
      <c r="W11768" s="24"/>
      <c r="X11768" s="24"/>
      <c r="Y11768" s="24"/>
      <c r="Z11768" s="24"/>
      <c r="AA11768" s="24"/>
    </row>
    <row r="11769">
      <c r="A11769" s="24"/>
      <c r="B11769" s="25"/>
      <c r="C11769" s="24"/>
      <c r="D11769" s="26"/>
      <c r="E11769" s="24"/>
      <c r="F11769" s="24"/>
      <c r="G11769" s="24"/>
      <c r="H11769" s="24"/>
      <c r="I11769" s="24"/>
      <c r="J11769" s="24"/>
      <c r="K11769" s="24"/>
      <c r="L11769" s="24"/>
      <c r="M11769" s="24"/>
      <c r="N11769" s="24"/>
      <c r="O11769" s="24"/>
      <c r="P11769" s="24"/>
      <c r="Q11769" s="24"/>
      <c r="R11769" s="24"/>
      <c r="S11769" s="24"/>
      <c r="T11769" s="24"/>
      <c r="U11769" s="24"/>
      <c r="V11769" s="24"/>
      <c r="W11769" s="24"/>
      <c r="X11769" s="24"/>
      <c r="Y11769" s="24"/>
      <c r="Z11769" s="24"/>
      <c r="AA11769" s="24"/>
    </row>
    <row r="11770">
      <c r="A11770" s="24"/>
      <c r="B11770" s="25"/>
      <c r="C11770" s="24"/>
      <c r="D11770" s="26"/>
      <c r="E11770" s="24"/>
      <c r="F11770" s="24"/>
      <c r="G11770" s="24"/>
      <c r="H11770" s="24"/>
      <c r="I11770" s="24"/>
      <c r="J11770" s="24"/>
      <c r="K11770" s="24"/>
      <c r="L11770" s="24"/>
      <c r="M11770" s="24"/>
      <c r="N11770" s="24"/>
      <c r="O11770" s="24"/>
      <c r="P11770" s="24"/>
      <c r="Q11770" s="24"/>
      <c r="R11770" s="24"/>
      <c r="S11770" s="24"/>
      <c r="T11770" s="24"/>
      <c r="U11770" s="24"/>
      <c r="V11770" s="24"/>
      <c r="W11770" s="24"/>
      <c r="X11770" s="24"/>
      <c r="Y11770" s="24"/>
      <c r="Z11770" s="24"/>
      <c r="AA11770" s="24"/>
    </row>
    <row r="11771">
      <c r="A11771" s="24"/>
      <c r="B11771" s="25"/>
      <c r="C11771" s="24"/>
      <c r="D11771" s="26"/>
      <c r="E11771" s="24"/>
      <c r="F11771" s="24"/>
      <c r="G11771" s="24"/>
      <c r="H11771" s="24"/>
      <c r="I11771" s="24"/>
      <c r="J11771" s="24"/>
      <c r="K11771" s="24"/>
      <c r="L11771" s="24"/>
      <c r="M11771" s="24"/>
      <c r="N11771" s="24"/>
      <c r="O11771" s="24"/>
      <c r="P11771" s="24"/>
      <c r="Q11771" s="24"/>
      <c r="R11771" s="24"/>
      <c r="S11771" s="24"/>
      <c r="T11771" s="24"/>
      <c r="U11771" s="24"/>
      <c r="V11771" s="24"/>
      <c r="W11771" s="24"/>
      <c r="X11771" s="24"/>
      <c r="Y11771" s="24"/>
      <c r="Z11771" s="24"/>
      <c r="AA11771" s="24"/>
    </row>
    <row r="11772">
      <c r="A11772" s="24"/>
      <c r="B11772" s="25"/>
      <c r="C11772" s="24"/>
      <c r="D11772" s="26"/>
      <c r="E11772" s="24"/>
      <c r="F11772" s="24"/>
      <c r="G11772" s="24"/>
      <c r="H11772" s="24"/>
      <c r="I11772" s="24"/>
      <c r="J11772" s="24"/>
      <c r="K11772" s="24"/>
      <c r="L11772" s="24"/>
      <c r="M11772" s="24"/>
      <c r="N11772" s="24"/>
      <c r="O11772" s="24"/>
      <c r="P11772" s="24"/>
      <c r="Q11772" s="24"/>
      <c r="R11772" s="24"/>
      <c r="S11772" s="24"/>
      <c r="T11772" s="24"/>
      <c r="U11772" s="24"/>
      <c r="V11772" s="24"/>
      <c r="W11772" s="24"/>
      <c r="X11772" s="24"/>
      <c r="Y11772" s="24"/>
      <c r="Z11772" s="24"/>
      <c r="AA11772" s="24"/>
    </row>
    <row r="11773">
      <c r="A11773" s="24"/>
      <c r="B11773" s="25"/>
      <c r="C11773" s="24"/>
      <c r="D11773" s="26"/>
      <c r="E11773" s="24"/>
      <c r="F11773" s="24"/>
      <c r="G11773" s="24"/>
      <c r="H11773" s="24"/>
      <c r="I11773" s="24"/>
      <c r="J11773" s="24"/>
      <c r="K11773" s="24"/>
      <c r="L11773" s="24"/>
      <c r="M11773" s="24"/>
      <c r="N11773" s="24"/>
      <c r="O11773" s="24"/>
      <c r="P11773" s="24"/>
      <c r="Q11773" s="24"/>
      <c r="R11773" s="24"/>
      <c r="S11773" s="24"/>
      <c r="T11773" s="24"/>
      <c r="U11773" s="24"/>
      <c r="V11773" s="24"/>
      <c r="W11773" s="24"/>
      <c r="X11773" s="24"/>
      <c r="Y11773" s="24"/>
      <c r="Z11773" s="24"/>
      <c r="AA11773" s="24"/>
    </row>
    <row r="11774">
      <c r="A11774" s="24"/>
      <c r="B11774" s="25"/>
      <c r="C11774" s="24"/>
      <c r="D11774" s="26"/>
      <c r="E11774" s="24"/>
      <c r="F11774" s="24"/>
      <c r="G11774" s="24"/>
      <c r="H11774" s="24"/>
      <c r="I11774" s="24"/>
      <c r="J11774" s="24"/>
      <c r="K11774" s="24"/>
      <c r="L11774" s="24"/>
      <c r="M11774" s="24"/>
      <c r="N11774" s="24"/>
      <c r="O11774" s="24"/>
      <c r="P11774" s="24"/>
      <c r="Q11774" s="24"/>
      <c r="R11774" s="24"/>
      <c r="S11774" s="24"/>
      <c r="T11774" s="24"/>
      <c r="U11774" s="24"/>
      <c r="V11774" s="24"/>
      <c r="W11774" s="24"/>
      <c r="X11774" s="24"/>
      <c r="Y11774" s="24"/>
      <c r="Z11774" s="24"/>
      <c r="AA11774" s="24"/>
    </row>
    <row r="11775">
      <c r="A11775" s="24"/>
      <c r="B11775" s="25"/>
      <c r="C11775" s="24"/>
      <c r="D11775" s="26"/>
      <c r="E11775" s="24"/>
      <c r="F11775" s="24"/>
      <c r="G11775" s="24"/>
      <c r="H11775" s="24"/>
      <c r="I11775" s="24"/>
      <c r="J11775" s="24"/>
      <c r="K11775" s="24"/>
      <c r="L11775" s="24"/>
      <c r="M11775" s="24"/>
      <c r="N11775" s="24"/>
      <c r="O11775" s="24"/>
      <c r="P11775" s="24"/>
      <c r="Q11775" s="24"/>
      <c r="R11775" s="24"/>
      <c r="S11775" s="24"/>
      <c r="T11775" s="24"/>
      <c r="U11775" s="24"/>
      <c r="V11775" s="24"/>
      <c r="W11775" s="24"/>
      <c r="X11775" s="24"/>
      <c r="Y11775" s="24"/>
      <c r="Z11775" s="24"/>
      <c r="AA11775" s="24"/>
    </row>
    <row r="11776">
      <c r="A11776" s="24"/>
      <c r="B11776" s="25"/>
      <c r="C11776" s="24"/>
      <c r="D11776" s="26"/>
      <c r="E11776" s="24"/>
      <c r="F11776" s="24"/>
      <c r="G11776" s="24"/>
      <c r="H11776" s="24"/>
      <c r="I11776" s="24"/>
      <c r="J11776" s="24"/>
      <c r="K11776" s="24"/>
      <c r="L11776" s="24"/>
      <c r="M11776" s="24"/>
      <c r="N11776" s="24"/>
      <c r="O11776" s="24"/>
      <c r="P11776" s="24"/>
      <c r="Q11776" s="24"/>
      <c r="R11776" s="24"/>
      <c r="S11776" s="24"/>
      <c r="T11776" s="24"/>
      <c r="U11776" s="24"/>
      <c r="V11776" s="24"/>
      <c r="W11776" s="24"/>
      <c r="X11776" s="24"/>
      <c r="Y11776" s="24"/>
      <c r="Z11776" s="24"/>
      <c r="AA11776" s="24"/>
    </row>
    <row r="11777">
      <c r="A11777" s="24"/>
      <c r="B11777" s="25"/>
      <c r="C11777" s="24"/>
      <c r="D11777" s="26"/>
      <c r="E11777" s="24"/>
      <c r="F11777" s="24"/>
      <c r="G11777" s="24"/>
      <c r="H11777" s="24"/>
      <c r="I11777" s="24"/>
      <c r="J11777" s="24"/>
      <c r="K11777" s="24"/>
      <c r="L11777" s="24"/>
      <c r="M11777" s="24"/>
      <c r="N11777" s="24"/>
      <c r="O11777" s="24"/>
      <c r="P11777" s="24"/>
      <c r="Q11777" s="24"/>
      <c r="R11777" s="24"/>
      <c r="S11777" s="24"/>
      <c r="T11777" s="24"/>
      <c r="U11777" s="24"/>
      <c r="V11777" s="24"/>
      <c r="W11777" s="24"/>
      <c r="X11777" s="24"/>
      <c r="Y11777" s="24"/>
      <c r="Z11777" s="24"/>
      <c r="AA11777" s="24"/>
    </row>
    <row r="11778">
      <c r="A11778" s="24"/>
      <c r="B11778" s="25"/>
      <c r="C11778" s="24"/>
      <c r="D11778" s="26"/>
      <c r="E11778" s="24"/>
      <c r="F11778" s="24"/>
      <c r="G11778" s="24"/>
      <c r="H11778" s="24"/>
      <c r="I11778" s="24"/>
      <c r="J11778" s="24"/>
      <c r="K11778" s="24"/>
      <c r="L11778" s="24"/>
      <c r="M11778" s="24"/>
      <c r="N11778" s="24"/>
      <c r="O11778" s="24"/>
      <c r="P11778" s="24"/>
      <c r="Q11778" s="24"/>
      <c r="R11778" s="24"/>
      <c r="S11778" s="24"/>
      <c r="T11778" s="24"/>
      <c r="U11778" s="24"/>
      <c r="V11778" s="24"/>
      <c r="W11778" s="24"/>
      <c r="X11778" s="24"/>
      <c r="Y11778" s="24"/>
      <c r="Z11778" s="24"/>
      <c r="AA11778" s="24"/>
    </row>
    <row r="11779">
      <c r="A11779" s="24"/>
      <c r="B11779" s="25"/>
      <c r="C11779" s="24"/>
      <c r="D11779" s="26"/>
      <c r="E11779" s="24"/>
      <c r="F11779" s="24"/>
      <c r="G11779" s="24"/>
      <c r="H11779" s="24"/>
      <c r="I11779" s="24"/>
      <c r="J11779" s="24"/>
      <c r="K11779" s="24"/>
      <c r="L11779" s="24"/>
      <c r="M11779" s="24"/>
      <c r="N11779" s="24"/>
      <c r="O11779" s="24"/>
      <c r="P11779" s="24"/>
      <c r="Q11779" s="24"/>
      <c r="R11779" s="24"/>
      <c r="S11779" s="24"/>
      <c r="T11779" s="24"/>
      <c r="U11779" s="24"/>
      <c r="V11779" s="24"/>
      <c r="W11779" s="24"/>
      <c r="X11779" s="24"/>
      <c r="Y11779" s="24"/>
      <c r="Z11779" s="24"/>
      <c r="AA11779" s="24"/>
    </row>
    <row r="11780">
      <c r="A11780" s="24"/>
      <c r="B11780" s="25"/>
      <c r="C11780" s="24"/>
      <c r="D11780" s="26"/>
      <c r="E11780" s="24"/>
      <c r="F11780" s="24"/>
      <c r="G11780" s="24"/>
      <c r="H11780" s="24"/>
      <c r="I11780" s="24"/>
      <c r="J11780" s="24"/>
      <c r="K11780" s="24"/>
      <c r="L11780" s="24"/>
      <c r="M11780" s="24"/>
      <c r="N11780" s="24"/>
      <c r="O11780" s="24"/>
      <c r="P11780" s="24"/>
      <c r="Q11780" s="24"/>
      <c r="R11780" s="24"/>
      <c r="S11780" s="24"/>
      <c r="T11780" s="24"/>
      <c r="U11780" s="24"/>
      <c r="V11780" s="24"/>
      <c r="W11780" s="24"/>
      <c r="X11780" s="24"/>
      <c r="Y11780" s="24"/>
      <c r="Z11780" s="24"/>
      <c r="AA11780" s="24"/>
    </row>
    <row r="11781">
      <c r="A11781" s="24"/>
      <c r="B11781" s="25"/>
      <c r="C11781" s="24"/>
      <c r="D11781" s="26"/>
      <c r="E11781" s="24"/>
      <c r="F11781" s="24"/>
      <c r="G11781" s="24"/>
      <c r="H11781" s="24"/>
      <c r="I11781" s="24"/>
      <c r="J11781" s="24"/>
      <c r="K11781" s="24"/>
      <c r="L11781" s="24"/>
      <c r="M11781" s="24"/>
      <c r="N11781" s="24"/>
      <c r="O11781" s="24"/>
      <c r="P11781" s="24"/>
      <c r="Q11781" s="24"/>
      <c r="R11781" s="24"/>
      <c r="S11781" s="24"/>
      <c r="T11781" s="24"/>
      <c r="U11781" s="24"/>
      <c r="V11781" s="24"/>
      <c r="W11781" s="24"/>
      <c r="X11781" s="24"/>
      <c r="Y11781" s="24"/>
      <c r="Z11781" s="24"/>
      <c r="AA11781" s="24"/>
    </row>
    <row r="11782">
      <c r="A11782" s="24"/>
      <c r="B11782" s="25"/>
      <c r="C11782" s="24"/>
      <c r="D11782" s="26"/>
      <c r="E11782" s="24"/>
      <c r="F11782" s="24"/>
      <c r="G11782" s="24"/>
      <c r="H11782" s="24"/>
      <c r="I11782" s="24"/>
      <c r="J11782" s="24"/>
      <c r="K11782" s="24"/>
      <c r="L11782" s="24"/>
      <c r="M11782" s="24"/>
      <c r="N11782" s="24"/>
      <c r="O11782" s="24"/>
      <c r="P11782" s="24"/>
      <c r="Q11782" s="24"/>
      <c r="R11782" s="24"/>
      <c r="S11782" s="24"/>
      <c r="T11782" s="24"/>
      <c r="U11782" s="24"/>
      <c r="V11782" s="24"/>
      <c r="W11782" s="24"/>
      <c r="X11782" s="24"/>
      <c r="Y11782" s="24"/>
      <c r="Z11782" s="24"/>
      <c r="AA11782" s="24"/>
    </row>
    <row r="11783">
      <c r="A11783" s="24"/>
      <c r="B11783" s="25"/>
      <c r="C11783" s="24"/>
      <c r="D11783" s="26"/>
      <c r="E11783" s="24"/>
      <c r="F11783" s="24"/>
      <c r="G11783" s="24"/>
      <c r="H11783" s="24"/>
      <c r="I11783" s="24"/>
      <c r="J11783" s="24"/>
      <c r="K11783" s="24"/>
      <c r="L11783" s="24"/>
      <c r="M11783" s="24"/>
      <c r="N11783" s="24"/>
      <c r="O11783" s="24"/>
      <c r="P11783" s="24"/>
      <c r="Q11783" s="24"/>
      <c r="R11783" s="24"/>
      <c r="S11783" s="24"/>
      <c r="T11783" s="24"/>
      <c r="U11783" s="24"/>
      <c r="V11783" s="24"/>
      <c r="W11783" s="24"/>
      <c r="X11783" s="24"/>
      <c r="Y11783" s="24"/>
      <c r="Z11783" s="24"/>
      <c r="AA11783" s="24"/>
    </row>
    <row r="11784">
      <c r="A11784" s="24"/>
      <c r="B11784" s="25"/>
      <c r="C11784" s="24"/>
      <c r="D11784" s="26"/>
      <c r="E11784" s="24"/>
      <c r="F11784" s="24"/>
      <c r="G11784" s="24"/>
      <c r="H11784" s="24"/>
      <c r="I11784" s="24"/>
      <c r="J11784" s="24"/>
      <c r="K11784" s="24"/>
      <c r="L11784" s="24"/>
      <c r="M11784" s="24"/>
      <c r="N11784" s="24"/>
      <c r="O11784" s="24"/>
      <c r="P11784" s="24"/>
      <c r="Q11784" s="24"/>
      <c r="R11784" s="24"/>
      <c r="S11784" s="24"/>
      <c r="T11784" s="24"/>
      <c r="U11784" s="24"/>
      <c r="V11784" s="24"/>
      <c r="W11784" s="24"/>
      <c r="X11784" s="24"/>
      <c r="Y11784" s="24"/>
      <c r="Z11784" s="24"/>
      <c r="AA11784" s="24"/>
    </row>
    <row r="11785">
      <c r="A11785" s="24"/>
      <c r="B11785" s="25"/>
      <c r="C11785" s="24"/>
      <c r="D11785" s="26"/>
      <c r="E11785" s="24"/>
      <c r="F11785" s="24"/>
      <c r="G11785" s="24"/>
      <c r="H11785" s="24"/>
      <c r="I11785" s="24"/>
      <c r="J11785" s="24"/>
      <c r="K11785" s="24"/>
      <c r="L11785" s="24"/>
      <c r="M11785" s="24"/>
      <c r="N11785" s="24"/>
      <c r="O11785" s="24"/>
      <c r="P11785" s="24"/>
      <c r="Q11785" s="24"/>
      <c r="R11785" s="24"/>
      <c r="S11785" s="24"/>
      <c r="T11785" s="24"/>
      <c r="U11785" s="24"/>
      <c r="V11785" s="24"/>
      <c r="W11785" s="24"/>
      <c r="X11785" s="24"/>
      <c r="Y11785" s="24"/>
      <c r="Z11785" s="24"/>
      <c r="AA11785" s="24"/>
    </row>
    <row r="11786">
      <c r="A11786" s="24"/>
      <c r="B11786" s="25"/>
      <c r="C11786" s="24"/>
      <c r="D11786" s="26"/>
      <c r="E11786" s="24"/>
      <c r="F11786" s="24"/>
      <c r="G11786" s="24"/>
      <c r="H11786" s="24"/>
      <c r="I11786" s="24"/>
      <c r="J11786" s="24"/>
      <c r="K11786" s="24"/>
      <c r="L11786" s="24"/>
      <c r="M11786" s="24"/>
      <c r="N11786" s="24"/>
      <c r="O11786" s="24"/>
      <c r="P11786" s="24"/>
      <c r="Q11786" s="24"/>
      <c r="R11786" s="24"/>
      <c r="S11786" s="24"/>
      <c r="T11786" s="24"/>
      <c r="U11786" s="24"/>
      <c r="V11786" s="24"/>
      <c r="W11786" s="24"/>
      <c r="X11786" s="24"/>
      <c r="Y11786" s="24"/>
      <c r="Z11786" s="24"/>
      <c r="AA11786" s="24"/>
    </row>
    <row r="11787">
      <c r="A11787" s="24"/>
      <c r="B11787" s="25"/>
      <c r="C11787" s="24"/>
      <c r="D11787" s="26"/>
      <c r="E11787" s="24"/>
      <c r="F11787" s="24"/>
      <c r="G11787" s="24"/>
      <c r="H11787" s="24"/>
      <c r="I11787" s="24"/>
      <c r="J11787" s="24"/>
      <c r="K11787" s="24"/>
      <c r="L11787" s="24"/>
      <c r="M11787" s="24"/>
      <c r="N11787" s="24"/>
      <c r="O11787" s="24"/>
      <c r="P11787" s="24"/>
      <c r="Q11787" s="24"/>
      <c r="R11787" s="24"/>
      <c r="S11787" s="24"/>
      <c r="T11787" s="24"/>
      <c r="U11787" s="24"/>
      <c r="V11787" s="24"/>
      <c r="W11787" s="24"/>
      <c r="X11787" s="24"/>
      <c r="Y11787" s="24"/>
      <c r="Z11787" s="24"/>
      <c r="AA11787" s="24"/>
    </row>
    <row r="11788">
      <c r="A11788" s="24"/>
      <c r="B11788" s="25"/>
      <c r="C11788" s="24"/>
      <c r="D11788" s="26"/>
      <c r="E11788" s="24"/>
      <c r="F11788" s="24"/>
      <c r="G11788" s="24"/>
      <c r="H11788" s="24"/>
      <c r="I11788" s="24"/>
      <c r="J11788" s="24"/>
      <c r="K11788" s="24"/>
      <c r="L11788" s="24"/>
      <c r="M11788" s="24"/>
      <c r="N11788" s="24"/>
      <c r="O11788" s="24"/>
      <c r="P11788" s="24"/>
      <c r="Q11788" s="24"/>
      <c r="R11788" s="24"/>
      <c r="S11788" s="24"/>
      <c r="T11788" s="24"/>
      <c r="U11788" s="24"/>
      <c r="V11788" s="24"/>
      <c r="W11788" s="24"/>
      <c r="X11788" s="24"/>
      <c r="Y11788" s="24"/>
      <c r="Z11788" s="24"/>
      <c r="AA11788" s="24"/>
    </row>
    <row r="11789">
      <c r="A11789" s="24"/>
      <c r="B11789" s="25"/>
      <c r="C11789" s="24"/>
      <c r="D11789" s="26"/>
      <c r="E11789" s="24"/>
      <c r="F11789" s="24"/>
      <c r="G11789" s="24"/>
      <c r="H11789" s="24"/>
      <c r="I11789" s="24"/>
      <c r="J11789" s="24"/>
      <c r="K11789" s="24"/>
      <c r="L11789" s="24"/>
      <c r="M11789" s="24"/>
      <c r="N11789" s="24"/>
      <c r="O11789" s="24"/>
      <c r="P11789" s="24"/>
      <c r="Q11789" s="24"/>
      <c r="R11789" s="24"/>
      <c r="S11789" s="24"/>
      <c r="T11789" s="24"/>
      <c r="U11789" s="24"/>
      <c r="V11789" s="24"/>
      <c r="W11789" s="24"/>
      <c r="X11789" s="24"/>
      <c r="Y11789" s="24"/>
      <c r="Z11789" s="24"/>
      <c r="AA11789" s="24"/>
    </row>
    <row r="11790">
      <c r="A11790" s="24"/>
      <c r="B11790" s="25"/>
      <c r="C11790" s="24"/>
      <c r="D11790" s="26"/>
      <c r="E11790" s="24"/>
      <c r="F11790" s="24"/>
      <c r="G11790" s="24"/>
      <c r="H11790" s="24"/>
      <c r="I11790" s="24"/>
      <c r="J11790" s="24"/>
      <c r="K11790" s="24"/>
      <c r="L11790" s="24"/>
      <c r="M11790" s="24"/>
      <c r="N11790" s="24"/>
      <c r="O11790" s="24"/>
      <c r="P11790" s="24"/>
      <c r="Q11790" s="24"/>
      <c r="R11790" s="24"/>
      <c r="S11790" s="24"/>
      <c r="T11790" s="24"/>
      <c r="U11790" s="24"/>
      <c r="V11790" s="24"/>
      <c r="W11790" s="24"/>
      <c r="X11790" s="24"/>
      <c r="Y11790" s="24"/>
      <c r="Z11790" s="24"/>
      <c r="AA11790" s="24"/>
    </row>
    <row r="11791">
      <c r="A11791" s="24"/>
      <c r="B11791" s="25"/>
      <c r="C11791" s="24"/>
      <c r="D11791" s="26"/>
      <c r="E11791" s="24"/>
      <c r="F11791" s="24"/>
      <c r="G11791" s="24"/>
      <c r="H11791" s="24"/>
      <c r="I11791" s="24"/>
      <c r="J11791" s="24"/>
      <c r="K11791" s="24"/>
      <c r="L11791" s="24"/>
      <c r="M11791" s="24"/>
      <c r="N11791" s="24"/>
      <c r="O11791" s="24"/>
      <c r="P11791" s="24"/>
      <c r="Q11791" s="24"/>
      <c r="R11791" s="24"/>
      <c r="S11791" s="24"/>
      <c r="T11791" s="24"/>
      <c r="U11791" s="24"/>
      <c r="V11791" s="24"/>
      <c r="W11791" s="24"/>
      <c r="X11791" s="24"/>
      <c r="Y11791" s="24"/>
      <c r="Z11791" s="24"/>
      <c r="AA11791" s="24"/>
    </row>
    <row r="11792">
      <c r="A11792" s="24"/>
      <c r="B11792" s="25"/>
      <c r="C11792" s="24"/>
      <c r="D11792" s="26"/>
      <c r="E11792" s="24"/>
      <c r="F11792" s="24"/>
      <c r="G11792" s="24"/>
      <c r="H11792" s="24"/>
      <c r="I11792" s="24"/>
      <c r="J11792" s="24"/>
      <c r="K11792" s="24"/>
      <c r="L11792" s="24"/>
      <c r="M11792" s="24"/>
      <c r="N11792" s="24"/>
      <c r="O11792" s="24"/>
      <c r="P11792" s="24"/>
      <c r="Q11792" s="24"/>
      <c r="R11792" s="24"/>
      <c r="S11792" s="24"/>
      <c r="T11792" s="24"/>
      <c r="U11792" s="24"/>
      <c r="V11792" s="24"/>
      <c r="W11792" s="24"/>
      <c r="X11792" s="24"/>
      <c r="Y11792" s="24"/>
      <c r="Z11792" s="24"/>
      <c r="AA11792" s="24"/>
    </row>
    <row r="11793">
      <c r="A11793" s="24"/>
      <c r="B11793" s="25"/>
      <c r="C11793" s="24"/>
      <c r="D11793" s="26"/>
      <c r="E11793" s="24"/>
      <c r="F11793" s="24"/>
      <c r="G11793" s="24"/>
      <c r="H11793" s="24"/>
      <c r="I11793" s="24"/>
      <c r="J11793" s="24"/>
      <c r="K11793" s="24"/>
      <c r="L11793" s="24"/>
      <c r="M11793" s="24"/>
      <c r="N11793" s="24"/>
      <c r="O11793" s="24"/>
      <c r="P11793" s="24"/>
      <c r="Q11793" s="24"/>
      <c r="R11793" s="24"/>
      <c r="S11793" s="24"/>
      <c r="T11793" s="24"/>
      <c r="U11793" s="24"/>
      <c r="V11793" s="24"/>
      <c r="W11793" s="24"/>
      <c r="X11793" s="24"/>
      <c r="Y11793" s="24"/>
      <c r="Z11793" s="24"/>
      <c r="AA11793" s="24"/>
    </row>
    <row r="11794">
      <c r="A11794" s="24"/>
      <c r="B11794" s="25"/>
      <c r="C11794" s="24"/>
      <c r="D11794" s="26"/>
      <c r="E11794" s="24"/>
      <c r="F11794" s="24"/>
      <c r="G11794" s="24"/>
      <c r="H11794" s="24"/>
      <c r="I11794" s="24"/>
      <c r="J11794" s="24"/>
      <c r="K11794" s="24"/>
      <c r="L11794" s="24"/>
      <c r="M11794" s="24"/>
      <c r="N11794" s="24"/>
      <c r="O11794" s="24"/>
      <c r="P11794" s="24"/>
      <c r="Q11794" s="24"/>
      <c r="R11794" s="24"/>
      <c r="S11794" s="24"/>
      <c r="T11794" s="24"/>
      <c r="U11794" s="24"/>
      <c r="V11794" s="24"/>
      <c r="W11794" s="24"/>
      <c r="X11794" s="24"/>
      <c r="Y11794" s="24"/>
      <c r="Z11794" s="24"/>
      <c r="AA11794" s="24"/>
    </row>
    <row r="11795">
      <c r="A11795" s="24"/>
      <c r="B11795" s="25"/>
      <c r="C11795" s="24"/>
      <c r="D11795" s="26"/>
      <c r="E11795" s="24"/>
      <c r="F11795" s="24"/>
      <c r="G11795" s="24"/>
      <c r="H11795" s="24"/>
      <c r="I11795" s="24"/>
      <c r="J11795" s="24"/>
      <c r="K11795" s="24"/>
      <c r="L11795" s="24"/>
      <c r="M11795" s="24"/>
      <c r="N11795" s="24"/>
      <c r="O11795" s="24"/>
      <c r="P11795" s="24"/>
      <c r="Q11795" s="24"/>
      <c r="R11795" s="24"/>
      <c r="S11795" s="24"/>
      <c r="T11795" s="24"/>
      <c r="U11795" s="24"/>
      <c r="V11795" s="24"/>
      <c r="W11795" s="24"/>
      <c r="X11795" s="24"/>
      <c r="Y11795" s="24"/>
      <c r="Z11795" s="24"/>
      <c r="AA11795" s="24"/>
    </row>
    <row r="11796">
      <c r="A11796" s="24"/>
      <c r="B11796" s="25"/>
      <c r="C11796" s="24"/>
      <c r="D11796" s="26"/>
      <c r="E11796" s="24"/>
      <c r="F11796" s="24"/>
      <c r="G11796" s="24"/>
      <c r="H11796" s="24"/>
      <c r="I11796" s="24"/>
      <c r="J11796" s="24"/>
      <c r="K11796" s="24"/>
      <c r="L11796" s="24"/>
      <c r="M11796" s="24"/>
      <c r="N11796" s="24"/>
      <c r="O11796" s="24"/>
      <c r="P11796" s="24"/>
      <c r="Q11796" s="24"/>
      <c r="R11796" s="24"/>
      <c r="S11796" s="24"/>
      <c r="T11796" s="24"/>
      <c r="U11796" s="24"/>
      <c r="V11796" s="24"/>
      <c r="W11796" s="24"/>
      <c r="X11796" s="24"/>
      <c r="Y11796" s="24"/>
      <c r="Z11796" s="24"/>
      <c r="AA11796" s="24"/>
    </row>
    <row r="11797">
      <c r="A11797" s="24"/>
      <c r="B11797" s="25"/>
      <c r="C11797" s="24"/>
      <c r="D11797" s="26"/>
      <c r="E11797" s="24"/>
      <c r="F11797" s="24"/>
      <c r="G11797" s="24"/>
      <c r="H11797" s="24"/>
      <c r="I11797" s="24"/>
      <c r="J11797" s="24"/>
      <c r="K11797" s="24"/>
      <c r="L11797" s="24"/>
      <c r="M11797" s="24"/>
      <c r="N11797" s="24"/>
      <c r="O11797" s="24"/>
      <c r="P11797" s="24"/>
      <c r="Q11797" s="24"/>
      <c r="R11797" s="24"/>
      <c r="S11797" s="24"/>
      <c r="T11797" s="24"/>
      <c r="U11797" s="24"/>
      <c r="V11797" s="24"/>
      <c r="W11797" s="24"/>
      <c r="X11797" s="24"/>
      <c r="Y11797" s="24"/>
      <c r="Z11797" s="24"/>
      <c r="AA11797" s="24"/>
    </row>
    <row r="11798">
      <c r="A11798" s="24"/>
      <c r="B11798" s="25"/>
      <c r="C11798" s="24"/>
      <c r="D11798" s="26"/>
      <c r="E11798" s="24"/>
      <c r="F11798" s="24"/>
      <c r="G11798" s="24"/>
      <c r="H11798" s="24"/>
      <c r="I11798" s="24"/>
      <c r="J11798" s="24"/>
      <c r="K11798" s="24"/>
      <c r="L11798" s="24"/>
      <c r="M11798" s="24"/>
      <c r="N11798" s="24"/>
      <c r="O11798" s="24"/>
      <c r="P11798" s="24"/>
      <c r="Q11798" s="24"/>
      <c r="R11798" s="24"/>
      <c r="S11798" s="24"/>
      <c r="T11798" s="24"/>
      <c r="U11798" s="24"/>
      <c r="V11798" s="24"/>
      <c r="W11798" s="24"/>
      <c r="X11798" s="24"/>
      <c r="Y11798" s="24"/>
      <c r="Z11798" s="24"/>
      <c r="AA11798" s="24"/>
    </row>
    <row r="11799">
      <c r="A11799" s="24"/>
      <c r="B11799" s="25"/>
      <c r="C11799" s="24"/>
      <c r="D11799" s="26"/>
      <c r="E11799" s="24"/>
      <c r="F11799" s="24"/>
      <c r="G11799" s="24"/>
      <c r="H11799" s="24"/>
      <c r="I11799" s="24"/>
      <c r="J11799" s="24"/>
      <c r="K11799" s="24"/>
      <c r="L11799" s="24"/>
      <c r="M11799" s="24"/>
      <c r="N11799" s="24"/>
      <c r="O11799" s="24"/>
      <c r="P11799" s="24"/>
      <c r="Q11799" s="24"/>
      <c r="R11799" s="24"/>
      <c r="S11799" s="24"/>
      <c r="T11799" s="24"/>
      <c r="U11799" s="24"/>
      <c r="V11799" s="24"/>
      <c r="W11799" s="24"/>
      <c r="X11799" s="24"/>
      <c r="Y11799" s="24"/>
      <c r="Z11799" s="24"/>
      <c r="AA11799" s="24"/>
    </row>
    <row r="11800">
      <c r="A11800" s="24"/>
      <c r="B11800" s="25"/>
      <c r="C11800" s="24"/>
      <c r="D11800" s="26"/>
      <c r="E11800" s="24"/>
      <c r="F11800" s="24"/>
      <c r="G11800" s="24"/>
      <c r="H11800" s="24"/>
      <c r="I11800" s="24"/>
      <c r="J11800" s="24"/>
      <c r="K11800" s="24"/>
      <c r="L11800" s="24"/>
      <c r="M11800" s="24"/>
      <c r="N11800" s="24"/>
      <c r="O11800" s="24"/>
      <c r="P11800" s="24"/>
      <c r="Q11800" s="24"/>
      <c r="R11800" s="24"/>
      <c r="S11800" s="24"/>
      <c r="T11800" s="24"/>
      <c r="U11800" s="24"/>
      <c r="V11800" s="24"/>
      <c r="W11800" s="24"/>
      <c r="X11800" s="24"/>
      <c r="Y11800" s="24"/>
      <c r="Z11800" s="24"/>
      <c r="AA11800" s="24"/>
    </row>
    <row r="11801">
      <c r="A11801" s="24"/>
      <c r="B11801" s="25"/>
      <c r="C11801" s="24"/>
      <c r="D11801" s="26"/>
      <c r="E11801" s="24"/>
      <c r="F11801" s="24"/>
      <c r="G11801" s="24"/>
      <c r="H11801" s="24"/>
      <c r="I11801" s="24"/>
      <c r="J11801" s="24"/>
      <c r="K11801" s="24"/>
      <c r="L11801" s="24"/>
      <c r="M11801" s="24"/>
      <c r="N11801" s="24"/>
      <c r="O11801" s="24"/>
      <c r="P11801" s="24"/>
      <c r="Q11801" s="24"/>
      <c r="R11801" s="24"/>
      <c r="S11801" s="24"/>
      <c r="T11801" s="24"/>
      <c r="U11801" s="24"/>
      <c r="V11801" s="24"/>
      <c r="W11801" s="24"/>
      <c r="X11801" s="24"/>
      <c r="Y11801" s="24"/>
      <c r="Z11801" s="24"/>
      <c r="AA11801" s="24"/>
    </row>
    <row r="11802">
      <c r="A11802" s="24"/>
      <c r="B11802" s="25"/>
      <c r="C11802" s="24"/>
      <c r="D11802" s="26"/>
      <c r="E11802" s="24"/>
      <c r="F11802" s="24"/>
      <c r="G11802" s="24"/>
      <c r="H11802" s="24"/>
      <c r="I11802" s="24"/>
      <c r="J11802" s="24"/>
      <c r="K11802" s="24"/>
      <c r="L11802" s="24"/>
      <c r="M11802" s="24"/>
      <c r="N11802" s="24"/>
      <c r="O11802" s="24"/>
      <c r="P11802" s="24"/>
      <c r="Q11802" s="24"/>
      <c r="R11802" s="24"/>
      <c r="S11802" s="24"/>
      <c r="T11802" s="24"/>
      <c r="U11802" s="24"/>
      <c r="V11802" s="24"/>
      <c r="W11802" s="24"/>
      <c r="X11802" s="24"/>
      <c r="Y11802" s="24"/>
      <c r="Z11802" s="24"/>
      <c r="AA11802" s="24"/>
    </row>
    <row r="11803">
      <c r="A11803" s="24"/>
      <c r="B11803" s="25"/>
      <c r="C11803" s="24"/>
      <c r="D11803" s="26"/>
      <c r="E11803" s="24"/>
      <c r="F11803" s="24"/>
      <c r="G11803" s="24"/>
      <c r="H11803" s="24"/>
      <c r="I11803" s="24"/>
      <c r="J11803" s="24"/>
      <c r="K11803" s="24"/>
      <c r="L11803" s="24"/>
      <c r="M11803" s="24"/>
      <c r="N11803" s="24"/>
      <c r="O11803" s="24"/>
      <c r="P11803" s="24"/>
      <c r="Q11803" s="24"/>
      <c r="R11803" s="24"/>
      <c r="S11803" s="24"/>
      <c r="T11803" s="24"/>
      <c r="U11803" s="24"/>
      <c r="V11803" s="24"/>
      <c r="W11803" s="24"/>
      <c r="X11803" s="24"/>
      <c r="Y11803" s="24"/>
      <c r="Z11803" s="24"/>
      <c r="AA11803" s="24"/>
    </row>
    <row r="11804">
      <c r="A11804" s="24"/>
      <c r="B11804" s="25"/>
      <c r="C11804" s="24"/>
      <c r="D11804" s="26"/>
      <c r="E11804" s="24"/>
      <c r="F11804" s="24"/>
      <c r="G11804" s="24"/>
      <c r="H11804" s="24"/>
      <c r="I11804" s="24"/>
      <c r="J11804" s="24"/>
      <c r="K11804" s="24"/>
      <c r="L11804" s="24"/>
      <c r="M11804" s="24"/>
      <c r="N11804" s="24"/>
      <c r="O11804" s="24"/>
      <c r="P11804" s="24"/>
      <c r="Q11804" s="24"/>
      <c r="R11804" s="24"/>
      <c r="S11804" s="24"/>
      <c r="T11804" s="24"/>
      <c r="U11804" s="24"/>
      <c r="V11804" s="24"/>
      <c r="W11804" s="24"/>
      <c r="X11804" s="24"/>
      <c r="Y11804" s="24"/>
      <c r="Z11804" s="24"/>
      <c r="AA11804" s="24"/>
    </row>
    <row r="11805">
      <c r="A11805" s="24"/>
      <c r="B11805" s="25"/>
      <c r="C11805" s="24"/>
      <c r="D11805" s="26"/>
      <c r="E11805" s="24"/>
      <c r="F11805" s="24"/>
      <c r="G11805" s="24"/>
      <c r="H11805" s="24"/>
      <c r="I11805" s="24"/>
      <c r="J11805" s="24"/>
      <c r="K11805" s="24"/>
      <c r="L11805" s="24"/>
      <c r="M11805" s="24"/>
      <c r="N11805" s="24"/>
      <c r="O11805" s="24"/>
      <c r="P11805" s="24"/>
      <c r="Q11805" s="24"/>
      <c r="R11805" s="24"/>
      <c r="S11805" s="24"/>
      <c r="T11805" s="24"/>
      <c r="U11805" s="24"/>
      <c r="V11805" s="24"/>
      <c r="W11805" s="24"/>
      <c r="X11805" s="24"/>
      <c r="Y11805" s="24"/>
      <c r="Z11805" s="24"/>
      <c r="AA11805" s="24"/>
    </row>
    <row r="11806">
      <c r="A11806" s="24"/>
      <c r="B11806" s="25"/>
      <c r="C11806" s="24"/>
      <c r="D11806" s="26"/>
      <c r="E11806" s="24"/>
      <c r="F11806" s="24"/>
      <c r="G11806" s="24"/>
      <c r="H11806" s="24"/>
      <c r="I11806" s="24"/>
      <c r="J11806" s="24"/>
      <c r="K11806" s="24"/>
      <c r="L11806" s="24"/>
      <c r="M11806" s="24"/>
      <c r="N11806" s="24"/>
      <c r="O11806" s="24"/>
      <c r="P11806" s="24"/>
      <c r="Q11806" s="24"/>
      <c r="R11806" s="24"/>
      <c r="S11806" s="24"/>
      <c r="T11806" s="24"/>
      <c r="U11806" s="24"/>
      <c r="V11806" s="24"/>
      <c r="W11806" s="24"/>
      <c r="X11806" s="24"/>
      <c r="Y11806" s="24"/>
      <c r="Z11806" s="24"/>
      <c r="AA11806" s="24"/>
    </row>
    <row r="11807">
      <c r="A11807" s="24"/>
      <c r="B11807" s="25"/>
      <c r="C11807" s="24"/>
      <c r="D11807" s="26"/>
      <c r="E11807" s="24"/>
      <c r="F11807" s="24"/>
      <c r="G11807" s="24"/>
      <c r="H11807" s="24"/>
      <c r="I11807" s="24"/>
      <c r="J11807" s="24"/>
      <c r="K11807" s="24"/>
      <c r="L11807" s="24"/>
      <c r="M11807" s="24"/>
      <c r="N11807" s="24"/>
      <c r="O11807" s="24"/>
      <c r="P11807" s="24"/>
      <c r="Q11807" s="24"/>
      <c r="R11807" s="24"/>
      <c r="S11807" s="24"/>
      <c r="T11807" s="24"/>
      <c r="U11807" s="24"/>
      <c r="V11807" s="24"/>
      <c r="W11807" s="24"/>
      <c r="X11807" s="24"/>
      <c r="Y11807" s="24"/>
      <c r="Z11807" s="24"/>
      <c r="AA11807" s="24"/>
    </row>
    <row r="11808">
      <c r="A11808" s="24"/>
      <c r="B11808" s="25"/>
      <c r="C11808" s="24"/>
      <c r="D11808" s="26"/>
      <c r="E11808" s="24"/>
      <c r="F11808" s="24"/>
      <c r="G11808" s="24"/>
      <c r="H11808" s="24"/>
      <c r="I11808" s="24"/>
      <c r="J11808" s="24"/>
      <c r="K11808" s="24"/>
      <c r="L11808" s="24"/>
      <c r="M11808" s="24"/>
      <c r="N11808" s="24"/>
      <c r="O11808" s="24"/>
      <c r="P11808" s="24"/>
      <c r="Q11808" s="24"/>
      <c r="R11808" s="24"/>
      <c r="S11808" s="24"/>
      <c r="T11808" s="24"/>
      <c r="U11808" s="24"/>
      <c r="V11808" s="24"/>
      <c r="W11808" s="24"/>
      <c r="X11808" s="24"/>
      <c r="Y11808" s="24"/>
      <c r="Z11808" s="24"/>
      <c r="AA11808" s="24"/>
    </row>
    <row r="11809">
      <c r="A11809" s="24"/>
      <c r="B11809" s="25"/>
      <c r="C11809" s="24"/>
      <c r="D11809" s="26"/>
      <c r="E11809" s="24"/>
      <c r="F11809" s="24"/>
      <c r="G11809" s="24"/>
      <c r="H11809" s="24"/>
      <c r="I11809" s="24"/>
      <c r="J11809" s="24"/>
      <c r="K11809" s="24"/>
      <c r="L11809" s="24"/>
      <c r="M11809" s="24"/>
      <c r="N11809" s="24"/>
      <c r="O11809" s="24"/>
      <c r="P11809" s="24"/>
      <c r="Q11809" s="24"/>
      <c r="R11809" s="24"/>
      <c r="S11809" s="24"/>
      <c r="T11809" s="24"/>
      <c r="U11809" s="24"/>
      <c r="V11809" s="24"/>
      <c r="W11809" s="24"/>
      <c r="X11809" s="24"/>
      <c r="Y11809" s="24"/>
      <c r="Z11809" s="24"/>
      <c r="AA11809" s="24"/>
    </row>
    <row r="11810">
      <c r="A11810" s="24"/>
      <c r="B11810" s="25"/>
      <c r="C11810" s="24"/>
      <c r="D11810" s="26"/>
      <c r="E11810" s="24"/>
      <c r="F11810" s="24"/>
      <c r="G11810" s="24"/>
      <c r="H11810" s="24"/>
      <c r="I11810" s="24"/>
      <c r="J11810" s="24"/>
      <c r="K11810" s="24"/>
      <c r="L11810" s="24"/>
      <c r="M11810" s="24"/>
      <c r="N11810" s="24"/>
      <c r="O11810" s="24"/>
      <c r="P11810" s="24"/>
      <c r="Q11810" s="24"/>
      <c r="R11810" s="24"/>
      <c r="S11810" s="24"/>
      <c r="T11810" s="24"/>
      <c r="U11810" s="24"/>
      <c r="V11810" s="24"/>
      <c r="W11810" s="24"/>
      <c r="X11810" s="24"/>
      <c r="Y11810" s="24"/>
      <c r="Z11810" s="24"/>
      <c r="AA11810" s="24"/>
    </row>
    <row r="11811">
      <c r="A11811" s="24"/>
      <c r="B11811" s="25"/>
      <c r="C11811" s="24"/>
      <c r="D11811" s="26"/>
      <c r="E11811" s="24"/>
      <c r="F11811" s="24"/>
      <c r="G11811" s="24"/>
      <c r="H11811" s="24"/>
      <c r="I11811" s="24"/>
      <c r="J11811" s="24"/>
      <c r="K11811" s="24"/>
      <c r="L11811" s="24"/>
      <c r="M11811" s="24"/>
      <c r="N11811" s="24"/>
      <c r="O11811" s="24"/>
      <c r="P11811" s="24"/>
      <c r="Q11811" s="24"/>
      <c r="R11811" s="24"/>
      <c r="S11811" s="24"/>
      <c r="T11811" s="24"/>
      <c r="U11811" s="24"/>
      <c r="V11811" s="24"/>
      <c r="W11811" s="24"/>
      <c r="X11811" s="24"/>
      <c r="Y11811" s="24"/>
      <c r="Z11811" s="24"/>
      <c r="AA11811" s="24"/>
    </row>
    <row r="11812">
      <c r="A11812" s="24"/>
      <c r="B11812" s="25"/>
      <c r="C11812" s="24"/>
      <c r="D11812" s="26"/>
      <c r="E11812" s="24"/>
      <c r="F11812" s="24"/>
      <c r="G11812" s="24"/>
      <c r="H11812" s="24"/>
      <c r="I11812" s="24"/>
      <c r="J11812" s="24"/>
      <c r="K11812" s="24"/>
      <c r="L11812" s="24"/>
      <c r="M11812" s="24"/>
      <c r="N11812" s="24"/>
      <c r="O11812" s="24"/>
      <c r="P11812" s="24"/>
      <c r="Q11812" s="24"/>
      <c r="R11812" s="24"/>
      <c r="S11812" s="24"/>
      <c r="T11812" s="24"/>
      <c r="U11812" s="24"/>
      <c r="V11812" s="24"/>
      <c r="W11812" s="24"/>
      <c r="X11812" s="24"/>
      <c r="Y11812" s="24"/>
      <c r="Z11812" s="24"/>
      <c r="AA11812" s="24"/>
    </row>
    <row r="11813">
      <c r="A11813" s="24"/>
      <c r="B11813" s="25"/>
      <c r="C11813" s="24"/>
      <c r="D11813" s="26"/>
      <c r="E11813" s="24"/>
      <c r="F11813" s="24"/>
      <c r="G11813" s="24"/>
      <c r="H11813" s="24"/>
      <c r="I11813" s="24"/>
      <c r="J11813" s="24"/>
      <c r="K11813" s="24"/>
      <c r="L11813" s="24"/>
      <c r="M11813" s="24"/>
      <c r="N11813" s="24"/>
      <c r="O11813" s="24"/>
      <c r="P11813" s="24"/>
      <c r="Q11813" s="24"/>
      <c r="R11813" s="24"/>
      <c r="S11813" s="24"/>
      <c r="T11813" s="24"/>
      <c r="U11813" s="24"/>
      <c r="V11813" s="24"/>
      <c r="W11813" s="24"/>
      <c r="X11813" s="24"/>
      <c r="Y11813" s="24"/>
      <c r="Z11813" s="24"/>
      <c r="AA11813" s="24"/>
    </row>
    <row r="11814">
      <c r="A11814" s="24"/>
      <c r="B11814" s="25"/>
      <c r="C11814" s="24"/>
      <c r="D11814" s="26"/>
      <c r="E11814" s="24"/>
      <c r="F11814" s="24"/>
      <c r="G11814" s="24"/>
      <c r="H11814" s="24"/>
      <c r="I11814" s="24"/>
      <c r="J11814" s="24"/>
      <c r="K11814" s="24"/>
      <c r="L11814" s="24"/>
      <c r="M11814" s="24"/>
      <c r="N11814" s="24"/>
      <c r="O11814" s="24"/>
      <c r="P11814" s="24"/>
      <c r="Q11814" s="24"/>
      <c r="R11814" s="24"/>
      <c r="S11814" s="24"/>
      <c r="T11814" s="24"/>
      <c r="U11814" s="24"/>
      <c r="V11814" s="24"/>
      <c r="W11814" s="24"/>
      <c r="X11814" s="24"/>
      <c r="Y11814" s="24"/>
      <c r="Z11814" s="24"/>
      <c r="AA11814" s="24"/>
    </row>
    <row r="11815">
      <c r="A11815" s="24"/>
      <c r="B11815" s="25"/>
      <c r="C11815" s="24"/>
      <c r="D11815" s="26"/>
      <c r="E11815" s="24"/>
      <c r="F11815" s="24"/>
      <c r="G11815" s="24"/>
      <c r="H11815" s="24"/>
      <c r="I11815" s="24"/>
      <c r="J11815" s="24"/>
      <c r="K11815" s="24"/>
      <c r="L11815" s="24"/>
      <c r="M11815" s="24"/>
      <c r="N11815" s="24"/>
      <c r="O11815" s="24"/>
      <c r="P11815" s="24"/>
      <c r="Q11815" s="24"/>
      <c r="R11815" s="24"/>
      <c r="S11815" s="24"/>
      <c r="T11815" s="24"/>
      <c r="U11815" s="24"/>
      <c r="V11815" s="24"/>
      <c r="W11815" s="24"/>
      <c r="X11815" s="24"/>
      <c r="Y11815" s="24"/>
      <c r="Z11815" s="24"/>
      <c r="AA11815" s="24"/>
    </row>
    <row r="11816">
      <c r="A11816" s="24"/>
      <c r="B11816" s="25"/>
      <c r="C11816" s="24"/>
      <c r="D11816" s="26"/>
      <c r="E11816" s="24"/>
      <c r="F11816" s="24"/>
      <c r="G11816" s="24"/>
      <c r="H11816" s="24"/>
      <c r="I11816" s="24"/>
      <c r="J11816" s="24"/>
      <c r="K11816" s="24"/>
      <c r="L11816" s="24"/>
      <c r="M11816" s="24"/>
      <c r="N11816" s="24"/>
      <c r="O11816" s="24"/>
      <c r="P11816" s="24"/>
      <c r="Q11816" s="24"/>
      <c r="R11816" s="24"/>
      <c r="S11816" s="24"/>
      <c r="T11816" s="24"/>
      <c r="U11816" s="24"/>
      <c r="V11816" s="24"/>
      <c r="W11816" s="24"/>
      <c r="X11816" s="24"/>
      <c r="Y11816" s="24"/>
      <c r="Z11816" s="24"/>
      <c r="AA11816" s="24"/>
    </row>
    <row r="11817">
      <c r="A11817" s="24"/>
      <c r="B11817" s="25"/>
      <c r="C11817" s="24"/>
      <c r="D11817" s="26"/>
      <c r="E11817" s="24"/>
      <c r="F11817" s="24"/>
      <c r="G11817" s="24"/>
      <c r="H11817" s="24"/>
      <c r="I11817" s="24"/>
      <c r="J11817" s="24"/>
      <c r="K11817" s="24"/>
      <c r="L11817" s="24"/>
      <c r="M11817" s="24"/>
      <c r="N11817" s="24"/>
      <c r="O11817" s="24"/>
      <c r="P11817" s="24"/>
      <c r="Q11817" s="24"/>
      <c r="R11817" s="24"/>
      <c r="S11817" s="24"/>
      <c r="T11817" s="24"/>
      <c r="U11817" s="24"/>
      <c r="V11817" s="24"/>
      <c r="W11817" s="24"/>
      <c r="X11817" s="24"/>
      <c r="Y11817" s="24"/>
      <c r="Z11817" s="24"/>
      <c r="AA11817" s="24"/>
    </row>
    <row r="11818">
      <c r="A11818" s="24"/>
      <c r="B11818" s="25"/>
      <c r="C11818" s="24"/>
      <c r="D11818" s="26"/>
      <c r="E11818" s="24"/>
      <c r="F11818" s="24"/>
      <c r="G11818" s="24"/>
      <c r="H11818" s="24"/>
      <c r="I11818" s="24"/>
      <c r="J11818" s="24"/>
      <c r="K11818" s="24"/>
      <c r="L11818" s="24"/>
      <c r="M11818" s="24"/>
      <c r="N11818" s="24"/>
      <c r="O11818" s="24"/>
      <c r="P11818" s="24"/>
      <c r="Q11818" s="24"/>
      <c r="R11818" s="24"/>
      <c r="S11818" s="24"/>
      <c r="T11818" s="24"/>
      <c r="U11818" s="24"/>
      <c r="V11818" s="24"/>
      <c r="W11818" s="24"/>
      <c r="X11818" s="24"/>
      <c r="Y11818" s="24"/>
      <c r="Z11818" s="24"/>
      <c r="AA11818" s="24"/>
    </row>
    <row r="11819">
      <c r="A11819" s="24"/>
      <c r="B11819" s="25"/>
      <c r="C11819" s="24"/>
      <c r="D11819" s="26"/>
      <c r="E11819" s="24"/>
      <c r="F11819" s="24"/>
      <c r="G11819" s="24"/>
      <c r="H11819" s="24"/>
      <c r="I11819" s="24"/>
      <c r="J11819" s="24"/>
      <c r="K11819" s="24"/>
      <c r="L11819" s="24"/>
      <c r="M11819" s="24"/>
      <c r="N11819" s="24"/>
      <c r="O11819" s="24"/>
      <c r="P11819" s="24"/>
      <c r="Q11819" s="24"/>
      <c r="R11819" s="24"/>
      <c r="S11819" s="24"/>
      <c r="T11819" s="24"/>
      <c r="U11819" s="24"/>
      <c r="V11819" s="24"/>
      <c r="W11819" s="24"/>
      <c r="X11819" s="24"/>
      <c r="Y11819" s="24"/>
      <c r="Z11819" s="24"/>
      <c r="AA11819" s="24"/>
    </row>
    <row r="11820">
      <c r="A11820" s="24"/>
      <c r="B11820" s="25"/>
      <c r="C11820" s="24"/>
      <c r="D11820" s="26"/>
      <c r="E11820" s="24"/>
      <c r="F11820" s="24"/>
      <c r="G11820" s="24"/>
      <c r="H11820" s="24"/>
      <c r="I11820" s="24"/>
      <c r="J11820" s="24"/>
      <c r="K11820" s="24"/>
      <c r="L11820" s="24"/>
      <c r="M11820" s="24"/>
      <c r="N11820" s="24"/>
      <c r="O11820" s="24"/>
      <c r="P11820" s="24"/>
      <c r="Q11820" s="24"/>
      <c r="R11820" s="24"/>
      <c r="S11820" s="24"/>
      <c r="T11820" s="24"/>
      <c r="U11820" s="24"/>
      <c r="V11820" s="24"/>
      <c r="W11820" s="24"/>
      <c r="X11820" s="24"/>
      <c r="Y11820" s="24"/>
      <c r="Z11820" s="24"/>
      <c r="AA11820" s="24"/>
    </row>
    <row r="11821">
      <c r="A11821" s="24"/>
      <c r="B11821" s="25"/>
      <c r="C11821" s="24"/>
      <c r="D11821" s="26"/>
      <c r="E11821" s="24"/>
      <c r="F11821" s="24"/>
      <c r="G11821" s="24"/>
      <c r="H11821" s="24"/>
      <c r="I11821" s="24"/>
      <c r="J11821" s="24"/>
      <c r="K11821" s="24"/>
      <c r="L11821" s="24"/>
      <c r="M11821" s="24"/>
      <c r="N11821" s="24"/>
      <c r="O11821" s="24"/>
      <c r="P11821" s="24"/>
      <c r="Q11821" s="24"/>
      <c r="R11821" s="24"/>
      <c r="S11821" s="24"/>
      <c r="T11821" s="24"/>
      <c r="U11821" s="24"/>
      <c r="V11821" s="24"/>
      <c r="W11821" s="24"/>
      <c r="X11821" s="24"/>
      <c r="Y11821" s="24"/>
      <c r="Z11821" s="24"/>
      <c r="AA11821" s="24"/>
    </row>
    <row r="11822">
      <c r="A11822" s="24"/>
      <c r="B11822" s="25"/>
      <c r="C11822" s="24"/>
      <c r="D11822" s="26"/>
      <c r="E11822" s="24"/>
      <c r="F11822" s="24"/>
      <c r="G11822" s="24"/>
      <c r="H11822" s="24"/>
      <c r="I11822" s="24"/>
      <c r="J11822" s="24"/>
      <c r="K11822" s="24"/>
      <c r="L11822" s="24"/>
      <c r="M11822" s="24"/>
      <c r="N11822" s="24"/>
      <c r="O11822" s="24"/>
      <c r="P11822" s="24"/>
      <c r="Q11822" s="24"/>
      <c r="R11822" s="24"/>
      <c r="S11822" s="24"/>
      <c r="T11822" s="24"/>
      <c r="U11822" s="24"/>
      <c r="V11822" s="24"/>
      <c r="W11822" s="24"/>
      <c r="X11822" s="24"/>
      <c r="Y11822" s="24"/>
      <c r="Z11822" s="24"/>
      <c r="AA11822" s="24"/>
    </row>
    <row r="11823">
      <c r="A11823" s="24"/>
      <c r="B11823" s="25"/>
      <c r="C11823" s="24"/>
      <c r="D11823" s="26"/>
      <c r="E11823" s="24"/>
      <c r="F11823" s="24"/>
      <c r="G11823" s="24"/>
      <c r="H11823" s="24"/>
      <c r="I11823" s="24"/>
      <c r="J11823" s="24"/>
      <c r="K11823" s="24"/>
      <c r="L11823" s="24"/>
      <c r="M11823" s="24"/>
      <c r="N11823" s="24"/>
      <c r="O11823" s="24"/>
      <c r="P11823" s="24"/>
      <c r="Q11823" s="24"/>
      <c r="R11823" s="24"/>
      <c r="S11823" s="24"/>
      <c r="T11823" s="24"/>
      <c r="U11823" s="24"/>
      <c r="V11823" s="24"/>
      <c r="W11823" s="24"/>
      <c r="X11823" s="24"/>
      <c r="Y11823" s="24"/>
      <c r="Z11823" s="24"/>
      <c r="AA11823" s="24"/>
    </row>
    <row r="11824">
      <c r="A11824" s="24"/>
      <c r="B11824" s="25"/>
      <c r="C11824" s="24"/>
      <c r="D11824" s="26"/>
      <c r="E11824" s="24"/>
      <c r="F11824" s="24"/>
      <c r="G11824" s="24"/>
      <c r="H11824" s="24"/>
      <c r="I11824" s="24"/>
      <c r="J11824" s="24"/>
      <c r="K11824" s="24"/>
      <c r="L11824" s="24"/>
      <c r="M11824" s="24"/>
      <c r="N11824" s="24"/>
      <c r="O11824" s="24"/>
      <c r="P11824" s="24"/>
      <c r="Q11824" s="24"/>
      <c r="R11824" s="24"/>
      <c r="S11824" s="24"/>
      <c r="T11824" s="24"/>
      <c r="U11824" s="24"/>
      <c r="V11824" s="24"/>
      <c r="W11824" s="24"/>
      <c r="X11824" s="24"/>
      <c r="Y11824" s="24"/>
      <c r="Z11824" s="24"/>
      <c r="AA11824" s="24"/>
    </row>
    <row r="11825">
      <c r="A11825" s="24"/>
      <c r="B11825" s="25"/>
      <c r="C11825" s="24"/>
      <c r="D11825" s="26"/>
      <c r="E11825" s="24"/>
      <c r="F11825" s="24"/>
      <c r="G11825" s="24"/>
      <c r="H11825" s="24"/>
      <c r="I11825" s="24"/>
      <c r="J11825" s="24"/>
      <c r="K11825" s="24"/>
      <c r="L11825" s="24"/>
      <c r="M11825" s="24"/>
      <c r="N11825" s="24"/>
      <c r="O11825" s="24"/>
      <c r="P11825" s="24"/>
      <c r="Q11825" s="24"/>
      <c r="R11825" s="24"/>
      <c r="S11825" s="24"/>
      <c r="T11825" s="24"/>
      <c r="U11825" s="24"/>
      <c r="V11825" s="24"/>
      <c r="W11825" s="24"/>
      <c r="X11825" s="24"/>
      <c r="Y11825" s="24"/>
      <c r="Z11825" s="24"/>
      <c r="AA11825" s="24"/>
    </row>
    <row r="11826">
      <c r="A11826" s="24"/>
      <c r="B11826" s="25"/>
      <c r="C11826" s="24"/>
      <c r="D11826" s="26"/>
      <c r="E11826" s="24"/>
      <c r="F11826" s="24"/>
      <c r="G11826" s="24"/>
      <c r="H11826" s="24"/>
      <c r="I11826" s="24"/>
      <c r="J11826" s="24"/>
      <c r="K11826" s="24"/>
      <c r="L11826" s="24"/>
      <c r="M11826" s="24"/>
      <c r="N11826" s="24"/>
      <c r="O11826" s="24"/>
      <c r="P11826" s="24"/>
      <c r="Q11826" s="24"/>
      <c r="R11826" s="24"/>
      <c r="S11826" s="24"/>
      <c r="T11826" s="24"/>
      <c r="U11826" s="24"/>
      <c r="V11826" s="24"/>
      <c r="W11826" s="24"/>
      <c r="X11826" s="24"/>
      <c r="Y11826" s="24"/>
      <c r="Z11826" s="24"/>
      <c r="AA11826" s="24"/>
    </row>
    <row r="11827">
      <c r="A11827" s="24"/>
      <c r="B11827" s="25"/>
      <c r="C11827" s="24"/>
      <c r="D11827" s="26"/>
      <c r="E11827" s="24"/>
      <c r="F11827" s="24"/>
      <c r="G11827" s="24"/>
      <c r="H11827" s="24"/>
      <c r="I11827" s="24"/>
      <c r="J11827" s="24"/>
      <c r="K11827" s="24"/>
      <c r="L11827" s="24"/>
      <c r="M11827" s="24"/>
      <c r="N11827" s="24"/>
      <c r="O11827" s="24"/>
      <c r="P11827" s="24"/>
      <c r="Q11827" s="24"/>
      <c r="R11827" s="24"/>
      <c r="S11827" s="24"/>
      <c r="T11827" s="24"/>
      <c r="U11827" s="24"/>
      <c r="V11827" s="24"/>
      <c r="W11827" s="24"/>
      <c r="X11827" s="24"/>
      <c r="Y11827" s="24"/>
      <c r="Z11827" s="24"/>
      <c r="AA11827" s="24"/>
    </row>
    <row r="11828">
      <c r="A11828" s="24"/>
      <c r="B11828" s="25"/>
      <c r="C11828" s="24"/>
      <c r="D11828" s="26"/>
      <c r="E11828" s="24"/>
      <c r="F11828" s="24"/>
      <c r="G11828" s="24"/>
      <c r="H11828" s="24"/>
      <c r="I11828" s="24"/>
      <c r="J11828" s="24"/>
      <c r="K11828" s="24"/>
      <c r="L11828" s="24"/>
      <c r="M11828" s="24"/>
      <c r="N11828" s="24"/>
      <c r="O11828" s="24"/>
      <c r="P11828" s="24"/>
      <c r="Q11828" s="24"/>
      <c r="R11828" s="24"/>
      <c r="S11828" s="24"/>
      <c r="T11828" s="24"/>
      <c r="U11828" s="24"/>
      <c r="V11828" s="24"/>
      <c r="W11828" s="24"/>
      <c r="X11828" s="24"/>
      <c r="Y11828" s="24"/>
      <c r="Z11828" s="24"/>
      <c r="AA11828" s="24"/>
    </row>
    <row r="11829">
      <c r="A11829" s="24"/>
      <c r="B11829" s="25"/>
      <c r="C11829" s="24"/>
      <c r="D11829" s="26"/>
      <c r="E11829" s="24"/>
      <c r="F11829" s="24"/>
      <c r="G11829" s="24"/>
      <c r="H11829" s="24"/>
      <c r="I11829" s="24"/>
      <c r="J11829" s="24"/>
      <c r="K11829" s="24"/>
      <c r="L11829" s="24"/>
      <c r="M11829" s="24"/>
      <c r="N11829" s="24"/>
      <c r="O11829" s="24"/>
      <c r="P11829" s="24"/>
      <c r="Q11829" s="24"/>
      <c r="R11829" s="24"/>
      <c r="S11829" s="24"/>
      <c r="T11829" s="24"/>
      <c r="U11829" s="24"/>
      <c r="V11829" s="24"/>
      <c r="W11829" s="24"/>
      <c r="X11829" s="24"/>
      <c r="Y11829" s="24"/>
      <c r="Z11829" s="24"/>
      <c r="AA11829" s="24"/>
    </row>
    <row r="11830">
      <c r="A11830" s="24"/>
      <c r="B11830" s="25"/>
      <c r="C11830" s="24"/>
      <c r="D11830" s="26"/>
      <c r="E11830" s="24"/>
      <c r="F11830" s="24"/>
      <c r="G11830" s="24"/>
      <c r="H11830" s="24"/>
      <c r="I11830" s="24"/>
      <c r="J11830" s="24"/>
      <c r="K11830" s="24"/>
      <c r="L11830" s="24"/>
      <c r="M11830" s="24"/>
      <c r="N11830" s="24"/>
      <c r="O11830" s="24"/>
      <c r="P11830" s="24"/>
      <c r="Q11830" s="24"/>
      <c r="R11830" s="24"/>
      <c r="S11830" s="24"/>
      <c r="T11830" s="24"/>
      <c r="U11830" s="24"/>
      <c r="V11830" s="24"/>
      <c r="W11830" s="24"/>
      <c r="X11830" s="24"/>
      <c r="Y11830" s="24"/>
      <c r="Z11830" s="24"/>
      <c r="AA11830" s="24"/>
    </row>
    <row r="11831">
      <c r="A11831" s="24"/>
      <c r="B11831" s="25"/>
      <c r="C11831" s="24"/>
      <c r="D11831" s="26"/>
      <c r="E11831" s="24"/>
      <c r="F11831" s="24"/>
      <c r="G11831" s="24"/>
      <c r="H11831" s="24"/>
      <c r="I11831" s="24"/>
      <c r="J11831" s="24"/>
      <c r="K11831" s="24"/>
      <c r="L11831" s="24"/>
      <c r="M11831" s="24"/>
      <c r="N11831" s="24"/>
      <c r="O11831" s="24"/>
      <c r="P11831" s="24"/>
      <c r="Q11831" s="24"/>
      <c r="R11831" s="24"/>
      <c r="S11831" s="24"/>
      <c r="T11831" s="24"/>
      <c r="U11831" s="24"/>
      <c r="V11831" s="24"/>
      <c r="W11831" s="24"/>
      <c r="X11831" s="24"/>
      <c r="Y11831" s="24"/>
      <c r="Z11831" s="24"/>
      <c r="AA11831" s="24"/>
    </row>
    <row r="11832">
      <c r="A11832" s="24"/>
      <c r="B11832" s="25"/>
      <c r="C11832" s="24"/>
      <c r="D11832" s="26"/>
      <c r="E11832" s="24"/>
      <c r="F11832" s="24"/>
      <c r="G11832" s="24"/>
      <c r="H11832" s="24"/>
      <c r="I11832" s="24"/>
      <c r="J11832" s="24"/>
      <c r="K11832" s="24"/>
      <c r="L11832" s="24"/>
      <c r="M11832" s="24"/>
      <c r="N11832" s="24"/>
      <c r="O11832" s="24"/>
      <c r="P11832" s="24"/>
      <c r="Q11832" s="24"/>
      <c r="R11832" s="24"/>
      <c r="S11832" s="24"/>
      <c r="T11832" s="24"/>
      <c r="U11832" s="24"/>
      <c r="V11832" s="24"/>
      <c r="W11832" s="24"/>
      <c r="X11832" s="24"/>
      <c r="Y11832" s="24"/>
      <c r="Z11832" s="24"/>
      <c r="AA11832" s="24"/>
    </row>
    <row r="11833">
      <c r="A11833" s="24"/>
      <c r="B11833" s="25"/>
      <c r="C11833" s="24"/>
      <c r="D11833" s="26"/>
      <c r="E11833" s="24"/>
      <c r="F11833" s="24"/>
      <c r="G11833" s="24"/>
      <c r="H11833" s="24"/>
      <c r="I11833" s="24"/>
      <c r="J11833" s="24"/>
      <c r="K11833" s="24"/>
      <c r="L11833" s="24"/>
      <c r="M11833" s="24"/>
      <c r="N11833" s="24"/>
      <c r="O11833" s="24"/>
      <c r="P11833" s="24"/>
      <c r="Q11833" s="24"/>
      <c r="R11833" s="24"/>
      <c r="S11833" s="24"/>
      <c r="T11833" s="24"/>
      <c r="U11833" s="24"/>
      <c r="V11833" s="24"/>
      <c r="W11833" s="24"/>
      <c r="X11833" s="24"/>
      <c r="Y11833" s="24"/>
      <c r="Z11833" s="24"/>
      <c r="AA11833" s="24"/>
    </row>
    <row r="11834">
      <c r="A11834" s="24"/>
      <c r="B11834" s="25"/>
      <c r="C11834" s="24"/>
      <c r="D11834" s="26"/>
      <c r="E11834" s="24"/>
      <c r="F11834" s="24"/>
      <c r="G11834" s="24"/>
      <c r="H11834" s="24"/>
      <c r="I11834" s="24"/>
      <c r="J11834" s="24"/>
      <c r="K11834" s="24"/>
      <c r="L11834" s="24"/>
      <c r="M11834" s="24"/>
      <c r="N11834" s="24"/>
      <c r="O11834" s="24"/>
      <c r="P11834" s="24"/>
      <c r="Q11834" s="24"/>
      <c r="R11834" s="24"/>
      <c r="S11834" s="24"/>
      <c r="T11834" s="24"/>
      <c r="U11834" s="24"/>
      <c r="V11834" s="24"/>
      <c r="W11834" s="24"/>
      <c r="X11834" s="24"/>
      <c r="Y11834" s="24"/>
      <c r="Z11834" s="24"/>
      <c r="AA11834" s="24"/>
    </row>
    <row r="11835">
      <c r="A11835" s="24"/>
      <c r="B11835" s="25"/>
      <c r="C11835" s="24"/>
      <c r="D11835" s="26"/>
      <c r="E11835" s="24"/>
      <c r="F11835" s="24"/>
      <c r="G11835" s="24"/>
      <c r="H11835" s="24"/>
      <c r="I11835" s="24"/>
      <c r="J11835" s="24"/>
      <c r="K11835" s="24"/>
      <c r="L11835" s="24"/>
      <c r="M11835" s="24"/>
      <c r="N11835" s="24"/>
      <c r="O11835" s="24"/>
      <c r="P11835" s="24"/>
      <c r="Q11835" s="24"/>
      <c r="R11835" s="24"/>
      <c r="S11835" s="24"/>
      <c r="T11835" s="24"/>
      <c r="U11835" s="24"/>
      <c r="V11835" s="24"/>
      <c r="W11835" s="24"/>
      <c r="X11835" s="24"/>
      <c r="Y11835" s="24"/>
      <c r="Z11835" s="24"/>
      <c r="AA11835" s="24"/>
    </row>
    <row r="11836">
      <c r="A11836" s="24"/>
      <c r="B11836" s="25"/>
      <c r="C11836" s="24"/>
      <c r="D11836" s="26"/>
      <c r="E11836" s="24"/>
      <c r="F11836" s="24"/>
      <c r="G11836" s="24"/>
      <c r="H11836" s="24"/>
      <c r="I11836" s="24"/>
      <c r="J11836" s="24"/>
      <c r="K11836" s="24"/>
      <c r="L11836" s="24"/>
      <c r="M11836" s="24"/>
      <c r="N11836" s="24"/>
      <c r="O11836" s="24"/>
      <c r="P11836" s="24"/>
      <c r="Q11836" s="24"/>
      <c r="R11836" s="24"/>
      <c r="S11836" s="24"/>
      <c r="T11836" s="24"/>
      <c r="U11836" s="24"/>
      <c r="V11836" s="24"/>
      <c r="W11836" s="24"/>
      <c r="X11836" s="24"/>
      <c r="Y11836" s="24"/>
      <c r="Z11836" s="24"/>
      <c r="AA11836" s="24"/>
    </row>
    <row r="11837">
      <c r="A11837" s="24"/>
      <c r="B11837" s="25"/>
      <c r="C11837" s="24"/>
      <c r="D11837" s="26"/>
      <c r="E11837" s="24"/>
      <c r="F11837" s="24"/>
      <c r="G11837" s="24"/>
      <c r="H11837" s="24"/>
      <c r="I11837" s="24"/>
      <c r="J11837" s="24"/>
      <c r="K11837" s="24"/>
      <c r="L11837" s="24"/>
      <c r="M11837" s="24"/>
      <c r="N11837" s="24"/>
      <c r="O11837" s="24"/>
      <c r="P11837" s="24"/>
      <c r="Q11837" s="24"/>
      <c r="R11837" s="24"/>
      <c r="S11837" s="24"/>
      <c r="T11837" s="24"/>
      <c r="U11837" s="24"/>
      <c r="V11837" s="24"/>
      <c r="W11837" s="24"/>
      <c r="X11837" s="24"/>
      <c r="Y11837" s="24"/>
      <c r="Z11837" s="24"/>
      <c r="AA11837" s="24"/>
    </row>
    <row r="11838">
      <c r="A11838" s="24"/>
      <c r="B11838" s="25"/>
      <c r="C11838" s="24"/>
      <c r="D11838" s="26"/>
      <c r="E11838" s="24"/>
      <c r="F11838" s="24"/>
      <c r="G11838" s="24"/>
      <c r="H11838" s="24"/>
      <c r="I11838" s="24"/>
      <c r="J11838" s="24"/>
      <c r="K11838" s="24"/>
      <c r="L11838" s="24"/>
      <c r="M11838" s="24"/>
      <c r="N11838" s="24"/>
      <c r="O11838" s="24"/>
      <c r="P11838" s="24"/>
      <c r="Q11838" s="24"/>
      <c r="R11838" s="24"/>
      <c r="S11838" s="24"/>
      <c r="T11838" s="24"/>
      <c r="U11838" s="24"/>
      <c r="V11838" s="24"/>
      <c r="W11838" s="24"/>
      <c r="X11838" s="24"/>
      <c r="Y11838" s="24"/>
      <c r="Z11838" s="24"/>
      <c r="AA11838" s="24"/>
    </row>
    <row r="11839">
      <c r="A11839" s="24"/>
      <c r="B11839" s="25"/>
      <c r="C11839" s="24"/>
      <c r="D11839" s="26"/>
      <c r="E11839" s="24"/>
      <c r="F11839" s="24"/>
      <c r="G11839" s="24"/>
      <c r="H11839" s="24"/>
      <c r="I11839" s="24"/>
      <c r="J11839" s="24"/>
      <c r="K11839" s="24"/>
      <c r="L11839" s="24"/>
      <c r="M11839" s="24"/>
      <c r="N11839" s="24"/>
      <c r="O11839" s="24"/>
      <c r="P11839" s="24"/>
      <c r="Q11839" s="24"/>
      <c r="R11839" s="24"/>
      <c r="S11839" s="24"/>
      <c r="T11839" s="24"/>
      <c r="U11839" s="24"/>
      <c r="V11839" s="24"/>
      <c r="W11839" s="24"/>
      <c r="X11839" s="24"/>
      <c r="Y11839" s="24"/>
      <c r="Z11839" s="24"/>
      <c r="AA11839" s="24"/>
    </row>
    <row r="11840">
      <c r="A11840" s="24"/>
      <c r="B11840" s="25"/>
      <c r="C11840" s="24"/>
      <c r="D11840" s="26"/>
      <c r="E11840" s="24"/>
      <c r="F11840" s="24"/>
      <c r="G11840" s="24"/>
      <c r="H11840" s="24"/>
      <c r="I11840" s="24"/>
      <c r="J11840" s="24"/>
      <c r="K11840" s="24"/>
      <c r="L11840" s="24"/>
      <c r="M11840" s="24"/>
      <c r="N11840" s="24"/>
      <c r="O11840" s="24"/>
      <c r="P11840" s="24"/>
      <c r="Q11840" s="24"/>
      <c r="R11840" s="24"/>
      <c r="S11840" s="24"/>
      <c r="T11840" s="24"/>
      <c r="U11840" s="24"/>
      <c r="V11840" s="24"/>
      <c r="W11840" s="24"/>
      <c r="X11840" s="24"/>
      <c r="Y11840" s="24"/>
      <c r="Z11840" s="24"/>
      <c r="AA11840" s="24"/>
    </row>
    <row r="11841">
      <c r="A11841" s="24"/>
      <c r="B11841" s="25"/>
      <c r="C11841" s="24"/>
      <c r="D11841" s="26"/>
      <c r="E11841" s="24"/>
      <c r="F11841" s="24"/>
      <c r="G11841" s="24"/>
      <c r="H11841" s="24"/>
      <c r="I11841" s="24"/>
      <c r="J11841" s="24"/>
      <c r="K11841" s="24"/>
      <c r="L11841" s="24"/>
      <c r="M11841" s="24"/>
      <c r="N11841" s="24"/>
      <c r="O11841" s="24"/>
      <c r="P11841" s="24"/>
      <c r="Q11841" s="24"/>
      <c r="R11841" s="24"/>
      <c r="S11841" s="24"/>
      <c r="T11841" s="24"/>
      <c r="U11841" s="24"/>
      <c r="V11841" s="24"/>
      <c r="W11841" s="24"/>
      <c r="X11841" s="24"/>
      <c r="Y11841" s="24"/>
      <c r="Z11841" s="24"/>
      <c r="AA11841" s="24"/>
    </row>
    <row r="11842">
      <c r="A11842" s="24"/>
      <c r="B11842" s="25"/>
      <c r="C11842" s="24"/>
      <c r="D11842" s="26"/>
      <c r="E11842" s="24"/>
      <c r="F11842" s="24"/>
      <c r="G11842" s="24"/>
      <c r="H11842" s="24"/>
      <c r="I11842" s="24"/>
      <c r="J11842" s="24"/>
      <c r="K11842" s="24"/>
      <c r="L11842" s="24"/>
      <c r="M11842" s="24"/>
      <c r="N11842" s="24"/>
      <c r="O11842" s="24"/>
      <c r="P11842" s="24"/>
      <c r="Q11842" s="24"/>
      <c r="R11842" s="24"/>
      <c r="S11842" s="24"/>
      <c r="T11842" s="24"/>
      <c r="U11842" s="24"/>
      <c r="V11842" s="24"/>
      <c r="W11842" s="24"/>
      <c r="X11842" s="24"/>
      <c r="Y11842" s="24"/>
      <c r="Z11842" s="24"/>
      <c r="AA11842" s="24"/>
    </row>
    <row r="11843">
      <c r="A11843" s="24"/>
      <c r="B11843" s="25"/>
      <c r="C11843" s="24"/>
      <c r="D11843" s="26"/>
      <c r="E11843" s="24"/>
      <c r="F11843" s="24"/>
      <c r="G11843" s="24"/>
      <c r="H11843" s="24"/>
      <c r="I11843" s="24"/>
      <c r="J11843" s="24"/>
      <c r="K11843" s="24"/>
      <c r="L11843" s="24"/>
      <c r="M11843" s="24"/>
      <c r="N11843" s="24"/>
      <c r="O11843" s="24"/>
      <c r="P11843" s="24"/>
      <c r="Q11843" s="24"/>
      <c r="R11843" s="24"/>
      <c r="S11843" s="24"/>
      <c r="T11843" s="24"/>
      <c r="U11843" s="24"/>
      <c r="V11843" s="24"/>
      <c r="W11843" s="24"/>
      <c r="X11843" s="24"/>
      <c r="Y11843" s="24"/>
      <c r="Z11843" s="24"/>
      <c r="AA11843" s="24"/>
    </row>
    <row r="11844">
      <c r="A11844" s="24"/>
      <c r="B11844" s="25"/>
      <c r="C11844" s="24"/>
      <c r="D11844" s="26"/>
      <c r="E11844" s="24"/>
      <c r="F11844" s="24"/>
      <c r="G11844" s="24"/>
      <c r="H11844" s="24"/>
      <c r="I11844" s="24"/>
      <c r="J11844" s="24"/>
      <c r="K11844" s="24"/>
      <c r="L11844" s="24"/>
      <c r="M11844" s="24"/>
      <c r="N11844" s="24"/>
      <c r="O11844" s="24"/>
      <c r="P11844" s="24"/>
      <c r="Q11844" s="24"/>
      <c r="R11844" s="24"/>
      <c r="S11844" s="24"/>
      <c r="T11844" s="24"/>
      <c r="U11844" s="24"/>
      <c r="V11844" s="24"/>
      <c r="W11844" s="24"/>
      <c r="X11844" s="24"/>
      <c r="Y11844" s="24"/>
      <c r="Z11844" s="24"/>
      <c r="AA11844" s="24"/>
    </row>
    <row r="11845">
      <c r="A11845" s="24"/>
      <c r="B11845" s="25"/>
      <c r="C11845" s="24"/>
      <c r="D11845" s="26"/>
      <c r="E11845" s="24"/>
      <c r="F11845" s="24"/>
      <c r="G11845" s="24"/>
      <c r="H11845" s="24"/>
      <c r="I11845" s="24"/>
      <c r="J11845" s="24"/>
      <c r="K11845" s="24"/>
      <c r="L11845" s="24"/>
      <c r="M11845" s="24"/>
      <c r="N11845" s="24"/>
      <c r="O11845" s="24"/>
      <c r="P11845" s="24"/>
      <c r="Q11845" s="24"/>
      <c r="R11845" s="24"/>
      <c r="S11845" s="24"/>
      <c r="T11845" s="24"/>
      <c r="U11845" s="24"/>
      <c r="V11845" s="24"/>
      <c r="W11845" s="24"/>
      <c r="X11845" s="24"/>
      <c r="Y11845" s="24"/>
      <c r="Z11845" s="24"/>
      <c r="AA11845" s="24"/>
    </row>
    <row r="11846">
      <c r="A11846" s="24"/>
      <c r="B11846" s="25"/>
      <c r="C11846" s="24"/>
      <c r="D11846" s="26"/>
      <c r="E11846" s="24"/>
      <c r="F11846" s="24"/>
      <c r="G11846" s="24"/>
      <c r="H11846" s="24"/>
      <c r="I11846" s="24"/>
      <c r="J11846" s="24"/>
      <c r="K11846" s="24"/>
      <c r="L11846" s="24"/>
      <c r="M11846" s="24"/>
      <c r="N11846" s="24"/>
      <c r="O11846" s="24"/>
      <c r="P11846" s="24"/>
      <c r="Q11846" s="24"/>
      <c r="R11846" s="24"/>
      <c r="S11846" s="24"/>
      <c r="T11846" s="24"/>
      <c r="U11846" s="24"/>
      <c r="V11846" s="24"/>
      <c r="W11846" s="24"/>
      <c r="X11846" s="24"/>
      <c r="Y11846" s="24"/>
      <c r="Z11846" s="24"/>
      <c r="AA11846" s="24"/>
    </row>
    <row r="11847">
      <c r="A11847" s="24"/>
      <c r="B11847" s="25"/>
      <c r="C11847" s="24"/>
      <c r="D11847" s="26"/>
      <c r="E11847" s="24"/>
      <c r="F11847" s="24"/>
      <c r="G11847" s="24"/>
      <c r="H11847" s="24"/>
      <c r="I11847" s="24"/>
      <c r="J11847" s="24"/>
      <c r="K11847" s="24"/>
      <c r="L11847" s="24"/>
      <c r="M11847" s="24"/>
      <c r="N11847" s="24"/>
      <c r="O11847" s="24"/>
      <c r="P11847" s="24"/>
      <c r="Q11847" s="24"/>
      <c r="R11847" s="24"/>
      <c r="S11847" s="24"/>
      <c r="T11847" s="24"/>
      <c r="U11847" s="24"/>
      <c r="V11847" s="24"/>
      <c r="W11847" s="24"/>
      <c r="X11847" s="24"/>
      <c r="Y11847" s="24"/>
      <c r="Z11847" s="24"/>
      <c r="AA11847" s="24"/>
    </row>
    <row r="11848">
      <c r="A11848" s="24"/>
      <c r="B11848" s="25"/>
      <c r="C11848" s="24"/>
      <c r="D11848" s="26"/>
      <c r="E11848" s="24"/>
      <c r="F11848" s="24"/>
      <c r="G11848" s="24"/>
      <c r="H11848" s="24"/>
      <c r="I11848" s="24"/>
      <c r="J11848" s="24"/>
      <c r="K11848" s="24"/>
      <c r="L11848" s="24"/>
      <c r="M11848" s="24"/>
      <c r="N11848" s="24"/>
      <c r="O11848" s="24"/>
      <c r="P11848" s="24"/>
      <c r="Q11848" s="24"/>
      <c r="R11848" s="24"/>
      <c r="S11848" s="24"/>
      <c r="T11848" s="24"/>
      <c r="U11848" s="24"/>
      <c r="V11848" s="24"/>
      <c r="W11848" s="24"/>
      <c r="X11848" s="24"/>
      <c r="Y11848" s="24"/>
      <c r="Z11848" s="24"/>
      <c r="AA11848" s="24"/>
    </row>
    <row r="11849">
      <c r="A11849" s="24"/>
      <c r="B11849" s="25"/>
      <c r="C11849" s="24"/>
      <c r="D11849" s="26"/>
      <c r="E11849" s="24"/>
      <c r="F11849" s="24"/>
      <c r="G11849" s="24"/>
      <c r="H11849" s="24"/>
      <c r="I11849" s="24"/>
      <c r="J11849" s="24"/>
      <c r="K11849" s="24"/>
      <c r="L11849" s="24"/>
      <c r="M11849" s="24"/>
      <c r="N11849" s="24"/>
      <c r="O11849" s="24"/>
      <c r="P11849" s="24"/>
      <c r="Q11849" s="24"/>
      <c r="R11849" s="24"/>
      <c r="S11849" s="24"/>
      <c r="T11849" s="24"/>
      <c r="U11849" s="24"/>
      <c r="V11849" s="24"/>
      <c r="W11849" s="24"/>
      <c r="X11849" s="24"/>
      <c r="Y11849" s="24"/>
      <c r="Z11849" s="24"/>
      <c r="AA11849" s="24"/>
    </row>
    <row r="11850">
      <c r="A11850" s="24"/>
      <c r="B11850" s="25"/>
      <c r="C11850" s="24"/>
      <c r="D11850" s="26"/>
      <c r="E11850" s="24"/>
      <c r="F11850" s="24"/>
      <c r="G11850" s="24"/>
      <c r="H11850" s="24"/>
      <c r="I11850" s="24"/>
      <c r="J11850" s="24"/>
      <c r="K11850" s="24"/>
      <c r="L11850" s="24"/>
      <c r="M11850" s="24"/>
      <c r="N11850" s="24"/>
      <c r="O11850" s="24"/>
      <c r="P11850" s="24"/>
      <c r="Q11850" s="24"/>
      <c r="R11850" s="24"/>
      <c r="S11850" s="24"/>
      <c r="T11850" s="24"/>
      <c r="U11850" s="24"/>
      <c r="V11850" s="24"/>
      <c r="W11850" s="24"/>
      <c r="X11850" s="24"/>
      <c r="Y11850" s="24"/>
      <c r="Z11850" s="24"/>
      <c r="AA11850" s="24"/>
    </row>
    <row r="11851">
      <c r="A11851" s="24"/>
      <c r="B11851" s="25"/>
      <c r="C11851" s="24"/>
      <c r="D11851" s="26"/>
      <c r="E11851" s="24"/>
      <c r="F11851" s="24"/>
      <c r="G11851" s="24"/>
      <c r="H11851" s="24"/>
      <c r="I11851" s="24"/>
      <c r="J11851" s="24"/>
      <c r="K11851" s="24"/>
      <c r="L11851" s="24"/>
      <c r="M11851" s="24"/>
      <c r="N11851" s="24"/>
      <c r="O11851" s="24"/>
      <c r="P11851" s="24"/>
      <c r="Q11851" s="24"/>
      <c r="R11851" s="24"/>
      <c r="S11851" s="24"/>
      <c r="T11851" s="24"/>
      <c r="U11851" s="24"/>
      <c r="V11851" s="24"/>
      <c r="W11851" s="24"/>
      <c r="X11851" s="24"/>
      <c r="Y11851" s="24"/>
      <c r="Z11851" s="24"/>
      <c r="AA11851" s="24"/>
    </row>
    <row r="11852">
      <c r="A11852" s="24"/>
      <c r="B11852" s="25"/>
      <c r="C11852" s="24"/>
      <c r="D11852" s="26"/>
      <c r="E11852" s="24"/>
      <c r="F11852" s="24"/>
      <c r="G11852" s="24"/>
      <c r="H11852" s="24"/>
      <c r="I11852" s="24"/>
      <c r="J11852" s="24"/>
      <c r="K11852" s="24"/>
      <c r="L11852" s="24"/>
      <c r="M11852" s="24"/>
      <c r="N11852" s="24"/>
      <c r="O11852" s="24"/>
      <c r="P11852" s="24"/>
      <c r="Q11852" s="24"/>
      <c r="R11852" s="24"/>
      <c r="S11852" s="24"/>
      <c r="T11852" s="24"/>
      <c r="U11852" s="24"/>
      <c r="V11852" s="24"/>
      <c r="W11852" s="24"/>
      <c r="X11852" s="24"/>
      <c r="Y11852" s="24"/>
      <c r="Z11852" s="24"/>
      <c r="AA11852" s="24"/>
    </row>
    <row r="11853">
      <c r="A11853" s="24"/>
      <c r="B11853" s="25"/>
      <c r="C11853" s="24"/>
      <c r="D11853" s="26"/>
      <c r="E11853" s="24"/>
      <c r="F11853" s="24"/>
      <c r="G11853" s="24"/>
      <c r="H11853" s="24"/>
      <c r="I11853" s="24"/>
      <c r="J11853" s="24"/>
      <c r="K11853" s="24"/>
      <c r="L11853" s="24"/>
      <c r="M11853" s="24"/>
      <c r="N11853" s="24"/>
      <c r="O11853" s="24"/>
      <c r="P11853" s="24"/>
      <c r="Q11853" s="24"/>
      <c r="R11853" s="24"/>
      <c r="S11853" s="24"/>
      <c r="T11853" s="24"/>
      <c r="U11853" s="24"/>
      <c r="V11853" s="24"/>
      <c r="W11853" s="24"/>
      <c r="X11853" s="24"/>
      <c r="Y11853" s="24"/>
      <c r="Z11853" s="24"/>
      <c r="AA11853" s="24"/>
    </row>
    <row r="11854">
      <c r="A11854" s="24"/>
      <c r="B11854" s="25"/>
      <c r="C11854" s="24"/>
      <c r="D11854" s="26"/>
      <c r="E11854" s="24"/>
      <c r="F11854" s="24"/>
      <c r="G11854" s="24"/>
      <c r="H11854" s="24"/>
      <c r="I11854" s="24"/>
      <c r="J11854" s="24"/>
      <c r="K11854" s="24"/>
      <c r="L11854" s="24"/>
      <c r="M11854" s="24"/>
      <c r="N11854" s="24"/>
      <c r="O11854" s="24"/>
      <c r="P11854" s="24"/>
      <c r="Q11854" s="24"/>
      <c r="R11854" s="24"/>
      <c r="S11854" s="24"/>
      <c r="T11854" s="24"/>
      <c r="U11854" s="24"/>
      <c r="V11854" s="24"/>
      <c r="W11854" s="24"/>
      <c r="X11854" s="24"/>
      <c r="Y11854" s="24"/>
      <c r="Z11854" s="24"/>
      <c r="AA11854" s="24"/>
    </row>
    <row r="11855">
      <c r="A11855" s="24"/>
      <c r="B11855" s="25"/>
      <c r="C11855" s="24"/>
      <c r="D11855" s="26"/>
      <c r="E11855" s="24"/>
      <c r="F11855" s="24"/>
      <c r="G11855" s="24"/>
      <c r="H11855" s="24"/>
      <c r="I11855" s="24"/>
      <c r="J11855" s="24"/>
      <c r="K11855" s="24"/>
      <c r="L11855" s="24"/>
      <c r="M11855" s="24"/>
      <c r="N11855" s="24"/>
      <c r="O11855" s="24"/>
      <c r="P11855" s="24"/>
      <c r="Q11855" s="24"/>
      <c r="R11855" s="24"/>
      <c r="S11855" s="24"/>
      <c r="T11855" s="24"/>
      <c r="U11855" s="24"/>
      <c r="V11855" s="24"/>
      <c r="W11855" s="24"/>
      <c r="X11855" s="24"/>
      <c r="Y11855" s="24"/>
      <c r="Z11855" s="24"/>
      <c r="AA11855" s="24"/>
    </row>
    <row r="11856">
      <c r="A11856" s="24"/>
      <c r="B11856" s="25"/>
      <c r="C11856" s="24"/>
      <c r="D11856" s="26"/>
      <c r="E11856" s="24"/>
      <c r="F11856" s="24"/>
      <c r="G11856" s="24"/>
      <c r="H11856" s="24"/>
      <c r="I11856" s="24"/>
      <c r="J11856" s="24"/>
      <c r="K11856" s="24"/>
      <c r="L11856" s="24"/>
      <c r="M11856" s="24"/>
      <c r="N11856" s="24"/>
      <c r="O11856" s="24"/>
      <c r="P11856" s="24"/>
      <c r="Q11856" s="24"/>
      <c r="R11856" s="24"/>
      <c r="S11856" s="24"/>
      <c r="T11856" s="24"/>
      <c r="U11856" s="24"/>
      <c r="V11856" s="24"/>
      <c r="W11856" s="24"/>
      <c r="X11856" s="24"/>
      <c r="Y11856" s="24"/>
      <c r="Z11856" s="24"/>
      <c r="AA11856" s="24"/>
    </row>
    <row r="11857">
      <c r="A11857" s="24"/>
      <c r="B11857" s="25"/>
      <c r="C11857" s="24"/>
      <c r="D11857" s="26"/>
      <c r="E11857" s="24"/>
      <c r="F11857" s="24"/>
      <c r="G11857" s="24"/>
      <c r="H11857" s="24"/>
      <c r="I11857" s="24"/>
      <c r="J11857" s="24"/>
      <c r="K11857" s="24"/>
      <c r="L11857" s="24"/>
      <c r="M11857" s="24"/>
      <c r="N11857" s="24"/>
      <c r="O11857" s="24"/>
      <c r="P11857" s="24"/>
      <c r="Q11857" s="24"/>
      <c r="R11857" s="24"/>
      <c r="S11857" s="24"/>
      <c r="T11857" s="24"/>
      <c r="U11857" s="24"/>
      <c r="V11857" s="24"/>
      <c r="W11857" s="24"/>
      <c r="X11857" s="24"/>
      <c r="Y11857" s="24"/>
      <c r="Z11857" s="24"/>
      <c r="AA11857" s="24"/>
    </row>
    <row r="11858">
      <c r="A11858" s="24"/>
      <c r="B11858" s="25"/>
      <c r="C11858" s="24"/>
      <c r="D11858" s="26"/>
      <c r="E11858" s="24"/>
      <c r="F11858" s="24"/>
      <c r="G11858" s="24"/>
      <c r="H11858" s="24"/>
      <c r="I11858" s="24"/>
      <c r="J11858" s="24"/>
      <c r="K11858" s="24"/>
      <c r="L11858" s="24"/>
      <c r="M11858" s="24"/>
      <c r="N11858" s="24"/>
      <c r="O11858" s="24"/>
      <c r="P11858" s="24"/>
      <c r="Q11858" s="24"/>
      <c r="R11858" s="24"/>
      <c r="S11858" s="24"/>
      <c r="T11858" s="24"/>
      <c r="U11858" s="24"/>
      <c r="V11858" s="24"/>
      <c r="W11858" s="24"/>
      <c r="X11858" s="24"/>
      <c r="Y11858" s="24"/>
      <c r="Z11858" s="24"/>
      <c r="AA11858" s="24"/>
    </row>
    <row r="11859">
      <c r="A11859" s="24"/>
      <c r="B11859" s="25"/>
      <c r="C11859" s="24"/>
      <c r="D11859" s="26"/>
      <c r="E11859" s="24"/>
      <c r="F11859" s="24"/>
      <c r="G11859" s="24"/>
      <c r="H11859" s="24"/>
      <c r="I11859" s="24"/>
      <c r="J11859" s="24"/>
      <c r="K11859" s="24"/>
      <c r="L11859" s="24"/>
      <c r="M11859" s="24"/>
      <c r="N11859" s="24"/>
      <c r="O11859" s="24"/>
      <c r="P11859" s="24"/>
      <c r="Q11859" s="24"/>
      <c r="R11859" s="24"/>
      <c r="S11859" s="24"/>
      <c r="T11859" s="24"/>
      <c r="U11859" s="24"/>
      <c r="V11859" s="24"/>
      <c r="W11859" s="24"/>
      <c r="X11859" s="24"/>
      <c r="Y11859" s="24"/>
      <c r="Z11859" s="24"/>
      <c r="AA11859" s="24"/>
    </row>
    <row r="11860">
      <c r="A11860" s="24"/>
      <c r="B11860" s="25"/>
      <c r="C11860" s="24"/>
      <c r="D11860" s="26"/>
      <c r="E11860" s="24"/>
      <c r="F11860" s="24"/>
      <c r="G11860" s="24"/>
      <c r="H11860" s="24"/>
      <c r="I11860" s="24"/>
      <c r="J11860" s="24"/>
      <c r="K11860" s="24"/>
      <c r="L11860" s="24"/>
      <c r="M11860" s="24"/>
      <c r="N11860" s="24"/>
      <c r="O11860" s="24"/>
      <c r="P11860" s="24"/>
      <c r="Q11860" s="24"/>
      <c r="R11860" s="24"/>
      <c r="S11860" s="24"/>
      <c r="T11860" s="24"/>
      <c r="U11860" s="24"/>
      <c r="V11860" s="24"/>
      <c r="W11860" s="24"/>
      <c r="X11860" s="24"/>
      <c r="Y11860" s="24"/>
      <c r="Z11860" s="24"/>
      <c r="AA11860" s="24"/>
    </row>
    <row r="11861">
      <c r="A11861" s="24"/>
      <c r="B11861" s="25"/>
      <c r="C11861" s="24"/>
      <c r="D11861" s="26"/>
      <c r="E11861" s="24"/>
      <c r="F11861" s="24"/>
      <c r="G11861" s="24"/>
      <c r="H11861" s="24"/>
      <c r="I11861" s="24"/>
      <c r="J11861" s="24"/>
      <c r="K11861" s="24"/>
      <c r="L11861" s="24"/>
      <c r="M11861" s="24"/>
      <c r="N11861" s="24"/>
      <c r="O11861" s="24"/>
      <c r="P11861" s="24"/>
      <c r="Q11861" s="24"/>
      <c r="R11861" s="24"/>
      <c r="S11861" s="24"/>
      <c r="T11861" s="24"/>
      <c r="U11861" s="24"/>
      <c r="V11861" s="24"/>
      <c r="W11861" s="24"/>
      <c r="X11861" s="24"/>
      <c r="Y11861" s="24"/>
      <c r="Z11861" s="24"/>
      <c r="AA11861" s="24"/>
    </row>
    <row r="11862">
      <c r="A11862" s="24"/>
      <c r="B11862" s="25"/>
      <c r="C11862" s="24"/>
      <c r="D11862" s="26"/>
      <c r="E11862" s="24"/>
      <c r="F11862" s="24"/>
      <c r="G11862" s="24"/>
      <c r="H11862" s="24"/>
      <c r="I11862" s="24"/>
      <c r="J11862" s="24"/>
      <c r="K11862" s="24"/>
      <c r="L11862" s="24"/>
      <c r="M11862" s="24"/>
      <c r="N11862" s="24"/>
      <c r="O11862" s="24"/>
      <c r="P11862" s="24"/>
      <c r="Q11862" s="24"/>
      <c r="R11862" s="24"/>
      <c r="S11862" s="24"/>
      <c r="T11862" s="24"/>
      <c r="U11862" s="24"/>
      <c r="V11862" s="24"/>
      <c r="W11862" s="24"/>
      <c r="X11862" s="24"/>
      <c r="Y11862" s="24"/>
      <c r="Z11862" s="24"/>
      <c r="AA11862" s="24"/>
    </row>
    <row r="11863">
      <c r="A11863" s="24"/>
      <c r="B11863" s="25"/>
      <c r="C11863" s="24"/>
      <c r="D11863" s="26"/>
      <c r="E11863" s="24"/>
      <c r="F11863" s="24"/>
      <c r="G11863" s="24"/>
      <c r="H11863" s="24"/>
      <c r="I11863" s="24"/>
      <c r="J11863" s="24"/>
      <c r="K11863" s="24"/>
      <c r="L11863" s="24"/>
      <c r="M11863" s="24"/>
      <c r="N11863" s="24"/>
      <c r="O11863" s="24"/>
      <c r="P11863" s="24"/>
      <c r="Q11863" s="24"/>
      <c r="R11863" s="24"/>
      <c r="S11863" s="24"/>
      <c r="T11863" s="24"/>
      <c r="U11863" s="24"/>
      <c r="V11863" s="24"/>
      <c r="W11863" s="24"/>
      <c r="X11863" s="24"/>
      <c r="Y11863" s="24"/>
      <c r="Z11863" s="24"/>
      <c r="AA11863" s="24"/>
    </row>
    <row r="11864">
      <c r="A11864" s="24"/>
      <c r="B11864" s="25"/>
      <c r="C11864" s="24"/>
      <c r="D11864" s="26"/>
      <c r="E11864" s="24"/>
      <c r="F11864" s="24"/>
      <c r="G11864" s="24"/>
      <c r="H11864" s="24"/>
      <c r="I11864" s="24"/>
      <c r="J11864" s="24"/>
      <c r="K11864" s="24"/>
      <c r="L11864" s="24"/>
      <c r="M11864" s="24"/>
      <c r="N11864" s="24"/>
      <c r="O11864" s="24"/>
      <c r="P11864" s="24"/>
      <c r="Q11864" s="24"/>
      <c r="R11864" s="24"/>
      <c r="S11864" s="24"/>
      <c r="T11864" s="24"/>
      <c r="U11864" s="24"/>
      <c r="V11864" s="24"/>
      <c r="W11864" s="24"/>
      <c r="X11864" s="24"/>
      <c r="Y11864" s="24"/>
      <c r="Z11864" s="24"/>
      <c r="AA11864" s="24"/>
    </row>
    <row r="11865">
      <c r="A11865" s="24"/>
      <c r="B11865" s="25"/>
      <c r="C11865" s="24"/>
      <c r="D11865" s="26"/>
      <c r="E11865" s="24"/>
      <c r="F11865" s="24"/>
      <c r="G11865" s="24"/>
      <c r="H11865" s="24"/>
      <c r="I11865" s="24"/>
      <c r="J11865" s="24"/>
      <c r="K11865" s="24"/>
      <c r="L11865" s="24"/>
      <c r="M11865" s="24"/>
      <c r="N11865" s="24"/>
      <c r="O11865" s="24"/>
      <c r="P11865" s="24"/>
      <c r="Q11865" s="24"/>
      <c r="R11865" s="24"/>
      <c r="S11865" s="24"/>
      <c r="T11865" s="24"/>
      <c r="U11865" s="24"/>
      <c r="V11865" s="24"/>
      <c r="W11865" s="24"/>
      <c r="X11865" s="24"/>
      <c r="Y11865" s="24"/>
      <c r="Z11865" s="24"/>
      <c r="AA11865" s="24"/>
    </row>
    <row r="11866">
      <c r="A11866" s="24"/>
      <c r="B11866" s="25"/>
      <c r="C11866" s="24"/>
      <c r="D11866" s="26"/>
      <c r="E11866" s="24"/>
      <c r="F11866" s="24"/>
      <c r="G11866" s="24"/>
      <c r="H11866" s="24"/>
      <c r="I11866" s="24"/>
      <c r="J11866" s="24"/>
      <c r="K11866" s="24"/>
      <c r="L11866" s="24"/>
      <c r="M11866" s="24"/>
      <c r="N11866" s="24"/>
      <c r="O11866" s="24"/>
      <c r="P11866" s="24"/>
      <c r="Q11866" s="24"/>
      <c r="R11866" s="24"/>
      <c r="S11866" s="24"/>
      <c r="T11866" s="24"/>
      <c r="U11866" s="24"/>
      <c r="V11866" s="24"/>
      <c r="W11866" s="24"/>
      <c r="X11866" s="24"/>
      <c r="Y11866" s="24"/>
      <c r="Z11866" s="24"/>
      <c r="AA11866" s="24"/>
    </row>
    <row r="11867">
      <c r="A11867" s="24"/>
      <c r="B11867" s="25"/>
      <c r="C11867" s="24"/>
      <c r="D11867" s="26"/>
      <c r="E11867" s="24"/>
      <c r="F11867" s="24"/>
      <c r="G11867" s="24"/>
      <c r="H11867" s="24"/>
      <c r="I11867" s="24"/>
      <c r="J11867" s="24"/>
      <c r="K11867" s="24"/>
      <c r="L11867" s="24"/>
      <c r="M11867" s="24"/>
      <c r="N11867" s="24"/>
      <c r="O11867" s="24"/>
      <c r="P11867" s="24"/>
      <c r="Q11867" s="24"/>
      <c r="R11867" s="24"/>
      <c r="S11867" s="24"/>
      <c r="T11867" s="24"/>
      <c r="U11867" s="24"/>
      <c r="V11867" s="24"/>
      <c r="W11867" s="24"/>
      <c r="X11867" s="24"/>
      <c r="Y11867" s="24"/>
      <c r="Z11867" s="24"/>
      <c r="AA11867" s="24"/>
    </row>
    <row r="11868">
      <c r="A11868" s="24"/>
      <c r="B11868" s="25"/>
      <c r="C11868" s="24"/>
      <c r="D11868" s="26"/>
      <c r="E11868" s="24"/>
      <c r="F11868" s="24"/>
      <c r="G11868" s="24"/>
      <c r="H11868" s="24"/>
      <c r="I11868" s="24"/>
      <c r="J11868" s="24"/>
      <c r="K11868" s="24"/>
      <c r="L11868" s="24"/>
      <c r="M11868" s="24"/>
      <c r="N11868" s="24"/>
      <c r="O11868" s="24"/>
      <c r="P11868" s="24"/>
      <c r="Q11868" s="24"/>
      <c r="R11868" s="24"/>
      <c r="S11868" s="24"/>
      <c r="T11868" s="24"/>
      <c r="U11868" s="24"/>
      <c r="V11868" s="24"/>
      <c r="W11868" s="24"/>
      <c r="X11868" s="24"/>
      <c r="Y11868" s="24"/>
      <c r="Z11868" s="24"/>
      <c r="AA11868" s="24"/>
    </row>
    <row r="11869">
      <c r="A11869" s="24"/>
      <c r="B11869" s="25"/>
      <c r="C11869" s="24"/>
      <c r="D11869" s="26"/>
      <c r="E11869" s="24"/>
      <c r="F11869" s="24"/>
      <c r="G11869" s="24"/>
      <c r="H11869" s="24"/>
      <c r="I11869" s="24"/>
      <c r="J11869" s="24"/>
      <c r="K11869" s="24"/>
      <c r="L11869" s="24"/>
      <c r="M11869" s="24"/>
      <c r="N11869" s="24"/>
      <c r="O11869" s="24"/>
      <c r="P11869" s="24"/>
      <c r="Q11869" s="24"/>
      <c r="R11869" s="24"/>
      <c r="S11869" s="24"/>
      <c r="T11869" s="24"/>
      <c r="U11869" s="24"/>
      <c r="V11869" s="24"/>
      <c r="W11869" s="24"/>
      <c r="X11869" s="24"/>
      <c r="Y11869" s="24"/>
      <c r="Z11869" s="24"/>
      <c r="AA11869" s="24"/>
    </row>
    <row r="11870">
      <c r="A11870" s="24"/>
      <c r="B11870" s="25"/>
      <c r="C11870" s="24"/>
      <c r="D11870" s="26"/>
      <c r="E11870" s="24"/>
      <c r="F11870" s="24"/>
      <c r="G11870" s="24"/>
      <c r="H11870" s="24"/>
      <c r="I11870" s="24"/>
      <c r="J11870" s="24"/>
      <c r="K11870" s="24"/>
      <c r="L11870" s="24"/>
      <c r="M11870" s="24"/>
      <c r="N11870" s="24"/>
      <c r="O11870" s="24"/>
      <c r="P11870" s="24"/>
      <c r="Q11870" s="24"/>
      <c r="R11870" s="24"/>
      <c r="S11870" s="24"/>
      <c r="T11870" s="24"/>
      <c r="U11870" s="24"/>
      <c r="V11870" s="24"/>
      <c r="W11870" s="24"/>
      <c r="X11870" s="24"/>
      <c r="Y11870" s="24"/>
      <c r="Z11870" s="24"/>
      <c r="AA11870" s="24"/>
    </row>
    <row r="11871">
      <c r="A11871" s="24"/>
      <c r="B11871" s="25"/>
      <c r="C11871" s="24"/>
      <c r="D11871" s="26"/>
      <c r="E11871" s="24"/>
      <c r="F11871" s="24"/>
      <c r="G11871" s="24"/>
      <c r="H11871" s="24"/>
      <c r="I11871" s="24"/>
      <c r="J11871" s="24"/>
      <c r="K11871" s="24"/>
      <c r="L11871" s="24"/>
      <c r="M11871" s="24"/>
      <c r="N11871" s="24"/>
      <c r="O11871" s="24"/>
      <c r="P11871" s="24"/>
      <c r="Q11871" s="24"/>
      <c r="R11871" s="24"/>
      <c r="S11871" s="24"/>
      <c r="T11871" s="24"/>
      <c r="U11871" s="24"/>
      <c r="V11871" s="24"/>
      <c r="W11871" s="24"/>
      <c r="X11871" s="24"/>
      <c r="Y11871" s="24"/>
      <c r="Z11871" s="24"/>
      <c r="AA11871" s="24"/>
    </row>
    <row r="11872">
      <c r="A11872" s="24"/>
      <c r="B11872" s="25"/>
      <c r="C11872" s="24"/>
      <c r="D11872" s="26"/>
      <c r="E11872" s="24"/>
      <c r="F11872" s="24"/>
      <c r="G11872" s="24"/>
      <c r="H11872" s="24"/>
      <c r="I11872" s="24"/>
      <c r="J11872" s="24"/>
      <c r="K11872" s="24"/>
      <c r="L11872" s="24"/>
      <c r="M11872" s="24"/>
      <c r="N11872" s="24"/>
      <c r="O11872" s="24"/>
      <c r="P11872" s="24"/>
      <c r="Q11872" s="24"/>
      <c r="R11872" s="24"/>
      <c r="S11872" s="24"/>
      <c r="T11872" s="24"/>
      <c r="U11872" s="24"/>
      <c r="V11872" s="24"/>
      <c r="W11872" s="24"/>
      <c r="X11872" s="24"/>
      <c r="Y11872" s="24"/>
      <c r="Z11872" s="24"/>
      <c r="AA11872" s="24"/>
    </row>
    <row r="11873">
      <c r="A11873" s="24"/>
      <c r="B11873" s="25"/>
      <c r="C11873" s="24"/>
      <c r="D11873" s="26"/>
      <c r="E11873" s="24"/>
      <c r="F11873" s="24"/>
      <c r="G11873" s="24"/>
      <c r="H11873" s="24"/>
      <c r="I11873" s="24"/>
      <c r="J11873" s="24"/>
      <c r="K11873" s="24"/>
      <c r="L11873" s="24"/>
      <c r="M11873" s="24"/>
      <c r="N11873" s="24"/>
      <c r="O11873" s="24"/>
      <c r="P11873" s="24"/>
      <c r="Q11873" s="24"/>
      <c r="R11873" s="24"/>
      <c r="S11873" s="24"/>
      <c r="T11873" s="24"/>
      <c r="U11873" s="24"/>
      <c r="V11873" s="24"/>
      <c r="W11873" s="24"/>
      <c r="X11873" s="24"/>
      <c r="Y11873" s="24"/>
      <c r="Z11873" s="24"/>
      <c r="AA11873" s="24"/>
    </row>
    <row r="11874">
      <c r="A11874" s="24"/>
      <c r="B11874" s="25"/>
      <c r="C11874" s="24"/>
      <c r="D11874" s="26"/>
      <c r="E11874" s="24"/>
      <c r="F11874" s="24"/>
      <c r="G11874" s="24"/>
      <c r="H11874" s="24"/>
      <c r="I11874" s="24"/>
      <c r="J11874" s="24"/>
      <c r="K11874" s="24"/>
      <c r="L11874" s="24"/>
      <c r="M11874" s="24"/>
      <c r="N11874" s="24"/>
      <c r="O11874" s="24"/>
      <c r="P11874" s="24"/>
      <c r="Q11874" s="24"/>
      <c r="R11874" s="24"/>
      <c r="S11874" s="24"/>
      <c r="T11874" s="24"/>
      <c r="U11874" s="24"/>
      <c r="V11874" s="24"/>
      <c r="W11874" s="24"/>
      <c r="X11874" s="24"/>
      <c r="Y11874" s="24"/>
      <c r="Z11874" s="24"/>
      <c r="AA11874" s="24"/>
    </row>
    <row r="11875">
      <c r="A11875" s="24"/>
      <c r="B11875" s="25"/>
      <c r="C11875" s="24"/>
      <c r="D11875" s="26"/>
      <c r="E11875" s="24"/>
      <c r="F11875" s="24"/>
      <c r="G11875" s="24"/>
      <c r="H11875" s="24"/>
      <c r="I11875" s="24"/>
      <c r="J11875" s="24"/>
      <c r="K11875" s="24"/>
      <c r="L11875" s="24"/>
      <c r="M11875" s="24"/>
      <c r="N11875" s="24"/>
      <c r="O11875" s="24"/>
      <c r="P11875" s="24"/>
      <c r="Q11875" s="24"/>
      <c r="R11875" s="24"/>
      <c r="S11875" s="24"/>
      <c r="T11875" s="24"/>
      <c r="U11875" s="24"/>
      <c r="V11875" s="24"/>
      <c r="W11875" s="24"/>
      <c r="X11875" s="24"/>
      <c r="Y11875" s="24"/>
      <c r="Z11875" s="24"/>
      <c r="AA11875" s="24"/>
    </row>
    <row r="11876">
      <c r="A11876" s="24"/>
      <c r="B11876" s="25"/>
      <c r="C11876" s="24"/>
      <c r="D11876" s="26"/>
      <c r="E11876" s="24"/>
      <c r="F11876" s="24"/>
      <c r="G11876" s="24"/>
      <c r="H11876" s="24"/>
      <c r="I11876" s="24"/>
      <c r="J11876" s="24"/>
      <c r="K11876" s="24"/>
      <c r="L11876" s="24"/>
      <c r="M11876" s="24"/>
      <c r="N11876" s="24"/>
      <c r="O11876" s="24"/>
      <c r="P11876" s="24"/>
      <c r="Q11876" s="24"/>
      <c r="R11876" s="24"/>
      <c r="S11876" s="24"/>
      <c r="T11876" s="24"/>
      <c r="U11876" s="24"/>
      <c r="V11876" s="24"/>
      <c r="W11876" s="24"/>
      <c r="X11876" s="24"/>
      <c r="Y11876" s="24"/>
      <c r="Z11876" s="24"/>
      <c r="AA11876" s="24"/>
    </row>
    <row r="11877">
      <c r="A11877" s="24"/>
      <c r="B11877" s="25"/>
      <c r="C11877" s="24"/>
      <c r="D11877" s="26"/>
      <c r="E11877" s="24"/>
      <c r="F11877" s="24"/>
      <c r="G11877" s="24"/>
      <c r="H11877" s="24"/>
      <c r="I11877" s="24"/>
      <c r="J11877" s="24"/>
      <c r="K11877" s="24"/>
      <c r="L11877" s="24"/>
      <c r="M11877" s="24"/>
      <c r="N11877" s="24"/>
      <c r="O11877" s="24"/>
      <c r="P11877" s="24"/>
      <c r="Q11877" s="24"/>
      <c r="R11877" s="24"/>
      <c r="S11877" s="24"/>
      <c r="T11877" s="24"/>
      <c r="U11877" s="24"/>
      <c r="V11877" s="24"/>
      <c r="W11877" s="24"/>
      <c r="X11877" s="24"/>
      <c r="Y11877" s="24"/>
      <c r="Z11877" s="24"/>
      <c r="AA11877" s="24"/>
    </row>
    <row r="11878">
      <c r="A11878" s="24"/>
      <c r="B11878" s="25"/>
      <c r="C11878" s="24"/>
      <c r="D11878" s="26"/>
      <c r="E11878" s="24"/>
      <c r="F11878" s="24"/>
      <c r="G11878" s="24"/>
      <c r="H11878" s="24"/>
      <c r="I11878" s="24"/>
      <c r="J11878" s="24"/>
      <c r="K11878" s="24"/>
      <c r="L11878" s="24"/>
      <c r="M11878" s="24"/>
      <c r="N11878" s="24"/>
      <c r="O11878" s="24"/>
      <c r="P11878" s="24"/>
      <c r="Q11878" s="24"/>
      <c r="R11878" s="24"/>
      <c r="S11878" s="24"/>
      <c r="T11878" s="24"/>
      <c r="U11878" s="24"/>
      <c r="V11878" s="24"/>
      <c r="W11878" s="24"/>
      <c r="X11878" s="24"/>
      <c r="Y11878" s="24"/>
      <c r="Z11878" s="24"/>
      <c r="AA11878" s="24"/>
    </row>
    <row r="11879">
      <c r="A11879" s="24"/>
      <c r="B11879" s="25"/>
      <c r="C11879" s="24"/>
      <c r="D11879" s="26"/>
      <c r="E11879" s="24"/>
      <c r="F11879" s="24"/>
      <c r="G11879" s="24"/>
      <c r="H11879" s="24"/>
      <c r="I11879" s="24"/>
      <c r="J11879" s="24"/>
      <c r="K11879" s="24"/>
      <c r="L11879" s="24"/>
      <c r="M11879" s="24"/>
      <c r="N11879" s="24"/>
      <c r="O11879" s="24"/>
      <c r="P11879" s="24"/>
      <c r="Q11879" s="24"/>
      <c r="R11879" s="24"/>
      <c r="S11879" s="24"/>
      <c r="T11879" s="24"/>
      <c r="U11879" s="24"/>
      <c r="V11879" s="24"/>
      <c r="W11879" s="24"/>
      <c r="X11879" s="24"/>
      <c r="Y11879" s="24"/>
      <c r="Z11879" s="24"/>
      <c r="AA11879" s="24"/>
    </row>
    <row r="11880">
      <c r="A11880" s="24"/>
      <c r="B11880" s="25"/>
      <c r="C11880" s="24"/>
      <c r="D11880" s="26"/>
      <c r="E11880" s="24"/>
      <c r="F11880" s="24"/>
      <c r="G11880" s="24"/>
      <c r="H11880" s="24"/>
      <c r="I11880" s="24"/>
      <c r="J11880" s="24"/>
      <c r="K11880" s="24"/>
      <c r="L11880" s="24"/>
      <c r="M11880" s="24"/>
      <c r="N11880" s="24"/>
      <c r="O11880" s="24"/>
      <c r="P11880" s="24"/>
      <c r="Q11880" s="24"/>
      <c r="R11880" s="24"/>
      <c r="S11880" s="24"/>
      <c r="T11880" s="24"/>
      <c r="U11880" s="24"/>
      <c r="V11880" s="24"/>
      <c r="W11880" s="24"/>
      <c r="X11880" s="24"/>
      <c r="Y11880" s="24"/>
      <c r="Z11880" s="24"/>
      <c r="AA11880" s="24"/>
    </row>
    <row r="11881">
      <c r="A11881" s="24"/>
      <c r="B11881" s="25"/>
      <c r="C11881" s="24"/>
      <c r="D11881" s="26"/>
      <c r="E11881" s="24"/>
      <c r="F11881" s="24"/>
      <c r="G11881" s="24"/>
      <c r="H11881" s="24"/>
      <c r="I11881" s="24"/>
      <c r="J11881" s="24"/>
      <c r="K11881" s="24"/>
      <c r="L11881" s="24"/>
      <c r="M11881" s="24"/>
      <c r="N11881" s="24"/>
      <c r="O11881" s="24"/>
      <c r="P11881" s="24"/>
      <c r="Q11881" s="24"/>
      <c r="R11881" s="24"/>
      <c r="S11881" s="24"/>
      <c r="T11881" s="24"/>
      <c r="U11881" s="24"/>
      <c r="V11881" s="24"/>
      <c r="W11881" s="24"/>
      <c r="X11881" s="24"/>
      <c r="Y11881" s="24"/>
      <c r="Z11881" s="24"/>
      <c r="AA11881" s="24"/>
    </row>
    <row r="11882">
      <c r="A11882" s="24"/>
      <c r="B11882" s="25"/>
      <c r="C11882" s="24"/>
      <c r="D11882" s="26"/>
      <c r="E11882" s="24"/>
      <c r="F11882" s="24"/>
      <c r="G11882" s="24"/>
      <c r="H11882" s="24"/>
      <c r="I11882" s="24"/>
      <c r="J11882" s="24"/>
      <c r="K11882" s="24"/>
      <c r="L11882" s="24"/>
      <c r="M11882" s="24"/>
      <c r="N11882" s="24"/>
      <c r="O11882" s="24"/>
      <c r="P11882" s="24"/>
      <c r="Q11882" s="24"/>
      <c r="R11882" s="24"/>
      <c r="S11882" s="24"/>
      <c r="T11882" s="24"/>
      <c r="U11882" s="24"/>
      <c r="V11882" s="24"/>
      <c r="W11882" s="24"/>
      <c r="X11882" s="24"/>
      <c r="Y11882" s="24"/>
      <c r="Z11882" s="24"/>
      <c r="AA11882" s="24"/>
    </row>
    <row r="11883">
      <c r="A11883" s="24"/>
      <c r="B11883" s="25"/>
      <c r="C11883" s="24"/>
      <c r="D11883" s="26"/>
      <c r="E11883" s="24"/>
      <c r="F11883" s="24"/>
      <c r="G11883" s="24"/>
      <c r="H11883" s="24"/>
      <c r="I11883" s="24"/>
      <c r="J11883" s="24"/>
      <c r="K11883" s="24"/>
      <c r="L11883" s="24"/>
      <c r="M11883" s="24"/>
      <c r="N11883" s="24"/>
      <c r="O11883" s="24"/>
      <c r="P11883" s="24"/>
      <c r="Q11883" s="24"/>
      <c r="R11883" s="24"/>
      <c r="S11883" s="24"/>
      <c r="T11883" s="24"/>
      <c r="U11883" s="24"/>
      <c r="V11883" s="24"/>
      <c r="W11883" s="24"/>
      <c r="X11883" s="24"/>
      <c r="Y11883" s="24"/>
      <c r="Z11883" s="24"/>
      <c r="AA11883" s="24"/>
    </row>
    <row r="11884">
      <c r="A11884" s="24"/>
      <c r="B11884" s="25"/>
      <c r="C11884" s="24"/>
      <c r="D11884" s="26"/>
      <c r="E11884" s="24"/>
      <c r="F11884" s="24"/>
      <c r="G11884" s="24"/>
      <c r="H11884" s="24"/>
      <c r="I11884" s="24"/>
      <c r="J11884" s="24"/>
      <c r="K11884" s="24"/>
      <c r="L11884" s="24"/>
      <c r="M11884" s="24"/>
      <c r="N11884" s="24"/>
      <c r="O11884" s="24"/>
      <c r="P11884" s="24"/>
      <c r="Q11884" s="24"/>
      <c r="R11884" s="24"/>
      <c r="S11884" s="24"/>
      <c r="T11884" s="24"/>
      <c r="U11884" s="24"/>
      <c r="V11884" s="24"/>
      <c r="W11884" s="24"/>
      <c r="X11884" s="24"/>
      <c r="Y11884" s="24"/>
      <c r="Z11884" s="24"/>
      <c r="AA11884" s="24"/>
    </row>
    <row r="11885">
      <c r="A11885" s="24"/>
      <c r="B11885" s="25"/>
      <c r="C11885" s="24"/>
      <c r="D11885" s="26"/>
      <c r="E11885" s="24"/>
      <c r="F11885" s="24"/>
      <c r="G11885" s="24"/>
      <c r="H11885" s="24"/>
      <c r="I11885" s="24"/>
      <c r="J11885" s="24"/>
      <c r="K11885" s="24"/>
      <c r="L11885" s="24"/>
      <c r="M11885" s="24"/>
      <c r="N11885" s="24"/>
      <c r="O11885" s="24"/>
      <c r="P11885" s="24"/>
      <c r="Q11885" s="24"/>
      <c r="R11885" s="24"/>
      <c r="S11885" s="24"/>
      <c r="T11885" s="24"/>
      <c r="U11885" s="24"/>
      <c r="V11885" s="24"/>
      <c r="W11885" s="24"/>
      <c r="X11885" s="24"/>
      <c r="Y11885" s="24"/>
      <c r="Z11885" s="24"/>
      <c r="AA11885" s="24"/>
    </row>
    <row r="11886">
      <c r="A11886" s="24"/>
      <c r="B11886" s="25"/>
      <c r="C11886" s="24"/>
      <c r="D11886" s="26"/>
      <c r="E11886" s="24"/>
      <c r="F11886" s="24"/>
      <c r="G11886" s="24"/>
      <c r="H11886" s="24"/>
      <c r="I11886" s="24"/>
      <c r="J11886" s="24"/>
      <c r="K11886" s="24"/>
      <c r="L11886" s="24"/>
      <c r="M11886" s="24"/>
      <c r="N11886" s="24"/>
      <c r="O11886" s="24"/>
      <c r="P11886" s="24"/>
      <c r="Q11886" s="24"/>
      <c r="R11886" s="24"/>
      <c r="S11886" s="24"/>
      <c r="T11886" s="24"/>
      <c r="U11886" s="24"/>
      <c r="V11886" s="24"/>
      <c r="W11886" s="24"/>
      <c r="X11886" s="24"/>
      <c r="Y11886" s="24"/>
      <c r="Z11886" s="24"/>
      <c r="AA11886" s="24"/>
    </row>
    <row r="11887">
      <c r="A11887" s="24"/>
      <c r="B11887" s="25"/>
      <c r="C11887" s="24"/>
      <c r="D11887" s="26"/>
      <c r="E11887" s="24"/>
      <c r="F11887" s="24"/>
      <c r="G11887" s="24"/>
      <c r="H11887" s="24"/>
      <c r="I11887" s="24"/>
      <c r="J11887" s="24"/>
      <c r="K11887" s="24"/>
      <c r="L11887" s="24"/>
      <c r="M11887" s="24"/>
      <c r="N11887" s="24"/>
      <c r="O11887" s="24"/>
      <c r="P11887" s="24"/>
      <c r="Q11887" s="24"/>
      <c r="R11887" s="24"/>
      <c r="S11887" s="24"/>
      <c r="T11887" s="24"/>
      <c r="U11887" s="24"/>
      <c r="V11887" s="24"/>
      <c r="W11887" s="24"/>
      <c r="X11887" s="24"/>
      <c r="Y11887" s="24"/>
      <c r="Z11887" s="24"/>
      <c r="AA11887" s="24"/>
    </row>
    <row r="11888">
      <c r="A11888" s="24"/>
      <c r="B11888" s="25"/>
      <c r="C11888" s="24"/>
      <c r="D11888" s="26"/>
      <c r="E11888" s="24"/>
      <c r="F11888" s="24"/>
      <c r="G11888" s="24"/>
      <c r="H11888" s="24"/>
      <c r="I11888" s="24"/>
      <c r="J11888" s="24"/>
      <c r="K11888" s="24"/>
      <c r="L11888" s="24"/>
      <c r="M11888" s="24"/>
      <c r="N11888" s="24"/>
      <c r="O11888" s="24"/>
      <c r="P11888" s="24"/>
      <c r="Q11888" s="24"/>
      <c r="R11888" s="24"/>
      <c r="S11888" s="24"/>
      <c r="T11888" s="24"/>
      <c r="U11888" s="24"/>
      <c r="V11888" s="24"/>
      <c r="W11888" s="24"/>
      <c r="X11888" s="24"/>
      <c r="Y11888" s="24"/>
      <c r="Z11888" s="24"/>
      <c r="AA11888" s="24"/>
    </row>
    <row r="11889">
      <c r="A11889" s="24"/>
      <c r="B11889" s="25"/>
      <c r="C11889" s="24"/>
      <c r="D11889" s="26"/>
      <c r="E11889" s="24"/>
      <c r="F11889" s="24"/>
      <c r="G11889" s="24"/>
      <c r="H11889" s="24"/>
      <c r="I11889" s="24"/>
      <c r="J11889" s="24"/>
      <c r="K11889" s="24"/>
      <c r="L11889" s="24"/>
      <c r="M11889" s="24"/>
      <c r="N11889" s="24"/>
      <c r="O11889" s="24"/>
      <c r="P11889" s="24"/>
      <c r="Q11889" s="24"/>
      <c r="R11889" s="24"/>
      <c r="S11889" s="24"/>
      <c r="T11889" s="24"/>
      <c r="U11889" s="24"/>
      <c r="V11889" s="24"/>
      <c r="W11889" s="24"/>
      <c r="X11889" s="24"/>
      <c r="Y11889" s="24"/>
      <c r="Z11889" s="24"/>
      <c r="AA11889" s="24"/>
    </row>
    <row r="11890">
      <c r="A11890" s="24"/>
      <c r="B11890" s="25"/>
      <c r="C11890" s="24"/>
      <c r="D11890" s="26"/>
      <c r="E11890" s="24"/>
      <c r="F11890" s="24"/>
      <c r="G11890" s="24"/>
      <c r="H11890" s="24"/>
      <c r="I11890" s="24"/>
      <c r="J11890" s="24"/>
      <c r="K11890" s="24"/>
      <c r="L11890" s="24"/>
      <c r="M11890" s="24"/>
      <c r="N11890" s="24"/>
      <c r="O11890" s="24"/>
      <c r="P11890" s="24"/>
      <c r="Q11890" s="24"/>
      <c r="R11890" s="24"/>
      <c r="S11890" s="24"/>
      <c r="T11890" s="24"/>
      <c r="U11890" s="24"/>
      <c r="V11890" s="24"/>
      <c r="W11890" s="24"/>
      <c r="X11890" s="24"/>
      <c r="Y11890" s="24"/>
      <c r="Z11890" s="24"/>
      <c r="AA11890" s="24"/>
    </row>
    <row r="11891">
      <c r="A11891" s="24"/>
      <c r="B11891" s="25"/>
      <c r="C11891" s="24"/>
      <c r="D11891" s="26"/>
      <c r="E11891" s="24"/>
      <c r="F11891" s="24"/>
      <c r="G11891" s="24"/>
      <c r="H11891" s="24"/>
      <c r="I11891" s="24"/>
      <c r="J11891" s="24"/>
      <c r="K11891" s="24"/>
      <c r="L11891" s="24"/>
      <c r="M11891" s="24"/>
      <c r="N11891" s="24"/>
      <c r="O11891" s="24"/>
      <c r="P11891" s="24"/>
      <c r="Q11891" s="24"/>
      <c r="R11891" s="24"/>
      <c r="S11891" s="24"/>
      <c r="T11891" s="24"/>
      <c r="U11891" s="24"/>
      <c r="V11891" s="24"/>
      <c r="W11891" s="24"/>
      <c r="X11891" s="24"/>
      <c r="Y11891" s="24"/>
      <c r="Z11891" s="24"/>
      <c r="AA11891" s="24"/>
    </row>
    <row r="11892">
      <c r="A11892" s="24"/>
      <c r="B11892" s="25"/>
      <c r="C11892" s="24"/>
      <c r="D11892" s="26"/>
      <c r="E11892" s="24"/>
      <c r="F11892" s="24"/>
      <c r="G11892" s="24"/>
      <c r="H11892" s="24"/>
      <c r="I11892" s="24"/>
      <c r="J11892" s="24"/>
      <c r="K11892" s="24"/>
      <c r="L11892" s="24"/>
      <c r="M11892" s="24"/>
      <c r="N11892" s="24"/>
      <c r="O11892" s="24"/>
      <c r="P11892" s="24"/>
      <c r="Q11892" s="24"/>
      <c r="R11892" s="24"/>
      <c r="S11892" s="24"/>
      <c r="T11892" s="24"/>
      <c r="U11892" s="24"/>
      <c r="V11892" s="24"/>
      <c r="W11892" s="24"/>
      <c r="X11892" s="24"/>
      <c r="Y11892" s="24"/>
      <c r="Z11892" s="24"/>
      <c r="AA11892" s="24"/>
    </row>
    <row r="11893">
      <c r="A11893" s="24"/>
      <c r="B11893" s="25"/>
      <c r="C11893" s="24"/>
      <c r="D11893" s="26"/>
      <c r="E11893" s="24"/>
      <c r="F11893" s="24"/>
      <c r="G11893" s="24"/>
      <c r="H11893" s="24"/>
      <c r="I11893" s="24"/>
      <c r="J11893" s="24"/>
      <c r="K11893" s="24"/>
      <c r="L11893" s="24"/>
      <c r="M11893" s="24"/>
      <c r="N11893" s="24"/>
      <c r="O11893" s="24"/>
      <c r="P11893" s="24"/>
      <c r="Q11893" s="24"/>
      <c r="R11893" s="24"/>
      <c r="S11893" s="24"/>
      <c r="T11893" s="24"/>
      <c r="U11893" s="24"/>
      <c r="V11893" s="24"/>
      <c r="W11893" s="24"/>
      <c r="X11893" s="24"/>
      <c r="Y11893" s="24"/>
      <c r="Z11893" s="24"/>
      <c r="AA11893" s="24"/>
    </row>
    <row r="11894">
      <c r="A11894" s="24"/>
      <c r="B11894" s="25"/>
      <c r="C11894" s="24"/>
      <c r="D11894" s="26"/>
      <c r="E11894" s="24"/>
      <c r="F11894" s="24"/>
      <c r="G11894" s="24"/>
      <c r="H11894" s="24"/>
      <c r="I11894" s="24"/>
      <c r="J11894" s="24"/>
      <c r="K11894" s="24"/>
      <c r="L11894" s="24"/>
      <c r="M11894" s="24"/>
      <c r="N11894" s="24"/>
      <c r="O11894" s="24"/>
      <c r="P11894" s="24"/>
      <c r="Q11894" s="24"/>
      <c r="R11894" s="24"/>
      <c r="S11894" s="24"/>
      <c r="T11894" s="24"/>
      <c r="U11894" s="24"/>
      <c r="V11894" s="24"/>
      <c r="W11894" s="24"/>
      <c r="X11894" s="24"/>
      <c r="Y11894" s="24"/>
      <c r="Z11894" s="24"/>
      <c r="AA11894" s="24"/>
    </row>
    <row r="11895">
      <c r="A11895" s="24"/>
      <c r="B11895" s="25"/>
      <c r="C11895" s="24"/>
      <c r="D11895" s="26"/>
      <c r="E11895" s="24"/>
      <c r="F11895" s="24"/>
      <c r="G11895" s="24"/>
      <c r="H11895" s="24"/>
      <c r="I11895" s="24"/>
      <c r="J11895" s="24"/>
      <c r="K11895" s="24"/>
      <c r="L11895" s="24"/>
      <c r="M11895" s="24"/>
      <c r="N11895" s="24"/>
      <c r="O11895" s="24"/>
      <c r="P11895" s="24"/>
      <c r="Q11895" s="24"/>
      <c r="R11895" s="24"/>
      <c r="S11895" s="24"/>
      <c r="T11895" s="24"/>
      <c r="U11895" s="24"/>
      <c r="V11895" s="24"/>
      <c r="W11895" s="24"/>
      <c r="X11895" s="24"/>
      <c r="Y11895" s="24"/>
      <c r="Z11895" s="24"/>
      <c r="AA11895" s="24"/>
    </row>
    <row r="11896">
      <c r="A11896" s="24"/>
      <c r="B11896" s="25"/>
      <c r="C11896" s="24"/>
      <c r="D11896" s="26"/>
      <c r="E11896" s="24"/>
      <c r="F11896" s="24"/>
      <c r="G11896" s="24"/>
      <c r="H11896" s="24"/>
      <c r="I11896" s="24"/>
      <c r="J11896" s="24"/>
      <c r="K11896" s="24"/>
      <c r="L11896" s="24"/>
      <c r="M11896" s="24"/>
      <c r="N11896" s="24"/>
      <c r="O11896" s="24"/>
      <c r="P11896" s="24"/>
      <c r="Q11896" s="24"/>
      <c r="R11896" s="24"/>
      <c r="S11896" s="24"/>
      <c r="T11896" s="24"/>
      <c r="U11896" s="24"/>
      <c r="V11896" s="24"/>
      <c r="W11896" s="24"/>
      <c r="X11896" s="24"/>
      <c r="Y11896" s="24"/>
      <c r="Z11896" s="24"/>
      <c r="AA11896" s="24"/>
    </row>
    <row r="11897">
      <c r="A11897" s="24"/>
      <c r="B11897" s="25"/>
      <c r="C11897" s="24"/>
      <c r="D11897" s="26"/>
      <c r="E11897" s="24"/>
      <c r="F11897" s="24"/>
      <c r="G11897" s="24"/>
      <c r="H11897" s="24"/>
      <c r="I11897" s="24"/>
      <c r="J11897" s="24"/>
      <c r="K11897" s="24"/>
      <c r="L11897" s="24"/>
      <c r="M11897" s="24"/>
      <c r="N11897" s="24"/>
      <c r="O11897" s="24"/>
      <c r="P11897" s="24"/>
      <c r="Q11897" s="24"/>
      <c r="R11897" s="24"/>
      <c r="S11897" s="24"/>
      <c r="T11897" s="24"/>
      <c r="U11897" s="24"/>
      <c r="V11897" s="24"/>
      <c r="W11897" s="24"/>
      <c r="X11897" s="24"/>
      <c r="Y11897" s="24"/>
      <c r="Z11897" s="24"/>
      <c r="AA11897" s="24"/>
    </row>
    <row r="11898">
      <c r="A11898" s="24"/>
      <c r="B11898" s="25"/>
      <c r="C11898" s="24"/>
      <c r="D11898" s="26"/>
      <c r="E11898" s="24"/>
      <c r="F11898" s="24"/>
      <c r="G11898" s="24"/>
      <c r="H11898" s="24"/>
      <c r="I11898" s="24"/>
      <c r="J11898" s="24"/>
      <c r="K11898" s="24"/>
      <c r="L11898" s="24"/>
      <c r="M11898" s="24"/>
      <c r="N11898" s="24"/>
      <c r="O11898" s="24"/>
      <c r="P11898" s="24"/>
      <c r="Q11898" s="24"/>
      <c r="R11898" s="24"/>
      <c r="S11898" s="24"/>
      <c r="T11898" s="24"/>
      <c r="U11898" s="24"/>
      <c r="V11898" s="24"/>
      <c r="W11898" s="24"/>
      <c r="X11898" s="24"/>
      <c r="Y11898" s="24"/>
      <c r="Z11898" s="24"/>
      <c r="AA11898" s="24"/>
    </row>
    <row r="11899">
      <c r="A11899" s="24"/>
      <c r="B11899" s="25"/>
      <c r="C11899" s="24"/>
      <c r="D11899" s="26"/>
      <c r="E11899" s="24"/>
      <c r="F11899" s="24"/>
      <c r="G11899" s="24"/>
      <c r="H11899" s="24"/>
      <c r="I11899" s="24"/>
      <c r="J11899" s="24"/>
      <c r="K11899" s="24"/>
      <c r="L11899" s="24"/>
      <c r="M11899" s="24"/>
      <c r="N11899" s="24"/>
      <c r="O11899" s="24"/>
      <c r="P11899" s="24"/>
      <c r="Q11899" s="24"/>
      <c r="R11899" s="24"/>
      <c r="S11899" s="24"/>
      <c r="T11899" s="24"/>
      <c r="U11899" s="24"/>
      <c r="V11899" s="24"/>
      <c r="W11899" s="24"/>
      <c r="X11899" s="24"/>
      <c r="Y11899" s="24"/>
      <c r="Z11899" s="24"/>
      <c r="AA11899" s="24"/>
    </row>
    <row r="11900">
      <c r="A11900" s="24"/>
      <c r="B11900" s="25"/>
      <c r="C11900" s="24"/>
      <c r="D11900" s="26"/>
      <c r="E11900" s="24"/>
      <c r="F11900" s="24"/>
      <c r="G11900" s="24"/>
      <c r="H11900" s="24"/>
      <c r="I11900" s="24"/>
      <c r="J11900" s="24"/>
      <c r="K11900" s="24"/>
      <c r="L11900" s="24"/>
      <c r="M11900" s="24"/>
      <c r="N11900" s="24"/>
      <c r="O11900" s="24"/>
      <c r="P11900" s="24"/>
      <c r="Q11900" s="24"/>
      <c r="R11900" s="24"/>
      <c r="S11900" s="24"/>
      <c r="T11900" s="24"/>
      <c r="U11900" s="24"/>
      <c r="V11900" s="24"/>
      <c r="W11900" s="24"/>
      <c r="X11900" s="24"/>
      <c r="Y11900" s="24"/>
      <c r="Z11900" s="24"/>
      <c r="AA11900" s="24"/>
    </row>
    <row r="11901">
      <c r="A11901" s="24"/>
      <c r="B11901" s="25"/>
      <c r="C11901" s="24"/>
      <c r="D11901" s="26"/>
      <c r="E11901" s="24"/>
      <c r="F11901" s="24"/>
      <c r="G11901" s="24"/>
      <c r="H11901" s="24"/>
      <c r="I11901" s="24"/>
      <c r="J11901" s="24"/>
      <c r="K11901" s="24"/>
      <c r="L11901" s="24"/>
      <c r="M11901" s="24"/>
      <c r="N11901" s="24"/>
      <c r="O11901" s="24"/>
      <c r="P11901" s="24"/>
      <c r="Q11901" s="24"/>
      <c r="R11901" s="24"/>
      <c r="S11901" s="24"/>
      <c r="T11901" s="24"/>
      <c r="U11901" s="24"/>
      <c r="V11901" s="24"/>
      <c r="W11901" s="24"/>
      <c r="X11901" s="24"/>
      <c r="Y11901" s="24"/>
      <c r="Z11901" s="24"/>
      <c r="AA11901" s="24"/>
    </row>
    <row r="11902">
      <c r="A11902" s="24"/>
      <c r="B11902" s="25"/>
      <c r="C11902" s="24"/>
      <c r="D11902" s="26"/>
      <c r="E11902" s="24"/>
      <c r="F11902" s="24"/>
      <c r="G11902" s="24"/>
      <c r="H11902" s="24"/>
      <c r="I11902" s="24"/>
      <c r="J11902" s="24"/>
      <c r="K11902" s="24"/>
      <c r="L11902" s="24"/>
      <c r="M11902" s="24"/>
      <c r="N11902" s="24"/>
      <c r="O11902" s="24"/>
      <c r="P11902" s="24"/>
      <c r="Q11902" s="24"/>
      <c r="R11902" s="24"/>
      <c r="S11902" s="24"/>
      <c r="T11902" s="24"/>
      <c r="U11902" s="24"/>
      <c r="V11902" s="24"/>
      <c r="W11902" s="24"/>
      <c r="X11902" s="24"/>
      <c r="Y11902" s="24"/>
      <c r="Z11902" s="24"/>
      <c r="AA11902" s="24"/>
    </row>
    <row r="11903">
      <c r="A11903" s="24"/>
      <c r="B11903" s="25"/>
      <c r="C11903" s="24"/>
      <c r="D11903" s="26"/>
      <c r="E11903" s="24"/>
      <c r="F11903" s="24"/>
      <c r="G11903" s="24"/>
      <c r="H11903" s="24"/>
      <c r="I11903" s="24"/>
      <c r="J11903" s="24"/>
      <c r="K11903" s="24"/>
      <c r="L11903" s="24"/>
      <c r="M11903" s="24"/>
      <c r="N11903" s="24"/>
      <c r="O11903" s="24"/>
      <c r="P11903" s="24"/>
      <c r="Q11903" s="24"/>
      <c r="R11903" s="24"/>
      <c r="S11903" s="24"/>
      <c r="T11903" s="24"/>
      <c r="U11903" s="24"/>
      <c r="V11903" s="24"/>
      <c r="W11903" s="24"/>
      <c r="X11903" s="24"/>
      <c r="Y11903" s="24"/>
      <c r="Z11903" s="24"/>
      <c r="AA11903" s="24"/>
    </row>
    <row r="11904">
      <c r="A11904" s="24"/>
      <c r="B11904" s="25"/>
      <c r="C11904" s="24"/>
      <c r="D11904" s="26"/>
      <c r="E11904" s="24"/>
      <c r="F11904" s="24"/>
      <c r="G11904" s="24"/>
      <c r="H11904" s="24"/>
      <c r="I11904" s="24"/>
      <c r="J11904" s="24"/>
      <c r="K11904" s="24"/>
      <c r="L11904" s="24"/>
      <c r="M11904" s="24"/>
      <c r="N11904" s="24"/>
      <c r="O11904" s="24"/>
      <c r="P11904" s="24"/>
      <c r="Q11904" s="24"/>
      <c r="R11904" s="24"/>
      <c r="S11904" s="24"/>
      <c r="T11904" s="24"/>
      <c r="U11904" s="24"/>
      <c r="V11904" s="24"/>
      <c r="W11904" s="24"/>
      <c r="X11904" s="24"/>
      <c r="Y11904" s="24"/>
      <c r="Z11904" s="24"/>
      <c r="AA11904" s="24"/>
    </row>
    <row r="11905">
      <c r="A11905" s="24"/>
      <c r="B11905" s="25"/>
      <c r="C11905" s="24"/>
      <c r="D11905" s="26"/>
      <c r="E11905" s="24"/>
      <c r="F11905" s="24"/>
      <c r="G11905" s="24"/>
      <c r="H11905" s="24"/>
      <c r="I11905" s="24"/>
      <c r="J11905" s="24"/>
      <c r="K11905" s="24"/>
      <c r="L11905" s="24"/>
      <c r="M11905" s="24"/>
      <c r="N11905" s="24"/>
      <c r="O11905" s="24"/>
      <c r="P11905" s="24"/>
      <c r="Q11905" s="24"/>
      <c r="R11905" s="24"/>
      <c r="S11905" s="24"/>
      <c r="T11905" s="24"/>
      <c r="U11905" s="24"/>
      <c r="V11905" s="24"/>
      <c r="W11905" s="24"/>
      <c r="X11905" s="24"/>
      <c r="Y11905" s="24"/>
      <c r="Z11905" s="24"/>
      <c r="AA11905" s="24"/>
    </row>
    <row r="11906">
      <c r="A11906" s="24"/>
      <c r="B11906" s="25"/>
      <c r="C11906" s="24"/>
      <c r="D11906" s="26"/>
      <c r="E11906" s="24"/>
      <c r="F11906" s="24"/>
      <c r="G11906" s="24"/>
      <c r="H11906" s="24"/>
      <c r="I11906" s="24"/>
      <c r="J11906" s="24"/>
      <c r="K11906" s="24"/>
      <c r="L11906" s="24"/>
      <c r="M11906" s="24"/>
      <c r="N11906" s="24"/>
      <c r="O11906" s="24"/>
      <c r="P11906" s="24"/>
      <c r="Q11906" s="24"/>
      <c r="R11906" s="24"/>
      <c r="S11906" s="24"/>
      <c r="T11906" s="24"/>
      <c r="U11906" s="24"/>
      <c r="V11906" s="24"/>
      <c r="W11906" s="24"/>
      <c r="X11906" s="24"/>
      <c r="Y11906" s="24"/>
      <c r="Z11906" s="24"/>
      <c r="AA11906" s="24"/>
    </row>
    <row r="11907">
      <c r="A11907" s="24"/>
      <c r="B11907" s="25"/>
      <c r="C11907" s="24"/>
      <c r="D11907" s="26"/>
      <c r="E11907" s="24"/>
      <c r="F11907" s="24"/>
      <c r="G11907" s="24"/>
      <c r="H11907" s="24"/>
      <c r="I11907" s="24"/>
      <c r="J11907" s="24"/>
      <c r="K11907" s="24"/>
      <c r="L11907" s="24"/>
      <c r="M11907" s="24"/>
      <c r="N11907" s="24"/>
      <c r="O11907" s="24"/>
      <c r="P11907" s="24"/>
      <c r="Q11907" s="24"/>
      <c r="R11907" s="24"/>
      <c r="S11907" s="24"/>
      <c r="T11907" s="24"/>
      <c r="U11907" s="24"/>
      <c r="V11907" s="24"/>
      <c r="W11907" s="24"/>
      <c r="X11907" s="24"/>
      <c r="Y11907" s="24"/>
      <c r="Z11907" s="24"/>
      <c r="AA11907" s="24"/>
    </row>
    <row r="11908">
      <c r="A11908" s="24"/>
      <c r="B11908" s="25"/>
      <c r="C11908" s="24"/>
      <c r="D11908" s="26"/>
      <c r="E11908" s="24"/>
      <c r="F11908" s="24"/>
      <c r="G11908" s="24"/>
      <c r="H11908" s="24"/>
      <c r="I11908" s="24"/>
      <c r="J11908" s="24"/>
      <c r="K11908" s="24"/>
      <c r="L11908" s="24"/>
      <c r="M11908" s="24"/>
      <c r="N11908" s="24"/>
      <c r="O11908" s="24"/>
      <c r="P11908" s="24"/>
      <c r="Q11908" s="24"/>
      <c r="R11908" s="24"/>
      <c r="S11908" s="24"/>
      <c r="T11908" s="24"/>
      <c r="U11908" s="24"/>
      <c r="V11908" s="24"/>
      <c r="W11908" s="24"/>
      <c r="X11908" s="24"/>
      <c r="Y11908" s="24"/>
      <c r="Z11908" s="24"/>
      <c r="AA11908" s="24"/>
    </row>
    <row r="11909">
      <c r="A11909" s="24"/>
      <c r="B11909" s="25"/>
      <c r="C11909" s="24"/>
      <c r="D11909" s="26"/>
      <c r="E11909" s="24"/>
      <c r="F11909" s="24"/>
      <c r="G11909" s="24"/>
      <c r="H11909" s="24"/>
      <c r="I11909" s="24"/>
      <c r="J11909" s="24"/>
      <c r="K11909" s="24"/>
      <c r="L11909" s="24"/>
      <c r="M11909" s="24"/>
      <c r="N11909" s="24"/>
      <c r="O11909" s="24"/>
      <c r="P11909" s="24"/>
      <c r="Q11909" s="24"/>
      <c r="R11909" s="24"/>
      <c r="S11909" s="24"/>
      <c r="T11909" s="24"/>
      <c r="U11909" s="24"/>
      <c r="V11909" s="24"/>
      <c r="W11909" s="24"/>
      <c r="X11909" s="24"/>
      <c r="Y11909" s="24"/>
      <c r="Z11909" s="24"/>
      <c r="AA11909" s="24"/>
    </row>
    <row r="11910">
      <c r="A11910" s="24"/>
      <c r="B11910" s="25"/>
      <c r="C11910" s="24"/>
      <c r="D11910" s="26"/>
      <c r="E11910" s="24"/>
      <c r="F11910" s="24"/>
      <c r="G11910" s="24"/>
      <c r="H11910" s="24"/>
      <c r="I11910" s="24"/>
      <c r="J11910" s="24"/>
      <c r="K11910" s="24"/>
      <c r="L11910" s="24"/>
      <c r="M11910" s="24"/>
      <c r="N11910" s="24"/>
      <c r="O11910" s="24"/>
      <c r="P11910" s="24"/>
      <c r="Q11910" s="24"/>
      <c r="R11910" s="24"/>
      <c r="S11910" s="24"/>
      <c r="T11910" s="24"/>
      <c r="U11910" s="24"/>
      <c r="V11910" s="24"/>
      <c r="W11910" s="24"/>
      <c r="X11910" s="24"/>
      <c r="Y11910" s="24"/>
      <c r="Z11910" s="24"/>
      <c r="AA11910" s="24"/>
    </row>
    <row r="11911">
      <c r="A11911" s="24"/>
      <c r="B11911" s="25"/>
      <c r="C11911" s="24"/>
      <c r="D11911" s="26"/>
      <c r="E11911" s="24"/>
      <c r="F11911" s="24"/>
      <c r="G11911" s="24"/>
      <c r="H11911" s="24"/>
      <c r="I11911" s="24"/>
      <c r="J11911" s="24"/>
      <c r="K11911" s="24"/>
      <c r="L11911" s="24"/>
      <c r="M11911" s="24"/>
      <c r="N11911" s="24"/>
      <c r="O11911" s="24"/>
      <c r="P11911" s="24"/>
      <c r="Q11911" s="24"/>
      <c r="R11911" s="24"/>
      <c r="S11911" s="24"/>
      <c r="T11911" s="24"/>
      <c r="U11911" s="24"/>
      <c r="V11911" s="24"/>
      <c r="W11911" s="24"/>
      <c r="X11911" s="24"/>
      <c r="Y11911" s="24"/>
      <c r="Z11911" s="24"/>
      <c r="AA11911" s="24"/>
    </row>
    <row r="11912">
      <c r="A11912" s="24"/>
      <c r="B11912" s="25"/>
      <c r="C11912" s="24"/>
      <c r="D11912" s="26"/>
      <c r="E11912" s="24"/>
      <c r="F11912" s="24"/>
      <c r="G11912" s="24"/>
      <c r="H11912" s="24"/>
      <c r="I11912" s="24"/>
      <c r="J11912" s="24"/>
      <c r="K11912" s="24"/>
      <c r="L11912" s="24"/>
      <c r="M11912" s="24"/>
      <c r="N11912" s="24"/>
      <c r="O11912" s="24"/>
      <c r="P11912" s="24"/>
      <c r="Q11912" s="24"/>
      <c r="R11912" s="24"/>
      <c r="S11912" s="24"/>
      <c r="T11912" s="24"/>
      <c r="U11912" s="24"/>
      <c r="V11912" s="24"/>
      <c r="W11912" s="24"/>
      <c r="X11912" s="24"/>
      <c r="Y11912" s="24"/>
      <c r="Z11912" s="24"/>
      <c r="AA11912" s="24"/>
    </row>
    <row r="11913">
      <c r="A11913" s="24"/>
      <c r="B11913" s="25"/>
      <c r="C11913" s="24"/>
      <c r="D11913" s="26"/>
      <c r="E11913" s="24"/>
      <c r="F11913" s="24"/>
      <c r="G11913" s="24"/>
      <c r="H11913" s="24"/>
      <c r="I11913" s="24"/>
      <c r="J11913" s="24"/>
      <c r="K11913" s="24"/>
      <c r="L11913" s="24"/>
      <c r="M11913" s="24"/>
      <c r="N11913" s="24"/>
      <c r="O11913" s="24"/>
      <c r="P11913" s="24"/>
      <c r="Q11913" s="24"/>
      <c r="R11913" s="24"/>
      <c r="S11913" s="24"/>
      <c r="T11913" s="24"/>
      <c r="U11913" s="24"/>
      <c r="V11913" s="24"/>
      <c r="W11913" s="24"/>
      <c r="X11913" s="24"/>
      <c r="Y11913" s="24"/>
      <c r="Z11913" s="24"/>
      <c r="AA11913" s="24"/>
    </row>
    <row r="11914">
      <c r="A11914" s="24"/>
      <c r="B11914" s="25"/>
      <c r="C11914" s="24"/>
      <c r="D11914" s="26"/>
      <c r="E11914" s="24"/>
      <c r="F11914" s="24"/>
      <c r="G11914" s="24"/>
      <c r="H11914" s="24"/>
      <c r="I11914" s="24"/>
      <c r="J11914" s="24"/>
      <c r="K11914" s="24"/>
      <c r="L11914" s="24"/>
      <c r="M11914" s="24"/>
      <c r="N11914" s="24"/>
      <c r="O11914" s="24"/>
      <c r="P11914" s="24"/>
      <c r="Q11914" s="24"/>
      <c r="R11914" s="24"/>
      <c r="S11914" s="24"/>
      <c r="T11914" s="24"/>
      <c r="U11914" s="24"/>
      <c r="V11914" s="24"/>
      <c r="W11914" s="24"/>
      <c r="X11914" s="24"/>
      <c r="Y11914" s="24"/>
      <c r="Z11914" s="24"/>
      <c r="AA11914" s="24"/>
    </row>
    <row r="11915">
      <c r="A11915" s="24"/>
      <c r="B11915" s="25"/>
      <c r="C11915" s="24"/>
      <c r="D11915" s="26"/>
      <c r="E11915" s="24"/>
      <c r="F11915" s="24"/>
      <c r="G11915" s="24"/>
      <c r="H11915" s="24"/>
      <c r="I11915" s="24"/>
      <c r="J11915" s="24"/>
      <c r="K11915" s="24"/>
      <c r="L11915" s="24"/>
      <c r="M11915" s="24"/>
      <c r="N11915" s="24"/>
      <c r="O11915" s="24"/>
      <c r="P11915" s="24"/>
      <c r="Q11915" s="24"/>
      <c r="R11915" s="24"/>
      <c r="S11915" s="24"/>
      <c r="T11915" s="24"/>
      <c r="U11915" s="24"/>
      <c r="V11915" s="24"/>
      <c r="W11915" s="24"/>
      <c r="X11915" s="24"/>
      <c r="Y11915" s="24"/>
      <c r="Z11915" s="24"/>
      <c r="AA11915" s="24"/>
    </row>
    <row r="11916">
      <c r="A11916" s="24"/>
      <c r="B11916" s="25"/>
      <c r="C11916" s="24"/>
      <c r="D11916" s="26"/>
      <c r="E11916" s="24"/>
      <c r="F11916" s="24"/>
      <c r="G11916" s="24"/>
      <c r="H11916" s="24"/>
      <c r="I11916" s="24"/>
      <c r="J11916" s="24"/>
      <c r="K11916" s="24"/>
      <c r="L11916" s="24"/>
      <c r="M11916" s="24"/>
      <c r="N11916" s="24"/>
      <c r="O11916" s="24"/>
      <c r="P11916" s="24"/>
      <c r="Q11916" s="24"/>
      <c r="R11916" s="24"/>
      <c r="S11916" s="24"/>
      <c r="T11916" s="24"/>
      <c r="U11916" s="24"/>
      <c r="V11916" s="24"/>
      <c r="W11916" s="24"/>
      <c r="X11916" s="24"/>
      <c r="Y11916" s="24"/>
      <c r="Z11916" s="24"/>
      <c r="AA11916" s="24"/>
    </row>
    <row r="11917">
      <c r="A11917" s="24"/>
      <c r="B11917" s="25"/>
      <c r="C11917" s="24"/>
      <c r="D11917" s="26"/>
      <c r="E11917" s="24"/>
      <c r="F11917" s="24"/>
      <c r="G11917" s="24"/>
      <c r="H11917" s="24"/>
      <c r="I11917" s="24"/>
      <c r="J11917" s="24"/>
      <c r="K11917" s="24"/>
      <c r="L11917" s="24"/>
      <c r="M11917" s="24"/>
      <c r="N11917" s="24"/>
      <c r="O11917" s="24"/>
      <c r="P11917" s="24"/>
      <c r="Q11917" s="24"/>
      <c r="R11917" s="24"/>
      <c r="S11917" s="24"/>
      <c r="T11917" s="24"/>
      <c r="U11917" s="24"/>
      <c r="V11917" s="24"/>
      <c r="W11917" s="24"/>
      <c r="X11917" s="24"/>
      <c r="Y11917" s="24"/>
      <c r="Z11917" s="24"/>
      <c r="AA11917" s="24"/>
    </row>
    <row r="11918">
      <c r="A11918" s="24"/>
      <c r="B11918" s="25"/>
      <c r="C11918" s="24"/>
      <c r="D11918" s="26"/>
      <c r="E11918" s="24"/>
      <c r="F11918" s="24"/>
      <c r="G11918" s="24"/>
      <c r="H11918" s="24"/>
      <c r="I11918" s="24"/>
      <c r="J11918" s="24"/>
      <c r="K11918" s="24"/>
      <c r="L11918" s="24"/>
      <c r="M11918" s="24"/>
      <c r="N11918" s="24"/>
      <c r="O11918" s="24"/>
      <c r="P11918" s="24"/>
      <c r="Q11918" s="24"/>
      <c r="R11918" s="24"/>
      <c r="S11918" s="24"/>
      <c r="T11918" s="24"/>
      <c r="U11918" s="24"/>
      <c r="V11918" s="24"/>
      <c r="W11918" s="24"/>
      <c r="X11918" s="24"/>
      <c r="Y11918" s="24"/>
      <c r="Z11918" s="24"/>
      <c r="AA11918" s="24"/>
    </row>
    <row r="11919">
      <c r="A11919" s="24"/>
      <c r="B11919" s="25"/>
      <c r="C11919" s="24"/>
      <c r="D11919" s="26"/>
      <c r="E11919" s="24"/>
      <c r="F11919" s="24"/>
      <c r="G11919" s="24"/>
      <c r="H11919" s="24"/>
      <c r="I11919" s="24"/>
      <c r="J11919" s="24"/>
      <c r="K11919" s="24"/>
      <c r="L11919" s="24"/>
      <c r="M11919" s="24"/>
      <c r="N11919" s="24"/>
      <c r="O11919" s="24"/>
      <c r="P11919" s="24"/>
      <c r="Q11919" s="24"/>
      <c r="R11919" s="24"/>
      <c r="S11919" s="24"/>
      <c r="T11919" s="24"/>
      <c r="U11919" s="24"/>
      <c r="V11919" s="24"/>
      <c r="W11919" s="24"/>
      <c r="X11919" s="24"/>
      <c r="Y11919" s="24"/>
      <c r="Z11919" s="24"/>
      <c r="AA11919" s="24"/>
    </row>
    <row r="11920">
      <c r="A11920" s="24"/>
      <c r="B11920" s="25"/>
      <c r="C11920" s="24"/>
      <c r="D11920" s="26"/>
      <c r="E11920" s="24"/>
      <c r="F11920" s="24"/>
      <c r="G11920" s="24"/>
      <c r="H11920" s="24"/>
      <c r="I11920" s="24"/>
      <c r="J11920" s="24"/>
      <c r="K11920" s="24"/>
      <c r="L11920" s="24"/>
      <c r="M11920" s="24"/>
      <c r="N11920" s="24"/>
      <c r="O11920" s="24"/>
      <c r="P11920" s="24"/>
      <c r="Q11920" s="24"/>
      <c r="R11920" s="24"/>
      <c r="S11920" s="24"/>
      <c r="T11920" s="24"/>
      <c r="U11920" s="24"/>
      <c r="V11920" s="24"/>
      <c r="W11920" s="24"/>
      <c r="X11920" s="24"/>
      <c r="Y11920" s="24"/>
      <c r="Z11920" s="24"/>
      <c r="AA11920" s="24"/>
    </row>
    <row r="11921">
      <c r="A11921" s="24"/>
      <c r="B11921" s="25"/>
      <c r="C11921" s="24"/>
      <c r="D11921" s="26"/>
      <c r="E11921" s="24"/>
      <c r="F11921" s="24"/>
      <c r="G11921" s="24"/>
      <c r="H11921" s="24"/>
      <c r="I11921" s="24"/>
      <c r="J11921" s="24"/>
      <c r="K11921" s="24"/>
      <c r="L11921" s="24"/>
      <c r="M11921" s="24"/>
      <c r="N11921" s="24"/>
      <c r="O11921" s="24"/>
      <c r="P11921" s="24"/>
      <c r="Q11921" s="24"/>
      <c r="R11921" s="24"/>
      <c r="S11921" s="24"/>
      <c r="T11921" s="24"/>
      <c r="U11921" s="24"/>
      <c r="V11921" s="24"/>
      <c r="W11921" s="24"/>
      <c r="X11921" s="24"/>
      <c r="Y11921" s="24"/>
      <c r="Z11921" s="24"/>
      <c r="AA11921" s="24"/>
    </row>
    <row r="11922">
      <c r="A11922" s="24"/>
      <c r="B11922" s="25"/>
      <c r="C11922" s="24"/>
      <c r="D11922" s="26"/>
      <c r="E11922" s="24"/>
      <c r="F11922" s="24"/>
      <c r="G11922" s="24"/>
      <c r="H11922" s="24"/>
      <c r="I11922" s="24"/>
      <c r="J11922" s="24"/>
      <c r="K11922" s="24"/>
      <c r="L11922" s="24"/>
      <c r="M11922" s="24"/>
      <c r="N11922" s="24"/>
      <c r="O11922" s="24"/>
      <c r="P11922" s="24"/>
      <c r="Q11922" s="24"/>
      <c r="R11922" s="24"/>
      <c r="S11922" s="24"/>
      <c r="T11922" s="24"/>
      <c r="U11922" s="24"/>
      <c r="V11922" s="24"/>
      <c r="W11922" s="24"/>
      <c r="X11922" s="24"/>
      <c r="Y11922" s="24"/>
      <c r="Z11922" s="24"/>
      <c r="AA11922" s="24"/>
    </row>
    <row r="11923">
      <c r="A11923" s="24"/>
      <c r="B11923" s="25"/>
      <c r="C11923" s="24"/>
      <c r="D11923" s="26"/>
      <c r="E11923" s="24"/>
      <c r="F11923" s="24"/>
      <c r="G11923" s="24"/>
      <c r="H11923" s="24"/>
      <c r="I11923" s="24"/>
      <c r="J11923" s="24"/>
      <c r="K11923" s="24"/>
      <c r="L11923" s="24"/>
      <c r="M11923" s="24"/>
      <c r="N11923" s="24"/>
      <c r="O11923" s="24"/>
      <c r="P11923" s="24"/>
      <c r="Q11923" s="24"/>
      <c r="R11923" s="24"/>
      <c r="S11923" s="24"/>
      <c r="T11923" s="24"/>
      <c r="U11923" s="24"/>
      <c r="V11923" s="24"/>
      <c r="W11923" s="24"/>
      <c r="X11923" s="24"/>
      <c r="Y11923" s="24"/>
      <c r="Z11923" s="24"/>
      <c r="AA11923" s="24"/>
    </row>
    <row r="11924">
      <c r="A11924" s="24"/>
      <c r="B11924" s="25"/>
      <c r="C11924" s="24"/>
      <c r="D11924" s="26"/>
      <c r="E11924" s="24"/>
      <c r="F11924" s="24"/>
      <c r="G11924" s="24"/>
      <c r="H11924" s="24"/>
      <c r="I11924" s="24"/>
      <c r="J11924" s="24"/>
      <c r="K11924" s="24"/>
      <c r="L11924" s="24"/>
      <c r="M11924" s="24"/>
      <c r="N11924" s="24"/>
      <c r="O11924" s="24"/>
      <c r="P11924" s="24"/>
      <c r="Q11924" s="24"/>
      <c r="R11924" s="24"/>
      <c r="S11924" s="24"/>
      <c r="T11924" s="24"/>
      <c r="U11924" s="24"/>
      <c r="V11924" s="24"/>
      <c r="W11924" s="24"/>
      <c r="X11924" s="24"/>
      <c r="Y11924" s="24"/>
      <c r="Z11924" s="24"/>
      <c r="AA11924" s="24"/>
    </row>
    <row r="11925">
      <c r="A11925" s="24"/>
      <c r="B11925" s="25"/>
      <c r="C11925" s="24"/>
      <c r="D11925" s="26"/>
      <c r="E11925" s="24"/>
      <c r="F11925" s="24"/>
      <c r="G11925" s="24"/>
      <c r="H11925" s="24"/>
      <c r="I11925" s="24"/>
      <c r="J11925" s="24"/>
      <c r="K11925" s="24"/>
      <c r="L11925" s="24"/>
      <c r="M11925" s="24"/>
      <c r="N11925" s="24"/>
      <c r="O11925" s="24"/>
      <c r="P11925" s="24"/>
      <c r="Q11925" s="24"/>
      <c r="R11925" s="24"/>
      <c r="S11925" s="24"/>
      <c r="T11925" s="24"/>
      <c r="U11925" s="24"/>
      <c r="V11925" s="24"/>
      <c r="W11925" s="24"/>
      <c r="X11925" s="24"/>
      <c r="Y11925" s="24"/>
      <c r="Z11925" s="24"/>
      <c r="AA11925" s="24"/>
    </row>
    <row r="11926">
      <c r="A11926" s="24"/>
      <c r="B11926" s="25"/>
      <c r="C11926" s="24"/>
      <c r="D11926" s="26"/>
      <c r="E11926" s="24"/>
      <c r="F11926" s="24"/>
      <c r="G11926" s="24"/>
      <c r="H11926" s="24"/>
      <c r="I11926" s="24"/>
      <c r="J11926" s="24"/>
      <c r="K11926" s="24"/>
      <c r="L11926" s="24"/>
      <c r="M11926" s="24"/>
      <c r="N11926" s="24"/>
      <c r="O11926" s="24"/>
      <c r="P11926" s="24"/>
      <c r="Q11926" s="24"/>
      <c r="R11926" s="24"/>
      <c r="S11926" s="24"/>
      <c r="T11926" s="24"/>
      <c r="U11926" s="24"/>
      <c r="V11926" s="24"/>
      <c r="W11926" s="24"/>
      <c r="X11926" s="24"/>
      <c r="Y11926" s="24"/>
      <c r="Z11926" s="24"/>
      <c r="AA11926" s="24"/>
    </row>
    <row r="11927">
      <c r="A11927" s="24"/>
      <c r="B11927" s="25"/>
      <c r="C11927" s="24"/>
      <c r="D11927" s="26"/>
      <c r="E11927" s="24"/>
      <c r="F11927" s="24"/>
      <c r="G11927" s="24"/>
      <c r="H11927" s="24"/>
      <c r="I11927" s="24"/>
      <c r="J11927" s="24"/>
      <c r="K11927" s="24"/>
      <c r="L11927" s="24"/>
      <c r="M11927" s="24"/>
      <c r="N11927" s="24"/>
      <c r="O11927" s="24"/>
      <c r="P11927" s="24"/>
      <c r="Q11927" s="24"/>
      <c r="R11927" s="24"/>
      <c r="S11927" s="24"/>
      <c r="T11927" s="24"/>
      <c r="U11927" s="24"/>
      <c r="V11927" s="24"/>
      <c r="W11927" s="24"/>
      <c r="X11927" s="24"/>
      <c r="Y11927" s="24"/>
      <c r="Z11927" s="24"/>
      <c r="AA11927" s="24"/>
    </row>
    <row r="11928">
      <c r="A11928" s="24"/>
      <c r="B11928" s="25"/>
      <c r="C11928" s="24"/>
      <c r="D11928" s="26"/>
      <c r="E11928" s="24"/>
      <c r="F11928" s="24"/>
      <c r="G11928" s="24"/>
      <c r="H11928" s="24"/>
      <c r="I11928" s="24"/>
      <c r="J11928" s="24"/>
      <c r="K11928" s="24"/>
      <c r="L11928" s="24"/>
      <c r="M11928" s="24"/>
      <c r="N11928" s="24"/>
      <c r="O11928" s="24"/>
      <c r="P11928" s="24"/>
      <c r="Q11928" s="24"/>
      <c r="R11928" s="24"/>
      <c r="S11928" s="24"/>
      <c r="T11928" s="24"/>
      <c r="U11928" s="24"/>
      <c r="V11928" s="24"/>
      <c r="W11928" s="24"/>
      <c r="X11928" s="24"/>
      <c r="Y11928" s="24"/>
      <c r="Z11928" s="24"/>
      <c r="AA11928" s="24"/>
    </row>
    <row r="11929">
      <c r="A11929" s="24"/>
      <c r="B11929" s="25"/>
      <c r="C11929" s="24"/>
      <c r="D11929" s="26"/>
      <c r="E11929" s="24"/>
      <c r="F11929" s="24"/>
      <c r="G11929" s="24"/>
      <c r="H11929" s="24"/>
      <c r="I11929" s="24"/>
      <c r="J11929" s="24"/>
      <c r="K11929" s="24"/>
      <c r="L11929" s="24"/>
      <c r="M11929" s="24"/>
      <c r="N11929" s="24"/>
      <c r="O11929" s="24"/>
      <c r="P11929" s="24"/>
      <c r="Q11929" s="24"/>
      <c r="R11929" s="24"/>
      <c r="S11929" s="24"/>
      <c r="T11929" s="24"/>
      <c r="U11929" s="24"/>
      <c r="V11929" s="24"/>
      <c r="W11929" s="24"/>
      <c r="X11929" s="24"/>
      <c r="Y11929" s="24"/>
      <c r="Z11929" s="24"/>
      <c r="AA11929" s="24"/>
    </row>
    <row r="11930">
      <c r="A11930" s="24"/>
      <c r="B11930" s="25"/>
      <c r="C11930" s="24"/>
      <c r="D11930" s="26"/>
      <c r="E11930" s="24"/>
      <c r="F11930" s="24"/>
      <c r="G11930" s="24"/>
      <c r="H11930" s="24"/>
      <c r="I11930" s="24"/>
      <c r="J11930" s="24"/>
      <c r="K11930" s="24"/>
      <c r="L11930" s="24"/>
      <c r="M11930" s="24"/>
      <c r="N11930" s="24"/>
      <c r="O11930" s="24"/>
      <c r="P11930" s="24"/>
      <c r="Q11930" s="24"/>
      <c r="R11930" s="24"/>
      <c r="S11930" s="24"/>
      <c r="T11930" s="24"/>
      <c r="U11930" s="24"/>
      <c r="V11930" s="24"/>
      <c r="W11930" s="24"/>
      <c r="X11930" s="24"/>
      <c r="Y11930" s="24"/>
      <c r="Z11930" s="24"/>
      <c r="AA11930" s="24"/>
    </row>
    <row r="11931">
      <c r="A11931" s="24"/>
      <c r="B11931" s="25"/>
      <c r="C11931" s="24"/>
      <c r="D11931" s="26"/>
      <c r="E11931" s="24"/>
      <c r="F11931" s="24"/>
      <c r="G11931" s="24"/>
      <c r="H11931" s="24"/>
      <c r="I11931" s="24"/>
      <c r="J11931" s="24"/>
      <c r="K11931" s="24"/>
      <c r="L11931" s="24"/>
      <c r="M11931" s="24"/>
      <c r="N11931" s="24"/>
      <c r="O11931" s="24"/>
      <c r="P11931" s="24"/>
      <c r="Q11931" s="24"/>
      <c r="R11931" s="24"/>
      <c r="S11931" s="24"/>
      <c r="T11931" s="24"/>
      <c r="U11931" s="24"/>
      <c r="V11931" s="24"/>
      <c r="W11931" s="24"/>
      <c r="X11931" s="24"/>
      <c r="Y11931" s="24"/>
      <c r="Z11931" s="24"/>
      <c r="AA11931" s="24"/>
    </row>
    <row r="11932">
      <c r="A11932" s="24"/>
      <c r="B11932" s="25"/>
      <c r="C11932" s="24"/>
      <c r="D11932" s="26"/>
      <c r="E11932" s="24"/>
      <c r="F11932" s="24"/>
      <c r="G11932" s="24"/>
      <c r="H11932" s="24"/>
      <c r="I11932" s="24"/>
      <c r="J11932" s="24"/>
      <c r="K11932" s="24"/>
      <c r="L11932" s="24"/>
      <c r="M11932" s="24"/>
      <c r="N11932" s="24"/>
      <c r="O11932" s="24"/>
      <c r="P11932" s="24"/>
      <c r="Q11932" s="24"/>
      <c r="R11932" s="24"/>
      <c r="S11932" s="24"/>
      <c r="T11932" s="24"/>
      <c r="U11932" s="24"/>
      <c r="V11932" s="24"/>
      <c r="W11932" s="24"/>
      <c r="X11932" s="24"/>
      <c r="Y11932" s="24"/>
      <c r="Z11932" s="24"/>
      <c r="AA11932" s="24"/>
    </row>
    <row r="11933">
      <c r="A11933" s="24"/>
      <c r="B11933" s="25"/>
      <c r="C11933" s="24"/>
      <c r="D11933" s="26"/>
      <c r="E11933" s="24"/>
      <c r="F11933" s="24"/>
      <c r="G11933" s="24"/>
      <c r="H11933" s="24"/>
      <c r="I11933" s="24"/>
      <c r="J11933" s="24"/>
      <c r="K11933" s="24"/>
      <c r="L11933" s="24"/>
      <c r="M11933" s="24"/>
      <c r="N11933" s="24"/>
      <c r="O11933" s="24"/>
      <c r="P11933" s="24"/>
      <c r="Q11933" s="24"/>
      <c r="R11933" s="24"/>
      <c r="S11933" s="24"/>
      <c r="T11933" s="24"/>
      <c r="U11933" s="24"/>
      <c r="V11933" s="24"/>
      <c r="W11933" s="24"/>
      <c r="X11933" s="24"/>
      <c r="Y11933" s="24"/>
      <c r="Z11933" s="24"/>
      <c r="AA11933" s="24"/>
    </row>
    <row r="11934">
      <c r="A11934" s="24"/>
      <c r="B11934" s="25"/>
      <c r="C11934" s="24"/>
      <c r="D11934" s="26"/>
      <c r="E11934" s="24"/>
      <c r="F11934" s="24"/>
      <c r="G11934" s="24"/>
      <c r="H11934" s="24"/>
      <c r="I11934" s="24"/>
      <c r="J11934" s="24"/>
      <c r="K11934" s="24"/>
      <c r="L11934" s="24"/>
      <c r="M11934" s="24"/>
      <c r="N11934" s="24"/>
      <c r="O11934" s="24"/>
      <c r="P11934" s="24"/>
      <c r="Q11934" s="24"/>
      <c r="R11934" s="24"/>
      <c r="S11934" s="24"/>
      <c r="T11934" s="24"/>
      <c r="U11934" s="24"/>
      <c r="V11934" s="24"/>
      <c r="W11934" s="24"/>
      <c r="X11934" s="24"/>
      <c r="Y11934" s="24"/>
      <c r="Z11934" s="24"/>
      <c r="AA11934" s="24"/>
    </row>
    <row r="11935">
      <c r="A11935" s="24"/>
      <c r="B11935" s="25"/>
      <c r="C11935" s="24"/>
      <c r="D11935" s="26"/>
      <c r="E11935" s="24"/>
      <c r="F11935" s="24"/>
      <c r="G11935" s="24"/>
      <c r="H11935" s="24"/>
      <c r="I11935" s="24"/>
      <c r="J11935" s="24"/>
      <c r="K11935" s="24"/>
      <c r="L11935" s="24"/>
      <c r="M11935" s="24"/>
      <c r="N11935" s="24"/>
      <c r="O11935" s="24"/>
      <c r="P11935" s="24"/>
      <c r="Q11935" s="24"/>
      <c r="R11935" s="24"/>
      <c r="S11935" s="24"/>
      <c r="T11935" s="24"/>
      <c r="U11935" s="24"/>
      <c r="V11935" s="24"/>
      <c r="W11935" s="24"/>
      <c r="X11935" s="24"/>
      <c r="Y11935" s="24"/>
      <c r="Z11935" s="24"/>
      <c r="AA11935" s="24"/>
    </row>
    <row r="11936">
      <c r="A11936" s="24"/>
      <c r="B11936" s="25"/>
      <c r="C11936" s="24"/>
      <c r="D11936" s="26"/>
      <c r="E11936" s="24"/>
      <c r="F11936" s="24"/>
      <c r="G11936" s="24"/>
      <c r="H11936" s="24"/>
      <c r="I11936" s="24"/>
      <c r="J11936" s="24"/>
      <c r="K11936" s="24"/>
      <c r="L11936" s="24"/>
      <c r="M11936" s="24"/>
      <c r="N11936" s="24"/>
      <c r="O11936" s="24"/>
      <c r="P11936" s="24"/>
      <c r="Q11936" s="24"/>
      <c r="R11936" s="24"/>
      <c r="S11936" s="24"/>
      <c r="T11936" s="24"/>
      <c r="U11936" s="24"/>
      <c r="V11936" s="24"/>
      <c r="W11936" s="24"/>
      <c r="X11936" s="24"/>
      <c r="Y11936" s="24"/>
      <c r="Z11936" s="24"/>
      <c r="AA11936" s="24"/>
    </row>
    <row r="11937">
      <c r="A11937" s="24"/>
      <c r="B11937" s="25"/>
      <c r="C11937" s="24"/>
      <c r="D11937" s="26"/>
      <c r="E11937" s="24"/>
      <c r="F11937" s="24"/>
      <c r="G11937" s="24"/>
      <c r="H11937" s="24"/>
      <c r="I11937" s="24"/>
      <c r="J11937" s="24"/>
      <c r="K11937" s="24"/>
      <c r="L11937" s="24"/>
      <c r="M11937" s="24"/>
      <c r="N11937" s="24"/>
      <c r="O11937" s="24"/>
      <c r="P11937" s="24"/>
      <c r="Q11937" s="24"/>
      <c r="R11937" s="24"/>
      <c r="S11937" s="24"/>
      <c r="T11937" s="24"/>
      <c r="U11937" s="24"/>
      <c r="V11937" s="24"/>
      <c r="W11937" s="24"/>
      <c r="X11937" s="24"/>
      <c r="Y11937" s="24"/>
      <c r="Z11937" s="24"/>
      <c r="AA11937" s="24"/>
    </row>
    <row r="11938">
      <c r="A11938" s="24"/>
      <c r="B11938" s="25"/>
      <c r="C11938" s="24"/>
      <c r="D11938" s="26"/>
      <c r="E11938" s="24"/>
      <c r="F11938" s="24"/>
      <c r="G11938" s="24"/>
      <c r="H11938" s="24"/>
      <c r="I11938" s="24"/>
      <c r="J11938" s="24"/>
      <c r="K11938" s="24"/>
      <c r="L11938" s="24"/>
      <c r="M11938" s="24"/>
      <c r="N11938" s="24"/>
      <c r="O11938" s="24"/>
      <c r="P11938" s="24"/>
      <c r="Q11938" s="24"/>
      <c r="R11938" s="24"/>
      <c r="S11938" s="24"/>
      <c r="T11938" s="24"/>
      <c r="U11938" s="24"/>
      <c r="V11938" s="24"/>
      <c r="W11938" s="24"/>
      <c r="X11938" s="24"/>
      <c r="Y11938" s="24"/>
      <c r="Z11938" s="24"/>
      <c r="AA11938" s="24"/>
    </row>
    <row r="11939">
      <c r="A11939" s="24"/>
      <c r="B11939" s="25"/>
      <c r="C11939" s="24"/>
      <c r="D11939" s="26"/>
      <c r="E11939" s="24"/>
      <c r="F11939" s="24"/>
      <c r="G11939" s="24"/>
      <c r="H11939" s="24"/>
      <c r="I11939" s="24"/>
      <c r="J11939" s="24"/>
      <c r="K11939" s="24"/>
      <c r="L11939" s="24"/>
      <c r="M11939" s="24"/>
      <c r="N11939" s="24"/>
      <c r="O11939" s="24"/>
      <c r="P11939" s="24"/>
      <c r="Q11939" s="24"/>
      <c r="R11939" s="24"/>
      <c r="S11939" s="24"/>
      <c r="T11939" s="24"/>
      <c r="U11939" s="24"/>
      <c r="V11939" s="24"/>
      <c r="W11939" s="24"/>
      <c r="X11939" s="24"/>
      <c r="Y11939" s="24"/>
      <c r="Z11939" s="24"/>
      <c r="AA11939" s="24"/>
    </row>
    <row r="11940">
      <c r="A11940" s="24"/>
      <c r="B11940" s="25"/>
      <c r="C11940" s="24"/>
      <c r="D11940" s="26"/>
      <c r="E11940" s="24"/>
      <c r="F11940" s="24"/>
      <c r="G11940" s="24"/>
      <c r="H11940" s="24"/>
      <c r="I11940" s="24"/>
      <c r="J11940" s="24"/>
      <c r="K11940" s="24"/>
      <c r="L11940" s="24"/>
      <c r="M11940" s="24"/>
      <c r="N11940" s="24"/>
      <c r="O11940" s="24"/>
      <c r="P11940" s="24"/>
      <c r="Q11940" s="24"/>
      <c r="R11940" s="24"/>
      <c r="S11940" s="24"/>
      <c r="T11940" s="24"/>
      <c r="U11940" s="24"/>
      <c r="V11940" s="24"/>
      <c r="W11940" s="24"/>
      <c r="X11940" s="24"/>
      <c r="Y11940" s="24"/>
      <c r="Z11940" s="24"/>
      <c r="AA11940" s="24"/>
    </row>
    <row r="11941">
      <c r="A11941" s="24"/>
      <c r="B11941" s="25"/>
      <c r="C11941" s="24"/>
      <c r="D11941" s="26"/>
      <c r="E11941" s="24"/>
      <c r="F11941" s="24"/>
      <c r="G11941" s="24"/>
      <c r="H11941" s="24"/>
      <c r="I11941" s="24"/>
      <c r="J11941" s="24"/>
      <c r="K11941" s="24"/>
      <c r="L11941" s="24"/>
      <c r="M11941" s="24"/>
      <c r="N11941" s="24"/>
      <c r="O11941" s="24"/>
      <c r="P11941" s="24"/>
      <c r="Q11941" s="24"/>
      <c r="R11941" s="24"/>
      <c r="S11941" s="24"/>
      <c r="T11941" s="24"/>
      <c r="U11941" s="24"/>
      <c r="V11941" s="24"/>
      <c r="W11941" s="24"/>
      <c r="X11941" s="24"/>
      <c r="Y11941" s="24"/>
      <c r="Z11941" s="24"/>
      <c r="AA11941" s="24"/>
    </row>
    <row r="11942">
      <c r="A11942" s="24"/>
      <c r="B11942" s="25"/>
      <c r="C11942" s="24"/>
      <c r="D11942" s="26"/>
      <c r="E11942" s="24"/>
      <c r="F11942" s="24"/>
      <c r="G11942" s="24"/>
      <c r="H11942" s="24"/>
      <c r="I11942" s="24"/>
      <c r="J11942" s="24"/>
      <c r="K11942" s="24"/>
      <c r="L11942" s="24"/>
      <c r="M11942" s="24"/>
      <c r="N11942" s="24"/>
      <c r="O11942" s="24"/>
      <c r="P11942" s="24"/>
      <c r="Q11942" s="24"/>
      <c r="R11942" s="24"/>
      <c r="S11942" s="24"/>
      <c r="T11942" s="24"/>
      <c r="U11942" s="24"/>
      <c r="V11942" s="24"/>
      <c r="W11942" s="24"/>
      <c r="X11942" s="24"/>
      <c r="Y11942" s="24"/>
      <c r="Z11942" s="24"/>
      <c r="AA11942" s="24"/>
    </row>
    <row r="11943">
      <c r="A11943" s="24"/>
      <c r="B11943" s="25"/>
      <c r="C11943" s="24"/>
      <c r="D11943" s="26"/>
      <c r="E11943" s="24"/>
      <c r="F11943" s="24"/>
      <c r="G11943" s="24"/>
      <c r="H11943" s="24"/>
      <c r="I11943" s="24"/>
      <c r="J11943" s="24"/>
      <c r="K11943" s="24"/>
      <c r="L11943" s="24"/>
      <c r="M11943" s="24"/>
      <c r="N11943" s="24"/>
      <c r="O11943" s="24"/>
      <c r="P11943" s="24"/>
      <c r="Q11943" s="24"/>
      <c r="R11943" s="24"/>
      <c r="S11943" s="24"/>
      <c r="T11943" s="24"/>
      <c r="U11943" s="24"/>
      <c r="V11943" s="24"/>
      <c r="W11943" s="24"/>
      <c r="X11943" s="24"/>
      <c r="Y11943" s="24"/>
      <c r="Z11943" s="24"/>
      <c r="AA11943" s="24"/>
    </row>
    <row r="11944">
      <c r="A11944" s="24"/>
      <c r="B11944" s="25"/>
      <c r="C11944" s="24"/>
      <c r="D11944" s="26"/>
      <c r="E11944" s="24"/>
      <c r="F11944" s="24"/>
      <c r="G11944" s="24"/>
      <c r="H11944" s="24"/>
      <c r="I11944" s="24"/>
      <c r="J11944" s="24"/>
      <c r="K11944" s="24"/>
      <c r="L11944" s="24"/>
      <c r="M11944" s="24"/>
      <c r="N11944" s="24"/>
      <c r="O11944" s="24"/>
      <c r="P11944" s="24"/>
      <c r="Q11944" s="24"/>
      <c r="R11944" s="24"/>
      <c r="S11944" s="24"/>
      <c r="T11944" s="24"/>
      <c r="U11944" s="24"/>
      <c r="V11944" s="24"/>
      <c r="W11944" s="24"/>
      <c r="X11944" s="24"/>
      <c r="Y11944" s="24"/>
      <c r="Z11944" s="24"/>
      <c r="AA11944" s="24"/>
    </row>
    <row r="11945">
      <c r="A11945" s="24"/>
      <c r="B11945" s="25"/>
      <c r="C11945" s="24"/>
      <c r="D11945" s="26"/>
      <c r="E11945" s="24"/>
      <c r="F11945" s="24"/>
      <c r="G11945" s="24"/>
      <c r="H11945" s="24"/>
      <c r="I11945" s="24"/>
      <c r="J11945" s="24"/>
      <c r="K11945" s="24"/>
      <c r="L11945" s="24"/>
      <c r="M11945" s="24"/>
      <c r="N11945" s="24"/>
      <c r="O11945" s="24"/>
      <c r="P11945" s="24"/>
      <c r="Q11945" s="24"/>
      <c r="R11945" s="24"/>
      <c r="S11945" s="24"/>
      <c r="T11945" s="24"/>
      <c r="U11945" s="24"/>
      <c r="V11945" s="24"/>
      <c r="W11945" s="24"/>
      <c r="X11945" s="24"/>
      <c r="Y11945" s="24"/>
      <c r="Z11945" s="24"/>
      <c r="AA11945" s="24"/>
    </row>
    <row r="11946">
      <c r="A11946" s="24"/>
      <c r="B11946" s="25"/>
      <c r="C11946" s="24"/>
      <c r="D11946" s="26"/>
      <c r="E11946" s="24"/>
      <c r="F11946" s="24"/>
      <c r="G11946" s="24"/>
      <c r="H11946" s="24"/>
      <c r="I11946" s="24"/>
      <c r="J11946" s="24"/>
      <c r="K11946" s="24"/>
      <c r="L11946" s="24"/>
      <c r="M11946" s="24"/>
      <c r="N11946" s="24"/>
      <c r="O11946" s="24"/>
      <c r="P11946" s="24"/>
      <c r="Q11946" s="24"/>
      <c r="R11946" s="24"/>
      <c r="S11946" s="24"/>
      <c r="T11946" s="24"/>
      <c r="U11946" s="24"/>
      <c r="V11946" s="24"/>
      <c r="W11946" s="24"/>
      <c r="X11946" s="24"/>
      <c r="Y11946" s="24"/>
      <c r="Z11946" s="24"/>
      <c r="AA11946" s="24"/>
    </row>
    <row r="11947">
      <c r="A11947" s="24"/>
      <c r="B11947" s="25"/>
      <c r="C11947" s="24"/>
      <c r="D11947" s="26"/>
      <c r="E11947" s="24"/>
      <c r="F11947" s="24"/>
      <c r="G11947" s="24"/>
      <c r="H11947" s="24"/>
      <c r="I11947" s="24"/>
      <c r="J11947" s="24"/>
      <c r="K11947" s="24"/>
      <c r="L11947" s="24"/>
      <c r="M11947" s="24"/>
      <c r="N11947" s="24"/>
      <c r="O11947" s="24"/>
      <c r="P11947" s="24"/>
      <c r="Q11947" s="24"/>
      <c r="R11947" s="24"/>
      <c r="S11947" s="24"/>
      <c r="T11947" s="24"/>
      <c r="U11947" s="24"/>
      <c r="V11947" s="24"/>
      <c r="W11947" s="24"/>
      <c r="X11947" s="24"/>
      <c r="Y11947" s="24"/>
      <c r="Z11947" s="24"/>
      <c r="AA11947" s="24"/>
    </row>
    <row r="11948">
      <c r="A11948" s="24"/>
      <c r="B11948" s="25"/>
      <c r="C11948" s="24"/>
      <c r="D11948" s="26"/>
      <c r="E11948" s="24"/>
      <c r="F11948" s="24"/>
      <c r="G11948" s="24"/>
      <c r="H11948" s="24"/>
      <c r="I11948" s="24"/>
      <c r="J11948" s="24"/>
      <c r="K11948" s="24"/>
      <c r="L11948" s="24"/>
      <c r="M11948" s="24"/>
      <c r="N11948" s="24"/>
      <c r="O11948" s="24"/>
      <c r="P11948" s="24"/>
      <c r="Q11948" s="24"/>
      <c r="R11948" s="24"/>
      <c r="S11948" s="24"/>
      <c r="T11948" s="24"/>
      <c r="U11948" s="24"/>
      <c r="V11948" s="24"/>
      <c r="W11948" s="24"/>
      <c r="X11948" s="24"/>
      <c r="Y11948" s="24"/>
      <c r="Z11948" s="24"/>
      <c r="AA11948" s="24"/>
    </row>
    <row r="11949">
      <c r="A11949" s="24"/>
      <c r="B11949" s="25"/>
      <c r="C11949" s="24"/>
      <c r="D11949" s="26"/>
      <c r="E11949" s="24"/>
      <c r="F11949" s="24"/>
      <c r="G11949" s="24"/>
      <c r="H11949" s="24"/>
      <c r="I11949" s="24"/>
      <c r="J11949" s="24"/>
      <c r="K11949" s="24"/>
      <c r="L11949" s="24"/>
      <c r="M11949" s="24"/>
      <c r="N11949" s="24"/>
      <c r="O11949" s="24"/>
      <c r="P11949" s="24"/>
      <c r="Q11949" s="24"/>
      <c r="R11949" s="24"/>
      <c r="S11949" s="24"/>
      <c r="T11949" s="24"/>
      <c r="U11949" s="24"/>
      <c r="V11949" s="24"/>
      <c r="W11949" s="24"/>
      <c r="X11949" s="24"/>
      <c r="Y11949" s="24"/>
      <c r="Z11949" s="24"/>
      <c r="AA11949" s="24"/>
    </row>
    <row r="11950">
      <c r="A11950" s="24"/>
      <c r="B11950" s="25"/>
      <c r="C11950" s="24"/>
      <c r="D11950" s="26"/>
      <c r="E11950" s="24"/>
      <c r="F11950" s="24"/>
      <c r="G11950" s="24"/>
      <c r="H11950" s="24"/>
      <c r="I11950" s="24"/>
      <c r="J11950" s="24"/>
      <c r="K11950" s="24"/>
      <c r="L11950" s="24"/>
      <c r="M11950" s="24"/>
      <c r="N11950" s="24"/>
      <c r="O11950" s="24"/>
      <c r="P11950" s="24"/>
      <c r="Q11950" s="24"/>
      <c r="R11950" s="24"/>
      <c r="S11950" s="24"/>
      <c r="T11950" s="24"/>
      <c r="U11950" s="24"/>
      <c r="V11950" s="24"/>
      <c r="W11950" s="24"/>
      <c r="X11950" s="24"/>
      <c r="Y11950" s="24"/>
      <c r="Z11950" s="24"/>
      <c r="AA11950" s="24"/>
    </row>
    <row r="11951">
      <c r="A11951" s="24"/>
      <c r="B11951" s="25"/>
      <c r="C11951" s="24"/>
      <c r="D11951" s="26"/>
      <c r="E11951" s="24"/>
      <c r="F11951" s="24"/>
      <c r="G11951" s="24"/>
      <c r="H11951" s="24"/>
      <c r="I11951" s="24"/>
      <c r="J11951" s="24"/>
      <c r="K11951" s="24"/>
      <c r="L11951" s="24"/>
      <c r="M11951" s="24"/>
      <c r="N11951" s="24"/>
      <c r="O11951" s="24"/>
      <c r="P11951" s="24"/>
      <c r="Q11951" s="24"/>
      <c r="R11951" s="24"/>
      <c r="S11951" s="24"/>
      <c r="T11951" s="24"/>
      <c r="U11951" s="24"/>
      <c r="V11951" s="24"/>
      <c r="W11951" s="24"/>
      <c r="X11951" s="24"/>
      <c r="Y11951" s="24"/>
      <c r="Z11951" s="24"/>
      <c r="AA11951" s="24"/>
    </row>
    <row r="11952">
      <c r="A11952" s="24"/>
      <c r="B11952" s="25"/>
      <c r="C11952" s="24"/>
      <c r="D11952" s="26"/>
      <c r="E11952" s="24"/>
      <c r="F11952" s="24"/>
      <c r="G11952" s="24"/>
      <c r="H11952" s="24"/>
      <c r="I11952" s="24"/>
      <c r="J11952" s="24"/>
      <c r="K11952" s="24"/>
      <c r="L11952" s="24"/>
      <c r="M11952" s="24"/>
      <c r="N11952" s="24"/>
      <c r="O11952" s="24"/>
      <c r="P11952" s="24"/>
      <c r="Q11952" s="24"/>
      <c r="R11952" s="24"/>
      <c r="S11952" s="24"/>
      <c r="T11952" s="24"/>
      <c r="U11952" s="24"/>
      <c r="V11952" s="24"/>
      <c r="W11952" s="24"/>
      <c r="X11952" s="24"/>
      <c r="Y11952" s="24"/>
      <c r="Z11952" s="24"/>
      <c r="AA11952" s="24"/>
    </row>
    <row r="11953">
      <c r="A11953" s="24"/>
      <c r="B11953" s="25"/>
      <c r="C11953" s="24"/>
      <c r="D11953" s="26"/>
      <c r="E11953" s="24"/>
      <c r="F11953" s="24"/>
      <c r="G11953" s="24"/>
      <c r="H11953" s="24"/>
      <c r="I11953" s="24"/>
      <c r="J11953" s="24"/>
      <c r="K11953" s="24"/>
      <c r="L11953" s="24"/>
      <c r="M11953" s="24"/>
      <c r="N11953" s="24"/>
      <c r="O11953" s="24"/>
      <c r="P11953" s="24"/>
      <c r="Q11953" s="24"/>
      <c r="R11953" s="24"/>
      <c r="S11953" s="24"/>
      <c r="T11953" s="24"/>
      <c r="U11953" s="24"/>
      <c r="V11953" s="24"/>
      <c r="W11953" s="24"/>
      <c r="X11953" s="24"/>
      <c r="Y11953" s="24"/>
      <c r="Z11953" s="24"/>
      <c r="AA11953" s="24"/>
    </row>
    <row r="11954">
      <c r="A11954" s="24"/>
      <c r="B11954" s="25"/>
      <c r="C11954" s="24"/>
      <c r="D11954" s="26"/>
      <c r="E11954" s="24"/>
      <c r="F11954" s="24"/>
      <c r="G11954" s="24"/>
      <c r="H11954" s="24"/>
      <c r="I11954" s="24"/>
      <c r="J11954" s="24"/>
      <c r="K11954" s="24"/>
      <c r="L11954" s="24"/>
      <c r="M11954" s="24"/>
      <c r="N11954" s="24"/>
      <c r="O11954" s="24"/>
      <c r="P11954" s="24"/>
      <c r="Q11954" s="24"/>
      <c r="R11954" s="24"/>
      <c r="S11954" s="24"/>
      <c r="T11954" s="24"/>
      <c r="U11954" s="24"/>
      <c r="V11954" s="24"/>
      <c r="W11954" s="24"/>
      <c r="X11954" s="24"/>
      <c r="Y11954" s="24"/>
      <c r="Z11954" s="24"/>
      <c r="AA11954" s="24"/>
    </row>
    <row r="11955">
      <c r="A11955" s="24"/>
      <c r="B11955" s="25"/>
      <c r="C11955" s="24"/>
      <c r="D11955" s="26"/>
      <c r="E11955" s="24"/>
      <c r="F11955" s="24"/>
      <c r="G11955" s="24"/>
      <c r="H11955" s="24"/>
      <c r="I11955" s="24"/>
      <c r="J11955" s="24"/>
      <c r="K11955" s="24"/>
      <c r="L11955" s="24"/>
      <c r="M11955" s="24"/>
      <c r="N11955" s="24"/>
      <c r="O11955" s="24"/>
      <c r="P11955" s="24"/>
      <c r="Q11955" s="24"/>
      <c r="R11955" s="24"/>
      <c r="S11955" s="24"/>
      <c r="T11955" s="24"/>
      <c r="U11955" s="24"/>
      <c r="V11955" s="24"/>
      <c r="W11955" s="24"/>
      <c r="X11955" s="24"/>
      <c r="Y11955" s="24"/>
      <c r="Z11955" s="24"/>
      <c r="AA11955" s="24"/>
    </row>
    <row r="11956">
      <c r="A11956" s="24"/>
      <c r="B11956" s="25"/>
      <c r="C11956" s="24"/>
      <c r="D11956" s="26"/>
      <c r="E11956" s="24"/>
      <c r="F11956" s="24"/>
      <c r="G11956" s="24"/>
      <c r="H11956" s="24"/>
      <c r="I11956" s="24"/>
      <c r="J11956" s="24"/>
      <c r="K11956" s="24"/>
      <c r="L11956" s="24"/>
      <c r="M11956" s="24"/>
      <c r="N11956" s="24"/>
      <c r="O11956" s="24"/>
      <c r="P11956" s="24"/>
      <c r="Q11956" s="24"/>
      <c r="R11956" s="24"/>
      <c r="S11956" s="24"/>
      <c r="T11956" s="24"/>
      <c r="U11956" s="24"/>
      <c r="V11956" s="24"/>
      <c r="W11956" s="24"/>
      <c r="X11956" s="24"/>
      <c r="Y11956" s="24"/>
      <c r="Z11956" s="24"/>
      <c r="AA11956" s="24"/>
    </row>
    <row r="11957">
      <c r="A11957" s="24"/>
      <c r="B11957" s="25"/>
      <c r="C11957" s="24"/>
      <c r="D11957" s="26"/>
      <c r="E11957" s="24"/>
      <c r="F11957" s="24"/>
      <c r="G11957" s="24"/>
      <c r="H11957" s="24"/>
      <c r="I11957" s="24"/>
      <c r="J11957" s="24"/>
      <c r="K11957" s="24"/>
      <c r="L11957" s="24"/>
      <c r="M11957" s="24"/>
      <c r="N11957" s="24"/>
      <c r="O11957" s="24"/>
      <c r="P11957" s="24"/>
      <c r="Q11957" s="24"/>
      <c r="R11957" s="24"/>
      <c r="S11957" s="24"/>
      <c r="T11957" s="24"/>
      <c r="U11957" s="24"/>
      <c r="V11957" s="24"/>
      <c r="W11957" s="24"/>
      <c r="X11957" s="24"/>
      <c r="Y11957" s="24"/>
      <c r="Z11957" s="24"/>
      <c r="AA11957" s="24"/>
    </row>
    <row r="11958">
      <c r="A11958" s="24"/>
      <c r="B11958" s="25"/>
      <c r="C11958" s="24"/>
      <c r="D11958" s="26"/>
      <c r="E11958" s="24"/>
      <c r="F11958" s="24"/>
      <c r="G11958" s="24"/>
      <c r="H11958" s="24"/>
      <c r="I11958" s="24"/>
      <c r="J11958" s="24"/>
      <c r="K11958" s="24"/>
      <c r="L11958" s="24"/>
      <c r="M11958" s="24"/>
      <c r="N11958" s="24"/>
      <c r="O11958" s="24"/>
      <c r="P11958" s="24"/>
      <c r="Q11958" s="24"/>
      <c r="R11958" s="24"/>
      <c r="S11958" s="24"/>
      <c r="T11958" s="24"/>
      <c r="U11958" s="24"/>
      <c r="V11958" s="24"/>
      <c r="W11958" s="24"/>
      <c r="X11958" s="24"/>
      <c r="Y11958" s="24"/>
      <c r="Z11958" s="24"/>
      <c r="AA11958" s="24"/>
    </row>
    <row r="11959">
      <c r="A11959" s="24"/>
      <c r="B11959" s="25"/>
      <c r="C11959" s="24"/>
      <c r="D11959" s="26"/>
      <c r="E11959" s="24"/>
      <c r="F11959" s="24"/>
      <c r="G11959" s="24"/>
      <c r="H11959" s="24"/>
      <c r="I11959" s="24"/>
      <c r="J11959" s="24"/>
      <c r="K11959" s="24"/>
      <c r="L11959" s="24"/>
      <c r="M11959" s="24"/>
      <c r="N11959" s="24"/>
      <c r="O11959" s="24"/>
      <c r="P11959" s="24"/>
      <c r="Q11959" s="24"/>
      <c r="R11959" s="24"/>
      <c r="S11959" s="24"/>
      <c r="T11959" s="24"/>
      <c r="U11959" s="24"/>
      <c r="V11959" s="24"/>
      <c r="W11959" s="24"/>
      <c r="X11959" s="24"/>
      <c r="Y11959" s="24"/>
      <c r="Z11959" s="24"/>
      <c r="AA11959" s="24"/>
    </row>
    <row r="11960">
      <c r="A11960" s="24"/>
      <c r="B11960" s="25"/>
      <c r="C11960" s="24"/>
      <c r="D11960" s="26"/>
      <c r="E11960" s="24"/>
      <c r="F11960" s="24"/>
      <c r="G11960" s="24"/>
      <c r="H11960" s="24"/>
      <c r="I11960" s="24"/>
      <c r="J11960" s="24"/>
      <c r="K11960" s="24"/>
      <c r="L11960" s="24"/>
      <c r="M11960" s="24"/>
      <c r="N11960" s="24"/>
      <c r="O11960" s="24"/>
      <c r="P11960" s="24"/>
      <c r="Q11960" s="24"/>
      <c r="R11960" s="24"/>
      <c r="S11960" s="24"/>
      <c r="T11960" s="24"/>
      <c r="U11960" s="24"/>
      <c r="V11960" s="24"/>
      <c r="W11960" s="24"/>
      <c r="X11960" s="24"/>
      <c r="Y11960" s="24"/>
      <c r="Z11960" s="24"/>
      <c r="AA11960" s="24"/>
    </row>
    <row r="11961">
      <c r="A11961" s="24"/>
      <c r="B11961" s="25"/>
      <c r="C11961" s="24"/>
      <c r="D11961" s="26"/>
      <c r="E11961" s="24"/>
      <c r="F11961" s="24"/>
      <c r="G11961" s="24"/>
      <c r="H11961" s="24"/>
      <c r="I11961" s="24"/>
      <c r="J11961" s="24"/>
      <c r="K11961" s="24"/>
      <c r="L11961" s="24"/>
      <c r="M11961" s="24"/>
      <c r="N11961" s="24"/>
      <c r="O11961" s="24"/>
      <c r="P11961" s="24"/>
      <c r="Q11961" s="24"/>
      <c r="R11961" s="24"/>
      <c r="S11961" s="24"/>
      <c r="T11961" s="24"/>
      <c r="U11961" s="24"/>
      <c r="V11961" s="24"/>
      <c r="W11961" s="24"/>
      <c r="X11961" s="24"/>
      <c r="Y11961" s="24"/>
      <c r="Z11961" s="24"/>
      <c r="AA11961" s="24"/>
    </row>
    <row r="11962">
      <c r="A11962" s="24"/>
      <c r="B11962" s="25"/>
      <c r="C11962" s="24"/>
      <c r="D11962" s="26"/>
      <c r="E11962" s="24"/>
      <c r="F11962" s="24"/>
      <c r="G11962" s="24"/>
      <c r="H11962" s="24"/>
      <c r="I11962" s="24"/>
      <c r="J11962" s="24"/>
      <c r="K11962" s="24"/>
      <c r="L11962" s="24"/>
      <c r="M11962" s="24"/>
      <c r="N11962" s="24"/>
      <c r="O11962" s="24"/>
      <c r="P11962" s="24"/>
      <c r="Q11962" s="24"/>
      <c r="R11962" s="24"/>
      <c r="S11962" s="24"/>
      <c r="T11962" s="24"/>
      <c r="U11962" s="24"/>
      <c r="V11962" s="24"/>
      <c r="W11962" s="24"/>
      <c r="X11962" s="24"/>
      <c r="Y11962" s="24"/>
      <c r="Z11962" s="24"/>
      <c r="AA11962" s="24"/>
    </row>
    <row r="11963">
      <c r="A11963" s="24"/>
      <c r="B11963" s="25"/>
      <c r="C11963" s="24"/>
      <c r="D11963" s="26"/>
      <c r="E11963" s="24"/>
      <c r="F11963" s="24"/>
      <c r="G11963" s="24"/>
      <c r="H11963" s="24"/>
      <c r="I11963" s="24"/>
      <c r="J11963" s="24"/>
      <c r="K11963" s="24"/>
      <c r="L11963" s="24"/>
      <c r="M11963" s="24"/>
      <c r="N11963" s="24"/>
      <c r="O11963" s="24"/>
      <c r="P11963" s="24"/>
      <c r="Q11963" s="24"/>
      <c r="R11963" s="24"/>
      <c r="S11963" s="24"/>
      <c r="T11963" s="24"/>
      <c r="U11963" s="24"/>
      <c r="V11963" s="24"/>
      <c r="W11963" s="24"/>
      <c r="X11963" s="24"/>
      <c r="Y11963" s="24"/>
      <c r="Z11963" s="24"/>
      <c r="AA11963" s="24"/>
    </row>
    <row r="11964">
      <c r="A11964" s="24"/>
      <c r="B11964" s="25"/>
      <c r="C11964" s="24"/>
      <c r="D11964" s="26"/>
      <c r="E11964" s="24"/>
      <c r="F11964" s="24"/>
      <c r="G11964" s="24"/>
      <c r="H11964" s="24"/>
      <c r="I11964" s="24"/>
      <c r="J11964" s="24"/>
      <c r="K11964" s="24"/>
      <c r="L11964" s="24"/>
      <c r="M11964" s="24"/>
      <c r="N11964" s="24"/>
      <c r="O11964" s="24"/>
      <c r="P11964" s="24"/>
      <c r="Q11964" s="24"/>
      <c r="R11964" s="24"/>
      <c r="S11964" s="24"/>
      <c r="T11964" s="24"/>
      <c r="U11964" s="24"/>
      <c r="V11964" s="24"/>
      <c r="W11964" s="24"/>
      <c r="X11964" s="24"/>
      <c r="Y11964" s="24"/>
      <c r="Z11964" s="24"/>
      <c r="AA11964" s="24"/>
    </row>
    <row r="11965">
      <c r="A11965" s="24"/>
      <c r="B11965" s="25"/>
      <c r="C11965" s="24"/>
      <c r="D11965" s="26"/>
      <c r="E11965" s="24"/>
      <c r="F11965" s="24"/>
      <c r="G11965" s="24"/>
      <c r="H11965" s="24"/>
      <c r="I11965" s="24"/>
      <c r="J11965" s="24"/>
      <c r="K11965" s="24"/>
      <c r="L11965" s="24"/>
      <c r="M11965" s="24"/>
      <c r="N11965" s="24"/>
      <c r="O11965" s="24"/>
      <c r="P11965" s="24"/>
      <c r="Q11965" s="24"/>
      <c r="R11965" s="24"/>
      <c r="S11965" s="24"/>
      <c r="T11965" s="24"/>
      <c r="U11965" s="24"/>
      <c r="V11965" s="24"/>
      <c r="W11965" s="24"/>
      <c r="X11965" s="24"/>
      <c r="Y11965" s="24"/>
      <c r="Z11965" s="24"/>
      <c r="AA11965" s="24"/>
    </row>
    <row r="11966">
      <c r="A11966" s="24"/>
      <c r="B11966" s="25"/>
      <c r="C11966" s="24"/>
      <c r="D11966" s="26"/>
      <c r="E11966" s="24"/>
      <c r="F11966" s="24"/>
      <c r="G11966" s="24"/>
      <c r="H11966" s="24"/>
      <c r="I11966" s="24"/>
      <c r="J11966" s="24"/>
      <c r="K11966" s="24"/>
      <c r="L11966" s="24"/>
      <c r="M11966" s="24"/>
      <c r="N11966" s="24"/>
      <c r="O11966" s="24"/>
      <c r="P11966" s="24"/>
      <c r="Q11966" s="24"/>
      <c r="R11966" s="24"/>
      <c r="S11966" s="24"/>
      <c r="T11966" s="24"/>
      <c r="U11966" s="24"/>
      <c r="V11966" s="24"/>
      <c r="W11966" s="24"/>
      <c r="X11966" s="24"/>
      <c r="Y11966" s="24"/>
      <c r="Z11966" s="24"/>
      <c r="AA11966" s="24"/>
    </row>
    <row r="11967">
      <c r="A11967" s="24"/>
      <c r="B11967" s="25"/>
      <c r="C11967" s="24"/>
      <c r="D11967" s="26"/>
      <c r="E11967" s="24"/>
      <c r="F11967" s="24"/>
      <c r="G11967" s="24"/>
      <c r="H11967" s="24"/>
      <c r="I11967" s="24"/>
      <c r="J11967" s="24"/>
      <c r="K11967" s="24"/>
      <c r="L11967" s="24"/>
      <c r="M11967" s="24"/>
      <c r="N11967" s="24"/>
      <c r="O11967" s="24"/>
      <c r="P11967" s="24"/>
      <c r="Q11967" s="24"/>
      <c r="R11967" s="24"/>
      <c r="S11967" s="24"/>
      <c r="T11967" s="24"/>
      <c r="U11967" s="24"/>
      <c r="V11967" s="24"/>
      <c r="W11967" s="24"/>
      <c r="X11967" s="24"/>
      <c r="Y11967" s="24"/>
      <c r="Z11967" s="24"/>
      <c r="AA11967" s="24"/>
    </row>
    <row r="11968">
      <c r="A11968" s="24"/>
      <c r="B11968" s="25"/>
      <c r="C11968" s="24"/>
      <c r="D11968" s="26"/>
      <c r="E11968" s="24"/>
      <c r="F11968" s="24"/>
      <c r="G11968" s="24"/>
      <c r="H11968" s="24"/>
      <c r="I11968" s="24"/>
      <c r="J11968" s="24"/>
      <c r="K11968" s="24"/>
      <c r="L11968" s="24"/>
      <c r="M11968" s="24"/>
      <c r="N11968" s="24"/>
      <c r="O11968" s="24"/>
      <c r="P11968" s="24"/>
      <c r="Q11968" s="24"/>
      <c r="R11968" s="24"/>
      <c r="S11968" s="24"/>
      <c r="T11968" s="24"/>
      <c r="U11968" s="24"/>
      <c r="V11968" s="24"/>
      <c r="W11968" s="24"/>
      <c r="X11968" s="24"/>
      <c r="Y11968" s="24"/>
      <c r="Z11968" s="24"/>
      <c r="AA11968" s="24"/>
    </row>
    <row r="11969">
      <c r="A11969" s="24"/>
      <c r="B11969" s="25"/>
      <c r="C11969" s="24"/>
      <c r="D11969" s="26"/>
      <c r="E11969" s="24"/>
      <c r="F11969" s="24"/>
      <c r="G11969" s="24"/>
      <c r="H11969" s="24"/>
      <c r="I11969" s="24"/>
      <c r="J11969" s="24"/>
      <c r="K11969" s="24"/>
      <c r="L11969" s="24"/>
      <c r="M11969" s="24"/>
      <c r="N11969" s="24"/>
      <c r="O11969" s="24"/>
      <c r="P11969" s="24"/>
      <c r="Q11969" s="24"/>
      <c r="R11969" s="24"/>
      <c r="S11969" s="24"/>
      <c r="T11969" s="24"/>
      <c r="U11969" s="24"/>
      <c r="V11969" s="24"/>
      <c r="W11969" s="24"/>
      <c r="X11969" s="24"/>
      <c r="Y11969" s="24"/>
      <c r="Z11969" s="24"/>
      <c r="AA11969" s="24"/>
    </row>
    <row r="11970">
      <c r="A11970" s="24"/>
      <c r="B11970" s="25"/>
      <c r="C11970" s="24"/>
      <c r="D11970" s="26"/>
      <c r="E11970" s="24"/>
      <c r="F11970" s="24"/>
      <c r="G11970" s="24"/>
      <c r="H11970" s="24"/>
      <c r="I11970" s="24"/>
      <c r="J11970" s="24"/>
      <c r="K11970" s="24"/>
      <c r="L11970" s="24"/>
      <c r="M11970" s="24"/>
      <c r="N11970" s="24"/>
      <c r="O11970" s="24"/>
      <c r="P11970" s="24"/>
      <c r="Q11970" s="24"/>
      <c r="R11970" s="24"/>
      <c r="S11970" s="24"/>
      <c r="T11970" s="24"/>
      <c r="U11970" s="24"/>
      <c r="V11970" s="24"/>
      <c r="W11970" s="24"/>
      <c r="X11970" s="24"/>
      <c r="Y11970" s="24"/>
      <c r="Z11970" s="24"/>
      <c r="AA11970" s="24"/>
    </row>
    <row r="11971">
      <c r="A11971" s="24"/>
      <c r="B11971" s="25"/>
      <c r="C11971" s="24"/>
      <c r="D11971" s="26"/>
      <c r="E11971" s="24"/>
      <c r="F11971" s="24"/>
      <c r="G11971" s="24"/>
      <c r="H11971" s="24"/>
      <c r="I11971" s="24"/>
      <c r="J11971" s="24"/>
      <c r="K11971" s="24"/>
      <c r="L11971" s="24"/>
      <c r="M11971" s="24"/>
      <c r="N11971" s="24"/>
      <c r="O11971" s="24"/>
      <c r="P11971" s="24"/>
      <c r="Q11971" s="24"/>
      <c r="R11971" s="24"/>
      <c r="S11971" s="24"/>
      <c r="T11971" s="24"/>
      <c r="U11971" s="24"/>
      <c r="V11971" s="24"/>
      <c r="W11971" s="24"/>
      <c r="X11971" s="24"/>
      <c r="Y11971" s="24"/>
      <c r="Z11971" s="24"/>
      <c r="AA11971" s="24"/>
    </row>
    <row r="11972">
      <c r="A11972" s="24"/>
      <c r="B11972" s="25"/>
      <c r="C11972" s="24"/>
      <c r="D11972" s="26"/>
      <c r="E11972" s="24"/>
      <c r="F11972" s="24"/>
      <c r="G11972" s="24"/>
      <c r="H11972" s="24"/>
      <c r="I11972" s="24"/>
      <c r="J11972" s="24"/>
      <c r="K11972" s="24"/>
      <c r="L11972" s="24"/>
      <c r="M11972" s="24"/>
      <c r="N11972" s="24"/>
      <c r="O11972" s="24"/>
      <c r="P11972" s="24"/>
      <c r="Q11972" s="24"/>
      <c r="R11972" s="24"/>
      <c r="S11972" s="24"/>
      <c r="T11972" s="24"/>
      <c r="U11972" s="24"/>
      <c r="V11972" s="24"/>
      <c r="W11972" s="24"/>
      <c r="X11972" s="24"/>
      <c r="Y11972" s="24"/>
      <c r="Z11972" s="24"/>
      <c r="AA11972" s="24"/>
    </row>
    <row r="11973">
      <c r="A11973" s="24"/>
      <c r="B11973" s="25"/>
      <c r="C11973" s="24"/>
      <c r="D11973" s="26"/>
      <c r="E11973" s="24"/>
      <c r="F11973" s="24"/>
      <c r="G11973" s="24"/>
      <c r="H11973" s="24"/>
      <c r="I11973" s="24"/>
      <c r="J11973" s="24"/>
      <c r="K11973" s="24"/>
      <c r="L11973" s="24"/>
      <c r="M11973" s="24"/>
      <c r="N11973" s="24"/>
      <c r="O11973" s="24"/>
      <c r="P11973" s="24"/>
      <c r="Q11973" s="24"/>
      <c r="R11973" s="24"/>
      <c r="S11973" s="24"/>
      <c r="T11973" s="24"/>
      <c r="U11973" s="24"/>
      <c r="V11973" s="24"/>
      <c r="W11973" s="24"/>
      <c r="X11973" s="24"/>
      <c r="Y11973" s="24"/>
      <c r="Z11973" s="24"/>
      <c r="AA11973" s="24"/>
    </row>
    <row r="11974">
      <c r="A11974" s="24"/>
      <c r="B11974" s="25"/>
      <c r="C11974" s="24"/>
      <c r="D11974" s="26"/>
      <c r="E11974" s="24"/>
      <c r="F11974" s="24"/>
      <c r="G11974" s="24"/>
      <c r="H11974" s="24"/>
      <c r="I11974" s="24"/>
      <c r="J11974" s="24"/>
      <c r="K11974" s="24"/>
      <c r="L11974" s="24"/>
      <c r="M11974" s="24"/>
      <c r="N11974" s="24"/>
      <c r="O11974" s="24"/>
      <c r="P11974" s="24"/>
      <c r="Q11974" s="24"/>
      <c r="R11974" s="24"/>
      <c r="S11974" s="24"/>
      <c r="T11974" s="24"/>
      <c r="U11974" s="24"/>
      <c r="V11974" s="24"/>
      <c r="W11974" s="24"/>
      <c r="X11974" s="24"/>
      <c r="Y11974" s="24"/>
      <c r="Z11974" s="24"/>
      <c r="AA11974" s="24"/>
    </row>
    <row r="11975">
      <c r="A11975" s="24"/>
      <c r="B11975" s="25"/>
      <c r="C11975" s="24"/>
      <c r="D11975" s="26"/>
      <c r="E11975" s="24"/>
      <c r="F11975" s="24"/>
      <c r="G11975" s="24"/>
      <c r="H11975" s="24"/>
      <c r="I11975" s="24"/>
      <c r="J11975" s="24"/>
      <c r="K11975" s="24"/>
      <c r="L11975" s="24"/>
      <c r="M11975" s="24"/>
      <c r="N11975" s="24"/>
      <c r="O11975" s="24"/>
      <c r="P11975" s="24"/>
      <c r="Q11975" s="24"/>
      <c r="R11975" s="24"/>
      <c r="S11975" s="24"/>
      <c r="T11975" s="24"/>
      <c r="U11975" s="24"/>
      <c r="V11975" s="24"/>
      <c r="W11975" s="24"/>
      <c r="X11975" s="24"/>
      <c r="Y11975" s="24"/>
      <c r="Z11975" s="24"/>
      <c r="AA11975" s="24"/>
    </row>
    <row r="11976">
      <c r="A11976" s="24"/>
      <c r="B11976" s="25"/>
      <c r="C11976" s="24"/>
      <c r="D11976" s="26"/>
      <c r="E11976" s="24"/>
      <c r="F11976" s="24"/>
      <c r="G11976" s="24"/>
      <c r="H11976" s="24"/>
      <c r="I11976" s="24"/>
      <c r="J11976" s="24"/>
      <c r="K11976" s="24"/>
      <c r="L11976" s="24"/>
      <c r="M11976" s="24"/>
      <c r="N11976" s="24"/>
      <c r="O11976" s="24"/>
      <c r="P11976" s="24"/>
      <c r="Q11976" s="24"/>
      <c r="R11976" s="24"/>
      <c r="S11976" s="24"/>
      <c r="T11976" s="24"/>
      <c r="U11976" s="24"/>
      <c r="V11976" s="24"/>
      <c r="W11976" s="24"/>
      <c r="X11976" s="24"/>
      <c r="Y11976" s="24"/>
      <c r="Z11976" s="24"/>
      <c r="AA11976" s="24"/>
    </row>
    <row r="11977">
      <c r="A11977" s="24"/>
      <c r="B11977" s="25"/>
      <c r="C11977" s="24"/>
      <c r="D11977" s="26"/>
      <c r="E11977" s="24"/>
      <c r="F11977" s="24"/>
      <c r="G11977" s="24"/>
      <c r="H11977" s="24"/>
      <c r="I11977" s="24"/>
      <c r="J11977" s="24"/>
      <c r="K11977" s="24"/>
      <c r="L11977" s="24"/>
      <c r="M11977" s="24"/>
      <c r="N11977" s="24"/>
      <c r="O11977" s="24"/>
      <c r="P11977" s="24"/>
      <c r="Q11977" s="24"/>
      <c r="R11977" s="24"/>
      <c r="S11977" s="24"/>
      <c r="T11977" s="24"/>
      <c r="U11977" s="24"/>
      <c r="V11977" s="24"/>
      <c r="W11977" s="24"/>
      <c r="X11977" s="24"/>
      <c r="Y11977" s="24"/>
      <c r="Z11977" s="24"/>
      <c r="AA11977" s="24"/>
    </row>
    <row r="11978">
      <c r="A11978" s="24"/>
      <c r="B11978" s="25"/>
      <c r="C11978" s="24"/>
      <c r="D11978" s="26"/>
      <c r="E11978" s="24"/>
      <c r="F11978" s="24"/>
      <c r="G11978" s="24"/>
      <c r="H11978" s="24"/>
      <c r="I11978" s="24"/>
      <c r="J11978" s="24"/>
      <c r="K11978" s="24"/>
      <c r="L11978" s="24"/>
      <c r="M11978" s="24"/>
      <c r="N11978" s="24"/>
      <c r="O11978" s="24"/>
      <c r="P11978" s="24"/>
      <c r="Q11978" s="24"/>
      <c r="R11978" s="24"/>
      <c r="S11978" s="24"/>
      <c r="T11978" s="24"/>
      <c r="U11978" s="24"/>
      <c r="V11978" s="24"/>
      <c r="W11978" s="24"/>
      <c r="X11978" s="24"/>
      <c r="Y11978" s="24"/>
      <c r="Z11978" s="24"/>
      <c r="AA11978" s="24"/>
    </row>
    <row r="11979">
      <c r="A11979" s="24"/>
      <c r="B11979" s="25"/>
      <c r="C11979" s="24"/>
      <c r="D11979" s="26"/>
      <c r="E11979" s="24"/>
      <c r="F11979" s="24"/>
      <c r="G11979" s="24"/>
      <c r="H11979" s="24"/>
      <c r="I11979" s="24"/>
      <c r="J11979" s="24"/>
      <c r="K11979" s="24"/>
      <c r="L11979" s="24"/>
      <c r="M11979" s="24"/>
      <c r="N11979" s="24"/>
      <c r="O11979" s="24"/>
      <c r="P11979" s="24"/>
      <c r="Q11979" s="24"/>
      <c r="R11979" s="24"/>
      <c r="S11979" s="24"/>
      <c r="T11979" s="24"/>
      <c r="U11979" s="24"/>
      <c r="V11979" s="24"/>
      <c r="W11979" s="24"/>
      <c r="X11979" s="24"/>
      <c r="Y11979" s="24"/>
      <c r="Z11979" s="24"/>
      <c r="AA11979" s="24"/>
    </row>
    <row r="11980">
      <c r="A11980" s="24"/>
      <c r="B11980" s="25"/>
      <c r="C11980" s="24"/>
      <c r="D11980" s="26"/>
      <c r="E11980" s="24"/>
      <c r="F11980" s="24"/>
      <c r="G11980" s="24"/>
      <c r="H11980" s="24"/>
      <c r="I11980" s="24"/>
      <c r="J11980" s="24"/>
      <c r="K11980" s="24"/>
      <c r="L11980" s="24"/>
      <c r="M11980" s="24"/>
      <c r="N11980" s="24"/>
      <c r="O11980" s="24"/>
      <c r="P11980" s="24"/>
      <c r="Q11980" s="24"/>
      <c r="R11980" s="24"/>
      <c r="S11980" s="24"/>
      <c r="T11980" s="24"/>
      <c r="U11980" s="24"/>
      <c r="V11980" s="24"/>
      <c r="W11980" s="24"/>
      <c r="X11980" s="24"/>
      <c r="Y11980" s="24"/>
      <c r="Z11980" s="24"/>
      <c r="AA11980" s="24"/>
    </row>
    <row r="11981">
      <c r="A11981" s="24"/>
      <c r="B11981" s="25"/>
      <c r="C11981" s="24"/>
      <c r="D11981" s="26"/>
      <c r="E11981" s="24"/>
      <c r="F11981" s="24"/>
      <c r="G11981" s="24"/>
      <c r="H11981" s="24"/>
      <c r="I11981" s="24"/>
      <c r="J11981" s="24"/>
      <c r="K11981" s="24"/>
      <c r="L11981" s="24"/>
      <c r="M11981" s="24"/>
      <c r="N11981" s="24"/>
      <c r="O11981" s="24"/>
      <c r="P11981" s="24"/>
      <c r="Q11981" s="24"/>
      <c r="R11981" s="24"/>
      <c r="S11981" s="24"/>
      <c r="T11981" s="24"/>
      <c r="U11981" s="24"/>
      <c r="V11981" s="24"/>
      <c r="W11981" s="24"/>
      <c r="X11981" s="24"/>
      <c r="Y11981" s="24"/>
      <c r="Z11981" s="24"/>
      <c r="AA11981" s="24"/>
    </row>
    <row r="11982">
      <c r="A11982" s="24"/>
      <c r="B11982" s="25"/>
      <c r="C11982" s="24"/>
      <c r="D11982" s="26"/>
      <c r="E11982" s="24"/>
      <c r="F11982" s="24"/>
      <c r="G11982" s="24"/>
      <c r="H11982" s="24"/>
      <c r="I11982" s="24"/>
      <c r="J11982" s="24"/>
      <c r="K11982" s="24"/>
      <c r="L11982" s="24"/>
      <c r="M11982" s="24"/>
      <c r="N11982" s="24"/>
      <c r="O11982" s="24"/>
      <c r="P11982" s="24"/>
      <c r="Q11982" s="24"/>
      <c r="R11982" s="24"/>
      <c r="S11982" s="24"/>
      <c r="T11982" s="24"/>
      <c r="U11982" s="24"/>
      <c r="V11982" s="24"/>
      <c r="W11982" s="24"/>
      <c r="X11982" s="24"/>
      <c r="Y11982" s="24"/>
      <c r="Z11982" s="24"/>
      <c r="AA11982" s="24"/>
    </row>
    <row r="11983">
      <c r="A11983" s="24"/>
      <c r="B11983" s="25"/>
      <c r="C11983" s="24"/>
      <c r="D11983" s="26"/>
      <c r="E11983" s="24"/>
      <c r="F11983" s="24"/>
      <c r="G11983" s="24"/>
      <c r="H11983" s="24"/>
      <c r="I11983" s="24"/>
      <c r="J11983" s="24"/>
      <c r="K11983" s="24"/>
      <c r="L11983" s="24"/>
      <c r="M11983" s="24"/>
      <c r="N11983" s="24"/>
      <c r="O11983" s="24"/>
      <c r="P11983" s="24"/>
      <c r="Q11983" s="24"/>
      <c r="R11983" s="24"/>
      <c r="S11983" s="24"/>
      <c r="T11983" s="24"/>
      <c r="U11983" s="24"/>
      <c r="V11983" s="24"/>
      <c r="W11983" s="24"/>
      <c r="X11983" s="24"/>
      <c r="Y11983" s="24"/>
      <c r="Z11983" s="24"/>
      <c r="AA11983" s="24"/>
    </row>
    <row r="11984">
      <c r="A11984" s="24"/>
      <c r="B11984" s="25"/>
      <c r="C11984" s="24"/>
      <c r="D11984" s="26"/>
      <c r="E11984" s="24"/>
      <c r="F11984" s="24"/>
      <c r="G11984" s="24"/>
      <c r="H11984" s="24"/>
      <c r="I11984" s="24"/>
      <c r="J11984" s="24"/>
      <c r="K11984" s="24"/>
      <c r="L11984" s="24"/>
      <c r="M11984" s="24"/>
      <c r="N11984" s="24"/>
      <c r="O11984" s="24"/>
      <c r="P11984" s="24"/>
      <c r="Q11984" s="24"/>
      <c r="R11984" s="24"/>
      <c r="S11984" s="24"/>
      <c r="T11984" s="24"/>
      <c r="U11984" s="24"/>
      <c r="V11984" s="24"/>
      <c r="W11984" s="24"/>
      <c r="X11984" s="24"/>
      <c r="Y11984" s="24"/>
      <c r="Z11984" s="24"/>
      <c r="AA11984" s="24"/>
    </row>
    <row r="11985">
      <c r="A11985" s="24"/>
      <c r="B11985" s="25"/>
      <c r="C11985" s="24"/>
      <c r="D11985" s="26"/>
      <c r="E11985" s="24"/>
      <c r="F11985" s="24"/>
      <c r="G11985" s="24"/>
      <c r="H11985" s="24"/>
      <c r="I11985" s="24"/>
      <c r="J11985" s="24"/>
      <c r="K11985" s="24"/>
      <c r="L11985" s="24"/>
      <c r="M11985" s="24"/>
      <c r="N11985" s="24"/>
      <c r="O11985" s="24"/>
      <c r="P11985" s="24"/>
      <c r="Q11985" s="24"/>
      <c r="R11985" s="24"/>
      <c r="S11985" s="24"/>
      <c r="T11985" s="24"/>
      <c r="U11985" s="24"/>
      <c r="V11985" s="24"/>
      <c r="W11985" s="24"/>
      <c r="X11985" s="24"/>
      <c r="Y11985" s="24"/>
      <c r="Z11985" s="24"/>
      <c r="AA11985" s="24"/>
    </row>
    <row r="11986">
      <c r="A11986" s="24"/>
      <c r="B11986" s="25"/>
      <c r="C11986" s="24"/>
      <c r="D11986" s="26"/>
      <c r="E11986" s="24"/>
      <c r="F11986" s="24"/>
      <c r="G11986" s="24"/>
      <c r="H11986" s="24"/>
      <c r="I11986" s="24"/>
      <c r="J11986" s="24"/>
      <c r="K11986" s="24"/>
      <c r="L11986" s="24"/>
      <c r="M11986" s="24"/>
      <c r="N11986" s="24"/>
      <c r="O11986" s="24"/>
      <c r="P11986" s="24"/>
      <c r="Q11986" s="24"/>
      <c r="R11986" s="24"/>
      <c r="S11986" s="24"/>
      <c r="T11986" s="24"/>
      <c r="U11986" s="24"/>
      <c r="V11986" s="24"/>
      <c r="W11986" s="24"/>
      <c r="X11986" s="24"/>
      <c r="Y11986" s="24"/>
      <c r="Z11986" s="24"/>
      <c r="AA11986" s="24"/>
    </row>
    <row r="11987">
      <c r="A11987" s="24"/>
      <c r="B11987" s="25"/>
      <c r="C11987" s="24"/>
      <c r="D11987" s="26"/>
      <c r="E11987" s="24"/>
      <c r="F11987" s="24"/>
      <c r="G11987" s="24"/>
      <c r="H11987" s="24"/>
      <c r="I11987" s="24"/>
      <c r="J11987" s="24"/>
      <c r="K11987" s="24"/>
      <c r="L11987" s="24"/>
      <c r="M11987" s="24"/>
      <c r="N11987" s="24"/>
      <c r="O11987" s="24"/>
      <c r="P11987" s="24"/>
      <c r="Q11987" s="24"/>
      <c r="R11987" s="24"/>
      <c r="S11987" s="24"/>
      <c r="T11987" s="24"/>
      <c r="U11987" s="24"/>
      <c r="V11987" s="24"/>
      <c r="W11987" s="24"/>
      <c r="X11987" s="24"/>
      <c r="Y11987" s="24"/>
      <c r="Z11987" s="24"/>
      <c r="AA11987" s="24"/>
    </row>
    <row r="11988">
      <c r="A11988" s="24"/>
      <c r="B11988" s="25"/>
      <c r="C11988" s="24"/>
      <c r="D11988" s="26"/>
      <c r="E11988" s="24"/>
      <c r="F11988" s="24"/>
      <c r="G11988" s="24"/>
      <c r="H11988" s="24"/>
      <c r="I11988" s="24"/>
      <c r="J11988" s="24"/>
      <c r="K11988" s="24"/>
      <c r="L11988" s="24"/>
      <c r="M11988" s="24"/>
      <c r="N11988" s="24"/>
      <c r="O11988" s="24"/>
      <c r="P11988" s="24"/>
      <c r="Q11988" s="24"/>
      <c r="R11988" s="24"/>
      <c r="S11988" s="24"/>
      <c r="T11988" s="24"/>
      <c r="U11988" s="24"/>
      <c r="V11988" s="24"/>
      <c r="W11988" s="24"/>
      <c r="X11988" s="24"/>
      <c r="Y11988" s="24"/>
      <c r="Z11988" s="24"/>
      <c r="AA11988" s="24"/>
    </row>
    <row r="11989">
      <c r="A11989" s="24"/>
      <c r="B11989" s="25"/>
      <c r="C11989" s="24"/>
      <c r="D11989" s="26"/>
      <c r="E11989" s="24"/>
      <c r="F11989" s="24"/>
      <c r="G11989" s="24"/>
      <c r="H11989" s="24"/>
      <c r="I11989" s="24"/>
      <c r="J11989" s="24"/>
      <c r="K11989" s="24"/>
      <c r="L11989" s="24"/>
      <c r="M11989" s="24"/>
      <c r="N11989" s="24"/>
      <c r="O11989" s="24"/>
      <c r="P11989" s="24"/>
      <c r="Q11989" s="24"/>
      <c r="R11989" s="24"/>
      <c r="S11989" s="24"/>
      <c r="T11989" s="24"/>
      <c r="U11989" s="24"/>
      <c r="V11989" s="24"/>
      <c r="W11989" s="24"/>
      <c r="X11989" s="24"/>
      <c r="Y11989" s="24"/>
      <c r="Z11989" s="24"/>
      <c r="AA11989" s="24"/>
    </row>
    <row r="11990">
      <c r="A11990" s="24"/>
      <c r="B11990" s="25"/>
      <c r="C11990" s="24"/>
      <c r="D11990" s="26"/>
      <c r="E11990" s="24"/>
      <c r="F11990" s="24"/>
      <c r="G11990" s="24"/>
      <c r="H11990" s="24"/>
      <c r="I11990" s="24"/>
      <c r="J11990" s="24"/>
      <c r="K11990" s="24"/>
      <c r="L11990" s="24"/>
      <c r="M11990" s="24"/>
      <c r="N11990" s="24"/>
      <c r="O11990" s="24"/>
      <c r="P11990" s="24"/>
      <c r="Q11990" s="24"/>
      <c r="R11990" s="24"/>
      <c r="S11990" s="24"/>
      <c r="T11990" s="24"/>
      <c r="U11990" s="24"/>
      <c r="V11990" s="24"/>
      <c r="W11990" s="24"/>
      <c r="X11990" s="24"/>
      <c r="Y11990" s="24"/>
      <c r="Z11990" s="24"/>
      <c r="AA11990" s="24"/>
    </row>
    <row r="11991">
      <c r="A11991" s="24"/>
      <c r="B11991" s="25"/>
      <c r="C11991" s="24"/>
      <c r="D11991" s="26"/>
      <c r="E11991" s="24"/>
      <c r="F11991" s="24"/>
      <c r="G11991" s="24"/>
      <c r="H11991" s="24"/>
      <c r="I11991" s="24"/>
      <c r="J11991" s="24"/>
      <c r="K11991" s="24"/>
      <c r="L11991" s="24"/>
      <c r="M11991" s="24"/>
      <c r="N11991" s="24"/>
      <c r="O11991" s="24"/>
      <c r="P11991" s="24"/>
      <c r="Q11991" s="24"/>
      <c r="R11991" s="24"/>
      <c r="S11991" s="24"/>
      <c r="T11991" s="24"/>
      <c r="U11991" s="24"/>
      <c r="V11991" s="24"/>
      <c r="W11991" s="24"/>
      <c r="X11991" s="24"/>
      <c r="Y11991" s="24"/>
      <c r="Z11991" s="24"/>
      <c r="AA11991" s="24"/>
    </row>
    <row r="11992">
      <c r="A11992" s="24"/>
      <c r="B11992" s="25"/>
      <c r="C11992" s="24"/>
      <c r="D11992" s="26"/>
      <c r="E11992" s="24"/>
      <c r="F11992" s="24"/>
      <c r="G11992" s="24"/>
      <c r="H11992" s="24"/>
      <c r="I11992" s="24"/>
      <c r="J11992" s="24"/>
      <c r="K11992" s="24"/>
      <c r="L11992" s="24"/>
      <c r="M11992" s="24"/>
      <c r="N11992" s="24"/>
      <c r="O11992" s="24"/>
      <c r="P11992" s="24"/>
      <c r="Q11992" s="24"/>
      <c r="R11992" s="24"/>
      <c r="S11992" s="24"/>
      <c r="T11992" s="24"/>
      <c r="U11992" s="24"/>
      <c r="V11992" s="24"/>
      <c r="W11992" s="24"/>
      <c r="X11992" s="24"/>
      <c r="Y11992" s="24"/>
      <c r="Z11992" s="24"/>
      <c r="AA11992" s="24"/>
    </row>
    <row r="11993">
      <c r="A11993" s="24"/>
      <c r="B11993" s="25"/>
      <c r="C11993" s="24"/>
      <c r="D11993" s="26"/>
      <c r="E11993" s="24"/>
      <c r="F11993" s="24"/>
      <c r="G11993" s="24"/>
      <c r="H11993" s="24"/>
      <c r="I11993" s="24"/>
      <c r="J11993" s="24"/>
      <c r="K11993" s="24"/>
      <c r="L11993" s="24"/>
      <c r="M11993" s="24"/>
      <c r="N11993" s="24"/>
      <c r="O11993" s="24"/>
      <c r="P11993" s="24"/>
      <c r="Q11993" s="24"/>
      <c r="R11993" s="24"/>
      <c r="S11993" s="24"/>
      <c r="T11993" s="24"/>
      <c r="U11993" s="24"/>
      <c r="V11993" s="24"/>
      <c r="W11993" s="24"/>
      <c r="X11993" s="24"/>
      <c r="Y11993" s="24"/>
      <c r="Z11993" s="24"/>
      <c r="AA11993" s="24"/>
    </row>
    <row r="11994">
      <c r="A11994" s="24"/>
      <c r="B11994" s="25"/>
      <c r="C11994" s="24"/>
      <c r="D11994" s="26"/>
      <c r="E11994" s="24"/>
      <c r="F11994" s="24"/>
      <c r="G11994" s="24"/>
      <c r="H11994" s="24"/>
      <c r="I11994" s="24"/>
      <c r="J11994" s="24"/>
      <c r="K11994" s="24"/>
      <c r="L11994" s="24"/>
      <c r="M11994" s="24"/>
      <c r="N11994" s="24"/>
      <c r="O11994" s="24"/>
      <c r="P11994" s="24"/>
      <c r="Q11994" s="24"/>
      <c r="R11994" s="24"/>
      <c r="S11994" s="24"/>
      <c r="T11994" s="24"/>
      <c r="U11994" s="24"/>
      <c r="V11994" s="24"/>
      <c r="W11994" s="24"/>
      <c r="X11994" s="24"/>
      <c r="Y11994" s="24"/>
      <c r="Z11994" s="24"/>
      <c r="AA11994" s="24"/>
    </row>
    <row r="11995">
      <c r="A11995" s="24"/>
      <c r="B11995" s="25"/>
      <c r="C11995" s="24"/>
      <c r="D11995" s="26"/>
      <c r="E11995" s="24"/>
      <c r="F11995" s="24"/>
      <c r="G11995" s="24"/>
      <c r="H11995" s="24"/>
      <c r="I11995" s="24"/>
      <c r="J11995" s="24"/>
      <c r="K11995" s="24"/>
      <c r="L11995" s="24"/>
      <c r="M11995" s="24"/>
      <c r="N11995" s="24"/>
      <c r="O11995" s="24"/>
      <c r="P11995" s="24"/>
      <c r="Q11995" s="24"/>
      <c r="R11995" s="24"/>
      <c r="S11995" s="24"/>
      <c r="T11995" s="24"/>
      <c r="U11995" s="24"/>
      <c r="V11995" s="24"/>
      <c r="W11995" s="24"/>
      <c r="X11995" s="24"/>
      <c r="Y11995" s="24"/>
      <c r="Z11995" s="24"/>
      <c r="AA11995" s="24"/>
    </row>
    <row r="11996">
      <c r="A11996" s="24"/>
      <c r="B11996" s="25"/>
      <c r="C11996" s="24"/>
      <c r="D11996" s="26"/>
      <c r="E11996" s="24"/>
      <c r="F11996" s="24"/>
      <c r="G11996" s="24"/>
      <c r="H11996" s="24"/>
      <c r="I11996" s="24"/>
      <c r="J11996" s="24"/>
      <c r="K11996" s="24"/>
      <c r="L11996" s="24"/>
      <c r="M11996" s="24"/>
      <c r="N11996" s="24"/>
      <c r="O11996" s="24"/>
      <c r="P11996" s="24"/>
      <c r="Q11996" s="24"/>
      <c r="R11996" s="24"/>
      <c r="S11996" s="24"/>
      <c r="T11996" s="24"/>
      <c r="U11996" s="24"/>
      <c r="V11996" s="24"/>
      <c r="W11996" s="24"/>
      <c r="X11996" s="24"/>
      <c r="Y11996" s="24"/>
      <c r="Z11996" s="24"/>
      <c r="AA11996" s="24"/>
    </row>
    <row r="11997">
      <c r="A11997" s="24"/>
      <c r="B11997" s="25"/>
      <c r="C11997" s="24"/>
      <c r="D11997" s="26"/>
      <c r="E11997" s="24"/>
      <c r="F11997" s="24"/>
      <c r="G11997" s="24"/>
      <c r="H11997" s="24"/>
      <c r="I11997" s="24"/>
      <c r="J11997" s="24"/>
      <c r="K11997" s="24"/>
      <c r="L11997" s="24"/>
      <c r="M11997" s="24"/>
      <c r="N11997" s="24"/>
      <c r="O11997" s="24"/>
      <c r="P11997" s="24"/>
      <c r="Q11997" s="24"/>
      <c r="R11997" s="24"/>
      <c r="S11997" s="24"/>
      <c r="T11997" s="24"/>
      <c r="U11997" s="24"/>
      <c r="V11997" s="24"/>
      <c r="W11997" s="24"/>
      <c r="X11997" s="24"/>
      <c r="Y11997" s="24"/>
      <c r="Z11997" s="24"/>
      <c r="AA11997" s="24"/>
    </row>
    <row r="11998">
      <c r="A11998" s="24"/>
      <c r="B11998" s="25"/>
      <c r="C11998" s="24"/>
      <c r="D11998" s="26"/>
      <c r="E11998" s="24"/>
      <c r="F11998" s="24"/>
      <c r="G11998" s="24"/>
      <c r="H11998" s="24"/>
      <c r="I11998" s="24"/>
      <c r="J11998" s="24"/>
      <c r="K11998" s="24"/>
      <c r="L11998" s="24"/>
      <c r="M11998" s="24"/>
      <c r="N11998" s="24"/>
      <c r="O11998" s="24"/>
      <c r="P11998" s="24"/>
      <c r="Q11998" s="24"/>
      <c r="R11998" s="24"/>
      <c r="S11998" s="24"/>
      <c r="T11998" s="24"/>
      <c r="U11998" s="24"/>
      <c r="V11998" s="24"/>
      <c r="W11998" s="24"/>
      <c r="X11998" s="24"/>
      <c r="Y11998" s="24"/>
      <c r="Z11998" s="24"/>
      <c r="AA11998" s="24"/>
    </row>
    <row r="11999">
      <c r="A11999" s="24"/>
      <c r="B11999" s="25"/>
      <c r="C11999" s="24"/>
      <c r="D11999" s="26"/>
      <c r="E11999" s="24"/>
      <c r="F11999" s="24"/>
      <c r="G11999" s="24"/>
      <c r="H11999" s="24"/>
      <c r="I11999" s="24"/>
      <c r="J11999" s="24"/>
      <c r="K11999" s="24"/>
      <c r="L11999" s="24"/>
      <c r="M11999" s="24"/>
      <c r="N11999" s="24"/>
      <c r="O11999" s="24"/>
      <c r="P11999" s="24"/>
      <c r="Q11999" s="24"/>
      <c r="R11999" s="24"/>
      <c r="S11999" s="24"/>
      <c r="T11999" s="24"/>
      <c r="U11999" s="24"/>
      <c r="V11999" s="24"/>
      <c r="W11999" s="24"/>
      <c r="X11999" s="24"/>
      <c r="Y11999" s="24"/>
      <c r="Z11999" s="24"/>
      <c r="AA11999" s="24"/>
    </row>
    <row r="12000">
      <c r="A12000" s="24"/>
      <c r="B12000" s="25"/>
      <c r="C12000" s="24"/>
      <c r="D12000" s="26"/>
      <c r="E12000" s="24"/>
      <c r="F12000" s="24"/>
      <c r="G12000" s="24"/>
      <c r="H12000" s="24"/>
      <c r="I12000" s="24"/>
      <c r="J12000" s="24"/>
      <c r="K12000" s="24"/>
      <c r="L12000" s="24"/>
      <c r="M12000" s="24"/>
      <c r="N12000" s="24"/>
      <c r="O12000" s="24"/>
      <c r="P12000" s="24"/>
      <c r="Q12000" s="24"/>
      <c r="R12000" s="24"/>
      <c r="S12000" s="24"/>
      <c r="T12000" s="24"/>
      <c r="U12000" s="24"/>
      <c r="V12000" s="24"/>
      <c r="W12000" s="24"/>
      <c r="X12000" s="24"/>
      <c r="Y12000" s="24"/>
      <c r="Z12000" s="24"/>
      <c r="AA12000" s="24"/>
    </row>
    <row r="12001">
      <c r="A12001" s="24"/>
      <c r="B12001" s="25"/>
      <c r="C12001" s="24"/>
      <c r="D12001" s="26"/>
      <c r="E12001" s="24"/>
      <c r="F12001" s="24"/>
      <c r="G12001" s="24"/>
      <c r="H12001" s="24"/>
      <c r="I12001" s="24"/>
      <c r="J12001" s="24"/>
      <c r="K12001" s="24"/>
      <c r="L12001" s="24"/>
      <c r="M12001" s="24"/>
      <c r="N12001" s="24"/>
      <c r="O12001" s="24"/>
      <c r="P12001" s="24"/>
      <c r="Q12001" s="24"/>
      <c r="R12001" s="24"/>
      <c r="S12001" s="24"/>
      <c r="T12001" s="24"/>
      <c r="U12001" s="24"/>
      <c r="V12001" s="24"/>
      <c r="W12001" s="24"/>
      <c r="X12001" s="24"/>
      <c r="Y12001" s="24"/>
      <c r="Z12001" s="24"/>
      <c r="AA12001" s="24"/>
    </row>
    <row r="12002">
      <c r="A12002" s="24"/>
      <c r="B12002" s="25"/>
      <c r="C12002" s="24"/>
      <c r="D12002" s="26"/>
      <c r="E12002" s="24"/>
      <c r="F12002" s="24"/>
      <c r="G12002" s="24"/>
      <c r="H12002" s="24"/>
      <c r="I12002" s="24"/>
      <c r="J12002" s="24"/>
      <c r="K12002" s="24"/>
      <c r="L12002" s="24"/>
      <c r="M12002" s="24"/>
      <c r="N12002" s="24"/>
      <c r="O12002" s="24"/>
      <c r="P12002" s="24"/>
      <c r="Q12002" s="24"/>
      <c r="R12002" s="24"/>
      <c r="S12002" s="24"/>
      <c r="T12002" s="24"/>
      <c r="U12002" s="24"/>
      <c r="V12002" s="24"/>
      <c r="W12002" s="24"/>
      <c r="X12002" s="24"/>
      <c r="Y12002" s="24"/>
      <c r="Z12002" s="24"/>
      <c r="AA12002" s="24"/>
    </row>
    <row r="12003">
      <c r="A12003" s="24"/>
      <c r="B12003" s="25"/>
      <c r="C12003" s="24"/>
      <c r="D12003" s="26"/>
      <c r="E12003" s="24"/>
      <c r="F12003" s="24"/>
      <c r="G12003" s="24"/>
      <c r="H12003" s="24"/>
      <c r="I12003" s="24"/>
      <c r="J12003" s="24"/>
      <c r="K12003" s="24"/>
      <c r="L12003" s="24"/>
      <c r="M12003" s="24"/>
      <c r="N12003" s="24"/>
      <c r="O12003" s="24"/>
      <c r="P12003" s="24"/>
      <c r="Q12003" s="24"/>
      <c r="R12003" s="24"/>
      <c r="S12003" s="24"/>
      <c r="T12003" s="24"/>
      <c r="U12003" s="24"/>
      <c r="V12003" s="24"/>
      <c r="W12003" s="24"/>
      <c r="X12003" s="24"/>
      <c r="Y12003" s="24"/>
      <c r="Z12003" s="24"/>
      <c r="AA12003" s="24"/>
    </row>
    <row r="12004">
      <c r="A12004" s="24"/>
      <c r="B12004" s="25"/>
      <c r="C12004" s="24"/>
      <c r="D12004" s="26"/>
      <c r="E12004" s="24"/>
      <c r="F12004" s="24"/>
      <c r="G12004" s="24"/>
      <c r="H12004" s="24"/>
      <c r="I12004" s="24"/>
      <c r="J12004" s="24"/>
      <c r="K12004" s="24"/>
      <c r="L12004" s="24"/>
      <c r="M12004" s="24"/>
      <c r="N12004" s="24"/>
      <c r="O12004" s="24"/>
      <c r="P12004" s="24"/>
      <c r="Q12004" s="24"/>
      <c r="R12004" s="24"/>
      <c r="S12004" s="24"/>
      <c r="T12004" s="24"/>
      <c r="U12004" s="24"/>
      <c r="V12004" s="24"/>
      <c r="W12004" s="24"/>
      <c r="X12004" s="24"/>
      <c r="Y12004" s="24"/>
      <c r="Z12004" s="24"/>
      <c r="AA12004" s="24"/>
    </row>
    <row r="12005">
      <c r="A12005" s="24"/>
      <c r="B12005" s="25"/>
      <c r="C12005" s="24"/>
      <c r="D12005" s="26"/>
      <c r="E12005" s="24"/>
      <c r="F12005" s="24"/>
      <c r="G12005" s="24"/>
      <c r="H12005" s="24"/>
      <c r="I12005" s="24"/>
      <c r="J12005" s="24"/>
      <c r="K12005" s="24"/>
      <c r="L12005" s="24"/>
      <c r="M12005" s="24"/>
      <c r="N12005" s="24"/>
      <c r="O12005" s="24"/>
      <c r="P12005" s="24"/>
      <c r="Q12005" s="24"/>
      <c r="R12005" s="24"/>
      <c r="S12005" s="24"/>
      <c r="T12005" s="24"/>
      <c r="U12005" s="24"/>
      <c r="V12005" s="24"/>
      <c r="W12005" s="24"/>
      <c r="X12005" s="24"/>
      <c r="Y12005" s="24"/>
      <c r="Z12005" s="24"/>
      <c r="AA12005" s="24"/>
    </row>
    <row r="12006">
      <c r="A12006" s="24"/>
      <c r="B12006" s="25"/>
      <c r="C12006" s="24"/>
      <c r="D12006" s="26"/>
      <c r="E12006" s="24"/>
      <c r="F12006" s="24"/>
      <c r="G12006" s="24"/>
      <c r="H12006" s="24"/>
      <c r="I12006" s="24"/>
      <c r="J12006" s="24"/>
      <c r="K12006" s="24"/>
      <c r="L12006" s="24"/>
      <c r="M12006" s="24"/>
      <c r="N12006" s="24"/>
      <c r="O12006" s="24"/>
      <c r="P12006" s="24"/>
      <c r="Q12006" s="24"/>
      <c r="R12006" s="24"/>
      <c r="S12006" s="24"/>
      <c r="T12006" s="24"/>
      <c r="U12006" s="24"/>
      <c r="V12006" s="24"/>
      <c r="W12006" s="24"/>
      <c r="X12006" s="24"/>
      <c r="Y12006" s="24"/>
      <c r="Z12006" s="24"/>
      <c r="AA12006" s="24"/>
    </row>
    <row r="12007">
      <c r="A12007" s="24"/>
      <c r="B12007" s="25"/>
      <c r="C12007" s="24"/>
      <c r="D12007" s="26"/>
      <c r="E12007" s="24"/>
      <c r="F12007" s="24"/>
      <c r="G12007" s="24"/>
      <c r="H12007" s="24"/>
      <c r="I12007" s="24"/>
      <c r="J12007" s="24"/>
      <c r="K12007" s="24"/>
      <c r="L12007" s="24"/>
      <c r="M12007" s="24"/>
      <c r="N12007" s="24"/>
      <c r="O12007" s="24"/>
      <c r="P12007" s="24"/>
      <c r="Q12007" s="24"/>
      <c r="R12007" s="24"/>
      <c r="S12007" s="24"/>
      <c r="T12007" s="24"/>
      <c r="U12007" s="24"/>
      <c r="V12007" s="24"/>
      <c r="W12007" s="24"/>
      <c r="X12007" s="24"/>
      <c r="Y12007" s="24"/>
      <c r="Z12007" s="24"/>
      <c r="AA12007" s="24"/>
    </row>
    <row r="12008">
      <c r="A12008" s="24"/>
      <c r="B12008" s="25"/>
      <c r="C12008" s="24"/>
      <c r="D12008" s="26"/>
      <c r="E12008" s="24"/>
      <c r="F12008" s="24"/>
      <c r="G12008" s="24"/>
      <c r="H12008" s="24"/>
      <c r="I12008" s="24"/>
      <c r="J12008" s="24"/>
      <c r="K12008" s="24"/>
      <c r="L12008" s="24"/>
      <c r="M12008" s="24"/>
      <c r="N12008" s="24"/>
      <c r="O12008" s="24"/>
      <c r="P12008" s="24"/>
      <c r="Q12008" s="24"/>
      <c r="R12008" s="24"/>
      <c r="S12008" s="24"/>
      <c r="T12008" s="24"/>
      <c r="U12008" s="24"/>
      <c r="V12008" s="24"/>
      <c r="W12008" s="24"/>
      <c r="X12008" s="24"/>
      <c r="Y12008" s="24"/>
      <c r="Z12008" s="24"/>
      <c r="AA12008" s="24"/>
    </row>
    <row r="12009">
      <c r="A12009" s="24"/>
      <c r="B12009" s="25"/>
      <c r="C12009" s="24"/>
      <c r="D12009" s="26"/>
      <c r="E12009" s="24"/>
      <c r="F12009" s="24"/>
      <c r="G12009" s="24"/>
      <c r="H12009" s="24"/>
      <c r="I12009" s="24"/>
      <c r="J12009" s="24"/>
      <c r="K12009" s="24"/>
      <c r="L12009" s="24"/>
      <c r="M12009" s="24"/>
      <c r="N12009" s="24"/>
      <c r="O12009" s="24"/>
      <c r="P12009" s="24"/>
      <c r="Q12009" s="24"/>
      <c r="R12009" s="24"/>
      <c r="S12009" s="24"/>
      <c r="T12009" s="24"/>
      <c r="U12009" s="24"/>
      <c r="V12009" s="24"/>
      <c r="W12009" s="24"/>
      <c r="X12009" s="24"/>
      <c r="Y12009" s="24"/>
      <c r="Z12009" s="24"/>
      <c r="AA12009" s="24"/>
    </row>
    <row r="12010">
      <c r="A12010" s="24"/>
      <c r="B12010" s="25"/>
      <c r="C12010" s="24"/>
      <c r="D12010" s="26"/>
      <c r="E12010" s="24"/>
      <c r="F12010" s="24"/>
      <c r="G12010" s="24"/>
      <c r="H12010" s="24"/>
      <c r="I12010" s="24"/>
      <c r="J12010" s="24"/>
      <c r="K12010" s="24"/>
      <c r="L12010" s="24"/>
      <c r="M12010" s="24"/>
      <c r="N12010" s="24"/>
      <c r="O12010" s="24"/>
      <c r="P12010" s="24"/>
      <c r="Q12010" s="24"/>
      <c r="R12010" s="24"/>
      <c r="S12010" s="24"/>
      <c r="T12010" s="24"/>
      <c r="U12010" s="24"/>
      <c r="V12010" s="24"/>
      <c r="W12010" s="24"/>
      <c r="X12010" s="24"/>
      <c r="Y12010" s="24"/>
      <c r="Z12010" s="24"/>
      <c r="AA12010" s="24"/>
    </row>
    <row r="12011">
      <c r="A12011" s="24"/>
      <c r="B12011" s="25"/>
      <c r="C12011" s="24"/>
      <c r="D12011" s="26"/>
      <c r="E12011" s="24"/>
      <c r="F12011" s="24"/>
      <c r="G12011" s="24"/>
      <c r="H12011" s="24"/>
      <c r="I12011" s="24"/>
      <c r="J12011" s="24"/>
      <c r="K12011" s="24"/>
      <c r="L12011" s="24"/>
      <c r="M12011" s="24"/>
      <c r="N12011" s="24"/>
      <c r="O12011" s="24"/>
      <c r="P12011" s="24"/>
      <c r="Q12011" s="24"/>
      <c r="R12011" s="24"/>
      <c r="S12011" s="24"/>
      <c r="T12011" s="24"/>
      <c r="U12011" s="24"/>
      <c r="V12011" s="24"/>
      <c r="W12011" s="24"/>
      <c r="X12011" s="24"/>
      <c r="Y12011" s="24"/>
      <c r="Z12011" s="24"/>
      <c r="AA12011" s="24"/>
    </row>
    <row r="12012">
      <c r="A12012" s="24"/>
      <c r="B12012" s="25"/>
      <c r="C12012" s="24"/>
      <c r="D12012" s="26"/>
      <c r="E12012" s="24"/>
      <c r="F12012" s="24"/>
      <c r="G12012" s="24"/>
      <c r="H12012" s="24"/>
      <c r="I12012" s="24"/>
      <c r="J12012" s="24"/>
      <c r="K12012" s="24"/>
      <c r="L12012" s="24"/>
      <c r="M12012" s="24"/>
      <c r="N12012" s="24"/>
      <c r="O12012" s="24"/>
      <c r="P12012" s="24"/>
      <c r="Q12012" s="24"/>
      <c r="R12012" s="24"/>
      <c r="S12012" s="24"/>
      <c r="T12012" s="24"/>
      <c r="U12012" s="24"/>
      <c r="V12012" s="24"/>
      <c r="W12012" s="24"/>
      <c r="X12012" s="24"/>
      <c r="Y12012" s="24"/>
      <c r="Z12012" s="24"/>
      <c r="AA12012" s="24"/>
    </row>
    <row r="12013">
      <c r="A12013" s="24"/>
      <c r="B12013" s="25"/>
      <c r="C12013" s="24"/>
      <c r="D12013" s="26"/>
      <c r="E12013" s="24"/>
      <c r="F12013" s="24"/>
      <c r="G12013" s="24"/>
      <c r="H12013" s="24"/>
      <c r="I12013" s="24"/>
      <c r="J12013" s="24"/>
      <c r="K12013" s="24"/>
      <c r="L12013" s="24"/>
      <c r="M12013" s="24"/>
      <c r="N12013" s="24"/>
      <c r="O12013" s="24"/>
      <c r="P12013" s="24"/>
      <c r="Q12013" s="24"/>
      <c r="R12013" s="24"/>
      <c r="S12013" s="24"/>
      <c r="T12013" s="24"/>
      <c r="U12013" s="24"/>
      <c r="V12013" s="24"/>
      <c r="W12013" s="24"/>
      <c r="X12013" s="24"/>
      <c r="Y12013" s="24"/>
      <c r="Z12013" s="24"/>
      <c r="AA12013" s="24"/>
    </row>
    <row r="12014">
      <c r="A12014" s="24"/>
      <c r="B12014" s="25"/>
      <c r="C12014" s="24"/>
      <c r="D12014" s="26"/>
      <c r="E12014" s="24"/>
      <c r="F12014" s="24"/>
      <c r="G12014" s="24"/>
      <c r="H12014" s="24"/>
      <c r="I12014" s="24"/>
      <c r="J12014" s="24"/>
      <c r="K12014" s="24"/>
      <c r="L12014" s="24"/>
      <c r="M12014" s="24"/>
      <c r="N12014" s="24"/>
      <c r="O12014" s="24"/>
      <c r="P12014" s="24"/>
      <c r="Q12014" s="24"/>
      <c r="R12014" s="24"/>
      <c r="S12014" s="24"/>
      <c r="T12014" s="24"/>
      <c r="U12014" s="24"/>
      <c r="V12014" s="24"/>
      <c r="W12014" s="24"/>
      <c r="X12014" s="24"/>
      <c r="Y12014" s="24"/>
      <c r="Z12014" s="24"/>
      <c r="AA12014" s="24"/>
    </row>
    <row r="12015">
      <c r="A12015" s="24"/>
      <c r="B12015" s="25"/>
      <c r="C12015" s="24"/>
      <c r="D12015" s="26"/>
      <c r="E12015" s="24"/>
      <c r="F12015" s="24"/>
      <c r="G12015" s="24"/>
      <c r="H12015" s="24"/>
      <c r="I12015" s="24"/>
      <c r="J12015" s="24"/>
      <c r="K12015" s="24"/>
      <c r="L12015" s="24"/>
      <c r="M12015" s="24"/>
      <c r="N12015" s="24"/>
      <c r="O12015" s="24"/>
      <c r="P12015" s="24"/>
      <c r="Q12015" s="24"/>
      <c r="R12015" s="24"/>
      <c r="S12015" s="24"/>
      <c r="T12015" s="24"/>
      <c r="U12015" s="24"/>
      <c r="V12015" s="24"/>
      <c r="W12015" s="24"/>
      <c r="X12015" s="24"/>
      <c r="Y12015" s="24"/>
      <c r="Z12015" s="24"/>
      <c r="AA12015" s="24"/>
    </row>
    <row r="12016">
      <c r="A12016" s="24"/>
      <c r="B12016" s="25"/>
      <c r="C12016" s="24"/>
      <c r="D12016" s="26"/>
      <c r="E12016" s="24"/>
      <c r="F12016" s="24"/>
      <c r="G12016" s="24"/>
      <c r="H12016" s="24"/>
      <c r="I12016" s="24"/>
      <c r="J12016" s="24"/>
      <c r="K12016" s="24"/>
      <c r="L12016" s="24"/>
      <c r="M12016" s="24"/>
      <c r="N12016" s="24"/>
      <c r="O12016" s="24"/>
      <c r="P12016" s="24"/>
      <c r="Q12016" s="24"/>
      <c r="R12016" s="24"/>
      <c r="S12016" s="24"/>
      <c r="T12016" s="24"/>
      <c r="U12016" s="24"/>
      <c r="V12016" s="24"/>
      <c r="W12016" s="24"/>
      <c r="X12016" s="24"/>
      <c r="Y12016" s="24"/>
      <c r="Z12016" s="24"/>
      <c r="AA12016" s="24"/>
    </row>
    <row r="12017">
      <c r="A12017" s="24"/>
      <c r="B12017" s="25"/>
      <c r="C12017" s="24"/>
      <c r="D12017" s="26"/>
      <c r="E12017" s="24"/>
      <c r="F12017" s="24"/>
      <c r="G12017" s="24"/>
      <c r="H12017" s="24"/>
      <c r="I12017" s="24"/>
      <c r="J12017" s="24"/>
      <c r="K12017" s="24"/>
      <c r="L12017" s="24"/>
      <c r="M12017" s="24"/>
      <c r="N12017" s="24"/>
      <c r="O12017" s="24"/>
      <c r="P12017" s="24"/>
      <c r="Q12017" s="24"/>
      <c r="R12017" s="24"/>
      <c r="S12017" s="24"/>
      <c r="T12017" s="24"/>
      <c r="U12017" s="24"/>
      <c r="V12017" s="24"/>
      <c r="W12017" s="24"/>
      <c r="X12017" s="24"/>
      <c r="Y12017" s="24"/>
      <c r="Z12017" s="24"/>
      <c r="AA12017" s="24"/>
    </row>
    <row r="12018">
      <c r="A12018" s="24"/>
      <c r="B12018" s="25"/>
      <c r="C12018" s="24"/>
      <c r="D12018" s="26"/>
      <c r="E12018" s="24"/>
      <c r="F12018" s="24"/>
      <c r="G12018" s="24"/>
      <c r="H12018" s="24"/>
      <c r="I12018" s="24"/>
      <c r="J12018" s="24"/>
      <c r="K12018" s="24"/>
      <c r="L12018" s="24"/>
      <c r="M12018" s="24"/>
      <c r="N12018" s="24"/>
      <c r="O12018" s="24"/>
      <c r="P12018" s="24"/>
      <c r="Q12018" s="24"/>
      <c r="R12018" s="24"/>
      <c r="S12018" s="24"/>
      <c r="T12018" s="24"/>
      <c r="U12018" s="24"/>
      <c r="V12018" s="24"/>
      <c r="W12018" s="24"/>
      <c r="X12018" s="24"/>
      <c r="Y12018" s="24"/>
      <c r="Z12018" s="24"/>
      <c r="AA12018" s="24"/>
    </row>
    <row r="12019">
      <c r="A12019" s="24"/>
      <c r="B12019" s="25"/>
      <c r="C12019" s="24"/>
      <c r="D12019" s="26"/>
      <c r="E12019" s="24"/>
      <c r="F12019" s="24"/>
      <c r="G12019" s="24"/>
      <c r="H12019" s="24"/>
      <c r="I12019" s="24"/>
      <c r="J12019" s="24"/>
      <c r="K12019" s="24"/>
      <c r="L12019" s="24"/>
      <c r="M12019" s="24"/>
      <c r="N12019" s="24"/>
      <c r="O12019" s="24"/>
      <c r="P12019" s="24"/>
      <c r="Q12019" s="24"/>
      <c r="R12019" s="24"/>
      <c r="S12019" s="24"/>
      <c r="T12019" s="24"/>
      <c r="U12019" s="24"/>
      <c r="V12019" s="24"/>
      <c r="W12019" s="24"/>
      <c r="X12019" s="24"/>
      <c r="Y12019" s="24"/>
      <c r="Z12019" s="24"/>
      <c r="AA12019" s="24"/>
    </row>
    <row r="12020">
      <c r="A12020" s="24"/>
      <c r="B12020" s="25"/>
      <c r="C12020" s="24"/>
      <c r="D12020" s="26"/>
      <c r="E12020" s="24"/>
      <c r="F12020" s="24"/>
      <c r="G12020" s="24"/>
      <c r="H12020" s="24"/>
      <c r="I12020" s="24"/>
      <c r="J12020" s="24"/>
      <c r="K12020" s="24"/>
      <c r="L12020" s="24"/>
      <c r="M12020" s="24"/>
      <c r="N12020" s="24"/>
      <c r="O12020" s="24"/>
      <c r="P12020" s="24"/>
      <c r="Q12020" s="24"/>
      <c r="R12020" s="24"/>
      <c r="S12020" s="24"/>
      <c r="T12020" s="24"/>
      <c r="U12020" s="24"/>
      <c r="V12020" s="24"/>
      <c r="W12020" s="24"/>
      <c r="X12020" s="24"/>
      <c r="Y12020" s="24"/>
      <c r="Z12020" s="24"/>
      <c r="AA12020" s="24"/>
    </row>
    <row r="12021">
      <c r="A12021" s="24"/>
      <c r="B12021" s="25"/>
      <c r="C12021" s="24"/>
      <c r="D12021" s="26"/>
      <c r="E12021" s="24"/>
      <c r="F12021" s="24"/>
      <c r="G12021" s="24"/>
      <c r="H12021" s="24"/>
      <c r="I12021" s="24"/>
      <c r="J12021" s="24"/>
      <c r="K12021" s="24"/>
      <c r="L12021" s="24"/>
      <c r="M12021" s="24"/>
      <c r="N12021" s="24"/>
      <c r="O12021" s="24"/>
      <c r="P12021" s="24"/>
      <c r="Q12021" s="24"/>
      <c r="R12021" s="24"/>
      <c r="S12021" s="24"/>
      <c r="T12021" s="24"/>
      <c r="U12021" s="24"/>
      <c r="V12021" s="24"/>
      <c r="W12021" s="24"/>
      <c r="X12021" s="24"/>
      <c r="Y12021" s="24"/>
      <c r="Z12021" s="24"/>
      <c r="AA12021" s="24"/>
    </row>
    <row r="12022">
      <c r="A12022" s="24"/>
      <c r="B12022" s="25"/>
      <c r="C12022" s="24"/>
      <c r="D12022" s="26"/>
      <c r="E12022" s="24"/>
      <c r="F12022" s="24"/>
      <c r="G12022" s="24"/>
      <c r="H12022" s="24"/>
      <c r="I12022" s="24"/>
      <c r="J12022" s="24"/>
      <c r="K12022" s="24"/>
      <c r="L12022" s="24"/>
      <c r="M12022" s="24"/>
      <c r="N12022" s="24"/>
      <c r="O12022" s="24"/>
      <c r="P12022" s="24"/>
      <c r="Q12022" s="24"/>
      <c r="R12022" s="24"/>
      <c r="S12022" s="24"/>
      <c r="T12022" s="24"/>
      <c r="U12022" s="24"/>
      <c r="V12022" s="24"/>
      <c r="W12022" s="24"/>
      <c r="X12022" s="24"/>
      <c r="Y12022" s="24"/>
      <c r="Z12022" s="24"/>
      <c r="AA12022" s="24"/>
    </row>
    <row r="12023">
      <c r="A12023" s="24"/>
      <c r="B12023" s="25"/>
      <c r="C12023" s="24"/>
      <c r="D12023" s="26"/>
      <c r="E12023" s="24"/>
      <c r="F12023" s="24"/>
      <c r="G12023" s="24"/>
      <c r="H12023" s="24"/>
      <c r="I12023" s="24"/>
      <c r="J12023" s="24"/>
      <c r="K12023" s="24"/>
      <c r="L12023" s="24"/>
      <c r="M12023" s="24"/>
      <c r="N12023" s="24"/>
      <c r="O12023" s="24"/>
      <c r="P12023" s="24"/>
      <c r="Q12023" s="24"/>
      <c r="R12023" s="24"/>
      <c r="S12023" s="24"/>
      <c r="T12023" s="24"/>
      <c r="U12023" s="24"/>
      <c r="V12023" s="24"/>
      <c r="W12023" s="24"/>
      <c r="X12023" s="24"/>
      <c r="Y12023" s="24"/>
      <c r="Z12023" s="24"/>
      <c r="AA12023" s="24"/>
    </row>
    <row r="12024">
      <c r="A12024" s="24"/>
      <c r="B12024" s="25"/>
      <c r="C12024" s="24"/>
      <c r="D12024" s="26"/>
      <c r="E12024" s="24"/>
      <c r="F12024" s="24"/>
      <c r="G12024" s="24"/>
      <c r="H12024" s="24"/>
      <c r="I12024" s="24"/>
      <c r="J12024" s="24"/>
      <c r="K12024" s="24"/>
      <c r="L12024" s="24"/>
      <c r="M12024" s="24"/>
      <c r="N12024" s="24"/>
      <c r="O12024" s="24"/>
      <c r="P12024" s="24"/>
      <c r="Q12024" s="24"/>
      <c r="R12024" s="24"/>
      <c r="S12024" s="24"/>
      <c r="T12024" s="24"/>
      <c r="U12024" s="24"/>
      <c r="V12024" s="24"/>
      <c r="W12024" s="24"/>
      <c r="X12024" s="24"/>
      <c r="Y12024" s="24"/>
      <c r="Z12024" s="24"/>
      <c r="AA12024" s="24"/>
    </row>
    <row r="12025">
      <c r="A12025" s="24"/>
      <c r="B12025" s="25"/>
      <c r="C12025" s="24"/>
      <c r="D12025" s="26"/>
      <c r="E12025" s="24"/>
      <c r="F12025" s="24"/>
      <c r="G12025" s="24"/>
      <c r="H12025" s="24"/>
      <c r="I12025" s="24"/>
      <c r="J12025" s="24"/>
      <c r="K12025" s="24"/>
      <c r="L12025" s="24"/>
      <c r="M12025" s="24"/>
      <c r="N12025" s="24"/>
      <c r="O12025" s="24"/>
      <c r="P12025" s="24"/>
      <c r="Q12025" s="24"/>
      <c r="R12025" s="24"/>
      <c r="S12025" s="24"/>
      <c r="T12025" s="24"/>
      <c r="U12025" s="24"/>
      <c r="V12025" s="24"/>
      <c r="W12025" s="24"/>
      <c r="X12025" s="24"/>
      <c r="Y12025" s="24"/>
      <c r="Z12025" s="24"/>
      <c r="AA12025" s="24"/>
    </row>
    <row r="12026">
      <c r="A12026" s="24"/>
      <c r="B12026" s="25"/>
      <c r="C12026" s="24"/>
      <c r="D12026" s="26"/>
      <c r="E12026" s="24"/>
      <c r="F12026" s="24"/>
      <c r="G12026" s="24"/>
      <c r="H12026" s="24"/>
      <c r="I12026" s="24"/>
      <c r="J12026" s="24"/>
      <c r="K12026" s="24"/>
      <c r="L12026" s="24"/>
      <c r="M12026" s="24"/>
      <c r="N12026" s="24"/>
      <c r="O12026" s="24"/>
      <c r="P12026" s="24"/>
      <c r="Q12026" s="24"/>
      <c r="R12026" s="24"/>
      <c r="S12026" s="24"/>
      <c r="T12026" s="24"/>
      <c r="U12026" s="24"/>
      <c r="V12026" s="24"/>
      <c r="W12026" s="24"/>
      <c r="X12026" s="24"/>
      <c r="Y12026" s="24"/>
      <c r="Z12026" s="24"/>
      <c r="AA12026" s="24"/>
    </row>
    <row r="12027">
      <c r="A12027" s="24"/>
      <c r="B12027" s="25"/>
      <c r="C12027" s="24"/>
      <c r="D12027" s="26"/>
      <c r="E12027" s="24"/>
      <c r="F12027" s="24"/>
      <c r="G12027" s="24"/>
      <c r="H12027" s="24"/>
      <c r="I12027" s="24"/>
      <c r="J12027" s="24"/>
      <c r="K12027" s="24"/>
      <c r="L12027" s="24"/>
      <c r="M12027" s="24"/>
      <c r="N12027" s="24"/>
      <c r="O12027" s="24"/>
      <c r="P12027" s="24"/>
      <c r="Q12027" s="24"/>
      <c r="R12027" s="24"/>
      <c r="S12027" s="24"/>
      <c r="T12027" s="24"/>
      <c r="U12027" s="24"/>
      <c r="V12027" s="24"/>
      <c r="W12027" s="24"/>
      <c r="X12027" s="24"/>
      <c r="Y12027" s="24"/>
      <c r="Z12027" s="24"/>
      <c r="AA12027" s="24"/>
    </row>
    <row r="12028">
      <c r="A12028" s="24"/>
      <c r="B12028" s="25"/>
      <c r="C12028" s="24"/>
      <c r="D12028" s="26"/>
      <c r="E12028" s="24"/>
      <c r="F12028" s="24"/>
      <c r="G12028" s="24"/>
      <c r="H12028" s="24"/>
      <c r="I12028" s="24"/>
      <c r="J12028" s="24"/>
      <c r="K12028" s="24"/>
      <c r="L12028" s="24"/>
      <c r="M12028" s="24"/>
      <c r="N12028" s="24"/>
      <c r="O12028" s="24"/>
      <c r="P12028" s="24"/>
      <c r="Q12028" s="24"/>
      <c r="R12028" s="24"/>
      <c r="S12028" s="24"/>
      <c r="T12028" s="24"/>
      <c r="U12028" s="24"/>
      <c r="V12028" s="24"/>
      <c r="W12028" s="24"/>
      <c r="X12028" s="24"/>
      <c r="Y12028" s="24"/>
      <c r="Z12028" s="24"/>
      <c r="AA12028" s="24"/>
    </row>
    <row r="12029">
      <c r="A12029" s="24"/>
      <c r="B12029" s="25"/>
      <c r="C12029" s="24"/>
      <c r="D12029" s="26"/>
      <c r="E12029" s="24"/>
      <c r="F12029" s="24"/>
      <c r="G12029" s="24"/>
      <c r="H12029" s="24"/>
      <c r="I12029" s="24"/>
      <c r="J12029" s="24"/>
      <c r="K12029" s="24"/>
      <c r="L12029" s="24"/>
      <c r="M12029" s="24"/>
      <c r="N12029" s="24"/>
      <c r="O12029" s="24"/>
      <c r="P12029" s="24"/>
      <c r="Q12029" s="24"/>
      <c r="R12029" s="24"/>
      <c r="S12029" s="24"/>
      <c r="T12029" s="24"/>
      <c r="U12029" s="24"/>
      <c r="V12029" s="24"/>
      <c r="W12029" s="24"/>
      <c r="X12029" s="24"/>
      <c r="Y12029" s="24"/>
      <c r="Z12029" s="24"/>
      <c r="AA12029" s="24"/>
    </row>
    <row r="12030">
      <c r="A12030" s="24"/>
      <c r="B12030" s="25"/>
      <c r="C12030" s="24"/>
      <c r="D12030" s="26"/>
      <c r="E12030" s="24"/>
      <c r="F12030" s="24"/>
      <c r="G12030" s="24"/>
      <c r="H12030" s="24"/>
      <c r="I12030" s="24"/>
      <c r="J12030" s="24"/>
      <c r="K12030" s="24"/>
      <c r="L12030" s="24"/>
      <c r="M12030" s="24"/>
      <c r="N12030" s="24"/>
      <c r="O12030" s="24"/>
      <c r="P12030" s="24"/>
      <c r="Q12030" s="24"/>
      <c r="R12030" s="24"/>
      <c r="S12030" s="24"/>
      <c r="T12030" s="24"/>
      <c r="U12030" s="24"/>
      <c r="V12030" s="24"/>
      <c r="W12030" s="24"/>
      <c r="X12030" s="24"/>
      <c r="Y12030" s="24"/>
      <c r="Z12030" s="24"/>
      <c r="AA12030" s="24"/>
    </row>
    <row r="12031">
      <c r="A12031" s="24"/>
      <c r="B12031" s="25"/>
      <c r="C12031" s="24"/>
      <c r="D12031" s="26"/>
      <c r="E12031" s="24"/>
      <c r="F12031" s="24"/>
      <c r="G12031" s="24"/>
      <c r="H12031" s="24"/>
      <c r="I12031" s="24"/>
      <c r="J12031" s="24"/>
      <c r="K12031" s="24"/>
      <c r="L12031" s="24"/>
      <c r="M12031" s="24"/>
      <c r="N12031" s="24"/>
      <c r="O12031" s="24"/>
      <c r="P12031" s="24"/>
      <c r="Q12031" s="24"/>
      <c r="R12031" s="24"/>
      <c r="S12031" s="24"/>
      <c r="T12031" s="24"/>
      <c r="U12031" s="24"/>
      <c r="V12031" s="24"/>
      <c r="W12031" s="24"/>
      <c r="X12031" s="24"/>
      <c r="Y12031" s="24"/>
      <c r="Z12031" s="24"/>
      <c r="AA12031" s="24"/>
    </row>
    <row r="12032">
      <c r="A12032" s="24"/>
      <c r="B12032" s="25"/>
      <c r="C12032" s="24"/>
      <c r="D12032" s="26"/>
      <c r="E12032" s="24"/>
      <c r="F12032" s="24"/>
      <c r="G12032" s="24"/>
      <c r="H12032" s="24"/>
      <c r="I12032" s="24"/>
      <c r="J12032" s="24"/>
      <c r="K12032" s="24"/>
      <c r="L12032" s="24"/>
      <c r="M12032" s="24"/>
      <c r="N12032" s="24"/>
      <c r="O12032" s="24"/>
      <c r="P12032" s="24"/>
      <c r="Q12032" s="24"/>
      <c r="R12032" s="24"/>
      <c r="S12032" s="24"/>
      <c r="T12032" s="24"/>
      <c r="U12032" s="24"/>
      <c r="V12032" s="24"/>
      <c r="W12032" s="24"/>
      <c r="X12032" s="24"/>
      <c r="Y12032" s="24"/>
      <c r="Z12032" s="24"/>
      <c r="AA12032" s="24"/>
    </row>
    <row r="12033">
      <c r="A12033" s="24"/>
      <c r="B12033" s="25"/>
      <c r="C12033" s="24"/>
      <c r="D12033" s="26"/>
      <c r="E12033" s="24"/>
      <c r="F12033" s="24"/>
      <c r="G12033" s="24"/>
      <c r="H12033" s="24"/>
      <c r="I12033" s="24"/>
      <c r="J12033" s="24"/>
      <c r="K12033" s="24"/>
      <c r="L12033" s="24"/>
      <c r="M12033" s="24"/>
      <c r="N12033" s="24"/>
      <c r="O12033" s="24"/>
      <c r="P12033" s="24"/>
      <c r="Q12033" s="24"/>
      <c r="R12033" s="24"/>
      <c r="S12033" s="24"/>
      <c r="T12033" s="24"/>
      <c r="U12033" s="24"/>
      <c r="V12033" s="24"/>
      <c r="W12033" s="24"/>
      <c r="X12033" s="24"/>
      <c r="Y12033" s="24"/>
      <c r="Z12033" s="24"/>
      <c r="AA12033" s="24"/>
    </row>
    <row r="12034">
      <c r="A12034" s="24"/>
      <c r="B12034" s="25"/>
      <c r="C12034" s="24"/>
      <c r="D12034" s="26"/>
      <c r="E12034" s="24"/>
      <c r="F12034" s="24"/>
      <c r="G12034" s="24"/>
      <c r="H12034" s="24"/>
      <c r="I12034" s="24"/>
      <c r="J12034" s="24"/>
      <c r="K12034" s="24"/>
      <c r="L12034" s="24"/>
      <c r="M12034" s="24"/>
      <c r="N12034" s="24"/>
      <c r="O12034" s="24"/>
      <c r="P12034" s="24"/>
      <c r="Q12034" s="24"/>
      <c r="R12034" s="24"/>
      <c r="S12034" s="24"/>
      <c r="T12034" s="24"/>
      <c r="U12034" s="24"/>
      <c r="V12034" s="24"/>
      <c r="W12034" s="24"/>
      <c r="X12034" s="24"/>
      <c r="Y12034" s="24"/>
      <c r="Z12034" s="24"/>
      <c r="AA12034" s="24"/>
    </row>
    <row r="12035">
      <c r="A12035" s="24"/>
      <c r="B12035" s="25"/>
      <c r="C12035" s="24"/>
      <c r="D12035" s="26"/>
      <c r="E12035" s="24"/>
      <c r="F12035" s="24"/>
      <c r="G12035" s="24"/>
      <c r="H12035" s="24"/>
      <c r="I12035" s="24"/>
      <c r="J12035" s="24"/>
      <c r="K12035" s="24"/>
      <c r="L12035" s="24"/>
      <c r="M12035" s="24"/>
      <c r="N12035" s="24"/>
      <c r="O12035" s="24"/>
      <c r="P12035" s="24"/>
      <c r="Q12035" s="24"/>
      <c r="R12035" s="24"/>
      <c r="S12035" s="24"/>
      <c r="T12035" s="24"/>
      <c r="U12035" s="24"/>
      <c r="V12035" s="24"/>
      <c r="W12035" s="24"/>
      <c r="X12035" s="24"/>
      <c r="Y12035" s="24"/>
      <c r="Z12035" s="24"/>
      <c r="AA12035" s="24"/>
    </row>
    <row r="12036">
      <c r="A12036" s="24"/>
      <c r="B12036" s="25"/>
      <c r="C12036" s="24"/>
      <c r="D12036" s="26"/>
      <c r="E12036" s="24"/>
      <c r="F12036" s="24"/>
      <c r="G12036" s="24"/>
      <c r="H12036" s="24"/>
      <c r="I12036" s="24"/>
      <c r="J12036" s="24"/>
      <c r="K12036" s="24"/>
      <c r="L12036" s="24"/>
      <c r="M12036" s="24"/>
      <c r="N12036" s="24"/>
      <c r="O12036" s="24"/>
      <c r="P12036" s="24"/>
      <c r="Q12036" s="24"/>
      <c r="R12036" s="24"/>
      <c r="S12036" s="24"/>
      <c r="T12036" s="24"/>
      <c r="U12036" s="24"/>
      <c r="V12036" s="24"/>
      <c r="W12036" s="24"/>
      <c r="X12036" s="24"/>
      <c r="Y12036" s="24"/>
      <c r="Z12036" s="24"/>
      <c r="AA12036" s="24"/>
    </row>
    <row r="12037">
      <c r="A12037" s="24"/>
      <c r="B12037" s="25"/>
      <c r="C12037" s="24"/>
      <c r="D12037" s="26"/>
      <c r="E12037" s="24"/>
      <c r="F12037" s="24"/>
      <c r="G12037" s="24"/>
      <c r="H12037" s="24"/>
      <c r="I12037" s="24"/>
      <c r="J12037" s="24"/>
      <c r="K12037" s="24"/>
      <c r="L12037" s="24"/>
      <c r="M12037" s="24"/>
      <c r="N12037" s="24"/>
      <c r="O12037" s="24"/>
      <c r="P12037" s="24"/>
      <c r="Q12037" s="24"/>
      <c r="R12037" s="24"/>
      <c r="S12037" s="24"/>
      <c r="T12037" s="24"/>
      <c r="U12037" s="24"/>
      <c r="V12037" s="24"/>
      <c r="W12037" s="24"/>
      <c r="X12037" s="24"/>
      <c r="Y12037" s="24"/>
      <c r="Z12037" s="24"/>
      <c r="AA12037" s="24"/>
    </row>
    <row r="12038">
      <c r="A12038" s="24"/>
      <c r="B12038" s="25"/>
      <c r="C12038" s="24"/>
      <c r="D12038" s="26"/>
      <c r="E12038" s="24"/>
      <c r="F12038" s="24"/>
      <c r="G12038" s="24"/>
      <c r="H12038" s="24"/>
      <c r="I12038" s="24"/>
      <c r="J12038" s="24"/>
      <c r="K12038" s="24"/>
      <c r="L12038" s="24"/>
      <c r="M12038" s="24"/>
      <c r="N12038" s="24"/>
      <c r="O12038" s="24"/>
      <c r="P12038" s="24"/>
      <c r="Q12038" s="24"/>
      <c r="R12038" s="24"/>
      <c r="S12038" s="24"/>
      <c r="T12038" s="24"/>
      <c r="U12038" s="24"/>
      <c r="V12038" s="24"/>
      <c r="W12038" s="24"/>
      <c r="X12038" s="24"/>
      <c r="Y12038" s="24"/>
      <c r="Z12038" s="24"/>
      <c r="AA12038" s="24"/>
    </row>
    <row r="12039">
      <c r="A12039" s="24"/>
      <c r="B12039" s="25"/>
      <c r="C12039" s="24"/>
      <c r="D12039" s="26"/>
      <c r="E12039" s="24"/>
      <c r="F12039" s="24"/>
      <c r="G12039" s="24"/>
      <c r="H12039" s="24"/>
      <c r="I12039" s="24"/>
      <c r="J12039" s="24"/>
      <c r="K12039" s="24"/>
      <c r="L12039" s="24"/>
      <c r="M12039" s="24"/>
      <c r="N12039" s="24"/>
      <c r="O12039" s="24"/>
      <c r="P12039" s="24"/>
      <c r="Q12039" s="24"/>
      <c r="R12039" s="24"/>
      <c r="S12039" s="24"/>
      <c r="T12039" s="24"/>
      <c r="U12039" s="24"/>
      <c r="V12039" s="24"/>
      <c r="W12039" s="24"/>
      <c r="X12039" s="24"/>
      <c r="Y12039" s="24"/>
      <c r="Z12039" s="24"/>
      <c r="AA12039" s="24"/>
    </row>
    <row r="12040">
      <c r="A12040" s="24"/>
      <c r="B12040" s="25"/>
      <c r="C12040" s="24"/>
      <c r="D12040" s="26"/>
      <c r="E12040" s="24"/>
      <c r="F12040" s="24"/>
      <c r="G12040" s="24"/>
      <c r="H12040" s="24"/>
      <c r="I12040" s="24"/>
      <c r="J12040" s="24"/>
      <c r="K12040" s="24"/>
      <c r="L12040" s="24"/>
      <c r="M12040" s="24"/>
      <c r="N12040" s="24"/>
      <c r="O12040" s="24"/>
      <c r="P12040" s="24"/>
      <c r="Q12040" s="24"/>
      <c r="R12040" s="24"/>
      <c r="S12040" s="24"/>
      <c r="T12040" s="24"/>
      <c r="U12040" s="24"/>
      <c r="V12040" s="24"/>
      <c r="W12040" s="24"/>
      <c r="X12040" s="24"/>
      <c r="Y12040" s="24"/>
      <c r="Z12040" s="24"/>
      <c r="AA12040" s="24"/>
    </row>
    <row r="12041">
      <c r="A12041" s="24"/>
      <c r="B12041" s="25"/>
      <c r="C12041" s="24"/>
      <c r="D12041" s="26"/>
      <c r="E12041" s="24"/>
      <c r="F12041" s="24"/>
      <c r="G12041" s="24"/>
      <c r="H12041" s="24"/>
      <c r="I12041" s="24"/>
      <c r="J12041" s="24"/>
      <c r="K12041" s="24"/>
      <c r="L12041" s="24"/>
      <c r="M12041" s="24"/>
      <c r="N12041" s="24"/>
      <c r="O12041" s="24"/>
      <c r="P12041" s="24"/>
      <c r="Q12041" s="24"/>
      <c r="R12041" s="24"/>
      <c r="S12041" s="24"/>
      <c r="T12041" s="24"/>
      <c r="U12041" s="24"/>
      <c r="V12041" s="24"/>
      <c r="W12041" s="24"/>
      <c r="X12041" s="24"/>
      <c r="Y12041" s="24"/>
      <c r="Z12041" s="24"/>
      <c r="AA12041" s="24"/>
    </row>
    <row r="12042">
      <c r="A12042" s="24"/>
      <c r="B12042" s="25"/>
      <c r="C12042" s="24"/>
      <c r="D12042" s="26"/>
      <c r="E12042" s="24"/>
      <c r="F12042" s="24"/>
      <c r="G12042" s="24"/>
      <c r="H12042" s="24"/>
      <c r="I12042" s="24"/>
      <c r="J12042" s="24"/>
      <c r="K12042" s="24"/>
      <c r="L12042" s="24"/>
      <c r="M12042" s="24"/>
      <c r="N12042" s="24"/>
      <c r="O12042" s="24"/>
      <c r="P12042" s="24"/>
      <c r="Q12042" s="24"/>
      <c r="R12042" s="24"/>
      <c r="S12042" s="24"/>
      <c r="T12042" s="24"/>
      <c r="U12042" s="24"/>
      <c r="V12042" s="24"/>
      <c r="W12042" s="24"/>
      <c r="X12042" s="24"/>
      <c r="Y12042" s="24"/>
      <c r="Z12042" s="24"/>
      <c r="AA12042" s="24"/>
    </row>
    <row r="12043">
      <c r="A12043" s="24"/>
      <c r="B12043" s="25"/>
      <c r="C12043" s="24"/>
      <c r="D12043" s="26"/>
      <c r="E12043" s="24"/>
      <c r="F12043" s="24"/>
      <c r="G12043" s="24"/>
      <c r="H12043" s="24"/>
      <c r="I12043" s="24"/>
      <c r="J12043" s="24"/>
      <c r="K12043" s="24"/>
      <c r="L12043" s="24"/>
      <c r="M12043" s="24"/>
      <c r="N12043" s="24"/>
      <c r="O12043" s="24"/>
      <c r="P12043" s="24"/>
      <c r="Q12043" s="24"/>
      <c r="R12043" s="24"/>
      <c r="S12043" s="24"/>
      <c r="T12043" s="24"/>
      <c r="U12043" s="24"/>
      <c r="V12043" s="24"/>
      <c r="W12043" s="24"/>
      <c r="X12043" s="24"/>
      <c r="Y12043" s="24"/>
      <c r="Z12043" s="24"/>
      <c r="AA12043" s="24"/>
    </row>
    <row r="12044">
      <c r="A12044" s="24"/>
      <c r="B12044" s="25"/>
      <c r="C12044" s="24"/>
      <c r="D12044" s="26"/>
      <c r="E12044" s="24"/>
      <c r="F12044" s="24"/>
      <c r="G12044" s="24"/>
      <c r="H12044" s="24"/>
      <c r="I12044" s="24"/>
      <c r="J12044" s="24"/>
      <c r="K12044" s="24"/>
      <c r="L12044" s="24"/>
      <c r="M12044" s="24"/>
      <c r="N12044" s="24"/>
      <c r="O12044" s="24"/>
      <c r="P12044" s="24"/>
      <c r="Q12044" s="24"/>
      <c r="R12044" s="24"/>
      <c r="S12044" s="24"/>
      <c r="T12044" s="24"/>
      <c r="U12044" s="24"/>
      <c r="V12044" s="24"/>
      <c r="W12044" s="24"/>
      <c r="X12044" s="24"/>
      <c r="Y12044" s="24"/>
      <c r="Z12044" s="24"/>
      <c r="AA12044" s="24"/>
    </row>
    <row r="12045">
      <c r="A12045" s="24"/>
      <c r="B12045" s="25"/>
      <c r="C12045" s="24"/>
      <c r="D12045" s="26"/>
      <c r="E12045" s="24"/>
      <c r="F12045" s="24"/>
      <c r="G12045" s="24"/>
      <c r="H12045" s="24"/>
      <c r="I12045" s="24"/>
      <c r="J12045" s="24"/>
      <c r="K12045" s="24"/>
      <c r="L12045" s="24"/>
      <c r="M12045" s="24"/>
      <c r="N12045" s="24"/>
      <c r="O12045" s="24"/>
      <c r="P12045" s="24"/>
      <c r="Q12045" s="24"/>
      <c r="R12045" s="24"/>
      <c r="S12045" s="24"/>
      <c r="T12045" s="24"/>
      <c r="U12045" s="24"/>
      <c r="V12045" s="24"/>
      <c r="W12045" s="24"/>
      <c r="X12045" s="24"/>
      <c r="Y12045" s="24"/>
      <c r="Z12045" s="24"/>
      <c r="AA12045" s="24"/>
    </row>
    <row r="12046">
      <c r="A12046" s="24"/>
      <c r="B12046" s="25"/>
      <c r="C12046" s="24"/>
      <c r="D12046" s="26"/>
      <c r="E12046" s="24"/>
      <c r="F12046" s="24"/>
      <c r="G12046" s="24"/>
      <c r="H12046" s="24"/>
      <c r="I12046" s="24"/>
      <c r="J12046" s="24"/>
      <c r="K12046" s="24"/>
      <c r="L12046" s="24"/>
      <c r="M12046" s="24"/>
      <c r="N12046" s="24"/>
      <c r="O12046" s="24"/>
      <c r="P12046" s="24"/>
      <c r="Q12046" s="24"/>
      <c r="R12046" s="24"/>
      <c r="S12046" s="24"/>
      <c r="T12046" s="24"/>
      <c r="U12046" s="24"/>
      <c r="V12046" s="24"/>
      <c r="W12046" s="24"/>
      <c r="X12046" s="24"/>
      <c r="Y12046" s="24"/>
      <c r="Z12046" s="24"/>
      <c r="AA12046" s="24"/>
    </row>
    <row r="12047">
      <c r="A12047" s="24"/>
      <c r="B12047" s="25"/>
      <c r="C12047" s="24"/>
      <c r="D12047" s="26"/>
      <c r="E12047" s="24"/>
      <c r="F12047" s="24"/>
      <c r="G12047" s="24"/>
      <c r="H12047" s="24"/>
      <c r="I12047" s="24"/>
      <c r="J12047" s="24"/>
      <c r="K12047" s="24"/>
      <c r="L12047" s="24"/>
      <c r="M12047" s="24"/>
      <c r="N12047" s="24"/>
      <c r="O12047" s="24"/>
      <c r="P12047" s="24"/>
      <c r="Q12047" s="24"/>
      <c r="R12047" s="24"/>
      <c r="S12047" s="24"/>
      <c r="T12047" s="24"/>
      <c r="U12047" s="24"/>
      <c r="V12047" s="24"/>
      <c r="W12047" s="24"/>
      <c r="X12047" s="24"/>
      <c r="Y12047" s="24"/>
      <c r="Z12047" s="24"/>
      <c r="AA12047" s="24"/>
    </row>
    <row r="12048">
      <c r="A12048" s="24"/>
      <c r="B12048" s="25"/>
      <c r="C12048" s="24"/>
      <c r="D12048" s="26"/>
      <c r="E12048" s="24"/>
      <c r="F12048" s="24"/>
      <c r="G12048" s="24"/>
      <c r="H12048" s="24"/>
      <c r="I12048" s="24"/>
      <c r="J12048" s="24"/>
      <c r="K12048" s="24"/>
      <c r="L12048" s="24"/>
      <c r="M12048" s="24"/>
      <c r="N12048" s="24"/>
      <c r="O12048" s="24"/>
      <c r="P12048" s="24"/>
      <c r="Q12048" s="24"/>
      <c r="R12048" s="24"/>
      <c r="S12048" s="24"/>
      <c r="T12048" s="24"/>
      <c r="U12048" s="24"/>
      <c r="V12048" s="24"/>
      <c r="W12048" s="24"/>
      <c r="X12048" s="24"/>
      <c r="Y12048" s="24"/>
      <c r="Z12048" s="24"/>
      <c r="AA12048" s="24"/>
    </row>
    <row r="12049">
      <c r="A12049" s="24"/>
      <c r="B12049" s="25"/>
      <c r="C12049" s="24"/>
      <c r="D12049" s="26"/>
      <c r="E12049" s="24"/>
      <c r="F12049" s="24"/>
      <c r="G12049" s="24"/>
      <c r="H12049" s="24"/>
      <c r="I12049" s="24"/>
      <c r="J12049" s="24"/>
      <c r="K12049" s="24"/>
      <c r="L12049" s="24"/>
      <c r="M12049" s="24"/>
      <c r="N12049" s="24"/>
      <c r="O12049" s="24"/>
      <c r="P12049" s="24"/>
      <c r="Q12049" s="24"/>
      <c r="R12049" s="24"/>
      <c r="S12049" s="24"/>
      <c r="T12049" s="24"/>
      <c r="U12049" s="24"/>
      <c r="V12049" s="24"/>
      <c r="W12049" s="24"/>
      <c r="X12049" s="24"/>
      <c r="Y12049" s="24"/>
      <c r="Z12049" s="24"/>
      <c r="AA12049" s="24"/>
    </row>
    <row r="12050">
      <c r="A12050" s="24"/>
      <c r="B12050" s="25"/>
      <c r="C12050" s="24"/>
      <c r="D12050" s="26"/>
      <c r="E12050" s="24"/>
      <c r="F12050" s="24"/>
      <c r="G12050" s="24"/>
      <c r="H12050" s="24"/>
      <c r="I12050" s="24"/>
      <c r="J12050" s="24"/>
      <c r="K12050" s="24"/>
      <c r="L12050" s="24"/>
      <c r="M12050" s="24"/>
      <c r="N12050" s="24"/>
      <c r="O12050" s="24"/>
      <c r="P12050" s="24"/>
      <c r="Q12050" s="24"/>
      <c r="R12050" s="24"/>
      <c r="S12050" s="24"/>
      <c r="T12050" s="24"/>
      <c r="U12050" s="24"/>
      <c r="V12050" s="24"/>
      <c r="W12050" s="24"/>
      <c r="X12050" s="24"/>
      <c r="Y12050" s="24"/>
      <c r="Z12050" s="24"/>
      <c r="AA12050" s="24"/>
    </row>
    <row r="12051">
      <c r="A12051" s="24"/>
      <c r="B12051" s="25"/>
      <c r="C12051" s="24"/>
      <c r="D12051" s="26"/>
      <c r="E12051" s="24"/>
      <c r="F12051" s="24"/>
      <c r="G12051" s="24"/>
      <c r="H12051" s="24"/>
      <c r="I12051" s="24"/>
      <c r="J12051" s="24"/>
      <c r="K12051" s="24"/>
      <c r="L12051" s="24"/>
      <c r="M12051" s="24"/>
      <c r="N12051" s="24"/>
      <c r="O12051" s="24"/>
      <c r="P12051" s="24"/>
      <c r="Q12051" s="24"/>
      <c r="R12051" s="24"/>
      <c r="S12051" s="24"/>
      <c r="T12051" s="24"/>
      <c r="U12051" s="24"/>
      <c r="V12051" s="24"/>
      <c r="W12051" s="24"/>
      <c r="X12051" s="24"/>
      <c r="Y12051" s="24"/>
      <c r="Z12051" s="24"/>
      <c r="AA12051" s="24"/>
    </row>
    <row r="12052">
      <c r="A12052" s="24"/>
      <c r="B12052" s="25"/>
      <c r="C12052" s="24"/>
      <c r="D12052" s="26"/>
      <c r="E12052" s="24"/>
      <c r="F12052" s="24"/>
      <c r="G12052" s="24"/>
      <c r="H12052" s="24"/>
      <c r="I12052" s="24"/>
      <c r="J12052" s="24"/>
      <c r="K12052" s="24"/>
      <c r="L12052" s="24"/>
      <c r="M12052" s="24"/>
      <c r="N12052" s="24"/>
      <c r="O12052" s="24"/>
      <c r="P12052" s="24"/>
      <c r="Q12052" s="24"/>
      <c r="R12052" s="24"/>
      <c r="S12052" s="24"/>
      <c r="T12052" s="24"/>
      <c r="U12052" s="24"/>
      <c r="V12052" s="24"/>
      <c r="W12052" s="24"/>
      <c r="X12052" s="24"/>
      <c r="Y12052" s="24"/>
      <c r="Z12052" s="24"/>
      <c r="AA12052" s="24"/>
    </row>
    <row r="12053">
      <c r="A12053" s="24"/>
      <c r="B12053" s="25"/>
      <c r="C12053" s="24"/>
      <c r="D12053" s="26"/>
      <c r="E12053" s="24"/>
      <c r="F12053" s="24"/>
      <c r="G12053" s="24"/>
      <c r="H12053" s="24"/>
      <c r="I12053" s="24"/>
      <c r="J12053" s="24"/>
      <c r="K12053" s="24"/>
      <c r="L12053" s="24"/>
      <c r="M12053" s="24"/>
      <c r="N12053" s="24"/>
      <c r="O12053" s="24"/>
      <c r="P12053" s="24"/>
      <c r="Q12053" s="24"/>
      <c r="R12053" s="24"/>
      <c r="S12053" s="24"/>
      <c r="T12053" s="24"/>
      <c r="U12053" s="24"/>
      <c r="V12053" s="24"/>
      <c r="W12053" s="24"/>
      <c r="X12053" s="24"/>
      <c r="Y12053" s="24"/>
      <c r="Z12053" s="24"/>
      <c r="AA12053" s="24"/>
    </row>
    <row r="12054">
      <c r="A12054" s="24"/>
      <c r="B12054" s="25"/>
      <c r="C12054" s="24"/>
      <c r="D12054" s="26"/>
      <c r="E12054" s="24"/>
      <c r="F12054" s="24"/>
      <c r="G12054" s="24"/>
      <c r="H12054" s="24"/>
      <c r="I12054" s="24"/>
      <c r="J12054" s="24"/>
      <c r="K12054" s="24"/>
      <c r="L12054" s="24"/>
      <c r="M12054" s="24"/>
      <c r="N12054" s="24"/>
      <c r="O12054" s="24"/>
      <c r="P12054" s="24"/>
      <c r="Q12054" s="24"/>
      <c r="R12054" s="24"/>
      <c r="S12054" s="24"/>
      <c r="T12054" s="24"/>
      <c r="U12054" s="24"/>
      <c r="V12054" s="24"/>
      <c r="W12054" s="24"/>
      <c r="X12054" s="24"/>
      <c r="Y12054" s="24"/>
      <c r="Z12054" s="24"/>
      <c r="AA12054" s="24"/>
    </row>
    <row r="12055">
      <c r="A12055" s="24"/>
      <c r="B12055" s="25"/>
      <c r="C12055" s="24"/>
      <c r="D12055" s="26"/>
      <c r="E12055" s="24"/>
      <c r="F12055" s="24"/>
      <c r="G12055" s="24"/>
      <c r="H12055" s="24"/>
      <c r="I12055" s="24"/>
      <c r="J12055" s="24"/>
      <c r="K12055" s="24"/>
      <c r="L12055" s="24"/>
      <c r="M12055" s="24"/>
      <c r="N12055" s="24"/>
      <c r="O12055" s="24"/>
      <c r="P12055" s="24"/>
      <c r="Q12055" s="24"/>
      <c r="R12055" s="24"/>
      <c r="S12055" s="24"/>
      <c r="T12055" s="24"/>
      <c r="U12055" s="24"/>
      <c r="V12055" s="24"/>
      <c r="W12055" s="24"/>
      <c r="X12055" s="24"/>
      <c r="Y12055" s="24"/>
      <c r="Z12055" s="24"/>
      <c r="AA12055" s="24"/>
    </row>
    <row r="12056">
      <c r="A12056" s="24"/>
      <c r="B12056" s="25"/>
      <c r="C12056" s="24"/>
      <c r="D12056" s="26"/>
      <c r="E12056" s="24"/>
      <c r="F12056" s="24"/>
      <c r="G12056" s="24"/>
      <c r="H12056" s="24"/>
      <c r="I12056" s="24"/>
      <c r="J12056" s="24"/>
      <c r="K12056" s="24"/>
      <c r="L12056" s="24"/>
      <c r="M12056" s="24"/>
      <c r="N12056" s="24"/>
      <c r="O12056" s="24"/>
      <c r="P12056" s="24"/>
      <c r="Q12056" s="24"/>
      <c r="R12056" s="24"/>
      <c r="S12056" s="24"/>
      <c r="T12056" s="24"/>
      <c r="U12056" s="24"/>
      <c r="V12056" s="24"/>
      <c r="W12056" s="24"/>
      <c r="X12056" s="24"/>
      <c r="Y12056" s="24"/>
      <c r="Z12056" s="24"/>
      <c r="AA12056" s="24"/>
    </row>
    <row r="12057">
      <c r="A12057" s="24"/>
      <c r="B12057" s="25"/>
      <c r="C12057" s="24"/>
      <c r="D12057" s="26"/>
      <c r="E12057" s="24"/>
      <c r="F12057" s="24"/>
      <c r="G12057" s="24"/>
      <c r="H12057" s="24"/>
      <c r="I12057" s="24"/>
      <c r="J12057" s="24"/>
      <c r="K12057" s="24"/>
      <c r="L12057" s="24"/>
      <c r="M12057" s="24"/>
      <c r="N12057" s="24"/>
      <c r="O12057" s="24"/>
      <c r="P12057" s="24"/>
      <c r="Q12057" s="24"/>
      <c r="R12057" s="24"/>
      <c r="S12057" s="24"/>
      <c r="T12057" s="24"/>
      <c r="U12057" s="24"/>
      <c r="V12057" s="24"/>
      <c r="W12057" s="24"/>
      <c r="X12057" s="24"/>
      <c r="Y12057" s="24"/>
      <c r="Z12057" s="24"/>
      <c r="AA12057" s="24"/>
    </row>
    <row r="12058">
      <c r="A12058" s="24"/>
      <c r="B12058" s="25"/>
      <c r="C12058" s="24"/>
      <c r="D12058" s="26"/>
      <c r="E12058" s="24"/>
      <c r="F12058" s="24"/>
      <c r="G12058" s="24"/>
      <c r="H12058" s="24"/>
      <c r="I12058" s="24"/>
      <c r="J12058" s="24"/>
      <c r="K12058" s="24"/>
      <c r="L12058" s="24"/>
      <c r="M12058" s="24"/>
      <c r="N12058" s="24"/>
      <c r="O12058" s="24"/>
      <c r="P12058" s="24"/>
      <c r="Q12058" s="24"/>
      <c r="R12058" s="24"/>
      <c r="S12058" s="24"/>
      <c r="T12058" s="24"/>
      <c r="U12058" s="24"/>
      <c r="V12058" s="24"/>
      <c r="W12058" s="24"/>
      <c r="X12058" s="24"/>
      <c r="Y12058" s="24"/>
      <c r="Z12058" s="24"/>
      <c r="AA12058" s="24"/>
    </row>
    <row r="12059">
      <c r="A12059" s="24"/>
      <c r="B12059" s="25"/>
      <c r="C12059" s="24"/>
      <c r="D12059" s="26"/>
      <c r="E12059" s="24"/>
      <c r="F12059" s="24"/>
      <c r="G12059" s="24"/>
      <c r="H12059" s="24"/>
      <c r="I12059" s="24"/>
      <c r="J12059" s="24"/>
      <c r="K12059" s="24"/>
      <c r="L12059" s="24"/>
      <c r="M12059" s="24"/>
      <c r="N12059" s="24"/>
      <c r="O12059" s="24"/>
      <c r="P12059" s="24"/>
      <c r="Q12059" s="24"/>
      <c r="R12059" s="24"/>
      <c r="S12059" s="24"/>
      <c r="T12059" s="24"/>
      <c r="U12059" s="24"/>
      <c r="V12059" s="24"/>
      <c r="W12059" s="24"/>
      <c r="X12059" s="24"/>
      <c r="Y12059" s="24"/>
      <c r="Z12059" s="24"/>
      <c r="AA12059" s="24"/>
    </row>
    <row r="12060">
      <c r="A12060" s="24"/>
      <c r="B12060" s="25"/>
      <c r="C12060" s="24"/>
      <c r="D12060" s="26"/>
      <c r="E12060" s="24"/>
      <c r="F12060" s="24"/>
      <c r="G12060" s="24"/>
      <c r="H12060" s="24"/>
      <c r="I12060" s="24"/>
      <c r="J12060" s="24"/>
      <c r="K12060" s="24"/>
      <c r="L12060" s="24"/>
      <c r="M12060" s="24"/>
      <c r="N12060" s="24"/>
      <c r="O12060" s="24"/>
      <c r="P12060" s="24"/>
      <c r="Q12060" s="24"/>
      <c r="R12060" s="24"/>
      <c r="S12060" s="24"/>
      <c r="T12060" s="24"/>
      <c r="U12060" s="24"/>
      <c r="V12060" s="24"/>
      <c r="W12060" s="24"/>
      <c r="X12060" s="24"/>
      <c r="Y12060" s="24"/>
      <c r="Z12060" s="24"/>
      <c r="AA12060" s="24"/>
    </row>
    <row r="12061">
      <c r="A12061" s="24"/>
      <c r="B12061" s="25"/>
      <c r="C12061" s="24"/>
      <c r="D12061" s="26"/>
      <c r="E12061" s="24"/>
      <c r="F12061" s="24"/>
      <c r="G12061" s="24"/>
      <c r="H12061" s="24"/>
      <c r="I12061" s="24"/>
      <c r="J12061" s="24"/>
      <c r="K12061" s="24"/>
      <c r="L12061" s="24"/>
      <c r="M12061" s="24"/>
      <c r="N12061" s="24"/>
      <c r="O12061" s="24"/>
      <c r="P12061" s="24"/>
      <c r="Q12061" s="24"/>
      <c r="R12061" s="24"/>
      <c r="S12061" s="24"/>
      <c r="T12061" s="24"/>
      <c r="U12061" s="24"/>
      <c r="V12061" s="24"/>
      <c r="W12061" s="24"/>
      <c r="X12061" s="24"/>
      <c r="Y12061" s="24"/>
      <c r="Z12061" s="24"/>
      <c r="AA12061" s="24"/>
    </row>
    <row r="12062">
      <c r="A12062" s="24"/>
      <c r="B12062" s="25"/>
      <c r="C12062" s="24"/>
      <c r="D12062" s="26"/>
      <c r="E12062" s="24"/>
      <c r="F12062" s="24"/>
      <c r="G12062" s="24"/>
      <c r="H12062" s="24"/>
      <c r="I12062" s="24"/>
      <c r="J12062" s="24"/>
      <c r="K12062" s="24"/>
      <c r="L12062" s="24"/>
      <c r="M12062" s="24"/>
      <c r="N12062" s="24"/>
      <c r="O12062" s="24"/>
      <c r="P12062" s="24"/>
      <c r="Q12062" s="24"/>
      <c r="R12062" s="24"/>
      <c r="S12062" s="24"/>
      <c r="T12062" s="24"/>
      <c r="U12062" s="24"/>
      <c r="V12062" s="24"/>
      <c r="W12062" s="24"/>
      <c r="X12062" s="24"/>
      <c r="Y12062" s="24"/>
      <c r="Z12062" s="24"/>
      <c r="AA12062" s="24"/>
    </row>
    <row r="12063">
      <c r="A12063" s="24"/>
      <c r="B12063" s="25"/>
      <c r="C12063" s="24"/>
      <c r="D12063" s="26"/>
      <c r="E12063" s="24"/>
      <c r="F12063" s="24"/>
      <c r="G12063" s="24"/>
      <c r="H12063" s="24"/>
      <c r="I12063" s="24"/>
      <c r="J12063" s="24"/>
      <c r="K12063" s="24"/>
      <c r="L12063" s="24"/>
      <c r="M12063" s="24"/>
      <c r="N12063" s="24"/>
      <c r="O12063" s="24"/>
      <c r="P12063" s="24"/>
      <c r="Q12063" s="24"/>
      <c r="R12063" s="24"/>
      <c r="S12063" s="24"/>
      <c r="T12063" s="24"/>
      <c r="U12063" s="24"/>
      <c r="V12063" s="24"/>
      <c r="W12063" s="24"/>
      <c r="X12063" s="24"/>
      <c r="Y12063" s="24"/>
      <c r="Z12063" s="24"/>
      <c r="AA12063" s="24"/>
    </row>
    <row r="12064">
      <c r="A12064" s="24"/>
      <c r="B12064" s="25"/>
      <c r="C12064" s="24"/>
      <c r="D12064" s="26"/>
      <c r="E12064" s="24"/>
      <c r="F12064" s="24"/>
      <c r="G12064" s="24"/>
      <c r="H12064" s="24"/>
      <c r="I12064" s="24"/>
      <c r="J12064" s="24"/>
      <c r="K12064" s="24"/>
      <c r="L12064" s="24"/>
      <c r="M12064" s="24"/>
      <c r="N12064" s="24"/>
      <c r="O12064" s="24"/>
      <c r="P12064" s="24"/>
      <c r="Q12064" s="24"/>
      <c r="R12064" s="24"/>
      <c r="S12064" s="24"/>
      <c r="T12064" s="24"/>
      <c r="U12064" s="24"/>
      <c r="V12064" s="24"/>
      <c r="W12064" s="24"/>
      <c r="X12064" s="24"/>
      <c r="Y12064" s="24"/>
      <c r="Z12064" s="24"/>
      <c r="AA12064" s="24"/>
    </row>
    <row r="12065">
      <c r="A12065" s="24"/>
      <c r="B12065" s="25"/>
      <c r="C12065" s="24"/>
      <c r="D12065" s="26"/>
      <c r="E12065" s="24"/>
      <c r="F12065" s="24"/>
      <c r="G12065" s="24"/>
      <c r="H12065" s="24"/>
      <c r="I12065" s="24"/>
      <c r="J12065" s="24"/>
      <c r="K12065" s="24"/>
      <c r="L12065" s="24"/>
      <c r="M12065" s="24"/>
      <c r="N12065" s="24"/>
      <c r="O12065" s="24"/>
      <c r="P12065" s="24"/>
      <c r="Q12065" s="24"/>
      <c r="R12065" s="24"/>
      <c r="S12065" s="24"/>
      <c r="T12065" s="24"/>
      <c r="U12065" s="24"/>
      <c r="V12065" s="24"/>
      <c r="W12065" s="24"/>
      <c r="X12065" s="24"/>
      <c r="Y12065" s="24"/>
      <c r="Z12065" s="24"/>
      <c r="AA12065" s="24"/>
    </row>
    <row r="12066">
      <c r="A12066" s="24"/>
      <c r="B12066" s="25"/>
      <c r="C12066" s="24"/>
      <c r="D12066" s="26"/>
      <c r="E12066" s="24"/>
      <c r="F12066" s="24"/>
      <c r="G12066" s="24"/>
      <c r="H12066" s="24"/>
      <c r="I12066" s="24"/>
      <c r="J12066" s="24"/>
      <c r="K12066" s="24"/>
      <c r="L12066" s="24"/>
      <c r="M12066" s="24"/>
      <c r="N12066" s="24"/>
      <c r="O12066" s="24"/>
      <c r="P12066" s="24"/>
      <c r="Q12066" s="24"/>
      <c r="R12066" s="24"/>
      <c r="S12066" s="24"/>
      <c r="T12066" s="24"/>
      <c r="U12066" s="24"/>
      <c r="V12066" s="24"/>
      <c r="W12066" s="24"/>
      <c r="X12066" s="24"/>
      <c r="Y12066" s="24"/>
      <c r="Z12066" s="24"/>
      <c r="AA12066" s="24"/>
    </row>
    <row r="12067">
      <c r="A12067" s="24"/>
      <c r="B12067" s="25"/>
      <c r="C12067" s="24"/>
      <c r="D12067" s="26"/>
      <c r="E12067" s="24"/>
      <c r="F12067" s="24"/>
      <c r="G12067" s="24"/>
      <c r="H12067" s="24"/>
      <c r="I12067" s="24"/>
      <c r="J12067" s="24"/>
      <c r="K12067" s="24"/>
      <c r="L12067" s="24"/>
      <c r="M12067" s="24"/>
      <c r="N12067" s="24"/>
      <c r="O12067" s="24"/>
      <c r="P12067" s="24"/>
      <c r="Q12067" s="24"/>
      <c r="R12067" s="24"/>
      <c r="S12067" s="24"/>
      <c r="T12067" s="24"/>
      <c r="U12067" s="24"/>
      <c r="V12067" s="24"/>
      <c r="W12067" s="24"/>
      <c r="X12067" s="24"/>
      <c r="Y12067" s="24"/>
      <c r="Z12067" s="24"/>
      <c r="AA12067" s="24"/>
    </row>
    <row r="12068">
      <c r="A12068" s="24"/>
      <c r="B12068" s="25"/>
      <c r="C12068" s="24"/>
      <c r="D12068" s="26"/>
      <c r="E12068" s="24"/>
      <c r="F12068" s="24"/>
      <c r="G12068" s="24"/>
      <c r="H12068" s="24"/>
      <c r="I12068" s="24"/>
      <c r="J12068" s="24"/>
      <c r="K12068" s="24"/>
      <c r="L12068" s="24"/>
      <c r="M12068" s="24"/>
      <c r="N12068" s="24"/>
      <c r="O12068" s="24"/>
      <c r="P12068" s="24"/>
      <c r="Q12068" s="24"/>
      <c r="R12068" s="24"/>
      <c r="S12068" s="24"/>
      <c r="T12068" s="24"/>
      <c r="U12068" s="24"/>
      <c r="V12068" s="24"/>
      <c r="W12068" s="24"/>
      <c r="X12068" s="24"/>
      <c r="Y12068" s="24"/>
      <c r="Z12068" s="24"/>
      <c r="AA12068" s="24"/>
    </row>
    <row r="12069">
      <c r="A12069" s="24"/>
      <c r="B12069" s="25"/>
      <c r="C12069" s="24"/>
      <c r="D12069" s="26"/>
      <c r="E12069" s="24"/>
      <c r="F12069" s="24"/>
      <c r="G12069" s="24"/>
      <c r="H12069" s="24"/>
      <c r="I12069" s="24"/>
      <c r="J12069" s="24"/>
      <c r="K12069" s="24"/>
      <c r="L12069" s="24"/>
      <c r="M12069" s="24"/>
      <c r="N12069" s="24"/>
      <c r="O12069" s="24"/>
      <c r="P12069" s="24"/>
      <c r="Q12069" s="24"/>
      <c r="R12069" s="24"/>
      <c r="S12069" s="24"/>
      <c r="T12069" s="24"/>
      <c r="U12069" s="24"/>
      <c r="V12069" s="24"/>
      <c r="W12069" s="24"/>
      <c r="X12069" s="24"/>
      <c r="Y12069" s="24"/>
      <c r="Z12069" s="24"/>
      <c r="AA12069" s="24"/>
    </row>
    <row r="12070">
      <c r="A12070" s="24"/>
      <c r="B12070" s="25"/>
      <c r="C12070" s="24"/>
      <c r="D12070" s="26"/>
      <c r="E12070" s="24"/>
      <c r="F12070" s="24"/>
      <c r="G12070" s="24"/>
      <c r="H12070" s="24"/>
      <c r="I12070" s="24"/>
      <c r="J12070" s="24"/>
      <c r="K12070" s="24"/>
      <c r="L12070" s="24"/>
      <c r="M12070" s="24"/>
      <c r="N12070" s="24"/>
      <c r="O12070" s="24"/>
      <c r="P12070" s="24"/>
      <c r="Q12070" s="24"/>
      <c r="R12070" s="24"/>
      <c r="S12070" s="24"/>
      <c r="T12070" s="24"/>
      <c r="U12070" s="24"/>
      <c r="V12070" s="24"/>
      <c r="W12070" s="24"/>
      <c r="X12070" s="24"/>
      <c r="Y12070" s="24"/>
      <c r="Z12070" s="24"/>
      <c r="AA12070" s="24"/>
    </row>
    <row r="12071">
      <c r="A12071" s="24"/>
      <c r="B12071" s="25"/>
      <c r="C12071" s="24"/>
      <c r="D12071" s="26"/>
      <c r="E12071" s="24"/>
      <c r="F12071" s="24"/>
      <c r="G12071" s="24"/>
      <c r="H12071" s="24"/>
      <c r="I12071" s="24"/>
      <c r="J12071" s="24"/>
      <c r="K12071" s="24"/>
      <c r="L12071" s="24"/>
      <c r="M12071" s="24"/>
      <c r="N12071" s="24"/>
      <c r="O12071" s="24"/>
      <c r="P12071" s="24"/>
      <c r="Q12071" s="24"/>
      <c r="R12071" s="24"/>
      <c r="S12071" s="24"/>
      <c r="T12071" s="24"/>
      <c r="U12071" s="24"/>
      <c r="V12071" s="24"/>
      <c r="W12071" s="24"/>
      <c r="X12071" s="24"/>
      <c r="Y12071" s="24"/>
      <c r="Z12071" s="24"/>
      <c r="AA12071" s="24"/>
    </row>
    <row r="12072">
      <c r="A12072" s="24"/>
      <c r="B12072" s="25"/>
      <c r="C12072" s="24"/>
      <c r="D12072" s="26"/>
      <c r="E12072" s="24"/>
      <c r="F12072" s="24"/>
      <c r="G12072" s="24"/>
      <c r="H12072" s="24"/>
      <c r="I12072" s="24"/>
      <c r="J12072" s="24"/>
      <c r="K12072" s="24"/>
      <c r="L12072" s="24"/>
      <c r="M12072" s="24"/>
      <c r="N12072" s="24"/>
      <c r="O12072" s="24"/>
      <c r="P12072" s="24"/>
      <c r="Q12072" s="24"/>
      <c r="R12072" s="24"/>
      <c r="S12072" s="24"/>
      <c r="T12072" s="24"/>
      <c r="U12072" s="24"/>
      <c r="V12072" s="24"/>
      <c r="W12072" s="24"/>
      <c r="X12072" s="24"/>
      <c r="Y12072" s="24"/>
      <c r="Z12072" s="24"/>
      <c r="AA12072" s="24"/>
    </row>
    <row r="12073">
      <c r="A12073" s="24"/>
      <c r="B12073" s="25"/>
      <c r="C12073" s="24"/>
      <c r="D12073" s="26"/>
      <c r="E12073" s="24"/>
      <c r="F12073" s="24"/>
      <c r="G12073" s="24"/>
      <c r="H12073" s="24"/>
      <c r="I12073" s="24"/>
      <c r="J12073" s="24"/>
      <c r="K12073" s="24"/>
      <c r="L12073" s="24"/>
      <c r="M12073" s="24"/>
      <c r="N12073" s="24"/>
      <c r="O12073" s="24"/>
      <c r="P12073" s="24"/>
      <c r="Q12073" s="24"/>
      <c r="R12073" s="24"/>
      <c r="S12073" s="24"/>
      <c r="T12073" s="24"/>
      <c r="U12073" s="24"/>
      <c r="V12073" s="24"/>
      <c r="W12073" s="24"/>
      <c r="X12073" s="24"/>
      <c r="Y12073" s="24"/>
      <c r="Z12073" s="24"/>
      <c r="AA12073" s="24"/>
    </row>
    <row r="12074">
      <c r="A12074" s="24"/>
      <c r="B12074" s="25"/>
      <c r="C12074" s="24"/>
      <c r="D12074" s="26"/>
      <c r="E12074" s="24"/>
      <c r="F12074" s="24"/>
      <c r="G12074" s="24"/>
      <c r="H12074" s="24"/>
      <c r="I12074" s="24"/>
      <c r="J12074" s="24"/>
      <c r="K12074" s="24"/>
      <c r="L12074" s="24"/>
      <c r="M12074" s="24"/>
      <c r="N12074" s="24"/>
      <c r="O12074" s="24"/>
      <c r="P12074" s="24"/>
      <c r="Q12074" s="24"/>
      <c r="R12074" s="24"/>
      <c r="S12074" s="24"/>
      <c r="T12074" s="24"/>
      <c r="U12074" s="24"/>
      <c r="V12074" s="24"/>
      <c r="W12074" s="24"/>
      <c r="X12074" s="24"/>
      <c r="Y12074" s="24"/>
      <c r="Z12074" s="24"/>
      <c r="AA12074" s="24"/>
    </row>
    <row r="12075">
      <c r="A12075" s="24"/>
      <c r="B12075" s="25"/>
      <c r="C12075" s="24"/>
      <c r="D12075" s="26"/>
      <c r="E12075" s="24"/>
      <c r="F12075" s="24"/>
      <c r="G12075" s="24"/>
      <c r="H12075" s="24"/>
      <c r="I12075" s="24"/>
      <c r="J12075" s="24"/>
      <c r="K12075" s="24"/>
      <c r="L12075" s="24"/>
      <c r="M12075" s="24"/>
      <c r="N12075" s="24"/>
      <c r="O12075" s="24"/>
      <c r="P12075" s="24"/>
      <c r="Q12075" s="24"/>
      <c r="R12075" s="24"/>
      <c r="S12075" s="24"/>
      <c r="T12075" s="24"/>
      <c r="U12075" s="24"/>
      <c r="V12075" s="24"/>
      <c r="W12075" s="24"/>
      <c r="X12075" s="24"/>
      <c r="Y12075" s="24"/>
      <c r="Z12075" s="24"/>
      <c r="AA12075" s="24"/>
    </row>
    <row r="12076">
      <c r="A12076" s="24"/>
      <c r="B12076" s="25"/>
      <c r="C12076" s="24"/>
      <c r="D12076" s="26"/>
      <c r="E12076" s="24"/>
      <c r="F12076" s="24"/>
      <c r="G12076" s="24"/>
      <c r="H12076" s="24"/>
      <c r="I12076" s="24"/>
      <c r="J12076" s="24"/>
      <c r="K12076" s="24"/>
      <c r="L12076" s="24"/>
      <c r="M12076" s="24"/>
      <c r="N12076" s="24"/>
      <c r="O12076" s="24"/>
      <c r="P12076" s="24"/>
      <c r="Q12076" s="24"/>
      <c r="R12076" s="24"/>
      <c r="S12076" s="24"/>
      <c r="T12076" s="24"/>
      <c r="U12076" s="24"/>
      <c r="V12076" s="24"/>
      <c r="W12076" s="24"/>
      <c r="X12076" s="24"/>
      <c r="Y12076" s="24"/>
      <c r="Z12076" s="24"/>
      <c r="AA12076" s="24"/>
    </row>
    <row r="12077">
      <c r="A12077" s="24"/>
      <c r="B12077" s="25"/>
      <c r="C12077" s="24"/>
      <c r="D12077" s="26"/>
      <c r="E12077" s="24"/>
      <c r="F12077" s="24"/>
      <c r="G12077" s="24"/>
      <c r="H12077" s="24"/>
      <c r="I12077" s="24"/>
      <c r="J12077" s="24"/>
      <c r="K12077" s="24"/>
      <c r="L12077" s="24"/>
      <c r="M12077" s="24"/>
      <c r="N12077" s="24"/>
      <c r="O12077" s="24"/>
      <c r="P12077" s="24"/>
      <c r="Q12077" s="24"/>
      <c r="R12077" s="24"/>
      <c r="S12077" s="24"/>
      <c r="T12077" s="24"/>
      <c r="U12077" s="24"/>
      <c r="V12077" s="24"/>
      <c r="W12077" s="24"/>
      <c r="X12077" s="24"/>
      <c r="Y12077" s="24"/>
      <c r="Z12077" s="24"/>
      <c r="AA12077" s="24"/>
    </row>
    <row r="12078">
      <c r="A12078" s="24"/>
      <c r="B12078" s="25"/>
      <c r="C12078" s="24"/>
      <c r="D12078" s="26"/>
      <c r="E12078" s="24"/>
      <c r="F12078" s="24"/>
      <c r="G12078" s="24"/>
      <c r="H12078" s="24"/>
      <c r="I12078" s="24"/>
      <c r="J12078" s="24"/>
      <c r="K12078" s="24"/>
      <c r="L12078" s="24"/>
      <c r="M12078" s="24"/>
      <c r="N12078" s="24"/>
      <c r="O12078" s="24"/>
      <c r="P12078" s="24"/>
      <c r="Q12078" s="24"/>
      <c r="R12078" s="24"/>
      <c r="S12078" s="24"/>
      <c r="T12078" s="24"/>
      <c r="U12078" s="24"/>
      <c r="V12078" s="24"/>
      <c r="W12078" s="24"/>
      <c r="X12078" s="24"/>
      <c r="Y12078" s="24"/>
      <c r="Z12078" s="24"/>
      <c r="AA12078" s="24"/>
    </row>
    <row r="12079">
      <c r="A12079" s="24"/>
      <c r="B12079" s="25"/>
      <c r="C12079" s="24"/>
      <c r="D12079" s="26"/>
      <c r="E12079" s="24"/>
      <c r="F12079" s="24"/>
      <c r="G12079" s="24"/>
      <c r="H12079" s="24"/>
      <c r="I12079" s="24"/>
      <c r="J12079" s="24"/>
      <c r="K12079" s="24"/>
      <c r="L12079" s="24"/>
      <c r="M12079" s="24"/>
      <c r="N12079" s="24"/>
      <c r="O12079" s="24"/>
      <c r="P12079" s="24"/>
      <c r="Q12079" s="24"/>
      <c r="R12079" s="24"/>
      <c r="S12079" s="24"/>
      <c r="T12079" s="24"/>
      <c r="U12079" s="24"/>
      <c r="V12079" s="24"/>
      <c r="W12079" s="24"/>
      <c r="X12079" s="24"/>
      <c r="Y12079" s="24"/>
      <c r="Z12079" s="24"/>
      <c r="AA12079" s="24"/>
    </row>
    <row r="12080">
      <c r="A12080" s="24"/>
      <c r="B12080" s="25"/>
      <c r="C12080" s="24"/>
      <c r="D12080" s="26"/>
      <c r="E12080" s="24"/>
      <c r="F12080" s="24"/>
      <c r="G12080" s="24"/>
      <c r="H12080" s="24"/>
      <c r="I12080" s="24"/>
      <c r="J12080" s="24"/>
      <c r="K12080" s="24"/>
      <c r="L12080" s="24"/>
      <c r="M12080" s="24"/>
      <c r="N12080" s="24"/>
      <c r="O12080" s="24"/>
      <c r="P12080" s="24"/>
      <c r="Q12080" s="24"/>
      <c r="R12080" s="24"/>
      <c r="S12080" s="24"/>
      <c r="T12080" s="24"/>
      <c r="U12080" s="24"/>
      <c r="V12080" s="24"/>
      <c r="W12080" s="24"/>
      <c r="X12080" s="24"/>
      <c r="Y12080" s="24"/>
      <c r="Z12080" s="24"/>
      <c r="AA12080" s="24"/>
    </row>
    <row r="12081">
      <c r="A12081" s="24"/>
      <c r="B12081" s="25"/>
      <c r="C12081" s="24"/>
      <c r="D12081" s="26"/>
      <c r="E12081" s="24"/>
      <c r="F12081" s="24"/>
      <c r="G12081" s="24"/>
      <c r="H12081" s="24"/>
      <c r="I12081" s="24"/>
      <c r="J12081" s="24"/>
      <c r="K12081" s="24"/>
      <c r="L12081" s="24"/>
      <c r="M12081" s="24"/>
      <c r="N12081" s="24"/>
      <c r="O12081" s="24"/>
      <c r="P12081" s="24"/>
      <c r="Q12081" s="24"/>
      <c r="R12081" s="24"/>
      <c r="S12081" s="24"/>
      <c r="T12081" s="24"/>
      <c r="U12081" s="24"/>
      <c r="V12081" s="24"/>
      <c r="W12081" s="24"/>
      <c r="X12081" s="24"/>
      <c r="Y12081" s="24"/>
      <c r="Z12081" s="24"/>
      <c r="AA12081" s="24"/>
    </row>
    <row r="12082">
      <c r="A12082" s="24"/>
      <c r="B12082" s="25"/>
      <c r="C12082" s="24"/>
      <c r="D12082" s="26"/>
      <c r="E12082" s="24"/>
      <c r="F12082" s="24"/>
      <c r="G12082" s="24"/>
      <c r="H12082" s="24"/>
      <c r="I12082" s="24"/>
      <c r="J12082" s="24"/>
      <c r="K12082" s="24"/>
      <c r="L12082" s="24"/>
      <c r="M12082" s="24"/>
      <c r="N12082" s="24"/>
      <c r="O12082" s="24"/>
      <c r="P12082" s="24"/>
      <c r="Q12082" s="24"/>
      <c r="R12082" s="24"/>
      <c r="S12082" s="24"/>
      <c r="T12082" s="24"/>
      <c r="U12082" s="24"/>
      <c r="V12082" s="24"/>
      <c r="W12082" s="24"/>
      <c r="X12082" s="24"/>
      <c r="Y12082" s="24"/>
      <c r="Z12082" s="24"/>
      <c r="AA12082" s="24"/>
    </row>
    <row r="12083">
      <c r="A12083" s="24"/>
      <c r="B12083" s="25"/>
      <c r="C12083" s="24"/>
      <c r="D12083" s="26"/>
      <c r="E12083" s="24"/>
      <c r="F12083" s="24"/>
      <c r="G12083" s="24"/>
      <c r="H12083" s="24"/>
      <c r="I12083" s="24"/>
      <c r="J12083" s="24"/>
      <c r="K12083" s="24"/>
      <c r="L12083" s="24"/>
      <c r="M12083" s="24"/>
      <c r="N12083" s="24"/>
      <c r="O12083" s="24"/>
      <c r="P12083" s="24"/>
      <c r="Q12083" s="24"/>
      <c r="R12083" s="24"/>
      <c r="S12083" s="24"/>
      <c r="T12083" s="24"/>
      <c r="U12083" s="24"/>
      <c r="V12083" s="24"/>
      <c r="W12083" s="24"/>
      <c r="X12083" s="24"/>
      <c r="Y12083" s="24"/>
      <c r="Z12083" s="24"/>
      <c r="AA12083" s="24"/>
    </row>
    <row r="12084">
      <c r="A12084" s="24"/>
      <c r="B12084" s="25"/>
      <c r="C12084" s="24"/>
      <c r="D12084" s="26"/>
      <c r="E12084" s="24"/>
      <c r="F12084" s="24"/>
      <c r="G12084" s="24"/>
      <c r="H12084" s="24"/>
      <c r="I12084" s="24"/>
      <c r="J12084" s="24"/>
      <c r="K12084" s="24"/>
      <c r="L12084" s="24"/>
      <c r="M12084" s="24"/>
      <c r="N12084" s="24"/>
      <c r="O12084" s="24"/>
      <c r="P12084" s="24"/>
      <c r="Q12084" s="24"/>
      <c r="R12084" s="24"/>
      <c r="S12084" s="24"/>
      <c r="T12084" s="24"/>
      <c r="U12084" s="24"/>
      <c r="V12084" s="24"/>
      <c r="W12084" s="24"/>
      <c r="X12084" s="24"/>
      <c r="Y12084" s="24"/>
      <c r="Z12084" s="24"/>
      <c r="AA12084" s="24"/>
    </row>
    <row r="12085">
      <c r="A12085" s="24"/>
      <c r="B12085" s="25"/>
      <c r="C12085" s="24"/>
      <c r="D12085" s="26"/>
      <c r="E12085" s="24"/>
      <c r="F12085" s="24"/>
      <c r="G12085" s="24"/>
      <c r="H12085" s="24"/>
      <c r="I12085" s="24"/>
      <c r="J12085" s="24"/>
      <c r="K12085" s="24"/>
      <c r="L12085" s="24"/>
      <c r="M12085" s="24"/>
      <c r="N12085" s="24"/>
      <c r="O12085" s="24"/>
      <c r="P12085" s="24"/>
      <c r="Q12085" s="24"/>
      <c r="R12085" s="24"/>
      <c r="S12085" s="24"/>
      <c r="T12085" s="24"/>
      <c r="U12085" s="24"/>
      <c r="V12085" s="24"/>
      <c r="W12085" s="24"/>
      <c r="X12085" s="24"/>
      <c r="Y12085" s="24"/>
      <c r="Z12085" s="24"/>
      <c r="AA12085" s="24"/>
    </row>
    <row r="12086">
      <c r="A12086" s="24"/>
      <c r="B12086" s="25"/>
      <c r="C12086" s="24"/>
      <c r="D12086" s="26"/>
      <c r="E12086" s="24"/>
      <c r="F12086" s="24"/>
      <c r="G12086" s="24"/>
      <c r="H12086" s="24"/>
      <c r="I12086" s="24"/>
      <c r="J12086" s="24"/>
      <c r="K12086" s="24"/>
      <c r="L12086" s="24"/>
      <c r="M12086" s="24"/>
      <c r="N12086" s="24"/>
      <c r="O12086" s="24"/>
      <c r="P12086" s="24"/>
      <c r="Q12086" s="24"/>
      <c r="R12086" s="24"/>
      <c r="S12086" s="24"/>
      <c r="T12086" s="24"/>
      <c r="U12086" s="24"/>
      <c r="V12086" s="24"/>
      <c r="W12086" s="24"/>
      <c r="X12086" s="24"/>
      <c r="Y12086" s="24"/>
      <c r="Z12086" s="24"/>
      <c r="AA12086" s="24"/>
    </row>
    <row r="12087">
      <c r="A12087" s="24"/>
      <c r="B12087" s="25"/>
      <c r="C12087" s="24"/>
      <c r="D12087" s="26"/>
      <c r="E12087" s="24"/>
      <c r="F12087" s="24"/>
      <c r="G12087" s="24"/>
      <c r="H12087" s="24"/>
      <c r="I12087" s="24"/>
      <c r="J12087" s="24"/>
      <c r="K12087" s="24"/>
      <c r="L12087" s="24"/>
      <c r="M12087" s="24"/>
      <c r="N12087" s="24"/>
      <c r="O12087" s="24"/>
      <c r="P12087" s="24"/>
      <c r="Q12087" s="24"/>
      <c r="R12087" s="24"/>
      <c r="S12087" s="24"/>
      <c r="T12087" s="24"/>
      <c r="U12087" s="24"/>
      <c r="V12087" s="24"/>
      <c r="W12087" s="24"/>
      <c r="X12087" s="24"/>
      <c r="Y12087" s="24"/>
      <c r="Z12087" s="24"/>
      <c r="AA12087" s="24"/>
    </row>
    <row r="12088">
      <c r="A12088" s="24"/>
      <c r="B12088" s="25"/>
      <c r="C12088" s="24"/>
      <c r="D12088" s="26"/>
      <c r="E12088" s="24"/>
      <c r="F12088" s="24"/>
      <c r="G12088" s="24"/>
      <c r="H12088" s="24"/>
      <c r="I12088" s="24"/>
      <c r="J12088" s="24"/>
      <c r="K12088" s="24"/>
      <c r="L12088" s="24"/>
      <c r="M12088" s="24"/>
      <c r="N12088" s="24"/>
      <c r="O12088" s="24"/>
      <c r="P12088" s="24"/>
      <c r="Q12088" s="24"/>
      <c r="R12088" s="24"/>
      <c r="S12088" s="24"/>
      <c r="T12088" s="24"/>
      <c r="U12088" s="24"/>
      <c r="V12088" s="24"/>
      <c r="W12088" s="24"/>
      <c r="X12088" s="24"/>
      <c r="Y12088" s="24"/>
      <c r="Z12088" s="24"/>
      <c r="AA12088" s="24"/>
    </row>
    <row r="12089">
      <c r="A12089" s="24"/>
      <c r="B12089" s="25"/>
      <c r="C12089" s="24"/>
      <c r="D12089" s="26"/>
      <c r="E12089" s="24"/>
      <c r="F12089" s="24"/>
      <c r="G12089" s="24"/>
      <c r="H12089" s="24"/>
      <c r="I12089" s="24"/>
      <c r="J12089" s="24"/>
      <c r="K12089" s="24"/>
      <c r="L12089" s="24"/>
      <c r="M12089" s="24"/>
      <c r="N12089" s="24"/>
      <c r="O12089" s="24"/>
      <c r="P12089" s="24"/>
      <c r="Q12089" s="24"/>
      <c r="R12089" s="24"/>
      <c r="S12089" s="24"/>
      <c r="T12089" s="24"/>
      <c r="U12089" s="24"/>
      <c r="V12089" s="24"/>
      <c r="W12089" s="24"/>
      <c r="X12089" s="24"/>
      <c r="Y12089" s="24"/>
      <c r="Z12089" s="24"/>
      <c r="AA12089" s="24"/>
    </row>
    <row r="12090">
      <c r="A12090" s="24"/>
      <c r="B12090" s="25"/>
      <c r="C12090" s="24"/>
      <c r="D12090" s="26"/>
      <c r="E12090" s="24"/>
      <c r="F12090" s="24"/>
      <c r="G12090" s="24"/>
      <c r="H12090" s="24"/>
      <c r="I12090" s="24"/>
      <c r="J12090" s="24"/>
      <c r="K12090" s="24"/>
      <c r="L12090" s="24"/>
      <c r="M12090" s="24"/>
      <c r="N12090" s="24"/>
      <c r="O12090" s="24"/>
      <c r="P12090" s="24"/>
      <c r="Q12090" s="24"/>
      <c r="R12090" s="24"/>
      <c r="S12090" s="24"/>
      <c r="T12090" s="24"/>
      <c r="U12090" s="24"/>
      <c r="V12090" s="24"/>
      <c r="W12090" s="24"/>
      <c r="X12090" s="24"/>
      <c r="Y12090" s="24"/>
      <c r="Z12090" s="24"/>
      <c r="AA12090" s="24"/>
    </row>
    <row r="12091">
      <c r="A12091" s="24"/>
      <c r="B12091" s="25"/>
      <c r="C12091" s="24"/>
      <c r="D12091" s="26"/>
      <c r="E12091" s="24"/>
      <c r="F12091" s="24"/>
      <c r="G12091" s="24"/>
      <c r="H12091" s="24"/>
      <c r="I12091" s="24"/>
      <c r="J12091" s="24"/>
      <c r="K12091" s="24"/>
      <c r="L12091" s="24"/>
      <c r="M12091" s="24"/>
      <c r="N12091" s="24"/>
      <c r="O12091" s="24"/>
      <c r="P12091" s="24"/>
      <c r="Q12091" s="24"/>
      <c r="R12091" s="24"/>
      <c r="S12091" s="24"/>
      <c r="T12091" s="24"/>
      <c r="U12091" s="24"/>
      <c r="V12091" s="24"/>
      <c r="W12091" s="24"/>
      <c r="X12091" s="24"/>
      <c r="Y12091" s="24"/>
      <c r="Z12091" s="24"/>
      <c r="AA12091" s="24"/>
    </row>
    <row r="12092">
      <c r="A12092" s="24"/>
      <c r="B12092" s="25"/>
      <c r="C12092" s="24"/>
      <c r="D12092" s="26"/>
      <c r="E12092" s="24"/>
      <c r="F12092" s="24"/>
      <c r="G12092" s="24"/>
      <c r="H12092" s="24"/>
      <c r="I12092" s="24"/>
      <c r="J12092" s="24"/>
      <c r="K12092" s="24"/>
      <c r="L12092" s="24"/>
      <c r="M12092" s="24"/>
      <c r="N12092" s="24"/>
      <c r="O12092" s="24"/>
      <c r="P12092" s="24"/>
      <c r="Q12092" s="24"/>
      <c r="R12092" s="24"/>
      <c r="S12092" s="24"/>
      <c r="T12092" s="24"/>
      <c r="U12092" s="24"/>
      <c r="V12092" s="24"/>
      <c r="W12092" s="24"/>
      <c r="X12092" s="24"/>
      <c r="Y12092" s="24"/>
      <c r="Z12092" s="24"/>
      <c r="AA12092" s="24"/>
    </row>
    <row r="12093">
      <c r="A12093" s="24"/>
      <c r="B12093" s="25"/>
      <c r="C12093" s="24"/>
      <c r="D12093" s="26"/>
      <c r="E12093" s="24"/>
      <c r="F12093" s="24"/>
      <c r="G12093" s="24"/>
      <c r="H12093" s="24"/>
      <c r="I12093" s="24"/>
      <c r="J12093" s="24"/>
      <c r="K12093" s="24"/>
      <c r="L12093" s="24"/>
      <c r="M12093" s="24"/>
      <c r="N12093" s="24"/>
      <c r="O12093" s="24"/>
      <c r="P12093" s="24"/>
      <c r="Q12093" s="24"/>
      <c r="R12093" s="24"/>
      <c r="S12093" s="24"/>
      <c r="T12093" s="24"/>
      <c r="U12093" s="24"/>
      <c r="V12093" s="24"/>
      <c r="W12093" s="24"/>
      <c r="X12093" s="24"/>
      <c r="Y12093" s="24"/>
      <c r="Z12093" s="24"/>
      <c r="AA12093" s="24"/>
    </row>
    <row r="12094">
      <c r="A12094" s="24"/>
      <c r="B12094" s="25"/>
      <c r="C12094" s="24"/>
      <c r="D12094" s="26"/>
      <c r="E12094" s="24"/>
      <c r="F12094" s="24"/>
      <c r="G12094" s="24"/>
      <c r="H12094" s="24"/>
      <c r="I12094" s="24"/>
      <c r="J12094" s="24"/>
      <c r="K12094" s="24"/>
      <c r="L12094" s="24"/>
      <c r="M12094" s="24"/>
      <c r="N12094" s="24"/>
      <c r="O12094" s="24"/>
      <c r="P12094" s="24"/>
      <c r="Q12094" s="24"/>
      <c r="R12094" s="24"/>
      <c r="S12094" s="24"/>
      <c r="T12094" s="24"/>
      <c r="U12094" s="24"/>
      <c r="V12094" s="24"/>
      <c r="W12094" s="24"/>
      <c r="X12094" s="24"/>
      <c r="Y12094" s="24"/>
      <c r="Z12094" s="24"/>
      <c r="AA12094" s="24"/>
    </row>
    <row r="12095">
      <c r="A12095" s="24"/>
      <c r="B12095" s="25"/>
      <c r="C12095" s="24"/>
      <c r="D12095" s="26"/>
      <c r="E12095" s="24"/>
      <c r="F12095" s="24"/>
      <c r="G12095" s="24"/>
      <c r="H12095" s="24"/>
      <c r="I12095" s="24"/>
      <c r="J12095" s="24"/>
      <c r="K12095" s="24"/>
      <c r="L12095" s="24"/>
      <c r="M12095" s="24"/>
      <c r="N12095" s="24"/>
      <c r="O12095" s="24"/>
      <c r="P12095" s="24"/>
      <c r="Q12095" s="24"/>
      <c r="R12095" s="24"/>
      <c r="S12095" s="24"/>
      <c r="T12095" s="24"/>
      <c r="U12095" s="24"/>
      <c r="V12095" s="24"/>
      <c r="W12095" s="24"/>
      <c r="X12095" s="24"/>
      <c r="Y12095" s="24"/>
      <c r="Z12095" s="24"/>
      <c r="AA12095" s="24"/>
    </row>
    <row r="12096">
      <c r="A12096" s="24"/>
      <c r="B12096" s="25"/>
      <c r="C12096" s="24"/>
      <c r="D12096" s="26"/>
      <c r="E12096" s="24"/>
      <c r="F12096" s="24"/>
      <c r="G12096" s="24"/>
      <c r="H12096" s="24"/>
      <c r="I12096" s="24"/>
      <c r="J12096" s="24"/>
      <c r="K12096" s="24"/>
      <c r="L12096" s="24"/>
      <c r="M12096" s="24"/>
      <c r="N12096" s="24"/>
      <c r="O12096" s="24"/>
      <c r="P12096" s="24"/>
      <c r="Q12096" s="24"/>
      <c r="R12096" s="24"/>
      <c r="S12096" s="24"/>
      <c r="T12096" s="24"/>
      <c r="U12096" s="24"/>
      <c r="V12096" s="24"/>
      <c r="W12096" s="24"/>
      <c r="X12096" s="24"/>
      <c r="Y12096" s="24"/>
      <c r="Z12096" s="24"/>
      <c r="AA12096" s="24"/>
    </row>
    <row r="12097">
      <c r="A12097" s="24"/>
      <c r="B12097" s="25"/>
      <c r="C12097" s="24"/>
      <c r="D12097" s="26"/>
      <c r="E12097" s="24"/>
      <c r="F12097" s="24"/>
      <c r="G12097" s="24"/>
      <c r="H12097" s="24"/>
      <c r="I12097" s="24"/>
      <c r="J12097" s="24"/>
      <c r="K12097" s="24"/>
      <c r="L12097" s="24"/>
      <c r="M12097" s="24"/>
      <c r="N12097" s="24"/>
      <c r="O12097" s="24"/>
      <c r="P12097" s="24"/>
      <c r="Q12097" s="24"/>
      <c r="R12097" s="24"/>
      <c r="S12097" s="24"/>
      <c r="T12097" s="24"/>
      <c r="U12097" s="24"/>
      <c r="V12097" s="24"/>
      <c r="W12097" s="24"/>
      <c r="X12097" s="24"/>
      <c r="Y12097" s="24"/>
      <c r="Z12097" s="24"/>
      <c r="AA12097" s="24"/>
    </row>
    <row r="12098">
      <c r="A12098" s="24"/>
      <c r="B12098" s="25"/>
      <c r="C12098" s="24"/>
      <c r="D12098" s="26"/>
      <c r="E12098" s="24"/>
      <c r="F12098" s="24"/>
      <c r="G12098" s="24"/>
      <c r="H12098" s="24"/>
      <c r="I12098" s="24"/>
      <c r="J12098" s="24"/>
      <c r="K12098" s="24"/>
      <c r="L12098" s="24"/>
      <c r="M12098" s="24"/>
      <c r="N12098" s="24"/>
      <c r="O12098" s="24"/>
      <c r="P12098" s="24"/>
      <c r="Q12098" s="24"/>
      <c r="R12098" s="24"/>
      <c r="S12098" s="24"/>
      <c r="T12098" s="24"/>
      <c r="U12098" s="24"/>
      <c r="V12098" s="24"/>
      <c r="W12098" s="24"/>
      <c r="X12098" s="24"/>
      <c r="Y12098" s="24"/>
      <c r="Z12098" s="24"/>
      <c r="AA12098" s="24"/>
    </row>
    <row r="12099">
      <c r="A12099" s="24"/>
      <c r="B12099" s="25"/>
      <c r="C12099" s="24"/>
      <c r="D12099" s="26"/>
      <c r="E12099" s="24"/>
      <c r="F12099" s="24"/>
      <c r="G12099" s="24"/>
      <c r="H12099" s="24"/>
      <c r="I12099" s="24"/>
      <c r="J12099" s="24"/>
      <c r="K12099" s="24"/>
      <c r="L12099" s="24"/>
      <c r="M12099" s="24"/>
      <c r="N12099" s="24"/>
      <c r="O12099" s="24"/>
      <c r="P12099" s="24"/>
      <c r="Q12099" s="24"/>
      <c r="R12099" s="24"/>
      <c r="S12099" s="24"/>
      <c r="T12099" s="24"/>
      <c r="U12099" s="24"/>
      <c r="V12099" s="24"/>
      <c r="W12099" s="24"/>
      <c r="X12099" s="24"/>
      <c r="Y12099" s="24"/>
      <c r="Z12099" s="24"/>
      <c r="AA12099" s="24"/>
    </row>
    <row r="12100">
      <c r="A12100" s="24"/>
      <c r="B12100" s="25"/>
      <c r="C12100" s="24"/>
      <c r="D12100" s="26"/>
      <c r="E12100" s="24"/>
      <c r="F12100" s="24"/>
      <c r="G12100" s="24"/>
      <c r="H12100" s="24"/>
      <c r="I12100" s="24"/>
      <c r="J12100" s="24"/>
      <c r="K12100" s="24"/>
      <c r="L12100" s="24"/>
      <c r="M12100" s="24"/>
      <c r="N12100" s="24"/>
      <c r="O12100" s="24"/>
      <c r="P12100" s="24"/>
      <c r="Q12100" s="24"/>
      <c r="R12100" s="24"/>
      <c r="S12100" s="24"/>
      <c r="T12100" s="24"/>
      <c r="U12100" s="24"/>
      <c r="V12100" s="24"/>
      <c r="W12100" s="24"/>
      <c r="X12100" s="24"/>
      <c r="Y12100" s="24"/>
      <c r="Z12100" s="24"/>
      <c r="AA12100" s="24"/>
    </row>
    <row r="12101">
      <c r="A12101" s="24"/>
      <c r="B12101" s="25"/>
      <c r="C12101" s="24"/>
      <c r="D12101" s="26"/>
      <c r="E12101" s="24"/>
      <c r="F12101" s="24"/>
      <c r="G12101" s="24"/>
      <c r="H12101" s="24"/>
      <c r="I12101" s="24"/>
      <c r="J12101" s="24"/>
      <c r="K12101" s="24"/>
      <c r="L12101" s="24"/>
      <c r="M12101" s="24"/>
      <c r="N12101" s="24"/>
      <c r="O12101" s="24"/>
      <c r="P12101" s="24"/>
      <c r="Q12101" s="24"/>
      <c r="R12101" s="24"/>
      <c r="S12101" s="24"/>
      <c r="T12101" s="24"/>
      <c r="U12101" s="24"/>
      <c r="V12101" s="24"/>
      <c r="W12101" s="24"/>
      <c r="X12101" s="24"/>
      <c r="Y12101" s="24"/>
      <c r="Z12101" s="24"/>
      <c r="AA12101" s="24"/>
    </row>
    <row r="12102">
      <c r="A12102" s="24"/>
      <c r="B12102" s="25"/>
      <c r="C12102" s="24"/>
      <c r="D12102" s="26"/>
      <c r="E12102" s="24"/>
      <c r="F12102" s="24"/>
      <c r="G12102" s="24"/>
      <c r="H12102" s="24"/>
      <c r="I12102" s="24"/>
      <c r="J12102" s="24"/>
      <c r="K12102" s="24"/>
      <c r="L12102" s="24"/>
      <c r="M12102" s="24"/>
      <c r="N12102" s="24"/>
      <c r="O12102" s="24"/>
      <c r="P12102" s="24"/>
      <c r="Q12102" s="24"/>
      <c r="R12102" s="24"/>
      <c r="S12102" s="24"/>
      <c r="T12102" s="24"/>
      <c r="U12102" s="24"/>
      <c r="V12102" s="24"/>
      <c r="W12102" s="24"/>
      <c r="X12102" s="24"/>
      <c r="Y12102" s="24"/>
      <c r="Z12102" s="24"/>
      <c r="AA12102" s="24"/>
    </row>
    <row r="12103">
      <c r="A12103" s="24"/>
      <c r="B12103" s="25"/>
      <c r="C12103" s="24"/>
      <c r="D12103" s="26"/>
      <c r="E12103" s="24"/>
      <c r="F12103" s="24"/>
      <c r="G12103" s="24"/>
      <c r="H12103" s="24"/>
      <c r="I12103" s="24"/>
      <c r="J12103" s="24"/>
      <c r="K12103" s="24"/>
      <c r="L12103" s="24"/>
      <c r="M12103" s="24"/>
      <c r="N12103" s="24"/>
      <c r="O12103" s="24"/>
      <c r="P12103" s="24"/>
      <c r="Q12103" s="24"/>
      <c r="R12103" s="24"/>
      <c r="S12103" s="24"/>
      <c r="T12103" s="24"/>
      <c r="U12103" s="24"/>
      <c r="V12103" s="24"/>
      <c r="W12103" s="24"/>
      <c r="X12103" s="24"/>
      <c r="Y12103" s="24"/>
      <c r="Z12103" s="24"/>
      <c r="AA12103" s="24"/>
    </row>
    <row r="12104">
      <c r="A12104" s="24"/>
      <c r="B12104" s="25"/>
      <c r="C12104" s="24"/>
      <c r="D12104" s="26"/>
      <c r="E12104" s="24"/>
      <c r="F12104" s="24"/>
      <c r="G12104" s="24"/>
      <c r="H12104" s="24"/>
      <c r="I12104" s="24"/>
      <c r="J12104" s="24"/>
      <c r="K12104" s="24"/>
      <c r="L12104" s="24"/>
      <c r="M12104" s="24"/>
      <c r="N12104" s="24"/>
      <c r="O12104" s="24"/>
      <c r="P12104" s="24"/>
      <c r="Q12104" s="24"/>
      <c r="R12104" s="24"/>
      <c r="S12104" s="24"/>
      <c r="T12104" s="24"/>
      <c r="U12104" s="24"/>
      <c r="V12104" s="24"/>
      <c r="W12104" s="24"/>
      <c r="X12104" s="24"/>
      <c r="Y12104" s="24"/>
      <c r="Z12104" s="24"/>
      <c r="AA12104" s="24"/>
    </row>
    <row r="12105">
      <c r="A12105" s="24"/>
      <c r="B12105" s="25"/>
      <c r="C12105" s="24"/>
      <c r="D12105" s="26"/>
      <c r="E12105" s="24"/>
      <c r="F12105" s="24"/>
      <c r="G12105" s="24"/>
      <c r="H12105" s="24"/>
      <c r="I12105" s="24"/>
      <c r="J12105" s="24"/>
      <c r="K12105" s="24"/>
      <c r="L12105" s="24"/>
      <c r="M12105" s="24"/>
      <c r="N12105" s="24"/>
      <c r="O12105" s="24"/>
      <c r="P12105" s="24"/>
      <c r="Q12105" s="24"/>
      <c r="R12105" s="24"/>
      <c r="S12105" s="24"/>
      <c r="T12105" s="24"/>
      <c r="U12105" s="24"/>
      <c r="V12105" s="24"/>
      <c r="W12105" s="24"/>
      <c r="X12105" s="24"/>
      <c r="Y12105" s="24"/>
      <c r="Z12105" s="24"/>
      <c r="AA12105" s="24"/>
    </row>
    <row r="12106">
      <c r="A12106" s="24"/>
      <c r="B12106" s="25"/>
      <c r="C12106" s="24"/>
      <c r="D12106" s="26"/>
      <c r="E12106" s="24"/>
      <c r="F12106" s="24"/>
      <c r="G12106" s="24"/>
      <c r="H12106" s="24"/>
      <c r="I12106" s="24"/>
      <c r="J12106" s="24"/>
      <c r="K12106" s="24"/>
      <c r="L12106" s="24"/>
      <c r="M12106" s="24"/>
      <c r="N12106" s="24"/>
      <c r="O12106" s="24"/>
      <c r="P12106" s="24"/>
      <c r="Q12106" s="24"/>
      <c r="R12106" s="24"/>
      <c r="S12106" s="24"/>
      <c r="T12106" s="24"/>
      <c r="U12106" s="24"/>
      <c r="V12106" s="24"/>
      <c r="W12106" s="24"/>
      <c r="X12106" s="24"/>
      <c r="Y12106" s="24"/>
      <c r="Z12106" s="24"/>
      <c r="AA12106" s="24"/>
    </row>
    <row r="12107">
      <c r="A12107" s="24"/>
      <c r="B12107" s="25"/>
      <c r="C12107" s="24"/>
      <c r="D12107" s="26"/>
      <c r="E12107" s="24"/>
      <c r="F12107" s="24"/>
      <c r="G12107" s="24"/>
      <c r="H12107" s="24"/>
      <c r="I12107" s="24"/>
      <c r="J12107" s="24"/>
      <c r="K12107" s="24"/>
      <c r="L12107" s="24"/>
      <c r="M12107" s="24"/>
      <c r="N12107" s="24"/>
      <c r="O12107" s="24"/>
      <c r="P12107" s="24"/>
      <c r="Q12107" s="24"/>
      <c r="R12107" s="24"/>
      <c r="S12107" s="24"/>
      <c r="T12107" s="24"/>
      <c r="U12107" s="24"/>
      <c r="V12107" s="24"/>
      <c r="W12107" s="24"/>
      <c r="X12107" s="24"/>
      <c r="Y12107" s="24"/>
      <c r="Z12107" s="24"/>
      <c r="AA12107" s="24"/>
    </row>
    <row r="12108">
      <c r="A12108" s="24"/>
      <c r="B12108" s="25"/>
      <c r="C12108" s="24"/>
      <c r="D12108" s="26"/>
      <c r="E12108" s="24"/>
      <c r="F12108" s="24"/>
      <c r="G12108" s="24"/>
      <c r="H12108" s="24"/>
      <c r="I12108" s="24"/>
      <c r="J12108" s="24"/>
      <c r="K12108" s="24"/>
      <c r="L12108" s="24"/>
      <c r="M12108" s="24"/>
      <c r="N12108" s="24"/>
      <c r="O12108" s="24"/>
      <c r="P12108" s="24"/>
      <c r="Q12108" s="24"/>
      <c r="R12108" s="24"/>
      <c r="S12108" s="24"/>
      <c r="T12108" s="24"/>
      <c r="U12108" s="24"/>
      <c r="V12108" s="24"/>
      <c r="W12108" s="24"/>
      <c r="X12108" s="24"/>
      <c r="Y12108" s="24"/>
      <c r="Z12108" s="24"/>
      <c r="AA12108" s="24"/>
    </row>
    <row r="12109">
      <c r="A12109" s="24"/>
      <c r="B12109" s="25"/>
      <c r="C12109" s="24"/>
      <c r="D12109" s="26"/>
      <c r="E12109" s="24"/>
      <c r="F12109" s="24"/>
      <c r="G12109" s="24"/>
      <c r="H12109" s="24"/>
      <c r="I12109" s="24"/>
      <c r="J12109" s="24"/>
      <c r="K12109" s="24"/>
      <c r="L12109" s="24"/>
      <c r="M12109" s="24"/>
      <c r="N12109" s="24"/>
      <c r="O12109" s="24"/>
      <c r="P12109" s="24"/>
      <c r="Q12109" s="24"/>
      <c r="R12109" s="24"/>
      <c r="S12109" s="24"/>
      <c r="T12109" s="24"/>
      <c r="U12109" s="24"/>
      <c r="V12109" s="24"/>
      <c r="W12109" s="24"/>
      <c r="X12109" s="24"/>
      <c r="Y12109" s="24"/>
      <c r="Z12109" s="24"/>
      <c r="AA12109" s="24"/>
    </row>
    <row r="12110">
      <c r="A12110" s="24"/>
      <c r="B12110" s="25"/>
      <c r="C12110" s="24"/>
      <c r="D12110" s="26"/>
      <c r="E12110" s="24"/>
      <c r="F12110" s="24"/>
      <c r="G12110" s="24"/>
      <c r="H12110" s="24"/>
      <c r="I12110" s="24"/>
      <c r="J12110" s="24"/>
      <c r="K12110" s="24"/>
      <c r="L12110" s="24"/>
      <c r="M12110" s="24"/>
      <c r="N12110" s="24"/>
      <c r="O12110" s="24"/>
      <c r="P12110" s="24"/>
      <c r="Q12110" s="24"/>
      <c r="R12110" s="24"/>
      <c r="S12110" s="24"/>
      <c r="T12110" s="24"/>
      <c r="U12110" s="24"/>
      <c r="V12110" s="24"/>
      <c r="W12110" s="24"/>
      <c r="X12110" s="24"/>
      <c r="Y12110" s="24"/>
      <c r="Z12110" s="24"/>
      <c r="AA12110" s="24"/>
    </row>
    <row r="12111">
      <c r="A12111" s="24"/>
      <c r="B12111" s="25"/>
      <c r="C12111" s="24"/>
      <c r="D12111" s="26"/>
      <c r="E12111" s="24"/>
      <c r="F12111" s="24"/>
      <c r="G12111" s="24"/>
      <c r="H12111" s="24"/>
      <c r="I12111" s="24"/>
      <c r="J12111" s="24"/>
      <c r="K12111" s="24"/>
      <c r="L12111" s="24"/>
      <c r="M12111" s="24"/>
      <c r="N12111" s="24"/>
      <c r="O12111" s="24"/>
      <c r="P12111" s="24"/>
      <c r="Q12111" s="24"/>
      <c r="R12111" s="24"/>
      <c r="S12111" s="24"/>
      <c r="T12111" s="24"/>
      <c r="U12111" s="24"/>
      <c r="V12111" s="24"/>
      <c r="W12111" s="24"/>
      <c r="X12111" s="24"/>
      <c r="Y12111" s="24"/>
      <c r="Z12111" s="24"/>
      <c r="AA12111" s="24"/>
    </row>
    <row r="12112">
      <c r="A12112" s="24"/>
      <c r="B12112" s="25"/>
      <c r="C12112" s="24"/>
      <c r="D12112" s="26"/>
      <c r="E12112" s="24"/>
      <c r="F12112" s="24"/>
      <c r="G12112" s="24"/>
      <c r="H12112" s="24"/>
      <c r="I12112" s="24"/>
      <c r="J12112" s="24"/>
      <c r="K12112" s="24"/>
      <c r="L12112" s="24"/>
      <c r="M12112" s="24"/>
      <c r="N12112" s="24"/>
      <c r="O12112" s="24"/>
      <c r="P12112" s="24"/>
      <c r="Q12112" s="24"/>
      <c r="R12112" s="24"/>
      <c r="S12112" s="24"/>
      <c r="T12112" s="24"/>
      <c r="U12112" s="24"/>
      <c r="V12112" s="24"/>
      <c r="W12112" s="24"/>
      <c r="X12112" s="24"/>
      <c r="Y12112" s="24"/>
      <c r="Z12112" s="24"/>
      <c r="AA12112" s="24"/>
    </row>
    <row r="12113">
      <c r="A12113" s="24"/>
      <c r="B12113" s="25"/>
      <c r="C12113" s="24"/>
      <c r="D12113" s="26"/>
      <c r="E12113" s="24"/>
      <c r="F12113" s="24"/>
      <c r="G12113" s="24"/>
      <c r="H12113" s="24"/>
      <c r="I12113" s="24"/>
      <c r="J12113" s="24"/>
      <c r="K12113" s="24"/>
      <c r="L12113" s="24"/>
      <c r="M12113" s="24"/>
      <c r="N12113" s="24"/>
      <c r="O12113" s="24"/>
      <c r="P12113" s="24"/>
      <c r="Q12113" s="24"/>
      <c r="R12113" s="24"/>
      <c r="S12113" s="24"/>
      <c r="T12113" s="24"/>
      <c r="U12113" s="24"/>
      <c r="V12113" s="24"/>
      <c r="W12113" s="24"/>
      <c r="X12113" s="24"/>
      <c r="Y12113" s="24"/>
      <c r="Z12113" s="24"/>
      <c r="AA12113" s="24"/>
    </row>
    <row r="12114">
      <c r="A12114" s="24"/>
      <c r="B12114" s="25"/>
      <c r="C12114" s="24"/>
      <c r="D12114" s="26"/>
      <c r="E12114" s="24"/>
      <c r="F12114" s="24"/>
      <c r="G12114" s="24"/>
      <c r="H12114" s="24"/>
      <c r="I12114" s="24"/>
      <c r="J12114" s="24"/>
      <c r="K12114" s="24"/>
      <c r="L12114" s="24"/>
      <c r="M12114" s="24"/>
      <c r="N12114" s="24"/>
      <c r="O12114" s="24"/>
      <c r="P12114" s="24"/>
      <c r="Q12114" s="24"/>
      <c r="R12114" s="24"/>
      <c r="S12114" s="24"/>
      <c r="T12114" s="24"/>
      <c r="U12114" s="24"/>
      <c r="V12114" s="24"/>
      <c r="W12114" s="24"/>
      <c r="X12114" s="24"/>
      <c r="Y12114" s="24"/>
      <c r="Z12114" s="24"/>
      <c r="AA12114" s="24"/>
    </row>
    <row r="12115">
      <c r="A12115" s="24"/>
      <c r="B12115" s="25"/>
      <c r="C12115" s="24"/>
      <c r="D12115" s="26"/>
      <c r="E12115" s="24"/>
      <c r="F12115" s="24"/>
      <c r="G12115" s="24"/>
      <c r="H12115" s="24"/>
      <c r="I12115" s="24"/>
      <c r="J12115" s="24"/>
      <c r="K12115" s="24"/>
      <c r="L12115" s="24"/>
      <c r="M12115" s="24"/>
      <c r="N12115" s="24"/>
      <c r="O12115" s="24"/>
      <c r="P12115" s="24"/>
      <c r="Q12115" s="24"/>
      <c r="R12115" s="24"/>
      <c r="S12115" s="24"/>
      <c r="T12115" s="24"/>
      <c r="U12115" s="24"/>
      <c r="V12115" s="24"/>
      <c r="W12115" s="24"/>
      <c r="X12115" s="24"/>
      <c r="Y12115" s="24"/>
      <c r="Z12115" s="24"/>
      <c r="AA12115" s="24"/>
    </row>
    <row r="12116">
      <c r="A12116" s="24"/>
      <c r="B12116" s="25"/>
      <c r="C12116" s="24"/>
      <c r="D12116" s="26"/>
      <c r="E12116" s="24"/>
      <c r="F12116" s="24"/>
      <c r="G12116" s="24"/>
      <c r="H12116" s="24"/>
      <c r="I12116" s="24"/>
      <c r="J12116" s="24"/>
      <c r="K12116" s="24"/>
      <c r="L12116" s="24"/>
      <c r="M12116" s="24"/>
      <c r="N12116" s="24"/>
      <c r="O12116" s="24"/>
      <c r="P12116" s="24"/>
      <c r="Q12116" s="24"/>
      <c r="R12116" s="24"/>
      <c r="S12116" s="24"/>
      <c r="T12116" s="24"/>
      <c r="U12116" s="24"/>
      <c r="V12116" s="24"/>
      <c r="W12116" s="24"/>
      <c r="X12116" s="24"/>
      <c r="Y12116" s="24"/>
      <c r="Z12116" s="24"/>
      <c r="AA12116" s="24"/>
    </row>
    <row r="12117">
      <c r="A12117" s="24"/>
      <c r="B12117" s="25"/>
      <c r="C12117" s="24"/>
      <c r="D12117" s="26"/>
      <c r="E12117" s="24"/>
      <c r="F12117" s="24"/>
      <c r="G12117" s="24"/>
      <c r="H12117" s="24"/>
      <c r="I12117" s="24"/>
      <c r="J12117" s="24"/>
      <c r="K12117" s="24"/>
      <c r="L12117" s="24"/>
      <c r="M12117" s="24"/>
      <c r="N12117" s="24"/>
      <c r="O12117" s="24"/>
      <c r="P12117" s="24"/>
      <c r="Q12117" s="24"/>
      <c r="R12117" s="24"/>
      <c r="S12117" s="24"/>
      <c r="T12117" s="24"/>
      <c r="U12117" s="24"/>
      <c r="V12117" s="24"/>
      <c r="W12117" s="24"/>
      <c r="X12117" s="24"/>
      <c r="Y12117" s="24"/>
      <c r="Z12117" s="24"/>
      <c r="AA12117" s="24"/>
    </row>
    <row r="12118">
      <c r="A12118" s="24"/>
      <c r="B12118" s="25"/>
      <c r="C12118" s="24"/>
      <c r="D12118" s="26"/>
      <c r="E12118" s="24"/>
      <c r="F12118" s="24"/>
      <c r="G12118" s="24"/>
      <c r="H12118" s="24"/>
      <c r="I12118" s="24"/>
      <c r="J12118" s="24"/>
      <c r="K12118" s="24"/>
      <c r="L12118" s="24"/>
      <c r="M12118" s="24"/>
      <c r="N12118" s="24"/>
      <c r="O12118" s="24"/>
      <c r="P12118" s="24"/>
      <c r="Q12118" s="24"/>
      <c r="R12118" s="24"/>
      <c r="S12118" s="24"/>
      <c r="T12118" s="24"/>
      <c r="U12118" s="24"/>
      <c r="V12118" s="24"/>
      <c r="W12118" s="24"/>
      <c r="X12118" s="24"/>
      <c r="Y12118" s="24"/>
      <c r="Z12118" s="24"/>
      <c r="AA12118" s="24"/>
    </row>
    <row r="12119">
      <c r="A12119" s="24"/>
      <c r="B12119" s="25"/>
      <c r="C12119" s="24"/>
      <c r="D12119" s="26"/>
      <c r="E12119" s="24"/>
      <c r="F12119" s="24"/>
      <c r="G12119" s="24"/>
      <c r="H12119" s="24"/>
      <c r="I12119" s="24"/>
      <c r="J12119" s="24"/>
      <c r="K12119" s="24"/>
      <c r="L12119" s="24"/>
      <c r="M12119" s="24"/>
      <c r="N12119" s="24"/>
      <c r="O12119" s="24"/>
      <c r="P12119" s="24"/>
      <c r="Q12119" s="24"/>
      <c r="R12119" s="24"/>
      <c r="S12119" s="24"/>
      <c r="T12119" s="24"/>
      <c r="U12119" s="24"/>
      <c r="V12119" s="24"/>
      <c r="W12119" s="24"/>
      <c r="X12119" s="24"/>
      <c r="Y12119" s="24"/>
      <c r="Z12119" s="24"/>
      <c r="AA12119" s="24"/>
    </row>
    <row r="12120">
      <c r="A12120" s="24"/>
      <c r="B12120" s="25"/>
      <c r="C12120" s="24"/>
      <c r="D12120" s="26"/>
      <c r="E12120" s="24"/>
      <c r="F12120" s="24"/>
      <c r="G12120" s="24"/>
      <c r="H12120" s="24"/>
      <c r="I12120" s="24"/>
      <c r="J12120" s="24"/>
      <c r="K12120" s="24"/>
      <c r="L12120" s="24"/>
      <c r="M12120" s="24"/>
      <c r="N12120" s="24"/>
      <c r="O12120" s="24"/>
      <c r="P12120" s="24"/>
      <c r="Q12120" s="24"/>
      <c r="R12120" s="24"/>
      <c r="S12120" s="24"/>
      <c r="T12120" s="24"/>
      <c r="U12120" s="24"/>
      <c r="V12120" s="24"/>
      <c r="W12120" s="24"/>
      <c r="X12120" s="24"/>
      <c r="Y12120" s="24"/>
      <c r="Z12120" s="24"/>
      <c r="AA12120" s="24"/>
    </row>
    <row r="12121">
      <c r="A12121" s="24"/>
      <c r="B12121" s="25"/>
      <c r="C12121" s="24"/>
      <c r="D12121" s="26"/>
      <c r="E12121" s="24"/>
      <c r="F12121" s="24"/>
      <c r="G12121" s="24"/>
      <c r="H12121" s="24"/>
      <c r="I12121" s="24"/>
      <c r="J12121" s="24"/>
      <c r="K12121" s="24"/>
      <c r="L12121" s="24"/>
      <c r="M12121" s="24"/>
      <c r="N12121" s="24"/>
      <c r="O12121" s="24"/>
      <c r="P12121" s="24"/>
      <c r="Q12121" s="24"/>
      <c r="R12121" s="24"/>
      <c r="S12121" s="24"/>
      <c r="T12121" s="24"/>
      <c r="U12121" s="24"/>
      <c r="V12121" s="24"/>
      <c r="W12121" s="24"/>
      <c r="X12121" s="24"/>
      <c r="Y12121" s="24"/>
      <c r="Z12121" s="24"/>
      <c r="AA12121" s="24"/>
    </row>
    <row r="12122">
      <c r="A12122" s="24"/>
      <c r="B12122" s="25"/>
      <c r="C12122" s="24"/>
      <c r="D12122" s="26"/>
      <c r="E12122" s="24"/>
      <c r="F12122" s="24"/>
      <c r="G12122" s="24"/>
      <c r="H12122" s="24"/>
      <c r="I12122" s="24"/>
      <c r="J12122" s="24"/>
      <c r="K12122" s="24"/>
      <c r="L12122" s="24"/>
      <c r="M12122" s="24"/>
      <c r="N12122" s="24"/>
      <c r="O12122" s="24"/>
      <c r="P12122" s="24"/>
      <c r="Q12122" s="24"/>
      <c r="R12122" s="24"/>
      <c r="S12122" s="24"/>
      <c r="T12122" s="24"/>
      <c r="U12122" s="24"/>
      <c r="V12122" s="24"/>
      <c r="W12122" s="24"/>
      <c r="X12122" s="24"/>
      <c r="Y12122" s="24"/>
      <c r="Z12122" s="24"/>
      <c r="AA12122" s="24"/>
    </row>
    <row r="12123">
      <c r="A12123" s="24"/>
      <c r="B12123" s="25"/>
      <c r="C12123" s="24"/>
      <c r="D12123" s="26"/>
      <c r="E12123" s="24"/>
      <c r="F12123" s="24"/>
      <c r="G12123" s="24"/>
      <c r="H12123" s="24"/>
      <c r="I12123" s="24"/>
      <c r="J12123" s="24"/>
      <c r="K12123" s="24"/>
      <c r="L12123" s="24"/>
      <c r="M12123" s="24"/>
      <c r="N12123" s="24"/>
      <c r="O12123" s="24"/>
      <c r="P12123" s="24"/>
      <c r="Q12123" s="24"/>
      <c r="R12123" s="24"/>
      <c r="S12123" s="24"/>
      <c r="T12123" s="24"/>
      <c r="U12123" s="24"/>
      <c r="V12123" s="24"/>
      <c r="W12123" s="24"/>
      <c r="X12123" s="24"/>
      <c r="Y12123" s="24"/>
      <c r="Z12123" s="24"/>
      <c r="AA12123" s="24"/>
    </row>
    <row r="12124">
      <c r="A12124" s="24"/>
      <c r="B12124" s="25"/>
      <c r="C12124" s="24"/>
      <c r="D12124" s="26"/>
      <c r="E12124" s="24"/>
      <c r="F12124" s="24"/>
      <c r="G12124" s="24"/>
      <c r="H12124" s="24"/>
      <c r="I12124" s="24"/>
      <c r="J12124" s="24"/>
      <c r="K12124" s="24"/>
      <c r="L12124" s="24"/>
      <c r="M12124" s="24"/>
      <c r="N12124" s="24"/>
      <c r="O12124" s="24"/>
      <c r="P12124" s="24"/>
      <c r="Q12124" s="24"/>
      <c r="R12124" s="24"/>
      <c r="S12124" s="24"/>
      <c r="T12124" s="24"/>
      <c r="U12124" s="24"/>
      <c r="V12124" s="24"/>
      <c r="W12124" s="24"/>
      <c r="X12124" s="24"/>
      <c r="Y12124" s="24"/>
      <c r="Z12124" s="24"/>
      <c r="AA12124" s="24"/>
    </row>
    <row r="12125">
      <c r="A12125" s="24"/>
      <c r="B12125" s="25"/>
      <c r="C12125" s="24"/>
      <c r="D12125" s="26"/>
      <c r="E12125" s="24"/>
      <c r="F12125" s="24"/>
      <c r="G12125" s="24"/>
      <c r="H12125" s="24"/>
      <c r="I12125" s="24"/>
      <c r="J12125" s="24"/>
      <c r="K12125" s="24"/>
      <c r="L12125" s="24"/>
      <c r="M12125" s="24"/>
      <c r="N12125" s="24"/>
      <c r="O12125" s="24"/>
      <c r="P12125" s="24"/>
      <c r="Q12125" s="24"/>
      <c r="R12125" s="24"/>
      <c r="S12125" s="24"/>
      <c r="T12125" s="24"/>
      <c r="U12125" s="24"/>
      <c r="V12125" s="24"/>
      <c r="W12125" s="24"/>
      <c r="X12125" s="24"/>
      <c r="Y12125" s="24"/>
      <c r="Z12125" s="24"/>
      <c r="AA12125" s="24"/>
    </row>
    <row r="12126">
      <c r="A12126" s="24"/>
      <c r="B12126" s="25"/>
      <c r="C12126" s="24"/>
      <c r="D12126" s="26"/>
      <c r="E12126" s="24"/>
      <c r="F12126" s="24"/>
      <c r="G12126" s="24"/>
      <c r="H12126" s="24"/>
      <c r="I12126" s="24"/>
      <c r="J12126" s="24"/>
      <c r="K12126" s="24"/>
      <c r="L12126" s="24"/>
      <c r="M12126" s="24"/>
      <c r="N12126" s="24"/>
      <c r="O12126" s="24"/>
      <c r="P12126" s="24"/>
      <c r="Q12126" s="24"/>
      <c r="R12126" s="24"/>
      <c r="S12126" s="24"/>
      <c r="T12126" s="24"/>
      <c r="U12126" s="24"/>
      <c r="V12126" s="24"/>
      <c r="W12126" s="24"/>
      <c r="X12126" s="24"/>
      <c r="Y12126" s="24"/>
      <c r="Z12126" s="24"/>
      <c r="AA12126" s="24"/>
    </row>
    <row r="12127">
      <c r="A12127" s="24"/>
      <c r="B12127" s="25"/>
      <c r="C12127" s="24"/>
      <c r="D12127" s="26"/>
      <c r="E12127" s="24"/>
      <c r="F12127" s="24"/>
      <c r="G12127" s="24"/>
      <c r="H12127" s="24"/>
      <c r="I12127" s="24"/>
      <c r="J12127" s="24"/>
      <c r="K12127" s="24"/>
      <c r="L12127" s="24"/>
      <c r="M12127" s="24"/>
      <c r="N12127" s="24"/>
      <c r="O12127" s="24"/>
      <c r="P12127" s="24"/>
      <c r="Q12127" s="24"/>
      <c r="R12127" s="24"/>
      <c r="S12127" s="24"/>
      <c r="T12127" s="24"/>
      <c r="U12127" s="24"/>
      <c r="V12127" s="24"/>
      <c r="W12127" s="24"/>
      <c r="X12127" s="24"/>
      <c r="Y12127" s="24"/>
      <c r="Z12127" s="24"/>
      <c r="AA12127" s="24"/>
    </row>
    <row r="12128">
      <c r="A12128" s="24"/>
      <c r="B12128" s="25"/>
      <c r="C12128" s="24"/>
      <c r="D12128" s="26"/>
      <c r="E12128" s="24"/>
      <c r="F12128" s="24"/>
      <c r="G12128" s="24"/>
      <c r="H12128" s="24"/>
      <c r="I12128" s="24"/>
      <c r="J12128" s="24"/>
      <c r="K12128" s="24"/>
      <c r="L12128" s="24"/>
      <c r="M12128" s="24"/>
      <c r="N12128" s="24"/>
      <c r="O12128" s="24"/>
      <c r="P12128" s="24"/>
      <c r="Q12128" s="24"/>
      <c r="R12128" s="24"/>
      <c r="S12128" s="24"/>
      <c r="T12128" s="24"/>
      <c r="U12128" s="24"/>
      <c r="V12128" s="24"/>
      <c r="W12128" s="24"/>
      <c r="X12128" s="24"/>
      <c r="Y12128" s="24"/>
      <c r="Z12128" s="24"/>
      <c r="AA12128" s="24"/>
    </row>
    <row r="12129">
      <c r="A12129" s="24"/>
      <c r="B12129" s="25"/>
      <c r="C12129" s="24"/>
      <c r="D12129" s="26"/>
      <c r="E12129" s="24"/>
      <c r="F12129" s="24"/>
      <c r="G12129" s="24"/>
      <c r="H12129" s="24"/>
      <c r="I12129" s="24"/>
      <c r="J12129" s="24"/>
      <c r="K12129" s="24"/>
      <c r="L12129" s="24"/>
      <c r="M12129" s="24"/>
      <c r="N12129" s="24"/>
      <c r="O12129" s="24"/>
      <c r="P12129" s="24"/>
      <c r="Q12129" s="24"/>
      <c r="R12129" s="24"/>
      <c r="S12129" s="24"/>
      <c r="T12129" s="24"/>
      <c r="U12129" s="24"/>
      <c r="V12129" s="24"/>
      <c r="W12129" s="24"/>
      <c r="X12129" s="24"/>
      <c r="Y12129" s="24"/>
      <c r="Z12129" s="24"/>
      <c r="AA12129" s="24"/>
    </row>
    <row r="12130">
      <c r="A12130" s="24"/>
      <c r="B12130" s="25"/>
      <c r="C12130" s="24"/>
      <c r="D12130" s="26"/>
      <c r="E12130" s="24"/>
      <c r="F12130" s="24"/>
      <c r="G12130" s="24"/>
      <c r="H12130" s="24"/>
      <c r="I12130" s="24"/>
      <c r="J12130" s="24"/>
      <c r="K12130" s="24"/>
      <c r="L12130" s="24"/>
      <c r="M12130" s="24"/>
      <c r="N12130" s="24"/>
      <c r="O12130" s="24"/>
      <c r="P12130" s="24"/>
      <c r="Q12130" s="24"/>
      <c r="R12130" s="24"/>
      <c r="S12130" s="24"/>
      <c r="T12130" s="24"/>
      <c r="U12130" s="24"/>
      <c r="V12130" s="24"/>
      <c r="W12130" s="24"/>
      <c r="X12130" s="24"/>
      <c r="Y12130" s="24"/>
      <c r="Z12130" s="24"/>
      <c r="AA12130" s="24"/>
    </row>
    <row r="12131">
      <c r="A12131" s="24"/>
      <c r="B12131" s="25"/>
      <c r="C12131" s="24"/>
      <c r="D12131" s="26"/>
      <c r="E12131" s="24"/>
      <c r="F12131" s="24"/>
      <c r="G12131" s="24"/>
      <c r="H12131" s="24"/>
      <c r="I12131" s="24"/>
      <c r="J12131" s="24"/>
      <c r="K12131" s="24"/>
      <c r="L12131" s="24"/>
      <c r="M12131" s="24"/>
      <c r="N12131" s="24"/>
      <c r="O12131" s="24"/>
      <c r="P12131" s="24"/>
      <c r="Q12131" s="24"/>
      <c r="R12131" s="24"/>
      <c r="S12131" s="24"/>
      <c r="T12131" s="24"/>
      <c r="U12131" s="24"/>
      <c r="V12131" s="24"/>
      <c r="W12131" s="24"/>
      <c r="X12131" s="24"/>
      <c r="Y12131" s="24"/>
      <c r="Z12131" s="24"/>
      <c r="AA12131" s="24"/>
    </row>
    <row r="12132">
      <c r="A12132" s="24"/>
      <c r="B12132" s="25"/>
      <c r="C12132" s="24"/>
      <c r="D12132" s="26"/>
      <c r="E12132" s="24"/>
      <c r="F12132" s="24"/>
      <c r="G12132" s="24"/>
      <c r="H12132" s="24"/>
      <c r="I12132" s="24"/>
      <c r="J12132" s="24"/>
      <c r="K12132" s="24"/>
      <c r="L12132" s="24"/>
      <c r="M12132" s="24"/>
      <c r="N12132" s="24"/>
      <c r="O12132" s="24"/>
      <c r="P12132" s="24"/>
      <c r="Q12132" s="24"/>
      <c r="R12132" s="24"/>
      <c r="S12132" s="24"/>
      <c r="T12132" s="24"/>
      <c r="U12132" s="24"/>
      <c r="V12132" s="24"/>
      <c r="W12132" s="24"/>
      <c r="X12132" s="24"/>
      <c r="Y12132" s="24"/>
      <c r="Z12132" s="24"/>
      <c r="AA12132" s="24"/>
    </row>
    <row r="12133">
      <c r="A12133" s="24"/>
      <c r="B12133" s="25"/>
      <c r="C12133" s="24"/>
      <c r="D12133" s="26"/>
      <c r="E12133" s="24"/>
      <c r="F12133" s="24"/>
      <c r="G12133" s="24"/>
      <c r="H12133" s="24"/>
      <c r="I12133" s="24"/>
      <c r="J12133" s="24"/>
      <c r="K12133" s="24"/>
      <c r="L12133" s="24"/>
      <c r="M12133" s="24"/>
      <c r="N12133" s="24"/>
      <c r="O12133" s="24"/>
      <c r="P12133" s="24"/>
      <c r="Q12133" s="24"/>
      <c r="R12133" s="24"/>
      <c r="S12133" s="24"/>
      <c r="T12133" s="24"/>
      <c r="U12133" s="24"/>
      <c r="V12133" s="24"/>
      <c r="W12133" s="24"/>
      <c r="X12133" s="24"/>
      <c r="Y12133" s="24"/>
      <c r="Z12133" s="24"/>
      <c r="AA12133" s="24"/>
    </row>
    <row r="12134">
      <c r="A12134" s="24"/>
      <c r="B12134" s="25"/>
      <c r="C12134" s="24"/>
      <c r="D12134" s="26"/>
      <c r="E12134" s="24"/>
      <c r="F12134" s="24"/>
      <c r="G12134" s="24"/>
      <c r="H12134" s="24"/>
      <c r="I12134" s="24"/>
      <c r="J12134" s="24"/>
      <c r="K12134" s="24"/>
      <c r="L12134" s="24"/>
      <c r="M12134" s="24"/>
      <c r="N12134" s="24"/>
      <c r="O12134" s="24"/>
      <c r="P12134" s="24"/>
      <c r="Q12134" s="24"/>
      <c r="R12134" s="24"/>
      <c r="S12134" s="24"/>
      <c r="T12134" s="24"/>
      <c r="U12134" s="24"/>
      <c r="V12134" s="24"/>
      <c r="W12134" s="24"/>
      <c r="X12134" s="24"/>
      <c r="Y12134" s="24"/>
      <c r="Z12134" s="24"/>
      <c r="AA12134" s="24"/>
    </row>
    <row r="12135">
      <c r="A12135" s="24"/>
      <c r="B12135" s="25"/>
      <c r="C12135" s="24"/>
      <c r="D12135" s="26"/>
      <c r="E12135" s="24"/>
      <c r="F12135" s="24"/>
      <c r="G12135" s="24"/>
      <c r="H12135" s="24"/>
      <c r="I12135" s="24"/>
      <c r="J12135" s="24"/>
      <c r="K12135" s="24"/>
      <c r="L12135" s="24"/>
      <c r="M12135" s="24"/>
      <c r="N12135" s="24"/>
      <c r="O12135" s="24"/>
      <c r="P12135" s="24"/>
      <c r="Q12135" s="24"/>
      <c r="R12135" s="24"/>
      <c r="S12135" s="24"/>
      <c r="T12135" s="24"/>
      <c r="U12135" s="24"/>
      <c r="V12135" s="24"/>
      <c r="W12135" s="24"/>
      <c r="X12135" s="24"/>
      <c r="Y12135" s="24"/>
      <c r="Z12135" s="24"/>
      <c r="AA12135" s="24"/>
    </row>
    <row r="12136">
      <c r="A12136" s="24"/>
      <c r="B12136" s="25"/>
      <c r="C12136" s="24"/>
      <c r="D12136" s="26"/>
      <c r="E12136" s="24"/>
      <c r="F12136" s="24"/>
      <c r="G12136" s="24"/>
      <c r="H12136" s="24"/>
      <c r="I12136" s="24"/>
      <c r="J12136" s="24"/>
      <c r="K12136" s="24"/>
      <c r="L12136" s="24"/>
      <c r="M12136" s="24"/>
      <c r="N12136" s="24"/>
      <c r="O12136" s="24"/>
      <c r="P12136" s="24"/>
      <c r="Q12136" s="24"/>
      <c r="R12136" s="24"/>
      <c r="S12136" s="24"/>
      <c r="T12136" s="24"/>
      <c r="U12136" s="24"/>
      <c r="V12136" s="24"/>
      <c r="W12136" s="24"/>
      <c r="X12136" s="24"/>
      <c r="Y12136" s="24"/>
      <c r="Z12136" s="24"/>
      <c r="AA12136" s="24"/>
    </row>
    <row r="12137">
      <c r="A12137" s="24"/>
      <c r="B12137" s="25"/>
      <c r="C12137" s="24"/>
      <c r="D12137" s="26"/>
      <c r="E12137" s="24"/>
      <c r="F12137" s="24"/>
      <c r="G12137" s="24"/>
      <c r="H12137" s="24"/>
      <c r="I12137" s="24"/>
      <c r="J12137" s="24"/>
      <c r="K12137" s="24"/>
      <c r="L12137" s="24"/>
      <c r="M12137" s="24"/>
      <c r="N12137" s="24"/>
      <c r="O12137" s="24"/>
      <c r="P12137" s="24"/>
      <c r="Q12137" s="24"/>
      <c r="R12137" s="24"/>
      <c r="S12137" s="24"/>
      <c r="T12137" s="24"/>
      <c r="U12137" s="24"/>
      <c r="V12137" s="24"/>
      <c r="W12137" s="24"/>
      <c r="X12137" s="24"/>
      <c r="Y12137" s="24"/>
      <c r="Z12137" s="24"/>
      <c r="AA12137" s="24"/>
    </row>
    <row r="12138">
      <c r="A12138" s="24"/>
      <c r="B12138" s="25"/>
      <c r="C12138" s="24"/>
      <c r="D12138" s="26"/>
      <c r="E12138" s="24"/>
      <c r="F12138" s="24"/>
      <c r="G12138" s="24"/>
      <c r="H12138" s="24"/>
      <c r="I12138" s="24"/>
      <c r="J12138" s="24"/>
      <c r="K12138" s="24"/>
      <c r="L12138" s="24"/>
      <c r="M12138" s="24"/>
      <c r="N12138" s="24"/>
      <c r="O12138" s="24"/>
      <c r="P12138" s="24"/>
      <c r="Q12138" s="24"/>
      <c r="R12138" s="24"/>
      <c r="S12138" s="24"/>
      <c r="T12138" s="24"/>
      <c r="U12138" s="24"/>
      <c r="V12138" s="24"/>
      <c r="W12138" s="24"/>
      <c r="X12138" s="24"/>
      <c r="Y12138" s="24"/>
      <c r="Z12138" s="24"/>
      <c r="AA12138" s="24"/>
    </row>
    <row r="12139">
      <c r="A12139" s="24"/>
      <c r="B12139" s="25"/>
      <c r="C12139" s="24"/>
      <c r="D12139" s="26"/>
      <c r="E12139" s="24"/>
      <c r="F12139" s="24"/>
      <c r="G12139" s="24"/>
      <c r="H12139" s="24"/>
      <c r="I12139" s="24"/>
      <c r="J12139" s="24"/>
      <c r="K12139" s="24"/>
      <c r="L12139" s="24"/>
      <c r="M12139" s="24"/>
      <c r="N12139" s="24"/>
      <c r="O12139" s="24"/>
      <c r="P12139" s="24"/>
      <c r="Q12139" s="24"/>
      <c r="R12139" s="24"/>
      <c r="S12139" s="24"/>
      <c r="T12139" s="24"/>
      <c r="U12139" s="24"/>
      <c r="V12139" s="24"/>
      <c r="W12139" s="24"/>
      <c r="X12139" s="24"/>
      <c r="Y12139" s="24"/>
      <c r="Z12139" s="24"/>
      <c r="AA12139" s="24"/>
    </row>
    <row r="12140">
      <c r="A12140" s="24"/>
      <c r="B12140" s="25"/>
      <c r="C12140" s="24"/>
      <c r="D12140" s="26"/>
      <c r="E12140" s="24"/>
      <c r="F12140" s="24"/>
      <c r="G12140" s="24"/>
      <c r="H12140" s="24"/>
      <c r="I12140" s="24"/>
      <c r="J12140" s="24"/>
      <c r="K12140" s="24"/>
      <c r="L12140" s="24"/>
      <c r="M12140" s="24"/>
      <c r="N12140" s="24"/>
      <c r="O12140" s="24"/>
      <c r="P12140" s="24"/>
      <c r="Q12140" s="24"/>
      <c r="R12140" s="24"/>
      <c r="S12140" s="24"/>
      <c r="T12140" s="24"/>
      <c r="U12140" s="24"/>
      <c r="V12140" s="24"/>
      <c r="W12140" s="24"/>
      <c r="X12140" s="24"/>
      <c r="Y12140" s="24"/>
      <c r="Z12140" s="24"/>
      <c r="AA12140" s="24"/>
    </row>
    <row r="12141">
      <c r="A12141" s="24"/>
      <c r="B12141" s="25"/>
      <c r="C12141" s="24"/>
      <c r="D12141" s="26"/>
      <c r="E12141" s="24"/>
      <c r="F12141" s="24"/>
      <c r="G12141" s="24"/>
      <c r="H12141" s="24"/>
      <c r="I12141" s="24"/>
      <c r="J12141" s="24"/>
      <c r="K12141" s="24"/>
      <c r="L12141" s="24"/>
      <c r="M12141" s="24"/>
      <c r="N12141" s="24"/>
      <c r="O12141" s="24"/>
      <c r="P12141" s="24"/>
      <c r="Q12141" s="24"/>
      <c r="R12141" s="24"/>
      <c r="S12141" s="24"/>
      <c r="T12141" s="24"/>
      <c r="U12141" s="24"/>
      <c r="V12141" s="24"/>
      <c r="W12141" s="24"/>
      <c r="X12141" s="24"/>
      <c r="Y12141" s="24"/>
      <c r="Z12141" s="24"/>
      <c r="AA12141" s="24"/>
    </row>
    <row r="12142">
      <c r="A12142" s="24"/>
      <c r="B12142" s="25"/>
      <c r="C12142" s="24"/>
      <c r="D12142" s="26"/>
      <c r="E12142" s="24"/>
      <c r="F12142" s="24"/>
      <c r="G12142" s="24"/>
      <c r="H12142" s="24"/>
      <c r="I12142" s="24"/>
      <c r="J12142" s="24"/>
      <c r="K12142" s="24"/>
      <c r="L12142" s="24"/>
      <c r="M12142" s="24"/>
      <c r="N12142" s="24"/>
      <c r="O12142" s="24"/>
      <c r="P12142" s="24"/>
      <c r="Q12142" s="24"/>
      <c r="R12142" s="24"/>
      <c r="S12142" s="24"/>
      <c r="T12142" s="24"/>
      <c r="U12142" s="24"/>
      <c r="V12142" s="24"/>
      <c r="W12142" s="24"/>
      <c r="X12142" s="24"/>
      <c r="Y12142" s="24"/>
      <c r="Z12142" s="24"/>
      <c r="AA12142" s="24"/>
    </row>
    <row r="12143">
      <c r="A12143" s="24"/>
      <c r="B12143" s="25"/>
      <c r="C12143" s="24"/>
      <c r="D12143" s="26"/>
      <c r="E12143" s="24"/>
      <c r="F12143" s="24"/>
      <c r="G12143" s="24"/>
      <c r="H12143" s="24"/>
      <c r="I12143" s="24"/>
      <c r="J12143" s="24"/>
      <c r="K12143" s="24"/>
      <c r="L12143" s="24"/>
      <c r="M12143" s="24"/>
      <c r="N12143" s="24"/>
      <c r="O12143" s="24"/>
      <c r="P12143" s="24"/>
      <c r="Q12143" s="24"/>
      <c r="R12143" s="24"/>
      <c r="S12143" s="24"/>
      <c r="T12143" s="24"/>
      <c r="U12143" s="24"/>
      <c r="V12143" s="24"/>
      <c r="W12143" s="24"/>
      <c r="X12143" s="24"/>
      <c r="Y12143" s="24"/>
      <c r="Z12143" s="24"/>
      <c r="AA12143" s="24"/>
    </row>
    <row r="12144">
      <c r="A12144" s="24"/>
      <c r="B12144" s="25"/>
      <c r="C12144" s="24"/>
      <c r="D12144" s="26"/>
      <c r="E12144" s="24"/>
      <c r="F12144" s="24"/>
      <c r="G12144" s="24"/>
      <c r="H12144" s="24"/>
      <c r="I12144" s="24"/>
      <c r="J12144" s="24"/>
      <c r="K12144" s="24"/>
      <c r="L12144" s="24"/>
      <c r="M12144" s="24"/>
      <c r="N12144" s="24"/>
      <c r="O12144" s="24"/>
      <c r="P12144" s="24"/>
      <c r="Q12144" s="24"/>
      <c r="R12144" s="24"/>
      <c r="S12144" s="24"/>
      <c r="T12144" s="24"/>
      <c r="U12144" s="24"/>
      <c r="V12144" s="24"/>
      <c r="W12144" s="24"/>
      <c r="X12144" s="24"/>
      <c r="Y12144" s="24"/>
      <c r="Z12144" s="24"/>
      <c r="AA12144" s="24"/>
    </row>
    <row r="12145">
      <c r="A12145" s="24"/>
      <c r="B12145" s="25"/>
      <c r="C12145" s="24"/>
      <c r="D12145" s="26"/>
      <c r="E12145" s="24"/>
      <c r="F12145" s="24"/>
      <c r="G12145" s="24"/>
      <c r="H12145" s="24"/>
      <c r="I12145" s="24"/>
      <c r="J12145" s="24"/>
      <c r="K12145" s="24"/>
      <c r="L12145" s="24"/>
      <c r="M12145" s="24"/>
      <c r="N12145" s="24"/>
      <c r="O12145" s="24"/>
      <c r="P12145" s="24"/>
      <c r="Q12145" s="24"/>
      <c r="R12145" s="24"/>
      <c r="S12145" s="24"/>
      <c r="T12145" s="24"/>
      <c r="U12145" s="24"/>
      <c r="V12145" s="24"/>
      <c r="W12145" s="24"/>
      <c r="X12145" s="24"/>
      <c r="Y12145" s="24"/>
      <c r="Z12145" s="24"/>
      <c r="AA12145" s="24"/>
    </row>
    <row r="12146">
      <c r="A12146" s="24"/>
      <c r="B12146" s="25"/>
      <c r="C12146" s="24"/>
      <c r="D12146" s="26"/>
      <c r="E12146" s="24"/>
      <c r="F12146" s="24"/>
      <c r="G12146" s="24"/>
      <c r="H12146" s="24"/>
      <c r="I12146" s="24"/>
      <c r="J12146" s="24"/>
      <c r="K12146" s="24"/>
      <c r="L12146" s="24"/>
      <c r="M12146" s="24"/>
      <c r="N12146" s="24"/>
      <c r="O12146" s="24"/>
      <c r="P12146" s="24"/>
      <c r="Q12146" s="24"/>
      <c r="R12146" s="24"/>
      <c r="S12146" s="24"/>
      <c r="T12146" s="24"/>
      <c r="U12146" s="24"/>
      <c r="V12146" s="24"/>
      <c r="W12146" s="24"/>
      <c r="X12146" s="24"/>
      <c r="Y12146" s="24"/>
      <c r="Z12146" s="24"/>
      <c r="AA12146" s="24"/>
    </row>
    <row r="12147">
      <c r="A12147" s="24"/>
      <c r="B12147" s="25"/>
      <c r="C12147" s="24"/>
      <c r="D12147" s="26"/>
      <c r="E12147" s="24"/>
      <c r="F12147" s="24"/>
      <c r="G12147" s="24"/>
      <c r="H12147" s="24"/>
      <c r="I12147" s="24"/>
      <c r="J12147" s="24"/>
      <c r="K12147" s="24"/>
      <c r="L12147" s="24"/>
      <c r="M12147" s="24"/>
      <c r="N12147" s="24"/>
      <c r="O12147" s="24"/>
      <c r="P12147" s="24"/>
      <c r="Q12147" s="24"/>
      <c r="R12147" s="24"/>
      <c r="S12147" s="24"/>
      <c r="T12147" s="24"/>
      <c r="U12147" s="24"/>
      <c r="V12147" s="24"/>
      <c r="W12147" s="24"/>
      <c r="X12147" s="24"/>
      <c r="Y12147" s="24"/>
      <c r="Z12147" s="24"/>
      <c r="AA12147" s="24"/>
    </row>
    <row r="12148">
      <c r="A12148" s="24"/>
      <c r="B12148" s="25"/>
      <c r="C12148" s="24"/>
      <c r="D12148" s="26"/>
      <c r="E12148" s="24"/>
      <c r="F12148" s="24"/>
      <c r="G12148" s="24"/>
      <c r="H12148" s="24"/>
      <c r="I12148" s="24"/>
      <c r="J12148" s="24"/>
      <c r="K12148" s="24"/>
      <c r="L12148" s="24"/>
      <c r="M12148" s="24"/>
      <c r="N12148" s="24"/>
      <c r="O12148" s="24"/>
      <c r="P12148" s="24"/>
      <c r="Q12148" s="24"/>
      <c r="R12148" s="24"/>
      <c r="S12148" s="24"/>
      <c r="T12148" s="24"/>
      <c r="U12148" s="24"/>
      <c r="V12148" s="24"/>
      <c r="W12148" s="24"/>
      <c r="X12148" s="24"/>
      <c r="Y12148" s="24"/>
      <c r="Z12148" s="24"/>
      <c r="AA12148" s="24"/>
    </row>
    <row r="12149">
      <c r="A12149" s="24"/>
      <c r="B12149" s="25"/>
      <c r="C12149" s="24"/>
      <c r="D12149" s="26"/>
      <c r="E12149" s="24"/>
      <c r="F12149" s="24"/>
      <c r="G12149" s="24"/>
      <c r="H12149" s="24"/>
      <c r="I12149" s="24"/>
      <c r="J12149" s="24"/>
      <c r="K12149" s="24"/>
      <c r="L12149" s="24"/>
      <c r="M12149" s="24"/>
      <c r="N12149" s="24"/>
      <c r="O12149" s="24"/>
      <c r="P12149" s="24"/>
      <c r="Q12149" s="24"/>
      <c r="R12149" s="24"/>
      <c r="S12149" s="24"/>
      <c r="T12149" s="24"/>
      <c r="U12149" s="24"/>
      <c r="V12149" s="24"/>
      <c r="W12149" s="24"/>
      <c r="X12149" s="24"/>
      <c r="Y12149" s="24"/>
      <c r="Z12149" s="24"/>
      <c r="AA12149" s="24"/>
    </row>
    <row r="12150">
      <c r="A12150" s="24"/>
      <c r="B12150" s="25"/>
      <c r="C12150" s="24"/>
      <c r="D12150" s="26"/>
      <c r="E12150" s="24"/>
      <c r="F12150" s="24"/>
      <c r="G12150" s="24"/>
      <c r="H12150" s="24"/>
      <c r="I12150" s="24"/>
      <c r="J12150" s="24"/>
      <c r="K12150" s="24"/>
      <c r="L12150" s="24"/>
      <c r="M12150" s="24"/>
      <c r="N12150" s="24"/>
      <c r="O12150" s="24"/>
      <c r="P12150" s="24"/>
      <c r="Q12150" s="24"/>
      <c r="R12150" s="24"/>
      <c r="S12150" s="24"/>
      <c r="T12150" s="24"/>
      <c r="U12150" s="24"/>
      <c r="V12150" s="24"/>
      <c r="W12150" s="24"/>
      <c r="X12150" s="24"/>
      <c r="Y12150" s="24"/>
      <c r="Z12150" s="24"/>
      <c r="AA12150" s="24"/>
    </row>
    <row r="12151">
      <c r="A12151" s="24"/>
      <c r="B12151" s="25"/>
      <c r="C12151" s="24"/>
      <c r="D12151" s="26"/>
      <c r="E12151" s="24"/>
      <c r="F12151" s="24"/>
      <c r="G12151" s="24"/>
      <c r="H12151" s="24"/>
      <c r="I12151" s="24"/>
      <c r="J12151" s="24"/>
      <c r="K12151" s="24"/>
      <c r="L12151" s="24"/>
      <c r="M12151" s="24"/>
      <c r="N12151" s="24"/>
      <c r="O12151" s="24"/>
      <c r="P12151" s="24"/>
      <c r="Q12151" s="24"/>
      <c r="R12151" s="24"/>
      <c r="S12151" s="24"/>
      <c r="T12151" s="24"/>
      <c r="U12151" s="24"/>
      <c r="V12151" s="24"/>
      <c r="W12151" s="24"/>
      <c r="X12151" s="24"/>
      <c r="Y12151" s="24"/>
      <c r="Z12151" s="24"/>
      <c r="AA12151" s="24"/>
    </row>
    <row r="12152">
      <c r="A12152" s="24"/>
      <c r="B12152" s="25"/>
      <c r="C12152" s="24"/>
      <c r="D12152" s="26"/>
      <c r="E12152" s="24"/>
      <c r="F12152" s="24"/>
      <c r="G12152" s="24"/>
      <c r="H12152" s="24"/>
      <c r="I12152" s="24"/>
      <c r="J12152" s="24"/>
      <c r="K12152" s="24"/>
      <c r="L12152" s="24"/>
      <c r="M12152" s="24"/>
      <c r="N12152" s="24"/>
      <c r="O12152" s="24"/>
      <c r="P12152" s="24"/>
      <c r="Q12152" s="24"/>
      <c r="R12152" s="24"/>
      <c r="S12152" s="24"/>
      <c r="T12152" s="24"/>
      <c r="U12152" s="24"/>
      <c r="V12152" s="24"/>
      <c r="W12152" s="24"/>
      <c r="X12152" s="24"/>
      <c r="Y12152" s="24"/>
      <c r="Z12152" s="24"/>
      <c r="AA12152" s="24"/>
    </row>
    <row r="12153">
      <c r="A12153" s="24"/>
      <c r="B12153" s="25"/>
      <c r="C12153" s="24"/>
      <c r="D12153" s="26"/>
      <c r="E12153" s="24"/>
      <c r="F12153" s="24"/>
      <c r="G12153" s="24"/>
      <c r="H12153" s="24"/>
      <c r="I12153" s="24"/>
      <c r="J12153" s="24"/>
      <c r="K12153" s="24"/>
      <c r="L12153" s="24"/>
      <c r="M12153" s="24"/>
      <c r="N12153" s="24"/>
      <c r="O12153" s="24"/>
      <c r="P12153" s="24"/>
      <c r="Q12153" s="24"/>
      <c r="R12153" s="24"/>
      <c r="S12153" s="24"/>
      <c r="T12153" s="24"/>
      <c r="U12153" s="24"/>
      <c r="V12153" s="24"/>
      <c r="W12153" s="24"/>
      <c r="X12153" s="24"/>
      <c r="Y12153" s="24"/>
      <c r="Z12153" s="24"/>
      <c r="AA12153" s="24"/>
    </row>
    <row r="12154">
      <c r="A12154" s="24"/>
      <c r="B12154" s="25"/>
      <c r="C12154" s="24"/>
      <c r="D12154" s="26"/>
      <c r="E12154" s="24"/>
      <c r="F12154" s="24"/>
      <c r="G12154" s="24"/>
      <c r="H12154" s="24"/>
      <c r="I12154" s="24"/>
      <c r="J12154" s="24"/>
      <c r="K12154" s="24"/>
      <c r="L12154" s="24"/>
      <c r="M12154" s="24"/>
      <c r="N12154" s="24"/>
      <c r="O12154" s="24"/>
      <c r="P12154" s="24"/>
      <c r="Q12154" s="24"/>
      <c r="R12154" s="24"/>
      <c r="S12154" s="24"/>
      <c r="T12154" s="24"/>
      <c r="U12154" s="24"/>
      <c r="V12154" s="24"/>
      <c r="W12154" s="24"/>
      <c r="X12154" s="24"/>
      <c r="Y12154" s="24"/>
      <c r="Z12154" s="24"/>
      <c r="AA12154" s="24"/>
    </row>
    <row r="12155">
      <c r="A12155" s="24"/>
      <c r="B12155" s="25"/>
      <c r="C12155" s="24"/>
      <c r="D12155" s="26"/>
      <c r="E12155" s="24"/>
      <c r="F12155" s="24"/>
      <c r="G12155" s="24"/>
      <c r="H12155" s="24"/>
      <c r="I12155" s="24"/>
      <c r="J12155" s="24"/>
      <c r="K12155" s="24"/>
      <c r="L12155" s="24"/>
      <c r="M12155" s="24"/>
      <c r="N12155" s="24"/>
      <c r="O12155" s="24"/>
      <c r="P12155" s="24"/>
      <c r="Q12155" s="24"/>
      <c r="R12155" s="24"/>
      <c r="S12155" s="24"/>
      <c r="T12155" s="24"/>
      <c r="U12155" s="24"/>
      <c r="V12155" s="24"/>
      <c r="W12155" s="24"/>
      <c r="X12155" s="24"/>
      <c r="Y12155" s="24"/>
      <c r="Z12155" s="24"/>
      <c r="AA12155" s="24"/>
    </row>
    <row r="12156">
      <c r="A12156" s="24"/>
      <c r="B12156" s="25"/>
      <c r="C12156" s="24"/>
      <c r="D12156" s="26"/>
      <c r="E12156" s="24"/>
      <c r="F12156" s="24"/>
      <c r="G12156" s="24"/>
      <c r="H12156" s="24"/>
      <c r="I12156" s="24"/>
      <c r="J12156" s="24"/>
      <c r="K12156" s="24"/>
      <c r="L12156" s="24"/>
      <c r="M12156" s="24"/>
      <c r="N12156" s="24"/>
      <c r="O12156" s="24"/>
      <c r="P12156" s="24"/>
      <c r="Q12156" s="24"/>
      <c r="R12156" s="24"/>
      <c r="S12156" s="24"/>
      <c r="T12156" s="24"/>
      <c r="U12156" s="24"/>
      <c r="V12156" s="24"/>
      <c r="W12156" s="24"/>
      <c r="X12156" s="24"/>
      <c r="Y12156" s="24"/>
      <c r="Z12156" s="24"/>
      <c r="AA12156" s="24"/>
    </row>
    <row r="12157">
      <c r="A12157" s="24"/>
      <c r="B12157" s="25"/>
      <c r="C12157" s="24"/>
      <c r="D12157" s="26"/>
      <c r="E12157" s="24"/>
      <c r="F12157" s="24"/>
      <c r="G12157" s="24"/>
      <c r="H12157" s="24"/>
      <c r="I12157" s="24"/>
      <c r="J12157" s="24"/>
      <c r="K12157" s="24"/>
      <c r="L12157" s="24"/>
      <c r="M12157" s="24"/>
      <c r="N12157" s="24"/>
      <c r="O12157" s="24"/>
      <c r="P12157" s="24"/>
      <c r="Q12157" s="24"/>
      <c r="R12157" s="24"/>
      <c r="S12157" s="24"/>
      <c r="T12157" s="24"/>
      <c r="U12157" s="24"/>
      <c r="V12157" s="24"/>
      <c r="W12157" s="24"/>
      <c r="X12157" s="24"/>
      <c r="Y12157" s="24"/>
      <c r="Z12157" s="24"/>
      <c r="AA12157" s="24"/>
    </row>
    <row r="12158">
      <c r="A12158" s="24"/>
      <c r="B12158" s="25"/>
      <c r="C12158" s="24"/>
      <c r="D12158" s="26"/>
      <c r="E12158" s="24"/>
      <c r="F12158" s="24"/>
      <c r="G12158" s="24"/>
      <c r="H12158" s="24"/>
      <c r="I12158" s="24"/>
      <c r="J12158" s="24"/>
      <c r="K12158" s="24"/>
      <c r="L12158" s="24"/>
      <c r="M12158" s="24"/>
      <c r="N12158" s="24"/>
      <c r="O12158" s="24"/>
      <c r="P12158" s="24"/>
      <c r="Q12158" s="24"/>
      <c r="R12158" s="24"/>
      <c r="S12158" s="24"/>
      <c r="T12158" s="24"/>
      <c r="U12158" s="24"/>
      <c r="V12158" s="24"/>
      <c r="W12158" s="24"/>
      <c r="X12158" s="24"/>
      <c r="Y12158" s="24"/>
      <c r="Z12158" s="24"/>
      <c r="AA12158" s="24"/>
    </row>
    <row r="12159">
      <c r="A12159" s="24"/>
      <c r="B12159" s="25"/>
      <c r="C12159" s="24"/>
      <c r="D12159" s="26"/>
      <c r="E12159" s="24"/>
      <c r="F12159" s="24"/>
      <c r="G12159" s="24"/>
      <c r="H12159" s="24"/>
      <c r="I12159" s="24"/>
      <c r="J12159" s="24"/>
      <c r="K12159" s="24"/>
      <c r="L12159" s="24"/>
      <c r="M12159" s="24"/>
      <c r="N12159" s="24"/>
      <c r="O12159" s="24"/>
      <c r="P12159" s="24"/>
      <c r="Q12159" s="24"/>
      <c r="R12159" s="24"/>
      <c r="S12159" s="24"/>
      <c r="T12159" s="24"/>
      <c r="U12159" s="24"/>
      <c r="V12159" s="24"/>
      <c r="W12159" s="24"/>
      <c r="X12159" s="24"/>
      <c r="Y12159" s="24"/>
      <c r="Z12159" s="24"/>
      <c r="AA12159" s="24"/>
    </row>
    <row r="12160">
      <c r="A12160" s="24"/>
      <c r="B12160" s="25"/>
      <c r="C12160" s="24"/>
      <c r="D12160" s="26"/>
      <c r="E12160" s="24"/>
      <c r="F12160" s="24"/>
      <c r="G12160" s="24"/>
      <c r="H12160" s="24"/>
      <c r="I12160" s="24"/>
      <c r="J12160" s="24"/>
      <c r="K12160" s="24"/>
      <c r="L12160" s="24"/>
      <c r="M12160" s="24"/>
      <c r="N12160" s="24"/>
      <c r="O12160" s="24"/>
      <c r="P12160" s="24"/>
      <c r="Q12160" s="24"/>
      <c r="R12160" s="24"/>
      <c r="S12160" s="24"/>
      <c r="T12160" s="24"/>
      <c r="U12160" s="24"/>
      <c r="V12160" s="24"/>
      <c r="W12160" s="24"/>
      <c r="X12160" s="24"/>
      <c r="Y12160" s="24"/>
      <c r="Z12160" s="24"/>
      <c r="AA12160" s="24"/>
    </row>
    <row r="12161">
      <c r="A12161" s="24"/>
      <c r="B12161" s="25"/>
      <c r="C12161" s="24"/>
      <c r="D12161" s="26"/>
      <c r="E12161" s="24"/>
      <c r="F12161" s="24"/>
      <c r="G12161" s="24"/>
      <c r="H12161" s="24"/>
      <c r="I12161" s="24"/>
      <c r="J12161" s="24"/>
      <c r="K12161" s="24"/>
      <c r="L12161" s="24"/>
      <c r="M12161" s="24"/>
      <c r="N12161" s="24"/>
      <c r="O12161" s="24"/>
      <c r="P12161" s="24"/>
      <c r="Q12161" s="24"/>
      <c r="R12161" s="24"/>
      <c r="S12161" s="24"/>
      <c r="T12161" s="24"/>
      <c r="U12161" s="24"/>
      <c r="V12161" s="24"/>
      <c r="W12161" s="24"/>
      <c r="X12161" s="24"/>
      <c r="Y12161" s="24"/>
      <c r="Z12161" s="24"/>
      <c r="AA12161" s="24"/>
    </row>
    <row r="12162">
      <c r="A12162" s="24"/>
      <c r="B12162" s="25"/>
      <c r="C12162" s="24"/>
      <c r="D12162" s="26"/>
      <c r="E12162" s="24"/>
      <c r="F12162" s="24"/>
      <c r="G12162" s="24"/>
      <c r="H12162" s="24"/>
      <c r="I12162" s="24"/>
      <c r="J12162" s="24"/>
      <c r="K12162" s="24"/>
      <c r="L12162" s="24"/>
      <c r="M12162" s="24"/>
      <c r="N12162" s="24"/>
      <c r="O12162" s="24"/>
      <c r="P12162" s="24"/>
      <c r="Q12162" s="24"/>
      <c r="R12162" s="24"/>
      <c r="S12162" s="24"/>
      <c r="T12162" s="24"/>
      <c r="U12162" s="24"/>
      <c r="V12162" s="24"/>
      <c r="W12162" s="24"/>
      <c r="X12162" s="24"/>
      <c r="Y12162" s="24"/>
      <c r="Z12162" s="24"/>
      <c r="AA12162" s="24"/>
    </row>
    <row r="12163">
      <c r="A12163" s="24"/>
      <c r="B12163" s="25"/>
      <c r="C12163" s="24"/>
      <c r="D12163" s="26"/>
      <c r="E12163" s="24"/>
      <c r="F12163" s="24"/>
      <c r="G12163" s="24"/>
      <c r="H12163" s="24"/>
      <c r="I12163" s="24"/>
      <c r="J12163" s="24"/>
      <c r="K12163" s="24"/>
      <c r="L12163" s="24"/>
      <c r="M12163" s="24"/>
      <c r="N12163" s="24"/>
      <c r="O12163" s="24"/>
      <c r="P12163" s="24"/>
      <c r="Q12163" s="24"/>
      <c r="R12163" s="24"/>
      <c r="S12163" s="24"/>
      <c r="T12163" s="24"/>
      <c r="U12163" s="24"/>
      <c r="V12163" s="24"/>
      <c r="W12163" s="24"/>
      <c r="X12163" s="24"/>
      <c r="Y12163" s="24"/>
      <c r="Z12163" s="24"/>
      <c r="AA12163" s="24"/>
    </row>
    <row r="12164">
      <c r="A12164" s="24"/>
      <c r="B12164" s="25"/>
      <c r="C12164" s="24"/>
      <c r="D12164" s="26"/>
      <c r="E12164" s="24"/>
      <c r="F12164" s="24"/>
      <c r="G12164" s="24"/>
      <c r="H12164" s="24"/>
      <c r="I12164" s="24"/>
      <c r="J12164" s="24"/>
      <c r="K12164" s="24"/>
      <c r="L12164" s="24"/>
      <c r="M12164" s="24"/>
      <c r="N12164" s="24"/>
      <c r="O12164" s="24"/>
      <c r="P12164" s="24"/>
      <c r="Q12164" s="24"/>
      <c r="R12164" s="24"/>
      <c r="S12164" s="24"/>
      <c r="T12164" s="24"/>
      <c r="U12164" s="24"/>
      <c r="V12164" s="24"/>
      <c r="W12164" s="24"/>
      <c r="X12164" s="24"/>
      <c r="Y12164" s="24"/>
      <c r="Z12164" s="24"/>
      <c r="AA12164" s="24"/>
    </row>
    <row r="12165">
      <c r="A12165" s="24"/>
      <c r="B12165" s="25"/>
      <c r="C12165" s="24"/>
      <c r="D12165" s="26"/>
      <c r="E12165" s="24"/>
      <c r="F12165" s="24"/>
      <c r="G12165" s="24"/>
      <c r="H12165" s="24"/>
      <c r="I12165" s="24"/>
      <c r="J12165" s="24"/>
      <c r="K12165" s="24"/>
      <c r="L12165" s="24"/>
      <c r="M12165" s="24"/>
      <c r="N12165" s="24"/>
      <c r="O12165" s="24"/>
      <c r="P12165" s="24"/>
      <c r="Q12165" s="24"/>
      <c r="R12165" s="24"/>
      <c r="S12165" s="24"/>
      <c r="T12165" s="24"/>
      <c r="U12165" s="24"/>
      <c r="V12165" s="24"/>
      <c r="W12165" s="24"/>
      <c r="X12165" s="24"/>
      <c r="Y12165" s="24"/>
      <c r="Z12165" s="24"/>
      <c r="AA12165" s="24"/>
    </row>
    <row r="12166">
      <c r="A12166" s="24"/>
      <c r="B12166" s="25"/>
      <c r="C12166" s="24"/>
      <c r="D12166" s="26"/>
      <c r="E12166" s="24"/>
      <c r="F12166" s="24"/>
      <c r="G12166" s="24"/>
      <c r="H12166" s="24"/>
      <c r="I12166" s="24"/>
      <c r="J12166" s="24"/>
      <c r="K12166" s="24"/>
      <c r="L12166" s="24"/>
      <c r="M12166" s="24"/>
      <c r="N12166" s="24"/>
      <c r="O12166" s="24"/>
      <c r="P12166" s="24"/>
      <c r="Q12166" s="24"/>
      <c r="R12166" s="24"/>
      <c r="S12166" s="24"/>
      <c r="T12166" s="24"/>
      <c r="U12166" s="24"/>
      <c r="V12166" s="24"/>
      <c r="W12166" s="24"/>
      <c r="X12166" s="24"/>
      <c r="Y12166" s="24"/>
      <c r="Z12166" s="24"/>
      <c r="AA12166" s="24"/>
    </row>
    <row r="12167">
      <c r="A12167" s="24"/>
      <c r="B12167" s="25"/>
      <c r="C12167" s="24"/>
      <c r="D12167" s="26"/>
      <c r="E12167" s="24"/>
      <c r="F12167" s="24"/>
      <c r="G12167" s="24"/>
      <c r="H12167" s="24"/>
      <c r="I12167" s="24"/>
      <c r="J12167" s="24"/>
      <c r="K12167" s="24"/>
      <c r="L12167" s="24"/>
      <c r="M12167" s="24"/>
      <c r="N12167" s="24"/>
      <c r="O12167" s="24"/>
      <c r="P12167" s="24"/>
      <c r="Q12167" s="24"/>
      <c r="R12167" s="24"/>
      <c r="S12167" s="24"/>
      <c r="T12167" s="24"/>
      <c r="U12167" s="24"/>
      <c r="V12167" s="24"/>
      <c r="W12167" s="24"/>
      <c r="X12167" s="24"/>
      <c r="Y12167" s="24"/>
      <c r="Z12167" s="24"/>
      <c r="AA12167" s="24"/>
    </row>
    <row r="12168">
      <c r="A12168" s="24"/>
      <c r="B12168" s="25"/>
      <c r="C12168" s="24"/>
      <c r="D12168" s="26"/>
      <c r="E12168" s="24"/>
      <c r="F12168" s="24"/>
      <c r="G12168" s="24"/>
      <c r="H12168" s="24"/>
      <c r="I12168" s="24"/>
      <c r="J12168" s="24"/>
      <c r="K12168" s="24"/>
      <c r="L12168" s="24"/>
      <c r="M12168" s="24"/>
      <c r="N12168" s="24"/>
      <c r="O12168" s="24"/>
      <c r="P12168" s="24"/>
      <c r="Q12168" s="24"/>
      <c r="R12168" s="24"/>
      <c r="S12168" s="24"/>
      <c r="T12168" s="24"/>
      <c r="U12168" s="24"/>
      <c r="V12168" s="24"/>
      <c r="W12168" s="24"/>
      <c r="X12168" s="24"/>
      <c r="Y12168" s="24"/>
      <c r="Z12168" s="24"/>
      <c r="AA12168" s="24"/>
    </row>
    <row r="12169">
      <c r="A12169" s="24"/>
      <c r="B12169" s="25"/>
      <c r="C12169" s="24"/>
      <c r="D12169" s="26"/>
      <c r="E12169" s="24"/>
      <c r="F12169" s="24"/>
      <c r="G12169" s="24"/>
      <c r="H12169" s="24"/>
      <c r="I12169" s="24"/>
      <c r="J12169" s="24"/>
      <c r="K12169" s="24"/>
      <c r="L12169" s="24"/>
      <c r="M12169" s="24"/>
      <c r="N12169" s="24"/>
      <c r="O12169" s="24"/>
      <c r="P12169" s="24"/>
      <c r="Q12169" s="24"/>
      <c r="R12169" s="24"/>
      <c r="S12169" s="24"/>
      <c r="T12169" s="24"/>
      <c r="U12169" s="24"/>
      <c r="V12169" s="24"/>
      <c r="W12169" s="24"/>
      <c r="X12169" s="24"/>
      <c r="Y12169" s="24"/>
      <c r="Z12169" s="24"/>
      <c r="AA12169" s="24"/>
    </row>
    <row r="12170">
      <c r="A12170" s="24"/>
      <c r="B12170" s="25"/>
      <c r="C12170" s="24"/>
      <c r="D12170" s="26"/>
      <c r="E12170" s="24"/>
      <c r="F12170" s="24"/>
      <c r="G12170" s="24"/>
      <c r="H12170" s="24"/>
      <c r="I12170" s="24"/>
      <c r="J12170" s="24"/>
      <c r="K12170" s="24"/>
      <c r="L12170" s="24"/>
      <c r="M12170" s="24"/>
      <c r="N12170" s="24"/>
      <c r="O12170" s="24"/>
      <c r="P12170" s="24"/>
      <c r="Q12170" s="24"/>
      <c r="R12170" s="24"/>
      <c r="S12170" s="24"/>
      <c r="T12170" s="24"/>
      <c r="U12170" s="24"/>
      <c r="V12170" s="24"/>
      <c r="W12170" s="24"/>
      <c r="X12170" s="24"/>
      <c r="Y12170" s="24"/>
      <c r="Z12170" s="24"/>
      <c r="AA12170" s="24"/>
    </row>
    <row r="12171">
      <c r="A12171" s="24"/>
      <c r="B12171" s="25"/>
      <c r="C12171" s="24"/>
      <c r="D12171" s="26"/>
      <c r="E12171" s="24"/>
      <c r="F12171" s="24"/>
      <c r="G12171" s="24"/>
      <c r="H12171" s="24"/>
      <c r="I12171" s="24"/>
      <c r="J12171" s="24"/>
      <c r="K12171" s="24"/>
      <c r="L12171" s="24"/>
      <c r="M12171" s="24"/>
      <c r="N12171" s="24"/>
      <c r="O12171" s="24"/>
      <c r="P12171" s="24"/>
      <c r="Q12171" s="24"/>
      <c r="R12171" s="24"/>
      <c r="S12171" s="24"/>
      <c r="T12171" s="24"/>
      <c r="U12171" s="24"/>
      <c r="V12171" s="24"/>
      <c r="W12171" s="24"/>
      <c r="X12171" s="24"/>
      <c r="Y12171" s="24"/>
      <c r="Z12171" s="24"/>
      <c r="AA12171" s="24"/>
    </row>
    <row r="12172">
      <c r="A12172" s="24"/>
      <c r="B12172" s="25"/>
      <c r="C12172" s="24"/>
      <c r="D12172" s="26"/>
      <c r="E12172" s="24"/>
      <c r="F12172" s="24"/>
      <c r="G12172" s="24"/>
      <c r="H12172" s="24"/>
      <c r="I12172" s="24"/>
      <c r="J12172" s="24"/>
      <c r="K12172" s="24"/>
      <c r="L12172" s="24"/>
      <c r="M12172" s="24"/>
      <c r="N12172" s="24"/>
      <c r="O12172" s="24"/>
      <c r="P12172" s="24"/>
      <c r="Q12172" s="24"/>
      <c r="R12172" s="24"/>
      <c r="S12172" s="24"/>
      <c r="T12172" s="24"/>
      <c r="U12172" s="24"/>
      <c r="V12172" s="24"/>
      <c r="W12172" s="24"/>
      <c r="X12172" s="24"/>
      <c r="Y12172" s="24"/>
      <c r="Z12172" s="24"/>
      <c r="AA12172" s="24"/>
    </row>
    <row r="12173">
      <c r="A12173" s="24"/>
      <c r="B12173" s="25"/>
      <c r="C12173" s="24"/>
      <c r="D12173" s="26"/>
      <c r="E12173" s="24"/>
      <c r="F12173" s="24"/>
      <c r="G12173" s="24"/>
      <c r="H12173" s="24"/>
      <c r="I12173" s="24"/>
      <c r="J12173" s="24"/>
      <c r="K12173" s="24"/>
      <c r="L12173" s="24"/>
      <c r="M12173" s="24"/>
      <c r="N12173" s="24"/>
      <c r="O12173" s="24"/>
      <c r="P12173" s="24"/>
      <c r="Q12173" s="24"/>
      <c r="R12173" s="24"/>
      <c r="S12173" s="24"/>
      <c r="T12173" s="24"/>
      <c r="U12173" s="24"/>
      <c r="V12173" s="24"/>
      <c r="W12173" s="24"/>
      <c r="X12173" s="24"/>
      <c r="Y12173" s="24"/>
      <c r="Z12173" s="24"/>
      <c r="AA12173" s="24"/>
    </row>
    <row r="12174">
      <c r="A12174" s="24"/>
      <c r="B12174" s="25"/>
      <c r="C12174" s="24"/>
      <c r="D12174" s="26"/>
      <c r="E12174" s="24"/>
      <c r="F12174" s="24"/>
      <c r="G12174" s="24"/>
      <c r="H12174" s="24"/>
      <c r="I12174" s="24"/>
      <c r="J12174" s="24"/>
      <c r="K12174" s="24"/>
      <c r="L12174" s="24"/>
      <c r="M12174" s="24"/>
      <c r="N12174" s="24"/>
      <c r="O12174" s="24"/>
      <c r="P12174" s="24"/>
      <c r="Q12174" s="24"/>
      <c r="R12174" s="24"/>
      <c r="S12174" s="24"/>
      <c r="T12174" s="24"/>
      <c r="U12174" s="24"/>
      <c r="V12174" s="24"/>
      <c r="W12174" s="24"/>
      <c r="X12174" s="24"/>
      <c r="Y12174" s="24"/>
      <c r="Z12174" s="24"/>
      <c r="AA12174" s="24"/>
    </row>
    <row r="12175">
      <c r="A12175" s="24"/>
      <c r="B12175" s="25"/>
      <c r="C12175" s="24"/>
      <c r="D12175" s="26"/>
      <c r="E12175" s="24"/>
      <c r="F12175" s="24"/>
      <c r="G12175" s="24"/>
      <c r="H12175" s="24"/>
      <c r="I12175" s="24"/>
      <c r="J12175" s="24"/>
      <c r="K12175" s="24"/>
      <c r="L12175" s="24"/>
      <c r="M12175" s="24"/>
      <c r="N12175" s="24"/>
      <c r="O12175" s="24"/>
      <c r="P12175" s="24"/>
      <c r="Q12175" s="24"/>
      <c r="R12175" s="24"/>
      <c r="S12175" s="24"/>
      <c r="T12175" s="24"/>
      <c r="U12175" s="24"/>
      <c r="V12175" s="24"/>
      <c r="W12175" s="24"/>
      <c r="X12175" s="24"/>
      <c r="Y12175" s="24"/>
      <c r="Z12175" s="24"/>
      <c r="AA12175" s="24"/>
    </row>
    <row r="12176">
      <c r="A12176" s="24"/>
      <c r="B12176" s="25"/>
      <c r="C12176" s="24"/>
      <c r="D12176" s="26"/>
      <c r="E12176" s="24"/>
      <c r="F12176" s="24"/>
      <c r="G12176" s="24"/>
      <c r="H12176" s="24"/>
      <c r="I12176" s="24"/>
      <c r="J12176" s="24"/>
      <c r="K12176" s="24"/>
      <c r="L12176" s="24"/>
      <c r="M12176" s="24"/>
      <c r="N12176" s="24"/>
      <c r="O12176" s="24"/>
      <c r="P12176" s="24"/>
      <c r="Q12176" s="24"/>
      <c r="R12176" s="24"/>
      <c r="S12176" s="24"/>
      <c r="T12176" s="24"/>
      <c r="U12176" s="24"/>
      <c r="V12176" s="24"/>
      <c r="W12176" s="24"/>
      <c r="X12176" s="24"/>
      <c r="Y12176" s="24"/>
      <c r="Z12176" s="24"/>
      <c r="AA12176" s="24"/>
    </row>
    <row r="12177">
      <c r="A12177" s="24"/>
      <c r="B12177" s="25"/>
      <c r="C12177" s="24"/>
      <c r="D12177" s="26"/>
      <c r="E12177" s="24"/>
      <c r="F12177" s="24"/>
      <c r="G12177" s="24"/>
      <c r="H12177" s="24"/>
      <c r="I12177" s="24"/>
      <c r="J12177" s="24"/>
      <c r="K12177" s="24"/>
      <c r="L12177" s="24"/>
      <c r="M12177" s="24"/>
      <c r="N12177" s="24"/>
      <c r="O12177" s="24"/>
      <c r="P12177" s="24"/>
      <c r="Q12177" s="24"/>
      <c r="R12177" s="24"/>
      <c r="S12177" s="24"/>
      <c r="T12177" s="24"/>
      <c r="U12177" s="24"/>
      <c r="V12177" s="24"/>
      <c r="W12177" s="24"/>
      <c r="X12177" s="24"/>
      <c r="Y12177" s="24"/>
      <c r="Z12177" s="24"/>
      <c r="AA12177" s="24"/>
    </row>
    <row r="12178">
      <c r="A12178" s="24"/>
      <c r="B12178" s="25"/>
      <c r="C12178" s="24"/>
      <c r="D12178" s="26"/>
      <c r="E12178" s="24"/>
      <c r="F12178" s="24"/>
      <c r="G12178" s="24"/>
      <c r="H12178" s="24"/>
      <c r="I12178" s="24"/>
      <c r="J12178" s="24"/>
      <c r="K12178" s="24"/>
      <c r="L12178" s="24"/>
      <c r="M12178" s="24"/>
      <c r="N12178" s="24"/>
      <c r="O12178" s="24"/>
      <c r="P12178" s="24"/>
      <c r="Q12178" s="24"/>
      <c r="R12178" s="24"/>
      <c r="S12178" s="24"/>
      <c r="T12178" s="24"/>
      <c r="U12178" s="24"/>
      <c r="V12178" s="24"/>
      <c r="W12178" s="24"/>
      <c r="X12178" s="24"/>
      <c r="Y12178" s="24"/>
      <c r="Z12178" s="24"/>
      <c r="AA12178" s="24"/>
    </row>
    <row r="12179">
      <c r="A12179" s="24"/>
      <c r="B12179" s="25"/>
      <c r="C12179" s="24"/>
      <c r="D12179" s="26"/>
      <c r="E12179" s="24"/>
      <c r="F12179" s="24"/>
      <c r="G12179" s="24"/>
      <c r="H12179" s="24"/>
      <c r="I12179" s="24"/>
      <c r="J12179" s="24"/>
      <c r="K12179" s="24"/>
      <c r="L12179" s="24"/>
      <c r="M12179" s="24"/>
      <c r="N12179" s="24"/>
      <c r="O12179" s="24"/>
      <c r="P12179" s="24"/>
      <c r="Q12179" s="24"/>
      <c r="R12179" s="24"/>
      <c r="S12179" s="24"/>
      <c r="T12179" s="24"/>
      <c r="U12179" s="24"/>
      <c r="V12179" s="24"/>
      <c r="W12179" s="24"/>
      <c r="X12179" s="24"/>
      <c r="Y12179" s="24"/>
      <c r="Z12179" s="24"/>
      <c r="AA12179" s="24"/>
    </row>
    <row r="12180">
      <c r="A12180" s="24"/>
      <c r="B12180" s="25"/>
      <c r="C12180" s="24"/>
      <c r="D12180" s="26"/>
      <c r="E12180" s="24"/>
      <c r="F12180" s="24"/>
      <c r="G12180" s="24"/>
      <c r="H12180" s="24"/>
      <c r="I12180" s="24"/>
      <c r="J12180" s="24"/>
      <c r="K12180" s="24"/>
      <c r="L12180" s="24"/>
      <c r="M12180" s="24"/>
      <c r="N12180" s="24"/>
      <c r="O12180" s="24"/>
      <c r="P12180" s="24"/>
      <c r="Q12180" s="24"/>
      <c r="R12180" s="24"/>
      <c r="S12180" s="24"/>
      <c r="T12180" s="24"/>
      <c r="U12180" s="24"/>
      <c r="V12180" s="24"/>
      <c r="W12180" s="24"/>
      <c r="X12180" s="24"/>
      <c r="Y12180" s="24"/>
      <c r="Z12180" s="24"/>
      <c r="AA12180" s="24"/>
    </row>
    <row r="12181">
      <c r="A12181" s="24"/>
      <c r="B12181" s="25"/>
      <c r="C12181" s="24"/>
      <c r="D12181" s="26"/>
      <c r="E12181" s="24"/>
      <c r="F12181" s="24"/>
      <c r="G12181" s="24"/>
      <c r="H12181" s="24"/>
      <c r="I12181" s="24"/>
      <c r="J12181" s="24"/>
      <c r="K12181" s="24"/>
      <c r="L12181" s="24"/>
      <c r="M12181" s="24"/>
      <c r="N12181" s="24"/>
      <c r="O12181" s="24"/>
      <c r="P12181" s="24"/>
      <c r="Q12181" s="24"/>
      <c r="R12181" s="24"/>
      <c r="S12181" s="24"/>
      <c r="T12181" s="24"/>
      <c r="U12181" s="24"/>
      <c r="V12181" s="24"/>
      <c r="W12181" s="24"/>
      <c r="X12181" s="24"/>
      <c r="Y12181" s="24"/>
      <c r="Z12181" s="24"/>
      <c r="AA12181" s="24"/>
    </row>
    <row r="12182">
      <c r="A12182" s="24"/>
      <c r="B12182" s="25"/>
      <c r="C12182" s="24"/>
      <c r="D12182" s="26"/>
      <c r="E12182" s="24"/>
      <c r="F12182" s="24"/>
      <c r="G12182" s="24"/>
      <c r="H12182" s="24"/>
      <c r="I12182" s="24"/>
      <c r="J12182" s="24"/>
      <c r="K12182" s="24"/>
      <c r="L12182" s="24"/>
      <c r="M12182" s="24"/>
      <c r="N12182" s="24"/>
      <c r="O12182" s="24"/>
      <c r="P12182" s="24"/>
      <c r="Q12182" s="24"/>
      <c r="R12182" s="24"/>
      <c r="S12182" s="24"/>
      <c r="T12182" s="24"/>
      <c r="U12182" s="24"/>
      <c r="V12182" s="24"/>
      <c r="W12182" s="24"/>
      <c r="X12182" s="24"/>
      <c r="Y12182" s="24"/>
      <c r="Z12182" s="24"/>
      <c r="AA12182" s="24"/>
    </row>
    <row r="12183">
      <c r="A12183" s="24"/>
      <c r="B12183" s="25"/>
      <c r="C12183" s="24"/>
      <c r="D12183" s="26"/>
      <c r="E12183" s="24"/>
      <c r="F12183" s="24"/>
      <c r="G12183" s="24"/>
      <c r="H12183" s="24"/>
      <c r="I12183" s="24"/>
      <c r="J12183" s="24"/>
      <c r="K12183" s="24"/>
      <c r="L12183" s="24"/>
      <c r="M12183" s="24"/>
      <c r="N12183" s="24"/>
      <c r="O12183" s="24"/>
      <c r="P12183" s="24"/>
      <c r="Q12183" s="24"/>
      <c r="R12183" s="24"/>
      <c r="S12183" s="24"/>
      <c r="T12183" s="24"/>
      <c r="U12183" s="24"/>
      <c r="V12183" s="24"/>
      <c r="W12183" s="24"/>
      <c r="X12183" s="24"/>
      <c r="Y12183" s="24"/>
      <c r="Z12183" s="24"/>
      <c r="AA12183" s="24"/>
    </row>
    <row r="12184">
      <c r="A12184" s="24"/>
      <c r="B12184" s="25"/>
      <c r="C12184" s="24"/>
      <c r="D12184" s="26"/>
      <c r="E12184" s="24"/>
      <c r="F12184" s="24"/>
      <c r="G12184" s="24"/>
      <c r="H12184" s="24"/>
      <c r="I12184" s="24"/>
      <c r="J12184" s="24"/>
      <c r="K12184" s="24"/>
      <c r="L12184" s="24"/>
      <c r="M12184" s="24"/>
      <c r="N12184" s="24"/>
      <c r="O12184" s="24"/>
      <c r="P12184" s="24"/>
      <c r="Q12184" s="24"/>
      <c r="R12184" s="24"/>
      <c r="S12184" s="24"/>
      <c r="T12184" s="24"/>
      <c r="U12184" s="24"/>
      <c r="V12184" s="24"/>
      <c r="W12184" s="24"/>
      <c r="X12184" s="24"/>
      <c r="Y12184" s="24"/>
      <c r="Z12184" s="24"/>
      <c r="AA12184" s="24"/>
    </row>
    <row r="12185">
      <c r="A12185" s="24"/>
      <c r="B12185" s="25"/>
      <c r="C12185" s="24"/>
      <c r="D12185" s="26"/>
      <c r="E12185" s="24"/>
      <c r="F12185" s="24"/>
      <c r="G12185" s="24"/>
      <c r="H12185" s="24"/>
      <c r="I12185" s="24"/>
      <c r="J12185" s="24"/>
      <c r="K12185" s="24"/>
      <c r="L12185" s="24"/>
      <c r="M12185" s="24"/>
      <c r="N12185" s="24"/>
      <c r="O12185" s="24"/>
      <c r="P12185" s="24"/>
      <c r="Q12185" s="24"/>
      <c r="R12185" s="24"/>
      <c r="S12185" s="24"/>
      <c r="T12185" s="24"/>
      <c r="U12185" s="24"/>
      <c r="V12185" s="24"/>
      <c r="W12185" s="24"/>
      <c r="X12185" s="24"/>
      <c r="Y12185" s="24"/>
      <c r="Z12185" s="24"/>
      <c r="AA12185" s="24"/>
    </row>
    <row r="12186">
      <c r="A12186" s="24"/>
      <c r="B12186" s="25"/>
      <c r="C12186" s="24"/>
      <c r="D12186" s="26"/>
      <c r="E12186" s="24"/>
      <c r="F12186" s="24"/>
      <c r="G12186" s="24"/>
      <c r="H12186" s="24"/>
      <c r="I12186" s="24"/>
      <c r="J12186" s="24"/>
      <c r="K12186" s="24"/>
      <c r="L12186" s="24"/>
      <c r="M12186" s="24"/>
      <c r="N12186" s="24"/>
      <c r="O12186" s="24"/>
      <c r="P12186" s="24"/>
      <c r="Q12186" s="24"/>
      <c r="R12186" s="24"/>
      <c r="S12186" s="24"/>
      <c r="T12186" s="24"/>
      <c r="U12186" s="24"/>
      <c r="V12186" s="24"/>
      <c r="W12186" s="24"/>
      <c r="X12186" s="24"/>
      <c r="Y12186" s="24"/>
      <c r="Z12186" s="24"/>
      <c r="AA12186" s="24"/>
    </row>
    <row r="12187">
      <c r="A12187" s="24"/>
      <c r="B12187" s="25"/>
      <c r="C12187" s="24"/>
      <c r="D12187" s="26"/>
      <c r="E12187" s="24"/>
      <c r="F12187" s="24"/>
      <c r="G12187" s="24"/>
      <c r="H12187" s="24"/>
      <c r="I12187" s="24"/>
      <c r="J12187" s="24"/>
      <c r="K12187" s="24"/>
      <c r="L12187" s="24"/>
      <c r="M12187" s="24"/>
      <c r="N12187" s="24"/>
      <c r="O12187" s="24"/>
      <c r="P12187" s="24"/>
      <c r="Q12187" s="24"/>
      <c r="R12187" s="24"/>
      <c r="S12187" s="24"/>
      <c r="T12187" s="24"/>
      <c r="U12187" s="24"/>
      <c r="V12187" s="24"/>
      <c r="W12187" s="24"/>
      <c r="X12187" s="24"/>
      <c r="Y12187" s="24"/>
      <c r="Z12187" s="24"/>
      <c r="AA12187" s="24"/>
    </row>
    <row r="12188">
      <c r="A12188" s="24"/>
      <c r="B12188" s="25"/>
      <c r="C12188" s="24"/>
      <c r="D12188" s="26"/>
      <c r="E12188" s="24"/>
      <c r="F12188" s="24"/>
      <c r="G12188" s="24"/>
      <c r="H12188" s="24"/>
      <c r="I12188" s="24"/>
      <c r="J12188" s="24"/>
      <c r="K12188" s="24"/>
      <c r="L12188" s="24"/>
      <c r="M12188" s="24"/>
      <c r="N12188" s="24"/>
      <c r="O12188" s="24"/>
      <c r="P12188" s="24"/>
      <c r="Q12188" s="24"/>
      <c r="R12188" s="24"/>
      <c r="S12188" s="24"/>
      <c r="T12188" s="24"/>
      <c r="U12188" s="24"/>
      <c r="V12188" s="24"/>
      <c r="W12188" s="24"/>
      <c r="X12188" s="24"/>
      <c r="Y12188" s="24"/>
      <c r="Z12188" s="24"/>
      <c r="AA12188" s="24"/>
    </row>
    <row r="12189">
      <c r="A12189" s="24"/>
      <c r="B12189" s="25"/>
      <c r="C12189" s="24"/>
      <c r="D12189" s="26"/>
      <c r="E12189" s="24"/>
      <c r="F12189" s="24"/>
      <c r="G12189" s="24"/>
      <c r="H12189" s="24"/>
      <c r="I12189" s="24"/>
      <c r="J12189" s="24"/>
      <c r="K12189" s="24"/>
      <c r="L12189" s="24"/>
      <c r="M12189" s="24"/>
      <c r="N12189" s="24"/>
      <c r="O12189" s="24"/>
      <c r="P12189" s="24"/>
      <c r="Q12189" s="24"/>
      <c r="R12189" s="24"/>
      <c r="S12189" s="24"/>
      <c r="T12189" s="24"/>
      <c r="U12189" s="24"/>
      <c r="V12189" s="24"/>
      <c r="W12189" s="24"/>
      <c r="X12189" s="24"/>
      <c r="Y12189" s="24"/>
      <c r="Z12189" s="24"/>
      <c r="AA12189" s="24"/>
    </row>
    <row r="12190">
      <c r="A12190" s="24"/>
      <c r="B12190" s="25"/>
      <c r="C12190" s="24"/>
      <c r="D12190" s="26"/>
      <c r="E12190" s="24"/>
      <c r="F12190" s="24"/>
      <c r="G12190" s="24"/>
      <c r="H12190" s="24"/>
      <c r="I12190" s="24"/>
      <c r="J12190" s="24"/>
      <c r="K12190" s="24"/>
      <c r="L12190" s="24"/>
      <c r="M12190" s="24"/>
      <c r="N12190" s="24"/>
      <c r="O12190" s="24"/>
      <c r="P12190" s="24"/>
      <c r="Q12190" s="24"/>
      <c r="R12190" s="24"/>
      <c r="S12190" s="24"/>
      <c r="T12190" s="24"/>
      <c r="U12190" s="24"/>
      <c r="V12190" s="24"/>
      <c r="W12190" s="24"/>
      <c r="X12190" s="24"/>
      <c r="Y12190" s="24"/>
      <c r="Z12190" s="24"/>
      <c r="AA12190" s="24"/>
    </row>
    <row r="12191">
      <c r="A12191" s="24"/>
      <c r="B12191" s="25"/>
      <c r="C12191" s="24"/>
      <c r="D12191" s="26"/>
      <c r="E12191" s="24"/>
      <c r="F12191" s="24"/>
      <c r="G12191" s="24"/>
      <c r="H12191" s="24"/>
      <c r="I12191" s="24"/>
      <c r="J12191" s="24"/>
      <c r="K12191" s="24"/>
      <c r="L12191" s="24"/>
      <c r="M12191" s="24"/>
      <c r="N12191" s="24"/>
      <c r="O12191" s="24"/>
      <c r="P12191" s="24"/>
      <c r="Q12191" s="24"/>
      <c r="R12191" s="24"/>
      <c r="S12191" s="24"/>
      <c r="T12191" s="24"/>
      <c r="U12191" s="24"/>
      <c r="V12191" s="24"/>
      <c r="W12191" s="24"/>
      <c r="X12191" s="24"/>
      <c r="Y12191" s="24"/>
      <c r="Z12191" s="24"/>
      <c r="AA12191" s="24"/>
    </row>
    <row r="12192">
      <c r="A12192" s="24"/>
      <c r="B12192" s="25"/>
      <c r="C12192" s="24"/>
      <c r="D12192" s="26"/>
      <c r="E12192" s="24"/>
      <c r="F12192" s="24"/>
      <c r="G12192" s="24"/>
      <c r="H12192" s="24"/>
      <c r="I12192" s="24"/>
      <c r="J12192" s="24"/>
      <c r="K12192" s="24"/>
      <c r="L12192" s="24"/>
      <c r="M12192" s="24"/>
      <c r="N12192" s="24"/>
      <c r="O12192" s="24"/>
      <c r="P12192" s="24"/>
      <c r="Q12192" s="24"/>
      <c r="R12192" s="24"/>
      <c r="S12192" s="24"/>
      <c r="T12192" s="24"/>
      <c r="U12192" s="24"/>
      <c r="V12192" s="24"/>
      <c r="W12192" s="24"/>
      <c r="X12192" s="24"/>
      <c r="Y12192" s="24"/>
      <c r="Z12192" s="24"/>
      <c r="AA12192" s="24"/>
    </row>
    <row r="12193">
      <c r="A12193" s="24"/>
      <c r="B12193" s="25"/>
      <c r="C12193" s="24"/>
      <c r="D12193" s="26"/>
      <c r="E12193" s="24"/>
      <c r="F12193" s="24"/>
      <c r="G12193" s="24"/>
      <c r="H12193" s="24"/>
      <c r="I12193" s="24"/>
      <c r="J12193" s="24"/>
      <c r="K12193" s="24"/>
      <c r="L12193" s="24"/>
      <c r="M12193" s="24"/>
      <c r="N12193" s="24"/>
      <c r="O12193" s="24"/>
      <c r="P12193" s="24"/>
      <c r="Q12193" s="24"/>
      <c r="R12193" s="24"/>
      <c r="S12193" s="24"/>
      <c r="T12193" s="24"/>
      <c r="U12193" s="24"/>
      <c r="V12193" s="24"/>
      <c r="W12193" s="24"/>
      <c r="X12193" s="24"/>
      <c r="Y12193" s="24"/>
      <c r="Z12193" s="24"/>
      <c r="AA12193" s="24"/>
    </row>
    <row r="12194">
      <c r="A12194" s="24"/>
      <c r="B12194" s="25"/>
      <c r="C12194" s="24"/>
      <c r="D12194" s="26"/>
      <c r="E12194" s="24"/>
      <c r="F12194" s="24"/>
      <c r="G12194" s="24"/>
      <c r="H12194" s="24"/>
      <c r="I12194" s="24"/>
      <c r="J12194" s="24"/>
      <c r="K12194" s="24"/>
      <c r="L12194" s="24"/>
      <c r="M12194" s="24"/>
      <c r="N12194" s="24"/>
      <c r="O12194" s="24"/>
      <c r="P12194" s="24"/>
      <c r="Q12194" s="24"/>
      <c r="R12194" s="24"/>
      <c r="S12194" s="24"/>
      <c r="T12194" s="24"/>
      <c r="U12194" s="24"/>
      <c r="V12194" s="24"/>
      <c r="W12194" s="24"/>
      <c r="X12194" s="24"/>
      <c r="Y12194" s="24"/>
      <c r="Z12194" s="24"/>
      <c r="AA12194" s="24"/>
    </row>
    <row r="12195">
      <c r="A12195" s="24"/>
      <c r="B12195" s="25"/>
      <c r="C12195" s="24"/>
      <c r="D12195" s="26"/>
      <c r="E12195" s="24"/>
      <c r="F12195" s="24"/>
      <c r="G12195" s="24"/>
      <c r="H12195" s="24"/>
      <c r="I12195" s="24"/>
      <c r="J12195" s="24"/>
      <c r="K12195" s="24"/>
      <c r="L12195" s="24"/>
      <c r="M12195" s="24"/>
      <c r="N12195" s="24"/>
      <c r="O12195" s="24"/>
      <c r="P12195" s="24"/>
      <c r="Q12195" s="24"/>
      <c r="R12195" s="24"/>
      <c r="S12195" s="24"/>
      <c r="T12195" s="24"/>
      <c r="U12195" s="24"/>
      <c r="V12195" s="24"/>
      <c r="W12195" s="24"/>
      <c r="X12195" s="24"/>
      <c r="Y12195" s="24"/>
      <c r="Z12195" s="24"/>
      <c r="AA12195" s="24"/>
    </row>
    <row r="12196">
      <c r="A12196" s="24"/>
      <c r="B12196" s="25"/>
      <c r="C12196" s="24"/>
      <c r="D12196" s="26"/>
      <c r="E12196" s="24"/>
      <c r="F12196" s="24"/>
      <c r="G12196" s="24"/>
      <c r="H12196" s="24"/>
      <c r="I12196" s="24"/>
      <c r="J12196" s="24"/>
      <c r="K12196" s="24"/>
      <c r="L12196" s="24"/>
      <c r="M12196" s="24"/>
      <c r="N12196" s="24"/>
      <c r="O12196" s="24"/>
      <c r="P12196" s="24"/>
      <c r="Q12196" s="24"/>
      <c r="R12196" s="24"/>
      <c r="S12196" s="24"/>
      <c r="T12196" s="24"/>
      <c r="U12196" s="24"/>
      <c r="V12196" s="24"/>
      <c r="W12196" s="24"/>
      <c r="X12196" s="24"/>
      <c r="Y12196" s="24"/>
      <c r="Z12196" s="24"/>
      <c r="AA12196" s="24"/>
    </row>
    <row r="12197">
      <c r="A12197" s="24"/>
      <c r="B12197" s="25"/>
      <c r="C12197" s="24"/>
      <c r="D12197" s="26"/>
      <c r="E12197" s="24"/>
      <c r="F12197" s="24"/>
      <c r="G12197" s="24"/>
      <c r="H12197" s="24"/>
      <c r="I12197" s="24"/>
      <c r="J12197" s="24"/>
      <c r="K12197" s="24"/>
      <c r="L12197" s="24"/>
      <c r="M12197" s="24"/>
      <c r="N12197" s="24"/>
      <c r="O12197" s="24"/>
      <c r="P12197" s="24"/>
      <c r="Q12197" s="24"/>
      <c r="R12197" s="24"/>
      <c r="S12197" s="24"/>
      <c r="T12197" s="24"/>
      <c r="U12197" s="24"/>
      <c r="V12197" s="24"/>
      <c r="W12197" s="24"/>
      <c r="X12197" s="24"/>
      <c r="Y12197" s="24"/>
      <c r="Z12197" s="24"/>
      <c r="AA12197" s="24"/>
    </row>
    <row r="12198">
      <c r="A12198" s="24"/>
      <c r="B12198" s="25"/>
      <c r="C12198" s="24"/>
      <c r="D12198" s="26"/>
      <c r="E12198" s="24"/>
      <c r="F12198" s="24"/>
      <c r="G12198" s="24"/>
      <c r="H12198" s="24"/>
      <c r="I12198" s="24"/>
      <c r="J12198" s="24"/>
      <c r="K12198" s="24"/>
      <c r="L12198" s="24"/>
      <c r="M12198" s="24"/>
      <c r="N12198" s="24"/>
      <c r="O12198" s="24"/>
      <c r="P12198" s="24"/>
      <c r="Q12198" s="24"/>
      <c r="R12198" s="24"/>
      <c r="S12198" s="24"/>
      <c r="T12198" s="24"/>
      <c r="U12198" s="24"/>
      <c r="V12198" s="24"/>
      <c r="W12198" s="24"/>
      <c r="X12198" s="24"/>
      <c r="Y12198" s="24"/>
      <c r="Z12198" s="24"/>
      <c r="AA12198" s="24"/>
    </row>
    <row r="12199">
      <c r="A12199" s="24"/>
      <c r="B12199" s="25"/>
      <c r="C12199" s="24"/>
      <c r="D12199" s="26"/>
      <c r="E12199" s="24"/>
      <c r="F12199" s="24"/>
      <c r="G12199" s="24"/>
      <c r="H12199" s="24"/>
      <c r="I12199" s="24"/>
      <c r="J12199" s="24"/>
      <c r="K12199" s="24"/>
      <c r="L12199" s="24"/>
      <c r="M12199" s="24"/>
      <c r="N12199" s="24"/>
      <c r="O12199" s="24"/>
      <c r="P12199" s="24"/>
      <c r="Q12199" s="24"/>
      <c r="R12199" s="24"/>
      <c r="S12199" s="24"/>
      <c r="T12199" s="24"/>
      <c r="U12199" s="24"/>
      <c r="V12199" s="24"/>
      <c r="W12199" s="24"/>
      <c r="X12199" s="24"/>
      <c r="Y12199" s="24"/>
      <c r="Z12199" s="24"/>
      <c r="AA12199" s="24"/>
    </row>
    <row r="12200">
      <c r="A12200" s="24"/>
      <c r="B12200" s="25"/>
      <c r="C12200" s="24"/>
      <c r="D12200" s="26"/>
      <c r="E12200" s="24"/>
      <c r="F12200" s="24"/>
      <c r="G12200" s="24"/>
      <c r="H12200" s="24"/>
      <c r="I12200" s="24"/>
      <c r="J12200" s="24"/>
      <c r="K12200" s="24"/>
      <c r="L12200" s="24"/>
      <c r="M12200" s="24"/>
      <c r="N12200" s="24"/>
      <c r="O12200" s="24"/>
      <c r="P12200" s="24"/>
      <c r="Q12200" s="24"/>
      <c r="R12200" s="24"/>
      <c r="S12200" s="24"/>
      <c r="T12200" s="24"/>
      <c r="U12200" s="24"/>
      <c r="V12200" s="24"/>
      <c r="W12200" s="24"/>
      <c r="X12200" s="24"/>
      <c r="Y12200" s="24"/>
      <c r="Z12200" s="24"/>
      <c r="AA12200" s="24"/>
    </row>
    <row r="12201">
      <c r="A12201" s="24"/>
      <c r="B12201" s="25"/>
      <c r="C12201" s="24"/>
      <c r="D12201" s="26"/>
      <c r="E12201" s="24"/>
      <c r="F12201" s="24"/>
      <c r="G12201" s="24"/>
      <c r="H12201" s="24"/>
      <c r="I12201" s="24"/>
      <c r="J12201" s="24"/>
      <c r="K12201" s="24"/>
      <c r="L12201" s="24"/>
      <c r="M12201" s="24"/>
      <c r="N12201" s="24"/>
      <c r="O12201" s="24"/>
      <c r="P12201" s="24"/>
      <c r="Q12201" s="24"/>
      <c r="R12201" s="24"/>
      <c r="S12201" s="24"/>
      <c r="T12201" s="24"/>
      <c r="U12201" s="24"/>
      <c r="V12201" s="24"/>
      <c r="W12201" s="24"/>
      <c r="X12201" s="24"/>
      <c r="Y12201" s="24"/>
      <c r="Z12201" s="24"/>
      <c r="AA12201" s="24"/>
    </row>
    <row r="12202">
      <c r="A12202" s="24"/>
      <c r="B12202" s="25"/>
      <c r="C12202" s="24"/>
      <c r="D12202" s="26"/>
      <c r="E12202" s="24"/>
      <c r="F12202" s="24"/>
      <c r="G12202" s="24"/>
      <c r="H12202" s="24"/>
      <c r="I12202" s="24"/>
      <c r="J12202" s="24"/>
      <c r="K12202" s="24"/>
      <c r="L12202" s="24"/>
      <c r="M12202" s="24"/>
      <c r="N12202" s="24"/>
      <c r="O12202" s="24"/>
      <c r="P12202" s="24"/>
      <c r="Q12202" s="24"/>
      <c r="R12202" s="24"/>
      <c r="S12202" s="24"/>
      <c r="T12202" s="24"/>
      <c r="U12202" s="24"/>
      <c r="V12202" s="24"/>
      <c r="W12202" s="24"/>
      <c r="X12202" s="24"/>
      <c r="Y12202" s="24"/>
      <c r="Z12202" s="24"/>
      <c r="AA12202" s="24"/>
    </row>
    <row r="12203">
      <c r="A12203" s="24"/>
      <c r="B12203" s="25"/>
      <c r="C12203" s="24"/>
      <c r="D12203" s="26"/>
      <c r="E12203" s="24"/>
      <c r="F12203" s="24"/>
      <c r="G12203" s="24"/>
      <c r="H12203" s="24"/>
      <c r="I12203" s="24"/>
      <c r="J12203" s="24"/>
      <c r="K12203" s="24"/>
      <c r="L12203" s="24"/>
      <c r="M12203" s="24"/>
      <c r="N12203" s="24"/>
      <c r="O12203" s="24"/>
      <c r="P12203" s="24"/>
      <c r="Q12203" s="24"/>
      <c r="R12203" s="24"/>
      <c r="S12203" s="24"/>
      <c r="T12203" s="24"/>
      <c r="U12203" s="24"/>
      <c r="V12203" s="24"/>
      <c r="W12203" s="24"/>
      <c r="X12203" s="24"/>
      <c r="Y12203" s="24"/>
      <c r="Z12203" s="24"/>
      <c r="AA12203" s="24"/>
    </row>
    <row r="12204">
      <c r="A12204" s="24"/>
      <c r="B12204" s="25"/>
      <c r="C12204" s="24"/>
      <c r="D12204" s="26"/>
      <c r="E12204" s="24"/>
      <c r="F12204" s="24"/>
      <c r="G12204" s="24"/>
      <c r="H12204" s="24"/>
      <c r="I12204" s="24"/>
      <c r="J12204" s="24"/>
      <c r="K12204" s="24"/>
      <c r="L12204" s="24"/>
      <c r="M12204" s="24"/>
      <c r="N12204" s="24"/>
      <c r="O12204" s="24"/>
      <c r="P12204" s="24"/>
      <c r="Q12204" s="24"/>
      <c r="R12204" s="24"/>
      <c r="S12204" s="24"/>
      <c r="T12204" s="24"/>
      <c r="U12204" s="24"/>
      <c r="V12204" s="24"/>
      <c r="W12204" s="24"/>
      <c r="X12204" s="24"/>
      <c r="Y12204" s="24"/>
      <c r="Z12204" s="24"/>
      <c r="AA12204" s="24"/>
    </row>
    <row r="12205">
      <c r="A12205" s="24"/>
      <c r="B12205" s="25"/>
      <c r="C12205" s="24"/>
      <c r="D12205" s="26"/>
      <c r="E12205" s="24"/>
      <c r="F12205" s="24"/>
      <c r="G12205" s="24"/>
      <c r="H12205" s="24"/>
      <c r="I12205" s="24"/>
      <c r="J12205" s="24"/>
      <c r="K12205" s="24"/>
      <c r="L12205" s="24"/>
      <c r="M12205" s="24"/>
      <c r="N12205" s="24"/>
      <c r="O12205" s="24"/>
      <c r="P12205" s="24"/>
      <c r="Q12205" s="24"/>
      <c r="R12205" s="24"/>
      <c r="S12205" s="24"/>
      <c r="T12205" s="24"/>
      <c r="U12205" s="24"/>
      <c r="V12205" s="24"/>
      <c r="W12205" s="24"/>
      <c r="X12205" s="24"/>
      <c r="Y12205" s="24"/>
      <c r="Z12205" s="24"/>
      <c r="AA12205" s="24"/>
    </row>
    <row r="12206">
      <c r="A12206" s="24"/>
      <c r="B12206" s="25"/>
      <c r="C12206" s="24"/>
      <c r="D12206" s="26"/>
      <c r="E12206" s="24"/>
      <c r="F12206" s="24"/>
      <c r="G12206" s="24"/>
      <c r="H12206" s="24"/>
      <c r="I12206" s="24"/>
      <c r="J12206" s="24"/>
      <c r="K12206" s="24"/>
      <c r="L12206" s="24"/>
      <c r="M12206" s="24"/>
      <c r="N12206" s="24"/>
      <c r="O12206" s="24"/>
      <c r="P12206" s="24"/>
      <c r="Q12206" s="24"/>
      <c r="R12206" s="24"/>
      <c r="S12206" s="24"/>
      <c r="T12206" s="24"/>
      <c r="U12206" s="24"/>
      <c r="V12206" s="24"/>
      <c r="W12206" s="24"/>
      <c r="X12206" s="24"/>
      <c r="Y12206" s="24"/>
      <c r="Z12206" s="24"/>
      <c r="AA12206" s="24"/>
    </row>
    <row r="12207">
      <c r="A12207" s="24"/>
      <c r="B12207" s="25"/>
      <c r="C12207" s="24"/>
      <c r="D12207" s="26"/>
      <c r="E12207" s="24"/>
      <c r="F12207" s="24"/>
      <c r="G12207" s="24"/>
      <c r="H12207" s="24"/>
      <c r="I12207" s="24"/>
      <c r="J12207" s="24"/>
      <c r="K12207" s="24"/>
      <c r="L12207" s="24"/>
      <c r="M12207" s="24"/>
      <c r="N12207" s="24"/>
      <c r="O12207" s="24"/>
      <c r="P12207" s="24"/>
      <c r="Q12207" s="24"/>
      <c r="R12207" s="24"/>
      <c r="S12207" s="24"/>
      <c r="T12207" s="24"/>
      <c r="U12207" s="24"/>
      <c r="V12207" s="24"/>
      <c r="W12207" s="24"/>
      <c r="X12207" s="24"/>
      <c r="Y12207" s="24"/>
      <c r="Z12207" s="24"/>
      <c r="AA12207" s="24"/>
    </row>
    <row r="12208">
      <c r="A12208" s="24"/>
      <c r="B12208" s="25"/>
      <c r="C12208" s="24"/>
      <c r="D12208" s="26"/>
      <c r="E12208" s="24"/>
      <c r="F12208" s="24"/>
      <c r="G12208" s="24"/>
      <c r="H12208" s="24"/>
      <c r="I12208" s="24"/>
      <c r="J12208" s="24"/>
      <c r="K12208" s="24"/>
      <c r="L12208" s="24"/>
      <c r="M12208" s="24"/>
      <c r="N12208" s="24"/>
      <c r="O12208" s="24"/>
      <c r="P12208" s="24"/>
      <c r="Q12208" s="24"/>
      <c r="R12208" s="24"/>
      <c r="S12208" s="24"/>
      <c r="T12208" s="24"/>
      <c r="U12208" s="24"/>
      <c r="V12208" s="24"/>
      <c r="W12208" s="24"/>
      <c r="X12208" s="24"/>
      <c r="Y12208" s="24"/>
      <c r="Z12208" s="24"/>
      <c r="AA12208" s="24"/>
    </row>
    <row r="12209">
      <c r="A12209" s="24"/>
      <c r="B12209" s="25"/>
      <c r="C12209" s="24"/>
      <c r="D12209" s="26"/>
      <c r="E12209" s="24"/>
      <c r="F12209" s="24"/>
      <c r="G12209" s="24"/>
      <c r="H12209" s="24"/>
      <c r="I12209" s="24"/>
      <c r="J12209" s="24"/>
      <c r="K12209" s="24"/>
      <c r="L12209" s="24"/>
      <c r="M12209" s="24"/>
      <c r="N12209" s="24"/>
      <c r="O12209" s="24"/>
      <c r="P12209" s="24"/>
      <c r="Q12209" s="24"/>
      <c r="R12209" s="24"/>
      <c r="S12209" s="24"/>
      <c r="T12209" s="24"/>
      <c r="U12209" s="24"/>
      <c r="V12209" s="24"/>
      <c r="W12209" s="24"/>
      <c r="X12209" s="24"/>
      <c r="Y12209" s="24"/>
      <c r="Z12209" s="24"/>
      <c r="AA12209" s="24"/>
    </row>
    <row r="12210">
      <c r="A12210" s="24"/>
      <c r="B12210" s="25"/>
      <c r="C12210" s="24"/>
      <c r="D12210" s="26"/>
      <c r="E12210" s="24"/>
      <c r="F12210" s="24"/>
      <c r="G12210" s="24"/>
      <c r="H12210" s="24"/>
      <c r="I12210" s="24"/>
      <c r="J12210" s="24"/>
      <c r="K12210" s="24"/>
      <c r="L12210" s="24"/>
      <c r="M12210" s="24"/>
      <c r="N12210" s="24"/>
      <c r="O12210" s="24"/>
      <c r="P12210" s="24"/>
      <c r="Q12210" s="24"/>
      <c r="R12210" s="24"/>
      <c r="S12210" s="24"/>
      <c r="T12210" s="24"/>
      <c r="U12210" s="24"/>
      <c r="V12210" s="24"/>
      <c r="W12210" s="24"/>
      <c r="X12210" s="24"/>
      <c r="Y12210" s="24"/>
      <c r="Z12210" s="24"/>
      <c r="AA12210" s="24"/>
    </row>
    <row r="12211">
      <c r="A12211" s="24"/>
      <c r="B12211" s="25"/>
      <c r="C12211" s="24"/>
      <c r="D12211" s="26"/>
      <c r="E12211" s="24"/>
      <c r="F12211" s="24"/>
      <c r="G12211" s="24"/>
      <c r="H12211" s="24"/>
      <c r="I12211" s="24"/>
      <c r="J12211" s="24"/>
      <c r="K12211" s="24"/>
      <c r="L12211" s="24"/>
      <c r="M12211" s="24"/>
      <c r="N12211" s="24"/>
      <c r="O12211" s="24"/>
      <c r="P12211" s="24"/>
      <c r="Q12211" s="24"/>
      <c r="R12211" s="24"/>
      <c r="S12211" s="24"/>
      <c r="T12211" s="24"/>
      <c r="U12211" s="24"/>
      <c r="V12211" s="24"/>
      <c r="W12211" s="24"/>
      <c r="X12211" s="24"/>
      <c r="Y12211" s="24"/>
      <c r="Z12211" s="24"/>
      <c r="AA12211" s="24"/>
    </row>
    <row r="12212">
      <c r="A12212" s="24"/>
      <c r="B12212" s="25"/>
      <c r="C12212" s="24"/>
      <c r="D12212" s="26"/>
      <c r="E12212" s="24"/>
      <c r="F12212" s="24"/>
      <c r="G12212" s="24"/>
      <c r="H12212" s="24"/>
      <c r="I12212" s="24"/>
      <c r="J12212" s="24"/>
      <c r="K12212" s="24"/>
      <c r="L12212" s="24"/>
      <c r="M12212" s="24"/>
      <c r="N12212" s="24"/>
      <c r="O12212" s="24"/>
      <c r="P12212" s="24"/>
      <c r="Q12212" s="24"/>
      <c r="R12212" s="24"/>
      <c r="S12212" s="24"/>
      <c r="T12212" s="24"/>
      <c r="U12212" s="24"/>
      <c r="V12212" s="24"/>
      <c r="W12212" s="24"/>
      <c r="X12212" s="24"/>
      <c r="Y12212" s="24"/>
      <c r="Z12212" s="24"/>
      <c r="AA12212" s="24"/>
    </row>
    <row r="12213">
      <c r="A12213" s="24"/>
      <c r="B12213" s="25"/>
      <c r="C12213" s="24"/>
      <c r="D12213" s="26"/>
      <c r="E12213" s="24"/>
      <c r="F12213" s="24"/>
      <c r="G12213" s="24"/>
      <c r="H12213" s="24"/>
      <c r="I12213" s="24"/>
      <c r="J12213" s="24"/>
      <c r="K12213" s="24"/>
      <c r="L12213" s="24"/>
      <c r="M12213" s="24"/>
      <c r="N12213" s="24"/>
      <c r="O12213" s="24"/>
      <c r="P12213" s="24"/>
      <c r="Q12213" s="24"/>
      <c r="R12213" s="24"/>
      <c r="S12213" s="24"/>
      <c r="T12213" s="24"/>
      <c r="U12213" s="24"/>
      <c r="V12213" s="24"/>
      <c r="W12213" s="24"/>
      <c r="X12213" s="24"/>
      <c r="Y12213" s="24"/>
      <c r="Z12213" s="24"/>
      <c r="AA12213" s="24"/>
    </row>
    <row r="12214">
      <c r="A12214" s="24"/>
      <c r="B12214" s="25"/>
      <c r="C12214" s="24"/>
      <c r="D12214" s="26"/>
      <c r="E12214" s="24"/>
      <c r="F12214" s="24"/>
      <c r="G12214" s="24"/>
      <c r="H12214" s="24"/>
      <c r="I12214" s="24"/>
      <c r="J12214" s="24"/>
      <c r="K12214" s="24"/>
      <c r="L12214" s="24"/>
      <c r="M12214" s="24"/>
      <c r="N12214" s="24"/>
      <c r="O12214" s="24"/>
      <c r="P12214" s="24"/>
      <c r="Q12214" s="24"/>
      <c r="R12214" s="24"/>
      <c r="S12214" s="24"/>
      <c r="T12214" s="24"/>
      <c r="U12214" s="24"/>
      <c r="V12214" s="24"/>
      <c r="W12214" s="24"/>
      <c r="X12214" s="24"/>
      <c r="Y12214" s="24"/>
      <c r="Z12214" s="24"/>
      <c r="AA12214" s="24"/>
    </row>
    <row r="12215">
      <c r="A12215" s="24"/>
      <c r="B12215" s="25"/>
      <c r="C12215" s="24"/>
      <c r="D12215" s="26"/>
      <c r="E12215" s="24"/>
      <c r="F12215" s="24"/>
      <c r="G12215" s="24"/>
      <c r="H12215" s="24"/>
      <c r="I12215" s="24"/>
      <c r="J12215" s="24"/>
      <c r="K12215" s="24"/>
      <c r="L12215" s="24"/>
      <c r="M12215" s="24"/>
      <c r="N12215" s="24"/>
      <c r="O12215" s="24"/>
      <c r="P12215" s="24"/>
      <c r="Q12215" s="24"/>
      <c r="R12215" s="24"/>
      <c r="S12215" s="24"/>
      <c r="T12215" s="24"/>
      <c r="U12215" s="24"/>
      <c r="V12215" s="24"/>
      <c r="W12215" s="24"/>
      <c r="X12215" s="24"/>
      <c r="Y12215" s="24"/>
      <c r="Z12215" s="24"/>
      <c r="AA12215" s="24"/>
    </row>
    <row r="12216">
      <c r="A12216" s="24"/>
      <c r="B12216" s="25"/>
      <c r="C12216" s="24"/>
      <c r="D12216" s="26"/>
      <c r="E12216" s="24"/>
      <c r="F12216" s="24"/>
      <c r="G12216" s="24"/>
      <c r="H12216" s="24"/>
      <c r="I12216" s="24"/>
      <c r="J12216" s="24"/>
      <c r="K12216" s="24"/>
      <c r="L12216" s="24"/>
      <c r="M12216" s="24"/>
      <c r="N12216" s="24"/>
      <c r="O12216" s="24"/>
      <c r="P12216" s="24"/>
      <c r="Q12216" s="24"/>
      <c r="R12216" s="24"/>
      <c r="S12216" s="24"/>
      <c r="T12216" s="24"/>
      <c r="U12216" s="24"/>
      <c r="V12216" s="24"/>
      <c r="W12216" s="24"/>
      <c r="X12216" s="24"/>
      <c r="Y12216" s="24"/>
      <c r="Z12216" s="24"/>
      <c r="AA12216" s="24"/>
    </row>
    <row r="12217">
      <c r="A12217" s="24"/>
      <c r="B12217" s="25"/>
      <c r="C12217" s="24"/>
      <c r="D12217" s="26"/>
      <c r="E12217" s="24"/>
      <c r="F12217" s="24"/>
      <c r="G12217" s="24"/>
      <c r="H12217" s="24"/>
      <c r="I12217" s="24"/>
      <c r="J12217" s="24"/>
      <c r="K12217" s="24"/>
      <c r="L12217" s="24"/>
      <c r="M12217" s="24"/>
      <c r="N12217" s="24"/>
      <c r="O12217" s="24"/>
      <c r="P12217" s="24"/>
      <c r="Q12217" s="24"/>
      <c r="R12217" s="24"/>
      <c r="S12217" s="24"/>
      <c r="T12217" s="24"/>
      <c r="U12217" s="24"/>
      <c r="V12217" s="24"/>
      <c r="W12217" s="24"/>
      <c r="X12217" s="24"/>
      <c r="Y12217" s="24"/>
      <c r="Z12217" s="24"/>
      <c r="AA12217" s="24"/>
    </row>
    <row r="12218">
      <c r="A12218" s="24"/>
      <c r="B12218" s="25"/>
      <c r="C12218" s="24"/>
      <c r="D12218" s="26"/>
      <c r="E12218" s="24"/>
      <c r="F12218" s="24"/>
      <c r="G12218" s="24"/>
      <c r="H12218" s="24"/>
      <c r="I12218" s="24"/>
      <c r="J12218" s="24"/>
      <c r="K12218" s="24"/>
      <c r="L12218" s="24"/>
      <c r="M12218" s="24"/>
      <c r="N12218" s="24"/>
      <c r="O12218" s="24"/>
      <c r="P12218" s="24"/>
      <c r="Q12218" s="24"/>
      <c r="R12218" s="24"/>
      <c r="S12218" s="24"/>
      <c r="T12218" s="24"/>
      <c r="U12218" s="24"/>
      <c r="V12218" s="24"/>
      <c r="W12218" s="24"/>
      <c r="X12218" s="24"/>
      <c r="Y12218" s="24"/>
      <c r="Z12218" s="24"/>
      <c r="AA12218" s="24"/>
    </row>
    <row r="12219">
      <c r="A12219" s="24"/>
      <c r="B12219" s="25"/>
      <c r="C12219" s="24"/>
      <c r="D12219" s="26"/>
      <c r="E12219" s="24"/>
      <c r="F12219" s="24"/>
      <c r="G12219" s="24"/>
      <c r="H12219" s="24"/>
      <c r="I12219" s="24"/>
      <c r="J12219" s="24"/>
      <c r="K12219" s="24"/>
      <c r="L12219" s="24"/>
      <c r="M12219" s="24"/>
      <c r="N12219" s="24"/>
      <c r="O12219" s="24"/>
      <c r="P12219" s="24"/>
      <c r="Q12219" s="24"/>
      <c r="R12219" s="24"/>
      <c r="S12219" s="24"/>
      <c r="T12219" s="24"/>
      <c r="U12219" s="24"/>
      <c r="V12219" s="24"/>
      <c r="W12219" s="24"/>
      <c r="X12219" s="24"/>
      <c r="Y12219" s="24"/>
      <c r="Z12219" s="24"/>
      <c r="AA12219" s="24"/>
    </row>
    <row r="12220">
      <c r="A12220" s="24"/>
      <c r="B12220" s="25"/>
      <c r="C12220" s="24"/>
      <c r="D12220" s="26"/>
      <c r="E12220" s="24"/>
      <c r="F12220" s="24"/>
      <c r="G12220" s="24"/>
      <c r="H12220" s="24"/>
      <c r="I12220" s="24"/>
      <c r="J12220" s="24"/>
      <c r="K12220" s="24"/>
      <c r="L12220" s="24"/>
      <c r="M12220" s="24"/>
      <c r="N12220" s="24"/>
      <c r="O12220" s="24"/>
      <c r="P12220" s="24"/>
      <c r="Q12220" s="24"/>
      <c r="R12220" s="24"/>
      <c r="S12220" s="24"/>
      <c r="T12220" s="24"/>
      <c r="U12220" s="24"/>
      <c r="V12220" s="24"/>
      <c r="W12220" s="24"/>
      <c r="X12220" s="24"/>
      <c r="Y12220" s="24"/>
      <c r="Z12220" s="24"/>
      <c r="AA12220" s="24"/>
    </row>
    <row r="12221">
      <c r="A12221" s="24"/>
      <c r="B12221" s="25"/>
      <c r="C12221" s="24"/>
      <c r="D12221" s="26"/>
      <c r="E12221" s="24"/>
      <c r="F12221" s="24"/>
      <c r="G12221" s="24"/>
      <c r="H12221" s="24"/>
      <c r="I12221" s="24"/>
      <c r="J12221" s="24"/>
      <c r="K12221" s="24"/>
      <c r="L12221" s="24"/>
      <c r="M12221" s="24"/>
      <c r="N12221" s="24"/>
      <c r="O12221" s="24"/>
      <c r="P12221" s="24"/>
      <c r="Q12221" s="24"/>
      <c r="R12221" s="24"/>
      <c r="S12221" s="24"/>
      <c r="T12221" s="24"/>
      <c r="U12221" s="24"/>
      <c r="V12221" s="24"/>
      <c r="W12221" s="24"/>
      <c r="X12221" s="24"/>
      <c r="Y12221" s="24"/>
      <c r="Z12221" s="24"/>
      <c r="AA12221" s="24"/>
    </row>
    <row r="12222">
      <c r="A12222" s="24"/>
      <c r="B12222" s="25"/>
      <c r="C12222" s="24"/>
      <c r="D12222" s="26"/>
      <c r="E12222" s="24"/>
      <c r="F12222" s="24"/>
      <c r="G12222" s="24"/>
      <c r="H12222" s="24"/>
      <c r="I12222" s="24"/>
      <c r="J12222" s="24"/>
      <c r="K12222" s="24"/>
      <c r="L12222" s="24"/>
      <c r="M12222" s="24"/>
      <c r="N12222" s="24"/>
      <c r="O12222" s="24"/>
      <c r="P12222" s="24"/>
      <c r="Q12222" s="24"/>
      <c r="R12222" s="24"/>
      <c r="S12222" s="24"/>
      <c r="T12222" s="24"/>
      <c r="U12222" s="24"/>
      <c r="V12222" s="24"/>
      <c r="W12222" s="24"/>
      <c r="X12222" s="24"/>
      <c r="Y12222" s="24"/>
      <c r="Z12222" s="24"/>
      <c r="AA12222" s="24"/>
    </row>
    <row r="12223">
      <c r="A12223" s="24"/>
      <c r="B12223" s="25"/>
      <c r="C12223" s="24"/>
      <c r="D12223" s="26"/>
      <c r="E12223" s="24"/>
      <c r="F12223" s="24"/>
      <c r="G12223" s="24"/>
      <c r="H12223" s="24"/>
      <c r="I12223" s="24"/>
      <c r="J12223" s="24"/>
      <c r="K12223" s="24"/>
      <c r="L12223" s="24"/>
      <c r="M12223" s="24"/>
      <c r="N12223" s="24"/>
      <c r="O12223" s="24"/>
      <c r="P12223" s="24"/>
      <c r="Q12223" s="24"/>
      <c r="R12223" s="24"/>
      <c r="S12223" s="24"/>
      <c r="T12223" s="24"/>
      <c r="U12223" s="24"/>
      <c r="V12223" s="24"/>
      <c r="W12223" s="24"/>
      <c r="X12223" s="24"/>
      <c r="Y12223" s="24"/>
      <c r="Z12223" s="24"/>
      <c r="AA12223" s="24"/>
    </row>
    <row r="12224">
      <c r="A12224" s="24"/>
      <c r="B12224" s="25"/>
      <c r="C12224" s="24"/>
      <c r="D12224" s="26"/>
      <c r="E12224" s="24"/>
      <c r="F12224" s="24"/>
      <c r="G12224" s="24"/>
      <c r="H12224" s="24"/>
      <c r="I12224" s="24"/>
      <c r="J12224" s="24"/>
      <c r="K12224" s="24"/>
      <c r="L12224" s="24"/>
      <c r="M12224" s="24"/>
      <c r="N12224" s="24"/>
      <c r="O12224" s="24"/>
      <c r="P12224" s="24"/>
      <c r="Q12224" s="24"/>
      <c r="R12224" s="24"/>
      <c r="S12224" s="24"/>
      <c r="T12224" s="24"/>
      <c r="U12224" s="24"/>
      <c r="V12224" s="24"/>
      <c r="W12224" s="24"/>
      <c r="X12224" s="24"/>
      <c r="Y12224" s="24"/>
      <c r="Z12224" s="24"/>
      <c r="AA12224" s="24"/>
    </row>
    <row r="12225">
      <c r="A12225" s="24"/>
      <c r="B12225" s="25"/>
      <c r="C12225" s="24"/>
      <c r="D12225" s="26"/>
      <c r="E12225" s="24"/>
      <c r="F12225" s="24"/>
      <c r="G12225" s="24"/>
      <c r="H12225" s="24"/>
      <c r="I12225" s="24"/>
      <c r="J12225" s="24"/>
      <c r="K12225" s="24"/>
      <c r="L12225" s="24"/>
      <c r="M12225" s="24"/>
      <c r="N12225" s="24"/>
      <c r="O12225" s="24"/>
      <c r="P12225" s="24"/>
      <c r="Q12225" s="24"/>
      <c r="R12225" s="24"/>
      <c r="S12225" s="24"/>
      <c r="T12225" s="24"/>
      <c r="U12225" s="24"/>
      <c r="V12225" s="24"/>
      <c r="W12225" s="24"/>
      <c r="X12225" s="24"/>
      <c r="Y12225" s="24"/>
      <c r="Z12225" s="24"/>
      <c r="AA12225" s="24"/>
    </row>
    <row r="12226">
      <c r="A12226" s="24"/>
      <c r="B12226" s="25"/>
      <c r="C12226" s="24"/>
      <c r="D12226" s="26"/>
      <c r="E12226" s="24"/>
      <c r="F12226" s="24"/>
      <c r="G12226" s="24"/>
      <c r="H12226" s="24"/>
      <c r="I12226" s="24"/>
      <c r="J12226" s="24"/>
      <c r="K12226" s="24"/>
      <c r="L12226" s="24"/>
      <c r="M12226" s="24"/>
      <c r="N12226" s="24"/>
      <c r="O12226" s="24"/>
      <c r="P12226" s="24"/>
      <c r="Q12226" s="24"/>
      <c r="R12226" s="24"/>
      <c r="S12226" s="24"/>
      <c r="T12226" s="24"/>
      <c r="U12226" s="24"/>
      <c r="V12226" s="24"/>
      <c r="W12226" s="24"/>
      <c r="X12226" s="24"/>
      <c r="Y12226" s="24"/>
      <c r="Z12226" s="24"/>
      <c r="AA12226" s="24"/>
    </row>
    <row r="12227">
      <c r="A12227" s="24"/>
      <c r="B12227" s="25"/>
      <c r="C12227" s="24"/>
      <c r="D12227" s="26"/>
      <c r="E12227" s="24"/>
      <c r="F12227" s="24"/>
      <c r="G12227" s="24"/>
      <c r="H12227" s="24"/>
      <c r="I12227" s="24"/>
      <c r="J12227" s="24"/>
      <c r="K12227" s="24"/>
      <c r="L12227" s="24"/>
      <c r="M12227" s="24"/>
      <c r="N12227" s="24"/>
      <c r="O12227" s="24"/>
      <c r="P12227" s="24"/>
      <c r="Q12227" s="24"/>
      <c r="R12227" s="24"/>
      <c r="S12227" s="24"/>
      <c r="T12227" s="24"/>
      <c r="U12227" s="24"/>
      <c r="V12227" s="24"/>
      <c r="W12227" s="24"/>
      <c r="X12227" s="24"/>
      <c r="Y12227" s="24"/>
      <c r="Z12227" s="24"/>
      <c r="AA12227" s="24"/>
    </row>
    <row r="12228">
      <c r="A12228" s="24"/>
      <c r="B12228" s="25"/>
      <c r="C12228" s="24"/>
      <c r="D12228" s="26"/>
      <c r="E12228" s="24"/>
      <c r="F12228" s="24"/>
      <c r="G12228" s="24"/>
      <c r="H12228" s="24"/>
      <c r="I12228" s="24"/>
      <c r="J12228" s="24"/>
      <c r="K12228" s="24"/>
      <c r="L12228" s="24"/>
      <c r="M12228" s="24"/>
      <c r="N12228" s="24"/>
      <c r="O12228" s="24"/>
      <c r="P12228" s="24"/>
      <c r="Q12228" s="24"/>
      <c r="R12228" s="24"/>
      <c r="S12228" s="24"/>
      <c r="T12228" s="24"/>
      <c r="U12228" s="24"/>
      <c r="V12228" s="24"/>
      <c r="W12228" s="24"/>
      <c r="X12228" s="24"/>
      <c r="Y12228" s="24"/>
      <c r="Z12228" s="24"/>
      <c r="AA12228" s="24"/>
    </row>
    <row r="12229">
      <c r="A12229" s="24"/>
      <c r="B12229" s="25"/>
      <c r="C12229" s="24"/>
      <c r="D12229" s="26"/>
      <c r="E12229" s="24"/>
      <c r="F12229" s="24"/>
      <c r="G12229" s="24"/>
      <c r="H12229" s="24"/>
      <c r="I12229" s="24"/>
      <c r="J12229" s="24"/>
      <c r="K12229" s="24"/>
      <c r="L12229" s="24"/>
      <c r="M12229" s="24"/>
      <c r="N12229" s="24"/>
      <c r="O12229" s="24"/>
      <c r="P12229" s="24"/>
      <c r="Q12229" s="24"/>
      <c r="R12229" s="24"/>
      <c r="S12229" s="24"/>
      <c r="T12229" s="24"/>
      <c r="U12229" s="24"/>
      <c r="V12229" s="24"/>
      <c r="W12229" s="24"/>
      <c r="X12229" s="24"/>
      <c r="Y12229" s="24"/>
      <c r="Z12229" s="24"/>
      <c r="AA12229" s="24"/>
    </row>
    <row r="12230">
      <c r="A12230" s="24"/>
      <c r="B12230" s="25"/>
      <c r="C12230" s="24"/>
      <c r="D12230" s="26"/>
      <c r="E12230" s="24"/>
      <c r="F12230" s="24"/>
      <c r="G12230" s="24"/>
      <c r="H12230" s="24"/>
      <c r="I12230" s="24"/>
      <c r="J12230" s="24"/>
      <c r="K12230" s="24"/>
      <c r="L12230" s="24"/>
      <c r="M12230" s="24"/>
      <c r="N12230" s="24"/>
      <c r="O12230" s="24"/>
      <c r="P12230" s="24"/>
      <c r="Q12230" s="24"/>
      <c r="R12230" s="24"/>
      <c r="S12230" s="24"/>
      <c r="T12230" s="24"/>
      <c r="U12230" s="24"/>
      <c r="V12230" s="24"/>
      <c r="W12230" s="24"/>
      <c r="X12230" s="24"/>
      <c r="Y12230" s="24"/>
      <c r="Z12230" s="24"/>
      <c r="AA12230" s="24"/>
    </row>
    <row r="12231">
      <c r="A12231" s="24"/>
      <c r="B12231" s="25"/>
      <c r="C12231" s="24"/>
      <c r="D12231" s="26"/>
      <c r="E12231" s="24"/>
      <c r="F12231" s="24"/>
      <c r="G12231" s="24"/>
      <c r="H12231" s="24"/>
      <c r="I12231" s="24"/>
      <c r="J12231" s="24"/>
      <c r="K12231" s="24"/>
      <c r="L12231" s="24"/>
      <c r="M12231" s="24"/>
      <c r="N12231" s="24"/>
      <c r="O12231" s="24"/>
      <c r="P12231" s="24"/>
      <c r="Q12231" s="24"/>
      <c r="R12231" s="24"/>
      <c r="S12231" s="24"/>
      <c r="T12231" s="24"/>
      <c r="U12231" s="24"/>
      <c r="V12231" s="24"/>
      <c r="W12231" s="24"/>
      <c r="X12231" s="24"/>
      <c r="Y12231" s="24"/>
      <c r="Z12231" s="24"/>
      <c r="AA12231" s="24"/>
    </row>
    <row r="12232">
      <c r="A12232" s="24"/>
      <c r="B12232" s="25"/>
      <c r="C12232" s="24"/>
      <c r="D12232" s="26"/>
      <c r="E12232" s="24"/>
      <c r="F12232" s="24"/>
      <c r="G12232" s="24"/>
      <c r="H12232" s="24"/>
      <c r="I12232" s="24"/>
      <c r="J12232" s="24"/>
      <c r="K12232" s="24"/>
      <c r="L12232" s="24"/>
      <c r="M12232" s="24"/>
      <c r="N12232" s="24"/>
      <c r="O12232" s="24"/>
      <c r="P12232" s="24"/>
      <c r="Q12232" s="24"/>
      <c r="R12232" s="24"/>
      <c r="S12232" s="24"/>
      <c r="T12232" s="24"/>
      <c r="U12232" s="24"/>
      <c r="V12232" s="24"/>
      <c r="W12232" s="24"/>
      <c r="X12232" s="24"/>
      <c r="Y12232" s="24"/>
      <c r="Z12232" s="24"/>
      <c r="AA12232" s="24"/>
    </row>
    <row r="12233">
      <c r="A12233" s="24"/>
      <c r="B12233" s="25"/>
      <c r="C12233" s="24"/>
      <c r="D12233" s="26"/>
      <c r="E12233" s="24"/>
      <c r="F12233" s="24"/>
      <c r="G12233" s="24"/>
      <c r="H12233" s="24"/>
      <c r="I12233" s="24"/>
      <c r="J12233" s="24"/>
      <c r="K12233" s="24"/>
      <c r="L12233" s="24"/>
      <c r="M12233" s="24"/>
      <c r="N12233" s="24"/>
      <c r="O12233" s="24"/>
      <c r="P12233" s="24"/>
      <c r="Q12233" s="24"/>
      <c r="R12233" s="24"/>
      <c r="S12233" s="24"/>
      <c r="T12233" s="24"/>
      <c r="U12233" s="24"/>
      <c r="V12233" s="24"/>
      <c r="W12233" s="24"/>
      <c r="X12233" s="24"/>
      <c r="Y12233" s="24"/>
      <c r="Z12233" s="24"/>
      <c r="AA12233" s="24"/>
    </row>
    <row r="12234">
      <c r="A12234" s="24"/>
      <c r="B12234" s="25"/>
      <c r="C12234" s="24"/>
      <c r="D12234" s="26"/>
      <c r="E12234" s="24"/>
      <c r="F12234" s="24"/>
      <c r="G12234" s="24"/>
      <c r="H12234" s="24"/>
      <c r="I12234" s="24"/>
      <c r="J12234" s="24"/>
      <c r="K12234" s="24"/>
      <c r="L12234" s="24"/>
      <c r="M12234" s="24"/>
      <c r="N12234" s="24"/>
      <c r="O12234" s="24"/>
      <c r="P12234" s="24"/>
      <c r="Q12234" s="24"/>
      <c r="R12234" s="24"/>
      <c r="S12234" s="24"/>
      <c r="T12234" s="24"/>
      <c r="U12234" s="24"/>
      <c r="V12234" s="24"/>
      <c r="W12234" s="24"/>
      <c r="X12234" s="24"/>
      <c r="Y12234" s="24"/>
      <c r="Z12234" s="24"/>
      <c r="AA12234" s="24"/>
    </row>
    <row r="12235">
      <c r="A12235" s="24"/>
      <c r="B12235" s="25"/>
      <c r="C12235" s="24"/>
      <c r="D12235" s="26"/>
      <c r="E12235" s="24"/>
      <c r="F12235" s="24"/>
      <c r="G12235" s="24"/>
      <c r="H12235" s="24"/>
      <c r="I12235" s="24"/>
      <c r="J12235" s="24"/>
      <c r="K12235" s="24"/>
      <c r="L12235" s="24"/>
      <c r="M12235" s="24"/>
      <c r="N12235" s="24"/>
      <c r="O12235" s="24"/>
      <c r="P12235" s="24"/>
      <c r="Q12235" s="24"/>
      <c r="R12235" s="24"/>
      <c r="S12235" s="24"/>
      <c r="T12235" s="24"/>
      <c r="U12235" s="24"/>
      <c r="V12235" s="24"/>
      <c r="W12235" s="24"/>
      <c r="X12235" s="24"/>
      <c r="Y12235" s="24"/>
      <c r="Z12235" s="24"/>
      <c r="AA12235" s="24"/>
    </row>
    <row r="12236">
      <c r="A12236" s="24"/>
      <c r="B12236" s="25"/>
      <c r="C12236" s="24"/>
      <c r="D12236" s="26"/>
      <c r="E12236" s="24"/>
      <c r="F12236" s="24"/>
      <c r="G12236" s="24"/>
      <c r="H12236" s="24"/>
      <c r="I12236" s="24"/>
      <c r="J12236" s="24"/>
      <c r="K12236" s="24"/>
      <c r="L12236" s="24"/>
      <c r="M12236" s="24"/>
      <c r="N12236" s="24"/>
      <c r="O12236" s="24"/>
      <c r="P12236" s="24"/>
      <c r="Q12236" s="24"/>
      <c r="R12236" s="24"/>
      <c r="S12236" s="24"/>
      <c r="T12236" s="24"/>
      <c r="U12236" s="24"/>
      <c r="V12236" s="24"/>
      <c r="W12236" s="24"/>
      <c r="X12236" s="24"/>
      <c r="Y12236" s="24"/>
      <c r="Z12236" s="24"/>
      <c r="AA12236" s="24"/>
    </row>
    <row r="12237">
      <c r="A12237" s="24"/>
      <c r="B12237" s="25"/>
      <c r="C12237" s="24"/>
      <c r="D12237" s="26"/>
      <c r="E12237" s="24"/>
      <c r="F12237" s="24"/>
      <c r="G12237" s="24"/>
      <c r="H12237" s="24"/>
      <c r="I12237" s="24"/>
      <c r="J12237" s="24"/>
      <c r="K12237" s="24"/>
      <c r="L12237" s="24"/>
      <c r="M12237" s="24"/>
      <c r="N12237" s="24"/>
      <c r="O12237" s="24"/>
      <c r="P12237" s="24"/>
      <c r="Q12237" s="24"/>
      <c r="R12237" s="24"/>
      <c r="S12237" s="24"/>
      <c r="T12237" s="24"/>
      <c r="U12237" s="24"/>
      <c r="V12237" s="24"/>
      <c r="W12237" s="24"/>
      <c r="X12237" s="24"/>
      <c r="Y12237" s="24"/>
      <c r="Z12237" s="24"/>
      <c r="AA12237" s="24"/>
    </row>
    <row r="12238">
      <c r="A12238" s="24"/>
      <c r="B12238" s="25"/>
      <c r="C12238" s="24"/>
      <c r="D12238" s="26"/>
      <c r="E12238" s="24"/>
      <c r="F12238" s="24"/>
      <c r="G12238" s="24"/>
      <c r="H12238" s="24"/>
      <c r="I12238" s="24"/>
      <c r="J12238" s="24"/>
      <c r="K12238" s="24"/>
      <c r="L12238" s="24"/>
      <c r="M12238" s="24"/>
      <c r="N12238" s="24"/>
      <c r="O12238" s="24"/>
      <c r="P12238" s="24"/>
      <c r="Q12238" s="24"/>
      <c r="R12238" s="24"/>
      <c r="S12238" s="24"/>
      <c r="T12238" s="24"/>
      <c r="U12238" s="24"/>
      <c r="V12238" s="24"/>
      <c r="W12238" s="24"/>
      <c r="X12238" s="24"/>
      <c r="Y12238" s="24"/>
      <c r="Z12238" s="24"/>
      <c r="AA12238" s="24"/>
    </row>
    <row r="12239">
      <c r="A12239" s="24"/>
      <c r="B12239" s="25"/>
      <c r="C12239" s="24"/>
      <c r="D12239" s="26"/>
      <c r="E12239" s="24"/>
      <c r="F12239" s="24"/>
      <c r="G12239" s="24"/>
      <c r="H12239" s="24"/>
      <c r="I12239" s="24"/>
      <c r="J12239" s="24"/>
      <c r="K12239" s="24"/>
      <c r="L12239" s="24"/>
      <c r="M12239" s="24"/>
      <c r="N12239" s="24"/>
      <c r="O12239" s="24"/>
      <c r="P12239" s="24"/>
      <c r="Q12239" s="24"/>
      <c r="R12239" s="24"/>
      <c r="S12239" s="24"/>
      <c r="T12239" s="24"/>
      <c r="U12239" s="24"/>
      <c r="V12239" s="24"/>
      <c r="W12239" s="24"/>
      <c r="X12239" s="24"/>
      <c r="Y12239" s="24"/>
      <c r="Z12239" s="24"/>
      <c r="AA12239" s="24"/>
    </row>
    <row r="12240">
      <c r="A12240" s="24"/>
      <c r="B12240" s="25"/>
      <c r="C12240" s="24"/>
      <c r="D12240" s="26"/>
      <c r="E12240" s="24"/>
      <c r="F12240" s="24"/>
      <c r="G12240" s="24"/>
      <c r="H12240" s="24"/>
      <c r="I12240" s="24"/>
      <c r="J12240" s="24"/>
      <c r="K12240" s="24"/>
      <c r="L12240" s="24"/>
      <c r="M12240" s="24"/>
      <c r="N12240" s="24"/>
      <c r="O12240" s="24"/>
      <c r="P12240" s="24"/>
      <c r="Q12240" s="24"/>
      <c r="R12240" s="24"/>
      <c r="S12240" s="24"/>
      <c r="T12240" s="24"/>
      <c r="U12240" s="24"/>
      <c r="V12240" s="24"/>
      <c r="W12240" s="24"/>
      <c r="X12240" s="24"/>
      <c r="Y12240" s="24"/>
      <c r="Z12240" s="24"/>
      <c r="AA12240" s="24"/>
    </row>
    <row r="12241">
      <c r="A12241" s="24"/>
      <c r="B12241" s="25"/>
      <c r="C12241" s="24"/>
      <c r="D12241" s="26"/>
      <c r="E12241" s="24"/>
      <c r="F12241" s="24"/>
      <c r="G12241" s="24"/>
      <c r="H12241" s="24"/>
      <c r="I12241" s="24"/>
      <c r="J12241" s="24"/>
      <c r="K12241" s="24"/>
      <c r="L12241" s="24"/>
      <c r="M12241" s="24"/>
      <c r="N12241" s="24"/>
      <c r="O12241" s="24"/>
      <c r="P12241" s="24"/>
      <c r="Q12241" s="24"/>
      <c r="R12241" s="24"/>
      <c r="S12241" s="24"/>
      <c r="T12241" s="24"/>
      <c r="U12241" s="24"/>
      <c r="V12241" s="24"/>
      <c r="W12241" s="24"/>
      <c r="X12241" s="24"/>
      <c r="Y12241" s="24"/>
      <c r="Z12241" s="24"/>
      <c r="AA12241" s="24"/>
    </row>
    <row r="12242">
      <c r="A12242" s="24"/>
      <c r="B12242" s="25"/>
      <c r="C12242" s="24"/>
      <c r="D12242" s="26"/>
      <c r="E12242" s="24"/>
      <c r="F12242" s="24"/>
      <c r="G12242" s="24"/>
      <c r="H12242" s="24"/>
      <c r="I12242" s="24"/>
      <c r="J12242" s="24"/>
      <c r="K12242" s="24"/>
      <c r="L12242" s="24"/>
      <c r="M12242" s="24"/>
      <c r="N12242" s="24"/>
      <c r="O12242" s="24"/>
      <c r="P12242" s="24"/>
      <c r="Q12242" s="24"/>
      <c r="R12242" s="24"/>
      <c r="S12242" s="24"/>
      <c r="T12242" s="24"/>
      <c r="U12242" s="24"/>
      <c r="V12242" s="24"/>
      <c r="W12242" s="24"/>
      <c r="X12242" s="24"/>
      <c r="Y12242" s="24"/>
      <c r="Z12242" s="24"/>
      <c r="AA12242" s="24"/>
    </row>
    <row r="12243">
      <c r="A12243" s="24"/>
      <c r="B12243" s="25"/>
      <c r="C12243" s="24"/>
      <c r="D12243" s="26"/>
      <c r="E12243" s="24"/>
      <c r="F12243" s="24"/>
      <c r="G12243" s="24"/>
      <c r="H12243" s="24"/>
      <c r="I12243" s="24"/>
      <c r="J12243" s="24"/>
      <c r="K12243" s="24"/>
      <c r="L12243" s="24"/>
      <c r="M12243" s="24"/>
      <c r="N12243" s="24"/>
      <c r="O12243" s="24"/>
      <c r="P12243" s="24"/>
      <c r="Q12243" s="24"/>
      <c r="R12243" s="24"/>
      <c r="S12243" s="24"/>
      <c r="T12243" s="24"/>
      <c r="U12243" s="24"/>
      <c r="V12243" s="24"/>
      <c r="W12243" s="24"/>
      <c r="X12243" s="24"/>
      <c r="Y12243" s="24"/>
      <c r="Z12243" s="24"/>
      <c r="AA12243" s="24"/>
    </row>
    <row r="12244">
      <c r="A12244" s="24"/>
      <c r="B12244" s="25"/>
      <c r="C12244" s="24"/>
      <c r="D12244" s="26"/>
      <c r="E12244" s="24"/>
      <c r="F12244" s="24"/>
      <c r="G12244" s="24"/>
      <c r="H12244" s="24"/>
      <c r="I12244" s="24"/>
      <c r="J12244" s="24"/>
      <c r="K12244" s="24"/>
      <c r="L12244" s="24"/>
      <c r="M12244" s="24"/>
      <c r="N12244" s="24"/>
      <c r="O12244" s="24"/>
      <c r="P12244" s="24"/>
      <c r="Q12244" s="24"/>
      <c r="R12244" s="24"/>
      <c r="S12244" s="24"/>
      <c r="T12244" s="24"/>
      <c r="U12244" s="24"/>
      <c r="V12244" s="24"/>
      <c r="W12244" s="24"/>
      <c r="X12244" s="24"/>
      <c r="Y12244" s="24"/>
      <c r="Z12244" s="24"/>
      <c r="AA12244" s="24"/>
    </row>
    <row r="12245">
      <c r="A12245" s="24"/>
      <c r="B12245" s="25"/>
      <c r="C12245" s="24"/>
      <c r="D12245" s="26"/>
      <c r="E12245" s="24"/>
      <c r="F12245" s="24"/>
      <c r="G12245" s="24"/>
      <c r="H12245" s="24"/>
      <c r="I12245" s="24"/>
      <c r="J12245" s="24"/>
      <c r="K12245" s="24"/>
      <c r="L12245" s="24"/>
      <c r="M12245" s="24"/>
      <c r="N12245" s="24"/>
      <c r="O12245" s="24"/>
      <c r="P12245" s="24"/>
      <c r="Q12245" s="24"/>
      <c r="R12245" s="24"/>
      <c r="S12245" s="24"/>
      <c r="T12245" s="24"/>
      <c r="U12245" s="24"/>
      <c r="V12245" s="24"/>
      <c r="W12245" s="24"/>
      <c r="X12245" s="24"/>
      <c r="Y12245" s="24"/>
      <c r="Z12245" s="24"/>
      <c r="AA12245" s="24"/>
    </row>
    <row r="12246">
      <c r="A12246" s="24"/>
      <c r="B12246" s="25"/>
      <c r="C12246" s="24"/>
      <c r="D12246" s="26"/>
      <c r="E12246" s="24"/>
      <c r="F12246" s="24"/>
      <c r="G12246" s="24"/>
      <c r="H12246" s="24"/>
      <c r="I12246" s="24"/>
      <c r="J12246" s="24"/>
      <c r="K12246" s="24"/>
      <c r="L12246" s="24"/>
      <c r="M12246" s="24"/>
      <c r="N12246" s="24"/>
      <c r="O12246" s="24"/>
      <c r="P12246" s="24"/>
      <c r="Q12246" s="24"/>
      <c r="R12246" s="24"/>
      <c r="S12246" s="24"/>
      <c r="T12246" s="24"/>
      <c r="U12246" s="24"/>
      <c r="V12246" s="24"/>
      <c r="W12246" s="24"/>
      <c r="X12246" s="24"/>
      <c r="Y12246" s="24"/>
      <c r="Z12246" s="24"/>
      <c r="AA12246" s="24"/>
    </row>
    <row r="12247">
      <c r="A12247" s="24"/>
      <c r="B12247" s="25"/>
      <c r="C12247" s="24"/>
      <c r="D12247" s="26"/>
      <c r="E12247" s="24"/>
      <c r="F12247" s="24"/>
      <c r="G12247" s="24"/>
      <c r="H12247" s="24"/>
      <c r="I12247" s="24"/>
      <c r="J12247" s="24"/>
      <c r="K12247" s="24"/>
      <c r="L12247" s="24"/>
      <c r="M12247" s="24"/>
      <c r="N12247" s="24"/>
      <c r="O12247" s="24"/>
      <c r="P12247" s="24"/>
      <c r="Q12247" s="24"/>
      <c r="R12247" s="24"/>
      <c r="S12247" s="24"/>
      <c r="T12247" s="24"/>
      <c r="U12247" s="24"/>
      <c r="V12247" s="24"/>
      <c r="W12247" s="24"/>
      <c r="X12247" s="24"/>
      <c r="Y12247" s="24"/>
      <c r="Z12247" s="24"/>
      <c r="AA12247" s="24"/>
    </row>
    <row r="12248">
      <c r="A12248" s="24"/>
      <c r="B12248" s="25"/>
      <c r="C12248" s="24"/>
      <c r="D12248" s="26"/>
      <c r="E12248" s="24"/>
      <c r="F12248" s="24"/>
      <c r="G12248" s="24"/>
      <c r="H12248" s="24"/>
      <c r="I12248" s="24"/>
      <c r="J12248" s="24"/>
      <c r="K12248" s="24"/>
      <c r="L12248" s="24"/>
      <c r="M12248" s="24"/>
      <c r="N12248" s="24"/>
      <c r="O12248" s="24"/>
      <c r="P12248" s="24"/>
      <c r="Q12248" s="24"/>
      <c r="R12248" s="24"/>
      <c r="S12248" s="24"/>
      <c r="T12248" s="24"/>
      <c r="U12248" s="24"/>
      <c r="V12248" s="24"/>
      <c r="W12248" s="24"/>
      <c r="X12248" s="24"/>
      <c r="Y12248" s="24"/>
      <c r="Z12248" s="24"/>
      <c r="AA12248" s="24"/>
    </row>
    <row r="12249">
      <c r="A12249" s="24"/>
      <c r="B12249" s="25"/>
      <c r="C12249" s="24"/>
      <c r="D12249" s="26"/>
      <c r="E12249" s="24"/>
      <c r="F12249" s="24"/>
      <c r="G12249" s="24"/>
      <c r="H12249" s="24"/>
      <c r="I12249" s="24"/>
      <c r="J12249" s="24"/>
      <c r="K12249" s="24"/>
      <c r="L12249" s="24"/>
      <c r="M12249" s="24"/>
      <c r="N12249" s="24"/>
      <c r="O12249" s="24"/>
      <c r="P12249" s="24"/>
      <c r="Q12249" s="24"/>
      <c r="R12249" s="24"/>
      <c r="S12249" s="24"/>
      <c r="T12249" s="24"/>
      <c r="U12249" s="24"/>
      <c r="V12249" s="24"/>
      <c r="W12249" s="24"/>
      <c r="X12249" s="24"/>
      <c r="Y12249" s="24"/>
      <c r="Z12249" s="24"/>
      <c r="AA12249" s="24"/>
    </row>
    <row r="12250">
      <c r="A12250" s="24"/>
      <c r="B12250" s="25"/>
      <c r="C12250" s="24"/>
      <c r="D12250" s="26"/>
      <c r="E12250" s="24"/>
      <c r="F12250" s="24"/>
      <c r="G12250" s="24"/>
      <c r="H12250" s="24"/>
      <c r="I12250" s="24"/>
      <c r="J12250" s="24"/>
      <c r="K12250" s="24"/>
      <c r="L12250" s="24"/>
      <c r="M12250" s="24"/>
      <c r="N12250" s="24"/>
      <c r="O12250" s="24"/>
      <c r="P12250" s="24"/>
      <c r="Q12250" s="24"/>
      <c r="R12250" s="24"/>
      <c r="S12250" s="24"/>
      <c r="T12250" s="24"/>
      <c r="U12250" s="24"/>
      <c r="V12250" s="24"/>
      <c r="W12250" s="24"/>
      <c r="X12250" s="24"/>
      <c r="Y12250" s="24"/>
      <c r="Z12250" s="24"/>
      <c r="AA12250" s="24"/>
    </row>
    <row r="12251">
      <c r="A12251" s="24"/>
      <c r="B12251" s="25"/>
      <c r="C12251" s="24"/>
      <c r="D12251" s="26"/>
      <c r="E12251" s="24"/>
      <c r="F12251" s="24"/>
      <c r="G12251" s="24"/>
      <c r="H12251" s="24"/>
      <c r="I12251" s="24"/>
      <c r="J12251" s="24"/>
      <c r="K12251" s="24"/>
      <c r="L12251" s="24"/>
      <c r="M12251" s="24"/>
      <c r="N12251" s="24"/>
      <c r="O12251" s="24"/>
      <c r="P12251" s="24"/>
      <c r="Q12251" s="24"/>
      <c r="R12251" s="24"/>
      <c r="S12251" s="24"/>
      <c r="T12251" s="24"/>
      <c r="U12251" s="24"/>
      <c r="V12251" s="24"/>
      <c r="W12251" s="24"/>
      <c r="X12251" s="24"/>
      <c r="Y12251" s="24"/>
      <c r="Z12251" s="24"/>
      <c r="AA12251" s="24"/>
    </row>
    <row r="12252">
      <c r="A12252" s="24"/>
      <c r="B12252" s="25"/>
      <c r="C12252" s="24"/>
      <c r="D12252" s="26"/>
      <c r="E12252" s="24"/>
      <c r="F12252" s="24"/>
      <c r="G12252" s="24"/>
      <c r="H12252" s="24"/>
      <c r="I12252" s="24"/>
      <c r="J12252" s="24"/>
      <c r="K12252" s="24"/>
      <c r="L12252" s="24"/>
      <c r="M12252" s="24"/>
      <c r="N12252" s="24"/>
      <c r="O12252" s="24"/>
      <c r="P12252" s="24"/>
      <c r="Q12252" s="24"/>
      <c r="R12252" s="24"/>
      <c r="S12252" s="24"/>
      <c r="T12252" s="24"/>
      <c r="U12252" s="24"/>
      <c r="V12252" s="24"/>
      <c r="W12252" s="24"/>
      <c r="X12252" s="24"/>
      <c r="Y12252" s="24"/>
      <c r="Z12252" s="24"/>
      <c r="AA12252" s="24"/>
    </row>
    <row r="12253">
      <c r="A12253" s="24"/>
      <c r="B12253" s="25"/>
      <c r="C12253" s="24"/>
      <c r="D12253" s="26"/>
      <c r="E12253" s="24"/>
      <c r="F12253" s="24"/>
      <c r="G12253" s="24"/>
      <c r="H12253" s="24"/>
      <c r="I12253" s="24"/>
      <c r="J12253" s="24"/>
      <c r="K12253" s="24"/>
      <c r="L12253" s="24"/>
      <c r="M12253" s="24"/>
      <c r="N12253" s="24"/>
      <c r="O12253" s="24"/>
      <c r="P12253" s="24"/>
      <c r="Q12253" s="24"/>
      <c r="R12253" s="24"/>
      <c r="S12253" s="24"/>
      <c r="T12253" s="24"/>
      <c r="U12253" s="24"/>
      <c r="V12253" s="24"/>
      <c r="W12253" s="24"/>
      <c r="X12253" s="24"/>
      <c r="Y12253" s="24"/>
      <c r="Z12253" s="24"/>
      <c r="AA12253" s="24"/>
    </row>
    <row r="12254">
      <c r="A12254" s="24"/>
      <c r="B12254" s="25"/>
      <c r="C12254" s="24"/>
      <c r="D12254" s="26"/>
      <c r="E12254" s="24"/>
      <c r="F12254" s="24"/>
      <c r="G12254" s="24"/>
      <c r="H12254" s="24"/>
      <c r="I12254" s="24"/>
      <c r="J12254" s="24"/>
      <c r="K12254" s="24"/>
      <c r="L12254" s="24"/>
      <c r="M12254" s="24"/>
      <c r="N12254" s="24"/>
      <c r="O12254" s="24"/>
      <c r="P12254" s="24"/>
      <c r="Q12254" s="24"/>
      <c r="R12254" s="24"/>
      <c r="S12254" s="24"/>
      <c r="T12254" s="24"/>
      <c r="U12254" s="24"/>
      <c r="V12254" s="24"/>
      <c r="W12254" s="24"/>
      <c r="X12254" s="24"/>
      <c r="Y12254" s="24"/>
      <c r="Z12254" s="24"/>
      <c r="AA12254" s="24"/>
    </row>
    <row r="12255">
      <c r="A12255" s="24"/>
      <c r="B12255" s="25"/>
      <c r="C12255" s="24"/>
      <c r="D12255" s="26"/>
      <c r="E12255" s="24"/>
      <c r="F12255" s="24"/>
      <c r="G12255" s="24"/>
      <c r="H12255" s="24"/>
      <c r="I12255" s="24"/>
      <c r="J12255" s="24"/>
      <c r="K12255" s="24"/>
      <c r="L12255" s="24"/>
      <c r="M12255" s="24"/>
      <c r="N12255" s="24"/>
      <c r="O12255" s="24"/>
      <c r="P12255" s="24"/>
      <c r="Q12255" s="24"/>
      <c r="R12255" s="24"/>
      <c r="S12255" s="24"/>
      <c r="T12255" s="24"/>
      <c r="U12255" s="24"/>
      <c r="V12255" s="24"/>
      <c r="W12255" s="24"/>
      <c r="X12255" s="24"/>
      <c r="Y12255" s="24"/>
      <c r="Z12255" s="24"/>
      <c r="AA12255" s="24"/>
    </row>
    <row r="12256">
      <c r="A12256" s="24"/>
      <c r="B12256" s="25"/>
      <c r="C12256" s="24"/>
      <c r="D12256" s="26"/>
      <c r="E12256" s="24"/>
      <c r="F12256" s="24"/>
      <c r="G12256" s="24"/>
      <c r="H12256" s="24"/>
      <c r="I12256" s="24"/>
      <c r="J12256" s="24"/>
      <c r="K12256" s="24"/>
      <c r="L12256" s="24"/>
      <c r="M12256" s="24"/>
      <c r="N12256" s="24"/>
      <c r="O12256" s="24"/>
      <c r="P12256" s="24"/>
      <c r="Q12256" s="24"/>
      <c r="R12256" s="24"/>
      <c r="S12256" s="24"/>
      <c r="T12256" s="24"/>
      <c r="U12256" s="24"/>
      <c r="V12256" s="24"/>
      <c r="W12256" s="24"/>
      <c r="X12256" s="24"/>
      <c r="Y12256" s="24"/>
      <c r="Z12256" s="24"/>
      <c r="AA12256" s="24"/>
    </row>
    <row r="12257">
      <c r="A12257" s="24"/>
      <c r="B12257" s="25"/>
      <c r="C12257" s="24"/>
      <c r="D12257" s="26"/>
      <c r="E12257" s="24"/>
      <c r="F12257" s="24"/>
      <c r="G12257" s="24"/>
      <c r="H12257" s="24"/>
      <c r="I12257" s="24"/>
      <c r="J12257" s="24"/>
      <c r="K12257" s="24"/>
      <c r="L12257" s="24"/>
      <c r="M12257" s="24"/>
      <c r="N12257" s="24"/>
      <c r="O12257" s="24"/>
      <c r="P12257" s="24"/>
      <c r="Q12257" s="24"/>
      <c r="R12257" s="24"/>
      <c r="S12257" s="24"/>
      <c r="T12257" s="24"/>
      <c r="U12257" s="24"/>
      <c r="V12257" s="24"/>
      <c r="W12257" s="24"/>
      <c r="X12257" s="24"/>
      <c r="Y12257" s="24"/>
      <c r="Z12257" s="24"/>
      <c r="AA12257" s="24"/>
    </row>
    <row r="12258">
      <c r="A12258" s="24"/>
      <c r="B12258" s="25"/>
      <c r="C12258" s="24"/>
      <c r="D12258" s="26"/>
      <c r="E12258" s="24"/>
      <c r="F12258" s="24"/>
      <c r="G12258" s="24"/>
      <c r="H12258" s="24"/>
      <c r="I12258" s="24"/>
      <c r="J12258" s="24"/>
      <c r="K12258" s="24"/>
      <c r="L12258" s="24"/>
      <c r="M12258" s="24"/>
      <c r="N12258" s="24"/>
      <c r="O12258" s="24"/>
      <c r="P12258" s="24"/>
      <c r="Q12258" s="24"/>
      <c r="R12258" s="24"/>
      <c r="S12258" s="24"/>
      <c r="T12258" s="24"/>
      <c r="U12258" s="24"/>
      <c r="V12258" s="24"/>
      <c r="W12258" s="24"/>
      <c r="X12258" s="24"/>
      <c r="Y12258" s="24"/>
      <c r="Z12258" s="24"/>
      <c r="AA12258" s="24"/>
    </row>
    <row r="12259">
      <c r="A12259" s="24"/>
      <c r="B12259" s="25"/>
      <c r="C12259" s="24"/>
      <c r="D12259" s="26"/>
      <c r="E12259" s="24"/>
      <c r="F12259" s="24"/>
      <c r="G12259" s="24"/>
      <c r="H12259" s="24"/>
      <c r="I12259" s="24"/>
      <c r="J12259" s="24"/>
      <c r="K12259" s="24"/>
      <c r="L12259" s="24"/>
      <c r="M12259" s="24"/>
      <c r="N12259" s="24"/>
      <c r="O12259" s="24"/>
      <c r="P12259" s="24"/>
      <c r="Q12259" s="24"/>
      <c r="R12259" s="24"/>
      <c r="S12259" s="24"/>
      <c r="T12259" s="24"/>
      <c r="U12259" s="24"/>
      <c r="V12259" s="24"/>
      <c r="W12259" s="24"/>
      <c r="X12259" s="24"/>
      <c r="Y12259" s="24"/>
      <c r="Z12259" s="24"/>
      <c r="AA12259" s="24"/>
    </row>
    <row r="12260">
      <c r="A12260" s="24"/>
      <c r="B12260" s="25"/>
      <c r="C12260" s="24"/>
      <c r="D12260" s="26"/>
      <c r="E12260" s="24"/>
      <c r="F12260" s="24"/>
      <c r="G12260" s="24"/>
      <c r="H12260" s="24"/>
      <c r="I12260" s="24"/>
      <c r="J12260" s="24"/>
      <c r="K12260" s="24"/>
      <c r="L12260" s="24"/>
      <c r="M12260" s="24"/>
      <c r="N12260" s="24"/>
      <c r="O12260" s="24"/>
      <c r="P12260" s="24"/>
      <c r="Q12260" s="24"/>
      <c r="R12260" s="24"/>
      <c r="S12260" s="24"/>
      <c r="T12260" s="24"/>
      <c r="U12260" s="24"/>
      <c r="V12260" s="24"/>
      <c r="W12260" s="24"/>
      <c r="X12260" s="24"/>
      <c r="Y12260" s="24"/>
      <c r="Z12260" s="24"/>
      <c r="AA12260" s="24"/>
    </row>
    <row r="12261">
      <c r="A12261" s="24"/>
      <c r="B12261" s="25"/>
      <c r="C12261" s="24"/>
      <c r="D12261" s="26"/>
      <c r="E12261" s="24"/>
      <c r="F12261" s="24"/>
      <c r="G12261" s="24"/>
      <c r="H12261" s="24"/>
      <c r="I12261" s="24"/>
      <c r="J12261" s="24"/>
      <c r="K12261" s="24"/>
      <c r="L12261" s="24"/>
      <c r="M12261" s="24"/>
      <c r="N12261" s="24"/>
      <c r="O12261" s="24"/>
      <c r="P12261" s="24"/>
      <c r="Q12261" s="24"/>
      <c r="R12261" s="24"/>
      <c r="S12261" s="24"/>
      <c r="T12261" s="24"/>
      <c r="U12261" s="24"/>
      <c r="V12261" s="24"/>
      <c r="W12261" s="24"/>
      <c r="X12261" s="24"/>
      <c r="Y12261" s="24"/>
      <c r="Z12261" s="24"/>
      <c r="AA12261" s="24"/>
    </row>
    <row r="12262">
      <c r="A12262" s="24"/>
      <c r="B12262" s="25"/>
      <c r="C12262" s="24"/>
      <c r="D12262" s="26"/>
      <c r="E12262" s="24"/>
      <c r="F12262" s="24"/>
      <c r="G12262" s="24"/>
      <c r="H12262" s="24"/>
      <c r="I12262" s="24"/>
      <c r="J12262" s="24"/>
      <c r="K12262" s="24"/>
      <c r="L12262" s="24"/>
      <c r="M12262" s="24"/>
      <c r="N12262" s="24"/>
      <c r="O12262" s="24"/>
      <c r="P12262" s="24"/>
      <c r="Q12262" s="24"/>
      <c r="R12262" s="24"/>
      <c r="S12262" s="24"/>
      <c r="T12262" s="24"/>
      <c r="U12262" s="24"/>
      <c r="V12262" s="24"/>
      <c r="W12262" s="24"/>
      <c r="X12262" s="24"/>
      <c r="Y12262" s="24"/>
      <c r="Z12262" s="24"/>
      <c r="AA12262" s="24"/>
    </row>
    <row r="12263">
      <c r="A12263" s="24"/>
      <c r="B12263" s="25"/>
      <c r="C12263" s="24"/>
      <c r="D12263" s="26"/>
      <c r="E12263" s="24"/>
      <c r="F12263" s="24"/>
      <c r="G12263" s="24"/>
      <c r="H12263" s="24"/>
      <c r="I12263" s="24"/>
      <c r="J12263" s="24"/>
      <c r="K12263" s="24"/>
      <c r="L12263" s="24"/>
      <c r="M12263" s="24"/>
      <c r="N12263" s="24"/>
      <c r="O12263" s="24"/>
      <c r="P12263" s="24"/>
      <c r="Q12263" s="24"/>
      <c r="R12263" s="24"/>
      <c r="S12263" s="24"/>
      <c r="T12263" s="24"/>
      <c r="U12263" s="24"/>
      <c r="V12263" s="24"/>
      <c r="W12263" s="24"/>
      <c r="X12263" s="24"/>
      <c r="Y12263" s="24"/>
      <c r="Z12263" s="24"/>
      <c r="AA12263" s="24"/>
    </row>
    <row r="12264">
      <c r="A12264" s="24"/>
      <c r="B12264" s="25"/>
      <c r="C12264" s="24"/>
      <c r="D12264" s="26"/>
      <c r="E12264" s="24"/>
      <c r="F12264" s="24"/>
      <c r="G12264" s="24"/>
      <c r="H12264" s="24"/>
      <c r="I12264" s="24"/>
      <c r="J12264" s="24"/>
      <c r="K12264" s="24"/>
      <c r="L12264" s="24"/>
      <c r="M12264" s="24"/>
      <c r="N12264" s="24"/>
      <c r="O12264" s="24"/>
      <c r="P12264" s="24"/>
      <c r="Q12264" s="24"/>
      <c r="R12264" s="24"/>
      <c r="S12264" s="24"/>
      <c r="T12264" s="24"/>
      <c r="U12264" s="24"/>
      <c r="V12264" s="24"/>
      <c r="W12264" s="24"/>
      <c r="X12264" s="24"/>
      <c r="Y12264" s="24"/>
      <c r="Z12264" s="24"/>
      <c r="AA12264" s="24"/>
    </row>
    <row r="12265">
      <c r="A12265" s="24"/>
      <c r="B12265" s="25"/>
      <c r="C12265" s="24"/>
      <c r="D12265" s="26"/>
      <c r="E12265" s="24"/>
      <c r="F12265" s="24"/>
      <c r="G12265" s="24"/>
      <c r="H12265" s="24"/>
      <c r="I12265" s="24"/>
      <c r="J12265" s="24"/>
      <c r="K12265" s="24"/>
      <c r="L12265" s="24"/>
      <c r="M12265" s="24"/>
      <c r="N12265" s="24"/>
      <c r="O12265" s="24"/>
      <c r="P12265" s="24"/>
      <c r="Q12265" s="24"/>
      <c r="R12265" s="24"/>
      <c r="S12265" s="24"/>
      <c r="T12265" s="24"/>
      <c r="U12265" s="24"/>
      <c r="V12265" s="24"/>
      <c r="W12265" s="24"/>
      <c r="X12265" s="24"/>
      <c r="Y12265" s="24"/>
      <c r="Z12265" s="24"/>
      <c r="AA12265" s="24"/>
    </row>
    <row r="12266">
      <c r="A12266" s="24"/>
      <c r="B12266" s="25"/>
      <c r="C12266" s="24"/>
      <c r="D12266" s="26"/>
      <c r="E12266" s="24"/>
      <c r="F12266" s="24"/>
      <c r="G12266" s="24"/>
      <c r="H12266" s="24"/>
      <c r="I12266" s="24"/>
      <c r="J12266" s="24"/>
      <c r="K12266" s="24"/>
      <c r="L12266" s="24"/>
      <c r="M12266" s="24"/>
      <c r="N12266" s="24"/>
      <c r="O12266" s="24"/>
      <c r="P12266" s="24"/>
      <c r="Q12266" s="24"/>
      <c r="R12266" s="24"/>
      <c r="S12266" s="24"/>
      <c r="T12266" s="24"/>
      <c r="U12266" s="24"/>
      <c r="V12266" s="24"/>
      <c r="W12266" s="24"/>
      <c r="X12266" s="24"/>
      <c r="Y12266" s="24"/>
      <c r="Z12266" s="24"/>
      <c r="AA12266" s="24"/>
    </row>
    <row r="12267">
      <c r="A12267" s="24"/>
      <c r="B12267" s="25"/>
      <c r="C12267" s="24"/>
      <c r="D12267" s="26"/>
      <c r="E12267" s="24"/>
      <c r="F12267" s="24"/>
      <c r="G12267" s="24"/>
      <c r="H12267" s="24"/>
      <c r="I12267" s="24"/>
      <c r="J12267" s="24"/>
      <c r="K12267" s="24"/>
      <c r="L12267" s="24"/>
      <c r="M12267" s="24"/>
      <c r="N12267" s="24"/>
      <c r="O12267" s="24"/>
      <c r="P12267" s="24"/>
      <c r="Q12267" s="24"/>
      <c r="R12267" s="24"/>
      <c r="S12267" s="24"/>
      <c r="T12267" s="24"/>
      <c r="U12267" s="24"/>
      <c r="V12267" s="24"/>
      <c r="W12267" s="24"/>
      <c r="X12267" s="24"/>
      <c r="Y12267" s="24"/>
      <c r="Z12267" s="24"/>
      <c r="AA12267" s="24"/>
    </row>
    <row r="12268">
      <c r="A12268" s="24"/>
      <c r="B12268" s="25"/>
      <c r="C12268" s="24"/>
      <c r="D12268" s="26"/>
      <c r="E12268" s="24"/>
      <c r="F12268" s="24"/>
      <c r="G12268" s="24"/>
      <c r="H12268" s="24"/>
      <c r="I12268" s="24"/>
      <c r="J12268" s="24"/>
      <c r="K12268" s="24"/>
      <c r="L12268" s="24"/>
      <c r="M12268" s="24"/>
      <c r="N12268" s="24"/>
      <c r="O12268" s="24"/>
      <c r="P12268" s="24"/>
      <c r="Q12268" s="24"/>
      <c r="R12268" s="24"/>
      <c r="S12268" s="24"/>
      <c r="T12268" s="24"/>
      <c r="U12268" s="24"/>
      <c r="V12268" s="24"/>
      <c r="W12268" s="24"/>
      <c r="X12268" s="24"/>
      <c r="Y12268" s="24"/>
      <c r="Z12268" s="24"/>
      <c r="AA12268" s="24"/>
    </row>
    <row r="12269">
      <c r="A12269" s="24"/>
      <c r="B12269" s="25"/>
      <c r="C12269" s="24"/>
      <c r="D12269" s="26"/>
      <c r="E12269" s="24"/>
      <c r="F12269" s="24"/>
      <c r="G12269" s="24"/>
      <c r="H12269" s="24"/>
      <c r="I12269" s="24"/>
      <c r="J12269" s="24"/>
      <c r="K12269" s="24"/>
      <c r="L12269" s="24"/>
      <c r="M12269" s="24"/>
      <c r="N12269" s="24"/>
      <c r="O12269" s="24"/>
      <c r="P12269" s="24"/>
      <c r="Q12269" s="24"/>
      <c r="R12269" s="24"/>
      <c r="S12269" s="24"/>
      <c r="T12269" s="24"/>
      <c r="U12269" s="24"/>
      <c r="V12269" s="24"/>
      <c r="W12269" s="24"/>
      <c r="X12269" s="24"/>
      <c r="Y12269" s="24"/>
      <c r="Z12269" s="24"/>
      <c r="AA12269" s="24"/>
    </row>
    <row r="12270">
      <c r="A12270" s="24"/>
      <c r="B12270" s="25"/>
      <c r="C12270" s="24"/>
      <c r="D12270" s="26"/>
      <c r="E12270" s="24"/>
      <c r="F12270" s="24"/>
      <c r="G12270" s="24"/>
      <c r="H12270" s="24"/>
      <c r="I12270" s="24"/>
      <c r="J12270" s="24"/>
      <c r="K12270" s="24"/>
      <c r="L12270" s="24"/>
      <c r="M12270" s="24"/>
      <c r="N12270" s="24"/>
      <c r="O12270" s="24"/>
      <c r="P12270" s="24"/>
      <c r="Q12270" s="24"/>
      <c r="R12270" s="24"/>
      <c r="S12270" s="24"/>
      <c r="T12270" s="24"/>
      <c r="U12270" s="24"/>
      <c r="V12270" s="24"/>
      <c r="W12270" s="24"/>
      <c r="X12270" s="24"/>
      <c r="Y12270" s="24"/>
      <c r="Z12270" s="24"/>
      <c r="AA12270" s="24"/>
    </row>
    <row r="12271">
      <c r="A12271" s="24"/>
      <c r="B12271" s="25"/>
      <c r="C12271" s="24"/>
      <c r="D12271" s="26"/>
      <c r="E12271" s="24"/>
      <c r="F12271" s="24"/>
      <c r="G12271" s="24"/>
      <c r="H12271" s="24"/>
      <c r="I12271" s="24"/>
      <c r="J12271" s="24"/>
      <c r="K12271" s="24"/>
      <c r="L12271" s="24"/>
      <c r="M12271" s="24"/>
      <c r="N12271" s="24"/>
      <c r="O12271" s="24"/>
      <c r="P12271" s="24"/>
      <c r="Q12271" s="24"/>
      <c r="R12271" s="24"/>
      <c r="S12271" s="24"/>
      <c r="T12271" s="24"/>
      <c r="U12271" s="24"/>
      <c r="V12271" s="24"/>
      <c r="W12271" s="24"/>
      <c r="X12271" s="24"/>
      <c r="Y12271" s="24"/>
      <c r="Z12271" s="24"/>
      <c r="AA12271" s="24"/>
    </row>
    <row r="12272">
      <c r="A12272" s="24"/>
      <c r="B12272" s="25"/>
      <c r="C12272" s="24"/>
      <c r="D12272" s="26"/>
      <c r="E12272" s="24"/>
      <c r="F12272" s="24"/>
      <c r="G12272" s="24"/>
      <c r="H12272" s="24"/>
      <c r="I12272" s="24"/>
      <c r="J12272" s="24"/>
      <c r="K12272" s="24"/>
      <c r="L12272" s="24"/>
      <c r="M12272" s="24"/>
      <c r="N12272" s="24"/>
      <c r="O12272" s="24"/>
      <c r="P12272" s="24"/>
      <c r="Q12272" s="24"/>
      <c r="R12272" s="24"/>
      <c r="S12272" s="24"/>
      <c r="T12272" s="24"/>
      <c r="U12272" s="24"/>
      <c r="V12272" s="24"/>
      <c r="W12272" s="24"/>
      <c r="X12272" s="24"/>
      <c r="Y12272" s="24"/>
      <c r="Z12272" s="24"/>
      <c r="AA12272" s="24"/>
    </row>
    <row r="12273">
      <c r="A12273" s="24"/>
      <c r="B12273" s="25"/>
      <c r="C12273" s="24"/>
      <c r="D12273" s="26"/>
      <c r="E12273" s="24"/>
      <c r="F12273" s="24"/>
      <c r="G12273" s="24"/>
      <c r="H12273" s="24"/>
      <c r="I12273" s="24"/>
      <c r="J12273" s="24"/>
      <c r="K12273" s="24"/>
      <c r="L12273" s="24"/>
      <c r="M12273" s="24"/>
      <c r="N12273" s="24"/>
      <c r="O12273" s="24"/>
      <c r="P12273" s="24"/>
      <c r="Q12273" s="24"/>
      <c r="R12273" s="24"/>
      <c r="S12273" s="24"/>
      <c r="T12273" s="24"/>
      <c r="U12273" s="24"/>
      <c r="V12273" s="24"/>
      <c r="W12273" s="24"/>
      <c r="X12273" s="24"/>
      <c r="Y12273" s="24"/>
      <c r="Z12273" s="24"/>
      <c r="AA12273" s="24"/>
    </row>
    <row r="12274">
      <c r="A12274" s="24"/>
      <c r="B12274" s="25"/>
      <c r="C12274" s="24"/>
      <c r="D12274" s="26"/>
      <c r="E12274" s="24"/>
      <c r="F12274" s="24"/>
      <c r="G12274" s="24"/>
      <c r="H12274" s="24"/>
      <c r="I12274" s="24"/>
      <c r="J12274" s="24"/>
      <c r="K12274" s="24"/>
      <c r="L12274" s="24"/>
      <c r="M12274" s="24"/>
      <c r="N12274" s="24"/>
      <c r="O12274" s="24"/>
      <c r="P12274" s="24"/>
      <c r="Q12274" s="24"/>
      <c r="R12274" s="24"/>
      <c r="S12274" s="24"/>
      <c r="T12274" s="24"/>
      <c r="U12274" s="24"/>
      <c r="V12274" s="24"/>
      <c r="W12274" s="24"/>
      <c r="X12274" s="24"/>
      <c r="Y12274" s="24"/>
      <c r="Z12274" s="24"/>
      <c r="AA12274" s="24"/>
    </row>
    <row r="12275">
      <c r="A12275" s="24"/>
      <c r="B12275" s="25"/>
      <c r="C12275" s="24"/>
      <c r="D12275" s="26"/>
      <c r="E12275" s="24"/>
      <c r="F12275" s="24"/>
      <c r="G12275" s="24"/>
      <c r="H12275" s="24"/>
      <c r="I12275" s="24"/>
      <c r="J12275" s="24"/>
      <c r="K12275" s="24"/>
      <c r="L12275" s="24"/>
      <c r="M12275" s="24"/>
      <c r="N12275" s="24"/>
      <c r="O12275" s="24"/>
      <c r="P12275" s="24"/>
      <c r="Q12275" s="24"/>
      <c r="R12275" s="24"/>
      <c r="S12275" s="24"/>
      <c r="T12275" s="24"/>
      <c r="U12275" s="24"/>
      <c r="V12275" s="24"/>
      <c r="W12275" s="24"/>
      <c r="X12275" s="24"/>
      <c r="Y12275" s="24"/>
      <c r="Z12275" s="24"/>
      <c r="AA12275" s="24"/>
    </row>
    <row r="12276">
      <c r="A12276" s="24"/>
      <c r="B12276" s="25"/>
      <c r="C12276" s="24"/>
      <c r="D12276" s="26"/>
      <c r="E12276" s="24"/>
      <c r="F12276" s="24"/>
      <c r="G12276" s="24"/>
      <c r="H12276" s="24"/>
      <c r="I12276" s="24"/>
      <c r="J12276" s="24"/>
      <c r="K12276" s="24"/>
      <c r="L12276" s="24"/>
      <c r="M12276" s="24"/>
      <c r="N12276" s="24"/>
      <c r="O12276" s="24"/>
      <c r="P12276" s="24"/>
      <c r="Q12276" s="24"/>
      <c r="R12276" s="24"/>
      <c r="S12276" s="24"/>
      <c r="T12276" s="24"/>
      <c r="U12276" s="24"/>
      <c r="V12276" s="24"/>
      <c r="W12276" s="24"/>
      <c r="X12276" s="24"/>
      <c r="Y12276" s="24"/>
      <c r="Z12276" s="24"/>
      <c r="AA12276" s="24"/>
    </row>
    <row r="12277">
      <c r="A12277" s="24"/>
      <c r="B12277" s="25"/>
      <c r="C12277" s="24"/>
      <c r="D12277" s="26"/>
      <c r="E12277" s="24"/>
      <c r="F12277" s="24"/>
      <c r="G12277" s="24"/>
      <c r="H12277" s="24"/>
      <c r="I12277" s="24"/>
      <c r="J12277" s="24"/>
      <c r="K12277" s="24"/>
      <c r="L12277" s="24"/>
      <c r="M12277" s="24"/>
      <c r="N12277" s="24"/>
      <c r="O12277" s="24"/>
      <c r="P12277" s="24"/>
      <c r="Q12277" s="24"/>
      <c r="R12277" s="24"/>
      <c r="S12277" s="24"/>
      <c r="T12277" s="24"/>
      <c r="U12277" s="24"/>
      <c r="V12277" s="24"/>
      <c r="W12277" s="24"/>
      <c r="X12277" s="24"/>
      <c r="Y12277" s="24"/>
      <c r="Z12277" s="24"/>
      <c r="AA12277" s="24"/>
    </row>
    <row r="12278">
      <c r="A12278" s="24"/>
      <c r="B12278" s="25"/>
      <c r="C12278" s="24"/>
      <c r="D12278" s="26"/>
      <c r="E12278" s="24"/>
      <c r="F12278" s="24"/>
      <c r="G12278" s="24"/>
      <c r="H12278" s="24"/>
      <c r="I12278" s="24"/>
      <c r="J12278" s="24"/>
      <c r="K12278" s="24"/>
      <c r="L12278" s="24"/>
      <c r="M12278" s="24"/>
      <c r="N12278" s="24"/>
      <c r="O12278" s="24"/>
      <c r="P12278" s="24"/>
      <c r="Q12278" s="24"/>
      <c r="R12278" s="24"/>
      <c r="S12278" s="24"/>
      <c r="T12278" s="24"/>
      <c r="U12278" s="24"/>
      <c r="V12278" s="24"/>
      <c r="W12278" s="24"/>
      <c r="X12278" s="24"/>
      <c r="Y12278" s="24"/>
      <c r="Z12278" s="24"/>
      <c r="AA12278" s="24"/>
    </row>
    <row r="12279">
      <c r="A12279" s="24"/>
      <c r="B12279" s="25"/>
      <c r="C12279" s="24"/>
      <c r="D12279" s="26"/>
      <c r="E12279" s="24"/>
      <c r="F12279" s="24"/>
      <c r="G12279" s="24"/>
      <c r="H12279" s="24"/>
      <c r="I12279" s="24"/>
      <c r="J12279" s="24"/>
      <c r="K12279" s="24"/>
      <c r="L12279" s="24"/>
      <c r="M12279" s="24"/>
      <c r="N12279" s="24"/>
      <c r="O12279" s="24"/>
      <c r="P12279" s="24"/>
      <c r="Q12279" s="24"/>
      <c r="R12279" s="24"/>
      <c r="S12279" s="24"/>
      <c r="T12279" s="24"/>
      <c r="U12279" s="24"/>
      <c r="V12279" s="24"/>
      <c r="W12279" s="24"/>
      <c r="X12279" s="24"/>
      <c r="Y12279" s="24"/>
      <c r="Z12279" s="24"/>
      <c r="AA12279" s="24"/>
    </row>
    <row r="12280">
      <c r="A12280" s="24"/>
      <c r="B12280" s="25"/>
      <c r="C12280" s="24"/>
      <c r="D12280" s="26"/>
      <c r="E12280" s="24"/>
      <c r="F12280" s="24"/>
      <c r="G12280" s="24"/>
      <c r="H12280" s="24"/>
      <c r="I12280" s="24"/>
      <c r="J12280" s="24"/>
      <c r="K12280" s="24"/>
      <c r="L12280" s="24"/>
      <c r="M12280" s="24"/>
      <c r="N12280" s="24"/>
      <c r="O12280" s="24"/>
      <c r="P12280" s="24"/>
      <c r="Q12280" s="24"/>
      <c r="R12280" s="24"/>
      <c r="S12280" s="24"/>
      <c r="T12280" s="24"/>
      <c r="U12280" s="24"/>
      <c r="V12280" s="24"/>
      <c r="W12280" s="24"/>
      <c r="X12280" s="24"/>
      <c r="Y12280" s="24"/>
      <c r="Z12280" s="24"/>
      <c r="AA12280" s="24"/>
    </row>
    <row r="12281">
      <c r="A12281" s="24"/>
      <c r="B12281" s="25"/>
      <c r="C12281" s="24"/>
      <c r="D12281" s="26"/>
      <c r="E12281" s="24"/>
      <c r="F12281" s="24"/>
      <c r="G12281" s="24"/>
      <c r="H12281" s="24"/>
      <c r="I12281" s="24"/>
      <c r="J12281" s="24"/>
      <c r="K12281" s="24"/>
      <c r="L12281" s="24"/>
      <c r="M12281" s="24"/>
      <c r="N12281" s="24"/>
      <c r="O12281" s="24"/>
      <c r="P12281" s="24"/>
      <c r="Q12281" s="24"/>
      <c r="R12281" s="24"/>
      <c r="S12281" s="24"/>
      <c r="T12281" s="24"/>
      <c r="U12281" s="24"/>
      <c r="V12281" s="24"/>
      <c r="W12281" s="24"/>
      <c r="X12281" s="24"/>
      <c r="Y12281" s="24"/>
      <c r="Z12281" s="24"/>
      <c r="AA12281" s="24"/>
    </row>
    <row r="12282">
      <c r="A12282" s="24"/>
      <c r="B12282" s="25"/>
      <c r="C12282" s="24"/>
      <c r="D12282" s="26"/>
      <c r="E12282" s="24"/>
      <c r="F12282" s="24"/>
      <c r="G12282" s="24"/>
      <c r="H12282" s="24"/>
      <c r="I12282" s="24"/>
      <c r="J12282" s="24"/>
      <c r="K12282" s="24"/>
      <c r="L12282" s="24"/>
      <c r="M12282" s="24"/>
      <c r="N12282" s="24"/>
      <c r="O12282" s="24"/>
      <c r="P12282" s="24"/>
      <c r="Q12282" s="24"/>
      <c r="R12282" s="24"/>
      <c r="S12282" s="24"/>
      <c r="T12282" s="24"/>
      <c r="U12282" s="24"/>
      <c r="V12282" s="24"/>
      <c r="W12282" s="24"/>
      <c r="X12282" s="24"/>
      <c r="Y12282" s="24"/>
      <c r="Z12282" s="24"/>
      <c r="AA12282" s="24"/>
    </row>
    <row r="12283">
      <c r="A12283" s="24"/>
      <c r="B12283" s="25"/>
      <c r="C12283" s="24"/>
      <c r="D12283" s="26"/>
      <c r="E12283" s="24"/>
      <c r="F12283" s="24"/>
      <c r="G12283" s="24"/>
      <c r="H12283" s="24"/>
      <c r="I12283" s="24"/>
      <c r="J12283" s="24"/>
      <c r="K12283" s="24"/>
      <c r="L12283" s="24"/>
      <c r="M12283" s="24"/>
      <c r="N12283" s="24"/>
      <c r="O12283" s="24"/>
      <c r="P12283" s="24"/>
      <c r="Q12283" s="24"/>
      <c r="R12283" s="24"/>
      <c r="S12283" s="24"/>
      <c r="T12283" s="24"/>
      <c r="U12283" s="24"/>
      <c r="V12283" s="24"/>
      <c r="W12283" s="24"/>
      <c r="X12283" s="24"/>
      <c r="Y12283" s="24"/>
      <c r="Z12283" s="24"/>
      <c r="AA12283" s="24"/>
    </row>
    <row r="12284">
      <c r="A12284" s="24"/>
      <c r="B12284" s="25"/>
      <c r="C12284" s="24"/>
      <c r="D12284" s="26"/>
      <c r="E12284" s="24"/>
      <c r="F12284" s="24"/>
      <c r="G12284" s="24"/>
      <c r="H12284" s="24"/>
      <c r="I12284" s="24"/>
      <c r="J12284" s="24"/>
      <c r="K12284" s="24"/>
      <c r="L12284" s="24"/>
      <c r="M12284" s="24"/>
      <c r="N12284" s="24"/>
      <c r="O12284" s="24"/>
      <c r="P12284" s="24"/>
      <c r="Q12284" s="24"/>
      <c r="R12284" s="24"/>
      <c r="S12284" s="24"/>
      <c r="T12284" s="24"/>
      <c r="U12284" s="24"/>
      <c r="V12284" s="24"/>
      <c r="W12284" s="24"/>
      <c r="X12284" s="24"/>
      <c r="Y12284" s="24"/>
      <c r="Z12284" s="24"/>
      <c r="AA12284" s="24"/>
    </row>
    <row r="12285">
      <c r="A12285" s="24"/>
      <c r="B12285" s="25"/>
      <c r="C12285" s="24"/>
      <c r="D12285" s="26"/>
      <c r="E12285" s="24"/>
      <c r="F12285" s="24"/>
      <c r="G12285" s="24"/>
      <c r="H12285" s="24"/>
      <c r="I12285" s="24"/>
      <c r="J12285" s="24"/>
      <c r="K12285" s="24"/>
      <c r="L12285" s="24"/>
      <c r="M12285" s="24"/>
      <c r="N12285" s="24"/>
      <c r="O12285" s="24"/>
      <c r="P12285" s="24"/>
      <c r="Q12285" s="24"/>
      <c r="R12285" s="24"/>
      <c r="S12285" s="24"/>
      <c r="T12285" s="24"/>
      <c r="U12285" s="24"/>
      <c r="V12285" s="24"/>
      <c r="W12285" s="24"/>
      <c r="X12285" s="24"/>
      <c r="Y12285" s="24"/>
      <c r="Z12285" s="24"/>
      <c r="AA12285" s="24"/>
    </row>
    <row r="12286">
      <c r="A12286" s="24"/>
      <c r="B12286" s="25"/>
      <c r="C12286" s="24"/>
      <c r="D12286" s="26"/>
      <c r="E12286" s="24"/>
      <c r="F12286" s="24"/>
      <c r="G12286" s="24"/>
      <c r="H12286" s="24"/>
      <c r="I12286" s="24"/>
      <c r="J12286" s="24"/>
      <c r="K12286" s="24"/>
      <c r="L12286" s="24"/>
      <c r="M12286" s="24"/>
      <c r="N12286" s="24"/>
      <c r="O12286" s="24"/>
      <c r="P12286" s="24"/>
      <c r="Q12286" s="24"/>
      <c r="R12286" s="24"/>
      <c r="S12286" s="24"/>
      <c r="T12286" s="24"/>
      <c r="U12286" s="24"/>
      <c r="V12286" s="24"/>
      <c r="W12286" s="24"/>
      <c r="X12286" s="24"/>
      <c r="Y12286" s="24"/>
      <c r="Z12286" s="24"/>
      <c r="AA12286" s="24"/>
    </row>
    <row r="12287">
      <c r="A12287" s="24"/>
      <c r="B12287" s="25"/>
      <c r="C12287" s="24"/>
      <c r="D12287" s="26"/>
      <c r="E12287" s="24"/>
      <c r="F12287" s="24"/>
      <c r="G12287" s="24"/>
      <c r="H12287" s="24"/>
      <c r="I12287" s="24"/>
      <c r="J12287" s="24"/>
      <c r="K12287" s="24"/>
      <c r="L12287" s="24"/>
      <c r="M12287" s="24"/>
      <c r="N12287" s="24"/>
      <c r="O12287" s="24"/>
      <c r="P12287" s="24"/>
      <c r="Q12287" s="24"/>
      <c r="R12287" s="24"/>
      <c r="S12287" s="24"/>
      <c r="T12287" s="24"/>
      <c r="U12287" s="24"/>
      <c r="V12287" s="24"/>
      <c r="W12287" s="24"/>
      <c r="X12287" s="24"/>
      <c r="Y12287" s="24"/>
      <c r="Z12287" s="24"/>
      <c r="AA12287" s="24"/>
    </row>
    <row r="12288">
      <c r="A12288" s="24"/>
      <c r="B12288" s="25"/>
      <c r="C12288" s="24"/>
      <c r="D12288" s="26"/>
      <c r="E12288" s="24"/>
      <c r="F12288" s="24"/>
      <c r="G12288" s="24"/>
      <c r="H12288" s="24"/>
      <c r="I12288" s="24"/>
      <c r="J12288" s="24"/>
      <c r="K12288" s="24"/>
      <c r="L12288" s="24"/>
      <c r="M12288" s="24"/>
      <c r="N12288" s="24"/>
      <c r="O12288" s="24"/>
      <c r="P12288" s="24"/>
      <c r="Q12288" s="24"/>
      <c r="R12288" s="24"/>
      <c r="S12288" s="24"/>
      <c r="T12288" s="24"/>
      <c r="U12288" s="24"/>
      <c r="V12288" s="24"/>
      <c r="W12288" s="24"/>
      <c r="X12288" s="24"/>
      <c r="Y12288" s="24"/>
      <c r="Z12288" s="24"/>
      <c r="AA12288" s="24"/>
    </row>
    <row r="12289">
      <c r="A12289" s="24"/>
      <c r="B12289" s="25"/>
      <c r="C12289" s="24"/>
      <c r="D12289" s="26"/>
      <c r="E12289" s="24"/>
      <c r="F12289" s="24"/>
      <c r="G12289" s="24"/>
      <c r="H12289" s="24"/>
      <c r="I12289" s="24"/>
      <c r="J12289" s="24"/>
      <c r="K12289" s="24"/>
      <c r="L12289" s="24"/>
      <c r="M12289" s="24"/>
      <c r="N12289" s="24"/>
      <c r="O12289" s="24"/>
      <c r="P12289" s="24"/>
      <c r="Q12289" s="24"/>
      <c r="R12289" s="24"/>
      <c r="S12289" s="24"/>
      <c r="T12289" s="24"/>
      <c r="U12289" s="24"/>
      <c r="V12289" s="24"/>
      <c r="W12289" s="24"/>
      <c r="X12289" s="24"/>
      <c r="Y12289" s="24"/>
      <c r="Z12289" s="24"/>
      <c r="AA12289" s="24"/>
    </row>
    <row r="12290">
      <c r="A12290" s="24"/>
      <c r="B12290" s="25"/>
      <c r="C12290" s="24"/>
      <c r="D12290" s="26"/>
      <c r="E12290" s="24"/>
      <c r="F12290" s="24"/>
      <c r="G12290" s="24"/>
      <c r="H12290" s="24"/>
      <c r="I12290" s="24"/>
      <c r="J12290" s="24"/>
      <c r="K12290" s="24"/>
      <c r="L12290" s="24"/>
      <c r="M12290" s="24"/>
      <c r="N12290" s="24"/>
      <c r="O12290" s="24"/>
      <c r="P12290" s="24"/>
      <c r="Q12290" s="24"/>
      <c r="R12290" s="24"/>
      <c r="S12290" s="24"/>
      <c r="T12290" s="24"/>
      <c r="U12290" s="24"/>
      <c r="V12290" s="24"/>
      <c r="W12290" s="24"/>
      <c r="X12290" s="24"/>
      <c r="Y12290" s="24"/>
      <c r="Z12290" s="24"/>
      <c r="AA12290" s="24"/>
    </row>
    <row r="12291">
      <c r="A12291" s="24"/>
      <c r="B12291" s="25"/>
      <c r="C12291" s="24"/>
      <c r="D12291" s="26"/>
      <c r="E12291" s="24"/>
      <c r="F12291" s="24"/>
      <c r="G12291" s="24"/>
      <c r="H12291" s="24"/>
      <c r="I12291" s="24"/>
      <c r="J12291" s="24"/>
      <c r="K12291" s="24"/>
      <c r="L12291" s="24"/>
      <c r="M12291" s="24"/>
      <c r="N12291" s="24"/>
      <c r="O12291" s="24"/>
      <c r="P12291" s="24"/>
      <c r="Q12291" s="24"/>
      <c r="R12291" s="24"/>
      <c r="S12291" s="24"/>
      <c r="T12291" s="24"/>
      <c r="U12291" s="24"/>
      <c r="V12291" s="24"/>
      <c r="W12291" s="24"/>
      <c r="X12291" s="24"/>
      <c r="Y12291" s="24"/>
      <c r="Z12291" s="24"/>
      <c r="AA12291" s="24"/>
    </row>
    <row r="12292">
      <c r="A12292" s="24"/>
      <c r="B12292" s="25"/>
      <c r="C12292" s="24"/>
      <c r="D12292" s="26"/>
      <c r="E12292" s="24"/>
      <c r="F12292" s="24"/>
      <c r="G12292" s="24"/>
      <c r="H12292" s="24"/>
      <c r="I12292" s="24"/>
      <c r="J12292" s="24"/>
      <c r="K12292" s="24"/>
      <c r="L12292" s="24"/>
      <c r="M12292" s="24"/>
      <c r="N12292" s="24"/>
      <c r="O12292" s="24"/>
      <c r="P12292" s="24"/>
      <c r="Q12292" s="24"/>
      <c r="R12292" s="24"/>
      <c r="S12292" s="24"/>
      <c r="T12292" s="24"/>
      <c r="U12292" s="24"/>
      <c r="V12292" s="24"/>
      <c r="W12292" s="24"/>
      <c r="X12292" s="24"/>
      <c r="Y12292" s="24"/>
      <c r="Z12292" s="24"/>
      <c r="AA12292" s="24"/>
    </row>
    <row r="12293">
      <c r="A12293" s="24"/>
      <c r="B12293" s="25"/>
      <c r="C12293" s="24"/>
      <c r="D12293" s="26"/>
      <c r="E12293" s="24"/>
      <c r="F12293" s="24"/>
      <c r="G12293" s="24"/>
      <c r="H12293" s="24"/>
      <c r="I12293" s="24"/>
      <c r="J12293" s="24"/>
      <c r="K12293" s="24"/>
      <c r="L12293" s="24"/>
      <c r="M12293" s="24"/>
      <c r="N12293" s="24"/>
      <c r="O12293" s="24"/>
      <c r="P12293" s="24"/>
      <c r="Q12293" s="24"/>
      <c r="R12293" s="24"/>
      <c r="S12293" s="24"/>
      <c r="T12293" s="24"/>
      <c r="U12293" s="24"/>
      <c r="V12293" s="24"/>
      <c r="W12293" s="24"/>
      <c r="X12293" s="24"/>
      <c r="Y12293" s="24"/>
      <c r="Z12293" s="24"/>
      <c r="AA12293" s="24"/>
    </row>
    <row r="12294">
      <c r="A12294" s="24"/>
      <c r="B12294" s="25"/>
      <c r="C12294" s="24"/>
      <c r="D12294" s="26"/>
      <c r="E12294" s="24"/>
      <c r="F12294" s="24"/>
      <c r="G12294" s="24"/>
      <c r="H12294" s="24"/>
      <c r="I12294" s="24"/>
      <c r="J12294" s="24"/>
      <c r="K12294" s="24"/>
      <c r="L12294" s="24"/>
      <c r="M12294" s="24"/>
      <c r="N12294" s="24"/>
      <c r="O12294" s="24"/>
      <c r="P12294" s="24"/>
      <c r="Q12294" s="24"/>
      <c r="R12294" s="24"/>
      <c r="S12294" s="24"/>
      <c r="T12294" s="24"/>
      <c r="U12294" s="24"/>
      <c r="V12294" s="24"/>
      <c r="W12294" s="24"/>
      <c r="X12294" s="24"/>
      <c r="Y12294" s="24"/>
      <c r="Z12294" s="24"/>
      <c r="AA12294" s="24"/>
    </row>
    <row r="12295">
      <c r="A12295" s="24"/>
      <c r="B12295" s="25"/>
      <c r="C12295" s="24"/>
      <c r="D12295" s="26"/>
      <c r="E12295" s="24"/>
      <c r="F12295" s="24"/>
      <c r="G12295" s="24"/>
      <c r="H12295" s="24"/>
      <c r="I12295" s="24"/>
      <c r="J12295" s="24"/>
      <c r="K12295" s="24"/>
      <c r="L12295" s="24"/>
      <c r="M12295" s="24"/>
      <c r="N12295" s="24"/>
      <c r="O12295" s="24"/>
      <c r="P12295" s="24"/>
      <c r="Q12295" s="24"/>
      <c r="R12295" s="24"/>
      <c r="S12295" s="24"/>
      <c r="T12295" s="24"/>
      <c r="U12295" s="24"/>
      <c r="V12295" s="24"/>
      <c r="W12295" s="24"/>
      <c r="X12295" s="24"/>
      <c r="Y12295" s="24"/>
      <c r="Z12295" s="24"/>
      <c r="AA12295" s="24"/>
    </row>
    <row r="12296">
      <c r="A12296" s="24"/>
      <c r="B12296" s="25"/>
      <c r="C12296" s="24"/>
      <c r="D12296" s="26"/>
      <c r="E12296" s="24"/>
      <c r="F12296" s="24"/>
      <c r="G12296" s="24"/>
      <c r="H12296" s="24"/>
      <c r="I12296" s="24"/>
      <c r="J12296" s="24"/>
      <c r="K12296" s="24"/>
      <c r="L12296" s="24"/>
      <c r="M12296" s="24"/>
      <c r="N12296" s="24"/>
      <c r="O12296" s="24"/>
      <c r="P12296" s="24"/>
      <c r="Q12296" s="24"/>
      <c r="R12296" s="24"/>
      <c r="S12296" s="24"/>
      <c r="T12296" s="24"/>
      <c r="U12296" s="24"/>
      <c r="V12296" s="24"/>
      <c r="W12296" s="24"/>
      <c r="X12296" s="24"/>
      <c r="Y12296" s="24"/>
      <c r="Z12296" s="24"/>
      <c r="AA12296" s="24"/>
    </row>
    <row r="12297">
      <c r="A12297" s="24"/>
      <c r="B12297" s="25"/>
      <c r="C12297" s="24"/>
      <c r="D12297" s="26"/>
      <c r="E12297" s="24"/>
      <c r="F12297" s="24"/>
      <c r="G12297" s="24"/>
      <c r="H12297" s="24"/>
      <c r="I12297" s="24"/>
      <c r="J12297" s="24"/>
      <c r="K12297" s="24"/>
      <c r="L12297" s="24"/>
      <c r="M12297" s="24"/>
      <c r="N12297" s="24"/>
      <c r="O12297" s="24"/>
      <c r="P12297" s="24"/>
      <c r="Q12297" s="24"/>
      <c r="R12297" s="24"/>
      <c r="S12297" s="24"/>
      <c r="T12297" s="24"/>
      <c r="U12297" s="24"/>
      <c r="V12297" s="24"/>
      <c r="W12297" s="24"/>
      <c r="X12297" s="24"/>
      <c r="Y12297" s="24"/>
      <c r="Z12297" s="24"/>
      <c r="AA12297" s="24"/>
    </row>
    <row r="12298">
      <c r="A12298" s="24"/>
      <c r="B12298" s="25"/>
      <c r="C12298" s="24"/>
      <c r="D12298" s="26"/>
      <c r="E12298" s="24"/>
      <c r="F12298" s="24"/>
      <c r="G12298" s="24"/>
      <c r="H12298" s="24"/>
      <c r="I12298" s="24"/>
      <c r="J12298" s="24"/>
      <c r="K12298" s="24"/>
      <c r="L12298" s="24"/>
      <c r="M12298" s="24"/>
      <c r="N12298" s="24"/>
      <c r="O12298" s="24"/>
      <c r="P12298" s="24"/>
      <c r="Q12298" s="24"/>
      <c r="R12298" s="24"/>
      <c r="S12298" s="24"/>
      <c r="T12298" s="24"/>
      <c r="U12298" s="24"/>
      <c r="V12298" s="24"/>
      <c r="W12298" s="24"/>
      <c r="X12298" s="24"/>
      <c r="Y12298" s="24"/>
      <c r="Z12298" s="24"/>
      <c r="AA12298" s="24"/>
    </row>
    <row r="12299">
      <c r="A12299" s="24"/>
      <c r="B12299" s="25"/>
      <c r="C12299" s="24"/>
      <c r="D12299" s="26"/>
      <c r="E12299" s="24"/>
      <c r="F12299" s="24"/>
      <c r="G12299" s="24"/>
      <c r="H12299" s="24"/>
      <c r="I12299" s="24"/>
      <c r="J12299" s="24"/>
      <c r="K12299" s="24"/>
      <c r="L12299" s="24"/>
      <c r="M12299" s="24"/>
      <c r="N12299" s="24"/>
      <c r="O12299" s="24"/>
      <c r="P12299" s="24"/>
      <c r="Q12299" s="24"/>
      <c r="R12299" s="24"/>
      <c r="S12299" s="24"/>
      <c r="T12299" s="24"/>
      <c r="U12299" s="24"/>
      <c r="V12299" s="24"/>
      <c r="W12299" s="24"/>
      <c r="X12299" s="24"/>
      <c r="Y12299" s="24"/>
      <c r="Z12299" s="24"/>
      <c r="AA12299" s="24"/>
    </row>
    <row r="12300">
      <c r="A12300" s="24"/>
      <c r="B12300" s="25"/>
      <c r="C12300" s="24"/>
      <c r="D12300" s="26"/>
      <c r="E12300" s="24"/>
      <c r="F12300" s="24"/>
      <c r="G12300" s="24"/>
      <c r="H12300" s="24"/>
      <c r="I12300" s="24"/>
      <c r="J12300" s="24"/>
      <c r="K12300" s="24"/>
      <c r="L12300" s="24"/>
      <c r="M12300" s="24"/>
      <c r="N12300" s="24"/>
      <c r="O12300" s="24"/>
      <c r="P12300" s="24"/>
      <c r="Q12300" s="24"/>
      <c r="R12300" s="24"/>
      <c r="S12300" s="24"/>
      <c r="T12300" s="24"/>
      <c r="U12300" s="24"/>
      <c r="V12300" s="24"/>
      <c r="W12300" s="24"/>
      <c r="X12300" s="24"/>
      <c r="Y12300" s="24"/>
      <c r="Z12300" s="24"/>
      <c r="AA12300" s="24"/>
    </row>
    <row r="12301">
      <c r="A12301" s="24"/>
      <c r="B12301" s="25"/>
      <c r="C12301" s="24"/>
      <c r="D12301" s="26"/>
      <c r="E12301" s="24"/>
      <c r="F12301" s="24"/>
      <c r="G12301" s="24"/>
      <c r="H12301" s="24"/>
      <c r="I12301" s="24"/>
      <c r="J12301" s="24"/>
      <c r="K12301" s="24"/>
      <c r="L12301" s="24"/>
      <c r="M12301" s="24"/>
      <c r="N12301" s="24"/>
      <c r="O12301" s="24"/>
      <c r="P12301" s="24"/>
      <c r="Q12301" s="24"/>
      <c r="R12301" s="24"/>
      <c r="S12301" s="24"/>
      <c r="T12301" s="24"/>
      <c r="U12301" s="24"/>
      <c r="V12301" s="24"/>
      <c r="W12301" s="24"/>
      <c r="X12301" s="24"/>
      <c r="Y12301" s="24"/>
      <c r="Z12301" s="24"/>
      <c r="AA12301" s="24"/>
    </row>
    <row r="12302">
      <c r="A12302" s="24"/>
      <c r="B12302" s="25"/>
      <c r="C12302" s="24"/>
      <c r="D12302" s="26"/>
      <c r="E12302" s="24"/>
      <c r="F12302" s="24"/>
      <c r="G12302" s="24"/>
      <c r="H12302" s="24"/>
      <c r="I12302" s="24"/>
      <c r="J12302" s="24"/>
      <c r="K12302" s="24"/>
      <c r="L12302" s="24"/>
      <c r="M12302" s="24"/>
      <c r="N12302" s="24"/>
      <c r="O12302" s="24"/>
      <c r="P12302" s="24"/>
      <c r="Q12302" s="24"/>
      <c r="R12302" s="24"/>
      <c r="S12302" s="24"/>
      <c r="T12302" s="24"/>
      <c r="U12302" s="24"/>
      <c r="V12302" s="24"/>
      <c r="W12302" s="24"/>
      <c r="X12302" s="24"/>
      <c r="Y12302" s="24"/>
      <c r="Z12302" s="24"/>
      <c r="AA12302" s="24"/>
    </row>
    <row r="12303">
      <c r="A12303" s="24"/>
      <c r="B12303" s="25"/>
      <c r="C12303" s="24"/>
      <c r="D12303" s="26"/>
      <c r="E12303" s="24"/>
      <c r="F12303" s="24"/>
      <c r="G12303" s="24"/>
      <c r="H12303" s="24"/>
      <c r="I12303" s="24"/>
      <c r="J12303" s="24"/>
      <c r="K12303" s="24"/>
      <c r="L12303" s="24"/>
      <c r="M12303" s="24"/>
      <c r="N12303" s="24"/>
      <c r="O12303" s="24"/>
      <c r="P12303" s="24"/>
      <c r="Q12303" s="24"/>
      <c r="R12303" s="24"/>
      <c r="S12303" s="24"/>
      <c r="T12303" s="24"/>
      <c r="U12303" s="24"/>
      <c r="V12303" s="24"/>
      <c r="W12303" s="24"/>
      <c r="X12303" s="24"/>
      <c r="Y12303" s="24"/>
      <c r="Z12303" s="24"/>
      <c r="AA12303" s="24"/>
    </row>
    <row r="12304">
      <c r="A12304" s="24"/>
      <c r="B12304" s="25"/>
      <c r="C12304" s="24"/>
      <c r="D12304" s="26"/>
      <c r="E12304" s="24"/>
      <c r="F12304" s="24"/>
      <c r="G12304" s="24"/>
      <c r="H12304" s="24"/>
      <c r="I12304" s="24"/>
      <c r="J12304" s="24"/>
      <c r="K12304" s="24"/>
      <c r="L12304" s="24"/>
      <c r="M12304" s="24"/>
      <c r="N12304" s="24"/>
      <c r="O12304" s="24"/>
      <c r="P12304" s="24"/>
      <c r="Q12304" s="24"/>
      <c r="R12304" s="24"/>
      <c r="S12304" s="24"/>
      <c r="T12304" s="24"/>
      <c r="U12304" s="24"/>
      <c r="V12304" s="24"/>
      <c r="W12304" s="24"/>
      <c r="X12304" s="24"/>
      <c r="Y12304" s="24"/>
      <c r="Z12304" s="24"/>
      <c r="AA12304" s="24"/>
    </row>
    <row r="12305">
      <c r="A12305" s="24"/>
      <c r="B12305" s="25"/>
      <c r="C12305" s="24"/>
      <c r="D12305" s="26"/>
      <c r="E12305" s="24"/>
      <c r="F12305" s="24"/>
      <c r="G12305" s="24"/>
      <c r="H12305" s="24"/>
      <c r="I12305" s="24"/>
      <c r="J12305" s="24"/>
      <c r="K12305" s="24"/>
      <c r="L12305" s="24"/>
      <c r="M12305" s="24"/>
      <c r="N12305" s="24"/>
      <c r="O12305" s="24"/>
      <c r="P12305" s="24"/>
      <c r="Q12305" s="24"/>
      <c r="R12305" s="24"/>
      <c r="S12305" s="24"/>
      <c r="T12305" s="24"/>
      <c r="U12305" s="24"/>
      <c r="V12305" s="24"/>
      <c r="W12305" s="24"/>
      <c r="X12305" s="24"/>
      <c r="Y12305" s="24"/>
      <c r="Z12305" s="24"/>
      <c r="AA12305" s="24"/>
    </row>
    <row r="12306">
      <c r="A12306" s="24"/>
      <c r="B12306" s="25"/>
      <c r="C12306" s="24"/>
      <c r="D12306" s="26"/>
      <c r="E12306" s="24"/>
      <c r="F12306" s="24"/>
      <c r="G12306" s="24"/>
      <c r="H12306" s="24"/>
      <c r="I12306" s="24"/>
      <c r="J12306" s="24"/>
      <c r="K12306" s="24"/>
      <c r="L12306" s="24"/>
      <c r="M12306" s="24"/>
      <c r="N12306" s="24"/>
      <c r="O12306" s="24"/>
      <c r="P12306" s="24"/>
      <c r="Q12306" s="24"/>
      <c r="R12306" s="24"/>
      <c r="S12306" s="24"/>
      <c r="T12306" s="24"/>
      <c r="U12306" s="24"/>
      <c r="V12306" s="24"/>
      <c r="W12306" s="24"/>
      <c r="X12306" s="24"/>
      <c r="Y12306" s="24"/>
      <c r="Z12306" s="24"/>
      <c r="AA12306" s="24"/>
    </row>
    <row r="12307">
      <c r="A12307" s="24"/>
      <c r="B12307" s="25"/>
      <c r="C12307" s="24"/>
      <c r="D12307" s="26"/>
      <c r="E12307" s="24"/>
      <c r="F12307" s="24"/>
      <c r="G12307" s="24"/>
      <c r="H12307" s="24"/>
      <c r="I12307" s="24"/>
      <c r="J12307" s="24"/>
      <c r="K12307" s="24"/>
      <c r="L12307" s="24"/>
      <c r="M12307" s="24"/>
      <c r="N12307" s="24"/>
      <c r="O12307" s="24"/>
      <c r="P12307" s="24"/>
      <c r="Q12307" s="24"/>
      <c r="R12307" s="24"/>
      <c r="S12307" s="24"/>
      <c r="T12307" s="24"/>
      <c r="U12307" s="24"/>
      <c r="V12307" s="24"/>
      <c r="W12307" s="24"/>
      <c r="X12307" s="24"/>
      <c r="Y12307" s="24"/>
      <c r="Z12307" s="24"/>
      <c r="AA12307" s="24"/>
    </row>
    <row r="12308">
      <c r="A12308" s="24"/>
      <c r="B12308" s="25"/>
      <c r="C12308" s="24"/>
      <c r="D12308" s="26"/>
      <c r="E12308" s="24"/>
      <c r="F12308" s="24"/>
      <c r="G12308" s="24"/>
      <c r="H12308" s="24"/>
      <c r="I12308" s="24"/>
      <c r="J12308" s="24"/>
      <c r="K12308" s="24"/>
      <c r="L12308" s="24"/>
      <c r="M12308" s="24"/>
      <c r="N12308" s="24"/>
      <c r="O12308" s="24"/>
      <c r="P12308" s="24"/>
      <c r="Q12308" s="24"/>
      <c r="R12308" s="24"/>
      <c r="S12308" s="24"/>
      <c r="T12308" s="24"/>
      <c r="U12308" s="24"/>
      <c r="V12308" s="24"/>
      <c r="W12308" s="24"/>
      <c r="X12308" s="24"/>
      <c r="Y12308" s="24"/>
      <c r="Z12308" s="24"/>
      <c r="AA12308" s="24"/>
    </row>
    <row r="12309">
      <c r="A12309" s="24"/>
      <c r="B12309" s="25"/>
      <c r="C12309" s="24"/>
      <c r="D12309" s="26"/>
      <c r="E12309" s="24"/>
      <c r="F12309" s="24"/>
      <c r="G12309" s="24"/>
      <c r="H12309" s="24"/>
      <c r="I12309" s="24"/>
      <c r="J12309" s="24"/>
      <c r="K12309" s="24"/>
      <c r="L12309" s="24"/>
      <c r="M12309" s="24"/>
      <c r="N12309" s="24"/>
      <c r="O12309" s="24"/>
      <c r="P12309" s="24"/>
      <c r="Q12309" s="24"/>
      <c r="R12309" s="24"/>
      <c r="S12309" s="24"/>
      <c r="T12309" s="24"/>
      <c r="U12309" s="24"/>
      <c r="V12309" s="24"/>
      <c r="W12309" s="24"/>
      <c r="X12309" s="24"/>
      <c r="Y12309" s="24"/>
      <c r="Z12309" s="24"/>
      <c r="AA12309" s="24"/>
    </row>
    <row r="12310">
      <c r="A12310" s="24"/>
      <c r="B12310" s="25"/>
      <c r="C12310" s="24"/>
      <c r="D12310" s="26"/>
      <c r="E12310" s="24"/>
      <c r="F12310" s="24"/>
      <c r="G12310" s="24"/>
      <c r="H12310" s="24"/>
      <c r="I12310" s="24"/>
      <c r="J12310" s="24"/>
      <c r="K12310" s="24"/>
      <c r="L12310" s="24"/>
      <c r="M12310" s="24"/>
      <c r="N12310" s="24"/>
      <c r="O12310" s="24"/>
      <c r="P12310" s="24"/>
      <c r="Q12310" s="24"/>
      <c r="R12310" s="24"/>
      <c r="S12310" s="24"/>
      <c r="T12310" s="24"/>
      <c r="U12310" s="24"/>
      <c r="V12310" s="24"/>
      <c r="W12310" s="24"/>
      <c r="X12310" s="24"/>
      <c r="Y12310" s="24"/>
      <c r="Z12310" s="24"/>
      <c r="AA12310" s="24"/>
    </row>
    <row r="12311">
      <c r="A12311" s="24"/>
      <c r="B12311" s="25"/>
      <c r="C12311" s="24"/>
      <c r="D12311" s="26"/>
      <c r="E12311" s="24"/>
      <c r="F12311" s="24"/>
      <c r="G12311" s="24"/>
      <c r="H12311" s="24"/>
      <c r="I12311" s="24"/>
      <c r="J12311" s="24"/>
      <c r="K12311" s="24"/>
      <c r="L12311" s="24"/>
      <c r="M12311" s="24"/>
      <c r="N12311" s="24"/>
      <c r="O12311" s="24"/>
      <c r="P12311" s="24"/>
      <c r="Q12311" s="24"/>
      <c r="R12311" s="24"/>
      <c r="S12311" s="24"/>
      <c r="T12311" s="24"/>
      <c r="U12311" s="24"/>
      <c r="V12311" s="24"/>
      <c r="W12311" s="24"/>
      <c r="X12311" s="24"/>
      <c r="Y12311" s="24"/>
      <c r="Z12311" s="24"/>
      <c r="AA12311" s="24"/>
    </row>
    <row r="12312">
      <c r="A12312" s="24"/>
      <c r="B12312" s="25"/>
      <c r="C12312" s="24"/>
      <c r="D12312" s="26"/>
      <c r="E12312" s="24"/>
      <c r="F12312" s="24"/>
      <c r="G12312" s="24"/>
      <c r="H12312" s="24"/>
      <c r="I12312" s="24"/>
      <c r="J12312" s="24"/>
      <c r="K12312" s="24"/>
      <c r="L12312" s="24"/>
      <c r="M12312" s="24"/>
      <c r="N12312" s="24"/>
      <c r="O12312" s="24"/>
      <c r="P12312" s="24"/>
      <c r="Q12312" s="24"/>
      <c r="R12312" s="24"/>
      <c r="S12312" s="24"/>
      <c r="T12312" s="24"/>
      <c r="U12312" s="24"/>
      <c r="V12312" s="24"/>
      <c r="W12312" s="24"/>
      <c r="X12312" s="24"/>
      <c r="Y12312" s="24"/>
      <c r="Z12312" s="24"/>
      <c r="AA12312" s="24"/>
    </row>
    <row r="12313">
      <c r="A12313" s="24"/>
      <c r="B12313" s="25"/>
      <c r="C12313" s="24"/>
      <c r="D12313" s="26"/>
      <c r="E12313" s="24"/>
      <c r="F12313" s="24"/>
      <c r="G12313" s="24"/>
      <c r="H12313" s="24"/>
      <c r="I12313" s="24"/>
      <c r="J12313" s="24"/>
      <c r="K12313" s="24"/>
      <c r="L12313" s="24"/>
      <c r="M12313" s="24"/>
      <c r="N12313" s="24"/>
      <c r="O12313" s="24"/>
      <c r="P12313" s="24"/>
      <c r="Q12313" s="24"/>
      <c r="R12313" s="24"/>
      <c r="S12313" s="24"/>
      <c r="T12313" s="24"/>
      <c r="U12313" s="24"/>
      <c r="V12313" s="24"/>
      <c r="W12313" s="24"/>
      <c r="X12313" s="24"/>
      <c r="Y12313" s="24"/>
      <c r="Z12313" s="24"/>
      <c r="AA12313" s="24"/>
    </row>
    <row r="12314">
      <c r="A12314" s="24"/>
      <c r="B12314" s="25"/>
      <c r="C12314" s="24"/>
      <c r="D12314" s="26"/>
      <c r="E12314" s="24"/>
      <c r="F12314" s="24"/>
      <c r="G12314" s="24"/>
      <c r="H12314" s="24"/>
      <c r="I12314" s="24"/>
      <c r="J12314" s="24"/>
      <c r="K12314" s="24"/>
      <c r="L12314" s="24"/>
      <c r="M12314" s="24"/>
      <c r="N12314" s="24"/>
      <c r="O12314" s="24"/>
      <c r="P12314" s="24"/>
      <c r="Q12314" s="24"/>
      <c r="R12314" s="24"/>
      <c r="S12314" s="24"/>
      <c r="T12314" s="24"/>
      <c r="U12314" s="24"/>
      <c r="V12314" s="24"/>
      <c r="W12314" s="24"/>
      <c r="X12314" s="24"/>
      <c r="Y12314" s="24"/>
      <c r="Z12314" s="24"/>
      <c r="AA12314" s="24"/>
    </row>
    <row r="12315">
      <c r="A12315" s="24"/>
      <c r="B12315" s="25"/>
      <c r="C12315" s="24"/>
      <c r="D12315" s="26"/>
      <c r="E12315" s="24"/>
      <c r="F12315" s="24"/>
      <c r="G12315" s="24"/>
      <c r="H12315" s="24"/>
      <c r="I12315" s="24"/>
      <c r="J12315" s="24"/>
      <c r="K12315" s="24"/>
      <c r="L12315" s="24"/>
      <c r="M12315" s="24"/>
      <c r="N12315" s="24"/>
      <c r="O12315" s="24"/>
      <c r="P12315" s="24"/>
      <c r="Q12315" s="24"/>
      <c r="R12315" s="24"/>
      <c r="S12315" s="24"/>
      <c r="T12315" s="24"/>
      <c r="U12315" s="24"/>
      <c r="V12315" s="24"/>
      <c r="W12315" s="24"/>
      <c r="X12315" s="24"/>
      <c r="Y12315" s="24"/>
      <c r="Z12315" s="24"/>
      <c r="AA12315" s="24"/>
    </row>
    <row r="12316">
      <c r="A12316" s="24"/>
      <c r="B12316" s="25"/>
      <c r="C12316" s="24"/>
      <c r="D12316" s="26"/>
      <c r="E12316" s="24"/>
      <c r="F12316" s="24"/>
      <c r="G12316" s="24"/>
      <c r="H12316" s="24"/>
      <c r="I12316" s="24"/>
      <c r="J12316" s="24"/>
      <c r="K12316" s="24"/>
      <c r="L12316" s="24"/>
      <c r="M12316" s="24"/>
      <c r="N12316" s="24"/>
      <c r="O12316" s="24"/>
      <c r="P12316" s="24"/>
      <c r="Q12316" s="24"/>
      <c r="R12316" s="24"/>
      <c r="S12316" s="24"/>
      <c r="T12316" s="24"/>
      <c r="U12316" s="24"/>
      <c r="V12316" s="24"/>
      <c r="W12316" s="24"/>
      <c r="X12316" s="24"/>
      <c r="Y12316" s="24"/>
      <c r="Z12316" s="24"/>
      <c r="AA12316" s="24"/>
    </row>
    <row r="12317">
      <c r="A12317" s="24"/>
      <c r="B12317" s="25"/>
      <c r="C12317" s="24"/>
      <c r="D12317" s="26"/>
      <c r="E12317" s="24"/>
      <c r="F12317" s="24"/>
      <c r="G12317" s="24"/>
      <c r="H12317" s="24"/>
      <c r="I12317" s="24"/>
      <c r="J12317" s="24"/>
      <c r="K12317" s="24"/>
      <c r="L12317" s="24"/>
      <c r="M12317" s="24"/>
      <c r="N12317" s="24"/>
      <c r="O12317" s="24"/>
      <c r="P12317" s="24"/>
      <c r="Q12317" s="24"/>
      <c r="R12317" s="24"/>
      <c r="S12317" s="24"/>
      <c r="T12317" s="24"/>
      <c r="U12317" s="24"/>
      <c r="V12317" s="24"/>
      <c r="W12317" s="24"/>
      <c r="X12317" s="24"/>
      <c r="Y12317" s="24"/>
      <c r="Z12317" s="24"/>
      <c r="AA12317" s="24"/>
    </row>
    <row r="12318">
      <c r="A12318" s="24"/>
      <c r="B12318" s="25"/>
      <c r="C12318" s="24"/>
      <c r="D12318" s="26"/>
      <c r="E12318" s="24"/>
      <c r="F12318" s="24"/>
      <c r="G12318" s="24"/>
      <c r="H12318" s="24"/>
      <c r="I12318" s="24"/>
      <c r="J12318" s="24"/>
      <c r="K12318" s="24"/>
      <c r="L12318" s="24"/>
      <c r="M12318" s="24"/>
      <c r="N12318" s="24"/>
      <c r="O12318" s="24"/>
      <c r="P12318" s="24"/>
      <c r="Q12318" s="24"/>
      <c r="R12318" s="24"/>
      <c r="S12318" s="24"/>
      <c r="T12318" s="24"/>
      <c r="U12318" s="24"/>
      <c r="V12318" s="24"/>
      <c r="W12318" s="24"/>
      <c r="X12318" s="24"/>
      <c r="Y12318" s="24"/>
      <c r="Z12318" s="24"/>
      <c r="AA12318" s="24"/>
    </row>
    <row r="12319">
      <c r="A12319" s="24"/>
      <c r="B12319" s="25"/>
      <c r="C12319" s="24"/>
      <c r="D12319" s="26"/>
      <c r="E12319" s="24"/>
      <c r="F12319" s="24"/>
      <c r="G12319" s="24"/>
      <c r="H12319" s="24"/>
      <c r="I12319" s="24"/>
      <c r="J12319" s="24"/>
      <c r="K12319" s="24"/>
      <c r="L12319" s="24"/>
      <c r="M12319" s="24"/>
      <c r="N12319" s="24"/>
      <c r="O12319" s="24"/>
      <c r="P12319" s="24"/>
      <c r="Q12319" s="24"/>
      <c r="R12319" s="24"/>
      <c r="S12319" s="24"/>
      <c r="T12319" s="24"/>
      <c r="U12319" s="24"/>
      <c r="V12319" s="24"/>
      <c r="W12319" s="24"/>
      <c r="X12319" s="24"/>
      <c r="Y12319" s="24"/>
      <c r="Z12319" s="24"/>
      <c r="AA12319" s="24"/>
    </row>
    <row r="12320">
      <c r="A12320" s="24"/>
      <c r="B12320" s="25"/>
      <c r="C12320" s="24"/>
      <c r="D12320" s="26"/>
      <c r="E12320" s="24"/>
      <c r="F12320" s="24"/>
      <c r="G12320" s="24"/>
      <c r="H12320" s="24"/>
      <c r="I12320" s="24"/>
      <c r="J12320" s="24"/>
      <c r="K12320" s="24"/>
      <c r="L12320" s="24"/>
      <c r="M12320" s="24"/>
      <c r="N12320" s="24"/>
      <c r="O12320" s="24"/>
      <c r="P12320" s="24"/>
      <c r="Q12320" s="24"/>
      <c r="R12320" s="24"/>
      <c r="S12320" s="24"/>
      <c r="T12320" s="24"/>
      <c r="U12320" s="24"/>
      <c r="V12320" s="24"/>
      <c r="W12320" s="24"/>
      <c r="X12320" s="24"/>
      <c r="Y12320" s="24"/>
      <c r="Z12320" s="24"/>
      <c r="AA12320" s="24"/>
    </row>
    <row r="12321">
      <c r="A12321" s="24"/>
      <c r="B12321" s="25"/>
      <c r="C12321" s="24"/>
      <c r="D12321" s="26"/>
      <c r="E12321" s="24"/>
      <c r="F12321" s="24"/>
      <c r="G12321" s="24"/>
      <c r="H12321" s="24"/>
      <c r="I12321" s="24"/>
      <c r="J12321" s="24"/>
      <c r="K12321" s="24"/>
      <c r="L12321" s="24"/>
      <c r="M12321" s="24"/>
      <c r="N12321" s="24"/>
      <c r="O12321" s="24"/>
      <c r="P12321" s="24"/>
      <c r="Q12321" s="24"/>
      <c r="R12321" s="24"/>
      <c r="S12321" s="24"/>
      <c r="T12321" s="24"/>
      <c r="U12321" s="24"/>
      <c r="V12321" s="24"/>
      <c r="W12321" s="24"/>
      <c r="X12321" s="24"/>
      <c r="Y12321" s="24"/>
      <c r="Z12321" s="24"/>
      <c r="AA12321" s="24"/>
    </row>
    <row r="12322">
      <c r="A12322" s="24"/>
      <c r="B12322" s="25"/>
      <c r="C12322" s="24"/>
      <c r="D12322" s="26"/>
      <c r="E12322" s="24"/>
      <c r="F12322" s="24"/>
      <c r="G12322" s="24"/>
      <c r="H12322" s="24"/>
      <c r="I12322" s="24"/>
      <c r="J12322" s="24"/>
      <c r="K12322" s="24"/>
      <c r="L12322" s="24"/>
      <c r="M12322" s="24"/>
      <c r="N12322" s="24"/>
      <c r="O12322" s="24"/>
      <c r="P12322" s="24"/>
      <c r="Q12322" s="24"/>
      <c r="R12322" s="24"/>
      <c r="S12322" s="24"/>
      <c r="T12322" s="24"/>
      <c r="U12322" s="24"/>
      <c r="V12322" s="24"/>
      <c r="W12322" s="24"/>
      <c r="X12322" s="24"/>
      <c r="Y12322" s="24"/>
      <c r="Z12322" s="24"/>
      <c r="AA12322" s="24"/>
    </row>
    <row r="12323">
      <c r="A12323" s="24"/>
      <c r="B12323" s="25"/>
      <c r="C12323" s="24"/>
      <c r="D12323" s="26"/>
      <c r="E12323" s="24"/>
      <c r="F12323" s="24"/>
      <c r="G12323" s="24"/>
      <c r="H12323" s="24"/>
      <c r="I12323" s="24"/>
      <c r="J12323" s="24"/>
      <c r="K12323" s="24"/>
      <c r="L12323" s="24"/>
      <c r="M12323" s="24"/>
      <c r="N12323" s="24"/>
      <c r="O12323" s="24"/>
      <c r="P12323" s="24"/>
      <c r="Q12323" s="24"/>
      <c r="R12323" s="24"/>
      <c r="S12323" s="24"/>
      <c r="T12323" s="24"/>
      <c r="U12323" s="24"/>
      <c r="V12323" s="24"/>
      <c r="W12323" s="24"/>
      <c r="X12323" s="24"/>
      <c r="Y12323" s="24"/>
      <c r="Z12323" s="24"/>
      <c r="AA12323" s="24"/>
    </row>
    <row r="12324">
      <c r="A12324" s="24"/>
      <c r="B12324" s="25"/>
      <c r="C12324" s="24"/>
      <c r="D12324" s="26"/>
      <c r="E12324" s="24"/>
      <c r="F12324" s="24"/>
      <c r="G12324" s="24"/>
      <c r="H12324" s="24"/>
      <c r="I12324" s="24"/>
      <c r="J12324" s="24"/>
      <c r="K12324" s="24"/>
      <c r="L12324" s="24"/>
      <c r="M12324" s="24"/>
      <c r="N12324" s="24"/>
      <c r="O12324" s="24"/>
      <c r="P12324" s="24"/>
      <c r="Q12324" s="24"/>
      <c r="R12324" s="24"/>
      <c r="S12324" s="24"/>
      <c r="T12324" s="24"/>
      <c r="U12324" s="24"/>
      <c r="V12324" s="24"/>
      <c r="W12324" s="24"/>
      <c r="X12324" s="24"/>
      <c r="Y12324" s="24"/>
      <c r="Z12324" s="24"/>
      <c r="AA12324" s="24"/>
    </row>
    <row r="12325">
      <c r="A12325" s="24"/>
      <c r="B12325" s="25"/>
      <c r="C12325" s="24"/>
      <c r="D12325" s="26"/>
      <c r="E12325" s="24"/>
      <c r="F12325" s="24"/>
      <c r="G12325" s="24"/>
      <c r="H12325" s="24"/>
      <c r="I12325" s="24"/>
      <c r="J12325" s="24"/>
      <c r="K12325" s="24"/>
      <c r="L12325" s="24"/>
      <c r="M12325" s="24"/>
      <c r="N12325" s="24"/>
      <c r="O12325" s="24"/>
      <c r="P12325" s="24"/>
      <c r="Q12325" s="24"/>
      <c r="R12325" s="24"/>
      <c r="S12325" s="24"/>
      <c r="T12325" s="24"/>
      <c r="U12325" s="24"/>
      <c r="V12325" s="24"/>
      <c r="W12325" s="24"/>
      <c r="X12325" s="24"/>
      <c r="Y12325" s="24"/>
      <c r="Z12325" s="24"/>
      <c r="AA12325" s="24"/>
    </row>
    <row r="12326">
      <c r="A12326" s="24"/>
      <c r="B12326" s="25"/>
      <c r="C12326" s="24"/>
      <c r="D12326" s="26"/>
      <c r="E12326" s="24"/>
      <c r="F12326" s="24"/>
      <c r="G12326" s="24"/>
      <c r="H12326" s="24"/>
      <c r="I12326" s="24"/>
      <c r="J12326" s="24"/>
      <c r="K12326" s="24"/>
      <c r="L12326" s="24"/>
      <c r="M12326" s="24"/>
      <c r="N12326" s="24"/>
      <c r="O12326" s="24"/>
      <c r="P12326" s="24"/>
      <c r="Q12326" s="24"/>
      <c r="R12326" s="24"/>
      <c r="S12326" s="24"/>
      <c r="T12326" s="24"/>
      <c r="U12326" s="24"/>
      <c r="V12326" s="24"/>
      <c r="W12326" s="24"/>
      <c r="X12326" s="24"/>
      <c r="Y12326" s="24"/>
      <c r="Z12326" s="24"/>
      <c r="AA12326" s="24"/>
    </row>
    <row r="12327">
      <c r="A12327" s="24"/>
      <c r="B12327" s="25"/>
      <c r="C12327" s="24"/>
      <c r="D12327" s="26"/>
      <c r="E12327" s="24"/>
      <c r="F12327" s="24"/>
      <c r="G12327" s="24"/>
      <c r="H12327" s="24"/>
      <c r="I12327" s="24"/>
      <c r="J12327" s="24"/>
      <c r="K12327" s="24"/>
      <c r="L12327" s="24"/>
      <c r="M12327" s="24"/>
      <c r="N12327" s="24"/>
      <c r="O12327" s="24"/>
      <c r="P12327" s="24"/>
      <c r="Q12327" s="24"/>
      <c r="R12327" s="24"/>
      <c r="S12327" s="24"/>
      <c r="T12327" s="24"/>
      <c r="U12327" s="24"/>
      <c r="V12327" s="24"/>
      <c r="W12327" s="24"/>
      <c r="X12327" s="24"/>
      <c r="Y12327" s="24"/>
      <c r="Z12327" s="24"/>
      <c r="AA12327" s="24"/>
    </row>
    <row r="12328">
      <c r="A12328" s="24"/>
      <c r="B12328" s="25"/>
      <c r="C12328" s="24"/>
      <c r="D12328" s="26"/>
      <c r="E12328" s="24"/>
      <c r="F12328" s="24"/>
      <c r="G12328" s="24"/>
      <c r="H12328" s="24"/>
      <c r="I12328" s="24"/>
      <c r="J12328" s="24"/>
      <c r="K12328" s="24"/>
      <c r="L12328" s="24"/>
      <c r="M12328" s="24"/>
      <c r="N12328" s="24"/>
      <c r="O12328" s="24"/>
      <c r="P12328" s="24"/>
      <c r="Q12328" s="24"/>
      <c r="R12328" s="24"/>
      <c r="S12328" s="24"/>
      <c r="T12328" s="24"/>
      <c r="U12328" s="24"/>
      <c r="V12328" s="24"/>
      <c r="W12328" s="24"/>
      <c r="X12328" s="24"/>
      <c r="Y12328" s="24"/>
      <c r="Z12328" s="24"/>
      <c r="AA12328" s="24"/>
    </row>
    <row r="12329">
      <c r="A12329" s="24"/>
      <c r="B12329" s="25"/>
      <c r="C12329" s="24"/>
      <c r="D12329" s="26"/>
      <c r="E12329" s="24"/>
      <c r="F12329" s="24"/>
      <c r="G12329" s="24"/>
      <c r="H12329" s="24"/>
      <c r="I12329" s="24"/>
      <c r="J12329" s="24"/>
      <c r="K12329" s="24"/>
      <c r="L12329" s="24"/>
      <c r="M12329" s="24"/>
      <c r="N12329" s="24"/>
      <c r="O12329" s="24"/>
      <c r="P12329" s="24"/>
      <c r="Q12329" s="24"/>
      <c r="R12329" s="24"/>
      <c r="S12329" s="24"/>
      <c r="T12329" s="24"/>
      <c r="U12329" s="24"/>
      <c r="V12329" s="24"/>
      <c r="W12329" s="24"/>
      <c r="X12329" s="24"/>
      <c r="Y12329" s="24"/>
      <c r="Z12329" s="24"/>
      <c r="AA12329" s="24"/>
    </row>
    <row r="12330">
      <c r="A12330" s="24"/>
      <c r="B12330" s="25"/>
      <c r="C12330" s="24"/>
      <c r="D12330" s="26"/>
      <c r="E12330" s="24"/>
      <c r="F12330" s="24"/>
      <c r="G12330" s="24"/>
      <c r="H12330" s="24"/>
      <c r="I12330" s="24"/>
      <c r="J12330" s="24"/>
      <c r="K12330" s="24"/>
      <c r="L12330" s="24"/>
      <c r="M12330" s="24"/>
      <c r="N12330" s="24"/>
      <c r="O12330" s="24"/>
      <c r="P12330" s="24"/>
      <c r="Q12330" s="24"/>
      <c r="R12330" s="24"/>
      <c r="S12330" s="24"/>
      <c r="T12330" s="24"/>
      <c r="U12330" s="24"/>
      <c r="V12330" s="24"/>
      <c r="W12330" s="24"/>
      <c r="X12330" s="24"/>
      <c r="Y12330" s="24"/>
      <c r="Z12330" s="24"/>
      <c r="AA12330" s="24"/>
    </row>
    <row r="12331">
      <c r="A12331" s="24"/>
      <c r="B12331" s="25"/>
      <c r="C12331" s="24"/>
      <c r="D12331" s="26"/>
      <c r="E12331" s="24"/>
      <c r="F12331" s="24"/>
      <c r="G12331" s="24"/>
      <c r="H12331" s="24"/>
      <c r="I12331" s="24"/>
      <c r="J12331" s="24"/>
      <c r="K12331" s="24"/>
      <c r="L12331" s="24"/>
      <c r="M12331" s="24"/>
      <c r="N12331" s="24"/>
      <c r="O12331" s="24"/>
      <c r="P12331" s="24"/>
      <c r="Q12331" s="24"/>
      <c r="R12331" s="24"/>
      <c r="S12331" s="24"/>
      <c r="T12331" s="24"/>
      <c r="U12331" s="24"/>
      <c r="V12331" s="24"/>
      <c r="W12331" s="24"/>
      <c r="X12331" s="24"/>
      <c r="Y12331" s="24"/>
      <c r="Z12331" s="24"/>
      <c r="AA12331" s="24"/>
    </row>
    <row r="12332">
      <c r="A12332" s="24"/>
      <c r="B12332" s="25"/>
      <c r="C12332" s="24"/>
      <c r="D12332" s="26"/>
      <c r="E12332" s="24"/>
      <c r="F12332" s="24"/>
      <c r="G12332" s="24"/>
      <c r="H12332" s="24"/>
      <c r="I12332" s="24"/>
      <c r="J12332" s="24"/>
      <c r="K12332" s="24"/>
      <c r="L12332" s="24"/>
      <c r="M12332" s="24"/>
      <c r="N12332" s="24"/>
      <c r="O12332" s="24"/>
      <c r="P12332" s="24"/>
      <c r="Q12332" s="24"/>
      <c r="R12332" s="24"/>
      <c r="S12332" s="24"/>
      <c r="T12332" s="24"/>
      <c r="U12332" s="24"/>
      <c r="V12332" s="24"/>
      <c r="W12332" s="24"/>
      <c r="X12332" s="24"/>
      <c r="Y12332" s="24"/>
      <c r="Z12332" s="24"/>
      <c r="AA12332" s="24"/>
    </row>
    <row r="12333">
      <c r="A12333" s="24"/>
      <c r="B12333" s="25"/>
      <c r="C12333" s="24"/>
      <c r="D12333" s="26"/>
      <c r="E12333" s="24"/>
      <c r="F12333" s="24"/>
      <c r="G12333" s="24"/>
      <c r="H12333" s="24"/>
      <c r="I12333" s="24"/>
      <c r="J12333" s="24"/>
      <c r="K12333" s="24"/>
      <c r="L12333" s="24"/>
      <c r="M12333" s="24"/>
      <c r="N12333" s="24"/>
      <c r="O12333" s="24"/>
      <c r="P12333" s="24"/>
      <c r="Q12333" s="24"/>
      <c r="R12333" s="24"/>
      <c r="S12333" s="24"/>
      <c r="T12333" s="24"/>
      <c r="U12333" s="24"/>
      <c r="V12333" s="24"/>
      <c r="W12333" s="24"/>
      <c r="X12333" s="24"/>
      <c r="Y12333" s="24"/>
      <c r="Z12333" s="24"/>
      <c r="AA12333" s="24"/>
    </row>
    <row r="12334">
      <c r="A12334" s="24"/>
      <c r="B12334" s="25"/>
      <c r="C12334" s="24"/>
      <c r="D12334" s="26"/>
      <c r="E12334" s="24"/>
      <c r="F12334" s="24"/>
      <c r="G12334" s="24"/>
      <c r="H12334" s="24"/>
      <c r="I12334" s="24"/>
      <c r="J12334" s="24"/>
      <c r="K12334" s="24"/>
      <c r="L12334" s="24"/>
      <c r="M12334" s="24"/>
      <c r="N12334" s="24"/>
      <c r="O12334" s="24"/>
      <c r="P12334" s="24"/>
      <c r="Q12334" s="24"/>
      <c r="R12334" s="24"/>
      <c r="S12334" s="24"/>
      <c r="T12334" s="24"/>
      <c r="U12334" s="24"/>
      <c r="V12334" s="24"/>
      <c r="W12334" s="24"/>
      <c r="X12334" s="24"/>
      <c r="Y12334" s="24"/>
      <c r="Z12334" s="24"/>
      <c r="AA12334" s="24"/>
    </row>
    <row r="12335">
      <c r="A12335" s="24"/>
      <c r="B12335" s="25"/>
      <c r="C12335" s="24"/>
      <c r="D12335" s="26"/>
      <c r="E12335" s="24"/>
      <c r="F12335" s="24"/>
      <c r="G12335" s="24"/>
      <c r="H12335" s="24"/>
      <c r="I12335" s="24"/>
      <c r="J12335" s="24"/>
      <c r="K12335" s="24"/>
      <c r="L12335" s="24"/>
      <c r="M12335" s="24"/>
      <c r="N12335" s="24"/>
      <c r="O12335" s="24"/>
      <c r="P12335" s="24"/>
      <c r="Q12335" s="24"/>
      <c r="R12335" s="24"/>
      <c r="S12335" s="24"/>
      <c r="T12335" s="24"/>
      <c r="U12335" s="24"/>
      <c r="V12335" s="24"/>
      <c r="W12335" s="24"/>
      <c r="X12335" s="24"/>
      <c r="Y12335" s="24"/>
      <c r="Z12335" s="24"/>
      <c r="AA12335" s="24"/>
    </row>
    <row r="12336">
      <c r="A12336" s="24"/>
      <c r="B12336" s="25"/>
      <c r="C12336" s="24"/>
      <c r="D12336" s="26"/>
      <c r="E12336" s="24"/>
      <c r="F12336" s="24"/>
      <c r="G12336" s="24"/>
      <c r="H12336" s="24"/>
      <c r="I12336" s="24"/>
      <c r="J12336" s="24"/>
      <c r="K12336" s="24"/>
      <c r="L12336" s="24"/>
      <c r="M12336" s="24"/>
      <c r="N12336" s="24"/>
      <c r="O12336" s="24"/>
      <c r="P12336" s="24"/>
      <c r="Q12336" s="24"/>
      <c r="R12336" s="24"/>
      <c r="S12336" s="24"/>
      <c r="T12336" s="24"/>
      <c r="U12336" s="24"/>
      <c r="V12336" s="24"/>
      <c r="W12336" s="24"/>
      <c r="X12336" s="24"/>
      <c r="Y12336" s="24"/>
      <c r="Z12336" s="24"/>
      <c r="AA12336" s="24"/>
    </row>
    <row r="12337">
      <c r="A12337" s="24"/>
      <c r="B12337" s="25"/>
      <c r="C12337" s="24"/>
      <c r="D12337" s="26"/>
      <c r="E12337" s="24"/>
      <c r="F12337" s="24"/>
      <c r="G12337" s="24"/>
      <c r="H12337" s="24"/>
      <c r="I12337" s="24"/>
      <c r="J12337" s="24"/>
      <c r="K12337" s="24"/>
      <c r="L12337" s="24"/>
      <c r="M12337" s="24"/>
      <c r="N12337" s="24"/>
      <c r="O12337" s="24"/>
      <c r="P12337" s="24"/>
      <c r="Q12337" s="24"/>
      <c r="R12337" s="24"/>
      <c r="S12337" s="24"/>
      <c r="T12337" s="24"/>
      <c r="U12337" s="24"/>
      <c r="V12337" s="24"/>
      <c r="W12337" s="24"/>
      <c r="X12337" s="24"/>
      <c r="Y12337" s="24"/>
      <c r="Z12337" s="24"/>
      <c r="AA12337" s="24"/>
    </row>
    <row r="12338">
      <c r="A12338" s="24"/>
      <c r="B12338" s="25"/>
      <c r="C12338" s="24"/>
      <c r="D12338" s="26"/>
      <c r="E12338" s="24"/>
      <c r="F12338" s="24"/>
      <c r="G12338" s="24"/>
      <c r="H12338" s="24"/>
      <c r="I12338" s="24"/>
      <c r="J12338" s="24"/>
      <c r="K12338" s="24"/>
      <c r="L12338" s="24"/>
      <c r="M12338" s="24"/>
      <c r="N12338" s="24"/>
      <c r="O12338" s="24"/>
      <c r="P12338" s="24"/>
      <c r="Q12338" s="24"/>
      <c r="R12338" s="24"/>
      <c r="S12338" s="24"/>
      <c r="T12338" s="24"/>
      <c r="U12338" s="24"/>
      <c r="V12338" s="24"/>
      <c r="W12338" s="24"/>
      <c r="X12338" s="24"/>
      <c r="Y12338" s="24"/>
      <c r="Z12338" s="24"/>
      <c r="AA12338" s="24"/>
    </row>
    <row r="12339">
      <c r="A12339" s="24"/>
      <c r="B12339" s="25"/>
      <c r="C12339" s="24"/>
      <c r="D12339" s="26"/>
      <c r="E12339" s="24"/>
      <c r="F12339" s="24"/>
      <c r="G12339" s="24"/>
      <c r="H12339" s="24"/>
      <c r="I12339" s="24"/>
      <c r="J12339" s="24"/>
      <c r="K12339" s="24"/>
      <c r="L12339" s="24"/>
      <c r="M12339" s="24"/>
      <c r="N12339" s="24"/>
      <c r="O12339" s="24"/>
      <c r="P12339" s="24"/>
      <c r="Q12339" s="24"/>
      <c r="R12339" s="24"/>
      <c r="S12339" s="24"/>
      <c r="T12339" s="24"/>
      <c r="U12339" s="24"/>
      <c r="V12339" s="24"/>
      <c r="W12339" s="24"/>
      <c r="X12339" s="24"/>
      <c r="Y12339" s="24"/>
      <c r="Z12339" s="24"/>
      <c r="AA12339" s="24"/>
    </row>
    <row r="12340">
      <c r="A12340" s="24"/>
      <c r="B12340" s="25"/>
      <c r="C12340" s="24"/>
      <c r="D12340" s="26"/>
      <c r="E12340" s="24"/>
      <c r="F12340" s="24"/>
      <c r="G12340" s="24"/>
      <c r="H12340" s="24"/>
      <c r="I12340" s="24"/>
      <c r="J12340" s="24"/>
      <c r="K12340" s="24"/>
      <c r="L12340" s="24"/>
      <c r="M12340" s="24"/>
      <c r="N12340" s="24"/>
      <c r="O12340" s="24"/>
      <c r="P12340" s="24"/>
      <c r="Q12340" s="24"/>
      <c r="R12340" s="24"/>
      <c r="S12340" s="24"/>
      <c r="T12340" s="24"/>
      <c r="U12340" s="24"/>
      <c r="V12340" s="24"/>
      <c r="W12340" s="24"/>
      <c r="X12340" s="24"/>
      <c r="Y12340" s="24"/>
      <c r="Z12340" s="24"/>
      <c r="AA12340" s="24"/>
    </row>
    <row r="12341">
      <c r="A12341" s="24"/>
      <c r="B12341" s="25"/>
      <c r="C12341" s="24"/>
      <c r="D12341" s="26"/>
      <c r="E12341" s="24"/>
      <c r="F12341" s="24"/>
      <c r="G12341" s="24"/>
      <c r="H12341" s="24"/>
      <c r="I12341" s="24"/>
      <c r="J12341" s="24"/>
      <c r="K12341" s="24"/>
      <c r="L12341" s="24"/>
      <c r="M12341" s="24"/>
      <c r="N12341" s="24"/>
      <c r="O12341" s="24"/>
      <c r="P12341" s="24"/>
      <c r="Q12341" s="24"/>
      <c r="R12341" s="24"/>
      <c r="S12341" s="24"/>
      <c r="T12341" s="24"/>
      <c r="U12341" s="24"/>
      <c r="V12341" s="24"/>
      <c r="W12341" s="24"/>
      <c r="X12341" s="24"/>
      <c r="Y12341" s="24"/>
      <c r="Z12341" s="24"/>
      <c r="AA12341" s="24"/>
    </row>
    <row r="12342">
      <c r="A12342" s="24"/>
      <c r="B12342" s="25"/>
      <c r="C12342" s="24"/>
      <c r="D12342" s="26"/>
      <c r="E12342" s="24"/>
      <c r="F12342" s="24"/>
      <c r="G12342" s="24"/>
      <c r="H12342" s="24"/>
      <c r="I12342" s="24"/>
      <c r="J12342" s="24"/>
      <c r="K12342" s="24"/>
      <c r="L12342" s="24"/>
      <c r="M12342" s="24"/>
      <c r="N12342" s="24"/>
      <c r="O12342" s="24"/>
      <c r="P12342" s="24"/>
      <c r="Q12342" s="24"/>
      <c r="R12342" s="24"/>
      <c r="S12342" s="24"/>
      <c r="T12342" s="24"/>
      <c r="U12342" s="24"/>
      <c r="V12342" s="24"/>
      <c r="W12342" s="24"/>
      <c r="X12342" s="24"/>
      <c r="Y12342" s="24"/>
      <c r="Z12342" s="24"/>
      <c r="AA12342" s="24"/>
    </row>
    <row r="12343">
      <c r="A12343" s="24"/>
      <c r="B12343" s="25"/>
      <c r="C12343" s="24"/>
      <c r="D12343" s="26"/>
      <c r="E12343" s="24"/>
      <c r="F12343" s="24"/>
      <c r="G12343" s="24"/>
      <c r="H12343" s="24"/>
      <c r="I12343" s="24"/>
      <c r="J12343" s="24"/>
      <c r="K12343" s="24"/>
      <c r="L12343" s="24"/>
      <c r="M12343" s="24"/>
      <c r="N12343" s="24"/>
      <c r="O12343" s="24"/>
      <c r="P12343" s="24"/>
      <c r="Q12343" s="24"/>
      <c r="R12343" s="24"/>
      <c r="S12343" s="24"/>
      <c r="T12343" s="24"/>
      <c r="U12343" s="24"/>
      <c r="V12343" s="24"/>
      <c r="W12343" s="24"/>
      <c r="X12343" s="24"/>
      <c r="Y12343" s="24"/>
      <c r="Z12343" s="24"/>
      <c r="AA12343" s="24"/>
    </row>
    <row r="12344">
      <c r="A12344" s="24"/>
      <c r="B12344" s="25"/>
      <c r="C12344" s="24"/>
      <c r="D12344" s="26"/>
      <c r="E12344" s="24"/>
      <c r="F12344" s="24"/>
      <c r="G12344" s="24"/>
      <c r="H12344" s="24"/>
      <c r="I12344" s="24"/>
      <c r="J12344" s="24"/>
      <c r="K12344" s="24"/>
      <c r="L12344" s="24"/>
      <c r="M12344" s="24"/>
      <c r="N12344" s="24"/>
      <c r="O12344" s="24"/>
      <c r="P12344" s="24"/>
      <c r="Q12344" s="24"/>
      <c r="R12344" s="24"/>
      <c r="S12344" s="24"/>
      <c r="T12344" s="24"/>
      <c r="U12344" s="24"/>
      <c r="V12344" s="24"/>
      <c r="W12344" s="24"/>
      <c r="X12344" s="24"/>
      <c r="Y12344" s="24"/>
      <c r="Z12344" s="24"/>
      <c r="AA12344" s="24"/>
    </row>
    <row r="12345">
      <c r="A12345" s="24"/>
      <c r="B12345" s="25"/>
      <c r="C12345" s="24"/>
      <c r="D12345" s="26"/>
      <c r="E12345" s="24"/>
      <c r="F12345" s="24"/>
      <c r="G12345" s="24"/>
      <c r="H12345" s="24"/>
      <c r="I12345" s="24"/>
      <c r="J12345" s="24"/>
      <c r="K12345" s="24"/>
      <c r="L12345" s="24"/>
      <c r="M12345" s="24"/>
      <c r="N12345" s="24"/>
      <c r="O12345" s="24"/>
      <c r="P12345" s="24"/>
      <c r="Q12345" s="24"/>
      <c r="R12345" s="24"/>
      <c r="S12345" s="24"/>
      <c r="T12345" s="24"/>
      <c r="U12345" s="24"/>
      <c r="V12345" s="24"/>
      <c r="W12345" s="24"/>
      <c r="X12345" s="24"/>
      <c r="Y12345" s="24"/>
      <c r="Z12345" s="24"/>
      <c r="AA12345" s="24"/>
    </row>
    <row r="12346">
      <c r="A12346" s="24"/>
      <c r="B12346" s="25"/>
      <c r="C12346" s="24"/>
      <c r="D12346" s="26"/>
      <c r="E12346" s="24"/>
      <c r="F12346" s="24"/>
      <c r="G12346" s="24"/>
      <c r="H12346" s="24"/>
      <c r="I12346" s="24"/>
      <c r="J12346" s="24"/>
      <c r="K12346" s="24"/>
      <c r="L12346" s="24"/>
      <c r="M12346" s="24"/>
      <c r="N12346" s="24"/>
      <c r="O12346" s="24"/>
      <c r="P12346" s="24"/>
      <c r="Q12346" s="24"/>
      <c r="R12346" s="24"/>
      <c r="S12346" s="24"/>
      <c r="T12346" s="24"/>
      <c r="U12346" s="24"/>
      <c r="V12346" s="24"/>
      <c r="W12346" s="24"/>
      <c r="X12346" s="24"/>
      <c r="Y12346" s="24"/>
      <c r="Z12346" s="24"/>
      <c r="AA12346" s="24"/>
    </row>
    <row r="12347">
      <c r="A12347" s="24"/>
      <c r="B12347" s="25"/>
      <c r="C12347" s="24"/>
      <c r="D12347" s="26"/>
      <c r="E12347" s="24"/>
      <c r="F12347" s="24"/>
      <c r="G12347" s="24"/>
      <c r="H12347" s="24"/>
      <c r="I12347" s="24"/>
      <c r="J12347" s="24"/>
      <c r="K12347" s="24"/>
      <c r="L12347" s="24"/>
      <c r="M12347" s="24"/>
      <c r="N12347" s="24"/>
      <c r="O12347" s="24"/>
      <c r="P12347" s="24"/>
      <c r="Q12347" s="24"/>
      <c r="R12347" s="24"/>
      <c r="S12347" s="24"/>
      <c r="T12347" s="24"/>
      <c r="U12347" s="24"/>
      <c r="V12347" s="24"/>
      <c r="W12347" s="24"/>
      <c r="X12347" s="24"/>
      <c r="Y12347" s="24"/>
      <c r="Z12347" s="24"/>
      <c r="AA12347" s="24"/>
    </row>
    <row r="12348">
      <c r="A12348" s="24"/>
      <c r="B12348" s="25"/>
      <c r="C12348" s="24"/>
      <c r="D12348" s="26"/>
      <c r="E12348" s="24"/>
      <c r="F12348" s="24"/>
      <c r="G12348" s="24"/>
      <c r="H12348" s="24"/>
      <c r="I12348" s="24"/>
      <c r="J12348" s="24"/>
      <c r="K12348" s="24"/>
      <c r="L12348" s="24"/>
      <c r="M12348" s="24"/>
      <c r="N12348" s="24"/>
      <c r="O12348" s="24"/>
      <c r="P12348" s="24"/>
      <c r="Q12348" s="24"/>
      <c r="R12348" s="24"/>
      <c r="S12348" s="24"/>
      <c r="T12348" s="24"/>
      <c r="U12348" s="24"/>
      <c r="V12348" s="24"/>
      <c r="W12348" s="24"/>
      <c r="X12348" s="24"/>
      <c r="Y12348" s="24"/>
      <c r="Z12348" s="24"/>
      <c r="AA12348" s="24"/>
    </row>
    <row r="12349">
      <c r="A12349" s="24"/>
      <c r="B12349" s="25"/>
      <c r="C12349" s="24"/>
      <c r="D12349" s="26"/>
      <c r="E12349" s="24"/>
      <c r="F12349" s="24"/>
      <c r="G12349" s="24"/>
      <c r="H12349" s="24"/>
      <c r="I12349" s="24"/>
      <c r="J12349" s="24"/>
      <c r="K12349" s="24"/>
      <c r="L12349" s="24"/>
      <c r="M12349" s="24"/>
      <c r="N12349" s="24"/>
      <c r="O12349" s="24"/>
      <c r="P12349" s="24"/>
      <c r="Q12349" s="24"/>
      <c r="R12349" s="24"/>
      <c r="S12349" s="24"/>
      <c r="T12349" s="24"/>
      <c r="U12349" s="24"/>
      <c r="V12349" s="24"/>
      <c r="W12349" s="24"/>
      <c r="X12349" s="24"/>
      <c r="Y12349" s="24"/>
      <c r="Z12349" s="24"/>
      <c r="AA12349" s="24"/>
    </row>
    <row r="12350">
      <c r="A12350" s="24"/>
      <c r="B12350" s="25"/>
      <c r="C12350" s="24"/>
      <c r="D12350" s="26"/>
      <c r="E12350" s="24"/>
      <c r="F12350" s="24"/>
      <c r="G12350" s="24"/>
      <c r="H12350" s="24"/>
      <c r="I12350" s="24"/>
      <c r="J12350" s="24"/>
      <c r="K12350" s="24"/>
      <c r="L12350" s="24"/>
      <c r="M12350" s="24"/>
      <c r="N12350" s="24"/>
      <c r="O12350" s="24"/>
      <c r="P12350" s="24"/>
      <c r="Q12350" s="24"/>
      <c r="R12350" s="24"/>
      <c r="S12350" s="24"/>
      <c r="T12350" s="24"/>
      <c r="U12350" s="24"/>
      <c r="V12350" s="24"/>
      <c r="W12350" s="24"/>
      <c r="X12350" s="24"/>
      <c r="Y12350" s="24"/>
      <c r="Z12350" s="24"/>
      <c r="AA12350" s="24"/>
    </row>
    <row r="12351">
      <c r="A12351" s="24"/>
      <c r="B12351" s="25"/>
      <c r="C12351" s="24"/>
      <c r="D12351" s="26"/>
      <c r="E12351" s="24"/>
      <c r="F12351" s="24"/>
      <c r="G12351" s="24"/>
      <c r="H12351" s="24"/>
      <c r="I12351" s="24"/>
      <c r="J12351" s="24"/>
      <c r="K12351" s="24"/>
      <c r="L12351" s="24"/>
      <c r="M12351" s="24"/>
      <c r="N12351" s="24"/>
      <c r="O12351" s="24"/>
      <c r="P12351" s="24"/>
      <c r="Q12351" s="24"/>
      <c r="R12351" s="24"/>
      <c r="S12351" s="24"/>
      <c r="T12351" s="24"/>
      <c r="U12351" s="24"/>
      <c r="V12351" s="24"/>
      <c r="W12351" s="24"/>
      <c r="X12351" s="24"/>
      <c r="Y12351" s="24"/>
      <c r="Z12351" s="24"/>
      <c r="AA12351" s="24"/>
    </row>
    <row r="12352">
      <c r="A12352" s="24"/>
      <c r="B12352" s="25"/>
      <c r="C12352" s="24"/>
      <c r="D12352" s="26"/>
      <c r="E12352" s="24"/>
      <c r="F12352" s="24"/>
      <c r="G12352" s="24"/>
      <c r="H12352" s="24"/>
      <c r="I12352" s="24"/>
      <c r="J12352" s="24"/>
      <c r="K12352" s="24"/>
      <c r="L12352" s="24"/>
      <c r="M12352" s="24"/>
      <c r="N12352" s="24"/>
      <c r="O12352" s="24"/>
      <c r="P12352" s="24"/>
      <c r="Q12352" s="24"/>
      <c r="R12352" s="24"/>
      <c r="S12352" s="24"/>
      <c r="T12352" s="24"/>
      <c r="U12352" s="24"/>
      <c r="V12352" s="24"/>
      <c r="W12352" s="24"/>
      <c r="X12352" s="24"/>
      <c r="Y12352" s="24"/>
      <c r="Z12352" s="24"/>
      <c r="AA12352" s="24"/>
    </row>
    <row r="12353">
      <c r="A12353" s="24"/>
      <c r="B12353" s="25"/>
      <c r="C12353" s="24"/>
      <c r="D12353" s="26"/>
      <c r="E12353" s="24"/>
      <c r="F12353" s="24"/>
      <c r="G12353" s="24"/>
      <c r="H12353" s="24"/>
      <c r="I12353" s="24"/>
      <c r="J12353" s="24"/>
      <c r="K12353" s="24"/>
      <c r="L12353" s="24"/>
      <c r="M12353" s="24"/>
      <c r="N12353" s="24"/>
      <c r="O12353" s="24"/>
      <c r="P12353" s="24"/>
      <c r="Q12353" s="24"/>
      <c r="R12353" s="24"/>
      <c r="S12353" s="24"/>
      <c r="T12353" s="24"/>
      <c r="U12353" s="24"/>
      <c r="V12353" s="24"/>
      <c r="W12353" s="24"/>
      <c r="X12353" s="24"/>
      <c r="Y12353" s="24"/>
      <c r="Z12353" s="24"/>
      <c r="AA12353" s="24"/>
    </row>
    <row r="12354">
      <c r="A12354" s="24"/>
      <c r="B12354" s="25"/>
      <c r="C12354" s="24"/>
      <c r="D12354" s="26"/>
      <c r="E12354" s="24"/>
      <c r="F12354" s="24"/>
      <c r="G12354" s="24"/>
      <c r="H12354" s="24"/>
      <c r="I12354" s="24"/>
      <c r="J12354" s="24"/>
      <c r="K12354" s="24"/>
      <c r="L12354" s="24"/>
      <c r="M12354" s="24"/>
      <c r="N12354" s="24"/>
      <c r="O12354" s="24"/>
      <c r="P12354" s="24"/>
      <c r="Q12354" s="24"/>
      <c r="R12354" s="24"/>
      <c r="S12354" s="24"/>
      <c r="T12354" s="24"/>
      <c r="U12354" s="24"/>
      <c r="V12354" s="24"/>
      <c r="W12354" s="24"/>
      <c r="X12354" s="24"/>
      <c r="Y12354" s="24"/>
      <c r="Z12354" s="24"/>
      <c r="AA12354" s="24"/>
    </row>
    <row r="12355">
      <c r="A12355" s="24"/>
      <c r="B12355" s="25"/>
      <c r="C12355" s="24"/>
      <c r="D12355" s="26"/>
      <c r="E12355" s="24"/>
      <c r="F12355" s="24"/>
      <c r="G12355" s="24"/>
      <c r="H12355" s="24"/>
      <c r="I12355" s="24"/>
      <c r="J12355" s="24"/>
      <c r="K12355" s="24"/>
      <c r="L12355" s="24"/>
      <c r="M12355" s="24"/>
      <c r="N12355" s="24"/>
      <c r="O12355" s="24"/>
      <c r="P12355" s="24"/>
      <c r="Q12355" s="24"/>
      <c r="R12355" s="24"/>
      <c r="S12355" s="24"/>
      <c r="T12355" s="24"/>
      <c r="U12355" s="24"/>
      <c r="V12355" s="24"/>
      <c r="W12355" s="24"/>
      <c r="X12355" s="24"/>
      <c r="Y12355" s="24"/>
      <c r="Z12355" s="24"/>
      <c r="AA12355" s="24"/>
    </row>
    <row r="12356">
      <c r="A12356" s="24"/>
      <c r="B12356" s="25"/>
      <c r="C12356" s="24"/>
      <c r="D12356" s="26"/>
      <c r="E12356" s="24"/>
      <c r="F12356" s="24"/>
      <c r="G12356" s="24"/>
      <c r="H12356" s="24"/>
      <c r="I12356" s="24"/>
      <c r="J12356" s="24"/>
      <c r="K12356" s="24"/>
      <c r="L12356" s="24"/>
      <c r="M12356" s="24"/>
      <c r="N12356" s="24"/>
      <c r="O12356" s="24"/>
      <c r="P12356" s="24"/>
      <c r="Q12356" s="24"/>
      <c r="R12356" s="24"/>
      <c r="S12356" s="24"/>
      <c r="T12356" s="24"/>
      <c r="U12356" s="24"/>
      <c r="V12356" s="24"/>
      <c r="W12356" s="24"/>
      <c r="X12356" s="24"/>
      <c r="Y12356" s="24"/>
      <c r="Z12356" s="24"/>
      <c r="AA12356" s="24"/>
    </row>
    <row r="12357">
      <c r="A12357" s="24"/>
      <c r="B12357" s="25"/>
      <c r="C12357" s="24"/>
      <c r="D12357" s="26"/>
      <c r="E12357" s="24"/>
      <c r="F12357" s="24"/>
      <c r="G12357" s="24"/>
      <c r="H12357" s="24"/>
      <c r="I12357" s="24"/>
      <c r="J12357" s="24"/>
      <c r="K12357" s="24"/>
      <c r="L12357" s="24"/>
      <c r="M12357" s="24"/>
      <c r="N12357" s="24"/>
      <c r="O12357" s="24"/>
      <c r="P12357" s="24"/>
      <c r="Q12357" s="24"/>
      <c r="R12357" s="24"/>
      <c r="S12357" s="24"/>
      <c r="T12357" s="24"/>
      <c r="U12357" s="24"/>
      <c r="V12357" s="24"/>
      <c r="W12357" s="24"/>
      <c r="X12357" s="24"/>
      <c r="Y12357" s="24"/>
      <c r="Z12357" s="24"/>
      <c r="AA12357" s="24"/>
    </row>
    <row r="12358">
      <c r="A12358" s="24"/>
      <c r="B12358" s="25"/>
      <c r="C12358" s="24"/>
      <c r="D12358" s="26"/>
      <c r="E12358" s="24"/>
      <c r="F12358" s="24"/>
      <c r="G12358" s="24"/>
      <c r="H12358" s="24"/>
      <c r="I12358" s="24"/>
      <c r="J12358" s="24"/>
      <c r="K12358" s="24"/>
      <c r="L12358" s="24"/>
      <c r="M12358" s="24"/>
      <c r="N12358" s="24"/>
      <c r="O12358" s="24"/>
      <c r="P12358" s="24"/>
      <c r="Q12358" s="24"/>
      <c r="R12358" s="24"/>
      <c r="S12358" s="24"/>
      <c r="T12358" s="24"/>
      <c r="U12358" s="24"/>
      <c r="V12358" s="24"/>
      <c r="W12358" s="24"/>
      <c r="X12358" s="24"/>
      <c r="Y12358" s="24"/>
      <c r="Z12358" s="24"/>
      <c r="AA12358" s="24"/>
    </row>
    <row r="12359">
      <c r="A12359" s="24"/>
      <c r="B12359" s="25"/>
      <c r="C12359" s="24"/>
      <c r="D12359" s="26"/>
      <c r="E12359" s="24"/>
      <c r="F12359" s="24"/>
      <c r="G12359" s="24"/>
      <c r="H12359" s="24"/>
      <c r="I12359" s="24"/>
      <c r="J12359" s="24"/>
      <c r="K12359" s="24"/>
      <c r="L12359" s="24"/>
      <c r="M12359" s="24"/>
      <c r="N12359" s="24"/>
      <c r="O12359" s="24"/>
      <c r="P12359" s="24"/>
      <c r="Q12359" s="24"/>
      <c r="R12359" s="24"/>
      <c r="S12359" s="24"/>
      <c r="T12359" s="24"/>
      <c r="U12359" s="24"/>
      <c r="V12359" s="24"/>
      <c r="W12359" s="24"/>
      <c r="X12359" s="24"/>
      <c r="Y12359" s="24"/>
      <c r="Z12359" s="24"/>
      <c r="AA12359" s="24"/>
    </row>
    <row r="12360">
      <c r="A12360" s="24"/>
      <c r="B12360" s="25"/>
      <c r="C12360" s="24"/>
      <c r="D12360" s="26"/>
      <c r="E12360" s="24"/>
      <c r="F12360" s="24"/>
      <c r="G12360" s="24"/>
      <c r="H12360" s="24"/>
      <c r="I12360" s="24"/>
      <c r="J12360" s="24"/>
      <c r="K12360" s="24"/>
      <c r="L12360" s="24"/>
      <c r="M12360" s="24"/>
      <c r="N12360" s="24"/>
      <c r="O12360" s="24"/>
      <c r="P12360" s="24"/>
      <c r="Q12360" s="24"/>
      <c r="R12360" s="24"/>
      <c r="S12360" s="24"/>
      <c r="T12360" s="24"/>
      <c r="U12360" s="24"/>
      <c r="V12360" s="24"/>
      <c r="W12360" s="24"/>
      <c r="X12360" s="24"/>
      <c r="Y12360" s="24"/>
      <c r="Z12360" s="24"/>
      <c r="AA12360" s="24"/>
    </row>
    <row r="12361">
      <c r="A12361" s="24"/>
      <c r="B12361" s="25"/>
      <c r="C12361" s="24"/>
      <c r="D12361" s="26"/>
      <c r="E12361" s="24"/>
      <c r="F12361" s="24"/>
      <c r="G12361" s="24"/>
      <c r="H12361" s="24"/>
      <c r="I12361" s="24"/>
      <c r="J12361" s="24"/>
      <c r="K12361" s="24"/>
      <c r="L12361" s="24"/>
      <c r="M12361" s="24"/>
      <c r="N12361" s="24"/>
      <c r="O12361" s="24"/>
      <c r="P12361" s="24"/>
      <c r="Q12361" s="24"/>
      <c r="R12361" s="24"/>
      <c r="S12361" s="24"/>
      <c r="T12361" s="24"/>
      <c r="U12361" s="24"/>
      <c r="V12361" s="24"/>
      <c r="W12361" s="24"/>
      <c r="X12361" s="24"/>
      <c r="Y12361" s="24"/>
      <c r="Z12361" s="24"/>
      <c r="AA12361" s="24"/>
    </row>
    <row r="12362">
      <c r="A12362" s="24"/>
      <c r="B12362" s="25"/>
      <c r="C12362" s="24"/>
      <c r="D12362" s="26"/>
      <c r="E12362" s="24"/>
      <c r="F12362" s="24"/>
      <c r="G12362" s="24"/>
      <c r="H12362" s="24"/>
      <c r="I12362" s="24"/>
      <c r="J12362" s="24"/>
      <c r="K12362" s="24"/>
      <c r="L12362" s="24"/>
      <c r="M12362" s="24"/>
      <c r="N12362" s="24"/>
      <c r="O12362" s="24"/>
      <c r="P12362" s="24"/>
      <c r="Q12362" s="24"/>
      <c r="R12362" s="24"/>
      <c r="S12362" s="24"/>
      <c r="T12362" s="24"/>
      <c r="U12362" s="24"/>
      <c r="V12362" s="24"/>
      <c r="W12362" s="24"/>
      <c r="X12362" s="24"/>
      <c r="Y12362" s="24"/>
      <c r="Z12362" s="24"/>
      <c r="AA12362" s="24"/>
    </row>
    <row r="12363">
      <c r="A12363" s="24"/>
      <c r="B12363" s="25"/>
      <c r="C12363" s="24"/>
      <c r="D12363" s="26"/>
      <c r="E12363" s="24"/>
      <c r="F12363" s="24"/>
      <c r="G12363" s="24"/>
      <c r="H12363" s="24"/>
      <c r="I12363" s="24"/>
      <c r="J12363" s="24"/>
      <c r="K12363" s="24"/>
      <c r="L12363" s="24"/>
      <c r="M12363" s="24"/>
      <c r="N12363" s="24"/>
      <c r="O12363" s="24"/>
      <c r="P12363" s="24"/>
      <c r="Q12363" s="24"/>
      <c r="R12363" s="24"/>
      <c r="S12363" s="24"/>
      <c r="T12363" s="24"/>
      <c r="U12363" s="24"/>
      <c r="V12363" s="24"/>
      <c r="W12363" s="24"/>
      <c r="X12363" s="24"/>
      <c r="Y12363" s="24"/>
      <c r="Z12363" s="24"/>
      <c r="AA12363" s="24"/>
    </row>
    <row r="12364">
      <c r="A12364" s="24"/>
      <c r="B12364" s="25"/>
      <c r="C12364" s="24"/>
      <c r="D12364" s="26"/>
      <c r="E12364" s="24"/>
      <c r="F12364" s="24"/>
      <c r="G12364" s="24"/>
      <c r="H12364" s="24"/>
      <c r="I12364" s="24"/>
      <c r="J12364" s="24"/>
      <c r="K12364" s="24"/>
      <c r="L12364" s="24"/>
      <c r="M12364" s="24"/>
      <c r="N12364" s="24"/>
      <c r="O12364" s="24"/>
      <c r="P12364" s="24"/>
      <c r="Q12364" s="24"/>
      <c r="R12364" s="24"/>
      <c r="S12364" s="24"/>
      <c r="T12364" s="24"/>
      <c r="U12364" s="24"/>
      <c r="V12364" s="24"/>
      <c r="W12364" s="24"/>
      <c r="X12364" s="24"/>
      <c r="Y12364" s="24"/>
      <c r="Z12364" s="24"/>
      <c r="AA12364" s="24"/>
    </row>
    <row r="12365">
      <c r="A12365" s="24"/>
      <c r="B12365" s="25"/>
      <c r="C12365" s="24"/>
      <c r="D12365" s="26"/>
      <c r="E12365" s="24"/>
      <c r="F12365" s="24"/>
      <c r="G12365" s="24"/>
      <c r="H12365" s="24"/>
      <c r="I12365" s="24"/>
      <c r="J12365" s="24"/>
      <c r="K12365" s="24"/>
      <c r="L12365" s="24"/>
      <c r="M12365" s="24"/>
      <c r="N12365" s="24"/>
      <c r="O12365" s="24"/>
      <c r="P12365" s="24"/>
      <c r="Q12365" s="24"/>
      <c r="R12365" s="24"/>
      <c r="S12365" s="24"/>
      <c r="T12365" s="24"/>
      <c r="U12365" s="24"/>
      <c r="V12365" s="24"/>
      <c r="W12365" s="24"/>
      <c r="X12365" s="24"/>
      <c r="Y12365" s="24"/>
      <c r="Z12365" s="24"/>
      <c r="AA12365" s="24"/>
    </row>
    <row r="12366">
      <c r="A12366" s="24"/>
      <c r="B12366" s="25"/>
      <c r="C12366" s="24"/>
      <c r="D12366" s="26"/>
      <c r="E12366" s="24"/>
      <c r="F12366" s="24"/>
      <c r="G12366" s="24"/>
      <c r="H12366" s="24"/>
      <c r="I12366" s="24"/>
      <c r="J12366" s="24"/>
      <c r="K12366" s="24"/>
      <c r="L12366" s="24"/>
      <c r="M12366" s="24"/>
      <c r="N12366" s="24"/>
      <c r="O12366" s="24"/>
      <c r="P12366" s="24"/>
      <c r="Q12366" s="24"/>
      <c r="R12366" s="24"/>
      <c r="S12366" s="24"/>
      <c r="T12366" s="24"/>
      <c r="U12366" s="24"/>
      <c r="V12366" s="24"/>
      <c r="W12366" s="24"/>
      <c r="X12366" s="24"/>
      <c r="Y12366" s="24"/>
      <c r="Z12366" s="24"/>
      <c r="AA12366" s="24"/>
    </row>
    <row r="12367">
      <c r="A12367" s="24"/>
      <c r="B12367" s="25"/>
      <c r="C12367" s="24"/>
      <c r="D12367" s="26"/>
      <c r="E12367" s="24"/>
      <c r="F12367" s="24"/>
      <c r="G12367" s="24"/>
      <c r="H12367" s="24"/>
      <c r="I12367" s="24"/>
      <c r="J12367" s="24"/>
      <c r="K12367" s="24"/>
      <c r="L12367" s="24"/>
      <c r="M12367" s="24"/>
      <c r="N12367" s="24"/>
      <c r="O12367" s="24"/>
      <c r="P12367" s="24"/>
      <c r="Q12367" s="24"/>
      <c r="R12367" s="24"/>
      <c r="S12367" s="24"/>
      <c r="T12367" s="24"/>
      <c r="U12367" s="24"/>
      <c r="V12367" s="24"/>
      <c r="W12367" s="24"/>
      <c r="X12367" s="24"/>
      <c r="Y12367" s="24"/>
      <c r="Z12367" s="24"/>
      <c r="AA12367" s="24"/>
    </row>
    <row r="12368">
      <c r="A12368" s="24"/>
      <c r="B12368" s="25"/>
      <c r="C12368" s="24"/>
      <c r="D12368" s="26"/>
      <c r="E12368" s="24"/>
      <c r="F12368" s="24"/>
      <c r="G12368" s="24"/>
      <c r="H12368" s="24"/>
      <c r="I12368" s="24"/>
      <c r="J12368" s="24"/>
      <c r="K12368" s="24"/>
      <c r="L12368" s="24"/>
      <c r="M12368" s="24"/>
      <c r="N12368" s="24"/>
      <c r="O12368" s="24"/>
      <c r="P12368" s="24"/>
      <c r="Q12368" s="24"/>
      <c r="R12368" s="24"/>
      <c r="S12368" s="24"/>
      <c r="T12368" s="24"/>
      <c r="U12368" s="24"/>
      <c r="V12368" s="24"/>
      <c r="W12368" s="24"/>
      <c r="X12368" s="24"/>
      <c r="Y12368" s="24"/>
      <c r="Z12368" s="24"/>
      <c r="AA12368" s="24"/>
    </row>
    <row r="12369">
      <c r="A12369" s="24"/>
      <c r="B12369" s="25"/>
      <c r="C12369" s="24"/>
      <c r="D12369" s="26"/>
      <c r="E12369" s="24"/>
      <c r="F12369" s="24"/>
      <c r="G12369" s="24"/>
      <c r="H12369" s="24"/>
      <c r="I12369" s="24"/>
      <c r="J12369" s="24"/>
      <c r="K12369" s="24"/>
      <c r="L12369" s="24"/>
      <c r="M12369" s="24"/>
      <c r="N12369" s="24"/>
      <c r="O12369" s="24"/>
      <c r="P12369" s="24"/>
      <c r="Q12369" s="24"/>
      <c r="R12369" s="24"/>
      <c r="S12369" s="24"/>
      <c r="T12369" s="24"/>
      <c r="U12369" s="24"/>
      <c r="V12369" s="24"/>
      <c r="W12369" s="24"/>
      <c r="X12369" s="24"/>
      <c r="Y12369" s="24"/>
      <c r="Z12369" s="24"/>
      <c r="AA12369" s="24"/>
    </row>
    <row r="12370">
      <c r="A12370" s="24"/>
      <c r="B12370" s="25"/>
      <c r="C12370" s="24"/>
      <c r="D12370" s="26"/>
      <c r="E12370" s="24"/>
      <c r="F12370" s="24"/>
      <c r="G12370" s="24"/>
      <c r="H12370" s="24"/>
      <c r="I12370" s="24"/>
      <c r="J12370" s="24"/>
      <c r="K12370" s="24"/>
      <c r="L12370" s="24"/>
      <c r="M12370" s="24"/>
      <c r="N12370" s="24"/>
      <c r="O12370" s="24"/>
      <c r="P12370" s="24"/>
      <c r="Q12370" s="24"/>
      <c r="R12370" s="24"/>
      <c r="S12370" s="24"/>
      <c r="T12370" s="24"/>
      <c r="U12370" s="24"/>
      <c r="V12370" s="24"/>
      <c r="W12370" s="24"/>
      <c r="X12370" s="24"/>
      <c r="Y12370" s="24"/>
      <c r="Z12370" s="24"/>
      <c r="AA12370" s="24"/>
    </row>
    <row r="12371">
      <c r="A12371" s="24"/>
      <c r="B12371" s="25"/>
      <c r="C12371" s="24"/>
      <c r="D12371" s="26"/>
      <c r="E12371" s="24"/>
      <c r="F12371" s="24"/>
      <c r="G12371" s="24"/>
      <c r="H12371" s="24"/>
      <c r="I12371" s="24"/>
      <c r="J12371" s="24"/>
      <c r="K12371" s="24"/>
      <c r="L12371" s="24"/>
      <c r="M12371" s="24"/>
      <c r="N12371" s="24"/>
      <c r="O12371" s="24"/>
      <c r="P12371" s="24"/>
      <c r="Q12371" s="24"/>
      <c r="R12371" s="24"/>
      <c r="S12371" s="24"/>
      <c r="T12371" s="24"/>
      <c r="U12371" s="24"/>
      <c r="V12371" s="24"/>
      <c r="W12371" s="24"/>
      <c r="X12371" s="24"/>
      <c r="Y12371" s="24"/>
      <c r="Z12371" s="24"/>
      <c r="AA12371" s="24"/>
    </row>
    <row r="12372">
      <c r="A12372" s="24"/>
      <c r="B12372" s="25"/>
      <c r="C12372" s="24"/>
      <c r="D12372" s="26"/>
      <c r="E12372" s="24"/>
      <c r="F12372" s="24"/>
      <c r="G12372" s="24"/>
      <c r="H12372" s="24"/>
      <c r="I12372" s="24"/>
      <c r="J12372" s="24"/>
      <c r="K12372" s="24"/>
      <c r="L12372" s="24"/>
      <c r="M12372" s="24"/>
      <c r="N12372" s="24"/>
      <c r="O12372" s="24"/>
      <c r="P12372" s="24"/>
      <c r="Q12372" s="24"/>
      <c r="R12372" s="24"/>
      <c r="S12372" s="24"/>
      <c r="T12372" s="24"/>
      <c r="U12372" s="24"/>
      <c r="V12372" s="24"/>
      <c r="W12372" s="24"/>
      <c r="X12372" s="24"/>
      <c r="Y12372" s="24"/>
      <c r="Z12372" s="24"/>
      <c r="AA12372" s="24"/>
    </row>
    <row r="12373">
      <c r="A12373" s="24"/>
      <c r="B12373" s="25"/>
      <c r="C12373" s="24"/>
      <c r="D12373" s="26"/>
      <c r="E12373" s="24"/>
      <c r="F12373" s="24"/>
      <c r="G12373" s="24"/>
      <c r="H12373" s="24"/>
      <c r="I12373" s="24"/>
      <c r="J12373" s="24"/>
      <c r="K12373" s="24"/>
      <c r="L12373" s="24"/>
      <c r="M12373" s="24"/>
      <c r="N12373" s="24"/>
      <c r="O12373" s="24"/>
      <c r="P12373" s="24"/>
      <c r="Q12373" s="24"/>
      <c r="R12373" s="24"/>
      <c r="S12373" s="24"/>
      <c r="T12373" s="24"/>
      <c r="U12373" s="24"/>
      <c r="V12373" s="24"/>
      <c r="W12373" s="24"/>
      <c r="X12373" s="24"/>
      <c r="Y12373" s="24"/>
      <c r="Z12373" s="24"/>
      <c r="AA12373" s="24"/>
    </row>
    <row r="12374">
      <c r="A12374" s="24"/>
      <c r="B12374" s="25"/>
      <c r="C12374" s="24"/>
      <c r="D12374" s="26"/>
      <c r="E12374" s="24"/>
      <c r="F12374" s="24"/>
      <c r="G12374" s="24"/>
      <c r="H12374" s="24"/>
      <c r="I12374" s="24"/>
      <c r="J12374" s="24"/>
      <c r="K12374" s="24"/>
      <c r="L12374" s="24"/>
      <c r="M12374" s="24"/>
      <c r="N12374" s="24"/>
      <c r="O12374" s="24"/>
      <c r="P12374" s="24"/>
      <c r="Q12374" s="24"/>
      <c r="R12374" s="24"/>
      <c r="S12374" s="24"/>
      <c r="T12374" s="24"/>
      <c r="U12374" s="24"/>
      <c r="V12374" s="24"/>
      <c r="W12374" s="24"/>
      <c r="X12374" s="24"/>
      <c r="Y12374" s="24"/>
      <c r="Z12374" s="24"/>
      <c r="AA12374" s="24"/>
    </row>
    <row r="12375">
      <c r="A12375" s="24"/>
      <c r="B12375" s="25"/>
      <c r="C12375" s="24"/>
      <c r="D12375" s="26"/>
      <c r="E12375" s="24"/>
      <c r="F12375" s="24"/>
      <c r="G12375" s="24"/>
      <c r="H12375" s="24"/>
      <c r="I12375" s="24"/>
      <c r="J12375" s="24"/>
      <c r="K12375" s="24"/>
      <c r="L12375" s="24"/>
      <c r="M12375" s="24"/>
      <c r="N12375" s="24"/>
      <c r="O12375" s="24"/>
      <c r="P12375" s="24"/>
      <c r="Q12375" s="24"/>
      <c r="R12375" s="24"/>
      <c r="S12375" s="24"/>
      <c r="T12375" s="24"/>
      <c r="U12375" s="24"/>
      <c r="V12375" s="24"/>
      <c r="W12375" s="24"/>
      <c r="X12375" s="24"/>
      <c r="Y12375" s="24"/>
      <c r="Z12375" s="24"/>
      <c r="AA12375" s="24"/>
    </row>
    <row r="12376">
      <c r="A12376" s="24"/>
      <c r="B12376" s="25"/>
      <c r="C12376" s="24"/>
      <c r="D12376" s="26"/>
      <c r="E12376" s="24"/>
      <c r="F12376" s="24"/>
      <c r="G12376" s="24"/>
      <c r="H12376" s="24"/>
      <c r="I12376" s="24"/>
      <c r="J12376" s="24"/>
      <c r="K12376" s="24"/>
      <c r="L12376" s="24"/>
      <c r="M12376" s="24"/>
      <c r="N12376" s="24"/>
      <c r="O12376" s="24"/>
      <c r="P12376" s="24"/>
      <c r="Q12376" s="24"/>
      <c r="R12376" s="24"/>
      <c r="S12376" s="24"/>
      <c r="T12376" s="24"/>
      <c r="U12376" s="24"/>
      <c r="V12376" s="24"/>
      <c r="W12376" s="24"/>
      <c r="X12376" s="24"/>
      <c r="Y12376" s="24"/>
      <c r="Z12376" s="24"/>
      <c r="AA12376" s="24"/>
    </row>
    <row r="12377">
      <c r="A12377" s="24"/>
      <c r="B12377" s="25"/>
      <c r="C12377" s="24"/>
      <c r="D12377" s="26"/>
      <c r="E12377" s="24"/>
      <c r="F12377" s="24"/>
      <c r="G12377" s="24"/>
      <c r="H12377" s="24"/>
      <c r="I12377" s="24"/>
      <c r="J12377" s="24"/>
      <c r="K12377" s="24"/>
      <c r="L12377" s="24"/>
      <c r="M12377" s="24"/>
      <c r="N12377" s="24"/>
      <c r="O12377" s="24"/>
      <c r="P12377" s="24"/>
      <c r="Q12377" s="24"/>
      <c r="R12377" s="24"/>
      <c r="S12377" s="24"/>
      <c r="T12377" s="24"/>
      <c r="U12377" s="24"/>
      <c r="V12377" s="24"/>
      <c r="W12377" s="24"/>
      <c r="X12377" s="24"/>
      <c r="Y12377" s="24"/>
      <c r="Z12377" s="24"/>
      <c r="AA12377" s="24"/>
    </row>
    <row r="12378">
      <c r="A12378" s="24"/>
      <c r="B12378" s="25"/>
      <c r="C12378" s="24"/>
      <c r="D12378" s="26"/>
      <c r="E12378" s="24"/>
      <c r="F12378" s="24"/>
      <c r="G12378" s="24"/>
      <c r="H12378" s="24"/>
      <c r="I12378" s="24"/>
      <c r="J12378" s="24"/>
      <c r="K12378" s="24"/>
      <c r="L12378" s="24"/>
      <c r="M12378" s="24"/>
      <c r="N12378" s="24"/>
      <c r="O12378" s="24"/>
      <c r="P12378" s="24"/>
      <c r="Q12378" s="24"/>
      <c r="R12378" s="24"/>
      <c r="S12378" s="24"/>
      <c r="T12378" s="24"/>
      <c r="U12378" s="24"/>
      <c r="V12378" s="24"/>
      <c r="W12378" s="24"/>
      <c r="X12378" s="24"/>
      <c r="Y12378" s="24"/>
      <c r="Z12378" s="24"/>
      <c r="AA12378" s="24"/>
    </row>
    <row r="12379">
      <c r="A12379" s="24"/>
      <c r="B12379" s="25"/>
      <c r="C12379" s="24"/>
      <c r="D12379" s="26"/>
      <c r="E12379" s="24"/>
      <c r="F12379" s="24"/>
      <c r="G12379" s="24"/>
      <c r="H12379" s="24"/>
      <c r="I12379" s="24"/>
      <c r="J12379" s="24"/>
      <c r="K12379" s="24"/>
      <c r="L12379" s="24"/>
      <c r="M12379" s="24"/>
      <c r="N12379" s="24"/>
      <c r="O12379" s="24"/>
      <c r="P12379" s="24"/>
      <c r="Q12379" s="24"/>
      <c r="R12379" s="24"/>
      <c r="S12379" s="24"/>
      <c r="T12379" s="24"/>
      <c r="U12379" s="24"/>
      <c r="V12379" s="24"/>
      <c r="W12379" s="24"/>
      <c r="X12379" s="24"/>
      <c r="Y12379" s="24"/>
      <c r="Z12379" s="24"/>
      <c r="AA12379" s="24"/>
    </row>
    <row r="12380">
      <c r="A12380" s="24"/>
      <c r="B12380" s="25"/>
      <c r="C12380" s="24"/>
      <c r="D12380" s="26"/>
      <c r="E12380" s="24"/>
      <c r="F12380" s="24"/>
      <c r="G12380" s="24"/>
      <c r="H12380" s="24"/>
      <c r="I12380" s="24"/>
      <c r="J12380" s="24"/>
      <c r="K12380" s="24"/>
      <c r="L12380" s="24"/>
      <c r="M12380" s="24"/>
      <c r="N12380" s="24"/>
      <c r="O12380" s="24"/>
      <c r="P12380" s="24"/>
      <c r="Q12380" s="24"/>
      <c r="R12380" s="24"/>
      <c r="S12380" s="24"/>
      <c r="T12380" s="24"/>
      <c r="U12380" s="24"/>
      <c r="V12380" s="24"/>
      <c r="W12380" s="24"/>
      <c r="X12380" s="24"/>
      <c r="Y12380" s="24"/>
      <c r="Z12380" s="24"/>
      <c r="AA12380" s="24"/>
    </row>
    <row r="12381">
      <c r="A12381" s="24"/>
      <c r="B12381" s="25"/>
      <c r="C12381" s="24"/>
      <c r="D12381" s="26"/>
      <c r="E12381" s="24"/>
      <c r="F12381" s="24"/>
      <c r="G12381" s="24"/>
      <c r="H12381" s="24"/>
      <c r="I12381" s="24"/>
      <c r="J12381" s="24"/>
      <c r="K12381" s="24"/>
      <c r="L12381" s="24"/>
      <c r="M12381" s="24"/>
      <c r="N12381" s="24"/>
      <c r="O12381" s="24"/>
      <c r="P12381" s="24"/>
      <c r="Q12381" s="24"/>
      <c r="R12381" s="24"/>
      <c r="S12381" s="24"/>
      <c r="T12381" s="24"/>
      <c r="U12381" s="24"/>
      <c r="V12381" s="24"/>
      <c r="W12381" s="24"/>
      <c r="X12381" s="24"/>
      <c r="Y12381" s="24"/>
      <c r="Z12381" s="24"/>
      <c r="AA12381" s="24"/>
    </row>
    <row r="12382">
      <c r="A12382" s="24"/>
      <c r="B12382" s="25"/>
      <c r="C12382" s="24"/>
      <c r="D12382" s="26"/>
      <c r="E12382" s="24"/>
      <c r="F12382" s="24"/>
      <c r="G12382" s="24"/>
      <c r="H12382" s="24"/>
      <c r="I12382" s="24"/>
      <c r="J12382" s="24"/>
      <c r="K12382" s="24"/>
      <c r="L12382" s="24"/>
      <c r="M12382" s="24"/>
      <c r="N12382" s="24"/>
      <c r="O12382" s="24"/>
      <c r="P12382" s="24"/>
      <c r="Q12382" s="24"/>
      <c r="R12382" s="24"/>
      <c r="S12382" s="24"/>
      <c r="T12382" s="24"/>
      <c r="U12382" s="24"/>
      <c r="V12382" s="24"/>
      <c r="W12382" s="24"/>
      <c r="X12382" s="24"/>
      <c r="Y12382" s="24"/>
      <c r="Z12382" s="24"/>
      <c r="AA12382" s="24"/>
    </row>
    <row r="12383">
      <c r="A12383" s="24"/>
      <c r="B12383" s="25"/>
      <c r="C12383" s="24"/>
      <c r="D12383" s="26"/>
      <c r="E12383" s="24"/>
      <c r="F12383" s="24"/>
      <c r="G12383" s="24"/>
      <c r="H12383" s="24"/>
      <c r="I12383" s="24"/>
      <c r="J12383" s="24"/>
      <c r="K12383" s="24"/>
      <c r="L12383" s="24"/>
      <c r="M12383" s="24"/>
      <c r="N12383" s="24"/>
      <c r="O12383" s="24"/>
      <c r="P12383" s="24"/>
      <c r="Q12383" s="24"/>
      <c r="R12383" s="24"/>
      <c r="S12383" s="24"/>
      <c r="T12383" s="24"/>
      <c r="U12383" s="24"/>
      <c r="V12383" s="24"/>
      <c r="W12383" s="24"/>
      <c r="X12383" s="24"/>
      <c r="Y12383" s="24"/>
      <c r="Z12383" s="24"/>
      <c r="AA12383" s="24"/>
    </row>
    <row r="12384">
      <c r="A12384" s="24"/>
      <c r="B12384" s="25"/>
      <c r="C12384" s="24"/>
      <c r="D12384" s="26"/>
      <c r="E12384" s="24"/>
      <c r="F12384" s="24"/>
      <c r="G12384" s="24"/>
      <c r="H12384" s="24"/>
      <c r="I12384" s="24"/>
      <c r="J12384" s="24"/>
      <c r="K12384" s="24"/>
      <c r="L12384" s="24"/>
      <c r="M12384" s="24"/>
      <c r="N12384" s="24"/>
      <c r="O12384" s="24"/>
      <c r="P12384" s="24"/>
      <c r="Q12384" s="24"/>
      <c r="R12384" s="24"/>
      <c r="S12384" s="24"/>
      <c r="T12384" s="24"/>
      <c r="U12384" s="24"/>
      <c r="V12384" s="24"/>
      <c r="W12384" s="24"/>
      <c r="X12384" s="24"/>
      <c r="Y12384" s="24"/>
      <c r="Z12384" s="24"/>
      <c r="AA12384" s="24"/>
    </row>
    <row r="12385">
      <c r="A12385" s="24"/>
      <c r="B12385" s="25"/>
      <c r="C12385" s="24"/>
      <c r="D12385" s="26"/>
      <c r="E12385" s="24"/>
      <c r="F12385" s="24"/>
      <c r="G12385" s="24"/>
      <c r="H12385" s="24"/>
      <c r="I12385" s="24"/>
      <c r="J12385" s="24"/>
      <c r="K12385" s="24"/>
      <c r="L12385" s="24"/>
      <c r="M12385" s="24"/>
      <c r="N12385" s="24"/>
      <c r="O12385" s="24"/>
      <c r="P12385" s="24"/>
      <c r="Q12385" s="24"/>
      <c r="R12385" s="24"/>
      <c r="S12385" s="24"/>
      <c r="T12385" s="24"/>
      <c r="U12385" s="24"/>
      <c r="V12385" s="24"/>
      <c r="W12385" s="24"/>
      <c r="X12385" s="24"/>
      <c r="Y12385" s="24"/>
      <c r="Z12385" s="24"/>
      <c r="AA12385" s="24"/>
    </row>
    <row r="12386">
      <c r="A12386" s="24"/>
      <c r="B12386" s="25"/>
      <c r="C12386" s="24"/>
      <c r="D12386" s="26"/>
      <c r="E12386" s="24"/>
      <c r="F12386" s="24"/>
      <c r="G12386" s="24"/>
      <c r="H12386" s="24"/>
      <c r="I12386" s="24"/>
      <c r="J12386" s="24"/>
      <c r="K12386" s="24"/>
      <c r="L12386" s="24"/>
      <c r="M12386" s="24"/>
      <c r="N12386" s="24"/>
      <c r="O12386" s="24"/>
      <c r="P12386" s="24"/>
      <c r="Q12386" s="24"/>
      <c r="R12386" s="24"/>
      <c r="S12386" s="24"/>
      <c r="T12386" s="24"/>
      <c r="U12386" s="24"/>
      <c r="V12386" s="24"/>
      <c r="W12386" s="24"/>
      <c r="X12386" s="24"/>
      <c r="Y12386" s="24"/>
      <c r="Z12386" s="24"/>
      <c r="AA12386" s="24"/>
    </row>
    <row r="12387">
      <c r="A12387" s="24"/>
      <c r="B12387" s="25"/>
      <c r="C12387" s="24"/>
      <c r="D12387" s="26"/>
      <c r="E12387" s="24"/>
      <c r="F12387" s="24"/>
      <c r="G12387" s="24"/>
      <c r="H12387" s="24"/>
      <c r="I12387" s="24"/>
      <c r="J12387" s="24"/>
      <c r="K12387" s="24"/>
      <c r="L12387" s="24"/>
      <c r="M12387" s="24"/>
      <c r="N12387" s="24"/>
      <c r="O12387" s="24"/>
      <c r="P12387" s="24"/>
      <c r="Q12387" s="24"/>
      <c r="R12387" s="24"/>
      <c r="S12387" s="24"/>
      <c r="T12387" s="24"/>
      <c r="U12387" s="24"/>
      <c r="V12387" s="24"/>
      <c r="W12387" s="24"/>
      <c r="X12387" s="24"/>
      <c r="Y12387" s="24"/>
      <c r="Z12387" s="24"/>
      <c r="AA12387" s="24"/>
    </row>
    <row r="12388">
      <c r="A12388" s="24"/>
      <c r="B12388" s="25"/>
      <c r="C12388" s="24"/>
      <c r="D12388" s="26"/>
      <c r="E12388" s="24"/>
      <c r="F12388" s="24"/>
      <c r="G12388" s="24"/>
      <c r="H12388" s="24"/>
      <c r="I12388" s="24"/>
      <c r="J12388" s="24"/>
      <c r="K12388" s="24"/>
      <c r="L12388" s="24"/>
      <c r="M12388" s="24"/>
      <c r="N12388" s="24"/>
      <c r="O12388" s="24"/>
      <c r="P12388" s="24"/>
      <c r="Q12388" s="24"/>
      <c r="R12388" s="24"/>
      <c r="S12388" s="24"/>
      <c r="T12388" s="24"/>
      <c r="U12388" s="24"/>
      <c r="V12388" s="24"/>
      <c r="W12388" s="24"/>
      <c r="X12388" s="24"/>
      <c r="Y12388" s="24"/>
      <c r="Z12388" s="24"/>
      <c r="AA12388" s="24"/>
    </row>
    <row r="12389">
      <c r="A12389" s="24"/>
      <c r="B12389" s="25"/>
      <c r="C12389" s="24"/>
      <c r="D12389" s="26"/>
      <c r="E12389" s="24"/>
      <c r="F12389" s="24"/>
      <c r="G12389" s="24"/>
      <c r="H12389" s="24"/>
      <c r="I12389" s="24"/>
      <c r="J12389" s="24"/>
      <c r="K12389" s="24"/>
      <c r="L12389" s="24"/>
      <c r="M12389" s="24"/>
      <c r="N12389" s="24"/>
      <c r="O12389" s="24"/>
      <c r="P12389" s="24"/>
      <c r="Q12389" s="24"/>
      <c r="R12389" s="24"/>
      <c r="S12389" s="24"/>
      <c r="T12389" s="24"/>
      <c r="U12389" s="24"/>
      <c r="V12389" s="24"/>
      <c r="W12389" s="24"/>
      <c r="X12389" s="24"/>
      <c r="Y12389" s="24"/>
      <c r="Z12389" s="24"/>
      <c r="AA12389" s="24"/>
    </row>
    <row r="12390">
      <c r="A12390" s="24"/>
      <c r="B12390" s="25"/>
      <c r="C12390" s="24"/>
      <c r="D12390" s="26"/>
      <c r="E12390" s="24"/>
      <c r="F12390" s="24"/>
      <c r="G12390" s="24"/>
      <c r="H12390" s="24"/>
      <c r="I12390" s="24"/>
      <c r="J12390" s="24"/>
      <c r="K12390" s="24"/>
      <c r="L12390" s="24"/>
      <c r="M12390" s="24"/>
      <c r="N12390" s="24"/>
      <c r="O12390" s="24"/>
      <c r="P12390" s="24"/>
      <c r="Q12390" s="24"/>
      <c r="R12390" s="24"/>
      <c r="S12390" s="24"/>
      <c r="T12390" s="24"/>
      <c r="U12390" s="24"/>
      <c r="V12390" s="24"/>
      <c r="W12390" s="24"/>
      <c r="X12390" s="24"/>
      <c r="Y12390" s="24"/>
      <c r="Z12390" s="24"/>
      <c r="AA12390" s="24"/>
    </row>
    <row r="12391">
      <c r="A12391" s="24"/>
      <c r="B12391" s="25"/>
      <c r="C12391" s="24"/>
      <c r="D12391" s="26"/>
      <c r="E12391" s="24"/>
      <c r="F12391" s="24"/>
      <c r="G12391" s="24"/>
      <c r="H12391" s="24"/>
      <c r="I12391" s="24"/>
      <c r="J12391" s="24"/>
      <c r="K12391" s="24"/>
      <c r="L12391" s="24"/>
      <c r="M12391" s="24"/>
      <c r="N12391" s="24"/>
      <c r="O12391" s="24"/>
      <c r="P12391" s="24"/>
      <c r="Q12391" s="24"/>
      <c r="R12391" s="24"/>
      <c r="S12391" s="24"/>
      <c r="T12391" s="24"/>
      <c r="U12391" s="24"/>
      <c r="V12391" s="24"/>
      <c r="W12391" s="24"/>
      <c r="X12391" s="24"/>
      <c r="Y12391" s="24"/>
      <c r="Z12391" s="24"/>
      <c r="AA12391" s="24"/>
    </row>
    <row r="12392">
      <c r="A12392" s="24"/>
      <c r="B12392" s="25"/>
      <c r="C12392" s="24"/>
      <c r="D12392" s="26"/>
      <c r="E12392" s="24"/>
      <c r="F12392" s="24"/>
      <c r="G12392" s="24"/>
      <c r="H12392" s="24"/>
      <c r="I12392" s="24"/>
      <c r="J12392" s="24"/>
      <c r="K12392" s="24"/>
      <c r="L12392" s="24"/>
      <c r="M12392" s="24"/>
      <c r="N12392" s="24"/>
      <c r="O12392" s="24"/>
      <c r="P12392" s="24"/>
      <c r="Q12392" s="24"/>
      <c r="R12392" s="24"/>
      <c r="S12392" s="24"/>
      <c r="T12392" s="24"/>
      <c r="U12392" s="24"/>
      <c r="V12392" s="24"/>
      <c r="W12392" s="24"/>
      <c r="X12392" s="24"/>
      <c r="Y12392" s="24"/>
      <c r="Z12392" s="24"/>
      <c r="AA12392" s="24"/>
    </row>
    <row r="12393">
      <c r="A12393" s="24"/>
      <c r="B12393" s="25"/>
      <c r="C12393" s="24"/>
      <c r="D12393" s="26"/>
      <c r="E12393" s="24"/>
      <c r="F12393" s="24"/>
      <c r="G12393" s="24"/>
      <c r="H12393" s="24"/>
      <c r="I12393" s="24"/>
      <c r="J12393" s="24"/>
      <c r="K12393" s="24"/>
      <c r="L12393" s="24"/>
      <c r="M12393" s="24"/>
      <c r="N12393" s="24"/>
      <c r="O12393" s="24"/>
      <c r="P12393" s="24"/>
      <c r="Q12393" s="24"/>
      <c r="R12393" s="24"/>
      <c r="S12393" s="24"/>
      <c r="T12393" s="24"/>
      <c r="U12393" s="24"/>
      <c r="V12393" s="24"/>
      <c r="W12393" s="24"/>
      <c r="X12393" s="24"/>
      <c r="Y12393" s="24"/>
      <c r="Z12393" s="24"/>
      <c r="AA12393" s="24"/>
    </row>
    <row r="12394">
      <c r="A12394" s="24"/>
      <c r="B12394" s="25"/>
      <c r="C12394" s="24"/>
      <c r="D12394" s="26"/>
      <c r="E12394" s="24"/>
      <c r="F12394" s="24"/>
      <c r="G12394" s="24"/>
      <c r="H12394" s="24"/>
      <c r="I12394" s="24"/>
      <c r="J12394" s="24"/>
      <c r="K12394" s="24"/>
      <c r="L12394" s="24"/>
      <c r="M12394" s="24"/>
      <c r="N12394" s="24"/>
      <c r="O12394" s="24"/>
      <c r="P12394" s="24"/>
      <c r="Q12394" s="24"/>
      <c r="R12394" s="24"/>
      <c r="S12394" s="24"/>
      <c r="T12394" s="24"/>
      <c r="U12394" s="24"/>
      <c r="V12394" s="24"/>
      <c r="W12394" s="24"/>
      <c r="X12394" s="24"/>
      <c r="Y12394" s="24"/>
      <c r="Z12394" s="24"/>
      <c r="AA12394" s="24"/>
    </row>
    <row r="12395">
      <c r="A12395" s="24"/>
      <c r="B12395" s="25"/>
      <c r="C12395" s="24"/>
      <c r="D12395" s="26"/>
      <c r="E12395" s="24"/>
      <c r="F12395" s="24"/>
      <c r="G12395" s="24"/>
      <c r="H12395" s="24"/>
      <c r="I12395" s="24"/>
      <c r="J12395" s="24"/>
      <c r="K12395" s="24"/>
      <c r="L12395" s="24"/>
      <c r="M12395" s="24"/>
      <c r="N12395" s="24"/>
      <c r="O12395" s="24"/>
      <c r="P12395" s="24"/>
      <c r="Q12395" s="24"/>
      <c r="R12395" s="24"/>
      <c r="S12395" s="24"/>
      <c r="T12395" s="24"/>
      <c r="U12395" s="24"/>
      <c r="V12395" s="24"/>
      <c r="W12395" s="24"/>
      <c r="X12395" s="24"/>
      <c r="Y12395" s="24"/>
      <c r="Z12395" s="24"/>
      <c r="AA12395" s="24"/>
    </row>
    <row r="12396">
      <c r="A12396" s="24"/>
      <c r="B12396" s="25"/>
      <c r="C12396" s="24"/>
      <c r="D12396" s="26"/>
      <c r="E12396" s="24"/>
      <c r="F12396" s="24"/>
      <c r="G12396" s="24"/>
      <c r="H12396" s="24"/>
      <c r="I12396" s="24"/>
      <c r="J12396" s="24"/>
      <c r="K12396" s="24"/>
      <c r="L12396" s="24"/>
      <c r="M12396" s="24"/>
      <c r="N12396" s="24"/>
      <c r="O12396" s="24"/>
      <c r="P12396" s="24"/>
      <c r="Q12396" s="24"/>
      <c r="R12396" s="24"/>
      <c r="S12396" s="24"/>
      <c r="T12396" s="24"/>
      <c r="U12396" s="24"/>
      <c r="V12396" s="24"/>
      <c r="W12396" s="24"/>
      <c r="X12396" s="24"/>
      <c r="Y12396" s="24"/>
      <c r="Z12396" s="24"/>
      <c r="AA12396" s="24"/>
    </row>
    <row r="12397">
      <c r="A12397" s="24"/>
      <c r="B12397" s="25"/>
      <c r="C12397" s="24"/>
      <c r="D12397" s="26"/>
      <c r="E12397" s="24"/>
      <c r="F12397" s="24"/>
      <c r="G12397" s="24"/>
      <c r="H12397" s="24"/>
      <c r="I12397" s="24"/>
      <c r="J12397" s="24"/>
      <c r="K12397" s="24"/>
      <c r="L12397" s="24"/>
      <c r="M12397" s="24"/>
      <c r="N12397" s="24"/>
      <c r="O12397" s="24"/>
      <c r="P12397" s="24"/>
      <c r="Q12397" s="24"/>
      <c r="R12397" s="24"/>
      <c r="S12397" s="24"/>
      <c r="T12397" s="24"/>
      <c r="U12397" s="24"/>
      <c r="V12397" s="24"/>
      <c r="W12397" s="24"/>
      <c r="X12397" s="24"/>
      <c r="Y12397" s="24"/>
      <c r="Z12397" s="24"/>
      <c r="AA12397" s="24"/>
    </row>
    <row r="12398">
      <c r="A12398" s="24"/>
      <c r="B12398" s="25"/>
      <c r="C12398" s="24"/>
      <c r="D12398" s="26"/>
      <c r="E12398" s="24"/>
      <c r="F12398" s="24"/>
      <c r="G12398" s="24"/>
      <c r="H12398" s="24"/>
      <c r="I12398" s="24"/>
      <c r="J12398" s="24"/>
      <c r="K12398" s="24"/>
      <c r="L12398" s="24"/>
      <c r="M12398" s="24"/>
      <c r="N12398" s="24"/>
      <c r="O12398" s="24"/>
      <c r="P12398" s="24"/>
      <c r="Q12398" s="24"/>
      <c r="R12398" s="24"/>
      <c r="S12398" s="24"/>
      <c r="T12398" s="24"/>
      <c r="U12398" s="24"/>
      <c r="V12398" s="24"/>
      <c r="W12398" s="24"/>
      <c r="X12398" s="24"/>
      <c r="Y12398" s="24"/>
      <c r="Z12398" s="24"/>
      <c r="AA12398" s="24"/>
    </row>
    <row r="12399">
      <c r="A12399" s="24"/>
      <c r="B12399" s="25"/>
      <c r="C12399" s="24"/>
      <c r="D12399" s="26"/>
      <c r="E12399" s="24"/>
      <c r="F12399" s="24"/>
      <c r="G12399" s="24"/>
      <c r="H12399" s="24"/>
      <c r="I12399" s="24"/>
      <c r="J12399" s="24"/>
      <c r="K12399" s="24"/>
      <c r="L12399" s="24"/>
      <c r="M12399" s="24"/>
      <c r="N12399" s="24"/>
      <c r="O12399" s="24"/>
      <c r="P12399" s="24"/>
      <c r="Q12399" s="24"/>
      <c r="R12399" s="24"/>
      <c r="S12399" s="24"/>
      <c r="T12399" s="24"/>
      <c r="U12399" s="24"/>
      <c r="V12399" s="24"/>
      <c r="W12399" s="24"/>
      <c r="X12399" s="24"/>
      <c r="Y12399" s="24"/>
      <c r="Z12399" s="24"/>
      <c r="AA12399" s="24"/>
    </row>
    <row r="12400">
      <c r="A12400" s="24"/>
      <c r="B12400" s="25"/>
      <c r="C12400" s="24"/>
      <c r="D12400" s="26"/>
      <c r="E12400" s="24"/>
      <c r="F12400" s="24"/>
      <c r="G12400" s="24"/>
      <c r="H12400" s="24"/>
      <c r="I12400" s="24"/>
      <c r="J12400" s="24"/>
      <c r="K12400" s="24"/>
      <c r="L12400" s="24"/>
      <c r="M12400" s="24"/>
      <c r="N12400" s="24"/>
      <c r="O12400" s="24"/>
      <c r="P12400" s="24"/>
      <c r="Q12400" s="24"/>
      <c r="R12400" s="24"/>
      <c r="S12400" s="24"/>
      <c r="T12400" s="24"/>
      <c r="U12400" s="24"/>
      <c r="V12400" s="24"/>
      <c r="W12400" s="24"/>
      <c r="X12400" s="24"/>
      <c r="Y12400" s="24"/>
      <c r="Z12400" s="24"/>
      <c r="AA12400" s="24"/>
    </row>
    <row r="12401">
      <c r="A12401" s="24"/>
      <c r="B12401" s="25"/>
      <c r="C12401" s="24"/>
      <c r="D12401" s="26"/>
      <c r="E12401" s="24"/>
      <c r="F12401" s="24"/>
      <c r="G12401" s="24"/>
      <c r="H12401" s="24"/>
      <c r="I12401" s="24"/>
      <c r="J12401" s="24"/>
      <c r="K12401" s="24"/>
      <c r="L12401" s="24"/>
      <c r="M12401" s="24"/>
      <c r="N12401" s="24"/>
      <c r="O12401" s="24"/>
      <c r="P12401" s="24"/>
      <c r="Q12401" s="24"/>
      <c r="R12401" s="24"/>
      <c r="S12401" s="24"/>
      <c r="T12401" s="24"/>
      <c r="U12401" s="24"/>
      <c r="V12401" s="24"/>
      <c r="W12401" s="24"/>
      <c r="X12401" s="24"/>
      <c r="Y12401" s="24"/>
      <c r="Z12401" s="24"/>
      <c r="AA12401" s="24"/>
    </row>
    <row r="12402">
      <c r="A12402" s="24"/>
      <c r="B12402" s="25"/>
      <c r="C12402" s="24"/>
      <c r="D12402" s="26"/>
      <c r="E12402" s="24"/>
      <c r="F12402" s="24"/>
      <c r="G12402" s="24"/>
      <c r="H12402" s="24"/>
      <c r="I12402" s="24"/>
      <c r="J12402" s="24"/>
      <c r="K12402" s="24"/>
      <c r="L12402" s="24"/>
      <c r="M12402" s="24"/>
      <c r="N12402" s="24"/>
      <c r="O12402" s="24"/>
      <c r="P12402" s="24"/>
      <c r="Q12402" s="24"/>
      <c r="R12402" s="24"/>
      <c r="S12402" s="24"/>
      <c r="T12402" s="24"/>
      <c r="U12402" s="24"/>
      <c r="V12402" s="24"/>
      <c r="W12402" s="24"/>
      <c r="X12402" s="24"/>
      <c r="Y12402" s="24"/>
      <c r="Z12402" s="24"/>
      <c r="AA12402" s="24"/>
    </row>
    <row r="12403">
      <c r="A12403" s="24"/>
      <c r="B12403" s="25"/>
      <c r="C12403" s="24"/>
      <c r="D12403" s="26"/>
      <c r="E12403" s="24"/>
      <c r="F12403" s="24"/>
      <c r="G12403" s="24"/>
      <c r="H12403" s="24"/>
      <c r="I12403" s="24"/>
      <c r="J12403" s="24"/>
      <c r="K12403" s="24"/>
      <c r="L12403" s="24"/>
      <c r="M12403" s="24"/>
      <c r="N12403" s="24"/>
      <c r="O12403" s="24"/>
      <c r="P12403" s="24"/>
      <c r="Q12403" s="24"/>
      <c r="R12403" s="24"/>
      <c r="S12403" s="24"/>
      <c r="T12403" s="24"/>
      <c r="U12403" s="24"/>
      <c r="V12403" s="24"/>
      <c r="W12403" s="24"/>
      <c r="X12403" s="24"/>
      <c r="Y12403" s="24"/>
      <c r="Z12403" s="24"/>
      <c r="AA12403" s="24"/>
    </row>
    <row r="12404">
      <c r="A12404" s="24"/>
      <c r="B12404" s="25"/>
      <c r="C12404" s="24"/>
      <c r="D12404" s="26"/>
      <c r="E12404" s="24"/>
      <c r="F12404" s="24"/>
      <c r="G12404" s="24"/>
      <c r="H12404" s="24"/>
      <c r="I12404" s="24"/>
      <c r="J12404" s="24"/>
      <c r="K12404" s="24"/>
      <c r="L12404" s="24"/>
      <c r="M12404" s="24"/>
      <c r="N12404" s="24"/>
      <c r="O12404" s="24"/>
      <c r="P12404" s="24"/>
      <c r="Q12404" s="24"/>
      <c r="R12404" s="24"/>
      <c r="S12404" s="24"/>
      <c r="T12404" s="24"/>
      <c r="U12404" s="24"/>
      <c r="V12404" s="24"/>
      <c r="W12404" s="24"/>
      <c r="X12404" s="24"/>
      <c r="Y12404" s="24"/>
      <c r="Z12404" s="24"/>
      <c r="AA12404" s="24"/>
    </row>
    <row r="12405">
      <c r="A12405" s="24"/>
      <c r="B12405" s="25"/>
      <c r="C12405" s="24"/>
      <c r="D12405" s="26"/>
      <c r="E12405" s="24"/>
      <c r="F12405" s="24"/>
      <c r="G12405" s="24"/>
      <c r="H12405" s="24"/>
      <c r="I12405" s="24"/>
      <c r="J12405" s="24"/>
      <c r="K12405" s="24"/>
      <c r="L12405" s="24"/>
      <c r="M12405" s="24"/>
      <c r="N12405" s="24"/>
      <c r="O12405" s="24"/>
      <c r="P12405" s="24"/>
      <c r="Q12405" s="24"/>
      <c r="R12405" s="24"/>
      <c r="S12405" s="24"/>
      <c r="T12405" s="24"/>
      <c r="U12405" s="24"/>
      <c r="V12405" s="24"/>
      <c r="W12405" s="24"/>
      <c r="X12405" s="24"/>
      <c r="Y12405" s="24"/>
      <c r="Z12405" s="24"/>
      <c r="AA12405" s="24"/>
    </row>
    <row r="12406">
      <c r="A12406" s="24"/>
      <c r="B12406" s="25"/>
      <c r="C12406" s="24"/>
      <c r="D12406" s="26"/>
      <c r="E12406" s="24"/>
      <c r="F12406" s="24"/>
      <c r="G12406" s="24"/>
      <c r="H12406" s="24"/>
      <c r="I12406" s="24"/>
      <c r="J12406" s="24"/>
      <c r="K12406" s="24"/>
      <c r="L12406" s="24"/>
      <c r="M12406" s="24"/>
      <c r="N12406" s="24"/>
      <c r="O12406" s="24"/>
      <c r="P12406" s="24"/>
      <c r="Q12406" s="24"/>
      <c r="R12406" s="24"/>
      <c r="S12406" s="24"/>
      <c r="T12406" s="24"/>
      <c r="U12406" s="24"/>
      <c r="V12406" s="24"/>
      <c r="W12406" s="24"/>
      <c r="X12406" s="24"/>
      <c r="Y12406" s="24"/>
      <c r="Z12406" s="24"/>
      <c r="AA12406" s="24"/>
    </row>
    <row r="12407">
      <c r="A12407" s="24"/>
      <c r="B12407" s="25"/>
      <c r="C12407" s="24"/>
      <c r="D12407" s="26"/>
      <c r="E12407" s="24"/>
      <c r="F12407" s="24"/>
      <c r="G12407" s="24"/>
      <c r="H12407" s="24"/>
      <c r="I12407" s="24"/>
      <c r="J12407" s="24"/>
      <c r="K12407" s="24"/>
      <c r="L12407" s="24"/>
      <c r="M12407" s="24"/>
      <c r="N12407" s="24"/>
      <c r="O12407" s="24"/>
      <c r="P12407" s="24"/>
      <c r="Q12407" s="24"/>
      <c r="R12407" s="24"/>
      <c r="S12407" s="24"/>
      <c r="T12407" s="24"/>
      <c r="U12407" s="24"/>
      <c r="V12407" s="24"/>
      <c r="W12407" s="24"/>
      <c r="X12407" s="24"/>
      <c r="Y12407" s="24"/>
      <c r="Z12407" s="24"/>
      <c r="AA12407" s="24"/>
    </row>
    <row r="12408">
      <c r="A12408" s="24"/>
      <c r="B12408" s="25"/>
      <c r="C12408" s="24"/>
      <c r="D12408" s="26"/>
      <c r="E12408" s="24"/>
      <c r="F12408" s="24"/>
      <c r="G12408" s="24"/>
      <c r="H12408" s="24"/>
      <c r="I12408" s="24"/>
      <c r="J12408" s="24"/>
      <c r="K12408" s="24"/>
      <c r="L12408" s="24"/>
      <c r="M12408" s="24"/>
      <c r="N12408" s="24"/>
      <c r="O12408" s="24"/>
      <c r="P12408" s="24"/>
      <c r="Q12408" s="24"/>
      <c r="R12408" s="24"/>
      <c r="S12408" s="24"/>
      <c r="T12408" s="24"/>
      <c r="U12408" s="24"/>
      <c r="V12408" s="24"/>
      <c r="W12408" s="24"/>
      <c r="X12408" s="24"/>
      <c r="Y12408" s="24"/>
      <c r="Z12408" s="24"/>
      <c r="AA12408" s="24"/>
    </row>
    <row r="12409">
      <c r="A12409" s="24"/>
      <c r="B12409" s="25"/>
      <c r="C12409" s="24"/>
      <c r="D12409" s="26"/>
      <c r="E12409" s="24"/>
      <c r="F12409" s="24"/>
      <c r="G12409" s="24"/>
      <c r="H12409" s="24"/>
      <c r="I12409" s="24"/>
      <c r="J12409" s="24"/>
      <c r="K12409" s="24"/>
      <c r="L12409" s="24"/>
      <c r="M12409" s="24"/>
      <c r="N12409" s="24"/>
      <c r="O12409" s="24"/>
      <c r="P12409" s="24"/>
      <c r="Q12409" s="24"/>
      <c r="R12409" s="24"/>
      <c r="S12409" s="24"/>
      <c r="T12409" s="24"/>
      <c r="U12409" s="24"/>
      <c r="V12409" s="24"/>
      <c r="W12409" s="24"/>
      <c r="X12409" s="24"/>
      <c r="Y12409" s="24"/>
      <c r="Z12409" s="24"/>
      <c r="AA12409" s="24"/>
    </row>
    <row r="12410">
      <c r="A12410" s="24"/>
      <c r="B12410" s="25"/>
      <c r="C12410" s="24"/>
      <c r="D12410" s="26"/>
      <c r="E12410" s="24"/>
      <c r="F12410" s="24"/>
      <c r="G12410" s="24"/>
      <c r="H12410" s="24"/>
      <c r="I12410" s="24"/>
      <c r="J12410" s="24"/>
      <c r="K12410" s="24"/>
      <c r="L12410" s="24"/>
      <c r="M12410" s="24"/>
      <c r="N12410" s="24"/>
      <c r="O12410" s="24"/>
      <c r="P12410" s="24"/>
      <c r="Q12410" s="24"/>
      <c r="R12410" s="24"/>
      <c r="S12410" s="24"/>
      <c r="T12410" s="24"/>
      <c r="U12410" s="24"/>
      <c r="V12410" s="24"/>
      <c r="W12410" s="24"/>
      <c r="X12410" s="24"/>
      <c r="Y12410" s="24"/>
      <c r="Z12410" s="24"/>
      <c r="AA12410" s="24"/>
    </row>
    <row r="12411">
      <c r="A12411" s="24"/>
      <c r="B12411" s="25"/>
      <c r="C12411" s="24"/>
      <c r="D12411" s="26"/>
      <c r="E12411" s="24"/>
      <c r="F12411" s="24"/>
      <c r="G12411" s="24"/>
      <c r="H12411" s="24"/>
      <c r="I12411" s="24"/>
      <c r="J12411" s="24"/>
      <c r="K12411" s="24"/>
      <c r="L12411" s="24"/>
      <c r="M12411" s="24"/>
      <c r="N12411" s="24"/>
      <c r="O12411" s="24"/>
      <c r="P12411" s="24"/>
      <c r="Q12411" s="24"/>
      <c r="R12411" s="24"/>
      <c r="S12411" s="24"/>
      <c r="T12411" s="24"/>
      <c r="U12411" s="24"/>
      <c r="V12411" s="24"/>
      <c r="W12411" s="24"/>
      <c r="X12411" s="24"/>
      <c r="Y12411" s="24"/>
      <c r="Z12411" s="24"/>
      <c r="AA12411" s="24"/>
    </row>
    <row r="12412">
      <c r="A12412" s="24"/>
      <c r="B12412" s="25"/>
      <c r="C12412" s="24"/>
      <c r="D12412" s="26"/>
      <c r="E12412" s="24"/>
      <c r="F12412" s="24"/>
      <c r="G12412" s="24"/>
      <c r="H12412" s="24"/>
      <c r="I12412" s="24"/>
      <c r="J12412" s="24"/>
      <c r="K12412" s="24"/>
      <c r="L12412" s="24"/>
      <c r="M12412" s="24"/>
      <c r="N12412" s="24"/>
      <c r="O12412" s="24"/>
      <c r="P12412" s="24"/>
      <c r="Q12412" s="24"/>
      <c r="R12412" s="24"/>
      <c r="S12412" s="24"/>
      <c r="T12412" s="24"/>
      <c r="U12412" s="24"/>
      <c r="V12412" s="24"/>
      <c r="W12412" s="24"/>
      <c r="X12412" s="24"/>
      <c r="Y12412" s="24"/>
      <c r="Z12412" s="24"/>
      <c r="AA12412" s="24"/>
    </row>
    <row r="12413">
      <c r="A12413" s="24"/>
      <c r="B12413" s="25"/>
      <c r="C12413" s="24"/>
      <c r="D12413" s="26"/>
      <c r="E12413" s="24"/>
      <c r="F12413" s="24"/>
      <c r="G12413" s="24"/>
      <c r="H12413" s="24"/>
      <c r="I12413" s="24"/>
      <c r="J12413" s="24"/>
      <c r="K12413" s="24"/>
      <c r="L12413" s="24"/>
      <c r="M12413" s="24"/>
      <c r="N12413" s="24"/>
      <c r="O12413" s="24"/>
      <c r="P12413" s="24"/>
      <c r="Q12413" s="24"/>
      <c r="R12413" s="24"/>
      <c r="S12413" s="24"/>
      <c r="T12413" s="24"/>
      <c r="U12413" s="24"/>
      <c r="V12413" s="24"/>
      <c r="W12413" s="24"/>
      <c r="X12413" s="24"/>
      <c r="Y12413" s="24"/>
      <c r="Z12413" s="24"/>
      <c r="AA12413" s="24"/>
    </row>
    <row r="12414">
      <c r="A12414" s="24"/>
      <c r="B12414" s="25"/>
      <c r="C12414" s="24"/>
      <c r="D12414" s="26"/>
      <c r="E12414" s="24"/>
      <c r="F12414" s="24"/>
      <c r="G12414" s="24"/>
      <c r="H12414" s="24"/>
      <c r="I12414" s="24"/>
      <c r="J12414" s="24"/>
      <c r="K12414" s="24"/>
      <c r="L12414" s="24"/>
      <c r="M12414" s="24"/>
      <c r="N12414" s="24"/>
      <c r="O12414" s="24"/>
      <c r="P12414" s="24"/>
      <c r="Q12414" s="24"/>
      <c r="R12414" s="24"/>
      <c r="S12414" s="24"/>
      <c r="T12414" s="24"/>
      <c r="U12414" s="24"/>
      <c r="V12414" s="24"/>
      <c r="W12414" s="24"/>
      <c r="X12414" s="24"/>
      <c r="Y12414" s="24"/>
      <c r="Z12414" s="24"/>
      <c r="AA12414" s="24"/>
    </row>
    <row r="12415">
      <c r="A12415" s="24"/>
      <c r="B12415" s="25"/>
      <c r="C12415" s="24"/>
      <c r="D12415" s="26"/>
      <c r="E12415" s="24"/>
      <c r="F12415" s="24"/>
      <c r="G12415" s="24"/>
      <c r="H12415" s="24"/>
      <c r="I12415" s="24"/>
      <c r="J12415" s="24"/>
      <c r="K12415" s="24"/>
      <c r="L12415" s="24"/>
      <c r="M12415" s="24"/>
      <c r="N12415" s="24"/>
      <c r="O12415" s="24"/>
      <c r="P12415" s="24"/>
      <c r="Q12415" s="24"/>
      <c r="R12415" s="24"/>
      <c r="S12415" s="24"/>
      <c r="T12415" s="24"/>
      <c r="U12415" s="24"/>
      <c r="V12415" s="24"/>
      <c r="W12415" s="24"/>
      <c r="X12415" s="24"/>
      <c r="Y12415" s="24"/>
      <c r="Z12415" s="24"/>
      <c r="AA12415" s="24"/>
    </row>
    <row r="12416">
      <c r="A12416" s="24"/>
      <c r="B12416" s="25"/>
      <c r="C12416" s="24"/>
      <c r="D12416" s="26"/>
      <c r="E12416" s="24"/>
      <c r="F12416" s="24"/>
      <c r="G12416" s="24"/>
      <c r="H12416" s="24"/>
      <c r="I12416" s="24"/>
      <c r="J12416" s="24"/>
      <c r="K12416" s="24"/>
      <c r="L12416" s="24"/>
      <c r="M12416" s="24"/>
      <c r="N12416" s="24"/>
      <c r="O12416" s="24"/>
      <c r="P12416" s="24"/>
      <c r="Q12416" s="24"/>
      <c r="R12416" s="24"/>
      <c r="S12416" s="24"/>
      <c r="T12416" s="24"/>
      <c r="U12416" s="24"/>
      <c r="V12416" s="24"/>
      <c r="W12416" s="24"/>
      <c r="X12416" s="24"/>
      <c r="Y12416" s="24"/>
      <c r="Z12416" s="24"/>
      <c r="AA12416" s="24"/>
    </row>
    <row r="12417">
      <c r="A12417" s="24"/>
      <c r="B12417" s="25"/>
      <c r="C12417" s="24"/>
      <c r="D12417" s="26"/>
      <c r="E12417" s="24"/>
      <c r="F12417" s="24"/>
      <c r="G12417" s="24"/>
      <c r="H12417" s="24"/>
      <c r="I12417" s="24"/>
      <c r="J12417" s="24"/>
      <c r="K12417" s="24"/>
      <c r="L12417" s="24"/>
      <c r="M12417" s="24"/>
      <c r="N12417" s="24"/>
      <c r="O12417" s="24"/>
      <c r="P12417" s="24"/>
      <c r="Q12417" s="24"/>
      <c r="R12417" s="24"/>
      <c r="S12417" s="24"/>
      <c r="T12417" s="24"/>
      <c r="U12417" s="24"/>
      <c r="V12417" s="24"/>
      <c r="W12417" s="24"/>
      <c r="X12417" s="24"/>
      <c r="Y12417" s="24"/>
      <c r="Z12417" s="24"/>
      <c r="AA12417" s="24"/>
    </row>
    <row r="12418">
      <c r="A12418" s="24"/>
      <c r="B12418" s="25"/>
      <c r="C12418" s="24"/>
      <c r="D12418" s="26"/>
      <c r="E12418" s="24"/>
      <c r="F12418" s="24"/>
      <c r="G12418" s="24"/>
      <c r="H12418" s="24"/>
      <c r="I12418" s="24"/>
      <c r="J12418" s="24"/>
      <c r="K12418" s="24"/>
      <c r="L12418" s="24"/>
      <c r="M12418" s="24"/>
      <c r="N12418" s="24"/>
      <c r="O12418" s="24"/>
      <c r="P12418" s="24"/>
      <c r="Q12418" s="24"/>
      <c r="R12418" s="24"/>
      <c r="S12418" s="24"/>
      <c r="T12418" s="24"/>
      <c r="U12418" s="24"/>
      <c r="V12418" s="24"/>
      <c r="W12418" s="24"/>
      <c r="X12418" s="24"/>
      <c r="Y12418" s="24"/>
      <c r="Z12418" s="24"/>
      <c r="AA12418" s="24"/>
    </row>
    <row r="12419">
      <c r="A12419" s="24"/>
      <c r="B12419" s="25"/>
      <c r="C12419" s="24"/>
      <c r="D12419" s="26"/>
      <c r="E12419" s="24"/>
      <c r="F12419" s="24"/>
      <c r="G12419" s="24"/>
      <c r="H12419" s="24"/>
      <c r="I12419" s="24"/>
      <c r="J12419" s="24"/>
      <c r="K12419" s="24"/>
      <c r="L12419" s="24"/>
      <c r="M12419" s="24"/>
      <c r="N12419" s="24"/>
      <c r="O12419" s="24"/>
      <c r="P12419" s="24"/>
      <c r="Q12419" s="24"/>
      <c r="R12419" s="24"/>
      <c r="S12419" s="24"/>
      <c r="T12419" s="24"/>
      <c r="U12419" s="24"/>
      <c r="V12419" s="24"/>
      <c r="W12419" s="24"/>
      <c r="X12419" s="24"/>
      <c r="Y12419" s="24"/>
      <c r="Z12419" s="24"/>
      <c r="AA12419" s="24"/>
    </row>
    <row r="12420">
      <c r="A12420" s="24"/>
      <c r="B12420" s="25"/>
      <c r="C12420" s="24"/>
      <c r="D12420" s="26"/>
      <c r="E12420" s="24"/>
      <c r="F12420" s="24"/>
      <c r="G12420" s="24"/>
      <c r="H12420" s="24"/>
      <c r="I12420" s="24"/>
      <c r="J12420" s="24"/>
      <c r="K12420" s="24"/>
      <c r="L12420" s="24"/>
      <c r="M12420" s="24"/>
      <c r="N12420" s="24"/>
      <c r="O12420" s="24"/>
      <c r="P12420" s="24"/>
      <c r="Q12420" s="24"/>
      <c r="R12420" s="24"/>
      <c r="S12420" s="24"/>
      <c r="T12420" s="24"/>
      <c r="U12420" s="24"/>
      <c r="V12420" s="24"/>
      <c r="W12420" s="24"/>
      <c r="X12420" s="24"/>
      <c r="Y12420" s="24"/>
      <c r="Z12420" s="24"/>
      <c r="AA12420" s="24"/>
    </row>
    <row r="12421">
      <c r="A12421" s="24"/>
      <c r="B12421" s="25"/>
      <c r="C12421" s="24"/>
      <c r="D12421" s="26"/>
      <c r="E12421" s="24"/>
      <c r="F12421" s="24"/>
      <c r="G12421" s="24"/>
      <c r="H12421" s="24"/>
      <c r="I12421" s="24"/>
      <c r="J12421" s="24"/>
      <c r="K12421" s="24"/>
      <c r="L12421" s="24"/>
      <c r="M12421" s="24"/>
      <c r="N12421" s="24"/>
      <c r="O12421" s="24"/>
      <c r="P12421" s="24"/>
      <c r="Q12421" s="24"/>
      <c r="R12421" s="24"/>
      <c r="S12421" s="24"/>
      <c r="T12421" s="24"/>
      <c r="U12421" s="24"/>
      <c r="V12421" s="24"/>
      <c r="W12421" s="24"/>
      <c r="X12421" s="24"/>
      <c r="Y12421" s="24"/>
      <c r="Z12421" s="24"/>
      <c r="AA12421" s="24"/>
    </row>
    <row r="12422">
      <c r="A12422" s="24"/>
      <c r="B12422" s="25"/>
      <c r="C12422" s="24"/>
      <c r="D12422" s="26"/>
      <c r="E12422" s="24"/>
      <c r="F12422" s="24"/>
      <c r="G12422" s="24"/>
      <c r="H12422" s="24"/>
      <c r="I12422" s="24"/>
      <c r="J12422" s="24"/>
      <c r="K12422" s="24"/>
      <c r="L12422" s="24"/>
      <c r="M12422" s="24"/>
      <c r="N12422" s="24"/>
      <c r="O12422" s="24"/>
      <c r="P12422" s="24"/>
      <c r="Q12422" s="24"/>
      <c r="R12422" s="24"/>
      <c r="S12422" s="24"/>
      <c r="T12422" s="24"/>
      <c r="U12422" s="24"/>
      <c r="V12422" s="24"/>
      <c r="W12422" s="24"/>
      <c r="X12422" s="24"/>
      <c r="Y12422" s="24"/>
      <c r="Z12422" s="24"/>
      <c r="AA12422" s="24"/>
    </row>
    <row r="12423">
      <c r="A12423" s="24"/>
      <c r="B12423" s="25"/>
      <c r="C12423" s="24"/>
      <c r="D12423" s="26"/>
      <c r="E12423" s="24"/>
      <c r="F12423" s="24"/>
      <c r="G12423" s="24"/>
      <c r="H12423" s="24"/>
      <c r="I12423" s="24"/>
      <c r="J12423" s="24"/>
      <c r="K12423" s="24"/>
      <c r="L12423" s="24"/>
      <c r="M12423" s="24"/>
      <c r="N12423" s="24"/>
      <c r="O12423" s="24"/>
      <c r="P12423" s="24"/>
      <c r="Q12423" s="24"/>
      <c r="R12423" s="24"/>
      <c r="S12423" s="24"/>
      <c r="T12423" s="24"/>
      <c r="U12423" s="24"/>
      <c r="V12423" s="24"/>
      <c r="W12423" s="24"/>
      <c r="X12423" s="24"/>
      <c r="Y12423" s="24"/>
      <c r="Z12423" s="24"/>
      <c r="AA12423" s="24"/>
    </row>
    <row r="12424">
      <c r="A12424" s="24"/>
      <c r="B12424" s="25"/>
      <c r="C12424" s="24"/>
      <c r="D12424" s="26"/>
      <c r="E12424" s="24"/>
      <c r="F12424" s="24"/>
      <c r="G12424" s="24"/>
      <c r="H12424" s="24"/>
      <c r="I12424" s="24"/>
      <c r="J12424" s="24"/>
      <c r="K12424" s="24"/>
      <c r="L12424" s="24"/>
      <c r="M12424" s="24"/>
      <c r="N12424" s="24"/>
      <c r="O12424" s="24"/>
      <c r="P12424" s="24"/>
      <c r="Q12424" s="24"/>
      <c r="R12424" s="24"/>
      <c r="S12424" s="24"/>
      <c r="T12424" s="24"/>
      <c r="U12424" s="24"/>
      <c r="V12424" s="24"/>
      <c r="W12424" s="24"/>
      <c r="X12424" s="24"/>
      <c r="Y12424" s="24"/>
      <c r="Z12424" s="24"/>
      <c r="AA12424" s="24"/>
    </row>
    <row r="12425">
      <c r="A12425" s="24"/>
      <c r="B12425" s="25"/>
      <c r="C12425" s="24"/>
      <c r="D12425" s="26"/>
      <c r="E12425" s="24"/>
      <c r="F12425" s="24"/>
      <c r="G12425" s="24"/>
      <c r="H12425" s="24"/>
      <c r="I12425" s="24"/>
      <c r="J12425" s="24"/>
      <c r="K12425" s="24"/>
      <c r="L12425" s="24"/>
      <c r="M12425" s="24"/>
      <c r="N12425" s="24"/>
      <c r="O12425" s="24"/>
      <c r="P12425" s="24"/>
      <c r="Q12425" s="24"/>
      <c r="R12425" s="24"/>
      <c r="S12425" s="24"/>
      <c r="T12425" s="24"/>
      <c r="U12425" s="24"/>
      <c r="V12425" s="24"/>
      <c r="W12425" s="24"/>
      <c r="X12425" s="24"/>
      <c r="Y12425" s="24"/>
      <c r="Z12425" s="24"/>
      <c r="AA12425" s="24"/>
    </row>
    <row r="12426">
      <c r="A12426" s="24"/>
      <c r="B12426" s="25"/>
      <c r="C12426" s="24"/>
      <c r="D12426" s="26"/>
      <c r="E12426" s="24"/>
      <c r="F12426" s="24"/>
      <c r="G12426" s="24"/>
      <c r="H12426" s="24"/>
      <c r="I12426" s="24"/>
      <c r="J12426" s="24"/>
      <c r="K12426" s="24"/>
      <c r="L12426" s="24"/>
      <c r="M12426" s="24"/>
      <c r="N12426" s="24"/>
      <c r="O12426" s="24"/>
      <c r="P12426" s="24"/>
      <c r="Q12426" s="24"/>
      <c r="R12426" s="24"/>
      <c r="S12426" s="24"/>
      <c r="T12426" s="24"/>
      <c r="U12426" s="24"/>
      <c r="V12426" s="24"/>
      <c r="W12426" s="24"/>
      <c r="X12426" s="24"/>
      <c r="Y12426" s="24"/>
      <c r="Z12426" s="24"/>
      <c r="AA12426" s="24"/>
    </row>
    <row r="12427">
      <c r="A12427" s="24"/>
      <c r="B12427" s="25"/>
      <c r="C12427" s="24"/>
      <c r="D12427" s="26"/>
      <c r="E12427" s="24"/>
      <c r="F12427" s="24"/>
      <c r="G12427" s="24"/>
      <c r="H12427" s="24"/>
      <c r="I12427" s="24"/>
      <c r="J12427" s="24"/>
      <c r="K12427" s="24"/>
      <c r="L12427" s="24"/>
      <c r="M12427" s="24"/>
      <c r="N12427" s="24"/>
      <c r="O12427" s="24"/>
      <c r="P12427" s="24"/>
      <c r="Q12427" s="24"/>
      <c r="R12427" s="24"/>
      <c r="S12427" s="24"/>
      <c r="T12427" s="24"/>
      <c r="U12427" s="24"/>
      <c r="V12427" s="24"/>
      <c r="W12427" s="24"/>
      <c r="X12427" s="24"/>
      <c r="Y12427" s="24"/>
      <c r="Z12427" s="24"/>
      <c r="AA12427" s="24"/>
    </row>
    <row r="12428">
      <c r="A12428" s="24"/>
      <c r="B12428" s="25"/>
      <c r="C12428" s="24"/>
      <c r="D12428" s="26"/>
      <c r="E12428" s="24"/>
      <c r="F12428" s="24"/>
      <c r="G12428" s="24"/>
      <c r="H12428" s="24"/>
      <c r="I12428" s="24"/>
      <c r="J12428" s="24"/>
      <c r="K12428" s="24"/>
      <c r="L12428" s="24"/>
      <c r="M12428" s="24"/>
      <c r="N12428" s="24"/>
      <c r="O12428" s="24"/>
      <c r="P12428" s="24"/>
      <c r="Q12428" s="24"/>
      <c r="R12428" s="24"/>
      <c r="S12428" s="24"/>
      <c r="T12428" s="24"/>
      <c r="U12428" s="24"/>
      <c r="V12428" s="24"/>
      <c r="W12428" s="24"/>
      <c r="X12428" s="24"/>
      <c r="Y12428" s="24"/>
      <c r="Z12428" s="24"/>
      <c r="AA12428" s="24"/>
    </row>
    <row r="12429">
      <c r="A12429" s="24"/>
      <c r="B12429" s="25"/>
      <c r="C12429" s="24"/>
      <c r="D12429" s="26"/>
      <c r="E12429" s="24"/>
      <c r="F12429" s="24"/>
      <c r="G12429" s="24"/>
      <c r="H12429" s="24"/>
      <c r="I12429" s="24"/>
      <c r="J12429" s="24"/>
      <c r="K12429" s="24"/>
      <c r="L12429" s="24"/>
      <c r="M12429" s="24"/>
      <c r="N12429" s="24"/>
      <c r="O12429" s="24"/>
      <c r="P12429" s="24"/>
      <c r="Q12429" s="24"/>
      <c r="R12429" s="24"/>
      <c r="S12429" s="24"/>
      <c r="T12429" s="24"/>
      <c r="U12429" s="24"/>
      <c r="V12429" s="24"/>
      <c r="W12429" s="24"/>
      <c r="X12429" s="24"/>
      <c r="Y12429" s="24"/>
      <c r="Z12429" s="24"/>
      <c r="AA12429" s="24"/>
    </row>
    <row r="12430">
      <c r="A12430" s="24"/>
      <c r="B12430" s="25"/>
      <c r="C12430" s="24"/>
      <c r="D12430" s="26"/>
      <c r="E12430" s="24"/>
      <c r="F12430" s="24"/>
      <c r="G12430" s="24"/>
      <c r="H12430" s="24"/>
      <c r="I12430" s="24"/>
      <c r="J12430" s="24"/>
      <c r="K12430" s="24"/>
      <c r="L12430" s="24"/>
      <c r="M12430" s="24"/>
      <c r="N12430" s="24"/>
      <c r="O12430" s="24"/>
      <c r="P12430" s="24"/>
      <c r="Q12430" s="24"/>
      <c r="R12430" s="24"/>
      <c r="S12430" s="24"/>
      <c r="T12430" s="24"/>
      <c r="U12430" s="24"/>
      <c r="V12430" s="24"/>
      <c r="W12430" s="24"/>
      <c r="X12430" s="24"/>
      <c r="Y12430" s="24"/>
      <c r="Z12430" s="24"/>
      <c r="AA12430" s="24"/>
    </row>
    <row r="12431">
      <c r="A12431" s="24"/>
      <c r="B12431" s="25"/>
      <c r="C12431" s="24"/>
      <c r="D12431" s="26"/>
      <c r="E12431" s="24"/>
      <c r="F12431" s="24"/>
      <c r="G12431" s="24"/>
      <c r="H12431" s="24"/>
      <c r="I12431" s="24"/>
      <c r="J12431" s="24"/>
      <c r="K12431" s="24"/>
      <c r="L12431" s="24"/>
      <c r="M12431" s="24"/>
      <c r="N12431" s="24"/>
      <c r="O12431" s="24"/>
      <c r="P12431" s="24"/>
      <c r="Q12431" s="24"/>
      <c r="R12431" s="24"/>
      <c r="S12431" s="24"/>
      <c r="T12431" s="24"/>
      <c r="U12431" s="24"/>
      <c r="V12431" s="24"/>
      <c r="W12431" s="24"/>
      <c r="X12431" s="24"/>
      <c r="Y12431" s="24"/>
      <c r="Z12431" s="24"/>
      <c r="AA12431" s="24"/>
    </row>
    <row r="12432">
      <c r="A12432" s="24"/>
      <c r="B12432" s="25"/>
      <c r="C12432" s="24"/>
      <c r="D12432" s="26"/>
      <c r="E12432" s="24"/>
      <c r="F12432" s="24"/>
      <c r="G12432" s="24"/>
      <c r="H12432" s="24"/>
      <c r="I12432" s="24"/>
      <c r="J12432" s="24"/>
      <c r="K12432" s="24"/>
      <c r="L12432" s="24"/>
      <c r="M12432" s="24"/>
      <c r="N12432" s="24"/>
      <c r="O12432" s="24"/>
      <c r="P12432" s="24"/>
      <c r="Q12432" s="24"/>
      <c r="R12432" s="24"/>
      <c r="S12432" s="24"/>
      <c r="T12432" s="24"/>
      <c r="U12432" s="24"/>
      <c r="V12432" s="24"/>
      <c r="W12432" s="24"/>
      <c r="X12432" s="24"/>
      <c r="Y12432" s="24"/>
      <c r="Z12432" s="24"/>
      <c r="AA12432" s="24"/>
    </row>
    <row r="12433">
      <c r="A12433" s="24"/>
      <c r="B12433" s="25"/>
      <c r="C12433" s="24"/>
      <c r="D12433" s="26"/>
      <c r="E12433" s="24"/>
      <c r="F12433" s="24"/>
      <c r="G12433" s="24"/>
      <c r="H12433" s="24"/>
      <c r="I12433" s="24"/>
      <c r="J12433" s="24"/>
      <c r="K12433" s="24"/>
      <c r="L12433" s="24"/>
      <c r="M12433" s="24"/>
      <c r="N12433" s="24"/>
      <c r="O12433" s="24"/>
      <c r="P12433" s="24"/>
      <c r="Q12433" s="24"/>
      <c r="R12433" s="24"/>
      <c r="S12433" s="24"/>
      <c r="T12433" s="24"/>
      <c r="U12433" s="24"/>
      <c r="V12433" s="24"/>
      <c r="W12433" s="24"/>
      <c r="X12433" s="24"/>
      <c r="Y12433" s="24"/>
      <c r="Z12433" s="24"/>
      <c r="AA12433" s="24"/>
    </row>
    <row r="12434">
      <c r="A12434" s="24"/>
      <c r="B12434" s="25"/>
      <c r="C12434" s="24"/>
      <c r="D12434" s="26"/>
      <c r="E12434" s="24"/>
      <c r="F12434" s="24"/>
      <c r="G12434" s="24"/>
      <c r="H12434" s="24"/>
      <c r="I12434" s="24"/>
      <c r="J12434" s="24"/>
      <c r="K12434" s="24"/>
      <c r="L12434" s="24"/>
      <c r="M12434" s="24"/>
      <c r="N12434" s="24"/>
      <c r="O12434" s="24"/>
      <c r="P12434" s="24"/>
      <c r="Q12434" s="24"/>
      <c r="R12434" s="24"/>
      <c r="S12434" s="24"/>
      <c r="T12434" s="24"/>
      <c r="U12434" s="24"/>
      <c r="V12434" s="24"/>
      <c r="W12434" s="24"/>
      <c r="X12434" s="24"/>
      <c r="Y12434" s="24"/>
      <c r="Z12434" s="24"/>
      <c r="AA12434" s="24"/>
    </row>
    <row r="12435">
      <c r="A12435" s="24"/>
      <c r="B12435" s="25"/>
      <c r="C12435" s="24"/>
      <c r="D12435" s="26"/>
      <c r="E12435" s="24"/>
      <c r="F12435" s="24"/>
      <c r="G12435" s="24"/>
      <c r="H12435" s="24"/>
      <c r="I12435" s="24"/>
      <c r="J12435" s="24"/>
      <c r="K12435" s="24"/>
      <c r="L12435" s="24"/>
      <c r="M12435" s="24"/>
      <c r="N12435" s="24"/>
      <c r="O12435" s="24"/>
      <c r="P12435" s="24"/>
      <c r="Q12435" s="24"/>
      <c r="R12435" s="24"/>
      <c r="S12435" s="24"/>
      <c r="T12435" s="24"/>
      <c r="U12435" s="24"/>
      <c r="V12435" s="24"/>
      <c r="W12435" s="24"/>
      <c r="X12435" s="24"/>
      <c r="Y12435" s="24"/>
      <c r="Z12435" s="24"/>
      <c r="AA12435" s="24"/>
    </row>
    <row r="12436">
      <c r="A12436" s="24"/>
      <c r="B12436" s="25"/>
      <c r="C12436" s="24"/>
      <c r="D12436" s="26"/>
      <c r="E12436" s="24"/>
      <c r="F12436" s="24"/>
      <c r="G12436" s="24"/>
      <c r="H12436" s="24"/>
      <c r="I12436" s="24"/>
      <c r="J12436" s="24"/>
      <c r="K12436" s="24"/>
      <c r="L12436" s="24"/>
      <c r="M12436" s="24"/>
      <c r="N12436" s="24"/>
      <c r="O12436" s="24"/>
      <c r="P12436" s="24"/>
      <c r="Q12436" s="24"/>
      <c r="R12436" s="24"/>
      <c r="S12436" s="24"/>
      <c r="T12436" s="24"/>
      <c r="U12436" s="24"/>
      <c r="V12436" s="24"/>
      <c r="W12436" s="24"/>
      <c r="X12436" s="24"/>
      <c r="Y12436" s="24"/>
      <c r="Z12436" s="24"/>
      <c r="AA12436" s="24"/>
    </row>
    <row r="12437">
      <c r="A12437" s="24"/>
      <c r="B12437" s="25"/>
      <c r="C12437" s="24"/>
      <c r="D12437" s="26"/>
      <c r="E12437" s="24"/>
      <c r="F12437" s="24"/>
      <c r="G12437" s="24"/>
      <c r="H12437" s="24"/>
      <c r="I12437" s="24"/>
      <c r="J12437" s="24"/>
      <c r="K12437" s="24"/>
      <c r="L12437" s="24"/>
      <c r="M12437" s="24"/>
      <c r="N12437" s="24"/>
      <c r="O12437" s="24"/>
      <c r="P12437" s="24"/>
      <c r="Q12437" s="24"/>
      <c r="R12437" s="24"/>
      <c r="S12437" s="24"/>
      <c r="T12437" s="24"/>
      <c r="U12437" s="24"/>
      <c r="V12437" s="24"/>
      <c r="W12437" s="24"/>
      <c r="X12437" s="24"/>
      <c r="Y12437" s="24"/>
      <c r="Z12437" s="24"/>
      <c r="AA12437" s="24"/>
    </row>
    <row r="12438">
      <c r="A12438" s="24"/>
      <c r="B12438" s="25"/>
      <c r="C12438" s="24"/>
      <c r="D12438" s="26"/>
      <c r="E12438" s="24"/>
      <c r="F12438" s="24"/>
      <c r="G12438" s="24"/>
      <c r="H12438" s="24"/>
      <c r="I12438" s="24"/>
      <c r="J12438" s="24"/>
      <c r="K12438" s="24"/>
      <c r="L12438" s="24"/>
      <c r="M12438" s="24"/>
      <c r="N12438" s="24"/>
      <c r="O12438" s="24"/>
      <c r="P12438" s="24"/>
      <c r="Q12438" s="24"/>
      <c r="R12438" s="24"/>
      <c r="S12438" s="24"/>
      <c r="T12438" s="24"/>
      <c r="U12438" s="24"/>
      <c r="V12438" s="24"/>
      <c r="W12438" s="24"/>
      <c r="X12438" s="24"/>
      <c r="Y12438" s="24"/>
      <c r="Z12438" s="24"/>
      <c r="AA12438" s="24"/>
    </row>
    <row r="12439">
      <c r="A12439" s="24"/>
      <c r="B12439" s="25"/>
      <c r="C12439" s="24"/>
      <c r="D12439" s="26"/>
      <c r="E12439" s="24"/>
      <c r="F12439" s="24"/>
      <c r="G12439" s="24"/>
      <c r="H12439" s="24"/>
      <c r="I12439" s="24"/>
      <c r="J12439" s="24"/>
      <c r="K12439" s="24"/>
      <c r="L12439" s="24"/>
      <c r="M12439" s="24"/>
      <c r="N12439" s="24"/>
      <c r="O12439" s="24"/>
      <c r="P12439" s="24"/>
      <c r="Q12439" s="24"/>
      <c r="R12439" s="24"/>
      <c r="S12439" s="24"/>
      <c r="T12439" s="24"/>
      <c r="U12439" s="24"/>
      <c r="V12439" s="24"/>
      <c r="W12439" s="24"/>
      <c r="X12439" s="24"/>
      <c r="Y12439" s="24"/>
      <c r="Z12439" s="24"/>
      <c r="AA12439" s="24"/>
    </row>
    <row r="12440">
      <c r="A12440" s="24"/>
      <c r="B12440" s="25"/>
      <c r="C12440" s="24"/>
      <c r="D12440" s="26"/>
      <c r="E12440" s="24"/>
      <c r="F12440" s="24"/>
      <c r="G12440" s="24"/>
      <c r="H12440" s="24"/>
      <c r="I12440" s="24"/>
      <c r="J12440" s="24"/>
      <c r="K12440" s="24"/>
      <c r="L12440" s="24"/>
      <c r="M12440" s="24"/>
      <c r="N12440" s="24"/>
      <c r="O12440" s="24"/>
      <c r="P12440" s="24"/>
      <c r="Q12440" s="24"/>
      <c r="R12440" s="24"/>
      <c r="S12440" s="24"/>
      <c r="T12440" s="24"/>
      <c r="U12440" s="24"/>
      <c r="V12440" s="24"/>
      <c r="W12440" s="24"/>
      <c r="X12440" s="24"/>
      <c r="Y12440" s="24"/>
      <c r="Z12440" s="24"/>
      <c r="AA12440" s="24"/>
    </row>
    <row r="12441">
      <c r="A12441" s="24"/>
      <c r="B12441" s="25"/>
      <c r="C12441" s="24"/>
      <c r="D12441" s="26"/>
      <c r="E12441" s="24"/>
      <c r="F12441" s="24"/>
      <c r="G12441" s="24"/>
      <c r="H12441" s="24"/>
      <c r="I12441" s="24"/>
      <c r="J12441" s="24"/>
      <c r="K12441" s="24"/>
      <c r="L12441" s="24"/>
      <c r="M12441" s="24"/>
      <c r="N12441" s="24"/>
      <c r="O12441" s="24"/>
      <c r="P12441" s="24"/>
      <c r="Q12441" s="24"/>
      <c r="R12441" s="24"/>
      <c r="S12441" s="24"/>
      <c r="T12441" s="24"/>
      <c r="U12441" s="24"/>
      <c r="V12441" s="24"/>
      <c r="W12441" s="24"/>
      <c r="X12441" s="24"/>
      <c r="Y12441" s="24"/>
      <c r="Z12441" s="24"/>
      <c r="AA12441" s="24"/>
    </row>
    <row r="12442">
      <c r="A12442" s="24"/>
      <c r="B12442" s="25"/>
      <c r="C12442" s="24"/>
      <c r="D12442" s="26"/>
      <c r="E12442" s="24"/>
      <c r="F12442" s="24"/>
      <c r="G12442" s="24"/>
      <c r="H12442" s="24"/>
      <c r="I12442" s="24"/>
      <c r="J12442" s="24"/>
      <c r="K12442" s="24"/>
      <c r="L12442" s="24"/>
      <c r="M12442" s="24"/>
      <c r="N12442" s="24"/>
      <c r="O12442" s="24"/>
      <c r="P12442" s="24"/>
      <c r="Q12442" s="24"/>
      <c r="R12442" s="24"/>
      <c r="S12442" s="24"/>
      <c r="T12442" s="24"/>
      <c r="U12442" s="24"/>
      <c r="V12442" s="24"/>
      <c r="W12442" s="24"/>
      <c r="X12442" s="24"/>
      <c r="Y12442" s="24"/>
      <c r="Z12442" s="24"/>
      <c r="AA12442" s="24"/>
    </row>
    <row r="12443">
      <c r="A12443" s="24"/>
      <c r="B12443" s="25"/>
      <c r="C12443" s="24"/>
      <c r="D12443" s="26"/>
      <c r="E12443" s="24"/>
      <c r="F12443" s="24"/>
      <c r="G12443" s="24"/>
      <c r="H12443" s="24"/>
      <c r="I12443" s="24"/>
      <c r="J12443" s="24"/>
      <c r="K12443" s="24"/>
      <c r="L12443" s="24"/>
      <c r="M12443" s="24"/>
      <c r="N12443" s="24"/>
      <c r="O12443" s="24"/>
      <c r="P12443" s="24"/>
      <c r="Q12443" s="24"/>
      <c r="R12443" s="24"/>
      <c r="S12443" s="24"/>
      <c r="T12443" s="24"/>
      <c r="U12443" s="24"/>
      <c r="V12443" s="24"/>
      <c r="W12443" s="24"/>
      <c r="X12443" s="24"/>
      <c r="Y12443" s="24"/>
      <c r="Z12443" s="24"/>
      <c r="AA12443" s="24"/>
    </row>
    <row r="12444">
      <c r="A12444" s="24"/>
      <c r="B12444" s="25"/>
      <c r="C12444" s="24"/>
      <c r="D12444" s="26"/>
      <c r="E12444" s="24"/>
      <c r="F12444" s="24"/>
      <c r="G12444" s="24"/>
      <c r="H12444" s="24"/>
      <c r="I12444" s="24"/>
      <c r="J12444" s="24"/>
      <c r="K12444" s="24"/>
      <c r="L12444" s="24"/>
      <c r="M12444" s="24"/>
      <c r="N12444" s="24"/>
      <c r="O12444" s="24"/>
      <c r="P12444" s="24"/>
      <c r="Q12444" s="24"/>
      <c r="R12444" s="24"/>
      <c r="S12444" s="24"/>
      <c r="T12444" s="24"/>
      <c r="U12444" s="24"/>
      <c r="V12444" s="24"/>
      <c r="W12444" s="24"/>
      <c r="X12444" s="24"/>
      <c r="Y12444" s="24"/>
      <c r="Z12444" s="24"/>
      <c r="AA12444" s="24"/>
    </row>
    <row r="12445">
      <c r="A12445" s="24"/>
      <c r="B12445" s="25"/>
      <c r="C12445" s="24"/>
      <c r="D12445" s="26"/>
      <c r="E12445" s="24"/>
      <c r="F12445" s="24"/>
      <c r="G12445" s="24"/>
      <c r="H12445" s="24"/>
      <c r="I12445" s="24"/>
      <c r="J12445" s="24"/>
      <c r="K12445" s="24"/>
      <c r="L12445" s="24"/>
      <c r="M12445" s="24"/>
      <c r="N12445" s="24"/>
      <c r="O12445" s="24"/>
      <c r="P12445" s="24"/>
      <c r="Q12445" s="24"/>
      <c r="R12445" s="24"/>
      <c r="S12445" s="24"/>
      <c r="T12445" s="24"/>
      <c r="U12445" s="24"/>
      <c r="V12445" s="24"/>
      <c r="W12445" s="24"/>
      <c r="X12445" s="24"/>
      <c r="Y12445" s="24"/>
      <c r="Z12445" s="24"/>
      <c r="AA12445" s="24"/>
    </row>
    <row r="12446">
      <c r="A12446" s="24"/>
      <c r="B12446" s="25"/>
      <c r="C12446" s="24"/>
      <c r="D12446" s="26"/>
      <c r="E12446" s="24"/>
      <c r="F12446" s="24"/>
      <c r="G12446" s="24"/>
      <c r="H12446" s="24"/>
      <c r="I12446" s="24"/>
      <c r="J12446" s="24"/>
      <c r="K12446" s="24"/>
      <c r="L12446" s="24"/>
      <c r="M12446" s="24"/>
      <c r="N12446" s="24"/>
      <c r="O12446" s="24"/>
      <c r="P12446" s="24"/>
      <c r="Q12446" s="24"/>
      <c r="R12446" s="24"/>
      <c r="S12446" s="24"/>
      <c r="T12446" s="24"/>
      <c r="U12446" s="24"/>
      <c r="V12446" s="24"/>
      <c r="W12446" s="24"/>
      <c r="X12446" s="24"/>
      <c r="Y12446" s="24"/>
      <c r="Z12446" s="24"/>
      <c r="AA12446" s="24"/>
    </row>
    <row r="12447">
      <c r="A12447" s="24"/>
      <c r="B12447" s="25"/>
      <c r="C12447" s="24"/>
      <c r="D12447" s="26"/>
      <c r="E12447" s="24"/>
      <c r="F12447" s="24"/>
      <c r="G12447" s="24"/>
      <c r="H12447" s="24"/>
      <c r="I12447" s="24"/>
      <c r="J12447" s="24"/>
      <c r="K12447" s="24"/>
      <c r="L12447" s="24"/>
      <c r="M12447" s="24"/>
      <c r="N12447" s="24"/>
      <c r="O12447" s="24"/>
      <c r="P12447" s="24"/>
      <c r="Q12447" s="24"/>
      <c r="R12447" s="24"/>
      <c r="S12447" s="24"/>
      <c r="T12447" s="24"/>
      <c r="U12447" s="24"/>
      <c r="V12447" s="24"/>
      <c r="W12447" s="24"/>
      <c r="X12447" s="24"/>
      <c r="Y12447" s="24"/>
      <c r="Z12447" s="24"/>
      <c r="AA12447" s="24"/>
    </row>
    <row r="12448">
      <c r="A12448" s="24"/>
      <c r="B12448" s="25"/>
      <c r="C12448" s="24"/>
      <c r="D12448" s="26"/>
      <c r="E12448" s="24"/>
      <c r="F12448" s="24"/>
      <c r="G12448" s="24"/>
      <c r="H12448" s="24"/>
      <c r="I12448" s="24"/>
      <c r="J12448" s="24"/>
      <c r="K12448" s="24"/>
      <c r="L12448" s="24"/>
      <c r="M12448" s="24"/>
      <c r="N12448" s="24"/>
      <c r="O12448" s="24"/>
      <c r="P12448" s="24"/>
      <c r="Q12448" s="24"/>
      <c r="R12448" s="24"/>
      <c r="S12448" s="24"/>
      <c r="T12448" s="24"/>
      <c r="U12448" s="24"/>
      <c r="V12448" s="24"/>
      <c r="W12448" s="24"/>
      <c r="X12448" s="24"/>
      <c r="Y12448" s="24"/>
      <c r="Z12448" s="24"/>
      <c r="AA12448" s="24"/>
    </row>
    <row r="12449">
      <c r="A12449" s="24"/>
      <c r="B12449" s="25"/>
      <c r="C12449" s="24"/>
      <c r="D12449" s="26"/>
      <c r="E12449" s="24"/>
      <c r="F12449" s="24"/>
      <c r="G12449" s="24"/>
      <c r="H12449" s="24"/>
      <c r="I12449" s="24"/>
      <c r="J12449" s="24"/>
      <c r="K12449" s="24"/>
      <c r="L12449" s="24"/>
      <c r="M12449" s="24"/>
      <c r="N12449" s="24"/>
      <c r="O12449" s="24"/>
      <c r="P12449" s="24"/>
      <c r="Q12449" s="24"/>
      <c r="R12449" s="24"/>
      <c r="S12449" s="24"/>
      <c r="T12449" s="24"/>
      <c r="U12449" s="24"/>
      <c r="V12449" s="24"/>
      <c r="W12449" s="24"/>
      <c r="X12449" s="24"/>
      <c r="Y12449" s="24"/>
      <c r="Z12449" s="24"/>
      <c r="AA12449" s="24"/>
    </row>
    <row r="12450">
      <c r="A12450" s="24"/>
      <c r="B12450" s="25"/>
      <c r="C12450" s="24"/>
      <c r="D12450" s="26"/>
      <c r="E12450" s="24"/>
      <c r="F12450" s="24"/>
      <c r="G12450" s="24"/>
      <c r="H12450" s="24"/>
      <c r="I12450" s="24"/>
      <c r="J12450" s="24"/>
      <c r="K12450" s="24"/>
      <c r="L12450" s="24"/>
      <c r="M12450" s="24"/>
      <c r="N12450" s="24"/>
      <c r="O12450" s="24"/>
      <c r="P12450" s="24"/>
      <c r="Q12450" s="24"/>
      <c r="R12450" s="24"/>
      <c r="S12450" s="24"/>
      <c r="T12450" s="24"/>
      <c r="U12450" s="24"/>
      <c r="V12450" s="24"/>
      <c r="W12450" s="24"/>
      <c r="X12450" s="24"/>
      <c r="Y12450" s="24"/>
      <c r="Z12450" s="24"/>
      <c r="AA12450" s="24"/>
    </row>
    <row r="12451">
      <c r="A12451" s="24"/>
      <c r="B12451" s="25"/>
      <c r="C12451" s="24"/>
      <c r="D12451" s="26"/>
      <c r="E12451" s="24"/>
      <c r="F12451" s="24"/>
      <c r="G12451" s="24"/>
      <c r="H12451" s="24"/>
      <c r="I12451" s="24"/>
      <c r="J12451" s="24"/>
      <c r="K12451" s="24"/>
      <c r="L12451" s="24"/>
      <c r="M12451" s="24"/>
      <c r="N12451" s="24"/>
      <c r="O12451" s="24"/>
      <c r="P12451" s="24"/>
      <c r="Q12451" s="24"/>
      <c r="R12451" s="24"/>
      <c r="S12451" s="24"/>
      <c r="T12451" s="24"/>
      <c r="U12451" s="24"/>
      <c r="V12451" s="24"/>
      <c r="W12451" s="24"/>
      <c r="X12451" s="24"/>
      <c r="Y12451" s="24"/>
      <c r="Z12451" s="24"/>
      <c r="AA12451" s="24"/>
    </row>
    <row r="12452">
      <c r="A12452" s="24"/>
      <c r="B12452" s="25"/>
      <c r="C12452" s="24"/>
      <c r="D12452" s="26"/>
      <c r="E12452" s="24"/>
      <c r="F12452" s="24"/>
      <c r="G12452" s="24"/>
      <c r="H12452" s="24"/>
      <c r="I12452" s="24"/>
      <c r="J12452" s="24"/>
      <c r="K12452" s="24"/>
      <c r="L12452" s="24"/>
      <c r="M12452" s="24"/>
      <c r="N12452" s="24"/>
      <c r="O12452" s="24"/>
      <c r="P12452" s="24"/>
      <c r="Q12452" s="24"/>
      <c r="R12452" s="24"/>
      <c r="S12452" s="24"/>
      <c r="T12452" s="24"/>
      <c r="U12452" s="24"/>
      <c r="V12452" s="24"/>
      <c r="W12452" s="24"/>
      <c r="X12452" s="24"/>
      <c r="Y12452" s="24"/>
      <c r="Z12452" s="24"/>
      <c r="AA12452" s="24"/>
    </row>
    <row r="12453">
      <c r="A12453" s="24"/>
      <c r="B12453" s="25"/>
      <c r="C12453" s="24"/>
      <c r="D12453" s="26"/>
      <c r="E12453" s="24"/>
      <c r="F12453" s="24"/>
      <c r="G12453" s="24"/>
      <c r="H12453" s="24"/>
      <c r="I12453" s="24"/>
      <c r="J12453" s="24"/>
      <c r="K12453" s="24"/>
      <c r="L12453" s="24"/>
      <c r="M12453" s="24"/>
      <c r="N12453" s="24"/>
      <c r="O12453" s="24"/>
      <c r="P12453" s="24"/>
      <c r="Q12453" s="24"/>
      <c r="R12453" s="24"/>
      <c r="S12453" s="24"/>
      <c r="T12453" s="24"/>
      <c r="U12453" s="24"/>
      <c r="V12453" s="24"/>
      <c r="W12453" s="24"/>
      <c r="X12453" s="24"/>
      <c r="Y12453" s="24"/>
      <c r="Z12453" s="24"/>
      <c r="AA12453" s="24"/>
    </row>
    <row r="12454">
      <c r="A12454" s="24"/>
      <c r="B12454" s="25"/>
      <c r="C12454" s="24"/>
      <c r="D12454" s="26"/>
      <c r="E12454" s="24"/>
      <c r="F12454" s="24"/>
      <c r="G12454" s="24"/>
      <c r="H12454" s="24"/>
      <c r="I12454" s="24"/>
      <c r="J12454" s="24"/>
      <c r="K12454" s="24"/>
      <c r="L12454" s="24"/>
      <c r="M12454" s="24"/>
      <c r="N12454" s="24"/>
      <c r="O12454" s="24"/>
      <c r="P12454" s="24"/>
      <c r="Q12454" s="24"/>
      <c r="R12454" s="24"/>
      <c r="S12454" s="24"/>
      <c r="T12454" s="24"/>
      <c r="U12454" s="24"/>
      <c r="V12454" s="24"/>
      <c r="W12454" s="24"/>
      <c r="X12454" s="24"/>
      <c r="Y12454" s="24"/>
      <c r="Z12454" s="24"/>
      <c r="AA12454" s="24"/>
    </row>
    <row r="12455">
      <c r="A12455" s="24"/>
      <c r="B12455" s="25"/>
      <c r="C12455" s="24"/>
      <c r="D12455" s="26"/>
      <c r="E12455" s="24"/>
      <c r="F12455" s="24"/>
      <c r="G12455" s="24"/>
      <c r="H12455" s="24"/>
      <c r="I12455" s="24"/>
      <c r="J12455" s="24"/>
      <c r="K12455" s="24"/>
      <c r="L12455" s="24"/>
      <c r="M12455" s="24"/>
      <c r="N12455" s="24"/>
      <c r="O12455" s="24"/>
      <c r="P12455" s="24"/>
      <c r="Q12455" s="24"/>
      <c r="R12455" s="24"/>
      <c r="S12455" s="24"/>
      <c r="T12455" s="24"/>
      <c r="U12455" s="24"/>
      <c r="V12455" s="24"/>
      <c r="W12455" s="24"/>
      <c r="X12455" s="24"/>
      <c r="Y12455" s="24"/>
      <c r="Z12455" s="24"/>
      <c r="AA12455" s="24"/>
    </row>
    <row r="12456">
      <c r="A12456" s="24"/>
      <c r="B12456" s="25"/>
      <c r="C12456" s="24"/>
      <c r="D12456" s="26"/>
      <c r="E12456" s="24"/>
      <c r="F12456" s="24"/>
      <c r="G12456" s="24"/>
      <c r="H12456" s="24"/>
      <c r="I12456" s="24"/>
      <c r="J12456" s="24"/>
      <c r="K12456" s="24"/>
      <c r="L12456" s="24"/>
      <c r="M12456" s="24"/>
      <c r="N12456" s="24"/>
      <c r="O12456" s="24"/>
      <c r="P12456" s="24"/>
      <c r="Q12456" s="24"/>
      <c r="R12456" s="24"/>
      <c r="S12456" s="24"/>
      <c r="T12456" s="24"/>
      <c r="U12456" s="24"/>
      <c r="V12456" s="24"/>
      <c r="W12456" s="24"/>
      <c r="X12456" s="24"/>
      <c r="Y12456" s="24"/>
      <c r="Z12456" s="24"/>
      <c r="AA12456" s="24"/>
    </row>
    <row r="12457">
      <c r="A12457" s="24"/>
      <c r="B12457" s="25"/>
      <c r="C12457" s="24"/>
      <c r="D12457" s="26"/>
      <c r="E12457" s="24"/>
      <c r="F12457" s="24"/>
      <c r="G12457" s="24"/>
      <c r="H12457" s="24"/>
      <c r="I12457" s="24"/>
      <c r="J12457" s="24"/>
      <c r="K12457" s="24"/>
      <c r="L12457" s="24"/>
      <c r="M12457" s="24"/>
      <c r="N12457" s="24"/>
      <c r="O12457" s="24"/>
      <c r="P12457" s="24"/>
      <c r="Q12457" s="24"/>
      <c r="R12457" s="24"/>
      <c r="S12457" s="24"/>
      <c r="T12457" s="24"/>
      <c r="U12457" s="24"/>
      <c r="V12457" s="24"/>
      <c r="W12457" s="24"/>
      <c r="X12457" s="24"/>
      <c r="Y12457" s="24"/>
      <c r="Z12457" s="24"/>
      <c r="AA12457" s="24"/>
    </row>
    <row r="12458">
      <c r="A12458" s="24"/>
      <c r="B12458" s="25"/>
      <c r="C12458" s="24"/>
      <c r="D12458" s="26"/>
      <c r="E12458" s="24"/>
      <c r="F12458" s="24"/>
      <c r="G12458" s="24"/>
      <c r="H12458" s="24"/>
      <c r="I12458" s="24"/>
      <c r="J12458" s="24"/>
      <c r="K12458" s="24"/>
      <c r="L12458" s="24"/>
      <c r="M12458" s="24"/>
      <c r="N12458" s="24"/>
      <c r="O12458" s="24"/>
      <c r="P12458" s="24"/>
      <c r="Q12458" s="24"/>
      <c r="R12458" s="24"/>
      <c r="S12458" s="24"/>
      <c r="T12458" s="24"/>
      <c r="U12458" s="24"/>
      <c r="V12458" s="24"/>
      <c r="W12458" s="24"/>
      <c r="X12458" s="24"/>
      <c r="Y12458" s="24"/>
      <c r="Z12458" s="24"/>
      <c r="AA12458" s="24"/>
    </row>
    <row r="12459">
      <c r="A12459" s="24"/>
      <c r="B12459" s="25"/>
      <c r="C12459" s="24"/>
      <c r="D12459" s="26"/>
      <c r="E12459" s="24"/>
      <c r="F12459" s="24"/>
      <c r="G12459" s="24"/>
      <c r="H12459" s="24"/>
      <c r="I12459" s="24"/>
      <c r="J12459" s="24"/>
      <c r="K12459" s="24"/>
      <c r="L12459" s="24"/>
      <c r="M12459" s="24"/>
      <c r="N12459" s="24"/>
      <c r="O12459" s="24"/>
      <c r="P12459" s="24"/>
      <c r="Q12459" s="24"/>
      <c r="R12459" s="24"/>
      <c r="S12459" s="24"/>
      <c r="T12459" s="24"/>
      <c r="U12459" s="24"/>
      <c r="V12459" s="24"/>
      <c r="W12459" s="24"/>
      <c r="X12459" s="24"/>
      <c r="Y12459" s="24"/>
      <c r="Z12459" s="24"/>
      <c r="AA12459" s="24"/>
    </row>
    <row r="12460">
      <c r="A12460" s="24"/>
      <c r="B12460" s="25"/>
      <c r="C12460" s="24"/>
      <c r="D12460" s="26"/>
      <c r="E12460" s="24"/>
      <c r="F12460" s="24"/>
      <c r="G12460" s="24"/>
      <c r="H12460" s="24"/>
      <c r="I12460" s="24"/>
      <c r="J12460" s="24"/>
      <c r="K12460" s="24"/>
      <c r="L12460" s="24"/>
      <c r="M12460" s="24"/>
      <c r="N12460" s="24"/>
      <c r="O12460" s="24"/>
      <c r="P12460" s="24"/>
      <c r="Q12460" s="24"/>
      <c r="R12460" s="24"/>
      <c r="S12460" s="24"/>
      <c r="T12460" s="24"/>
      <c r="U12460" s="24"/>
      <c r="V12460" s="24"/>
      <c r="W12460" s="24"/>
      <c r="X12460" s="24"/>
      <c r="Y12460" s="24"/>
      <c r="Z12460" s="24"/>
      <c r="AA12460" s="24"/>
    </row>
    <row r="12461">
      <c r="A12461" s="24"/>
      <c r="B12461" s="25"/>
      <c r="C12461" s="24"/>
      <c r="D12461" s="26"/>
      <c r="E12461" s="24"/>
      <c r="F12461" s="24"/>
      <c r="G12461" s="24"/>
      <c r="H12461" s="24"/>
      <c r="I12461" s="24"/>
      <c r="J12461" s="24"/>
      <c r="K12461" s="24"/>
      <c r="L12461" s="24"/>
      <c r="M12461" s="24"/>
      <c r="N12461" s="24"/>
      <c r="O12461" s="24"/>
      <c r="P12461" s="24"/>
      <c r="Q12461" s="24"/>
      <c r="R12461" s="24"/>
      <c r="S12461" s="24"/>
      <c r="T12461" s="24"/>
      <c r="U12461" s="24"/>
      <c r="V12461" s="24"/>
      <c r="W12461" s="24"/>
      <c r="X12461" s="24"/>
      <c r="Y12461" s="24"/>
      <c r="Z12461" s="24"/>
      <c r="AA12461" s="24"/>
    </row>
    <row r="12462">
      <c r="A12462" s="24"/>
      <c r="B12462" s="25"/>
      <c r="C12462" s="24"/>
      <c r="D12462" s="26"/>
      <c r="E12462" s="24"/>
      <c r="F12462" s="24"/>
      <c r="G12462" s="24"/>
      <c r="H12462" s="24"/>
      <c r="I12462" s="24"/>
      <c r="J12462" s="24"/>
      <c r="K12462" s="24"/>
      <c r="L12462" s="24"/>
      <c r="M12462" s="24"/>
      <c r="N12462" s="24"/>
      <c r="O12462" s="24"/>
      <c r="P12462" s="24"/>
      <c r="Q12462" s="24"/>
      <c r="R12462" s="24"/>
      <c r="S12462" s="24"/>
      <c r="T12462" s="24"/>
      <c r="U12462" s="24"/>
      <c r="V12462" s="24"/>
      <c r="W12462" s="24"/>
      <c r="X12462" s="24"/>
      <c r="Y12462" s="24"/>
      <c r="Z12462" s="24"/>
      <c r="AA12462" s="24"/>
    </row>
    <row r="12463">
      <c r="A12463" s="24"/>
      <c r="B12463" s="25"/>
      <c r="C12463" s="24"/>
      <c r="D12463" s="26"/>
      <c r="E12463" s="24"/>
      <c r="F12463" s="24"/>
      <c r="G12463" s="24"/>
      <c r="H12463" s="24"/>
      <c r="I12463" s="24"/>
      <c r="J12463" s="24"/>
      <c r="K12463" s="24"/>
      <c r="L12463" s="24"/>
      <c r="M12463" s="24"/>
      <c r="N12463" s="24"/>
      <c r="O12463" s="24"/>
      <c r="P12463" s="24"/>
      <c r="Q12463" s="24"/>
      <c r="R12463" s="24"/>
      <c r="S12463" s="24"/>
      <c r="T12463" s="24"/>
      <c r="U12463" s="24"/>
      <c r="V12463" s="24"/>
      <c r="W12463" s="24"/>
      <c r="X12463" s="24"/>
      <c r="Y12463" s="24"/>
      <c r="Z12463" s="24"/>
      <c r="AA12463" s="24"/>
    </row>
    <row r="12464">
      <c r="A12464" s="24"/>
      <c r="B12464" s="25"/>
      <c r="C12464" s="24"/>
      <c r="D12464" s="26"/>
      <c r="E12464" s="24"/>
      <c r="F12464" s="24"/>
      <c r="G12464" s="24"/>
      <c r="H12464" s="24"/>
      <c r="I12464" s="24"/>
      <c r="J12464" s="24"/>
      <c r="K12464" s="24"/>
      <c r="L12464" s="24"/>
      <c r="M12464" s="24"/>
      <c r="N12464" s="24"/>
      <c r="O12464" s="24"/>
      <c r="P12464" s="24"/>
      <c r="Q12464" s="24"/>
      <c r="R12464" s="24"/>
      <c r="S12464" s="24"/>
      <c r="T12464" s="24"/>
      <c r="U12464" s="24"/>
      <c r="V12464" s="24"/>
      <c r="W12464" s="24"/>
      <c r="X12464" s="24"/>
      <c r="Y12464" s="24"/>
      <c r="Z12464" s="24"/>
      <c r="AA12464" s="24"/>
    </row>
    <row r="12465">
      <c r="A12465" s="24"/>
      <c r="B12465" s="25"/>
      <c r="C12465" s="24"/>
      <c r="D12465" s="26"/>
      <c r="E12465" s="24"/>
      <c r="F12465" s="24"/>
      <c r="G12465" s="24"/>
      <c r="H12465" s="24"/>
      <c r="I12465" s="24"/>
      <c r="J12465" s="24"/>
      <c r="K12465" s="24"/>
      <c r="L12465" s="24"/>
      <c r="M12465" s="24"/>
      <c r="N12465" s="24"/>
      <c r="O12465" s="24"/>
      <c r="P12465" s="24"/>
      <c r="Q12465" s="24"/>
      <c r="R12465" s="24"/>
      <c r="S12465" s="24"/>
      <c r="T12465" s="24"/>
      <c r="U12465" s="24"/>
      <c r="V12465" s="24"/>
      <c r="W12465" s="24"/>
      <c r="X12465" s="24"/>
      <c r="Y12465" s="24"/>
      <c r="Z12465" s="24"/>
      <c r="AA12465" s="24"/>
    </row>
    <row r="12466">
      <c r="A12466" s="24"/>
      <c r="B12466" s="25"/>
      <c r="C12466" s="24"/>
      <c r="D12466" s="26"/>
      <c r="E12466" s="24"/>
      <c r="F12466" s="24"/>
      <c r="G12466" s="24"/>
      <c r="H12466" s="24"/>
      <c r="I12466" s="24"/>
      <c r="J12466" s="24"/>
      <c r="K12466" s="24"/>
      <c r="L12466" s="24"/>
      <c r="M12466" s="24"/>
      <c r="N12466" s="24"/>
      <c r="O12466" s="24"/>
      <c r="P12466" s="24"/>
      <c r="Q12466" s="24"/>
      <c r="R12466" s="24"/>
      <c r="S12466" s="24"/>
      <c r="T12466" s="24"/>
      <c r="U12466" s="24"/>
      <c r="V12466" s="24"/>
      <c r="W12466" s="24"/>
      <c r="X12466" s="24"/>
      <c r="Y12466" s="24"/>
      <c r="Z12466" s="24"/>
      <c r="AA12466" s="24"/>
    </row>
    <row r="12467">
      <c r="A12467" s="24"/>
      <c r="B12467" s="25"/>
      <c r="C12467" s="24"/>
      <c r="D12467" s="26"/>
      <c r="E12467" s="24"/>
      <c r="F12467" s="24"/>
      <c r="G12467" s="24"/>
      <c r="H12467" s="24"/>
      <c r="I12467" s="24"/>
      <c r="J12467" s="24"/>
      <c r="K12467" s="24"/>
      <c r="L12467" s="24"/>
      <c r="M12467" s="24"/>
      <c r="N12467" s="24"/>
      <c r="O12467" s="24"/>
      <c r="P12467" s="24"/>
      <c r="Q12467" s="24"/>
      <c r="R12467" s="24"/>
      <c r="S12467" s="24"/>
      <c r="T12467" s="24"/>
      <c r="U12467" s="24"/>
      <c r="V12467" s="24"/>
      <c r="W12467" s="24"/>
      <c r="X12467" s="24"/>
      <c r="Y12467" s="24"/>
      <c r="Z12467" s="24"/>
      <c r="AA12467" s="24"/>
    </row>
    <row r="12468">
      <c r="A12468" s="24"/>
      <c r="B12468" s="25"/>
      <c r="C12468" s="24"/>
      <c r="D12468" s="26"/>
      <c r="E12468" s="24"/>
      <c r="F12468" s="24"/>
      <c r="G12468" s="24"/>
      <c r="H12468" s="24"/>
      <c r="I12468" s="24"/>
      <c r="J12468" s="24"/>
      <c r="K12468" s="24"/>
      <c r="L12468" s="24"/>
      <c r="M12468" s="24"/>
      <c r="N12468" s="24"/>
      <c r="O12468" s="24"/>
      <c r="P12468" s="24"/>
      <c r="Q12468" s="24"/>
      <c r="R12468" s="24"/>
      <c r="S12468" s="24"/>
      <c r="T12468" s="24"/>
      <c r="U12468" s="24"/>
      <c r="V12468" s="24"/>
      <c r="W12468" s="24"/>
      <c r="X12468" s="24"/>
      <c r="Y12468" s="24"/>
      <c r="Z12468" s="24"/>
      <c r="AA12468" s="24"/>
    </row>
    <row r="12469">
      <c r="A12469" s="24"/>
      <c r="B12469" s="25"/>
      <c r="C12469" s="24"/>
      <c r="D12469" s="26"/>
      <c r="E12469" s="24"/>
      <c r="F12469" s="24"/>
      <c r="G12469" s="24"/>
      <c r="H12469" s="24"/>
      <c r="I12469" s="24"/>
      <c r="J12469" s="24"/>
      <c r="K12469" s="24"/>
      <c r="L12469" s="24"/>
      <c r="M12469" s="24"/>
      <c r="N12469" s="24"/>
      <c r="O12469" s="24"/>
      <c r="P12469" s="24"/>
      <c r="Q12469" s="24"/>
      <c r="R12469" s="24"/>
      <c r="S12469" s="24"/>
      <c r="T12469" s="24"/>
      <c r="U12469" s="24"/>
      <c r="V12469" s="24"/>
      <c r="W12469" s="24"/>
      <c r="X12469" s="24"/>
      <c r="Y12469" s="24"/>
      <c r="Z12469" s="24"/>
      <c r="AA12469" s="24"/>
    </row>
    <row r="12470">
      <c r="A12470" s="24"/>
      <c r="B12470" s="25"/>
      <c r="C12470" s="24"/>
      <c r="D12470" s="26"/>
      <c r="E12470" s="24"/>
      <c r="F12470" s="24"/>
      <c r="G12470" s="24"/>
      <c r="H12470" s="24"/>
      <c r="I12470" s="24"/>
      <c r="J12470" s="24"/>
      <c r="K12470" s="24"/>
      <c r="L12470" s="24"/>
      <c r="M12470" s="24"/>
      <c r="N12470" s="24"/>
      <c r="O12470" s="24"/>
      <c r="P12470" s="24"/>
      <c r="Q12470" s="24"/>
      <c r="R12470" s="24"/>
      <c r="S12470" s="24"/>
      <c r="T12470" s="24"/>
      <c r="U12470" s="24"/>
      <c r="V12470" s="24"/>
      <c r="W12470" s="24"/>
      <c r="X12470" s="24"/>
      <c r="Y12470" s="24"/>
      <c r="Z12470" s="24"/>
      <c r="AA12470" s="24"/>
    </row>
    <row r="12471">
      <c r="A12471" s="24"/>
      <c r="B12471" s="25"/>
      <c r="C12471" s="24"/>
      <c r="D12471" s="26"/>
      <c r="E12471" s="24"/>
      <c r="F12471" s="24"/>
      <c r="G12471" s="24"/>
      <c r="H12471" s="24"/>
      <c r="I12471" s="24"/>
      <c r="J12471" s="24"/>
      <c r="K12471" s="24"/>
      <c r="L12471" s="24"/>
      <c r="M12471" s="24"/>
      <c r="N12471" s="24"/>
      <c r="O12471" s="24"/>
      <c r="P12471" s="24"/>
      <c r="Q12471" s="24"/>
      <c r="R12471" s="24"/>
      <c r="S12471" s="24"/>
      <c r="T12471" s="24"/>
      <c r="U12471" s="24"/>
      <c r="V12471" s="24"/>
      <c r="W12471" s="24"/>
      <c r="X12471" s="24"/>
      <c r="Y12471" s="24"/>
      <c r="Z12471" s="24"/>
      <c r="AA12471" s="24"/>
    </row>
    <row r="12472">
      <c r="A12472" s="24"/>
      <c r="B12472" s="25"/>
      <c r="C12472" s="24"/>
      <c r="D12472" s="26"/>
      <c r="E12472" s="24"/>
      <c r="F12472" s="24"/>
      <c r="G12472" s="24"/>
      <c r="H12472" s="24"/>
      <c r="I12472" s="24"/>
      <c r="J12472" s="24"/>
      <c r="K12472" s="24"/>
      <c r="L12472" s="24"/>
      <c r="M12472" s="24"/>
      <c r="N12472" s="24"/>
      <c r="O12472" s="24"/>
      <c r="P12472" s="24"/>
      <c r="Q12472" s="24"/>
      <c r="R12472" s="24"/>
      <c r="S12472" s="24"/>
      <c r="T12472" s="24"/>
      <c r="U12472" s="24"/>
      <c r="V12472" s="24"/>
      <c r="W12472" s="24"/>
      <c r="X12472" s="24"/>
      <c r="Y12472" s="24"/>
      <c r="Z12472" s="24"/>
      <c r="AA12472" s="24"/>
    </row>
    <row r="12473">
      <c r="A12473" s="24"/>
      <c r="B12473" s="25"/>
      <c r="C12473" s="24"/>
      <c r="D12473" s="26"/>
      <c r="E12473" s="24"/>
      <c r="F12473" s="24"/>
      <c r="G12473" s="24"/>
      <c r="H12473" s="24"/>
      <c r="I12473" s="24"/>
      <c r="J12473" s="24"/>
      <c r="K12473" s="24"/>
      <c r="L12473" s="24"/>
      <c r="M12473" s="24"/>
      <c r="N12473" s="24"/>
      <c r="O12473" s="24"/>
      <c r="P12473" s="24"/>
      <c r="Q12473" s="24"/>
      <c r="R12473" s="24"/>
      <c r="S12473" s="24"/>
      <c r="T12473" s="24"/>
      <c r="U12473" s="24"/>
      <c r="V12473" s="24"/>
      <c r="W12473" s="24"/>
      <c r="X12473" s="24"/>
      <c r="Y12473" s="24"/>
      <c r="Z12473" s="24"/>
      <c r="AA12473" s="24"/>
    </row>
    <row r="12474">
      <c r="A12474" s="24"/>
      <c r="B12474" s="25"/>
      <c r="C12474" s="24"/>
      <c r="D12474" s="26"/>
      <c r="E12474" s="24"/>
      <c r="F12474" s="24"/>
      <c r="G12474" s="24"/>
      <c r="H12474" s="24"/>
      <c r="I12474" s="24"/>
      <c r="J12474" s="24"/>
      <c r="K12474" s="24"/>
      <c r="L12474" s="24"/>
      <c r="M12474" s="24"/>
      <c r="N12474" s="24"/>
      <c r="O12474" s="24"/>
      <c r="P12474" s="24"/>
      <c r="Q12474" s="24"/>
      <c r="R12474" s="24"/>
      <c r="S12474" s="24"/>
      <c r="T12474" s="24"/>
      <c r="U12474" s="24"/>
      <c r="V12474" s="24"/>
      <c r="W12474" s="24"/>
      <c r="X12474" s="24"/>
      <c r="Y12474" s="24"/>
      <c r="Z12474" s="24"/>
      <c r="AA12474" s="24"/>
    </row>
    <row r="12475">
      <c r="A12475" s="24"/>
      <c r="B12475" s="25"/>
      <c r="C12475" s="24"/>
      <c r="D12475" s="26"/>
      <c r="E12475" s="24"/>
      <c r="F12475" s="24"/>
      <c r="G12475" s="24"/>
      <c r="H12475" s="24"/>
      <c r="I12475" s="24"/>
      <c r="J12475" s="24"/>
      <c r="K12475" s="24"/>
      <c r="L12475" s="24"/>
      <c r="M12475" s="24"/>
      <c r="N12475" s="24"/>
      <c r="O12475" s="24"/>
      <c r="P12475" s="24"/>
      <c r="Q12475" s="24"/>
      <c r="R12475" s="24"/>
      <c r="S12475" s="24"/>
      <c r="T12475" s="24"/>
      <c r="U12475" s="24"/>
      <c r="V12475" s="24"/>
      <c r="W12475" s="24"/>
      <c r="X12475" s="24"/>
      <c r="Y12475" s="24"/>
      <c r="Z12475" s="24"/>
      <c r="AA12475" s="24"/>
    </row>
    <row r="12476">
      <c r="A12476" s="24"/>
      <c r="B12476" s="25"/>
      <c r="C12476" s="24"/>
      <c r="D12476" s="26"/>
      <c r="E12476" s="24"/>
      <c r="F12476" s="24"/>
      <c r="G12476" s="24"/>
      <c r="H12476" s="24"/>
      <c r="I12476" s="24"/>
      <c r="J12476" s="24"/>
      <c r="K12476" s="24"/>
      <c r="L12476" s="24"/>
      <c r="M12476" s="24"/>
      <c r="N12476" s="24"/>
      <c r="O12476" s="24"/>
      <c r="P12476" s="24"/>
      <c r="Q12476" s="24"/>
      <c r="R12476" s="24"/>
      <c r="S12476" s="24"/>
      <c r="T12476" s="24"/>
      <c r="U12476" s="24"/>
      <c r="V12476" s="24"/>
      <c r="W12476" s="24"/>
      <c r="X12476" s="24"/>
      <c r="Y12476" s="24"/>
      <c r="Z12476" s="24"/>
      <c r="AA12476" s="24"/>
    </row>
    <row r="12477">
      <c r="A12477" s="24"/>
      <c r="B12477" s="25"/>
      <c r="C12477" s="24"/>
      <c r="D12477" s="26"/>
      <c r="E12477" s="24"/>
      <c r="F12477" s="24"/>
      <c r="G12477" s="24"/>
      <c r="H12477" s="24"/>
      <c r="I12477" s="24"/>
      <c r="J12477" s="24"/>
      <c r="K12477" s="24"/>
      <c r="L12477" s="24"/>
      <c r="M12477" s="24"/>
      <c r="N12477" s="24"/>
      <c r="O12477" s="24"/>
      <c r="P12477" s="24"/>
      <c r="Q12477" s="24"/>
      <c r="R12477" s="24"/>
      <c r="S12477" s="24"/>
      <c r="T12477" s="24"/>
      <c r="U12477" s="24"/>
      <c r="V12477" s="24"/>
      <c r="W12477" s="24"/>
      <c r="X12477" s="24"/>
      <c r="Y12477" s="24"/>
      <c r="Z12477" s="24"/>
      <c r="AA12477" s="24"/>
    </row>
    <row r="12478">
      <c r="A12478" s="24"/>
      <c r="B12478" s="25"/>
      <c r="C12478" s="24"/>
      <c r="D12478" s="26"/>
      <c r="E12478" s="24"/>
      <c r="F12478" s="24"/>
      <c r="G12478" s="24"/>
      <c r="H12478" s="24"/>
      <c r="I12478" s="24"/>
      <c r="J12478" s="24"/>
      <c r="K12478" s="24"/>
      <c r="L12478" s="24"/>
      <c r="M12478" s="24"/>
      <c r="N12478" s="24"/>
      <c r="O12478" s="24"/>
      <c r="P12478" s="24"/>
      <c r="Q12478" s="24"/>
      <c r="R12478" s="24"/>
      <c r="S12478" s="24"/>
      <c r="T12478" s="24"/>
      <c r="U12478" s="24"/>
      <c r="V12478" s="24"/>
      <c r="W12478" s="24"/>
      <c r="X12478" s="24"/>
      <c r="Y12478" s="24"/>
      <c r="Z12478" s="24"/>
      <c r="AA12478" s="24"/>
    </row>
    <row r="12479">
      <c r="A12479" s="24"/>
      <c r="B12479" s="25"/>
      <c r="C12479" s="24"/>
      <c r="D12479" s="26"/>
      <c r="E12479" s="24"/>
      <c r="F12479" s="24"/>
      <c r="G12479" s="24"/>
      <c r="H12479" s="24"/>
      <c r="I12479" s="24"/>
      <c r="J12479" s="24"/>
      <c r="K12479" s="24"/>
      <c r="L12479" s="24"/>
      <c r="M12479" s="24"/>
      <c r="N12479" s="24"/>
      <c r="O12479" s="24"/>
      <c r="P12479" s="24"/>
      <c r="Q12479" s="24"/>
      <c r="R12479" s="24"/>
      <c r="S12479" s="24"/>
      <c r="T12479" s="24"/>
      <c r="U12479" s="24"/>
      <c r="V12479" s="24"/>
      <c r="W12479" s="24"/>
      <c r="X12479" s="24"/>
      <c r="Y12479" s="24"/>
      <c r="Z12479" s="24"/>
      <c r="AA12479" s="24"/>
    </row>
    <row r="12480">
      <c r="A12480" s="24"/>
      <c r="B12480" s="25"/>
      <c r="C12480" s="24"/>
      <c r="D12480" s="26"/>
      <c r="E12480" s="24"/>
      <c r="F12480" s="24"/>
      <c r="G12480" s="24"/>
      <c r="H12480" s="24"/>
      <c r="I12480" s="24"/>
      <c r="J12480" s="24"/>
      <c r="K12480" s="24"/>
      <c r="L12480" s="24"/>
      <c r="M12480" s="24"/>
      <c r="N12480" s="24"/>
      <c r="O12480" s="24"/>
      <c r="P12480" s="24"/>
      <c r="Q12480" s="24"/>
      <c r="R12480" s="24"/>
      <c r="S12480" s="24"/>
      <c r="T12480" s="24"/>
      <c r="U12480" s="24"/>
      <c r="V12480" s="24"/>
      <c r="W12480" s="24"/>
      <c r="X12480" s="24"/>
      <c r="Y12480" s="24"/>
      <c r="Z12480" s="24"/>
      <c r="AA12480" s="24"/>
    </row>
    <row r="12481">
      <c r="A12481" s="24"/>
      <c r="B12481" s="25"/>
      <c r="C12481" s="24"/>
      <c r="D12481" s="26"/>
      <c r="E12481" s="24"/>
      <c r="F12481" s="24"/>
      <c r="G12481" s="24"/>
      <c r="H12481" s="24"/>
      <c r="I12481" s="24"/>
      <c r="J12481" s="24"/>
      <c r="K12481" s="24"/>
      <c r="L12481" s="24"/>
      <c r="M12481" s="24"/>
      <c r="N12481" s="24"/>
      <c r="O12481" s="24"/>
      <c r="P12481" s="24"/>
      <c r="Q12481" s="24"/>
      <c r="R12481" s="24"/>
      <c r="S12481" s="24"/>
      <c r="T12481" s="24"/>
      <c r="U12481" s="24"/>
      <c r="V12481" s="24"/>
      <c r="W12481" s="24"/>
      <c r="X12481" s="24"/>
      <c r="Y12481" s="24"/>
      <c r="Z12481" s="24"/>
      <c r="AA12481" s="24"/>
    </row>
    <row r="12482">
      <c r="A12482" s="24"/>
      <c r="B12482" s="25"/>
      <c r="C12482" s="24"/>
      <c r="D12482" s="26"/>
      <c r="E12482" s="24"/>
      <c r="F12482" s="24"/>
      <c r="G12482" s="24"/>
      <c r="H12482" s="24"/>
      <c r="I12482" s="24"/>
      <c r="J12482" s="24"/>
      <c r="K12482" s="24"/>
      <c r="L12482" s="24"/>
      <c r="M12482" s="24"/>
      <c r="N12482" s="24"/>
      <c r="O12482" s="24"/>
      <c r="P12482" s="24"/>
      <c r="Q12482" s="24"/>
      <c r="R12482" s="24"/>
      <c r="S12482" s="24"/>
      <c r="T12482" s="24"/>
      <c r="U12482" s="24"/>
      <c r="V12482" s="24"/>
      <c r="W12482" s="24"/>
      <c r="X12482" s="24"/>
      <c r="Y12482" s="24"/>
      <c r="Z12482" s="24"/>
      <c r="AA12482" s="24"/>
    </row>
    <row r="12483">
      <c r="A12483" s="24"/>
      <c r="B12483" s="25"/>
      <c r="C12483" s="24"/>
      <c r="D12483" s="26"/>
      <c r="E12483" s="24"/>
      <c r="F12483" s="24"/>
      <c r="G12483" s="24"/>
      <c r="H12483" s="24"/>
      <c r="I12483" s="24"/>
      <c r="J12483" s="24"/>
      <c r="K12483" s="24"/>
      <c r="L12483" s="24"/>
      <c r="M12483" s="24"/>
      <c r="N12483" s="24"/>
      <c r="O12483" s="24"/>
      <c r="P12483" s="24"/>
      <c r="Q12483" s="24"/>
      <c r="R12483" s="24"/>
      <c r="S12483" s="24"/>
      <c r="T12483" s="24"/>
      <c r="U12483" s="24"/>
      <c r="V12483" s="24"/>
      <c r="W12483" s="24"/>
      <c r="X12483" s="24"/>
      <c r="Y12483" s="24"/>
      <c r="Z12483" s="24"/>
      <c r="AA12483" s="24"/>
    </row>
    <row r="12484">
      <c r="A12484" s="24"/>
      <c r="B12484" s="25"/>
      <c r="C12484" s="24"/>
      <c r="D12484" s="26"/>
      <c r="E12484" s="24"/>
      <c r="F12484" s="24"/>
      <c r="G12484" s="24"/>
      <c r="H12484" s="24"/>
      <c r="I12484" s="24"/>
      <c r="J12484" s="24"/>
      <c r="K12484" s="24"/>
      <c r="L12484" s="24"/>
      <c r="M12484" s="24"/>
      <c r="N12484" s="24"/>
      <c r="O12484" s="24"/>
      <c r="P12484" s="24"/>
      <c r="Q12484" s="24"/>
      <c r="R12484" s="24"/>
      <c r="S12484" s="24"/>
      <c r="T12484" s="24"/>
      <c r="U12484" s="24"/>
      <c r="V12484" s="24"/>
      <c r="W12484" s="24"/>
      <c r="X12484" s="24"/>
      <c r="Y12484" s="24"/>
      <c r="Z12484" s="24"/>
      <c r="AA12484" s="24"/>
    </row>
    <row r="12485">
      <c r="A12485" s="24"/>
      <c r="B12485" s="25"/>
      <c r="C12485" s="24"/>
      <c r="D12485" s="26"/>
      <c r="E12485" s="24"/>
      <c r="F12485" s="24"/>
      <c r="G12485" s="24"/>
      <c r="H12485" s="24"/>
      <c r="I12485" s="24"/>
      <c r="J12485" s="24"/>
      <c r="K12485" s="24"/>
      <c r="L12485" s="24"/>
      <c r="M12485" s="24"/>
      <c r="N12485" s="24"/>
      <c r="O12485" s="24"/>
      <c r="P12485" s="24"/>
      <c r="Q12485" s="24"/>
      <c r="R12485" s="24"/>
      <c r="S12485" s="24"/>
      <c r="T12485" s="24"/>
      <c r="U12485" s="24"/>
      <c r="V12485" s="24"/>
      <c r="W12485" s="24"/>
      <c r="X12485" s="24"/>
      <c r="Y12485" s="24"/>
      <c r="Z12485" s="24"/>
      <c r="AA12485" s="24"/>
    </row>
    <row r="12486">
      <c r="A12486" s="24"/>
      <c r="B12486" s="25"/>
      <c r="C12486" s="24"/>
      <c r="D12486" s="26"/>
      <c r="E12486" s="24"/>
      <c r="F12486" s="24"/>
      <c r="G12486" s="24"/>
      <c r="H12486" s="24"/>
      <c r="I12486" s="24"/>
      <c r="J12486" s="24"/>
      <c r="K12486" s="24"/>
      <c r="L12486" s="24"/>
      <c r="M12486" s="24"/>
      <c r="N12486" s="24"/>
      <c r="O12486" s="24"/>
      <c r="P12486" s="24"/>
      <c r="Q12486" s="24"/>
      <c r="R12486" s="24"/>
      <c r="S12486" s="24"/>
      <c r="T12486" s="24"/>
      <c r="U12486" s="24"/>
      <c r="V12486" s="24"/>
      <c r="W12486" s="24"/>
      <c r="X12486" s="24"/>
      <c r="Y12486" s="24"/>
      <c r="Z12486" s="24"/>
      <c r="AA12486" s="24"/>
    </row>
    <row r="12487">
      <c r="A12487" s="24"/>
      <c r="B12487" s="25"/>
      <c r="C12487" s="24"/>
      <c r="D12487" s="26"/>
      <c r="E12487" s="24"/>
      <c r="F12487" s="24"/>
      <c r="G12487" s="24"/>
      <c r="H12487" s="24"/>
      <c r="I12487" s="24"/>
      <c r="J12487" s="24"/>
      <c r="K12487" s="24"/>
      <c r="L12487" s="24"/>
      <c r="M12487" s="24"/>
      <c r="N12487" s="24"/>
      <c r="O12487" s="24"/>
      <c r="P12487" s="24"/>
      <c r="Q12487" s="24"/>
      <c r="R12487" s="24"/>
      <c r="S12487" s="24"/>
      <c r="T12487" s="24"/>
      <c r="U12487" s="24"/>
      <c r="V12487" s="24"/>
      <c r="W12487" s="24"/>
      <c r="X12487" s="24"/>
      <c r="Y12487" s="24"/>
      <c r="Z12487" s="24"/>
      <c r="AA12487" s="24"/>
    </row>
    <row r="12488">
      <c r="A12488" s="24"/>
      <c r="B12488" s="25"/>
      <c r="C12488" s="24"/>
      <c r="D12488" s="26"/>
      <c r="E12488" s="24"/>
      <c r="F12488" s="24"/>
      <c r="G12488" s="24"/>
      <c r="H12488" s="24"/>
      <c r="I12488" s="24"/>
      <c r="J12488" s="24"/>
      <c r="K12488" s="24"/>
      <c r="L12488" s="24"/>
      <c r="M12488" s="24"/>
      <c r="N12488" s="24"/>
      <c r="O12488" s="24"/>
      <c r="P12488" s="24"/>
      <c r="Q12488" s="24"/>
      <c r="R12488" s="24"/>
      <c r="S12488" s="24"/>
      <c r="T12488" s="24"/>
      <c r="U12488" s="24"/>
      <c r="V12488" s="24"/>
      <c r="W12488" s="24"/>
      <c r="X12488" s="24"/>
      <c r="Y12488" s="24"/>
      <c r="Z12488" s="24"/>
      <c r="AA12488" s="24"/>
    </row>
    <row r="12489">
      <c r="A12489" s="24"/>
      <c r="B12489" s="25"/>
      <c r="C12489" s="24"/>
      <c r="D12489" s="26"/>
      <c r="E12489" s="24"/>
      <c r="F12489" s="24"/>
      <c r="G12489" s="24"/>
      <c r="H12489" s="24"/>
      <c r="I12489" s="24"/>
      <c r="J12489" s="24"/>
      <c r="K12489" s="24"/>
      <c r="L12489" s="24"/>
      <c r="M12489" s="24"/>
      <c r="N12489" s="24"/>
      <c r="O12489" s="24"/>
      <c r="P12489" s="24"/>
      <c r="Q12489" s="24"/>
      <c r="R12489" s="24"/>
      <c r="S12489" s="24"/>
      <c r="T12489" s="24"/>
      <c r="U12489" s="24"/>
      <c r="V12489" s="24"/>
      <c r="W12489" s="24"/>
      <c r="X12489" s="24"/>
      <c r="Y12489" s="24"/>
      <c r="Z12489" s="24"/>
      <c r="AA12489" s="24"/>
    </row>
    <row r="12490">
      <c r="A12490" s="24"/>
      <c r="B12490" s="25"/>
      <c r="C12490" s="24"/>
      <c r="D12490" s="26"/>
      <c r="E12490" s="24"/>
      <c r="F12490" s="24"/>
      <c r="G12490" s="24"/>
      <c r="H12490" s="24"/>
      <c r="I12490" s="24"/>
      <c r="J12490" s="24"/>
      <c r="K12490" s="24"/>
      <c r="L12490" s="24"/>
      <c r="M12490" s="24"/>
      <c r="N12490" s="24"/>
      <c r="O12490" s="24"/>
      <c r="P12490" s="24"/>
      <c r="Q12490" s="24"/>
      <c r="R12490" s="24"/>
      <c r="S12490" s="24"/>
      <c r="T12490" s="24"/>
      <c r="U12490" s="24"/>
      <c r="V12490" s="24"/>
      <c r="W12490" s="24"/>
      <c r="X12490" s="24"/>
      <c r="Y12490" s="24"/>
      <c r="Z12490" s="24"/>
      <c r="AA12490" s="24"/>
    </row>
    <row r="12491">
      <c r="A12491" s="24"/>
      <c r="B12491" s="25"/>
      <c r="C12491" s="24"/>
      <c r="D12491" s="26"/>
      <c r="E12491" s="24"/>
      <c r="F12491" s="24"/>
      <c r="G12491" s="24"/>
      <c r="H12491" s="24"/>
      <c r="I12491" s="24"/>
      <c r="J12491" s="24"/>
      <c r="K12491" s="24"/>
      <c r="L12491" s="24"/>
      <c r="M12491" s="24"/>
      <c r="N12491" s="24"/>
      <c r="O12491" s="24"/>
      <c r="P12491" s="24"/>
      <c r="Q12491" s="24"/>
      <c r="R12491" s="24"/>
      <c r="S12491" s="24"/>
      <c r="T12491" s="24"/>
      <c r="U12491" s="24"/>
      <c r="V12491" s="24"/>
      <c r="W12491" s="24"/>
      <c r="X12491" s="24"/>
      <c r="Y12491" s="24"/>
      <c r="Z12491" s="24"/>
      <c r="AA12491" s="24"/>
    </row>
    <row r="12492">
      <c r="A12492" s="24"/>
      <c r="B12492" s="25"/>
      <c r="C12492" s="24"/>
      <c r="D12492" s="26"/>
      <c r="E12492" s="24"/>
      <c r="F12492" s="24"/>
      <c r="G12492" s="24"/>
      <c r="H12492" s="24"/>
      <c r="I12492" s="24"/>
      <c r="J12492" s="24"/>
      <c r="K12492" s="24"/>
      <c r="L12492" s="24"/>
      <c r="M12492" s="24"/>
      <c r="N12492" s="24"/>
      <c r="O12492" s="24"/>
      <c r="P12492" s="24"/>
      <c r="Q12492" s="24"/>
      <c r="R12492" s="24"/>
      <c r="S12492" s="24"/>
      <c r="T12492" s="24"/>
      <c r="U12492" s="24"/>
      <c r="V12492" s="24"/>
      <c r="W12492" s="24"/>
      <c r="X12492" s="24"/>
      <c r="Y12492" s="24"/>
      <c r="Z12492" s="24"/>
      <c r="AA12492" s="24"/>
    </row>
    <row r="12493">
      <c r="A12493" s="24"/>
      <c r="B12493" s="25"/>
      <c r="C12493" s="24"/>
      <c r="D12493" s="26"/>
      <c r="E12493" s="24"/>
      <c r="F12493" s="24"/>
      <c r="G12493" s="24"/>
      <c r="H12493" s="24"/>
      <c r="I12493" s="24"/>
      <c r="J12493" s="24"/>
      <c r="K12493" s="24"/>
      <c r="L12493" s="24"/>
      <c r="M12493" s="24"/>
      <c r="N12493" s="24"/>
      <c r="O12493" s="24"/>
      <c r="P12493" s="24"/>
      <c r="Q12493" s="24"/>
      <c r="R12493" s="24"/>
      <c r="S12493" s="24"/>
      <c r="T12493" s="24"/>
      <c r="U12493" s="24"/>
      <c r="V12493" s="24"/>
      <c r="W12493" s="24"/>
      <c r="X12493" s="24"/>
      <c r="Y12493" s="24"/>
      <c r="Z12493" s="24"/>
      <c r="AA12493" s="24"/>
    </row>
    <row r="12494">
      <c r="A12494" s="24"/>
      <c r="B12494" s="25"/>
      <c r="C12494" s="24"/>
      <c r="D12494" s="26"/>
      <c r="E12494" s="24"/>
      <c r="F12494" s="24"/>
      <c r="G12494" s="24"/>
      <c r="H12494" s="24"/>
      <c r="I12494" s="24"/>
      <c r="J12494" s="24"/>
      <c r="K12494" s="24"/>
      <c r="L12494" s="24"/>
      <c r="M12494" s="24"/>
      <c r="N12494" s="24"/>
      <c r="O12494" s="24"/>
      <c r="P12494" s="24"/>
      <c r="Q12494" s="24"/>
      <c r="R12494" s="24"/>
      <c r="S12494" s="24"/>
      <c r="T12494" s="24"/>
      <c r="U12494" s="24"/>
      <c r="V12494" s="24"/>
      <c r="W12494" s="24"/>
      <c r="X12494" s="24"/>
      <c r="Y12494" s="24"/>
      <c r="Z12494" s="24"/>
      <c r="AA12494" s="24"/>
    </row>
    <row r="12495">
      <c r="A12495" s="24"/>
      <c r="B12495" s="25"/>
      <c r="C12495" s="24"/>
      <c r="D12495" s="26"/>
      <c r="E12495" s="24"/>
      <c r="F12495" s="24"/>
      <c r="G12495" s="24"/>
      <c r="H12495" s="24"/>
      <c r="I12495" s="24"/>
      <c r="J12495" s="24"/>
      <c r="K12495" s="24"/>
      <c r="L12495" s="24"/>
      <c r="M12495" s="24"/>
      <c r="N12495" s="24"/>
      <c r="O12495" s="24"/>
      <c r="P12495" s="24"/>
      <c r="Q12495" s="24"/>
      <c r="R12495" s="24"/>
      <c r="S12495" s="24"/>
      <c r="T12495" s="24"/>
      <c r="U12495" s="24"/>
      <c r="V12495" s="24"/>
      <c r="W12495" s="24"/>
      <c r="X12495" s="24"/>
      <c r="Y12495" s="24"/>
      <c r="Z12495" s="24"/>
      <c r="AA12495" s="24"/>
    </row>
    <row r="12496">
      <c r="A12496" s="24"/>
      <c r="B12496" s="25"/>
      <c r="C12496" s="24"/>
      <c r="D12496" s="26"/>
      <c r="E12496" s="24"/>
      <c r="F12496" s="24"/>
      <c r="G12496" s="24"/>
      <c r="H12496" s="24"/>
      <c r="I12496" s="24"/>
      <c r="J12496" s="24"/>
      <c r="K12496" s="24"/>
      <c r="L12496" s="24"/>
      <c r="M12496" s="24"/>
      <c r="N12496" s="24"/>
      <c r="O12496" s="24"/>
      <c r="P12496" s="24"/>
      <c r="Q12496" s="24"/>
      <c r="R12496" s="24"/>
      <c r="S12496" s="24"/>
      <c r="T12496" s="24"/>
      <c r="U12496" s="24"/>
      <c r="V12496" s="24"/>
      <c r="W12496" s="24"/>
      <c r="X12496" s="24"/>
      <c r="Y12496" s="24"/>
      <c r="Z12496" s="24"/>
      <c r="AA12496" s="24"/>
    </row>
    <row r="12497">
      <c r="A12497" s="24"/>
      <c r="B12497" s="25"/>
      <c r="C12497" s="24"/>
      <c r="D12497" s="26"/>
      <c r="E12497" s="24"/>
      <c r="F12497" s="24"/>
      <c r="G12497" s="24"/>
      <c r="H12497" s="24"/>
      <c r="I12497" s="24"/>
      <c r="J12497" s="24"/>
      <c r="K12497" s="24"/>
      <c r="L12497" s="24"/>
      <c r="M12497" s="24"/>
      <c r="N12497" s="24"/>
      <c r="O12497" s="24"/>
      <c r="P12497" s="24"/>
      <c r="Q12497" s="24"/>
      <c r="R12497" s="24"/>
      <c r="S12497" s="24"/>
      <c r="T12497" s="24"/>
      <c r="U12497" s="24"/>
      <c r="V12497" s="24"/>
      <c r="W12497" s="24"/>
      <c r="X12497" s="24"/>
      <c r="Y12497" s="24"/>
      <c r="Z12497" s="24"/>
      <c r="AA12497" s="24"/>
    </row>
    <row r="12498">
      <c r="A12498" s="24"/>
      <c r="B12498" s="25"/>
      <c r="C12498" s="24"/>
      <c r="D12498" s="26"/>
      <c r="E12498" s="24"/>
      <c r="F12498" s="24"/>
      <c r="G12498" s="24"/>
      <c r="H12498" s="24"/>
      <c r="I12498" s="24"/>
      <c r="J12498" s="24"/>
      <c r="K12498" s="24"/>
      <c r="L12498" s="24"/>
      <c r="M12498" s="24"/>
      <c r="N12498" s="24"/>
      <c r="O12498" s="24"/>
      <c r="P12498" s="24"/>
      <c r="Q12498" s="24"/>
      <c r="R12498" s="24"/>
      <c r="S12498" s="24"/>
      <c r="T12498" s="24"/>
      <c r="U12498" s="24"/>
      <c r="V12498" s="24"/>
      <c r="W12498" s="24"/>
      <c r="X12498" s="24"/>
      <c r="Y12498" s="24"/>
      <c r="Z12498" s="24"/>
      <c r="AA12498" s="24"/>
    </row>
    <row r="12499">
      <c r="A12499" s="24"/>
      <c r="B12499" s="25"/>
      <c r="C12499" s="24"/>
      <c r="D12499" s="26"/>
      <c r="E12499" s="24"/>
      <c r="F12499" s="24"/>
      <c r="G12499" s="24"/>
      <c r="H12499" s="24"/>
      <c r="I12499" s="24"/>
      <c r="J12499" s="24"/>
      <c r="K12499" s="24"/>
      <c r="L12499" s="24"/>
      <c r="M12499" s="24"/>
      <c r="N12499" s="24"/>
      <c r="O12499" s="24"/>
      <c r="P12499" s="24"/>
      <c r="Q12499" s="24"/>
      <c r="R12499" s="24"/>
      <c r="S12499" s="24"/>
      <c r="T12499" s="24"/>
      <c r="U12499" s="24"/>
      <c r="V12499" s="24"/>
      <c r="W12499" s="24"/>
      <c r="X12499" s="24"/>
      <c r="Y12499" s="24"/>
      <c r="Z12499" s="24"/>
      <c r="AA12499" s="24"/>
    </row>
    <row r="12500">
      <c r="A12500" s="24"/>
      <c r="B12500" s="25"/>
      <c r="C12500" s="24"/>
      <c r="D12500" s="26"/>
      <c r="E12500" s="24"/>
      <c r="F12500" s="24"/>
      <c r="G12500" s="24"/>
      <c r="H12500" s="24"/>
      <c r="I12500" s="24"/>
      <c r="J12500" s="24"/>
      <c r="K12500" s="24"/>
      <c r="L12500" s="24"/>
      <c r="M12500" s="24"/>
      <c r="N12500" s="24"/>
      <c r="O12500" s="24"/>
      <c r="P12500" s="24"/>
      <c r="Q12500" s="24"/>
      <c r="R12500" s="24"/>
      <c r="S12500" s="24"/>
      <c r="T12500" s="24"/>
      <c r="U12500" s="24"/>
      <c r="V12500" s="24"/>
      <c r="W12500" s="24"/>
      <c r="X12500" s="24"/>
      <c r="Y12500" s="24"/>
      <c r="Z12500" s="24"/>
      <c r="AA12500" s="24"/>
    </row>
    <row r="12501">
      <c r="A12501" s="24"/>
      <c r="B12501" s="25"/>
      <c r="C12501" s="24"/>
      <c r="D12501" s="26"/>
      <c r="E12501" s="24"/>
      <c r="F12501" s="24"/>
      <c r="G12501" s="24"/>
      <c r="H12501" s="24"/>
      <c r="I12501" s="24"/>
      <c r="J12501" s="24"/>
      <c r="K12501" s="24"/>
      <c r="L12501" s="24"/>
      <c r="M12501" s="24"/>
      <c r="N12501" s="24"/>
      <c r="O12501" s="24"/>
      <c r="P12501" s="24"/>
      <c r="Q12501" s="24"/>
      <c r="R12501" s="24"/>
      <c r="S12501" s="24"/>
      <c r="T12501" s="24"/>
      <c r="U12501" s="24"/>
      <c r="V12501" s="24"/>
      <c r="W12501" s="24"/>
      <c r="X12501" s="24"/>
      <c r="Y12501" s="24"/>
      <c r="Z12501" s="24"/>
      <c r="AA12501" s="24"/>
    </row>
    <row r="12502">
      <c r="A12502" s="24"/>
      <c r="B12502" s="25"/>
      <c r="C12502" s="24"/>
      <c r="D12502" s="26"/>
      <c r="E12502" s="24"/>
      <c r="F12502" s="24"/>
      <c r="G12502" s="24"/>
      <c r="H12502" s="24"/>
      <c r="I12502" s="24"/>
      <c r="J12502" s="24"/>
      <c r="K12502" s="24"/>
      <c r="L12502" s="24"/>
      <c r="M12502" s="24"/>
      <c r="N12502" s="24"/>
      <c r="O12502" s="24"/>
      <c r="P12502" s="24"/>
      <c r="Q12502" s="24"/>
      <c r="R12502" s="24"/>
      <c r="S12502" s="24"/>
      <c r="T12502" s="24"/>
      <c r="U12502" s="24"/>
      <c r="V12502" s="24"/>
      <c r="W12502" s="24"/>
      <c r="X12502" s="24"/>
      <c r="Y12502" s="24"/>
      <c r="Z12502" s="24"/>
      <c r="AA12502" s="24"/>
    </row>
    <row r="12503">
      <c r="A12503" s="24"/>
      <c r="B12503" s="25"/>
      <c r="C12503" s="24"/>
      <c r="D12503" s="26"/>
      <c r="E12503" s="24"/>
      <c r="F12503" s="24"/>
      <c r="G12503" s="24"/>
      <c r="H12503" s="24"/>
      <c r="I12503" s="24"/>
      <c r="J12503" s="24"/>
      <c r="K12503" s="24"/>
      <c r="L12503" s="24"/>
      <c r="M12503" s="24"/>
      <c r="N12503" s="24"/>
      <c r="O12503" s="24"/>
      <c r="P12503" s="24"/>
      <c r="Q12503" s="24"/>
      <c r="R12503" s="24"/>
      <c r="S12503" s="24"/>
      <c r="T12503" s="24"/>
      <c r="U12503" s="24"/>
      <c r="V12503" s="24"/>
      <c r="W12503" s="24"/>
      <c r="X12503" s="24"/>
      <c r="Y12503" s="24"/>
      <c r="Z12503" s="24"/>
      <c r="AA12503" s="24"/>
    </row>
    <row r="12504">
      <c r="A12504" s="24"/>
      <c r="B12504" s="25"/>
      <c r="C12504" s="24"/>
      <c r="D12504" s="26"/>
      <c r="E12504" s="24"/>
      <c r="F12504" s="24"/>
      <c r="G12504" s="24"/>
      <c r="H12504" s="24"/>
      <c r="I12504" s="24"/>
      <c r="J12504" s="24"/>
      <c r="K12504" s="24"/>
      <c r="L12504" s="24"/>
      <c r="M12504" s="24"/>
      <c r="N12504" s="24"/>
      <c r="O12504" s="24"/>
      <c r="P12504" s="24"/>
      <c r="Q12504" s="24"/>
      <c r="R12504" s="24"/>
      <c r="S12504" s="24"/>
      <c r="T12504" s="24"/>
      <c r="U12504" s="24"/>
      <c r="V12504" s="24"/>
      <c r="W12504" s="24"/>
      <c r="X12504" s="24"/>
      <c r="Y12504" s="24"/>
      <c r="Z12504" s="24"/>
      <c r="AA12504" s="24"/>
    </row>
    <row r="12505">
      <c r="A12505" s="24"/>
      <c r="B12505" s="25"/>
      <c r="C12505" s="24"/>
      <c r="D12505" s="26"/>
      <c r="E12505" s="24"/>
      <c r="F12505" s="24"/>
      <c r="G12505" s="24"/>
      <c r="H12505" s="24"/>
      <c r="I12505" s="24"/>
      <c r="J12505" s="24"/>
      <c r="K12505" s="24"/>
      <c r="L12505" s="24"/>
      <c r="M12505" s="24"/>
      <c r="N12505" s="24"/>
      <c r="O12505" s="24"/>
      <c r="P12505" s="24"/>
      <c r="Q12505" s="24"/>
      <c r="R12505" s="24"/>
      <c r="S12505" s="24"/>
      <c r="T12505" s="24"/>
      <c r="U12505" s="24"/>
      <c r="V12505" s="24"/>
      <c r="W12505" s="24"/>
      <c r="X12505" s="24"/>
      <c r="Y12505" s="24"/>
      <c r="Z12505" s="24"/>
      <c r="AA12505" s="24"/>
    </row>
    <row r="12506">
      <c r="A12506" s="24"/>
      <c r="B12506" s="25"/>
      <c r="C12506" s="24"/>
      <c r="D12506" s="26"/>
      <c r="E12506" s="24"/>
      <c r="F12506" s="24"/>
      <c r="G12506" s="24"/>
      <c r="H12506" s="24"/>
      <c r="I12506" s="24"/>
      <c r="J12506" s="24"/>
      <c r="K12506" s="24"/>
      <c r="L12506" s="24"/>
      <c r="M12506" s="24"/>
      <c r="N12506" s="24"/>
      <c r="O12506" s="24"/>
      <c r="P12506" s="24"/>
      <c r="Q12506" s="24"/>
      <c r="R12506" s="24"/>
      <c r="S12506" s="24"/>
      <c r="T12506" s="24"/>
      <c r="U12506" s="24"/>
      <c r="V12506" s="24"/>
      <c r="W12506" s="24"/>
      <c r="X12506" s="24"/>
      <c r="Y12506" s="24"/>
      <c r="Z12506" s="24"/>
      <c r="AA12506" s="24"/>
    </row>
    <row r="12507">
      <c r="A12507" s="24"/>
      <c r="B12507" s="25"/>
      <c r="C12507" s="24"/>
      <c r="D12507" s="26"/>
      <c r="E12507" s="24"/>
      <c r="F12507" s="24"/>
      <c r="G12507" s="24"/>
      <c r="H12507" s="24"/>
      <c r="I12507" s="24"/>
      <c r="J12507" s="24"/>
      <c r="K12507" s="24"/>
      <c r="L12507" s="24"/>
      <c r="M12507" s="24"/>
      <c r="N12507" s="24"/>
      <c r="O12507" s="24"/>
      <c r="P12507" s="24"/>
      <c r="Q12507" s="24"/>
      <c r="R12507" s="24"/>
      <c r="S12507" s="24"/>
      <c r="T12507" s="24"/>
      <c r="U12507" s="24"/>
      <c r="V12507" s="24"/>
      <c r="W12507" s="24"/>
      <c r="X12507" s="24"/>
      <c r="Y12507" s="24"/>
      <c r="Z12507" s="24"/>
      <c r="AA12507" s="24"/>
    </row>
    <row r="12508">
      <c r="A12508" s="24"/>
      <c r="B12508" s="25"/>
      <c r="C12508" s="24"/>
      <c r="D12508" s="26"/>
      <c r="E12508" s="24"/>
      <c r="F12508" s="24"/>
      <c r="G12508" s="24"/>
      <c r="H12508" s="24"/>
      <c r="I12508" s="24"/>
      <c r="J12508" s="24"/>
      <c r="K12508" s="24"/>
      <c r="L12508" s="24"/>
      <c r="M12508" s="24"/>
      <c r="N12508" s="24"/>
      <c r="O12508" s="24"/>
      <c r="P12508" s="24"/>
      <c r="Q12508" s="24"/>
      <c r="R12508" s="24"/>
      <c r="S12508" s="24"/>
      <c r="T12508" s="24"/>
      <c r="U12508" s="24"/>
      <c r="V12508" s="24"/>
      <c r="W12508" s="24"/>
      <c r="X12508" s="24"/>
      <c r="Y12508" s="24"/>
      <c r="Z12508" s="24"/>
      <c r="AA12508" s="24"/>
    </row>
    <row r="12509">
      <c r="A12509" s="24"/>
      <c r="B12509" s="25"/>
      <c r="C12509" s="24"/>
      <c r="D12509" s="26"/>
      <c r="E12509" s="24"/>
      <c r="F12509" s="24"/>
      <c r="G12509" s="24"/>
      <c r="H12509" s="24"/>
      <c r="I12509" s="24"/>
      <c r="J12509" s="24"/>
      <c r="K12509" s="24"/>
      <c r="L12509" s="24"/>
      <c r="M12509" s="24"/>
      <c r="N12509" s="24"/>
      <c r="O12509" s="24"/>
      <c r="P12509" s="24"/>
      <c r="Q12509" s="24"/>
      <c r="R12509" s="24"/>
      <c r="S12509" s="24"/>
      <c r="T12509" s="24"/>
      <c r="U12509" s="24"/>
      <c r="V12509" s="24"/>
      <c r="W12509" s="24"/>
      <c r="X12509" s="24"/>
      <c r="Y12509" s="24"/>
      <c r="Z12509" s="24"/>
      <c r="AA12509" s="24"/>
    </row>
    <row r="12510">
      <c r="A12510" s="24"/>
      <c r="B12510" s="25"/>
      <c r="C12510" s="24"/>
      <c r="D12510" s="26"/>
      <c r="E12510" s="24"/>
      <c r="F12510" s="24"/>
      <c r="G12510" s="24"/>
      <c r="H12510" s="24"/>
      <c r="I12510" s="24"/>
      <c r="J12510" s="24"/>
      <c r="K12510" s="24"/>
      <c r="L12510" s="24"/>
      <c r="M12510" s="24"/>
      <c r="N12510" s="24"/>
      <c r="O12510" s="24"/>
      <c r="P12510" s="24"/>
      <c r="Q12510" s="24"/>
      <c r="R12510" s="24"/>
      <c r="S12510" s="24"/>
      <c r="T12510" s="24"/>
      <c r="U12510" s="24"/>
      <c r="V12510" s="24"/>
      <c r="W12510" s="24"/>
      <c r="X12510" s="24"/>
      <c r="Y12510" s="24"/>
      <c r="Z12510" s="24"/>
      <c r="AA12510" s="24"/>
    </row>
    <row r="12511">
      <c r="A12511" s="24"/>
      <c r="B12511" s="25"/>
      <c r="C12511" s="24"/>
      <c r="D12511" s="26"/>
      <c r="E12511" s="24"/>
      <c r="F12511" s="24"/>
      <c r="G12511" s="24"/>
      <c r="H12511" s="24"/>
      <c r="I12511" s="24"/>
      <c r="J12511" s="24"/>
      <c r="K12511" s="24"/>
      <c r="L12511" s="24"/>
      <c r="M12511" s="24"/>
      <c r="N12511" s="24"/>
      <c r="O12511" s="24"/>
      <c r="P12511" s="24"/>
      <c r="Q12511" s="24"/>
      <c r="R12511" s="24"/>
      <c r="S12511" s="24"/>
      <c r="T12511" s="24"/>
      <c r="U12511" s="24"/>
      <c r="V12511" s="24"/>
      <c r="W12511" s="24"/>
      <c r="X12511" s="24"/>
      <c r="Y12511" s="24"/>
      <c r="Z12511" s="24"/>
      <c r="AA12511" s="24"/>
    </row>
    <row r="12512">
      <c r="A12512" s="24"/>
      <c r="B12512" s="25"/>
      <c r="C12512" s="24"/>
      <c r="D12512" s="26"/>
      <c r="E12512" s="24"/>
      <c r="F12512" s="24"/>
      <c r="G12512" s="24"/>
      <c r="H12512" s="24"/>
      <c r="I12512" s="24"/>
      <c r="J12512" s="24"/>
      <c r="K12512" s="24"/>
      <c r="L12512" s="24"/>
      <c r="M12512" s="24"/>
      <c r="N12512" s="24"/>
      <c r="O12512" s="24"/>
      <c r="P12512" s="24"/>
      <c r="Q12512" s="24"/>
      <c r="R12512" s="24"/>
      <c r="S12512" s="24"/>
      <c r="T12512" s="24"/>
      <c r="U12512" s="24"/>
      <c r="V12512" s="24"/>
      <c r="W12512" s="24"/>
      <c r="X12512" s="24"/>
      <c r="Y12512" s="24"/>
      <c r="Z12512" s="24"/>
      <c r="AA12512" s="24"/>
    </row>
    <row r="12513">
      <c r="A12513" s="24"/>
      <c r="B12513" s="25"/>
      <c r="C12513" s="24"/>
      <c r="D12513" s="26"/>
      <c r="E12513" s="24"/>
      <c r="F12513" s="24"/>
      <c r="G12513" s="24"/>
      <c r="H12513" s="24"/>
      <c r="I12513" s="24"/>
      <c r="J12513" s="24"/>
      <c r="K12513" s="24"/>
      <c r="L12513" s="24"/>
      <c r="M12513" s="24"/>
      <c r="N12513" s="24"/>
      <c r="O12513" s="24"/>
      <c r="P12513" s="24"/>
      <c r="Q12513" s="24"/>
      <c r="R12513" s="24"/>
      <c r="S12513" s="24"/>
      <c r="T12513" s="24"/>
      <c r="U12513" s="24"/>
      <c r="V12513" s="24"/>
      <c r="W12513" s="24"/>
      <c r="X12513" s="24"/>
      <c r="Y12513" s="24"/>
      <c r="Z12513" s="24"/>
      <c r="AA12513" s="24"/>
    </row>
    <row r="12514">
      <c r="A12514" s="24"/>
      <c r="B12514" s="25"/>
      <c r="C12514" s="24"/>
      <c r="D12514" s="26"/>
      <c r="E12514" s="24"/>
      <c r="F12514" s="24"/>
      <c r="G12514" s="24"/>
      <c r="H12514" s="24"/>
      <c r="I12514" s="24"/>
      <c r="J12514" s="24"/>
      <c r="K12514" s="24"/>
      <c r="L12514" s="24"/>
      <c r="M12514" s="24"/>
      <c r="N12514" s="24"/>
      <c r="O12514" s="24"/>
      <c r="P12514" s="24"/>
      <c r="Q12514" s="24"/>
      <c r="R12514" s="24"/>
      <c r="S12514" s="24"/>
      <c r="T12514" s="24"/>
      <c r="U12514" s="24"/>
      <c r="V12514" s="24"/>
      <c r="W12514" s="24"/>
      <c r="X12514" s="24"/>
      <c r="Y12514" s="24"/>
      <c r="Z12514" s="24"/>
      <c r="AA12514" s="24"/>
    </row>
    <row r="12515">
      <c r="A12515" s="24"/>
      <c r="B12515" s="25"/>
      <c r="C12515" s="24"/>
      <c r="D12515" s="26"/>
      <c r="E12515" s="24"/>
      <c r="F12515" s="24"/>
      <c r="G12515" s="24"/>
      <c r="H12515" s="24"/>
      <c r="I12515" s="24"/>
      <c r="J12515" s="24"/>
      <c r="K12515" s="24"/>
      <c r="L12515" s="24"/>
      <c r="M12515" s="24"/>
      <c r="N12515" s="24"/>
      <c r="O12515" s="24"/>
      <c r="P12515" s="24"/>
      <c r="Q12515" s="24"/>
      <c r="R12515" s="24"/>
      <c r="S12515" s="24"/>
      <c r="T12515" s="24"/>
      <c r="U12515" s="24"/>
      <c r="V12515" s="24"/>
      <c r="W12515" s="24"/>
      <c r="X12515" s="24"/>
      <c r="Y12515" s="24"/>
      <c r="Z12515" s="24"/>
      <c r="AA12515" s="24"/>
    </row>
    <row r="12516">
      <c r="A12516" s="24"/>
      <c r="B12516" s="25"/>
      <c r="C12516" s="24"/>
      <c r="D12516" s="26"/>
      <c r="E12516" s="24"/>
      <c r="F12516" s="24"/>
      <c r="G12516" s="24"/>
      <c r="H12516" s="24"/>
      <c r="I12516" s="24"/>
      <c r="J12516" s="24"/>
      <c r="K12516" s="24"/>
      <c r="L12516" s="24"/>
      <c r="M12516" s="24"/>
      <c r="N12516" s="24"/>
      <c r="O12516" s="24"/>
      <c r="P12516" s="24"/>
      <c r="Q12516" s="24"/>
      <c r="R12516" s="24"/>
      <c r="S12516" s="24"/>
      <c r="T12516" s="24"/>
      <c r="U12516" s="24"/>
      <c r="V12516" s="24"/>
      <c r="W12516" s="24"/>
      <c r="X12516" s="24"/>
      <c r="Y12516" s="24"/>
      <c r="Z12516" s="24"/>
      <c r="AA12516" s="24"/>
    </row>
    <row r="12517">
      <c r="A12517" s="24"/>
      <c r="B12517" s="25"/>
      <c r="C12517" s="24"/>
      <c r="D12517" s="26"/>
      <c r="E12517" s="24"/>
      <c r="F12517" s="24"/>
      <c r="G12517" s="24"/>
      <c r="H12517" s="24"/>
      <c r="I12517" s="24"/>
      <c r="J12517" s="24"/>
      <c r="K12517" s="24"/>
      <c r="L12517" s="24"/>
      <c r="M12517" s="24"/>
      <c r="N12517" s="24"/>
      <c r="O12517" s="24"/>
      <c r="P12517" s="24"/>
      <c r="Q12517" s="24"/>
      <c r="R12517" s="24"/>
      <c r="S12517" s="24"/>
      <c r="T12517" s="24"/>
      <c r="U12517" s="24"/>
      <c r="V12517" s="24"/>
      <c r="W12517" s="24"/>
      <c r="X12517" s="24"/>
      <c r="Y12517" s="24"/>
      <c r="Z12517" s="24"/>
      <c r="AA12517" s="24"/>
    </row>
    <row r="12518">
      <c r="A12518" s="24"/>
      <c r="B12518" s="25"/>
      <c r="C12518" s="24"/>
      <c r="D12518" s="26"/>
      <c r="E12518" s="24"/>
      <c r="F12518" s="24"/>
      <c r="G12518" s="24"/>
      <c r="H12518" s="24"/>
      <c r="I12518" s="24"/>
      <c r="J12518" s="24"/>
      <c r="K12518" s="24"/>
      <c r="L12518" s="24"/>
      <c r="M12518" s="24"/>
      <c r="N12518" s="24"/>
      <c r="O12518" s="24"/>
      <c r="P12518" s="24"/>
      <c r="Q12518" s="24"/>
      <c r="R12518" s="24"/>
      <c r="S12518" s="24"/>
      <c r="T12518" s="24"/>
      <c r="U12518" s="24"/>
      <c r="V12518" s="24"/>
      <c r="W12518" s="24"/>
      <c r="X12518" s="24"/>
      <c r="Y12518" s="24"/>
      <c r="Z12518" s="24"/>
      <c r="AA12518" s="24"/>
    </row>
    <row r="12519">
      <c r="A12519" s="24"/>
      <c r="B12519" s="25"/>
      <c r="C12519" s="24"/>
      <c r="D12519" s="26"/>
      <c r="E12519" s="24"/>
      <c r="F12519" s="24"/>
      <c r="G12519" s="24"/>
      <c r="H12519" s="24"/>
      <c r="I12519" s="24"/>
      <c r="J12519" s="24"/>
      <c r="K12519" s="24"/>
      <c r="L12519" s="24"/>
      <c r="M12519" s="24"/>
      <c r="N12519" s="24"/>
      <c r="O12519" s="24"/>
      <c r="P12519" s="24"/>
      <c r="Q12519" s="24"/>
      <c r="R12519" s="24"/>
      <c r="S12519" s="24"/>
      <c r="T12519" s="24"/>
      <c r="U12519" s="24"/>
      <c r="V12519" s="24"/>
      <c r="W12519" s="24"/>
      <c r="X12519" s="24"/>
      <c r="Y12519" s="24"/>
      <c r="Z12519" s="24"/>
      <c r="AA12519" s="24"/>
    </row>
    <row r="12520">
      <c r="A12520" s="24"/>
      <c r="B12520" s="25"/>
      <c r="C12520" s="24"/>
      <c r="D12520" s="26"/>
      <c r="E12520" s="24"/>
      <c r="F12520" s="24"/>
      <c r="G12520" s="24"/>
      <c r="H12520" s="24"/>
      <c r="I12520" s="24"/>
      <c r="J12520" s="24"/>
      <c r="K12520" s="24"/>
      <c r="L12520" s="24"/>
      <c r="M12520" s="24"/>
      <c r="N12520" s="24"/>
      <c r="O12520" s="24"/>
      <c r="P12520" s="24"/>
      <c r="Q12520" s="24"/>
      <c r="R12520" s="24"/>
      <c r="S12520" s="24"/>
      <c r="T12520" s="24"/>
      <c r="U12520" s="24"/>
      <c r="V12520" s="24"/>
      <c r="W12520" s="24"/>
      <c r="X12520" s="24"/>
      <c r="Y12520" s="24"/>
      <c r="Z12520" s="24"/>
      <c r="AA12520" s="24"/>
    </row>
    <row r="12521">
      <c r="A12521" s="24"/>
      <c r="B12521" s="25"/>
      <c r="C12521" s="24"/>
      <c r="D12521" s="26"/>
      <c r="E12521" s="24"/>
      <c r="F12521" s="24"/>
      <c r="G12521" s="24"/>
      <c r="H12521" s="24"/>
      <c r="I12521" s="24"/>
      <c r="J12521" s="24"/>
      <c r="K12521" s="24"/>
      <c r="L12521" s="24"/>
      <c r="M12521" s="24"/>
      <c r="N12521" s="24"/>
      <c r="O12521" s="24"/>
      <c r="P12521" s="24"/>
      <c r="Q12521" s="24"/>
      <c r="R12521" s="24"/>
      <c r="S12521" s="24"/>
      <c r="T12521" s="24"/>
      <c r="U12521" s="24"/>
      <c r="V12521" s="24"/>
      <c r="W12521" s="24"/>
      <c r="X12521" s="24"/>
      <c r="Y12521" s="24"/>
      <c r="Z12521" s="24"/>
      <c r="AA12521" s="24"/>
    </row>
    <row r="12522">
      <c r="A12522" s="24"/>
      <c r="B12522" s="25"/>
      <c r="C12522" s="24"/>
      <c r="D12522" s="26"/>
      <c r="E12522" s="24"/>
      <c r="F12522" s="24"/>
      <c r="G12522" s="24"/>
      <c r="H12522" s="24"/>
      <c r="I12522" s="24"/>
      <c r="J12522" s="24"/>
      <c r="K12522" s="24"/>
      <c r="L12522" s="24"/>
      <c r="M12522" s="24"/>
      <c r="N12522" s="24"/>
      <c r="O12522" s="24"/>
      <c r="P12522" s="24"/>
      <c r="Q12522" s="24"/>
      <c r="R12522" s="24"/>
      <c r="S12522" s="24"/>
      <c r="T12522" s="24"/>
      <c r="U12522" s="24"/>
      <c r="V12522" s="24"/>
      <c r="W12522" s="24"/>
      <c r="X12522" s="24"/>
      <c r="Y12522" s="24"/>
      <c r="Z12522" s="24"/>
      <c r="AA12522" s="24"/>
    </row>
    <row r="12523">
      <c r="A12523" s="24"/>
      <c r="B12523" s="25"/>
      <c r="C12523" s="24"/>
      <c r="D12523" s="26"/>
      <c r="E12523" s="24"/>
      <c r="F12523" s="24"/>
      <c r="G12523" s="24"/>
      <c r="H12523" s="24"/>
      <c r="I12523" s="24"/>
      <c r="J12523" s="24"/>
      <c r="K12523" s="24"/>
      <c r="L12523" s="24"/>
      <c r="M12523" s="24"/>
      <c r="N12523" s="24"/>
      <c r="O12523" s="24"/>
      <c r="P12523" s="24"/>
      <c r="Q12523" s="24"/>
      <c r="R12523" s="24"/>
      <c r="S12523" s="24"/>
      <c r="T12523" s="24"/>
      <c r="U12523" s="24"/>
      <c r="V12523" s="24"/>
      <c r="W12523" s="24"/>
      <c r="X12523" s="24"/>
      <c r="Y12523" s="24"/>
      <c r="Z12523" s="24"/>
      <c r="AA12523" s="24"/>
    </row>
    <row r="12524">
      <c r="A12524" s="24"/>
      <c r="B12524" s="25"/>
      <c r="C12524" s="24"/>
      <c r="D12524" s="26"/>
      <c r="E12524" s="24"/>
      <c r="F12524" s="24"/>
      <c r="G12524" s="24"/>
      <c r="H12524" s="24"/>
      <c r="I12524" s="24"/>
      <c r="J12524" s="24"/>
      <c r="K12524" s="24"/>
      <c r="L12524" s="24"/>
      <c r="M12524" s="24"/>
      <c r="N12524" s="24"/>
      <c r="O12524" s="24"/>
      <c r="P12524" s="24"/>
      <c r="Q12524" s="24"/>
      <c r="R12524" s="24"/>
      <c r="S12524" s="24"/>
      <c r="T12524" s="24"/>
      <c r="U12524" s="24"/>
      <c r="V12524" s="24"/>
      <c r="W12524" s="24"/>
      <c r="X12524" s="24"/>
      <c r="Y12524" s="24"/>
      <c r="Z12524" s="24"/>
      <c r="AA12524" s="24"/>
    </row>
    <row r="12525">
      <c r="A12525" s="24"/>
      <c r="B12525" s="25"/>
      <c r="C12525" s="24"/>
      <c r="D12525" s="26"/>
      <c r="E12525" s="24"/>
      <c r="F12525" s="24"/>
      <c r="G12525" s="24"/>
      <c r="H12525" s="24"/>
      <c r="I12525" s="24"/>
      <c r="J12525" s="24"/>
      <c r="K12525" s="24"/>
      <c r="L12525" s="24"/>
      <c r="M12525" s="24"/>
      <c r="N12525" s="24"/>
      <c r="O12525" s="24"/>
      <c r="P12525" s="24"/>
      <c r="Q12525" s="24"/>
      <c r="R12525" s="24"/>
      <c r="S12525" s="24"/>
      <c r="T12525" s="24"/>
      <c r="U12525" s="24"/>
      <c r="V12525" s="24"/>
      <c r="W12525" s="24"/>
      <c r="X12525" s="24"/>
      <c r="Y12525" s="24"/>
      <c r="Z12525" s="24"/>
      <c r="AA12525" s="24"/>
    </row>
    <row r="12526">
      <c r="A12526" s="24"/>
      <c r="B12526" s="25"/>
      <c r="C12526" s="24"/>
      <c r="D12526" s="26"/>
      <c r="E12526" s="24"/>
      <c r="F12526" s="24"/>
      <c r="G12526" s="24"/>
      <c r="H12526" s="24"/>
      <c r="I12526" s="24"/>
      <c r="J12526" s="24"/>
      <c r="K12526" s="24"/>
      <c r="L12526" s="24"/>
      <c r="M12526" s="24"/>
      <c r="N12526" s="24"/>
      <c r="O12526" s="24"/>
      <c r="P12526" s="24"/>
      <c r="Q12526" s="24"/>
      <c r="R12526" s="24"/>
      <c r="S12526" s="24"/>
      <c r="T12526" s="24"/>
      <c r="U12526" s="24"/>
      <c r="V12526" s="24"/>
      <c r="W12526" s="24"/>
      <c r="X12526" s="24"/>
      <c r="Y12526" s="24"/>
      <c r="Z12526" s="24"/>
      <c r="AA12526" s="24"/>
    </row>
    <row r="12527">
      <c r="A12527" s="24"/>
      <c r="B12527" s="25"/>
      <c r="C12527" s="24"/>
      <c r="D12527" s="26"/>
      <c r="E12527" s="24"/>
      <c r="F12527" s="24"/>
      <c r="G12527" s="24"/>
      <c r="H12527" s="24"/>
      <c r="I12527" s="24"/>
      <c r="J12527" s="24"/>
      <c r="K12527" s="24"/>
      <c r="L12527" s="24"/>
      <c r="M12527" s="24"/>
      <c r="N12527" s="24"/>
      <c r="O12527" s="24"/>
      <c r="P12527" s="24"/>
      <c r="Q12527" s="24"/>
      <c r="R12527" s="24"/>
      <c r="S12527" s="24"/>
      <c r="T12527" s="24"/>
      <c r="U12527" s="24"/>
      <c r="V12527" s="24"/>
      <c r="W12527" s="24"/>
      <c r="X12527" s="24"/>
      <c r="Y12527" s="24"/>
      <c r="Z12527" s="24"/>
      <c r="AA12527" s="24"/>
    </row>
    <row r="12528">
      <c r="A12528" s="24"/>
      <c r="B12528" s="25"/>
      <c r="C12528" s="24"/>
      <c r="D12528" s="26"/>
      <c r="E12528" s="24"/>
      <c r="F12528" s="24"/>
      <c r="G12528" s="24"/>
      <c r="H12528" s="24"/>
      <c r="I12528" s="24"/>
      <c r="J12528" s="24"/>
      <c r="K12528" s="24"/>
      <c r="L12528" s="24"/>
      <c r="M12528" s="24"/>
      <c r="N12528" s="24"/>
      <c r="O12528" s="24"/>
      <c r="P12528" s="24"/>
      <c r="Q12528" s="24"/>
      <c r="R12528" s="24"/>
      <c r="S12528" s="24"/>
      <c r="T12528" s="24"/>
      <c r="U12528" s="24"/>
      <c r="V12528" s="24"/>
      <c r="W12528" s="24"/>
      <c r="X12528" s="24"/>
      <c r="Y12528" s="24"/>
      <c r="Z12528" s="24"/>
      <c r="AA12528" s="24"/>
    </row>
    <row r="12529">
      <c r="A12529" s="24"/>
      <c r="B12529" s="25"/>
      <c r="C12529" s="24"/>
      <c r="D12529" s="26"/>
      <c r="E12529" s="24"/>
      <c r="F12529" s="24"/>
      <c r="G12529" s="24"/>
      <c r="H12529" s="24"/>
      <c r="I12529" s="24"/>
      <c r="J12529" s="24"/>
      <c r="K12529" s="24"/>
      <c r="L12529" s="24"/>
      <c r="M12529" s="24"/>
      <c r="N12529" s="24"/>
      <c r="O12529" s="24"/>
      <c r="P12529" s="24"/>
      <c r="Q12529" s="24"/>
      <c r="R12529" s="24"/>
      <c r="S12529" s="24"/>
      <c r="T12529" s="24"/>
      <c r="U12529" s="24"/>
      <c r="V12529" s="24"/>
      <c r="W12529" s="24"/>
      <c r="X12529" s="24"/>
      <c r="Y12529" s="24"/>
      <c r="Z12529" s="24"/>
      <c r="AA12529" s="24"/>
    </row>
    <row r="12530">
      <c r="A12530" s="24"/>
      <c r="B12530" s="25"/>
      <c r="C12530" s="24"/>
      <c r="D12530" s="26"/>
      <c r="E12530" s="24"/>
      <c r="F12530" s="24"/>
      <c r="G12530" s="24"/>
      <c r="H12530" s="24"/>
      <c r="I12530" s="24"/>
      <c r="J12530" s="24"/>
      <c r="K12530" s="24"/>
      <c r="L12530" s="24"/>
      <c r="M12530" s="24"/>
      <c r="N12530" s="24"/>
      <c r="O12530" s="24"/>
      <c r="P12530" s="24"/>
      <c r="Q12530" s="24"/>
      <c r="R12530" s="24"/>
      <c r="S12530" s="24"/>
      <c r="T12530" s="24"/>
      <c r="U12530" s="24"/>
      <c r="V12530" s="24"/>
      <c r="W12530" s="24"/>
      <c r="X12530" s="24"/>
      <c r="Y12530" s="24"/>
      <c r="Z12530" s="24"/>
      <c r="AA12530" s="24"/>
    </row>
    <row r="12531">
      <c r="A12531" s="24"/>
      <c r="B12531" s="25"/>
      <c r="C12531" s="24"/>
      <c r="D12531" s="26"/>
      <c r="E12531" s="24"/>
      <c r="F12531" s="24"/>
      <c r="G12531" s="24"/>
      <c r="H12531" s="24"/>
      <c r="I12531" s="24"/>
      <c r="J12531" s="24"/>
      <c r="K12531" s="24"/>
      <c r="L12531" s="24"/>
      <c r="M12531" s="24"/>
      <c r="N12531" s="24"/>
      <c r="O12531" s="24"/>
      <c r="P12531" s="24"/>
      <c r="Q12531" s="24"/>
      <c r="R12531" s="24"/>
      <c r="S12531" s="24"/>
      <c r="T12531" s="24"/>
      <c r="U12531" s="24"/>
      <c r="V12531" s="24"/>
      <c r="W12531" s="24"/>
      <c r="X12531" s="24"/>
      <c r="Y12531" s="24"/>
      <c r="Z12531" s="24"/>
      <c r="AA12531" s="24"/>
    </row>
    <row r="12532">
      <c r="A12532" s="24"/>
      <c r="B12532" s="25"/>
      <c r="C12532" s="24"/>
      <c r="D12532" s="26"/>
      <c r="E12532" s="24"/>
      <c r="F12532" s="24"/>
      <c r="G12532" s="24"/>
      <c r="H12532" s="24"/>
      <c r="I12532" s="24"/>
      <c r="J12532" s="24"/>
      <c r="K12532" s="24"/>
      <c r="L12532" s="24"/>
      <c r="M12532" s="24"/>
      <c r="N12532" s="24"/>
      <c r="O12532" s="24"/>
      <c r="P12532" s="24"/>
      <c r="Q12532" s="24"/>
      <c r="R12532" s="24"/>
      <c r="S12532" s="24"/>
      <c r="T12532" s="24"/>
      <c r="U12532" s="24"/>
      <c r="V12532" s="24"/>
      <c r="W12532" s="24"/>
      <c r="X12532" s="24"/>
      <c r="Y12532" s="24"/>
      <c r="Z12532" s="24"/>
      <c r="AA12532" s="24"/>
    </row>
    <row r="12533">
      <c r="A12533" s="24"/>
      <c r="B12533" s="25"/>
      <c r="C12533" s="24"/>
      <c r="D12533" s="26"/>
      <c r="E12533" s="24"/>
      <c r="F12533" s="24"/>
      <c r="G12533" s="24"/>
      <c r="H12533" s="24"/>
      <c r="I12533" s="24"/>
      <c r="J12533" s="24"/>
      <c r="K12533" s="24"/>
      <c r="L12533" s="24"/>
      <c r="M12533" s="24"/>
      <c r="N12533" s="24"/>
      <c r="O12533" s="24"/>
      <c r="P12533" s="24"/>
      <c r="Q12533" s="24"/>
      <c r="R12533" s="24"/>
      <c r="S12533" s="24"/>
      <c r="T12533" s="24"/>
      <c r="U12533" s="24"/>
      <c r="V12533" s="24"/>
      <c r="W12533" s="24"/>
      <c r="X12533" s="24"/>
      <c r="Y12533" s="24"/>
      <c r="Z12533" s="24"/>
      <c r="AA12533" s="24"/>
    </row>
    <row r="12534">
      <c r="A12534" s="24"/>
      <c r="B12534" s="25"/>
      <c r="C12534" s="24"/>
      <c r="D12534" s="26"/>
      <c r="E12534" s="24"/>
      <c r="F12534" s="24"/>
      <c r="G12534" s="24"/>
      <c r="H12534" s="24"/>
      <c r="I12534" s="24"/>
      <c r="J12534" s="24"/>
      <c r="K12534" s="24"/>
      <c r="L12534" s="24"/>
      <c r="M12534" s="24"/>
      <c r="N12534" s="24"/>
      <c r="O12534" s="24"/>
      <c r="P12534" s="24"/>
      <c r="Q12534" s="24"/>
      <c r="R12534" s="24"/>
      <c r="S12534" s="24"/>
      <c r="T12534" s="24"/>
      <c r="U12534" s="24"/>
      <c r="V12534" s="24"/>
      <c r="W12534" s="24"/>
      <c r="X12534" s="24"/>
      <c r="Y12534" s="24"/>
      <c r="Z12534" s="24"/>
      <c r="AA12534" s="24"/>
    </row>
    <row r="12535">
      <c r="A12535" s="24"/>
      <c r="B12535" s="25"/>
      <c r="C12535" s="24"/>
      <c r="D12535" s="26"/>
      <c r="E12535" s="24"/>
      <c r="F12535" s="24"/>
      <c r="G12535" s="24"/>
      <c r="H12535" s="24"/>
      <c r="I12535" s="24"/>
      <c r="J12535" s="24"/>
      <c r="K12535" s="24"/>
      <c r="L12535" s="24"/>
      <c r="M12535" s="24"/>
      <c r="N12535" s="24"/>
      <c r="O12535" s="24"/>
      <c r="P12535" s="24"/>
      <c r="Q12535" s="24"/>
      <c r="R12535" s="24"/>
      <c r="S12535" s="24"/>
      <c r="T12535" s="24"/>
      <c r="U12535" s="24"/>
      <c r="V12535" s="24"/>
      <c r="W12535" s="24"/>
      <c r="X12535" s="24"/>
      <c r="Y12535" s="24"/>
      <c r="Z12535" s="24"/>
      <c r="AA12535" s="24"/>
    </row>
    <row r="12536">
      <c r="A12536" s="24"/>
      <c r="B12536" s="25"/>
      <c r="C12536" s="24"/>
      <c r="D12536" s="26"/>
      <c r="E12536" s="24"/>
      <c r="F12536" s="24"/>
      <c r="G12536" s="24"/>
      <c r="H12536" s="24"/>
      <c r="I12536" s="24"/>
      <c r="J12536" s="24"/>
      <c r="K12536" s="24"/>
      <c r="L12536" s="24"/>
      <c r="M12536" s="24"/>
      <c r="N12536" s="24"/>
      <c r="O12536" s="24"/>
      <c r="P12536" s="24"/>
      <c r="Q12536" s="24"/>
      <c r="R12536" s="24"/>
      <c r="S12536" s="24"/>
      <c r="T12536" s="24"/>
      <c r="U12536" s="24"/>
      <c r="V12536" s="24"/>
      <c r="W12536" s="24"/>
      <c r="X12536" s="24"/>
      <c r="Y12536" s="24"/>
      <c r="Z12536" s="24"/>
      <c r="AA12536" s="24"/>
    </row>
    <row r="12537">
      <c r="A12537" s="24"/>
      <c r="B12537" s="25"/>
      <c r="C12537" s="24"/>
      <c r="D12537" s="26"/>
      <c r="E12537" s="24"/>
      <c r="F12537" s="24"/>
      <c r="G12537" s="24"/>
      <c r="H12537" s="24"/>
      <c r="I12537" s="24"/>
      <c r="J12537" s="24"/>
      <c r="K12537" s="24"/>
      <c r="L12537" s="24"/>
      <c r="M12537" s="24"/>
      <c r="N12537" s="24"/>
      <c r="O12537" s="24"/>
      <c r="P12537" s="24"/>
      <c r="Q12537" s="24"/>
      <c r="R12537" s="24"/>
      <c r="S12537" s="24"/>
      <c r="T12537" s="24"/>
      <c r="U12537" s="24"/>
      <c r="V12537" s="24"/>
      <c r="W12537" s="24"/>
      <c r="X12537" s="24"/>
      <c r="Y12537" s="24"/>
      <c r="Z12537" s="24"/>
      <c r="AA12537" s="24"/>
    </row>
    <row r="12538">
      <c r="A12538" s="24"/>
      <c r="B12538" s="25"/>
      <c r="C12538" s="24"/>
      <c r="D12538" s="26"/>
      <c r="E12538" s="24"/>
      <c r="F12538" s="24"/>
      <c r="G12538" s="24"/>
      <c r="H12538" s="24"/>
      <c r="I12538" s="24"/>
      <c r="J12538" s="24"/>
      <c r="K12538" s="24"/>
      <c r="L12538" s="24"/>
      <c r="M12538" s="24"/>
      <c r="N12538" s="24"/>
      <c r="O12538" s="24"/>
      <c r="P12538" s="24"/>
      <c r="Q12538" s="24"/>
      <c r="R12538" s="24"/>
      <c r="S12538" s="24"/>
      <c r="T12538" s="24"/>
      <c r="U12538" s="24"/>
      <c r="V12538" s="24"/>
      <c r="W12538" s="24"/>
      <c r="X12538" s="24"/>
      <c r="Y12538" s="24"/>
      <c r="Z12538" s="24"/>
      <c r="AA12538" s="24"/>
    </row>
    <row r="12539">
      <c r="A12539" s="24"/>
      <c r="B12539" s="25"/>
      <c r="C12539" s="24"/>
      <c r="D12539" s="26"/>
      <c r="E12539" s="24"/>
      <c r="F12539" s="24"/>
      <c r="G12539" s="24"/>
      <c r="H12539" s="24"/>
      <c r="I12539" s="24"/>
      <c r="J12539" s="24"/>
      <c r="K12539" s="24"/>
      <c r="L12539" s="24"/>
      <c r="M12539" s="24"/>
      <c r="N12539" s="24"/>
      <c r="O12539" s="24"/>
      <c r="P12539" s="24"/>
      <c r="Q12539" s="24"/>
      <c r="R12539" s="24"/>
      <c r="S12539" s="24"/>
      <c r="T12539" s="24"/>
      <c r="U12539" s="24"/>
      <c r="V12539" s="24"/>
      <c r="W12539" s="24"/>
      <c r="X12539" s="24"/>
      <c r="Y12539" s="24"/>
      <c r="Z12539" s="24"/>
      <c r="AA12539" s="24"/>
    </row>
    <row r="12540">
      <c r="A12540" s="24"/>
      <c r="B12540" s="25"/>
      <c r="C12540" s="24"/>
      <c r="D12540" s="26"/>
      <c r="E12540" s="24"/>
      <c r="F12540" s="24"/>
      <c r="G12540" s="24"/>
      <c r="H12540" s="24"/>
      <c r="I12540" s="24"/>
      <c r="J12540" s="24"/>
      <c r="K12540" s="24"/>
      <c r="L12540" s="24"/>
      <c r="M12540" s="24"/>
      <c r="N12540" s="24"/>
      <c r="O12540" s="24"/>
      <c r="P12540" s="24"/>
      <c r="Q12540" s="24"/>
      <c r="R12540" s="24"/>
      <c r="S12540" s="24"/>
      <c r="T12540" s="24"/>
      <c r="U12540" s="24"/>
      <c r="V12540" s="24"/>
      <c r="W12540" s="24"/>
      <c r="X12540" s="24"/>
      <c r="Y12540" s="24"/>
      <c r="Z12540" s="24"/>
      <c r="AA12540" s="24"/>
    </row>
    <row r="12541">
      <c r="A12541" s="24"/>
      <c r="B12541" s="25"/>
      <c r="C12541" s="24"/>
      <c r="D12541" s="26"/>
      <c r="E12541" s="24"/>
      <c r="F12541" s="24"/>
      <c r="G12541" s="24"/>
      <c r="H12541" s="24"/>
      <c r="I12541" s="24"/>
      <c r="J12541" s="24"/>
      <c r="K12541" s="24"/>
      <c r="L12541" s="24"/>
      <c r="M12541" s="24"/>
      <c r="N12541" s="24"/>
      <c r="O12541" s="24"/>
      <c r="P12541" s="24"/>
      <c r="Q12541" s="24"/>
      <c r="R12541" s="24"/>
      <c r="S12541" s="24"/>
      <c r="T12541" s="24"/>
      <c r="U12541" s="24"/>
      <c r="V12541" s="24"/>
      <c r="W12541" s="24"/>
      <c r="X12541" s="24"/>
      <c r="Y12541" s="24"/>
      <c r="Z12541" s="24"/>
      <c r="AA12541" s="24"/>
    </row>
    <row r="12542">
      <c r="A12542" s="24"/>
      <c r="B12542" s="25"/>
      <c r="C12542" s="24"/>
      <c r="D12542" s="26"/>
      <c r="E12542" s="24"/>
      <c r="F12542" s="24"/>
      <c r="G12542" s="24"/>
      <c r="H12542" s="24"/>
      <c r="I12542" s="24"/>
      <c r="J12542" s="24"/>
      <c r="K12542" s="24"/>
      <c r="L12542" s="24"/>
      <c r="M12542" s="24"/>
      <c r="N12542" s="24"/>
      <c r="O12542" s="24"/>
      <c r="P12542" s="24"/>
      <c r="Q12542" s="24"/>
      <c r="R12542" s="24"/>
      <c r="S12542" s="24"/>
      <c r="T12542" s="24"/>
      <c r="U12542" s="24"/>
      <c r="V12542" s="24"/>
      <c r="W12542" s="24"/>
      <c r="X12542" s="24"/>
      <c r="Y12542" s="24"/>
      <c r="Z12542" s="24"/>
      <c r="AA12542" s="24"/>
    </row>
    <row r="12543">
      <c r="A12543" s="24"/>
      <c r="B12543" s="25"/>
      <c r="C12543" s="24"/>
      <c r="D12543" s="26"/>
      <c r="E12543" s="24"/>
      <c r="F12543" s="24"/>
      <c r="G12543" s="24"/>
      <c r="H12543" s="24"/>
      <c r="I12543" s="24"/>
      <c r="J12543" s="24"/>
      <c r="K12543" s="24"/>
      <c r="L12543" s="24"/>
      <c r="M12543" s="24"/>
      <c r="N12543" s="24"/>
      <c r="O12543" s="24"/>
      <c r="P12543" s="24"/>
      <c r="Q12543" s="24"/>
      <c r="R12543" s="24"/>
      <c r="S12543" s="24"/>
      <c r="T12543" s="24"/>
      <c r="U12543" s="24"/>
      <c r="V12543" s="24"/>
      <c r="W12543" s="24"/>
      <c r="X12543" s="24"/>
      <c r="Y12543" s="24"/>
      <c r="Z12543" s="24"/>
      <c r="AA12543" s="24"/>
    </row>
    <row r="12544">
      <c r="A12544" s="24"/>
      <c r="B12544" s="25"/>
      <c r="C12544" s="24"/>
      <c r="D12544" s="26"/>
      <c r="E12544" s="24"/>
      <c r="F12544" s="24"/>
      <c r="G12544" s="24"/>
      <c r="H12544" s="24"/>
      <c r="I12544" s="24"/>
      <c r="J12544" s="24"/>
      <c r="K12544" s="24"/>
      <c r="L12544" s="24"/>
      <c r="M12544" s="24"/>
      <c r="N12544" s="24"/>
      <c r="O12544" s="24"/>
      <c r="P12544" s="24"/>
      <c r="Q12544" s="24"/>
      <c r="R12544" s="24"/>
      <c r="S12544" s="24"/>
      <c r="T12544" s="24"/>
      <c r="U12544" s="24"/>
      <c r="V12544" s="24"/>
      <c r="W12544" s="24"/>
      <c r="X12544" s="24"/>
      <c r="Y12544" s="24"/>
      <c r="Z12544" s="24"/>
      <c r="AA12544" s="24"/>
    </row>
    <row r="12545">
      <c r="A12545" s="24"/>
      <c r="B12545" s="25"/>
      <c r="C12545" s="24"/>
      <c r="D12545" s="26"/>
      <c r="E12545" s="24"/>
      <c r="F12545" s="24"/>
      <c r="G12545" s="24"/>
      <c r="H12545" s="24"/>
      <c r="I12545" s="24"/>
      <c r="J12545" s="24"/>
      <c r="K12545" s="24"/>
      <c r="L12545" s="24"/>
      <c r="M12545" s="24"/>
      <c r="N12545" s="24"/>
      <c r="O12545" s="24"/>
      <c r="P12545" s="24"/>
      <c r="Q12545" s="24"/>
      <c r="R12545" s="24"/>
      <c r="S12545" s="24"/>
      <c r="T12545" s="24"/>
      <c r="U12545" s="24"/>
      <c r="V12545" s="24"/>
      <c r="W12545" s="24"/>
      <c r="X12545" s="24"/>
      <c r="Y12545" s="24"/>
      <c r="Z12545" s="24"/>
      <c r="AA12545" s="24"/>
    </row>
    <row r="12546">
      <c r="A12546" s="24"/>
      <c r="B12546" s="25"/>
      <c r="C12546" s="24"/>
      <c r="D12546" s="26"/>
      <c r="E12546" s="24"/>
      <c r="F12546" s="24"/>
      <c r="G12546" s="24"/>
      <c r="H12546" s="24"/>
      <c r="I12546" s="24"/>
      <c r="J12546" s="24"/>
      <c r="K12546" s="24"/>
      <c r="L12546" s="24"/>
      <c r="M12546" s="24"/>
      <c r="N12546" s="24"/>
      <c r="O12546" s="24"/>
      <c r="P12546" s="24"/>
      <c r="Q12546" s="24"/>
      <c r="R12546" s="24"/>
      <c r="S12546" s="24"/>
      <c r="T12546" s="24"/>
      <c r="U12546" s="24"/>
      <c r="V12546" s="24"/>
      <c r="W12546" s="24"/>
      <c r="X12546" s="24"/>
      <c r="Y12546" s="24"/>
      <c r="Z12546" s="24"/>
      <c r="AA12546" s="24"/>
    </row>
    <row r="12547">
      <c r="A12547" s="24"/>
      <c r="B12547" s="25"/>
      <c r="C12547" s="24"/>
      <c r="D12547" s="26"/>
      <c r="E12547" s="24"/>
      <c r="F12547" s="24"/>
      <c r="G12547" s="24"/>
      <c r="H12547" s="24"/>
      <c r="I12547" s="24"/>
      <c r="J12547" s="24"/>
      <c r="K12547" s="24"/>
      <c r="L12547" s="24"/>
      <c r="M12547" s="24"/>
      <c r="N12547" s="24"/>
      <c r="O12547" s="24"/>
      <c r="P12547" s="24"/>
      <c r="Q12547" s="24"/>
      <c r="R12547" s="24"/>
      <c r="S12547" s="24"/>
      <c r="T12547" s="24"/>
      <c r="U12547" s="24"/>
      <c r="V12547" s="24"/>
      <c r="W12547" s="24"/>
      <c r="X12547" s="24"/>
      <c r="Y12547" s="24"/>
      <c r="Z12547" s="24"/>
      <c r="AA12547" s="24"/>
    </row>
    <row r="12548">
      <c r="A12548" s="24"/>
      <c r="B12548" s="25"/>
      <c r="C12548" s="24"/>
      <c r="D12548" s="26"/>
      <c r="E12548" s="24"/>
      <c r="F12548" s="24"/>
      <c r="G12548" s="24"/>
      <c r="H12548" s="24"/>
      <c r="I12548" s="24"/>
      <c r="J12548" s="24"/>
      <c r="K12548" s="24"/>
      <c r="L12548" s="24"/>
      <c r="M12548" s="24"/>
      <c r="N12548" s="24"/>
      <c r="O12548" s="24"/>
      <c r="P12548" s="24"/>
      <c r="Q12548" s="24"/>
      <c r="R12548" s="24"/>
      <c r="S12548" s="24"/>
      <c r="T12548" s="24"/>
      <c r="U12548" s="24"/>
      <c r="V12548" s="24"/>
      <c r="W12548" s="24"/>
      <c r="X12548" s="24"/>
      <c r="Y12548" s="24"/>
      <c r="Z12548" s="24"/>
      <c r="AA12548" s="24"/>
    </row>
    <row r="12549">
      <c r="A12549" s="24"/>
      <c r="B12549" s="25"/>
      <c r="C12549" s="24"/>
      <c r="D12549" s="26"/>
      <c r="E12549" s="24"/>
      <c r="F12549" s="24"/>
      <c r="G12549" s="24"/>
      <c r="H12549" s="24"/>
      <c r="I12549" s="24"/>
      <c r="J12549" s="24"/>
      <c r="K12549" s="24"/>
      <c r="L12549" s="24"/>
      <c r="M12549" s="24"/>
      <c r="N12549" s="24"/>
      <c r="O12549" s="24"/>
      <c r="P12549" s="24"/>
      <c r="Q12549" s="24"/>
      <c r="R12549" s="24"/>
      <c r="S12549" s="24"/>
      <c r="T12549" s="24"/>
      <c r="U12549" s="24"/>
      <c r="V12549" s="24"/>
      <c r="W12549" s="24"/>
      <c r="X12549" s="24"/>
      <c r="Y12549" s="24"/>
      <c r="Z12549" s="24"/>
      <c r="AA12549" s="24"/>
    </row>
    <row r="12550">
      <c r="A12550" s="24"/>
      <c r="B12550" s="25"/>
      <c r="C12550" s="24"/>
      <c r="D12550" s="26"/>
      <c r="E12550" s="24"/>
      <c r="F12550" s="24"/>
      <c r="G12550" s="24"/>
      <c r="H12550" s="24"/>
      <c r="I12550" s="24"/>
      <c r="J12550" s="24"/>
      <c r="K12550" s="24"/>
      <c r="L12550" s="24"/>
      <c r="M12550" s="24"/>
      <c r="N12550" s="24"/>
      <c r="O12550" s="24"/>
      <c r="P12550" s="24"/>
      <c r="Q12550" s="24"/>
      <c r="R12550" s="24"/>
      <c r="S12550" s="24"/>
      <c r="T12550" s="24"/>
      <c r="U12550" s="24"/>
      <c r="V12550" s="24"/>
      <c r="W12550" s="24"/>
      <c r="X12550" s="24"/>
      <c r="Y12550" s="24"/>
      <c r="Z12550" s="24"/>
      <c r="AA12550" s="24"/>
    </row>
    <row r="12551">
      <c r="A12551" s="24"/>
      <c r="B12551" s="25"/>
      <c r="C12551" s="24"/>
      <c r="D12551" s="26"/>
      <c r="E12551" s="24"/>
      <c r="F12551" s="24"/>
      <c r="G12551" s="24"/>
      <c r="H12551" s="24"/>
      <c r="I12551" s="24"/>
      <c r="J12551" s="24"/>
      <c r="K12551" s="24"/>
      <c r="L12551" s="24"/>
      <c r="M12551" s="24"/>
      <c r="N12551" s="24"/>
      <c r="O12551" s="24"/>
      <c r="P12551" s="24"/>
      <c r="Q12551" s="24"/>
      <c r="R12551" s="24"/>
      <c r="S12551" s="24"/>
      <c r="T12551" s="24"/>
      <c r="U12551" s="24"/>
      <c r="V12551" s="24"/>
      <c r="W12551" s="24"/>
      <c r="X12551" s="24"/>
      <c r="Y12551" s="24"/>
      <c r="Z12551" s="24"/>
      <c r="AA12551" s="24"/>
    </row>
    <row r="12552">
      <c r="A12552" s="24"/>
      <c r="B12552" s="25"/>
      <c r="C12552" s="24"/>
      <c r="D12552" s="26"/>
      <c r="E12552" s="24"/>
      <c r="F12552" s="24"/>
      <c r="G12552" s="24"/>
      <c r="H12552" s="24"/>
      <c r="I12552" s="24"/>
      <c r="J12552" s="24"/>
      <c r="K12552" s="24"/>
      <c r="L12552" s="24"/>
      <c r="M12552" s="24"/>
      <c r="N12552" s="24"/>
      <c r="O12552" s="24"/>
      <c r="P12552" s="24"/>
      <c r="Q12552" s="24"/>
      <c r="R12552" s="24"/>
      <c r="S12552" s="24"/>
      <c r="T12552" s="24"/>
      <c r="U12552" s="24"/>
      <c r="V12552" s="24"/>
      <c r="W12552" s="24"/>
      <c r="X12552" s="24"/>
      <c r="Y12552" s="24"/>
      <c r="Z12552" s="24"/>
      <c r="AA12552" s="24"/>
    </row>
    <row r="12553">
      <c r="A12553" s="24"/>
      <c r="B12553" s="25"/>
      <c r="C12553" s="24"/>
      <c r="D12553" s="26"/>
      <c r="E12553" s="24"/>
      <c r="F12553" s="24"/>
      <c r="G12553" s="24"/>
      <c r="H12553" s="24"/>
      <c r="I12553" s="24"/>
      <c r="J12553" s="24"/>
      <c r="K12553" s="24"/>
      <c r="L12553" s="24"/>
      <c r="M12553" s="24"/>
      <c r="N12553" s="24"/>
      <c r="O12553" s="24"/>
      <c r="P12553" s="24"/>
      <c r="Q12553" s="24"/>
      <c r="R12553" s="24"/>
      <c r="S12553" s="24"/>
      <c r="T12553" s="24"/>
      <c r="U12553" s="24"/>
      <c r="V12553" s="24"/>
      <c r="W12553" s="24"/>
      <c r="X12553" s="24"/>
      <c r="Y12553" s="24"/>
      <c r="Z12553" s="24"/>
      <c r="AA12553" s="24"/>
    </row>
    <row r="12554">
      <c r="A12554" s="24"/>
      <c r="B12554" s="25"/>
      <c r="C12554" s="24"/>
      <c r="D12554" s="26"/>
      <c r="E12554" s="24"/>
      <c r="F12554" s="24"/>
      <c r="G12554" s="24"/>
      <c r="H12554" s="24"/>
      <c r="I12554" s="24"/>
      <c r="J12554" s="24"/>
      <c r="K12554" s="24"/>
      <c r="L12554" s="24"/>
      <c r="M12554" s="24"/>
      <c r="N12554" s="24"/>
      <c r="O12554" s="24"/>
      <c r="P12554" s="24"/>
      <c r="Q12554" s="24"/>
      <c r="R12554" s="24"/>
      <c r="S12554" s="24"/>
      <c r="T12554" s="24"/>
      <c r="U12554" s="24"/>
      <c r="V12554" s="24"/>
      <c r="W12554" s="24"/>
      <c r="X12554" s="24"/>
      <c r="Y12554" s="24"/>
      <c r="Z12554" s="24"/>
      <c r="AA12554" s="24"/>
    </row>
    <row r="12555">
      <c r="A12555" s="24"/>
      <c r="B12555" s="25"/>
      <c r="C12555" s="24"/>
      <c r="D12555" s="26"/>
      <c r="E12555" s="24"/>
      <c r="F12555" s="24"/>
      <c r="G12555" s="24"/>
      <c r="H12555" s="24"/>
      <c r="I12555" s="24"/>
      <c r="J12555" s="24"/>
      <c r="K12555" s="24"/>
      <c r="L12555" s="24"/>
      <c r="M12555" s="24"/>
      <c r="N12555" s="24"/>
      <c r="O12555" s="24"/>
      <c r="P12555" s="24"/>
      <c r="Q12555" s="24"/>
      <c r="R12555" s="24"/>
      <c r="S12555" s="24"/>
      <c r="T12555" s="24"/>
      <c r="U12555" s="24"/>
      <c r="V12555" s="24"/>
      <c r="W12555" s="24"/>
      <c r="X12555" s="24"/>
      <c r="Y12555" s="24"/>
      <c r="Z12555" s="24"/>
      <c r="AA12555" s="24"/>
    </row>
    <row r="12556">
      <c r="A12556" s="24"/>
      <c r="B12556" s="25"/>
      <c r="C12556" s="24"/>
      <c r="D12556" s="26"/>
      <c r="E12556" s="24"/>
      <c r="F12556" s="24"/>
      <c r="G12556" s="24"/>
      <c r="H12556" s="24"/>
      <c r="I12556" s="24"/>
      <c r="J12556" s="24"/>
      <c r="K12556" s="24"/>
      <c r="L12556" s="24"/>
      <c r="M12556" s="24"/>
      <c r="N12556" s="24"/>
      <c r="O12556" s="24"/>
      <c r="P12556" s="24"/>
      <c r="Q12556" s="24"/>
      <c r="R12556" s="24"/>
      <c r="S12556" s="24"/>
      <c r="T12556" s="24"/>
      <c r="U12556" s="24"/>
      <c r="V12556" s="24"/>
      <c r="W12556" s="24"/>
      <c r="X12556" s="24"/>
      <c r="Y12556" s="24"/>
      <c r="Z12556" s="24"/>
      <c r="AA12556" s="24"/>
    </row>
    <row r="12557">
      <c r="A12557" s="24"/>
      <c r="B12557" s="25"/>
      <c r="C12557" s="24"/>
      <c r="D12557" s="26"/>
      <c r="E12557" s="24"/>
      <c r="F12557" s="24"/>
      <c r="G12557" s="24"/>
      <c r="H12557" s="24"/>
      <c r="I12557" s="24"/>
      <c r="J12557" s="24"/>
      <c r="K12557" s="24"/>
      <c r="L12557" s="24"/>
      <c r="M12557" s="24"/>
      <c r="N12557" s="24"/>
      <c r="O12557" s="24"/>
      <c r="P12557" s="24"/>
      <c r="Q12557" s="24"/>
      <c r="R12557" s="24"/>
      <c r="S12557" s="24"/>
      <c r="T12557" s="24"/>
      <c r="U12557" s="24"/>
      <c r="V12557" s="24"/>
      <c r="W12557" s="24"/>
      <c r="X12557" s="24"/>
      <c r="Y12557" s="24"/>
      <c r="Z12557" s="24"/>
      <c r="AA12557" s="24"/>
    </row>
    <row r="12558">
      <c r="A12558" s="24"/>
      <c r="B12558" s="25"/>
      <c r="C12558" s="24"/>
      <c r="D12558" s="26"/>
      <c r="E12558" s="24"/>
      <c r="F12558" s="24"/>
      <c r="G12558" s="24"/>
      <c r="H12558" s="24"/>
      <c r="I12558" s="24"/>
      <c r="J12558" s="24"/>
      <c r="K12558" s="24"/>
      <c r="L12558" s="24"/>
      <c r="M12558" s="24"/>
      <c r="N12558" s="24"/>
      <c r="O12558" s="24"/>
      <c r="P12558" s="24"/>
      <c r="Q12558" s="24"/>
      <c r="R12558" s="24"/>
      <c r="S12558" s="24"/>
      <c r="T12558" s="24"/>
      <c r="U12558" s="24"/>
      <c r="V12558" s="24"/>
      <c r="W12558" s="24"/>
      <c r="X12558" s="24"/>
      <c r="Y12558" s="24"/>
      <c r="Z12558" s="24"/>
      <c r="AA12558" s="24"/>
    </row>
    <row r="12559">
      <c r="A12559" s="24"/>
      <c r="B12559" s="25"/>
      <c r="C12559" s="24"/>
      <c r="D12559" s="26"/>
      <c r="E12559" s="24"/>
      <c r="F12559" s="24"/>
      <c r="G12559" s="24"/>
      <c r="H12559" s="24"/>
      <c r="I12559" s="24"/>
      <c r="J12559" s="24"/>
      <c r="K12559" s="24"/>
      <c r="L12559" s="24"/>
      <c r="M12559" s="24"/>
      <c r="N12559" s="24"/>
      <c r="O12559" s="24"/>
      <c r="P12559" s="24"/>
      <c r="Q12559" s="24"/>
      <c r="R12559" s="24"/>
      <c r="S12559" s="24"/>
      <c r="T12559" s="24"/>
      <c r="U12559" s="24"/>
      <c r="V12559" s="24"/>
      <c r="W12559" s="24"/>
      <c r="X12559" s="24"/>
      <c r="Y12559" s="24"/>
      <c r="Z12559" s="24"/>
      <c r="AA12559" s="24"/>
    </row>
    <row r="12560">
      <c r="A12560" s="24"/>
      <c r="B12560" s="25"/>
      <c r="C12560" s="24"/>
      <c r="D12560" s="26"/>
      <c r="E12560" s="24"/>
      <c r="F12560" s="24"/>
      <c r="G12560" s="24"/>
      <c r="H12560" s="24"/>
      <c r="I12560" s="24"/>
      <c r="J12560" s="24"/>
      <c r="K12560" s="24"/>
      <c r="L12560" s="24"/>
      <c r="M12560" s="24"/>
      <c r="N12560" s="24"/>
      <c r="O12560" s="24"/>
      <c r="P12560" s="24"/>
      <c r="Q12560" s="24"/>
      <c r="R12560" s="24"/>
      <c r="S12560" s="24"/>
      <c r="T12560" s="24"/>
      <c r="U12560" s="24"/>
      <c r="V12560" s="24"/>
      <c r="W12560" s="24"/>
      <c r="X12560" s="24"/>
      <c r="Y12560" s="24"/>
      <c r="Z12560" s="24"/>
      <c r="AA12560" s="24"/>
    </row>
    <row r="12561">
      <c r="A12561" s="24"/>
      <c r="B12561" s="25"/>
      <c r="C12561" s="24"/>
      <c r="D12561" s="26"/>
      <c r="E12561" s="24"/>
      <c r="F12561" s="24"/>
      <c r="G12561" s="24"/>
      <c r="H12561" s="24"/>
      <c r="I12561" s="24"/>
      <c r="J12561" s="24"/>
      <c r="K12561" s="24"/>
      <c r="L12561" s="24"/>
      <c r="M12561" s="24"/>
      <c r="N12561" s="24"/>
      <c r="O12561" s="24"/>
      <c r="P12561" s="24"/>
      <c r="Q12561" s="24"/>
      <c r="R12561" s="24"/>
      <c r="S12561" s="24"/>
      <c r="T12561" s="24"/>
      <c r="U12561" s="24"/>
      <c r="V12561" s="24"/>
      <c r="W12561" s="24"/>
      <c r="X12561" s="24"/>
      <c r="Y12561" s="24"/>
      <c r="Z12561" s="24"/>
      <c r="AA12561" s="24"/>
    </row>
    <row r="12562">
      <c r="A12562" s="24"/>
      <c r="B12562" s="25"/>
      <c r="C12562" s="24"/>
      <c r="D12562" s="26"/>
      <c r="E12562" s="24"/>
      <c r="F12562" s="24"/>
      <c r="G12562" s="24"/>
      <c r="H12562" s="24"/>
      <c r="I12562" s="24"/>
      <c r="J12562" s="24"/>
      <c r="K12562" s="24"/>
      <c r="L12562" s="24"/>
      <c r="M12562" s="24"/>
      <c r="N12562" s="24"/>
      <c r="O12562" s="24"/>
      <c r="P12562" s="24"/>
      <c r="Q12562" s="24"/>
      <c r="R12562" s="24"/>
      <c r="S12562" s="24"/>
      <c r="T12562" s="24"/>
      <c r="U12562" s="24"/>
      <c r="V12562" s="24"/>
      <c r="W12562" s="24"/>
      <c r="X12562" s="24"/>
      <c r="Y12562" s="24"/>
      <c r="Z12562" s="24"/>
      <c r="AA12562" s="24"/>
    </row>
    <row r="12563">
      <c r="A12563" s="24"/>
      <c r="B12563" s="25"/>
      <c r="C12563" s="24"/>
      <c r="D12563" s="26"/>
      <c r="E12563" s="24"/>
      <c r="F12563" s="24"/>
      <c r="G12563" s="24"/>
      <c r="H12563" s="24"/>
      <c r="I12563" s="24"/>
      <c r="J12563" s="24"/>
      <c r="K12563" s="24"/>
      <c r="L12563" s="24"/>
      <c r="M12563" s="24"/>
      <c r="N12563" s="24"/>
      <c r="O12563" s="24"/>
      <c r="P12563" s="24"/>
      <c r="Q12563" s="24"/>
      <c r="R12563" s="24"/>
      <c r="S12563" s="24"/>
      <c r="T12563" s="24"/>
      <c r="U12563" s="24"/>
      <c r="V12563" s="24"/>
      <c r="W12563" s="24"/>
      <c r="X12563" s="24"/>
      <c r="Y12563" s="24"/>
      <c r="Z12563" s="24"/>
      <c r="AA12563" s="24"/>
    </row>
    <row r="12564">
      <c r="A12564" s="24"/>
      <c r="B12564" s="25"/>
      <c r="C12564" s="24"/>
      <c r="D12564" s="26"/>
      <c r="E12564" s="24"/>
      <c r="F12564" s="24"/>
      <c r="G12564" s="24"/>
      <c r="H12564" s="24"/>
      <c r="I12564" s="24"/>
      <c r="J12564" s="24"/>
      <c r="K12564" s="24"/>
      <c r="L12564" s="24"/>
      <c r="M12564" s="24"/>
      <c r="N12564" s="24"/>
      <c r="O12564" s="24"/>
      <c r="P12564" s="24"/>
      <c r="Q12564" s="24"/>
      <c r="R12564" s="24"/>
      <c r="S12564" s="24"/>
      <c r="T12564" s="24"/>
      <c r="U12564" s="24"/>
      <c r="V12564" s="24"/>
      <c r="W12564" s="24"/>
      <c r="X12564" s="24"/>
      <c r="Y12564" s="24"/>
      <c r="Z12564" s="24"/>
      <c r="AA12564" s="24"/>
    </row>
    <row r="12565">
      <c r="A12565" s="24"/>
      <c r="B12565" s="25"/>
      <c r="C12565" s="24"/>
      <c r="D12565" s="26"/>
      <c r="E12565" s="24"/>
      <c r="F12565" s="24"/>
      <c r="G12565" s="24"/>
      <c r="H12565" s="24"/>
      <c r="I12565" s="24"/>
      <c r="J12565" s="24"/>
      <c r="K12565" s="24"/>
      <c r="L12565" s="24"/>
      <c r="M12565" s="24"/>
      <c r="N12565" s="24"/>
      <c r="O12565" s="24"/>
      <c r="P12565" s="24"/>
      <c r="Q12565" s="24"/>
      <c r="R12565" s="24"/>
      <c r="S12565" s="24"/>
      <c r="T12565" s="24"/>
      <c r="U12565" s="24"/>
      <c r="V12565" s="24"/>
      <c r="W12565" s="24"/>
      <c r="X12565" s="24"/>
      <c r="Y12565" s="24"/>
      <c r="Z12565" s="24"/>
      <c r="AA12565" s="24"/>
    </row>
    <row r="12566">
      <c r="A12566" s="24"/>
      <c r="B12566" s="25"/>
      <c r="C12566" s="24"/>
      <c r="D12566" s="26"/>
      <c r="E12566" s="24"/>
      <c r="F12566" s="24"/>
      <c r="G12566" s="24"/>
      <c r="H12566" s="24"/>
      <c r="I12566" s="24"/>
      <c r="J12566" s="24"/>
      <c r="K12566" s="24"/>
      <c r="L12566" s="24"/>
      <c r="M12566" s="24"/>
      <c r="N12566" s="24"/>
      <c r="O12566" s="24"/>
      <c r="P12566" s="24"/>
      <c r="Q12566" s="24"/>
      <c r="R12566" s="24"/>
      <c r="S12566" s="24"/>
      <c r="T12566" s="24"/>
      <c r="U12566" s="24"/>
      <c r="V12566" s="24"/>
      <c r="W12566" s="24"/>
      <c r="X12566" s="24"/>
      <c r="Y12566" s="24"/>
      <c r="Z12566" s="24"/>
      <c r="AA12566" s="24"/>
    </row>
    <row r="12567">
      <c r="A12567" s="24"/>
      <c r="B12567" s="25"/>
      <c r="C12567" s="24"/>
      <c r="D12567" s="26"/>
      <c r="E12567" s="24"/>
      <c r="F12567" s="24"/>
      <c r="G12567" s="24"/>
      <c r="H12567" s="24"/>
      <c r="I12567" s="24"/>
      <c r="J12567" s="24"/>
      <c r="K12567" s="24"/>
      <c r="L12567" s="24"/>
      <c r="M12567" s="24"/>
      <c r="N12567" s="24"/>
      <c r="O12567" s="24"/>
      <c r="P12567" s="24"/>
      <c r="Q12567" s="24"/>
      <c r="R12567" s="24"/>
      <c r="S12567" s="24"/>
      <c r="T12567" s="24"/>
      <c r="U12567" s="24"/>
      <c r="V12567" s="24"/>
      <c r="W12567" s="24"/>
      <c r="X12567" s="24"/>
      <c r="Y12567" s="24"/>
      <c r="Z12567" s="24"/>
      <c r="AA12567" s="24"/>
    </row>
    <row r="12568">
      <c r="A12568" s="24"/>
      <c r="B12568" s="25"/>
      <c r="C12568" s="24"/>
      <c r="D12568" s="26"/>
      <c r="E12568" s="24"/>
      <c r="F12568" s="24"/>
      <c r="G12568" s="24"/>
      <c r="H12568" s="24"/>
      <c r="I12568" s="24"/>
      <c r="J12568" s="24"/>
      <c r="K12568" s="24"/>
      <c r="L12568" s="24"/>
      <c r="M12568" s="24"/>
      <c r="N12568" s="24"/>
      <c r="O12568" s="24"/>
      <c r="P12568" s="24"/>
      <c r="Q12568" s="24"/>
      <c r="R12568" s="24"/>
      <c r="S12568" s="24"/>
      <c r="T12568" s="24"/>
      <c r="U12568" s="24"/>
      <c r="V12568" s="24"/>
      <c r="W12568" s="24"/>
      <c r="X12568" s="24"/>
      <c r="Y12568" s="24"/>
      <c r="Z12568" s="24"/>
      <c r="AA12568" s="24"/>
    </row>
    <row r="12569">
      <c r="A12569" s="24"/>
      <c r="B12569" s="25"/>
      <c r="C12569" s="24"/>
      <c r="D12569" s="26"/>
      <c r="E12569" s="24"/>
      <c r="F12569" s="24"/>
      <c r="G12569" s="24"/>
      <c r="H12569" s="24"/>
      <c r="I12569" s="24"/>
      <c r="J12569" s="24"/>
      <c r="K12569" s="24"/>
      <c r="L12569" s="24"/>
      <c r="M12569" s="24"/>
      <c r="N12569" s="24"/>
      <c r="O12569" s="24"/>
      <c r="P12569" s="24"/>
      <c r="Q12569" s="24"/>
      <c r="R12569" s="24"/>
      <c r="S12569" s="24"/>
      <c r="T12569" s="24"/>
      <c r="U12569" s="24"/>
      <c r="V12569" s="24"/>
      <c r="W12569" s="24"/>
      <c r="X12569" s="24"/>
      <c r="Y12569" s="24"/>
      <c r="Z12569" s="24"/>
      <c r="AA12569" s="24"/>
    </row>
    <row r="12570">
      <c r="A12570" s="24"/>
      <c r="B12570" s="25"/>
      <c r="C12570" s="24"/>
      <c r="D12570" s="26"/>
      <c r="E12570" s="24"/>
      <c r="F12570" s="24"/>
      <c r="G12570" s="24"/>
      <c r="H12570" s="24"/>
      <c r="I12570" s="24"/>
      <c r="J12570" s="24"/>
      <c r="K12570" s="24"/>
      <c r="L12570" s="24"/>
      <c r="M12570" s="24"/>
      <c r="N12570" s="24"/>
      <c r="O12570" s="24"/>
      <c r="P12570" s="24"/>
      <c r="Q12570" s="24"/>
      <c r="R12570" s="24"/>
      <c r="S12570" s="24"/>
      <c r="T12570" s="24"/>
      <c r="U12570" s="24"/>
      <c r="V12570" s="24"/>
      <c r="W12570" s="24"/>
      <c r="X12570" s="24"/>
      <c r="Y12570" s="24"/>
      <c r="Z12570" s="24"/>
      <c r="AA12570" s="24"/>
    </row>
    <row r="12571">
      <c r="A12571" s="24"/>
      <c r="B12571" s="25"/>
      <c r="C12571" s="24"/>
      <c r="D12571" s="26"/>
      <c r="E12571" s="24"/>
      <c r="F12571" s="24"/>
      <c r="G12571" s="24"/>
      <c r="H12571" s="24"/>
      <c r="I12571" s="24"/>
      <c r="J12571" s="24"/>
      <c r="K12571" s="24"/>
      <c r="L12571" s="24"/>
      <c r="M12571" s="24"/>
      <c r="N12571" s="24"/>
      <c r="O12571" s="24"/>
      <c r="P12571" s="24"/>
      <c r="Q12571" s="24"/>
      <c r="R12571" s="24"/>
      <c r="S12571" s="24"/>
      <c r="T12571" s="24"/>
      <c r="U12571" s="24"/>
      <c r="V12571" s="24"/>
      <c r="W12571" s="24"/>
      <c r="X12571" s="24"/>
      <c r="Y12571" s="24"/>
      <c r="Z12571" s="24"/>
      <c r="AA12571" s="24"/>
    </row>
    <row r="12572">
      <c r="A12572" s="24"/>
      <c r="B12572" s="25"/>
      <c r="C12572" s="24"/>
      <c r="D12572" s="26"/>
      <c r="E12572" s="24"/>
      <c r="F12572" s="24"/>
      <c r="G12572" s="24"/>
      <c r="H12572" s="24"/>
      <c r="I12572" s="24"/>
      <c r="J12572" s="24"/>
      <c r="K12572" s="24"/>
      <c r="L12572" s="24"/>
      <c r="M12572" s="24"/>
      <c r="N12572" s="24"/>
      <c r="O12572" s="24"/>
      <c r="P12572" s="24"/>
      <c r="Q12572" s="24"/>
      <c r="R12572" s="24"/>
      <c r="S12572" s="24"/>
      <c r="T12572" s="24"/>
      <c r="U12572" s="24"/>
      <c r="V12572" s="24"/>
      <c r="W12572" s="24"/>
      <c r="X12572" s="24"/>
      <c r="Y12572" s="24"/>
      <c r="Z12572" s="24"/>
      <c r="AA12572" s="24"/>
    </row>
    <row r="12573">
      <c r="A12573" s="24"/>
      <c r="B12573" s="25"/>
      <c r="C12573" s="24"/>
      <c r="D12573" s="26"/>
      <c r="E12573" s="24"/>
      <c r="F12573" s="24"/>
      <c r="G12573" s="24"/>
      <c r="H12573" s="24"/>
      <c r="I12573" s="24"/>
      <c r="J12573" s="24"/>
      <c r="K12573" s="24"/>
      <c r="L12573" s="24"/>
      <c r="M12573" s="24"/>
      <c r="N12573" s="24"/>
      <c r="O12573" s="24"/>
      <c r="P12573" s="24"/>
      <c r="Q12573" s="24"/>
      <c r="R12573" s="24"/>
      <c r="S12573" s="24"/>
      <c r="T12573" s="24"/>
      <c r="U12573" s="24"/>
      <c r="V12573" s="24"/>
      <c r="W12573" s="24"/>
      <c r="X12573" s="24"/>
      <c r="Y12573" s="24"/>
      <c r="Z12573" s="24"/>
      <c r="AA12573" s="24"/>
    </row>
    <row r="12574">
      <c r="A12574" s="24"/>
      <c r="B12574" s="25"/>
      <c r="C12574" s="24"/>
      <c r="D12574" s="26"/>
      <c r="E12574" s="24"/>
      <c r="F12574" s="24"/>
      <c r="G12574" s="24"/>
      <c r="H12574" s="24"/>
      <c r="I12574" s="24"/>
      <c r="J12574" s="24"/>
      <c r="K12574" s="24"/>
      <c r="L12574" s="24"/>
      <c r="M12574" s="24"/>
      <c r="N12574" s="24"/>
      <c r="O12574" s="24"/>
      <c r="P12574" s="24"/>
      <c r="Q12574" s="24"/>
      <c r="R12574" s="24"/>
      <c r="S12574" s="24"/>
      <c r="T12574" s="24"/>
      <c r="U12574" s="24"/>
      <c r="V12574" s="24"/>
      <c r="W12574" s="24"/>
      <c r="X12574" s="24"/>
      <c r="Y12574" s="24"/>
      <c r="Z12574" s="24"/>
      <c r="AA12574" s="24"/>
    </row>
    <row r="12575">
      <c r="A12575" s="24"/>
      <c r="B12575" s="25"/>
      <c r="C12575" s="24"/>
      <c r="D12575" s="26"/>
      <c r="E12575" s="24"/>
      <c r="F12575" s="24"/>
      <c r="G12575" s="24"/>
      <c r="H12575" s="24"/>
      <c r="I12575" s="24"/>
      <c r="J12575" s="24"/>
      <c r="K12575" s="24"/>
      <c r="L12575" s="24"/>
      <c r="M12575" s="24"/>
      <c r="N12575" s="24"/>
      <c r="O12575" s="24"/>
      <c r="P12575" s="24"/>
      <c r="Q12575" s="24"/>
      <c r="R12575" s="24"/>
      <c r="S12575" s="24"/>
      <c r="T12575" s="24"/>
      <c r="U12575" s="24"/>
      <c r="V12575" s="24"/>
      <c r="W12575" s="24"/>
      <c r="X12575" s="24"/>
      <c r="Y12575" s="24"/>
      <c r="Z12575" s="24"/>
      <c r="AA12575" s="24"/>
    </row>
    <row r="12576">
      <c r="A12576" s="24"/>
      <c r="B12576" s="25"/>
      <c r="C12576" s="24"/>
      <c r="D12576" s="26"/>
      <c r="E12576" s="24"/>
      <c r="F12576" s="24"/>
      <c r="G12576" s="24"/>
      <c r="H12576" s="24"/>
      <c r="I12576" s="24"/>
      <c r="J12576" s="24"/>
      <c r="K12576" s="24"/>
      <c r="L12576" s="24"/>
      <c r="M12576" s="24"/>
      <c r="N12576" s="24"/>
      <c r="O12576" s="24"/>
      <c r="P12576" s="24"/>
      <c r="Q12576" s="24"/>
      <c r="R12576" s="24"/>
      <c r="S12576" s="24"/>
      <c r="T12576" s="24"/>
      <c r="U12576" s="24"/>
      <c r="V12576" s="24"/>
      <c r="W12576" s="24"/>
      <c r="X12576" s="24"/>
      <c r="Y12576" s="24"/>
      <c r="Z12576" s="24"/>
      <c r="AA12576" s="24"/>
    </row>
    <row r="12577">
      <c r="A12577" s="24"/>
      <c r="B12577" s="25"/>
      <c r="C12577" s="24"/>
      <c r="D12577" s="26"/>
      <c r="E12577" s="24"/>
      <c r="F12577" s="24"/>
      <c r="G12577" s="24"/>
      <c r="H12577" s="24"/>
      <c r="I12577" s="24"/>
      <c r="J12577" s="24"/>
      <c r="K12577" s="24"/>
      <c r="L12577" s="24"/>
      <c r="M12577" s="24"/>
      <c r="N12577" s="24"/>
      <c r="O12577" s="24"/>
      <c r="P12577" s="24"/>
      <c r="Q12577" s="24"/>
      <c r="R12577" s="24"/>
      <c r="S12577" s="24"/>
      <c r="T12577" s="24"/>
      <c r="U12577" s="24"/>
      <c r="V12577" s="24"/>
      <c r="W12577" s="24"/>
      <c r="X12577" s="24"/>
      <c r="Y12577" s="24"/>
      <c r="Z12577" s="24"/>
      <c r="AA12577" s="24"/>
    </row>
    <row r="12578">
      <c r="A12578" s="24"/>
      <c r="B12578" s="25"/>
      <c r="C12578" s="24"/>
      <c r="D12578" s="26"/>
      <c r="E12578" s="24"/>
      <c r="F12578" s="24"/>
      <c r="G12578" s="24"/>
      <c r="H12578" s="24"/>
      <c r="I12578" s="24"/>
      <c r="J12578" s="24"/>
      <c r="K12578" s="24"/>
      <c r="L12578" s="24"/>
      <c r="M12578" s="24"/>
      <c r="N12578" s="24"/>
      <c r="O12578" s="24"/>
      <c r="P12578" s="24"/>
      <c r="Q12578" s="24"/>
      <c r="R12578" s="24"/>
      <c r="S12578" s="24"/>
      <c r="T12578" s="24"/>
      <c r="U12578" s="24"/>
      <c r="V12578" s="24"/>
      <c r="W12578" s="24"/>
      <c r="X12578" s="24"/>
      <c r="Y12578" s="24"/>
      <c r="Z12578" s="24"/>
      <c r="AA12578" s="24"/>
    </row>
    <row r="12579">
      <c r="A12579" s="24"/>
      <c r="B12579" s="25"/>
      <c r="C12579" s="24"/>
      <c r="D12579" s="26"/>
      <c r="E12579" s="24"/>
      <c r="F12579" s="24"/>
      <c r="G12579" s="24"/>
      <c r="H12579" s="24"/>
      <c r="I12579" s="24"/>
      <c r="J12579" s="24"/>
      <c r="K12579" s="24"/>
      <c r="L12579" s="24"/>
      <c r="M12579" s="24"/>
      <c r="N12579" s="24"/>
      <c r="O12579" s="24"/>
      <c r="P12579" s="24"/>
      <c r="Q12579" s="24"/>
      <c r="R12579" s="24"/>
      <c r="S12579" s="24"/>
      <c r="T12579" s="24"/>
      <c r="U12579" s="24"/>
      <c r="V12579" s="24"/>
      <c r="W12579" s="24"/>
      <c r="X12579" s="24"/>
      <c r="Y12579" s="24"/>
      <c r="Z12579" s="24"/>
      <c r="AA12579" s="24"/>
    </row>
    <row r="12580">
      <c r="A12580" s="24"/>
      <c r="B12580" s="25"/>
      <c r="C12580" s="24"/>
      <c r="D12580" s="26"/>
      <c r="E12580" s="24"/>
      <c r="F12580" s="24"/>
      <c r="G12580" s="24"/>
      <c r="H12580" s="24"/>
      <c r="I12580" s="24"/>
      <c r="J12580" s="24"/>
      <c r="K12580" s="24"/>
      <c r="L12580" s="24"/>
      <c r="M12580" s="24"/>
      <c r="N12580" s="24"/>
      <c r="O12580" s="24"/>
      <c r="P12580" s="24"/>
      <c r="Q12580" s="24"/>
      <c r="R12580" s="24"/>
      <c r="S12580" s="24"/>
      <c r="T12580" s="24"/>
      <c r="U12580" s="24"/>
      <c r="V12580" s="24"/>
      <c r="W12580" s="24"/>
      <c r="X12580" s="24"/>
      <c r="Y12580" s="24"/>
      <c r="Z12580" s="24"/>
      <c r="AA12580" s="24"/>
    </row>
    <row r="12581">
      <c r="A12581" s="24"/>
      <c r="B12581" s="25"/>
      <c r="C12581" s="24"/>
      <c r="D12581" s="26"/>
      <c r="E12581" s="24"/>
      <c r="F12581" s="24"/>
      <c r="G12581" s="24"/>
      <c r="H12581" s="24"/>
      <c r="I12581" s="24"/>
      <c r="J12581" s="24"/>
      <c r="K12581" s="24"/>
      <c r="L12581" s="24"/>
      <c r="M12581" s="24"/>
      <c r="N12581" s="24"/>
      <c r="O12581" s="24"/>
      <c r="P12581" s="24"/>
      <c r="Q12581" s="24"/>
      <c r="R12581" s="24"/>
      <c r="S12581" s="24"/>
      <c r="T12581" s="24"/>
      <c r="U12581" s="24"/>
      <c r="V12581" s="24"/>
      <c r="W12581" s="24"/>
      <c r="X12581" s="24"/>
      <c r="Y12581" s="24"/>
      <c r="Z12581" s="24"/>
      <c r="AA12581" s="24"/>
    </row>
    <row r="12582">
      <c r="A12582" s="24"/>
      <c r="B12582" s="25"/>
      <c r="C12582" s="24"/>
      <c r="D12582" s="26"/>
      <c r="E12582" s="24"/>
      <c r="F12582" s="24"/>
      <c r="G12582" s="24"/>
      <c r="H12582" s="24"/>
      <c r="I12582" s="24"/>
      <c r="J12582" s="24"/>
      <c r="K12582" s="24"/>
      <c r="L12582" s="24"/>
      <c r="M12582" s="24"/>
      <c r="N12582" s="24"/>
      <c r="O12582" s="24"/>
      <c r="P12582" s="24"/>
      <c r="Q12582" s="24"/>
      <c r="R12582" s="24"/>
      <c r="S12582" s="24"/>
      <c r="T12582" s="24"/>
      <c r="U12582" s="24"/>
      <c r="V12582" s="24"/>
      <c r="W12582" s="24"/>
      <c r="X12582" s="24"/>
      <c r="Y12582" s="24"/>
      <c r="Z12582" s="24"/>
      <c r="AA12582" s="24"/>
    </row>
    <row r="12583">
      <c r="A12583" s="24"/>
      <c r="B12583" s="25"/>
      <c r="C12583" s="24"/>
      <c r="D12583" s="26"/>
      <c r="E12583" s="24"/>
      <c r="F12583" s="24"/>
      <c r="G12583" s="24"/>
      <c r="H12583" s="24"/>
      <c r="I12583" s="24"/>
      <c r="J12583" s="24"/>
      <c r="K12583" s="24"/>
      <c r="L12583" s="24"/>
      <c r="M12583" s="24"/>
      <c r="N12583" s="24"/>
      <c r="O12583" s="24"/>
      <c r="P12583" s="24"/>
      <c r="Q12583" s="24"/>
      <c r="R12583" s="24"/>
      <c r="S12583" s="24"/>
      <c r="T12583" s="24"/>
      <c r="U12583" s="24"/>
      <c r="V12583" s="24"/>
      <c r="W12583" s="24"/>
      <c r="X12583" s="24"/>
      <c r="Y12583" s="24"/>
      <c r="Z12583" s="24"/>
      <c r="AA12583" s="24"/>
    </row>
    <row r="12584">
      <c r="A12584" s="24"/>
      <c r="B12584" s="25"/>
      <c r="C12584" s="24"/>
      <c r="D12584" s="26"/>
      <c r="E12584" s="24"/>
      <c r="F12584" s="24"/>
      <c r="G12584" s="24"/>
      <c r="H12584" s="24"/>
      <c r="I12584" s="24"/>
      <c r="J12584" s="24"/>
      <c r="K12584" s="24"/>
      <c r="L12584" s="24"/>
      <c r="M12584" s="24"/>
      <c r="N12584" s="24"/>
      <c r="O12584" s="24"/>
      <c r="P12584" s="24"/>
      <c r="Q12584" s="24"/>
      <c r="R12584" s="24"/>
      <c r="S12584" s="24"/>
      <c r="T12584" s="24"/>
      <c r="U12584" s="24"/>
      <c r="V12584" s="24"/>
      <c r="W12584" s="24"/>
      <c r="X12584" s="24"/>
      <c r="Y12584" s="24"/>
      <c r="Z12584" s="24"/>
      <c r="AA12584" s="24"/>
    </row>
    <row r="12585">
      <c r="A12585" s="24"/>
      <c r="B12585" s="25"/>
      <c r="C12585" s="24"/>
      <c r="D12585" s="26"/>
      <c r="E12585" s="24"/>
      <c r="F12585" s="24"/>
      <c r="G12585" s="24"/>
      <c r="H12585" s="24"/>
      <c r="I12585" s="24"/>
      <c r="J12585" s="24"/>
      <c r="K12585" s="24"/>
      <c r="L12585" s="24"/>
      <c r="M12585" s="24"/>
      <c r="N12585" s="24"/>
      <c r="O12585" s="24"/>
      <c r="P12585" s="24"/>
      <c r="Q12585" s="24"/>
      <c r="R12585" s="24"/>
      <c r="S12585" s="24"/>
      <c r="T12585" s="24"/>
      <c r="U12585" s="24"/>
      <c r="V12585" s="24"/>
      <c r="W12585" s="24"/>
      <c r="X12585" s="24"/>
      <c r="Y12585" s="24"/>
      <c r="Z12585" s="24"/>
      <c r="AA12585" s="24"/>
    </row>
    <row r="12586">
      <c r="A12586" s="24"/>
      <c r="B12586" s="25"/>
      <c r="C12586" s="24"/>
      <c r="D12586" s="26"/>
      <c r="E12586" s="24"/>
      <c r="F12586" s="24"/>
      <c r="G12586" s="24"/>
      <c r="H12586" s="24"/>
      <c r="I12586" s="24"/>
      <c r="J12586" s="24"/>
      <c r="K12586" s="24"/>
      <c r="L12586" s="24"/>
      <c r="M12586" s="24"/>
      <c r="N12586" s="24"/>
      <c r="O12586" s="24"/>
      <c r="P12586" s="24"/>
      <c r="Q12586" s="24"/>
      <c r="R12586" s="24"/>
      <c r="S12586" s="24"/>
      <c r="T12586" s="24"/>
      <c r="U12586" s="24"/>
      <c r="V12586" s="24"/>
      <c r="W12586" s="24"/>
      <c r="X12586" s="24"/>
      <c r="Y12586" s="24"/>
      <c r="Z12586" s="24"/>
      <c r="AA12586" s="24"/>
    </row>
    <row r="12587">
      <c r="A12587" s="24"/>
      <c r="B12587" s="25"/>
      <c r="C12587" s="24"/>
      <c r="D12587" s="26"/>
      <c r="E12587" s="24"/>
      <c r="F12587" s="24"/>
      <c r="G12587" s="24"/>
      <c r="H12587" s="24"/>
      <c r="I12587" s="24"/>
      <c r="J12587" s="24"/>
      <c r="K12587" s="24"/>
      <c r="L12587" s="24"/>
      <c r="M12587" s="24"/>
      <c r="N12587" s="24"/>
      <c r="O12587" s="24"/>
      <c r="P12587" s="24"/>
      <c r="Q12587" s="24"/>
      <c r="R12587" s="24"/>
      <c r="S12587" s="24"/>
      <c r="T12587" s="24"/>
      <c r="U12587" s="24"/>
      <c r="V12587" s="24"/>
      <c r="W12587" s="24"/>
      <c r="X12587" s="24"/>
      <c r="Y12587" s="24"/>
      <c r="Z12587" s="24"/>
      <c r="AA12587" s="24"/>
    </row>
    <row r="12588">
      <c r="A12588" s="24"/>
      <c r="B12588" s="25"/>
      <c r="C12588" s="24"/>
      <c r="D12588" s="26"/>
      <c r="E12588" s="24"/>
      <c r="F12588" s="24"/>
      <c r="G12588" s="24"/>
      <c r="H12588" s="24"/>
      <c r="I12588" s="24"/>
      <c r="J12588" s="24"/>
      <c r="K12588" s="24"/>
      <c r="L12588" s="24"/>
      <c r="M12588" s="24"/>
      <c r="N12588" s="24"/>
      <c r="O12588" s="24"/>
      <c r="P12588" s="24"/>
      <c r="Q12588" s="24"/>
      <c r="R12588" s="24"/>
      <c r="S12588" s="24"/>
      <c r="T12588" s="24"/>
      <c r="U12588" s="24"/>
      <c r="V12588" s="24"/>
      <c r="W12588" s="24"/>
      <c r="X12588" s="24"/>
      <c r="Y12588" s="24"/>
      <c r="Z12588" s="24"/>
      <c r="AA12588" s="24"/>
    </row>
    <row r="12589">
      <c r="A12589" s="24"/>
      <c r="B12589" s="25"/>
      <c r="C12589" s="24"/>
      <c r="D12589" s="26"/>
      <c r="E12589" s="24"/>
      <c r="F12589" s="24"/>
      <c r="G12589" s="24"/>
      <c r="H12589" s="24"/>
      <c r="I12589" s="24"/>
      <c r="J12589" s="24"/>
      <c r="K12589" s="24"/>
      <c r="L12589" s="24"/>
      <c r="M12589" s="24"/>
      <c r="N12589" s="24"/>
      <c r="O12589" s="24"/>
      <c r="P12589" s="24"/>
      <c r="Q12589" s="24"/>
      <c r="R12589" s="24"/>
      <c r="S12589" s="24"/>
      <c r="T12589" s="24"/>
      <c r="U12589" s="24"/>
      <c r="V12589" s="24"/>
      <c r="W12589" s="24"/>
      <c r="X12589" s="24"/>
      <c r="Y12589" s="24"/>
      <c r="Z12589" s="24"/>
      <c r="AA12589" s="24"/>
    </row>
    <row r="12590">
      <c r="A12590" s="24"/>
      <c r="B12590" s="25"/>
      <c r="C12590" s="24"/>
      <c r="D12590" s="26"/>
      <c r="E12590" s="24"/>
      <c r="F12590" s="24"/>
      <c r="G12590" s="24"/>
      <c r="H12590" s="24"/>
      <c r="I12590" s="24"/>
      <c r="J12590" s="24"/>
      <c r="K12590" s="24"/>
      <c r="L12590" s="24"/>
      <c r="M12590" s="24"/>
      <c r="N12590" s="24"/>
      <c r="O12590" s="24"/>
      <c r="P12590" s="24"/>
      <c r="Q12590" s="24"/>
      <c r="R12590" s="24"/>
      <c r="S12590" s="24"/>
      <c r="T12590" s="24"/>
      <c r="U12590" s="24"/>
      <c r="V12590" s="24"/>
      <c r="W12590" s="24"/>
      <c r="X12590" s="24"/>
      <c r="Y12590" s="24"/>
      <c r="Z12590" s="24"/>
      <c r="AA12590" s="24"/>
    </row>
    <row r="12591">
      <c r="A12591" s="24"/>
      <c r="B12591" s="25"/>
      <c r="C12591" s="24"/>
      <c r="D12591" s="26"/>
      <c r="E12591" s="24"/>
      <c r="F12591" s="24"/>
      <c r="G12591" s="24"/>
      <c r="H12591" s="24"/>
      <c r="I12591" s="24"/>
      <c r="J12591" s="24"/>
      <c r="K12591" s="24"/>
      <c r="L12591" s="24"/>
      <c r="M12591" s="24"/>
      <c r="N12591" s="24"/>
      <c r="O12591" s="24"/>
      <c r="P12591" s="24"/>
      <c r="Q12591" s="24"/>
      <c r="R12591" s="24"/>
      <c r="S12591" s="24"/>
      <c r="T12591" s="24"/>
      <c r="U12591" s="24"/>
      <c r="V12591" s="24"/>
      <c r="W12591" s="24"/>
      <c r="X12591" s="24"/>
      <c r="Y12591" s="24"/>
      <c r="Z12591" s="24"/>
      <c r="AA12591" s="24"/>
    </row>
    <row r="12592">
      <c r="A12592" s="24"/>
      <c r="B12592" s="25"/>
      <c r="C12592" s="24"/>
      <c r="D12592" s="26"/>
      <c r="E12592" s="24"/>
      <c r="F12592" s="24"/>
      <c r="G12592" s="24"/>
      <c r="H12592" s="24"/>
      <c r="I12592" s="24"/>
      <c r="J12592" s="24"/>
      <c r="K12592" s="24"/>
      <c r="L12592" s="24"/>
      <c r="M12592" s="24"/>
      <c r="N12592" s="24"/>
      <c r="O12592" s="24"/>
      <c r="P12592" s="24"/>
      <c r="Q12592" s="24"/>
      <c r="R12592" s="24"/>
      <c r="S12592" s="24"/>
      <c r="T12592" s="24"/>
      <c r="U12592" s="24"/>
      <c r="V12592" s="24"/>
      <c r="W12592" s="24"/>
      <c r="X12592" s="24"/>
      <c r="Y12592" s="24"/>
      <c r="Z12592" s="24"/>
      <c r="AA12592" s="24"/>
    </row>
    <row r="12593">
      <c r="A12593" s="24"/>
      <c r="B12593" s="25"/>
      <c r="C12593" s="24"/>
      <c r="D12593" s="26"/>
      <c r="E12593" s="24"/>
      <c r="F12593" s="24"/>
      <c r="G12593" s="24"/>
      <c r="H12593" s="24"/>
      <c r="I12593" s="24"/>
      <c r="J12593" s="24"/>
      <c r="K12593" s="24"/>
      <c r="L12593" s="24"/>
      <c r="M12593" s="24"/>
      <c r="N12593" s="24"/>
      <c r="O12593" s="24"/>
      <c r="P12593" s="24"/>
      <c r="Q12593" s="24"/>
      <c r="R12593" s="24"/>
      <c r="S12593" s="24"/>
      <c r="T12593" s="24"/>
      <c r="U12593" s="24"/>
      <c r="V12593" s="24"/>
      <c r="W12593" s="24"/>
      <c r="X12593" s="24"/>
      <c r="Y12593" s="24"/>
      <c r="Z12593" s="24"/>
      <c r="AA12593" s="24"/>
    </row>
    <row r="12594">
      <c r="A12594" s="24"/>
      <c r="B12594" s="25"/>
      <c r="C12594" s="24"/>
      <c r="D12594" s="26"/>
      <c r="E12594" s="24"/>
      <c r="F12594" s="24"/>
      <c r="G12594" s="24"/>
      <c r="H12594" s="24"/>
      <c r="I12594" s="24"/>
      <c r="J12594" s="24"/>
      <c r="K12594" s="24"/>
      <c r="L12594" s="24"/>
      <c r="M12594" s="24"/>
      <c r="N12594" s="24"/>
      <c r="O12594" s="24"/>
      <c r="P12594" s="24"/>
      <c r="Q12594" s="24"/>
      <c r="R12594" s="24"/>
      <c r="S12594" s="24"/>
      <c r="T12594" s="24"/>
      <c r="U12594" s="24"/>
      <c r="V12594" s="24"/>
      <c r="W12594" s="24"/>
      <c r="X12594" s="24"/>
      <c r="Y12594" s="24"/>
      <c r="Z12594" s="24"/>
      <c r="AA12594" s="24"/>
    </row>
    <row r="12595">
      <c r="A12595" s="24"/>
      <c r="B12595" s="25"/>
      <c r="C12595" s="24"/>
      <c r="D12595" s="26"/>
      <c r="E12595" s="24"/>
      <c r="F12595" s="24"/>
      <c r="G12595" s="24"/>
      <c r="H12595" s="24"/>
      <c r="I12595" s="24"/>
      <c r="J12595" s="24"/>
      <c r="K12595" s="24"/>
      <c r="L12595" s="24"/>
      <c r="M12595" s="24"/>
      <c r="N12595" s="24"/>
      <c r="O12595" s="24"/>
      <c r="P12595" s="24"/>
      <c r="Q12595" s="24"/>
      <c r="R12595" s="24"/>
      <c r="S12595" s="24"/>
      <c r="T12595" s="24"/>
      <c r="U12595" s="24"/>
      <c r="V12595" s="24"/>
      <c r="W12595" s="24"/>
      <c r="X12595" s="24"/>
      <c r="Y12595" s="24"/>
      <c r="Z12595" s="24"/>
      <c r="AA12595" s="24"/>
    </row>
    <row r="12596">
      <c r="A12596" s="24"/>
      <c r="B12596" s="25"/>
      <c r="C12596" s="24"/>
      <c r="D12596" s="26"/>
      <c r="E12596" s="24"/>
      <c r="F12596" s="24"/>
      <c r="G12596" s="24"/>
      <c r="H12596" s="24"/>
      <c r="I12596" s="24"/>
      <c r="J12596" s="24"/>
      <c r="K12596" s="24"/>
      <c r="L12596" s="24"/>
      <c r="M12596" s="24"/>
      <c r="N12596" s="24"/>
      <c r="O12596" s="24"/>
      <c r="P12596" s="24"/>
      <c r="Q12596" s="24"/>
      <c r="R12596" s="24"/>
      <c r="S12596" s="24"/>
      <c r="T12596" s="24"/>
      <c r="U12596" s="24"/>
      <c r="V12596" s="24"/>
      <c r="W12596" s="24"/>
      <c r="X12596" s="24"/>
      <c r="Y12596" s="24"/>
      <c r="Z12596" s="24"/>
      <c r="AA12596" s="24"/>
    </row>
    <row r="12597">
      <c r="A12597" s="24"/>
      <c r="B12597" s="25"/>
      <c r="C12597" s="24"/>
      <c r="D12597" s="26"/>
      <c r="E12597" s="24"/>
      <c r="F12597" s="24"/>
      <c r="G12597" s="24"/>
      <c r="H12597" s="24"/>
      <c r="I12597" s="24"/>
      <c r="J12597" s="24"/>
      <c r="K12597" s="24"/>
      <c r="L12597" s="24"/>
      <c r="M12597" s="24"/>
      <c r="N12597" s="24"/>
      <c r="O12597" s="24"/>
      <c r="P12597" s="24"/>
      <c r="Q12597" s="24"/>
      <c r="R12597" s="24"/>
      <c r="S12597" s="24"/>
      <c r="T12597" s="24"/>
      <c r="U12597" s="24"/>
      <c r="V12597" s="24"/>
      <c r="W12597" s="24"/>
      <c r="X12597" s="24"/>
      <c r="Y12597" s="24"/>
      <c r="Z12597" s="24"/>
      <c r="AA12597" s="24"/>
    </row>
    <row r="12598">
      <c r="A12598" s="24"/>
      <c r="B12598" s="25"/>
      <c r="C12598" s="24"/>
      <c r="D12598" s="26"/>
      <c r="E12598" s="24"/>
      <c r="F12598" s="24"/>
      <c r="G12598" s="24"/>
      <c r="H12598" s="24"/>
      <c r="I12598" s="24"/>
      <c r="J12598" s="24"/>
      <c r="K12598" s="24"/>
      <c r="L12598" s="24"/>
      <c r="M12598" s="24"/>
      <c r="N12598" s="24"/>
      <c r="O12598" s="24"/>
      <c r="P12598" s="24"/>
      <c r="Q12598" s="24"/>
      <c r="R12598" s="24"/>
      <c r="S12598" s="24"/>
      <c r="T12598" s="24"/>
      <c r="U12598" s="24"/>
      <c r="V12598" s="24"/>
      <c r="W12598" s="24"/>
      <c r="X12598" s="24"/>
      <c r="Y12598" s="24"/>
      <c r="Z12598" s="24"/>
      <c r="AA12598" s="24"/>
    </row>
    <row r="12599">
      <c r="A12599" s="24"/>
      <c r="B12599" s="25"/>
      <c r="C12599" s="24"/>
      <c r="D12599" s="26"/>
      <c r="E12599" s="24"/>
      <c r="F12599" s="24"/>
      <c r="G12599" s="24"/>
      <c r="H12599" s="24"/>
      <c r="I12599" s="24"/>
      <c r="J12599" s="24"/>
      <c r="K12599" s="24"/>
      <c r="L12599" s="24"/>
      <c r="M12599" s="24"/>
      <c r="N12599" s="24"/>
      <c r="O12599" s="24"/>
      <c r="P12599" s="24"/>
      <c r="Q12599" s="24"/>
      <c r="R12599" s="24"/>
      <c r="S12599" s="24"/>
      <c r="T12599" s="24"/>
      <c r="U12599" s="24"/>
      <c r="V12599" s="24"/>
      <c r="W12599" s="24"/>
      <c r="X12599" s="24"/>
      <c r="Y12599" s="24"/>
      <c r="Z12599" s="24"/>
      <c r="AA12599" s="24"/>
    </row>
    <row r="12600">
      <c r="A12600" s="24"/>
      <c r="B12600" s="25"/>
      <c r="C12600" s="24"/>
      <c r="D12600" s="26"/>
      <c r="E12600" s="24"/>
      <c r="F12600" s="24"/>
      <c r="G12600" s="24"/>
      <c r="H12600" s="24"/>
      <c r="I12600" s="24"/>
      <c r="J12600" s="24"/>
      <c r="K12600" s="24"/>
      <c r="L12600" s="24"/>
      <c r="M12600" s="24"/>
      <c r="N12600" s="24"/>
      <c r="O12600" s="24"/>
      <c r="P12600" s="24"/>
      <c r="Q12600" s="24"/>
      <c r="R12600" s="24"/>
      <c r="S12600" s="24"/>
      <c r="T12600" s="24"/>
      <c r="U12600" s="24"/>
      <c r="V12600" s="24"/>
      <c r="W12600" s="24"/>
      <c r="X12600" s="24"/>
      <c r="Y12600" s="24"/>
      <c r="Z12600" s="24"/>
      <c r="AA12600" s="24"/>
    </row>
    <row r="12601">
      <c r="A12601" s="24"/>
      <c r="B12601" s="25"/>
      <c r="C12601" s="24"/>
      <c r="D12601" s="26"/>
      <c r="E12601" s="24"/>
      <c r="F12601" s="24"/>
      <c r="G12601" s="24"/>
      <c r="H12601" s="24"/>
      <c r="I12601" s="24"/>
      <c r="J12601" s="24"/>
      <c r="K12601" s="24"/>
      <c r="L12601" s="24"/>
      <c r="M12601" s="24"/>
      <c r="N12601" s="24"/>
      <c r="O12601" s="24"/>
      <c r="P12601" s="24"/>
      <c r="Q12601" s="24"/>
      <c r="R12601" s="24"/>
      <c r="S12601" s="24"/>
      <c r="T12601" s="24"/>
      <c r="U12601" s="24"/>
      <c r="V12601" s="24"/>
      <c r="W12601" s="24"/>
      <c r="X12601" s="24"/>
      <c r="Y12601" s="24"/>
      <c r="Z12601" s="24"/>
      <c r="AA12601" s="24"/>
    </row>
    <row r="12602">
      <c r="A12602" s="24"/>
      <c r="B12602" s="25"/>
      <c r="C12602" s="24"/>
      <c r="D12602" s="26"/>
      <c r="E12602" s="24"/>
      <c r="F12602" s="24"/>
      <c r="G12602" s="24"/>
      <c r="H12602" s="24"/>
      <c r="I12602" s="24"/>
      <c r="J12602" s="24"/>
      <c r="K12602" s="24"/>
      <c r="L12602" s="24"/>
      <c r="M12602" s="24"/>
      <c r="N12602" s="24"/>
      <c r="O12602" s="24"/>
      <c r="P12602" s="24"/>
      <c r="Q12602" s="24"/>
      <c r="R12602" s="24"/>
      <c r="S12602" s="24"/>
      <c r="T12602" s="24"/>
      <c r="U12602" s="24"/>
      <c r="V12602" s="24"/>
      <c r="W12602" s="24"/>
      <c r="X12602" s="24"/>
      <c r="Y12602" s="24"/>
      <c r="Z12602" s="24"/>
      <c r="AA12602" s="24"/>
    </row>
    <row r="12603">
      <c r="A12603" s="24"/>
      <c r="B12603" s="25"/>
      <c r="C12603" s="24"/>
      <c r="D12603" s="26"/>
      <c r="E12603" s="24"/>
      <c r="F12603" s="24"/>
      <c r="G12603" s="24"/>
      <c r="H12603" s="24"/>
      <c r="I12603" s="24"/>
      <c r="J12603" s="24"/>
      <c r="K12603" s="24"/>
      <c r="L12603" s="24"/>
      <c r="M12603" s="24"/>
      <c r="N12603" s="24"/>
      <c r="O12603" s="24"/>
      <c r="P12603" s="24"/>
      <c r="Q12603" s="24"/>
      <c r="R12603" s="24"/>
      <c r="S12603" s="24"/>
      <c r="T12603" s="24"/>
      <c r="U12603" s="24"/>
      <c r="V12603" s="24"/>
      <c r="W12603" s="24"/>
      <c r="X12603" s="24"/>
      <c r="Y12603" s="24"/>
      <c r="Z12603" s="24"/>
      <c r="AA12603" s="24"/>
    </row>
    <row r="12604">
      <c r="A12604" s="24"/>
      <c r="B12604" s="25"/>
      <c r="C12604" s="24"/>
      <c r="D12604" s="26"/>
      <c r="E12604" s="24"/>
      <c r="F12604" s="24"/>
      <c r="G12604" s="24"/>
      <c r="H12604" s="24"/>
      <c r="I12604" s="24"/>
      <c r="J12604" s="24"/>
      <c r="K12604" s="24"/>
      <c r="L12604" s="24"/>
      <c r="M12604" s="24"/>
      <c r="N12604" s="24"/>
      <c r="O12604" s="24"/>
      <c r="P12604" s="24"/>
      <c r="Q12604" s="24"/>
      <c r="R12604" s="24"/>
      <c r="S12604" s="24"/>
      <c r="T12604" s="24"/>
      <c r="U12604" s="24"/>
      <c r="V12604" s="24"/>
      <c r="W12604" s="24"/>
      <c r="X12604" s="24"/>
      <c r="Y12604" s="24"/>
      <c r="Z12604" s="24"/>
      <c r="AA12604" s="24"/>
    </row>
    <row r="12605">
      <c r="A12605" s="24"/>
      <c r="B12605" s="25"/>
      <c r="C12605" s="24"/>
      <c r="D12605" s="26"/>
      <c r="E12605" s="24"/>
      <c r="F12605" s="24"/>
      <c r="G12605" s="24"/>
      <c r="H12605" s="24"/>
      <c r="I12605" s="24"/>
      <c r="J12605" s="24"/>
      <c r="K12605" s="24"/>
      <c r="L12605" s="24"/>
      <c r="M12605" s="24"/>
      <c r="N12605" s="24"/>
      <c r="O12605" s="24"/>
      <c r="P12605" s="24"/>
      <c r="Q12605" s="24"/>
      <c r="R12605" s="24"/>
      <c r="S12605" s="24"/>
      <c r="T12605" s="24"/>
      <c r="U12605" s="24"/>
      <c r="V12605" s="24"/>
      <c r="W12605" s="24"/>
      <c r="X12605" s="24"/>
      <c r="Y12605" s="24"/>
      <c r="Z12605" s="24"/>
      <c r="AA12605" s="24"/>
    </row>
    <row r="12606">
      <c r="A12606" s="24"/>
      <c r="B12606" s="25"/>
      <c r="C12606" s="24"/>
      <c r="D12606" s="26"/>
      <c r="E12606" s="24"/>
      <c r="F12606" s="24"/>
      <c r="G12606" s="24"/>
      <c r="H12606" s="24"/>
      <c r="I12606" s="24"/>
      <c r="J12606" s="24"/>
      <c r="K12606" s="24"/>
      <c r="L12606" s="24"/>
      <c r="M12606" s="24"/>
      <c r="N12606" s="24"/>
      <c r="O12606" s="24"/>
      <c r="P12606" s="24"/>
      <c r="Q12606" s="24"/>
      <c r="R12606" s="24"/>
      <c r="S12606" s="24"/>
      <c r="T12606" s="24"/>
      <c r="U12606" s="24"/>
      <c r="V12606" s="24"/>
      <c r="W12606" s="24"/>
      <c r="X12606" s="24"/>
      <c r="Y12606" s="24"/>
      <c r="Z12606" s="24"/>
      <c r="AA12606" s="24"/>
    </row>
    <row r="12607">
      <c r="A12607" s="24"/>
      <c r="B12607" s="25"/>
      <c r="C12607" s="24"/>
      <c r="D12607" s="26"/>
      <c r="E12607" s="24"/>
      <c r="F12607" s="24"/>
      <c r="G12607" s="24"/>
      <c r="H12607" s="24"/>
      <c r="I12607" s="24"/>
      <c r="J12607" s="24"/>
      <c r="K12607" s="24"/>
      <c r="L12607" s="24"/>
      <c r="M12607" s="24"/>
      <c r="N12607" s="24"/>
      <c r="O12607" s="24"/>
      <c r="P12607" s="24"/>
      <c r="Q12607" s="24"/>
      <c r="R12607" s="24"/>
      <c r="S12607" s="24"/>
      <c r="T12607" s="24"/>
      <c r="U12607" s="24"/>
      <c r="V12607" s="24"/>
      <c r="W12607" s="24"/>
      <c r="X12607" s="24"/>
      <c r="Y12607" s="24"/>
      <c r="Z12607" s="24"/>
      <c r="AA12607" s="24"/>
    </row>
    <row r="12608">
      <c r="A12608" s="24"/>
      <c r="B12608" s="25"/>
      <c r="C12608" s="24"/>
      <c r="D12608" s="26"/>
      <c r="E12608" s="24"/>
      <c r="F12608" s="24"/>
      <c r="G12608" s="24"/>
      <c r="H12608" s="24"/>
      <c r="I12608" s="24"/>
      <c r="J12608" s="24"/>
      <c r="K12608" s="24"/>
      <c r="L12608" s="24"/>
      <c r="M12608" s="24"/>
      <c r="N12608" s="24"/>
      <c r="O12608" s="24"/>
      <c r="P12608" s="24"/>
      <c r="Q12608" s="24"/>
      <c r="R12608" s="24"/>
      <c r="S12608" s="24"/>
      <c r="T12608" s="24"/>
      <c r="U12608" s="24"/>
      <c r="V12608" s="24"/>
      <c r="W12608" s="24"/>
      <c r="X12608" s="24"/>
      <c r="Y12608" s="24"/>
      <c r="Z12608" s="24"/>
      <c r="AA12608" s="24"/>
    </row>
    <row r="12609">
      <c r="A12609" s="24"/>
      <c r="B12609" s="25"/>
      <c r="C12609" s="24"/>
      <c r="D12609" s="26"/>
      <c r="E12609" s="24"/>
      <c r="F12609" s="24"/>
      <c r="G12609" s="24"/>
      <c r="H12609" s="24"/>
      <c r="I12609" s="24"/>
      <c r="J12609" s="24"/>
      <c r="K12609" s="24"/>
      <c r="L12609" s="24"/>
      <c r="M12609" s="24"/>
      <c r="N12609" s="24"/>
      <c r="O12609" s="24"/>
      <c r="P12609" s="24"/>
      <c r="Q12609" s="24"/>
      <c r="R12609" s="24"/>
      <c r="S12609" s="24"/>
      <c r="T12609" s="24"/>
      <c r="U12609" s="24"/>
      <c r="V12609" s="24"/>
      <c r="W12609" s="24"/>
      <c r="X12609" s="24"/>
      <c r="Y12609" s="24"/>
      <c r="Z12609" s="24"/>
      <c r="AA12609" s="24"/>
    </row>
    <row r="12610">
      <c r="A12610" s="24"/>
      <c r="B12610" s="25"/>
      <c r="C12610" s="24"/>
      <c r="D12610" s="26"/>
      <c r="E12610" s="24"/>
      <c r="F12610" s="24"/>
      <c r="G12610" s="24"/>
      <c r="H12610" s="24"/>
      <c r="I12610" s="24"/>
      <c r="J12610" s="24"/>
      <c r="K12610" s="24"/>
      <c r="L12610" s="24"/>
      <c r="M12610" s="24"/>
      <c r="N12610" s="24"/>
      <c r="O12610" s="24"/>
      <c r="P12610" s="24"/>
      <c r="Q12610" s="24"/>
      <c r="R12610" s="24"/>
      <c r="S12610" s="24"/>
      <c r="T12610" s="24"/>
      <c r="U12610" s="24"/>
      <c r="V12610" s="24"/>
      <c r="W12610" s="24"/>
      <c r="X12610" s="24"/>
      <c r="Y12610" s="24"/>
      <c r="Z12610" s="24"/>
      <c r="AA12610" s="24"/>
    </row>
    <row r="12611">
      <c r="A12611" s="24"/>
      <c r="B12611" s="25"/>
      <c r="C12611" s="24"/>
      <c r="D12611" s="26"/>
      <c r="E12611" s="24"/>
      <c r="F12611" s="24"/>
      <c r="G12611" s="24"/>
      <c r="H12611" s="24"/>
      <c r="I12611" s="24"/>
      <c r="J12611" s="24"/>
      <c r="K12611" s="24"/>
      <c r="L12611" s="24"/>
      <c r="M12611" s="24"/>
      <c r="N12611" s="24"/>
      <c r="O12611" s="24"/>
      <c r="P12611" s="24"/>
      <c r="Q12611" s="24"/>
      <c r="R12611" s="24"/>
      <c r="S12611" s="24"/>
      <c r="T12611" s="24"/>
      <c r="U12611" s="24"/>
      <c r="V12611" s="24"/>
      <c r="W12611" s="24"/>
      <c r="X12611" s="24"/>
      <c r="Y12611" s="24"/>
      <c r="Z12611" s="24"/>
      <c r="AA12611" s="24"/>
    </row>
    <row r="12612">
      <c r="A12612" s="24"/>
      <c r="B12612" s="25"/>
      <c r="C12612" s="24"/>
      <c r="D12612" s="26"/>
      <c r="E12612" s="24"/>
      <c r="F12612" s="24"/>
      <c r="G12612" s="24"/>
      <c r="H12612" s="24"/>
      <c r="I12612" s="24"/>
      <c r="J12612" s="24"/>
      <c r="K12612" s="24"/>
      <c r="L12612" s="24"/>
      <c r="M12612" s="24"/>
      <c r="N12612" s="24"/>
      <c r="O12612" s="24"/>
      <c r="P12612" s="24"/>
      <c r="Q12612" s="24"/>
      <c r="R12612" s="24"/>
      <c r="S12612" s="24"/>
      <c r="T12612" s="24"/>
      <c r="U12612" s="24"/>
      <c r="V12612" s="24"/>
      <c r="W12612" s="24"/>
      <c r="X12612" s="24"/>
      <c r="Y12612" s="24"/>
      <c r="Z12612" s="24"/>
      <c r="AA12612" s="24"/>
    </row>
    <row r="12613">
      <c r="A12613" s="24"/>
      <c r="B12613" s="25"/>
      <c r="C12613" s="24"/>
      <c r="D12613" s="26"/>
      <c r="E12613" s="24"/>
      <c r="F12613" s="24"/>
      <c r="G12613" s="24"/>
      <c r="H12613" s="24"/>
      <c r="I12613" s="24"/>
      <c r="J12613" s="24"/>
      <c r="K12613" s="24"/>
      <c r="L12613" s="24"/>
      <c r="M12613" s="24"/>
      <c r="N12613" s="24"/>
      <c r="O12613" s="24"/>
      <c r="P12613" s="24"/>
      <c r="Q12613" s="24"/>
      <c r="R12613" s="24"/>
      <c r="S12613" s="24"/>
      <c r="T12613" s="24"/>
      <c r="U12613" s="24"/>
      <c r="V12613" s="24"/>
      <c r="W12613" s="24"/>
      <c r="X12613" s="24"/>
      <c r="Y12613" s="24"/>
      <c r="Z12613" s="24"/>
      <c r="AA12613" s="24"/>
    </row>
    <row r="12614">
      <c r="A12614" s="24"/>
      <c r="B12614" s="25"/>
      <c r="C12614" s="24"/>
      <c r="D12614" s="26"/>
      <c r="E12614" s="24"/>
      <c r="F12614" s="24"/>
      <c r="G12614" s="24"/>
      <c r="H12614" s="24"/>
      <c r="I12614" s="24"/>
      <c r="J12614" s="24"/>
      <c r="K12614" s="24"/>
      <c r="L12614" s="24"/>
      <c r="M12614" s="24"/>
      <c r="N12614" s="24"/>
      <c r="O12614" s="24"/>
      <c r="P12614" s="24"/>
      <c r="Q12614" s="24"/>
      <c r="R12614" s="24"/>
      <c r="S12614" s="24"/>
      <c r="T12614" s="24"/>
      <c r="U12614" s="24"/>
      <c r="V12614" s="24"/>
      <c r="W12614" s="24"/>
      <c r="X12614" s="24"/>
      <c r="Y12614" s="24"/>
      <c r="Z12614" s="24"/>
      <c r="AA12614" s="24"/>
    </row>
    <row r="12615">
      <c r="A12615" s="24"/>
      <c r="B12615" s="25"/>
      <c r="C12615" s="24"/>
      <c r="D12615" s="26"/>
      <c r="E12615" s="24"/>
      <c r="F12615" s="24"/>
      <c r="G12615" s="24"/>
      <c r="H12615" s="24"/>
      <c r="I12615" s="24"/>
      <c r="J12615" s="24"/>
      <c r="K12615" s="24"/>
      <c r="L12615" s="24"/>
      <c r="M12615" s="24"/>
      <c r="N12615" s="24"/>
      <c r="O12615" s="24"/>
      <c r="P12615" s="24"/>
      <c r="Q12615" s="24"/>
      <c r="R12615" s="24"/>
      <c r="S12615" s="24"/>
      <c r="T12615" s="24"/>
      <c r="U12615" s="24"/>
      <c r="V12615" s="24"/>
      <c r="W12615" s="24"/>
      <c r="X12615" s="24"/>
      <c r="Y12615" s="24"/>
      <c r="Z12615" s="24"/>
      <c r="AA12615" s="24"/>
    </row>
    <row r="12616">
      <c r="A12616" s="24"/>
      <c r="B12616" s="25"/>
      <c r="C12616" s="24"/>
      <c r="D12616" s="26"/>
      <c r="E12616" s="24"/>
      <c r="F12616" s="24"/>
      <c r="G12616" s="24"/>
      <c r="H12616" s="24"/>
      <c r="I12616" s="24"/>
      <c r="J12616" s="24"/>
      <c r="K12616" s="24"/>
      <c r="L12616" s="24"/>
      <c r="M12616" s="24"/>
      <c r="N12616" s="24"/>
      <c r="O12616" s="24"/>
      <c r="P12616" s="24"/>
      <c r="Q12616" s="24"/>
      <c r="R12616" s="24"/>
      <c r="S12616" s="24"/>
      <c r="T12616" s="24"/>
      <c r="U12616" s="24"/>
      <c r="V12616" s="24"/>
      <c r="W12616" s="24"/>
      <c r="X12616" s="24"/>
      <c r="Y12616" s="24"/>
      <c r="Z12616" s="24"/>
      <c r="AA12616" s="24"/>
    </row>
    <row r="12617">
      <c r="A12617" s="24"/>
      <c r="B12617" s="25"/>
      <c r="C12617" s="24"/>
      <c r="D12617" s="26"/>
      <c r="E12617" s="24"/>
      <c r="F12617" s="24"/>
      <c r="G12617" s="24"/>
      <c r="H12617" s="24"/>
      <c r="I12617" s="24"/>
      <c r="J12617" s="24"/>
      <c r="K12617" s="24"/>
      <c r="L12617" s="24"/>
      <c r="M12617" s="24"/>
      <c r="N12617" s="24"/>
      <c r="O12617" s="24"/>
      <c r="P12617" s="24"/>
      <c r="Q12617" s="24"/>
      <c r="R12617" s="24"/>
      <c r="S12617" s="24"/>
      <c r="T12617" s="24"/>
      <c r="U12617" s="24"/>
      <c r="V12617" s="24"/>
      <c r="W12617" s="24"/>
      <c r="X12617" s="24"/>
      <c r="Y12617" s="24"/>
      <c r="Z12617" s="24"/>
      <c r="AA12617" s="24"/>
    </row>
    <row r="12618">
      <c r="A12618" s="24"/>
      <c r="B12618" s="25"/>
      <c r="C12618" s="24"/>
      <c r="D12618" s="26"/>
      <c r="E12618" s="24"/>
      <c r="F12618" s="24"/>
      <c r="G12618" s="24"/>
      <c r="H12618" s="24"/>
      <c r="I12618" s="24"/>
      <c r="J12618" s="24"/>
      <c r="K12618" s="24"/>
      <c r="L12618" s="24"/>
      <c r="M12618" s="24"/>
      <c r="N12618" s="24"/>
      <c r="O12618" s="24"/>
      <c r="P12618" s="24"/>
      <c r="Q12618" s="24"/>
      <c r="R12618" s="24"/>
      <c r="S12618" s="24"/>
      <c r="T12618" s="24"/>
      <c r="U12618" s="24"/>
      <c r="V12618" s="24"/>
      <c r="W12618" s="24"/>
      <c r="X12618" s="24"/>
      <c r="Y12618" s="24"/>
      <c r="Z12618" s="24"/>
      <c r="AA12618" s="24"/>
    </row>
    <row r="12619">
      <c r="A12619" s="24"/>
      <c r="B12619" s="25"/>
      <c r="C12619" s="24"/>
      <c r="D12619" s="26"/>
      <c r="E12619" s="24"/>
      <c r="F12619" s="24"/>
      <c r="G12619" s="24"/>
      <c r="H12619" s="24"/>
      <c r="I12619" s="24"/>
      <c r="J12619" s="24"/>
      <c r="K12619" s="24"/>
      <c r="L12619" s="24"/>
      <c r="M12619" s="24"/>
      <c r="N12619" s="24"/>
      <c r="O12619" s="24"/>
      <c r="P12619" s="24"/>
      <c r="Q12619" s="24"/>
      <c r="R12619" s="24"/>
      <c r="S12619" s="24"/>
      <c r="T12619" s="24"/>
      <c r="U12619" s="24"/>
      <c r="V12619" s="24"/>
      <c r="W12619" s="24"/>
      <c r="X12619" s="24"/>
      <c r="Y12619" s="24"/>
      <c r="Z12619" s="24"/>
      <c r="AA12619" s="24"/>
    </row>
    <row r="12620">
      <c r="A12620" s="24"/>
      <c r="B12620" s="25"/>
      <c r="C12620" s="24"/>
      <c r="D12620" s="26"/>
      <c r="E12620" s="24"/>
      <c r="F12620" s="24"/>
      <c r="G12620" s="24"/>
      <c r="H12620" s="24"/>
      <c r="I12620" s="24"/>
      <c r="J12620" s="24"/>
      <c r="K12620" s="24"/>
      <c r="L12620" s="24"/>
      <c r="M12620" s="24"/>
      <c r="N12620" s="24"/>
      <c r="O12620" s="24"/>
      <c r="P12620" s="24"/>
      <c r="Q12620" s="24"/>
      <c r="R12620" s="24"/>
      <c r="S12620" s="24"/>
      <c r="T12620" s="24"/>
      <c r="U12620" s="24"/>
      <c r="V12620" s="24"/>
      <c r="W12620" s="24"/>
      <c r="X12620" s="24"/>
      <c r="Y12620" s="24"/>
      <c r="Z12620" s="24"/>
      <c r="AA12620" s="24"/>
    </row>
    <row r="12621">
      <c r="A12621" s="24"/>
      <c r="B12621" s="25"/>
      <c r="C12621" s="24"/>
      <c r="D12621" s="26"/>
      <c r="E12621" s="24"/>
      <c r="F12621" s="24"/>
      <c r="G12621" s="24"/>
      <c r="H12621" s="24"/>
      <c r="I12621" s="24"/>
      <c r="J12621" s="24"/>
      <c r="K12621" s="24"/>
      <c r="L12621" s="24"/>
      <c r="M12621" s="24"/>
      <c r="N12621" s="24"/>
      <c r="O12621" s="24"/>
      <c r="P12621" s="24"/>
      <c r="Q12621" s="24"/>
      <c r="R12621" s="24"/>
      <c r="S12621" s="24"/>
      <c r="T12621" s="24"/>
      <c r="U12621" s="24"/>
      <c r="V12621" s="24"/>
      <c r="W12621" s="24"/>
      <c r="X12621" s="24"/>
      <c r="Y12621" s="24"/>
      <c r="Z12621" s="24"/>
      <c r="AA12621" s="24"/>
    </row>
    <row r="12622">
      <c r="A12622" s="24"/>
      <c r="B12622" s="25"/>
      <c r="C12622" s="24"/>
      <c r="D12622" s="26"/>
      <c r="E12622" s="24"/>
      <c r="F12622" s="24"/>
      <c r="G12622" s="24"/>
      <c r="H12622" s="24"/>
      <c r="I12622" s="24"/>
      <c r="J12622" s="24"/>
      <c r="K12622" s="24"/>
      <c r="L12622" s="24"/>
      <c r="M12622" s="24"/>
      <c r="N12622" s="24"/>
      <c r="O12622" s="24"/>
      <c r="P12622" s="24"/>
      <c r="Q12622" s="24"/>
      <c r="R12622" s="24"/>
      <c r="S12622" s="24"/>
      <c r="T12622" s="24"/>
      <c r="U12622" s="24"/>
      <c r="V12622" s="24"/>
      <c r="W12622" s="24"/>
      <c r="X12622" s="24"/>
      <c r="Y12622" s="24"/>
      <c r="Z12622" s="24"/>
      <c r="AA12622" s="24"/>
    </row>
    <row r="12623">
      <c r="A12623" s="24"/>
      <c r="B12623" s="25"/>
      <c r="C12623" s="24"/>
      <c r="D12623" s="26"/>
      <c r="E12623" s="24"/>
      <c r="F12623" s="24"/>
      <c r="G12623" s="24"/>
      <c r="H12623" s="24"/>
      <c r="I12623" s="24"/>
      <c r="J12623" s="24"/>
      <c r="K12623" s="24"/>
      <c r="L12623" s="24"/>
      <c r="M12623" s="24"/>
      <c r="N12623" s="24"/>
      <c r="O12623" s="24"/>
      <c r="P12623" s="24"/>
      <c r="Q12623" s="24"/>
      <c r="R12623" s="24"/>
      <c r="S12623" s="24"/>
      <c r="T12623" s="24"/>
      <c r="U12623" s="24"/>
      <c r="V12623" s="24"/>
      <c r="W12623" s="24"/>
      <c r="X12623" s="24"/>
      <c r="Y12623" s="24"/>
      <c r="Z12623" s="24"/>
      <c r="AA12623" s="24"/>
    </row>
    <row r="12624">
      <c r="A12624" s="24"/>
      <c r="B12624" s="25"/>
      <c r="C12624" s="24"/>
      <c r="D12624" s="26"/>
      <c r="E12624" s="24"/>
      <c r="F12624" s="24"/>
      <c r="G12624" s="24"/>
      <c r="H12624" s="24"/>
      <c r="I12624" s="24"/>
      <c r="J12624" s="24"/>
      <c r="K12624" s="24"/>
      <c r="L12624" s="24"/>
      <c r="M12624" s="24"/>
      <c r="N12624" s="24"/>
      <c r="O12624" s="24"/>
      <c r="P12624" s="24"/>
      <c r="Q12624" s="24"/>
      <c r="R12624" s="24"/>
      <c r="S12624" s="24"/>
      <c r="T12624" s="24"/>
      <c r="U12624" s="24"/>
      <c r="V12624" s="24"/>
      <c r="W12624" s="24"/>
      <c r="X12624" s="24"/>
      <c r="Y12624" s="24"/>
      <c r="Z12624" s="24"/>
      <c r="AA12624" s="24"/>
    </row>
    <row r="12625">
      <c r="A12625" s="24"/>
      <c r="B12625" s="25"/>
      <c r="C12625" s="24"/>
      <c r="D12625" s="26"/>
      <c r="E12625" s="24"/>
      <c r="F12625" s="24"/>
      <c r="G12625" s="24"/>
      <c r="H12625" s="24"/>
      <c r="I12625" s="24"/>
      <c r="J12625" s="24"/>
      <c r="K12625" s="24"/>
      <c r="L12625" s="24"/>
      <c r="M12625" s="24"/>
      <c r="N12625" s="24"/>
      <c r="O12625" s="24"/>
      <c r="P12625" s="24"/>
      <c r="Q12625" s="24"/>
      <c r="R12625" s="24"/>
      <c r="S12625" s="24"/>
      <c r="T12625" s="24"/>
      <c r="U12625" s="24"/>
      <c r="V12625" s="24"/>
      <c r="W12625" s="24"/>
      <c r="X12625" s="24"/>
      <c r="Y12625" s="24"/>
      <c r="Z12625" s="24"/>
      <c r="AA12625" s="24"/>
    </row>
    <row r="12626">
      <c r="A12626" s="24"/>
      <c r="B12626" s="25"/>
      <c r="C12626" s="24"/>
      <c r="D12626" s="26"/>
      <c r="E12626" s="24"/>
      <c r="F12626" s="24"/>
      <c r="G12626" s="24"/>
      <c r="H12626" s="24"/>
      <c r="I12626" s="24"/>
      <c r="J12626" s="24"/>
      <c r="K12626" s="24"/>
      <c r="L12626" s="24"/>
      <c r="M12626" s="24"/>
      <c r="N12626" s="24"/>
      <c r="O12626" s="24"/>
      <c r="P12626" s="24"/>
      <c r="Q12626" s="24"/>
      <c r="R12626" s="24"/>
      <c r="S12626" s="24"/>
      <c r="T12626" s="24"/>
      <c r="U12626" s="24"/>
      <c r="V12626" s="24"/>
      <c r="W12626" s="24"/>
      <c r="X12626" s="24"/>
      <c r="Y12626" s="24"/>
      <c r="Z12626" s="24"/>
      <c r="AA12626" s="24"/>
    </row>
    <row r="12627">
      <c r="A12627" s="24"/>
      <c r="B12627" s="25"/>
      <c r="C12627" s="24"/>
      <c r="D12627" s="26"/>
      <c r="E12627" s="24"/>
      <c r="F12627" s="24"/>
      <c r="G12627" s="24"/>
      <c r="H12627" s="24"/>
      <c r="I12627" s="24"/>
      <c r="J12627" s="24"/>
      <c r="K12627" s="24"/>
      <c r="L12627" s="24"/>
      <c r="M12627" s="24"/>
      <c r="N12627" s="24"/>
      <c r="O12627" s="24"/>
      <c r="P12627" s="24"/>
      <c r="Q12627" s="24"/>
      <c r="R12627" s="24"/>
      <c r="S12627" s="24"/>
      <c r="T12627" s="24"/>
      <c r="U12627" s="24"/>
      <c r="V12627" s="24"/>
      <c r="W12627" s="24"/>
      <c r="X12627" s="24"/>
      <c r="Y12627" s="24"/>
      <c r="Z12627" s="24"/>
      <c r="AA12627" s="24"/>
    </row>
    <row r="12628">
      <c r="A12628" s="24"/>
      <c r="B12628" s="25"/>
      <c r="C12628" s="24"/>
      <c r="D12628" s="26"/>
      <c r="E12628" s="24"/>
      <c r="F12628" s="24"/>
      <c r="G12628" s="24"/>
      <c r="H12628" s="24"/>
      <c r="I12628" s="24"/>
      <c r="J12628" s="24"/>
      <c r="K12628" s="24"/>
      <c r="L12628" s="24"/>
      <c r="M12628" s="24"/>
      <c r="N12628" s="24"/>
      <c r="O12628" s="24"/>
      <c r="P12628" s="24"/>
      <c r="Q12628" s="24"/>
      <c r="R12628" s="24"/>
      <c r="S12628" s="24"/>
      <c r="T12628" s="24"/>
      <c r="U12628" s="24"/>
      <c r="V12628" s="24"/>
      <c r="W12628" s="24"/>
      <c r="X12628" s="24"/>
      <c r="Y12628" s="24"/>
      <c r="Z12628" s="24"/>
      <c r="AA12628" s="24"/>
    </row>
    <row r="12629">
      <c r="A12629" s="24"/>
      <c r="B12629" s="25"/>
      <c r="C12629" s="24"/>
      <c r="D12629" s="26"/>
      <c r="E12629" s="24"/>
      <c r="F12629" s="24"/>
      <c r="G12629" s="24"/>
      <c r="H12629" s="24"/>
      <c r="I12629" s="24"/>
      <c r="J12629" s="24"/>
      <c r="K12629" s="24"/>
      <c r="L12629" s="24"/>
      <c r="M12629" s="24"/>
      <c r="N12629" s="24"/>
      <c r="O12629" s="24"/>
      <c r="P12629" s="24"/>
      <c r="Q12629" s="24"/>
      <c r="R12629" s="24"/>
      <c r="S12629" s="24"/>
      <c r="T12629" s="24"/>
      <c r="U12629" s="24"/>
      <c r="V12629" s="24"/>
      <c r="W12629" s="24"/>
      <c r="X12629" s="24"/>
      <c r="Y12629" s="24"/>
      <c r="Z12629" s="24"/>
      <c r="AA12629" s="24"/>
    </row>
    <row r="12630">
      <c r="A12630" s="24"/>
      <c r="B12630" s="25"/>
      <c r="C12630" s="24"/>
      <c r="D12630" s="26"/>
      <c r="E12630" s="24"/>
      <c r="F12630" s="24"/>
      <c r="G12630" s="24"/>
      <c r="H12630" s="24"/>
      <c r="I12630" s="24"/>
      <c r="J12630" s="24"/>
      <c r="K12630" s="24"/>
      <c r="L12630" s="24"/>
      <c r="M12630" s="24"/>
      <c r="N12630" s="24"/>
      <c r="O12630" s="24"/>
      <c r="P12630" s="24"/>
      <c r="Q12630" s="24"/>
      <c r="R12630" s="24"/>
      <c r="S12630" s="24"/>
      <c r="T12630" s="24"/>
      <c r="U12630" s="24"/>
      <c r="V12630" s="24"/>
      <c r="W12630" s="24"/>
      <c r="X12630" s="24"/>
      <c r="Y12630" s="24"/>
      <c r="Z12630" s="24"/>
      <c r="AA12630" s="24"/>
    </row>
    <row r="12631">
      <c r="A12631" s="24"/>
      <c r="B12631" s="25"/>
      <c r="C12631" s="24"/>
      <c r="D12631" s="26"/>
      <c r="E12631" s="24"/>
      <c r="F12631" s="24"/>
      <c r="G12631" s="24"/>
      <c r="H12631" s="24"/>
      <c r="I12631" s="24"/>
      <c r="J12631" s="24"/>
      <c r="K12631" s="24"/>
      <c r="L12631" s="24"/>
      <c r="M12631" s="24"/>
      <c r="N12631" s="24"/>
      <c r="O12631" s="24"/>
      <c r="P12631" s="24"/>
      <c r="Q12631" s="24"/>
      <c r="R12631" s="24"/>
      <c r="S12631" s="24"/>
      <c r="T12631" s="24"/>
      <c r="U12631" s="24"/>
      <c r="V12631" s="24"/>
      <c r="W12631" s="24"/>
      <c r="X12631" s="24"/>
      <c r="Y12631" s="24"/>
      <c r="Z12631" s="24"/>
      <c r="AA12631" s="24"/>
    </row>
    <row r="12632">
      <c r="A12632" s="24"/>
      <c r="B12632" s="25"/>
      <c r="C12632" s="24"/>
      <c r="D12632" s="26"/>
      <c r="E12632" s="24"/>
      <c r="F12632" s="24"/>
      <c r="G12632" s="24"/>
      <c r="H12632" s="24"/>
      <c r="I12632" s="24"/>
      <c r="J12632" s="24"/>
      <c r="K12632" s="24"/>
      <c r="L12632" s="24"/>
      <c r="M12632" s="24"/>
      <c r="N12632" s="24"/>
      <c r="O12632" s="24"/>
      <c r="P12632" s="24"/>
      <c r="Q12632" s="24"/>
      <c r="R12632" s="24"/>
      <c r="S12632" s="24"/>
      <c r="T12632" s="24"/>
      <c r="U12632" s="24"/>
      <c r="V12632" s="24"/>
      <c r="W12632" s="24"/>
      <c r="X12632" s="24"/>
      <c r="Y12632" s="24"/>
      <c r="Z12632" s="24"/>
      <c r="AA12632" s="24"/>
    </row>
    <row r="12633">
      <c r="A12633" s="24"/>
      <c r="B12633" s="25"/>
      <c r="C12633" s="24"/>
      <c r="D12633" s="26"/>
      <c r="E12633" s="24"/>
      <c r="F12633" s="24"/>
      <c r="G12633" s="24"/>
      <c r="H12633" s="24"/>
      <c r="I12633" s="24"/>
      <c r="J12633" s="24"/>
      <c r="K12633" s="24"/>
      <c r="L12633" s="24"/>
      <c r="M12633" s="24"/>
      <c r="N12633" s="24"/>
      <c r="O12633" s="24"/>
      <c r="P12633" s="24"/>
      <c r="Q12633" s="24"/>
      <c r="R12633" s="24"/>
      <c r="S12633" s="24"/>
      <c r="T12633" s="24"/>
      <c r="U12633" s="24"/>
      <c r="V12633" s="24"/>
      <c r="W12633" s="24"/>
      <c r="X12633" s="24"/>
      <c r="Y12633" s="24"/>
      <c r="Z12633" s="24"/>
      <c r="AA12633" s="24"/>
    </row>
    <row r="12634">
      <c r="A12634" s="24"/>
      <c r="B12634" s="25"/>
      <c r="C12634" s="24"/>
      <c r="D12634" s="26"/>
      <c r="E12634" s="24"/>
      <c r="F12634" s="24"/>
      <c r="G12634" s="24"/>
      <c r="H12634" s="24"/>
      <c r="I12634" s="24"/>
      <c r="J12634" s="24"/>
      <c r="K12634" s="24"/>
      <c r="L12634" s="24"/>
      <c r="M12634" s="24"/>
      <c r="N12634" s="24"/>
      <c r="O12634" s="24"/>
      <c r="P12634" s="24"/>
      <c r="Q12634" s="24"/>
      <c r="R12634" s="24"/>
      <c r="S12634" s="24"/>
      <c r="T12634" s="24"/>
      <c r="U12634" s="24"/>
      <c r="V12634" s="24"/>
      <c r="W12634" s="24"/>
      <c r="X12634" s="24"/>
      <c r="Y12634" s="24"/>
      <c r="Z12634" s="24"/>
      <c r="AA12634" s="24"/>
    </row>
    <row r="12635">
      <c r="A12635" s="24"/>
      <c r="B12635" s="25"/>
      <c r="C12635" s="24"/>
      <c r="D12635" s="26"/>
      <c r="E12635" s="24"/>
      <c r="F12635" s="24"/>
      <c r="G12635" s="24"/>
      <c r="H12635" s="24"/>
      <c r="I12635" s="24"/>
      <c r="J12635" s="24"/>
      <c r="K12635" s="24"/>
      <c r="L12635" s="24"/>
      <c r="M12635" s="24"/>
      <c r="N12635" s="24"/>
      <c r="O12635" s="24"/>
      <c r="P12635" s="24"/>
      <c r="Q12635" s="24"/>
      <c r="R12635" s="24"/>
      <c r="S12635" s="24"/>
      <c r="T12635" s="24"/>
      <c r="U12635" s="24"/>
      <c r="V12635" s="24"/>
      <c r="W12635" s="24"/>
      <c r="X12635" s="24"/>
      <c r="Y12635" s="24"/>
      <c r="Z12635" s="24"/>
      <c r="AA12635" s="24"/>
    </row>
    <row r="12636">
      <c r="A12636" s="24"/>
      <c r="B12636" s="25"/>
      <c r="C12636" s="24"/>
      <c r="D12636" s="26"/>
      <c r="E12636" s="24"/>
      <c r="F12636" s="24"/>
      <c r="G12636" s="24"/>
      <c r="H12636" s="24"/>
      <c r="I12636" s="24"/>
      <c r="J12636" s="24"/>
      <c r="K12636" s="24"/>
      <c r="L12636" s="24"/>
      <c r="M12636" s="24"/>
      <c r="N12636" s="24"/>
      <c r="O12636" s="24"/>
      <c r="P12636" s="24"/>
      <c r="Q12636" s="24"/>
      <c r="R12636" s="24"/>
      <c r="S12636" s="24"/>
      <c r="T12636" s="24"/>
      <c r="U12636" s="24"/>
      <c r="V12636" s="24"/>
      <c r="W12636" s="24"/>
      <c r="X12636" s="24"/>
      <c r="Y12636" s="24"/>
      <c r="Z12636" s="24"/>
      <c r="AA12636" s="24"/>
    </row>
    <row r="12637">
      <c r="A12637" s="24"/>
      <c r="B12637" s="25"/>
      <c r="C12637" s="24"/>
      <c r="D12637" s="26"/>
      <c r="E12637" s="24"/>
      <c r="F12637" s="24"/>
      <c r="G12637" s="24"/>
      <c r="H12637" s="24"/>
      <c r="I12637" s="24"/>
      <c r="J12637" s="24"/>
      <c r="K12637" s="24"/>
      <c r="L12637" s="24"/>
      <c r="M12637" s="24"/>
      <c r="N12637" s="24"/>
      <c r="O12637" s="24"/>
      <c r="P12637" s="24"/>
      <c r="Q12637" s="24"/>
      <c r="R12637" s="24"/>
      <c r="S12637" s="24"/>
      <c r="T12637" s="24"/>
      <c r="U12637" s="24"/>
      <c r="V12637" s="24"/>
      <c r="W12637" s="24"/>
      <c r="X12637" s="24"/>
      <c r="Y12637" s="24"/>
      <c r="Z12637" s="24"/>
      <c r="AA12637" s="24"/>
    </row>
    <row r="12638">
      <c r="A12638" s="24"/>
      <c r="B12638" s="25"/>
      <c r="C12638" s="24"/>
      <c r="D12638" s="26"/>
      <c r="E12638" s="24"/>
      <c r="F12638" s="24"/>
      <c r="G12638" s="24"/>
      <c r="H12638" s="24"/>
      <c r="I12638" s="24"/>
      <c r="J12638" s="24"/>
      <c r="K12638" s="24"/>
      <c r="L12638" s="24"/>
      <c r="M12638" s="24"/>
      <c r="N12638" s="24"/>
      <c r="O12638" s="24"/>
      <c r="P12638" s="24"/>
      <c r="Q12638" s="24"/>
      <c r="R12638" s="24"/>
      <c r="S12638" s="24"/>
      <c r="T12638" s="24"/>
      <c r="U12638" s="24"/>
      <c r="V12638" s="24"/>
      <c r="W12638" s="24"/>
      <c r="X12638" s="24"/>
      <c r="Y12638" s="24"/>
      <c r="Z12638" s="24"/>
      <c r="AA12638" s="24"/>
    </row>
    <row r="12639">
      <c r="A12639" s="24"/>
      <c r="B12639" s="25"/>
      <c r="C12639" s="24"/>
      <c r="D12639" s="26"/>
      <c r="E12639" s="24"/>
      <c r="F12639" s="24"/>
      <c r="G12639" s="24"/>
      <c r="H12639" s="24"/>
      <c r="I12639" s="24"/>
      <c r="J12639" s="24"/>
      <c r="K12639" s="24"/>
      <c r="L12639" s="24"/>
      <c r="M12639" s="24"/>
      <c r="N12639" s="24"/>
      <c r="O12639" s="24"/>
      <c r="P12639" s="24"/>
      <c r="Q12639" s="24"/>
      <c r="R12639" s="24"/>
      <c r="S12639" s="24"/>
      <c r="T12639" s="24"/>
      <c r="U12639" s="24"/>
      <c r="V12639" s="24"/>
      <c r="W12639" s="24"/>
      <c r="X12639" s="24"/>
      <c r="Y12639" s="24"/>
      <c r="Z12639" s="24"/>
      <c r="AA12639" s="24"/>
    </row>
    <row r="12640">
      <c r="A12640" s="24"/>
      <c r="B12640" s="25"/>
      <c r="C12640" s="24"/>
      <c r="D12640" s="26"/>
      <c r="E12640" s="24"/>
      <c r="F12640" s="24"/>
      <c r="G12640" s="24"/>
      <c r="H12640" s="24"/>
      <c r="I12640" s="24"/>
      <c r="J12640" s="24"/>
      <c r="K12640" s="24"/>
      <c r="L12640" s="24"/>
      <c r="M12640" s="24"/>
      <c r="N12640" s="24"/>
      <c r="O12640" s="24"/>
      <c r="P12640" s="24"/>
      <c r="Q12640" s="24"/>
      <c r="R12640" s="24"/>
      <c r="S12640" s="24"/>
      <c r="T12640" s="24"/>
      <c r="U12640" s="24"/>
      <c r="V12640" s="24"/>
      <c r="W12640" s="24"/>
      <c r="X12640" s="24"/>
      <c r="Y12640" s="24"/>
      <c r="Z12640" s="24"/>
      <c r="AA12640" s="24"/>
    </row>
    <row r="12641">
      <c r="A12641" s="24"/>
      <c r="B12641" s="25"/>
      <c r="C12641" s="24"/>
      <c r="D12641" s="26"/>
      <c r="E12641" s="24"/>
      <c r="F12641" s="24"/>
      <c r="G12641" s="24"/>
      <c r="H12641" s="24"/>
      <c r="I12641" s="24"/>
      <c r="J12641" s="24"/>
      <c r="K12641" s="24"/>
      <c r="L12641" s="24"/>
      <c r="M12641" s="24"/>
      <c r="N12641" s="24"/>
      <c r="O12641" s="24"/>
      <c r="P12641" s="24"/>
      <c r="Q12641" s="24"/>
      <c r="R12641" s="24"/>
      <c r="S12641" s="24"/>
      <c r="T12641" s="24"/>
      <c r="U12641" s="24"/>
      <c r="V12641" s="24"/>
      <c r="W12641" s="24"/>
      <c r="X12641" s="24"/>
      <c r="Y12641" s="24"/>
      <c r="Z12641" s="24"/>
      <c r="AA12641" s="24"/>
    </row>
    <row r="12642">
      <c r="A12642" s="24"/>
      <c r="B12642" s="25"/>
      <c r="C12642" s="24"/>
      <c r="D12642" s="26"/>
      <c r="E12642" s="24"/>
      <c r="F12642" s="24"/>
      <c r="G12642" s="24"/>
      <c r="H12642" s="24"/>
      <c r="I12642" s="24"/>
      <c r="J12642" s="24"/>
      <c r="K12642" s="24"/>
      <c r="L12642" s="24"/>
      <c r="M12642" s="24"/>
      <c r="N12642" s="24"/>
      <c r="O12642" s="24"/>
      <c r="P12642" s="24"/>
      <c r="Q12642" s="24"/>
      <c r="R12642" s="24"/>
      <c r="S12642" s="24"/>
      <c r="T12642" s="24"/>
      <c r="U12642" s="24"/>
      <c r="V12642" s="24"/>
      <c r="W12642" s="24"/>
      <c r="X12642" s="24"/>
      <c r="Y12642" s="24"/>
      <c r="Z12642" s="24"/>
      <c r="AA12642" s="24"/>
    </row>
    <row r="12643">
      <c r="A12643" s="24"/>
      <c r="B12643" s="25"/>
      <c r="C12643" s="24"/>
      <c r="D12643" s="26"/>
      <c r="E12643" s="24"/>
      <c r="F12643" s="24"/>
      <c r="G12643" s="24"/>
      <c r="H12643" s="24"/>
      <c r="I12643" s="24"/>
      <c r="J12643" s="24"/>
      <c r="K12643" s="24"/>
      <c r="L12643" s="24"/>
      <c r="M12643" s="24"/>
      <c r="N12643" s="24"/>
      <c r="O12643" s="24"/>
      <c r="P12643" s="24"/>
      <c r="Q12643" s="24"/>
      <c r="R12643" s="24"/>
      <c r="S12643" s="24"/>
      <c r="T12643" s="24"/>
      <c r="U12643" s="24"/>
      <c r="V12643" s="24"/>
      <c r="W12643" s="24"/>
      <c r="X12643" s="24"/>
      <c r="Y12643" s="24"/>
      <c r="Z12643" s="24"/>
      <c r="AA12643" s="24"/>
    </row>
    <row r="12644">
      <c r="A12644" s="24"/>
      <c r="B12644" s="25"/>
      <c r="C12644" s="24"/>
      <c r="D12644" s="26"/>
      <c r="E12644" s="24"/>
      <c r="F12644" s="24"/>
      <c r="G12644" s="24"/>
      <c r="H12644" s="24"/>
      <c r="I12644" s="24"/>
      <c r="J12644" s="24"/>
      <c r="K12644" s="24"/>
      <c r="L12644" s="24"/>
      <c r="M12644" s="24"/>
      <c r="N12644" s="24"/>
      <c r="O12644" s="24"/>
      <c r="P12644" s="24"/>
      <c r="Q12644" s="24"/>
      <c r="R12644" s="24"/>
      <c r="S12644" s="24"/>
      <c r="T12644" s="24"/>
      <c r="U12644" s="24"/>
      <c r="V12644" s="24"/>
      <c r="W12644" s="24"/>
      <c r="X12644" s="24"/>
      <c r="Y12644" s="24"/>
      <c r="Z12644" s="24"/>
      <c r="AA12644" s="24"/>
    </row>
    <row r="12645">
      <c r="A12645" s="24"/>
      <c r="B12645" s="25"/>
      <c r="C12645" s="24"/>
      <c r="D12645" s="26"/>
      <c r="E12645" s="24"/>
      <c r="F12645" s="24"/>
      <c r="G12645" s="24"/>
      <c r="H12645" s="24"/>
      <c r="I12645" s="24"/>
      <c r="J12645" s="24"/>
      <c r="K12645" s="24"/>
      <c r="L12645" s="24"/>
      <c r="M12645" s="24"/>
      <c r="N12645" s="24"/>
      <c r="O12645" s="24"/>
      <c r="P12645" s="24"/>
      <c r="Q12645" s="24"/>
      <c r="R12645" s="24"/>
      <c r="S12645" s="24"/>
      <c r="T12645" s="24"/>
      <c r="U12645" s="24"/>
      <c r="V12645" s="24"/>
      <c r="W12645" s="24"/>
      <c r="X12645" s="24"/>
      <c r="Y12645" s="24"/>
      <c r="Z12645" s="24"/>
      <c r="AA12645" s="24"/>
    </row>
    <row r="12646">
      <c r="A12646" s="24"/>
      <c r="B12646" s="25"/>
      <c r="C12646" s="24"/>
      <c r="D12646" s="26"/>
      <c r="E12646" s="24"/>
      <c r="F12646" s="24"/>
      <c r="G12646" s="24"/>
      <c r="H12646" s="24"/>
      <c r="I12646" s="24"/>
      <c r="J12646" s="24"/>
      <c r="K12646" s="24"/>
      <c r="L12646" s="24"/>
      <c r="M12646" s="24"/>
      <c r="N12646" s="24"/>
      <c r="O12646" s="24"/>
      <c r="P12646" s="24"/>
      <c r="Q12646" s="24"/>
      <c r="R12646" s="24"/>
      <c r="S12646" s="24"/>
      <c r="T12646" s="24"/>
      <c r="U12646" s="24"/>
      <c r="V12646" s="24"/>
      <c r="W12646" s="24"/>
      <c r="X12646" s="24"/>
      <c r="Y12646" s="24"/>
      <c r="Z12646" s="24"/>
      <c r="AA12646" s="24"/>
    </row>
    <row r="12647">
      <c r="A12647" s="24"/>
      <c r="B12647" s="25"/>
      <c r="C12647" s="24"/>
      <c r="D12647" s="26"/>
      <c r="E12647" s="24"/>
      <c r="F12647" s="24"/>
      <c r="G12647" s="24"/>
      <c r="H12647" s="24"/>
      <c r="I12647" s="24"/>
      <c r="J12647" s="24"/>
      <c r="K12647" s="24"/>
      <c r="L12647" s="24"/>
      <c r="M12647" s="24"/>
      <c r="N12647" s="24"/>
      <c r="O12647" s="24"/>
      <c r="P12647" s="24"/>
      <c r="Q12647" s="24"/>
      <c r="R12647" s="24"/>
      <c r="S12647" s="24"/>
      <c r="T12647" s="24"/>
      <c r="U12647" s="24"/>
      <c r="V12647" s="24"/>
      <c r="W12647" s="24"/>
      <c r="X12647" s="24"/>
      <c r="Y12647" s="24"/>
      <c r="Z12647" s="24"/>
      <c r="AA12647" s="24"/>
    </row>
    <row r="12648">
      <c r="A12648" s="24"/>
      <c r="B12648" s="25"/>
      <c r="C12648" s="24"/>
      <c r="D12648" s="26"/>
      <c r="E12648" s="24"/>
      <c r="F12648" s="24"/>
      <c r="G12648" s="24"/>
      <c r="H12648" s="24"/>
      <c r="I12648" s="24"/>
      <c r="J12648" s="24"/>
      <c r="K12648" s="24"/>
      <c r="L12648" s="24"/>
      <c r="M12648" s="24"/>
      <c r="N12648" s="24"/>
      <c r="O12648" s="24"/>
      <c r="P12648" s="24"/>
      <c r="Q12648" s="24"/>
      <c r="R12648" s="24"/>
      <c r="S12648" s="24"/>
      <c r="T12648" s="24"/>
      <c r="U12648" s="24"/>
      <c r="V12648" s="24"/>
      <c r="W12648" s="24"/>
      <c r="X12648" s="24"/>
      <c r="Y12648" s="24"/>
      <c r="Z12648" s="24"/>
      <c r="AA12648" s="24"/>
    </row>
    <row r="12649">
      <c r="A12649" s="24"/>
      <c r="B12649" s="25"/>
      <c r="C12649" s="24"/>
      <c r="D12649" s="26"/>
      <c r="E12649" s="24"/>
      <c r="F12649" s="24"/>
      <c r="G12649" s="24"/>
      <c r="H12649" s="24"/>
      <c r="I12649" s="24"/>
      <c r="J12649" s="24"/>
      <c r="K12649" s="24"/>
      <c r="L12649" s="24"/>
      <c r="M12649" s="24"/>
      <c r="N12649" s="24"/>
      <c r="O12649" s="24"/>
      <c r="P12649" s="24"/>
      <c r="Q12649" s="24"/>
      <c r="R12649" s="24"/>
      <c r="S12649" s="24"/>
      <c r="T12649" s="24"/>
      <c r="U12649" s="24"/>
      <c r="V12649" s="24"/>
      <c r="W12649" s="24"/>
      <c r="X12649" s="24"/>
      <c r="Y12649" s="24"/>
      <c r="Z12649" s="24"/>
      <c r="AA12649" s="24"/>
    </row>
    <row r="12650">
      <c r="A12650" s="24"/>
      <c r="B12650" s="25"/>
      <c r="C12650" s="24"/>
      <c r="D12650" s="26"/>
      <c r="E12650" s="24"/>
      <c r="F12650" s="24"/>
      <c r="G12650" s="24"/>
      <c r="H12650" s="24"/>
      <c r="I12650" s="24"/>
      <c r="J12650" s="24"/>
      <c r="K12650" s="24"/>
      <c r="L12650" s="24"/>
      <c r="M12650" s="24"/>
      <c r="N12650" s="24"/>
      <c r="O12650" s="24"/>
      <c r="P12650" s="24"/>
      <c r="Q12650" s="24"/>
      <c r="R12650" s="24"/>
      <c r="S12650" s="24"/>
      <c r="T12650" s="24"/>
      <c r="U12650" s="24"/>
      <c r="V12650" s="24"/>
      <c r="W12650" s="24"/>
      <c r="X12650" s="24"/>
      <c r="Y12650" s="24"/>
      <c r="Z12650" s="24"/>
      <c r="AA12650" s="24"/>
    </row>
    <row r="12651">
      <c r="A12651" s="24"/>
      <c r="B12651" s="25"/>
      <c r="C12651" s="24"/>
      <c r="D12651" s="26"/>
      <c r="E12651" s="24"/>
      <c r="F12651" s="24"/>
      <c r="G12651" s="24"/>
      <c r="H12651" s="24"/>
      <c r="I12651" s="24"/>
      <c r="J12651" s="24"/>
      <c r="K12651" s="24"/>
      <c r="L12651" s="24"/>
      <c r="M12651" s="24"/>
      <c r="N12651" s="24"/>
      <c r="O12651" s="24"/>
      <c r="P12651" s="24"/>
      <c r="Q12651" s="24"/>
      <c r="R12651" s="24"/>
      <c r="S12651" s="24"/>
      <c r="T12651" s="24"/>
      <c r="U12651" s="24"/>
      <c r="V12651" s="24"/>
      <c r="W12651" s="24"/>
      <c r="X12651" s="24"/>
      <c r="Y12651" s="24"/>
      <c r="Z12651" s="24"/>
      <c r="AA12651" s="24"/>
    </row>
    <row r="12652">
      <c r="A12652" s="24"/>
      <c r="B12652" s="25"/>
      <c r="C12652" s="24"/>
      <c r="D12652" s="26"/>
      <c r="E12652" s="24"/>
      <c r="F12652" s="24"/>
      <c r="G12652" s="24"/>
      <c r="H12652" s="24"/>
      <c r="I12652" s="24"/>
      <c r="J12652" s="24"/>
      <c r="K12652" s="24"/>
      <c r="L12652" s="24"/>
      <c r="M12652" s="24"/>
      <c r="N12652" s="24"/>
      <c r="O12652" s="24"/>
      <c r="P12652" s="24"/>
      <c r="Q12652" s="24"/>
      <c r="R12652" s="24"/>
      <c r="S12652" s="24"/>
      <c r="T12652" s="24"/>
      <c r="U12652" s="24"/>
      <c r="V12652" s="24"/>
      <c r="W12652" s="24"/>
      <c r="X12652" s="24"/>
      <c r="Y12652" s="24"/>
      <c r="Z12652" s="24"/>
      <c r="AA12652" s="24"/>
    </row>
    <row r="12653">
      <c r="A12653" s="24"/>
      <c r="B12653" s="25"/>
      <c r="C12653" s="24"/>
      <c r="D12653" s="26"/>
      <c r="E12653" s="24"/>
      <c r="F12653" s="24"/>
      <c r="G12653" s="24"/>
      <c r="H12653" s="24"/>
      <c r="I12653" s="24"/>
      <c r="J12653" s="24"/>
      <c r="K12653" s="24"/>
      <c r="L12653" s="24"/>
      <c r="M12653" s="24"/>
      <c r="N12653" s="24"/>
      <c r="O12653" s="24"/>
      <c r="P12653" s="24"/>
      <c r="Q12653" s="24"/>
      <c r="R12653" s="24"/>
      <c r="S12653" s="24"/>
      <c r="T12653" s="24"/>
      <c r="U12653" s="24"/>
      <c r="V12653" s="24"/>
      <c r="W12653" s="24"/>
      <c r="X12653" s="24"/>
      <c r="Y12653" s="24"/>
      <c r="Z12653" s="24"/>
      <c r="AA12653" s="24"/>
    </row>
    <row r="12654">
      <c r="A12654" s="24"/>
      <c r="B12654" s="25"/>
      <c r="C12654" s="24"/>
      <c r="D12654" s="26"/>
      <c r="E12654" s="24"/>
      <c r="F12654" s="24"/>
      <c r="G12654" s="24"/>
      <c r="H12654" s="24"/>
      <c r="I12654" s="24"/>
      <c r="J12654" s="24"/>
      <c r="K12654" s="24"/>
      <c r="L12654" s="24"/>
      <c r="M12654" s="24"/>
      <c r="N12654" s="24"/>
      <c r="O12654" s="24"/>
      <c r="P12654" s="24"/>
      <c r="Q12654" s="24"/>
      <c r="R12654" s="24"/>
      <c r="S12654" s="24"/>
      <c r="T12654" s="24"/>
      <c r="U12654" s="24"/>
      <c r="V12654" s="24"/>
      <c r="W12654" s="24"/>
      <c r="X12654" s="24"/>
      <c r="Y12654" s="24"/>
      <c r="Z12654" s="24"/>
      <c r="AA12654" s="24"/>
    </row>
    <row r="12655">
      <c r="A12655" s="24"/>
      <c r="B12655" s="25"/>
      <c r="C12655" s="24"/>
      <c r="D12655" s="26"/>
      <c r="E12655" s="24"/>
      <c r="F12655" s="24"/>
      <c r="G12655" s="24"/>
      <c r="H12655" s="24"/>
      <c r="I12655" s="24"/>
      <c r="J12655" s="24"/>
      <c r="K12655" s="24"/>
      <c r="L12655" s="24"/>
      <c r="M12655" s="24"/>
      <c r="N12655" s="24"/>
      <c r="O12655" s="24"/>
      <c r="P12655" s="24"/>
      <c r="Q12655" s="24"/>
      <c r="R12655" s="24"/>
      <c r="S12655" s="24"/>
      <c r="T12655" s="24"/>
      <c r="U12655" s="24"/>
      <c r="V12655" s="24"/>
      <c r="W12655" s="24"/>
      <c r="X12655" s="24"/>
      <c r="Y12655" s="24"/>
      <c r="Z12655" s="24"/>
      <c r="AA12655" s="24"/>
    </row>
    <row r="12656">
      <c r="A12656" s="24"/>
      <c r="B12656" s="25"/>
      <c r="C12656" s="24"/>
      <c r="D12656" s="26"/>
      <c r="E12656" s="24"/>
      <c r="F12656" s="24"/>
      <c r="G12656" s="24"/>
      <c r="H12656" s="24"/>
      <c r="I12656" s="24"/>
      <c r="J12656" s="24"/>
      <c r="K12656" s="24"/>
      <c r="L12656" s="24"/>
      <c r="M12656" s="24"/>
      <c r="N12656" s="24"/>
      <c r="O12656" s="24"/>
      <c r="P12656" s="24"/>
      <c r="Q12656" s="24"/>
      <c r="R12656" s="24"/>
      <c r="S12656" s="24"/>
      <c r="T12656" s="24"/>
      <c r="U12656" s="24"/>
      <c r="V12656" s="24"/>
      <c r="W12656" s="24"/>
      <c r="X12656" s="24"/>
      <c r="Y12656" s="24"/>
      <c r="Z12656" s="24"/>
      <c r="AA12656" s="24"/>
    </row>
    <row r="12657">
      <c r="A12657" s="24"/>
      <c r="B12657" s="25"/>
      <c r="C12657" s="24"/>
      <c r="D12657" s="26"/>
      <c r="E12657" s="24"/>
      <c r="F12657" s="24"/>
      <c r="G12657" s="24"/>
      <c r="H12657" s="24"/>
      <c r="I12657" s="24"/>
      <c r="J12657" s="24"/>
      <c r="K12657" s="24"/>
      <c r="L12657" s="24"/>
      <c r="M12657" s="24"/>
      <c r="N12657" s="24"/>
      <c r="O12657" s="24"/>
      <c r="P12657" s="24"/>
      <c r="Q12657" s="24"/>
      <c r="R12657" s="24"/>
      <c r="S12657" s="24"/>
      <c r="T12657" s="24"/>
      <c r="U12657" s="24"/>
      <c r="V12657" s="24"/>
      <c r="W12657" s="24"/>
      <c r="X12657" s="24"/>
      <c r="Y12657" s="24"/>
      <c r="Z12657" s="24"/>
      <c r="AA12657" s="24"/>
    </row>
    <row r="12658">
      <c r="A12658" s="24"/>
      <c r="B12658" s="25"/>
      <c r="C12658" s="24"/>
      <c r="D12658" s="26"/>
      <c r="E12658" s="24"/>
      <c r="F12658" s="24"/>
      <c r="G12658" s="24"/>
      <c r="H12658" s="24"/>
      <c r="I12658" s="24"/>
      <c r="J12658" s="24"/>
      <c r="K12658" s="24"/>
      <c r="L12658" s="24"/>
      <c r="M12658" s="24"/>
      <c r="N12658" s="24"/>
      <c r="O12658" s="24"/>
      <c r="P12658" s="24"/>
      <c r="Q12658" s="24"/>
      <c r="R12658" s="24"/>
      <c r="S12658" s="24"/>
      <c r="T12658" s="24"/>
      <c r="U12658" s="24"/>
      <c r="V12658" s="24"/>
      <c r="W12658" s="24"/>
      <c r="X12658" s="24"/>
      <c r="Y12658" s="24"/>
      <c r="Z12658" s="24"/>
      <c r="AA12658" s="24"/>
    </row>
    <row r="12659">
      <c r="A12659" s="24"/>
      <c r="B12659" s="25"/>
      <c r="C12659" s="24"/>
      <c r="D12659" s="26"/>
      <c r="E12659" s="24"/>
      <c r="F12659" s="24"/>
      <c r="G12659" s="24"/>
      <c r="H12659" s="24"/>
      <c r="I12659" s="24"/>
      <c r="J12659" s="24"/>
      <c r="K12659" s="24"/>
      <c r="L12659" s="24"/>
      <c r="M12659" s="24"/>
      <c r="N12659" s="24"/>
      <c r="O12659" s="24"/>
      <c r="P12659" s="24"/>
      <c r="Q12659" s="24"/>
      <c r="R12659" s="24"/>
      <c r="S12659" s="24"/>
      <c r="T12659" s="24"/>
      <c r="U12659" s="24"/>
      <c r="V12659" s="24"/>
      <c r="W12659" s="24"/>
      <c r="X12659" s="24"/>
      <c r="Y12659" s="24"/>
      <c r="Z12659" s="24"/>
      <c r="AA12659" s="24"/>
    </row>
    <row r="12660">
      <c r="A12660" s="24"/>
      <c r="B12660" s="25"/>
      <c r="C12660" s="24"/>
      <c r="D12660" s="26"/>
      <c r="E12660" s="24"/>
      <c r="F12660" s="24"/>
      <c r="G12660" s="24"/>
      <c r="H12660" s="24"/>
      <c r="I12660" s="24"/>
      <c r="J12660" s="24"/>
      <c r="K12660" s="24"/>
      <c r="L12660" s="24"/>
      <c r="M12660" s="24"/>
      <c r="N12660" s="24"/>
      <c r="O12660" s="24"/>
      <c r="P12660" s="24"/>
      <c r="Q12660" s="24"/>
      <c r="R12660" s="24"/>
      <c r="S12660" s="24"/>
      <c r="T12660" s="24"/>
      <c r="U12660" s="24"/>
      <c r="V12660" s="24"/>
      <c r="W12660" s="24"/>
      <c r="X12660" s="24"/>
      <c r="Y12660" s="24"/>
      <c r="Z12660" s="24"/>
      <c r="AA12660" s="24"/>
    </row>
    <row r="12661">
      <c r="A12661" s="24"/>
      <c r="B12661" s="25"/>
      <c r="C12661" s="24"/>
      <c r="D12661" s="26"/>
      <c r="E12661" s="24"/>
      <c r="F12661" s="24"/>
      <c r="G12661" s="24"/>
      <c r="H12661" s="24"/>
      <c r="I12661" s="24"/>
      <c r="J12661" s="24"/>
      <c r="K12661" s="24"/>
      <c r="L12661" s="24"/>
      <c r="M12661" s="24"/>
      <c r="N12661" s="24"/>
      <c r="O12661" s="24"/>
      <c r="P12661" s="24"/>
      <c r="Q12661" s="24"/>
      <c r="R12661" s="24"/>
      <c r="S12661" s="24"/>
      <c r="T12661" s="24"/>
      <c r="U12661" s="24"/>
      <c r="V12661" s="24"/>
      <c r="W12661" s="24"/>
      <c r="X12661" s="24"/>
      <c r="Y12661" s="24"/>
      <c r="Z12661" s="24"/>
      <c r="AA12661" s="24"/>
    </row>
    <row r="12662">
      <c r="A12662" s="24"/>
      <c r="B12662" s="25"/>
      <c r="C12662" s="24"/>
      <c r="D12662" s="26"/>
      <c r="E12662" s="24"/>
      <c r="F12662" s="24"/>
      <c r="G12662" s="24"/>
      <c r="H12662" s="24"/>
      <c r="I12662" s="24"/>
      <c r="J12662" s="24"/>
      <c r="K12662" s="24"/>
      <c r="L12662" s="24"/>
      <c r="M12662" s="24"/>
      <c r="N12662" s="24"/>
      <c r="O12662" s="24"/>
      <c r="P12662" s="24"/>
      <c r="Q12662" s="24"/>
      <c r="R12662" s="24"/>
      <c r="S12662" s="24"/>
      <c r="T12662" s="24"/>
      <c r="U12662" s="24"/>
      <c r="V12662" s="24"/>
      <c r="W12662" s="24"/>
      <c r="X12662" s="24"/>
      <c r="Y12662" s="24"/>
      <c r="Z12662" s="24"/>
      <c r="AA12662" s="24"/>
    </row>
    <row r="12663">
      <c r="A12663" s="24"/>
      <c r="B12663" s="25"/>
      <c r="C12663" s="24"/>
      <c r="D12663" s="26"/>
      <c r="E12663" s="24"/>
      <c r="F12663" s="24"/>
      <c r="G12663" s="24"/>
      <c r="H12663" s="24"/>
      <c r="I12663" s="24"/>
      <c r="J12663" s="24"/>
      <c r="K12663" s="24"/>
      <c r="L12663" s="24"/>
      <c r="M12663" s="24"/>
      <c r="N12663" s="24"/>
      <c r="O12663" s="24"/>
      <c r="P12663" s="24"/>
      <c r="Q12663" s="24"/>
      <c r="R12663" s="24"/>
      <c r="S12663" s="24"/>
      <c r="T12663" s="24"/>
      <c r="U12663" s="24"/>
      <c r="V12663" s="24"/>
      <c r="W12663" s="24"/>
      <c r="X12663" s="24"/>
      <c r="Y12663" s="24"/>
      <c r="Z12663" s="24"/>
      <c r="AA12663" s="24"/>
    </row>
    <row r="12664">
      <c r="A12664" s="24"/>
      <c r="B12664" s="25"/>
      <c r="C12664" s="24"/>
      <c r="D12664" s="26"/>
      <c r="E12664" s="24"/>
      <c r="F12664" s="24"/>
      <c r="G12664" s="24"/>
      <c r="H12664" s="24"/>
      <c r="I12664" s="24"/>
      <c r="J12664" s="24"/>
      <c r="K12664" s="24"/>
      <c r="L12664" s="24"/>
      <c r="M12664" s="24"/>
      <c r="N12664" s="24"/>
      <c r="O12664" s="24"/>
      <c r="P12664" s="24"/>
      <c r="Q12664" s="24"/>
      <c r="R12664" s="24"/>
      <c r="S12664" s="24"/>
      <c r="T12664" s="24"/>
      <c r="U12664" s="24"/>
      <c r="V12664" s="24"/>
      <c r="W12664" s="24"/>
      <c r="X12664" s="24"/>
      <c r="Y12664" s="24"/>
      <c r="Z12664" s="24"/>
      <c r="AA12664" s="24"/>
    </row>
    <row r="12665">
      <c r="A12665" s="24"/>
      <c r="B12665" s="25"/>
      <c r="C12665" s="24"/>
      <c r="D12665" s="26"/>
      <c r="E12665" s="24"/>
      <c r="F12665" s="24"/>
      <c r="G12665" s="24"/>
      <c r="H12665" s="24"/>
      <c r="I12665" s="24"/>
      <c r="J12665" s="24"/>
      <c r="K12665" s="24"/>
      <c r="L12665" s="24"/>
      <c r="M12665" s="24"/>
      <c r="N12665" s="24"/>
      <c r="O12665" s="24"/>
      <c r="P12665" s="24"/>
      <c r="Q12665" s="24"/>
      <c r="R12665" s="24"/>
      <c r="S12665" s="24"/>
      <c r="T12665" s="24"/>
      <c r="U12665" s="24"/>
      <c r="V12665" s="24"/>
      <c r="W12665" s="24"/>
      <c r="X12665" s="24"/>
      <c r="Y12665" s="24"/>
      <c r="Z12665" s="24"/>
      <c r="AA12665" s="24"/>
    </row>
    <row r="12666">
      <c r="A12666" s="24"/>
      <c r="B12666" s="25"/>
      <c r="C12666" s="24"/>
      <c r="D12666" s="26"/>
      <c r="E12666" s="24"/>
      <c r="F12666" s="24"/>
      <c r="G12666" s="24"/>
      <c r="H12666" s="24"/>
      <c r="I12666" s="24"/>
      <c r="J12666" s="24"/>
      <c r="K12666" s="24"/>
      <c r="L12666" s="24"/>
      <c r="M12666" s="24"/>
      <c r="N12666" s="24"/>
      <c r="O12666" s="24"/>
      <c r="P12666" s="24"/>
      <c r="Q12666" s="24"/>
      <c r="R12666" s="24"/>
      <c r="S12666" s="24"/>
      <c r="T12666" s="24"/>
      <c r="U12666" s="24"/>
      <c r="V12666" s="24"/>
      <c r="W12666" s="24"/>
      <c r="X12666" s="24"/>
      <c r="Y12666" s="24"/>
      <c r="Z12666" s="24"/>
      <c r="AA12666" s="24"/>
    </row>
    <row r="12667">
      <c r="A12667" s="24"/>
      <c r="B12667" s="25"/>
      <c r="C12667" s="24"/>
      <c r="D12667" s="26"/>
      <c r="E12667" s="24"/>
      <c r="F12667" s="24"/>
      <c r="G12667" s="24"/>
      <c r="H12667" s="24"/>
      <c r="I12667" s="24"/>
      <c r="J12667" s="24"/>
      <c r="K12667" s="24"/>
      <c r="L12667" s="24"/>
      <c r="M12667" s="24"/>
      <c r="N12667" s="24"/>
      <c r="O12667" s="24"/>
      <c r="P12667" s="24"/>
      <c r="Q12667" s="24"/>
      <c r="R12667" s="24"/>
      <c r="S12667" s="24"/>
      <c r="T12667" s="24"/>
      <c r="U12667" s="24"/>
      <c r="V12667" s="24"/>
      <c r="W12667" s="24"/>
      <c r="X12667" s="24"/>
      <c r="Y12667" s="24"/>
      <c r="Z12667" s="24"/>
      <c r="AA12667" s="24"/>
    </row>
    <row r="12668">
      <c r="A12668" s="24"/>
      <c r="B12668" s="25"/>
      <c r="C12668" s="24"/>
      <c r="D12668" s="26"/>
      <c r="E12668" s="24"/>
      <c r="F12668" s="24"/>
      <c r="G12668" s="24"/>
      <c r="H12668" s="24"/>
      <c r="I12668" s="24"/>
      <c r="J12668" s="24"/>
      <c r="K12668" s="24"/>
      <c r="L12668" s="24"/>
      <c r="M12668" s="24"/>
      <c r="N12668" s="24"/>
      <c r="O12668" s="24"/>
      <c r="P12668" s="24"/>
      <c r="Q12668" s="24"/>
      <c r="R12668" s="24"/>
      <c r="S12668" s="24"/>
      <c r="T12668" s="24"/>
      <c r="U12668" s="24"/>
      <c r="V12668" s="24"/>
      <c r="W12668" s="24"/>
      <c r="X12668" s="24"/>
      <c r="Y12668" s="24"/>
      <c r="Z12668" s="24"/>
      <c r="AA12668" s="24"/>
    </row>
    <row r="12669">
      <c r="A12669" s="24"/>
      <c r="B12669" s="25"/>
      <c r="C12669" s="24"/>
      <c r="D12669" s="26"/>
      <c r="E12669" s="24"/>
      <c r="F12669" s="24"/>
      <c r="G12669" s="24"/>
      <c r="H12669" s="24"/>
      <c r="I12669" s="24"/>
      <c r="J12669" s="24"/>
      <c r="K12669" s="24"/>
      <c r="L12669" s="24"/>
      <c r="M12669" s="24"/>
      <c r="N12669" s="24"/>
      <c r="O12669" s="24"/>
      <c r="P12669" s="24"/>
      <c r="Q12669" s="24"/>
      <c r="R12669" s="24"/>
      <c r="S12669" s="24"/>
      <c r="T12669" s="24"/>
      <c r="U12669" s="24"/>
      <c r="V12669" s="24"/>
      <c r="W12669" s="24"/>
      <c r="X12669" s="24"/>
      <c r="Y12669" s="24"/>
      <c r="Z12669" s="24"/>
      <c r="AA12669" s="24"/>
    </row>
    <row r="12670">
      <c r="A12670" s="24"/>
      <c r="B12670" s="25"/>
      <c r="C12670" s="24"/>
      <c r="D12670" s="26"/>
      <c r="E12670" s="24"/>
      <c r="F12670" s="24"/>
      <c r="G12670" s="24"/>
      <c r="H12670" s="24"/>
      <c r="I12670" s="24"/>
      <c r="J12670" s="24"/>
      <c r="K12670" s="24"/>
      <c r="L12670" s="24"/>
      <c r="M12670" s="24"/>
      <c r="N12670" s="24"/>
      <c r="O12670" s="24"/>
      <c r="P12670" s="24"/>
      <c r="Q12670" s="24"/>
      <c r="R12670" s="24"/>
      <c r="S12670" s="24"/>
      <c r="T12670" s="24"/>
      <c r="U12670" s="24"/>
      <c r="V12670" s="24"/>
      <c r="W12670" s="24"/>
      <c r="X12670" s="24"/>
      <c r="Y12670" s="24"/>
      <c r="Z12670" s="24"/>
      <c r="AA12670" s="24"/>
    </row>
    <row r="12671">
      <c r="A12671" s="24"/>
      <c r="B12671" s="25"/>
      <c r="C12671" s="24"/>
      <c r="D12671" s="26"/>
      <c r="E12671" s="24"/>
      <c r="F12671" s="24"/>
      <c r="G12671" s="24"/>
      <c r="H12671" s="24"/>
      <c r="I12671" s="24"/>
      <c r="J12671" s="24"/>
      <c r="K12671" s="24"/>
      <c r="L12671" s="24"/>
      <c r="M12671" s="24"/>
      <c r="N12671" s="24"/>
      <c r="O12671" s="24"/>
      <c r="P12671" s="24"/>
      <c r="Q12671" s="24"/>
      <c r="R12671" s="24"/>
      <c r="S12671" s="24"/>
      <c r="T12671" s="24"/>
      <c r="U12671" s="24"/>
      <c r="V12671" s="24"/>
      <c r="W12671" s="24"/>
      <c r="X12671" s="24"/>
      <c r="Y12671" s="24"/>
      <c r="Z12671" s="24"/>
      <c r="AA12671" s="24"/>
    </row>
    <row r="12672">
      <c r="A12672" s="24"/>
      <c r="B12672" s="25"/>
      <c r="C12672" s="24"/>
      <c r="D12672" s="26"/>
      <c r="E12672" s="24"/>
      <c r="F12672" s="24"/>
      <c r="G12672" s="24"/>
      <c r="H12672" s="24"/>
      <c r="I12672" s="24"/>
      <c r="J12672" s="24"/>
      <c r="K12672" s="24"/>
      <c r="L12672" s="24"/>
      <c r="M12672" s="24"/>
      <c r="N12672" s="24"/>
      <c r="O12672" s="24"/>
      <c r="P12672" s="24"/>
      <c r="Q12672" s="24"/>
      <c r="R12672" s="24"/>
      <c r="S12672" s="24"/>
      <c r="T12672" s="24"/>
      <c r="U12672" s="24"/>
      <c r="V12672" s="24"/>
      <c r="W12672" s="24"/>
      <c r="X12672" s="24"/>
      <c r="Y12672" s="24"/>
      <c r="Z12672" s="24"/>
      <c r="AA12672" s="24"/>
    </row>
    <row r="12673">
      <c r="A12673" s="24"/>
      <c r="B12673" s="25"/>
      <c r="C12673" s="24"/>
      <c r="D12673" s="26"/>
      <c r="E12673" s="24"/>
      <c r="F12673" s="24"/>
      <c r="G12673" s="24"/>
      <c r="H12673" s="24"/>
      <c r="I12673" s="24"/>
      <c r="J12673" s="24"/>
      <c r="K12673" s="24"/>
      <c r="L12673" s="24"/>
      <c r="M12673" s="24"/>
      <c r="N12673" s="24"/>
      <c r="O12673" s="24"/>
      <c r="P12673" s="24"/>
      <c r="Q12673" s="24"/>
      <c r="R12673" s="24"/>
      <c r="S12673" s="24"/>
      <c r="T12673" s="24"/>
      <c r="U12673" s="24"/>
      <c r="V12673" s="24"/>
      <c r="W12673" s="24"/>
      <c r="X12673" s="24"/>
      <c r="Y12673" s="24"/>
      <c r="Z12673" s="24"/>
      <c r="AA12673" s="24"/>
    </row>
    <row r="12674">
      <c r="A12674" s="24"/>
      <c r="B12674" s="25"/>
      <c r="C12674" s="24"/>
      <c r="D12674" s="26"/>
      <c r="E12674" s="24"/>
      <c r="F12674" s="24"/>
      <c r="G12674" s="24"/>
      <c r="H12674" s="24"/>
      <c r="I12674" s="24"/>
      <c r="J12674" s="24"/>
      <c r="K12674" s="24"/>
      <c r="L12674" s="24"/>
      <c r="M12674" s="24"/>
      <c r="N12674" s="24"/>
      <c r="O12674" s="24"/>
      <c r="P12674" s="24"/>
      <c r="Q12674" s="24"/>
      <c r="R12674" s="24"/>
      <c r="S12674" s="24"/>
      <c r="T12674" s="24"/>
      <c r="U12674" s="24"/>
      <c r="V12674" s="24"/>
      <c r="W12674" s="24"/>
      <c r="X12674" s="24"/>
      <c r="Y12674" s="24"/>
      <c r="Z12674" s="24"/>
      <c r="AA12674" s="24"/>
    </row>
    <row r="12675">
      <c r="A12675" s="24"/>
      <c r="B12675" s="25"/>
      <c r="C12675" s="24"/>
      <c r="D12675" s="26"/>
      <c r="E12675" s="24"/>
      <c r="F12675" s="24"/>
      <c r="G12675" s="24"/>
      <c r="H12675" s="24"/>
      <c r="I12675" s="24"/>
      <c r="J12675" s="24"/>
      <c r="K12675" s="24"/>
      <c r="L12675" s="24"/>
      <c r="M12675" s="24"/>
      <c r="N12675" s="24"/>
      <c r="O12675" s="24"/>
      <c r="P12675" s="24"/>
      <c r="Q12675" s="24"/>
      <c r="R12675" s="24"/>
      <c r="S12675" s="24"/>
      <c r="T12675" s="24"/>
      <c r="U12675" s="24"/>
      <c r="V12675" s="24"/>
      <c r="W12675" s="24"/>
      <c r="X12675" s="24"/>
      <c r="Y12675" s="24"/>
      <c r="Z12675" s="24"/>
      <c r="AA12675" s="24"/>
    </row>
    <row r="12676">
      <c r="A12676" s="24"/>
      <c r="B12676" s="25"/>
      <c r="C12676" s="24"/>
      <c r="D12676" s="26"/>
      <c r="E12676" s="24"/>
      <c r="F12676" s="24"/>
      <c r="G12676" s="24"/>
      <c r="H12676" s="24"/>
      <c r="I12676" s="24"/>
      <c r="J12676" s="24"/>
      <c r="K12676" s="24"/>
      <c r="L12676" s="24"/>
      <c r="M12676" s="24"/>
      <c r="N12676" s="24"/>
      <c r="O12676" s="24"/>
      <c r="P12676" s="24"/>
      <c r="Q12676" s="24"/>
      <c r="R12676" s="24"/>
      <c r="S12676" s="24"/>
      <c r="T12676" s="24"/>
      <c r="U12676" s="24"/>
      <c r="V12676" s="24"/>
      <c r="W12676" s="24"/>
      <c r="X12676" s="24"/>
      <c r="Y12676" s="24"/>
      <c r="Z12676" s="24"/>
      <c r="AA12676" s="24"/>
    </row>
    <row r="12677">
      <c r="A12677" s="24"/>
      <c r="B12677" s="25"/>
      <c r="C12677" s="24"/>
      <c r="D12677" s="26"/>
      <c r="E12677" s="24"/>
      <c r="F12677" s="24"/>
      <c r="G12677" s="24"/>
      <c r="H12677" s="24"/>
      <c r="I12677" s="24"/>
      <c r="J12677" s="24"/>
      <c r="K12677" s="24"/>
      <c r="L12677" s="24"/>
      <c r="M12677" s="24"/>
      <c r="N12677" s="24"/>
      <c r="O12677" s="24"/>
      <c r="P12677" s="24"/>
      <c r="Q12677" s="24"/>
      <c r="R12677" s="24"/>
      <c r="S12677" s="24"/>
      <c r="T12677" s="24"/>
      <c r="U12677" s="24"/>
      <c r="V12677" s="24"/>
      <c r="W12677" s="24"/>
      <c r="X12677" s="24"/>
      <c r="Y12677" s="24"/>
      <c r="Z12677" s="24"/>
      <c r="AA12677" s="24"/>
    </row>
    <row r="12678">
      <c r="A12678" s="24"/>
      <c r="B12678" s="25"/>
      <c r="C12678" s="24"/>
      <c r="D12678" s="26"/>
      <c r="E12678" s="24"/>
      <c r="F12678" s="24"/>
      <c r="G12678" s="24"/>
      <c r="H12678" s="24"/>
      <c r="I12678" s="24"/>
      <c r="J12678" s="24"/>
      <c r="K12678" s="24"/>
      <c r="L12678" s="24"/>
      <c r="M12678" s="24"/>
      <c r="N12678" s="24"/>
      <c r="O12678" s="24"/>
      <c r="P12678" s="24"/>
      <c r="Q12678" s="24"/>
      <c r="R12678" s="24"/>
      <c r="S12678" s="24"/>
      <c r="T12678" s="24"/>
      <c r="U12678" s="24"/>
      <c r="V12678" s="24"/>
      <c r="W12678" s="24"/>
      <c r="X12678" s="24"/>
      <c r="Y12678" s="24"/>
      <c r="Z12678" s="24"/>
      <c r="AA12678" s="24"/>
    </row>
    <row r="12679">
      <c r="A12679" s="24"/>
      <c r="B12679" s="25"/>
      <c r="C12679" s="24"/>
      <c r="D12679" s="26"/>
      <c r="E12679" s="24"/>
      <c r="F12679" s="24"/>
      <c r="G12679" s="24"/>
      <c r="H12679" s="24"/>
      <c r="I12679" s="24"/>
      <c r="J12679" s="24"/>
      <c r="K12679" s="24"/>
      <c r="L12679" s="24"/>
      <c r="M12679" s="24"/>
      <c r="N12679" s="24"/>
      <c r="O12679" s="24"/>
      <c r="P12679" s="24"/>
      <c r="Q12679" s="24"/>
      <c r="R12679" s="24"/>
      <c r="S12679" s="24"/>
      <c r="T12679" s="24"/>
      <c r="U12679" s="24"/>
      <c r="V12679" s="24"/>
      <c r="W12679" s="24"/>
      <c r="X12679" s="24"/>
      <c r="Y12679" s="24"/>
      <c r="Z12679" s="24"/>
      <c r="AA12679" s="24"/>
    </row>
    <row r="12680">
      <c r="A12680" s="24"/>
      <c r="B12680" s="25"/>
      <c r="C12680" s="24"/>
      <c r="D12680" s="26"/>
      <c r="E12680" s="24"/>
      <c r="F12680" s="24"/>
      <c r="G12680" s="24"/>
      <c r="H12680" s="24"/>
      <c r="I12680" s="24"/>
      <c r="J12680" s="24"/>
      <c r="K12680" s="24"/>
      <c r="L12680" s="24"/>
      <c r="M12680" s="24"/>
      <c r="N12680" s="24"/>
      <c r="O12680" s="24"/>
      <c r="P12680" s="24"/>
      <c r="Q12680" s="24"/>
      <c r="R12680" s="24"/>
      <c r="S12680" s="24"/>
      <c r="T12680" s="24"/>
      <c r="U12680" s="24"/>
      <c r="V12680" s="24"/>
      <c r="W12680" s="24"/>
      <c r="X12680" s="24"/>
      <c r="Y12680" s="24"/>
      <c r="Z12680" s="24"/>
      <c r="AA12680" s="24"/>
    </row>
    <row r="12681">
      <c r="A12681" s="24"/>
      <c r="B12681" s="25"/>
      <c r="C12681" s="24"/>
      <c r="D12681" s="26"/>
      <c r="E12681" s="24"/>
      <c r="F12681" s="24"/>
      <c r="G12681" s="24"/>
      <c r="H12681" s="24"/>
      <c r="I12681" s="24"/>
      <c r="J12681" s="24"/>
      <c r="K12681" s="24"/>
      <c r="L12681" s="24"/>
      <c r="M12681" s="24"/>
      <c r="N12681" s="24"/>
      <c r="O12681" s="24"/>
      <c r="P12681" s="24"/>
      <c r="Q12681" s="24"/>
      <c r="R12681" s="24"/>
      <c r="S12681" s="24"/>
      <c r="T12681" s="24"/>
      <c r="U12681" s="24"/>
      <c r="V12681" s="24"/>
      <c r="W12681" s="24"/>
      <c r="X12681" s="24"/>
      <c r="Y12681" s="24"/>
      <c r="Z12681" s="24"/>
      <c r="AA12681" s="24"/>
    </row>
    <row r="12682">
      <c r="A12682" s="24"/>
      <c r="B12682" s="25"/>
      <c r="C12682" s="24"/>
      <c r="D12682" s="26"/>
      <c r="E12682" s="24"/>
      <c r="F12682" s="24"/>
      <c r="G12682" s="24"/>
      <c r="H12682" s="24"/>
      <c r="I12682" s="24"/>
      <c r="J12682" s="24"/>
      <c r="K12682" s="24"/>
      <c r="L12682" s="24"/>
      <c r="M12682" s="24"/>
      <c r="N12682" s="24"/>
      <c r="O12682" s="24"/>
      <c r="P12682" s="24"/>
      <c r="Q12682" s="24"/>
      <c r="R12682" s="24"/>
      <c r="S12682" s="24"/>
      <c r="T12682" s="24"/>
      <c r="U12682" s="24"/>
      <c r="V12682" s="24"/>
      <c r="W12682" s="24"/>
      <c r="X12682" s="24"/>
      <c r="Y12682" s="24"/>
      <c r="Z12682" s="24"/>
      <c r="AA12682" s="24"/>
    </row>
    <row r="12683">
      <c r="A12683" s="24"/>
      <c r="B12683" s="25"/>
      <c r="C12683" s="24"/>
      <c r="D12683" s="26"/>
      <c r="E12683" s="24"/>
      <c r="F12683" s="24"/>
      <c r="G12683" s="24"/>
      <c r="H12683" s="24"/>
      <c r="I12683" s="24"/>
      <c r="J12683" s="24"/>
      <c r="K12683" s="24"/>
      <c r="L12683" s="24"/>
      <c r="M12683" s="24"/>
      <c r="N12683" s="24"/>
      <c r="O12683" s="24"/>
      <c r="P12683" s="24"/>
      <c r="Q12683" s="24"/>
      <c r="R12683" s="24"/>
      <c r="S12683" s="24"/>
      <c r="T12683" s="24"/>
      <c r="U12683" s="24"/>
      <c r="V12683" s="24"/>
      <c r="W12683" s="24"/>
      <c r="X12683" s="24"/>
      <c r="Y12683" s="24"/>
      <c r="Z12683" s="24"/>
      <c r="AA12683" s="24"/>
    </row>
    <row r="12684">
      <c r="A12684" s="24"/>
      <c r="B12684" s="25"/>
      <c r="C12684" s="24"/>
      <c r="D12684" s="26"/>
      <c r="E12684" s="24"/>
      <c r="F12684" s="24"/>
      <c r="G12684" s="24"/>
      <c r="H12684" s="24"/>
      <c r="I12684" s="24"/>
      <c r="J12684" s="24"/>
      <c r="K12684" s="24"/>
      <c r="L12684" s="24"/>
      <c r="M12684" s="24"/>
      <c r="N12684" s="24"/>
      <c r="O12684" s="24"/>
      <c r="P12684" s="24"/>
      <c r="Q12684" s="24"/>
      <c r="R12684" s="24"/>
      <c r="S12684" s="24"/>
      <c r="T12684" s="24"/>
      <c r="U12684" s="24"/>
      <c r="V12684" s="24"/>
      <c r="W12684" s="24"/>
      <c r="X12684" s="24"/>
      <c r="Y12684" s="24"/>
      <c r="Z12684" s="24"/>
      <c r="AA12684" s="24"/>
    </row>
    <row r="12685">
      <c r="A12685" s="24"/>
      <c r="B12685" s="25"/>
      <c r="C12685" s="24"/>
      <c r="D12685" s="26"/>
      <c r="E12685" s="24"/>
      <c r="F12685" s="24"/>
      <c r="G12685" s="24"/>
      <c r="H12685" s="24"/>
      <c r="I12685" s="24"/>
      <c r="J12685" s="24"/>
      <c r="K12685" s="24"/>
      <c r="L12685" s="24"/>
      <c r="M12685" s="24"/>
      <c r="N12685" s="24"/>
      <c r="O12685" s="24"/>
      <c r="P12685" s="24"/>
      <c r="Q12685" s="24"/>
      <c r="R12685" s="24"/>
      <c r="S12685" s="24"/>
      <c r="T12685" s="24"/>
      <c r="U12685" s="24"/>
      <c r="V12685" s="24"/>
      <c r="W12685" s="24"/>
      <c r="X12685" s="24"/>
      <c r="Y12685" s="24"/>
      <c r="Z12685" s="24"/>
      <c r="AA12685" s="24"/>
    </row>
    <row r="12686">
      <c r="A12686" s="24"/>
      <c r="B12686" s="25"/>
      <c r="C12686" s="24"/>
      <c r="D12686" s="26"/>
      <c r="E12686" s="24"/>
      <c r="F12686" s="24"/>
      <c r="G12686" s="24"/>
      <c r="H12686" s="24"/>
      <c r="I12686" s="24"/>
      <c r="J12686" s="24"/>
      <c r="K12686" s="24"/>
      <c r="L12686" s="24"/>
      <c r="M12686" s="24"/>
      <c r="N12686" s="24"/>
      <c r="O12686" s="24"/>
      <c r="P12686" s="24"/>
      <c r="Q12686" s="24"/>
      <c r="R12686" s="24"/>
      <c r="S12686" s="24"/>
      <c r="T12686" s="24"/>
      <c r="U12686" s="24"/>
      <c r="V12686" s="24"/>
      <c r="W12686" s="24"/>
      <c r="X12686" s="24"/>
      <c r="Y12686" s="24"/>
      <c r="Z12686" s="24"/>
      <c r="AA12686" s="24"/>
    </row>
    <row r="12687">
      <c r="A12687" s="24"/>
      <c r="B12687" s="25"/>
      <c r="C12687" s="24"/>
      <c r="D12687" s="26"/>
      <c r="E12687" s="24"/>
      <c r="F12687" s="24"/>
      <c r="G12687" s="24"/>
      <c r="H12687" s="24"/>
      <c r="I12687" s="24"/>
      <c r="J12687" s="24"/>
      <c r="K12687" s="24"/>
      <c r="L12687" s="24"/>
      <c r="M12687" s="24"/>
      <c r="N12687" s="24"/>
      <c r="O12687" s="24"/>
      <c r="P12687" s="24"/>
      <c r="Q12687" s="24"/>
      <c r="R12687" s="24"/>
      <c r="S12687" s="24"/>
      <c r="T12687" s="24"/>
      <c r="U12687" s="24"/>
      <c r="V12687" s="24"/>
      <c r="W12687" s="24"/>
      <c r="X12687" s="24"/>
      <c r="Y12687" s="24"/>
      <c r="Z12687" s="24"/>
      <c r="AA12687" s="24"/>
    </row>
    <row r="12688">
      <c r="A12688" s="24"/>
      <c r="B12688" s="25"/>
      <c r="C12688" s="24"/>
      <c r="D12688" s="26"/>
      <c r="E12688" s="24"/>
      <c r="F12688" s="24"/>
      <c r="G12688" s="24"/>
      <c r="H12688" s="24"/>
      <c r="I12688" s="24"/>
      <c r="J12688" s="24"/>
      <c r="K12688" s="24"/>
      <c r="L12688" s="24"/>
      <c r="M12688" s="24"/>
      <c r="N12688" s="24"/>
      <c r="O12688" s="24"/>
      <c r="P12688" s="24"/>
      <c r="Q12688" s="24"/>
      <c r="R12688" s="24"/>
      <c r="S12688" s="24"/>
      <c r="T12688" s="24"/>
      <c r="U12688" s="24"/>
      <c r="V12688" s="24"/>
      <c r="W12688" s="24"/>
      <c r="X12688" s="24"/>
      <c r="Y12688" s="24"/>
      <c r="Z12688" s="24"/>
      <c r="AA12688" s="24"/>
    </row>
    <row r="12689">
      <c r="A12689" s="24"/>
      <c r="B12689" s="25"/>
      <c r="C12689" s="24"/>
      <c r="D12689" s="26"/>
      <c r="E12689" s="24"/>
      <c r="F12689" s="24"/>
      <c r="G12689" s="24"/>
      <c r="H12689" s="24"/>
      <c r="I12689" s="24"/>
      <c r="J12689" s="24"/>
      <c r="K12689" s="24"/>
      <c r="L12689" s="24"/>
      <c r="M12689" s="24"/>
      <c r="N12689" s="24"/>
      <c r="O12689" s="24"/>
      <c r="P12689" s="24"/>
      <c r="Q12689" s="24"/>
      <c r="R12689" s="24"/>
      <c r="S12689" s="24"/>
      <c r="T12689" s="24"/>
      <c r="U12689" s="24"/>
      <c r="V12689" s="24"/>
      <c r="W12689" s="24"/>
      <c r="X12689" s="24"/>
      <c r="Y12689" s="24"/>
      <c r="Z12689" s="24"/>
      <c r="AA12689" s="24"/>
    </row>
    <row r="12690">
      <c r="A12690" s="24"/>
      <c r="B12690" s="25"/>
      <c r="C12690" s="24"/>
      <c r="D12690" s="26"/>
      <c r="E12690" s="24"/>
      <c r="F12690" s="24"/>
      <c r="G12690" s="24"/>
      <c r="H12690" s="24"/>
      <c r="I12690" s="24"/>
      <c r="J12690" s="24"/>
      <c r="K12690" s="24"/>
      <c r="L12690" s="24"/>
      <c r="M12690" s="24"/>
      <c r="N12690" s="24"/>
      <c r="O12690" s="24"/>
      <c r="P12690" s="24"/>
      <c r="Q12690" s="24"/>
      <c r="R12690" s="24"/>
      <c r="S12690" s="24"/>
      <c r="T12690" s="24"/>
      <c r="U12690" s="24"/>
      <c r="V12690" s="24"/>
      <c r="W12690" s="24"/>
      <c r="X12690" s="24"/>
      <c r="Y12690" s="24"/>
      <c r="Z12690" s="24"/>
      <c r="AA12690" s="24"/>
    </row>
    <row r="12691">
      <c r="A12691" s="24"/>
      <c r="B12691" s="25"/>
      <c r="C12691" s="24"/>
      <c r="D12691" s="26"/>
      <c r="E12691" s="24"/>
      <c r="F12691" s="24"/>
      <c r="G12691" s="24"/>
      <c r="H12691" s="24"/>
      <c r="I12691" s="24"/>
      <c r="J12691" s="24"/>
      <c r="K12691" s="24"/>
      <c r="L12691" s="24"/>
      <c r="M12691" s="24"/>
      <c r="N12691" s="24"/>
      <c r="O12691" s="24"/>
      <c r="P12691" s="24"/>
      <c r="Q12691" s="24"/>
      <c r="R12691" s="24"/>
      <c r="S12691" s="24"/>
      <c r="T12691" s="24"/>
      <c r="U12691" s="24"/>
      <c r="V12691" s="24"/>
      <c r="W12691" s="24"/>
      <c r="X12691" s="24"/>
      <c r="Y12691" s="24"/>
      <c r="Z12691" s="24"/>
      <c r="AA12691" s="24"/>
    </row>
    <row r="12692">
      <c r="A12692" s="24"/>
      <c r="B12692" s="25"/>
      <c r="C12692" s="24"/>
      <c r="D12692" s="26"/>
      <c r="E12692" s="24"/>
      <c r="F12692" s="24"/>
      <c r="G12692" s="24"/>
      <c r="H12692" s="24"/>
      <c r="I12692" s="24"/>
      <c r="J12692" s="24"/>
      <c r="K12692" s="24"/>
      <c r="L12692" s="24"/>
      <c r="M12692" s="24"/>
      <c r="N12692" s="24"/>
      <c r="O12692" s="24"/>
      <c r="P12692" s="24"/>
      <c r="Q12692" s="24"/>
      <c r="R12692" s="24"/>
      <c r="S12692" s="24"/>
      <c r="T12692" s="24"/>
      <c r="U12692" s="24"/>
      <c r="V12692" s="24"/>
      <c r="W12692" s="24"/>
      <c r="X12692" s="24"/>
      <c r="Y12692" s="24"/>
      <c r="Z12692" s="24"/>
      <c r="AA12692" s="24"/>
    </row>
    <row r="12693">
      <c r="A12693" s="24"/>
      <c r="B12693" s="25"/>
      <c r="C12693" s="24"/>
      <c r="D12693" s="26"/>
      <c r="E12693" s="24"/>
      <c r="F12693" s="24"/>
      <c r="G12693" s="24"/>
      <c r="H12693" s="24"/>
      <c r="I12693" s="24"/>
      <c r="J12693" s="24"/>
      <c r="K12693" s="24"/>
      <c r="L12693" s="24"/>
      <c r="M12693" s="24"/>
      <c r="N12693" s="24"/>
      <c r="O12693" s="24"/>
      <c r="P12693" s="24"/>
      <c r="Q12693" s="24"/>
      <c r="R12693" s="24"/>
      <c r="S12693" s="24"/>
      <c r="T12693" s="24"/>
      <c r="U12693" s="24"/>
      <c r="V12693" s="24"/>
      <c r="W12693" s="24"/>
      <c r="X12693" s="24"/>
      <c r="Y12693" s="24"/>
      <c r="Z12693" s="24"/>
      <c r="AA12693" s="24"/>
    </row>
    <row r="12694">
      <c r="A12694" s="24"/>
      <c r="B12694" s="25"/>
      <c r="C12694" s="24"/>
      <c r="D12694" s="26"/>
      <c r="E12694" s="24"/>
      <c r="F12694" s="24"/>
      <c r="G12694" s="24"/>
      <c r="H12694" s="24"/>
      <c r="I12694" s="24"/>
      <c r="J12694" s="24"/>
      <c r="K12694" s="24"/>
      <c r="L12694" s="24"/>
      <c r="M12694" s="24"/>
      <c r="N12694" s="24"/>
      <c r="O12694" s="24"/>
      <c r="P12694" s="24"/>
      <c r="Q12694" s="24"/>
      <c r="R12694" s="24"/>
      <c r="S12694" s="24"/>
      <c r="T12694" s="24"/>
      <c r="U12694" s="24"/>
      <c r="V12694" s="24"/>
      <c r="W12694" s="24"/>
      <c r="X12694" s="24"/>
      <c r="Y12694" s="24"/>
      <c r="Z12694" s="24"/>
      <c r="AA12694" s="24"/>
    </row>
    <row r="12695">
      <c r="A12695" s="24"/>
      <c r="B12695" s="25"/>
      <c r="C12695" s="24"/>
      <c r="D12695" s="26"/>
      <c r="E12695" s="24"/>
      <c r="F12695" s="24"/>
      <c r="G12695" s="24"/>
      <c r="H12695" s="24"/>
      <c r="I12695" s="24"/>
      <c r="J12695" s="24"/>
      <c r="K12695" s="24"/>
      <c r="L12695" s="24"/>
      <c r="M12695" s="24"/>
      <c r="N12695" s="24"/>
      <c r="O12695" s="24"/>
      <c r="P12695" s="24"/>
      <c r="Q12695" s="24"/>
      <c r="R12695" s="24"/>
      <c r="S12695" s="24"/>
      <c r="T12695" s="24"/>
      <c r="U12695" s="24"/>
      <c r="V12695" s="24"/>
      <c r="W12695" s="24"/>
      <c r="X12695" s="24"/>
      <c r="Y12695" s="24"/>
      <c r="Z12695" s="24"/>
      <c r="AA12695" s="24"/>
    </row>
    <row r="12696">
      <c r="A12696" s="24"/>
      <c r="B12696" s="25"/>
      <c r="C12696" s="24"/>
      <c r="D12696" s="26"/>
      <c r="E12696" s="24"/>
      <c r="F12696" s="24"/>
      <c r="G12696" s="24"/>
      <c r="H12696" s="24"/>
      <c r="I12696" s="24"/>
      <c r="J12696" s="24"/>
      <c r="K12696" s="24"/>
      <c r="L12696" s="24"/>
      <c r="M12696" s="24"/>
      <c r="N12696" s="24"/>
      <c r="O12696" s="24"/>
      <c r="P12696" s="24"/>
      <c r="Q12696" s="24"/>
      <c r="R12696" s="24"/>
      <c r="S12696" s="24"/>
      <c r="T12696" s="24"/>
      <c r="U12696" s="24"/>
      <c r="V12696" s="24"/>
      <c r="W12696" s="24"/>
      <c r="X12696" s="24"/>
      <c r="Y12696" s="24"/>
      <c r="Z12696" s="24"/>
      <c r="AA12696" s="24"/>
    </row>
    <row r="12697">
      <c r="A12697" s="24"/>
      <c r="B12697" s="25"/>
      <c r="C12697" s="24"/>
      <c r="D12697" s="26"/>
      <c r="E12697" s="24"/>
      <c r="F12697" s="24"/>
      <c r="G12697" s="24"/>
      <c r="H12697" s="24"/>
      <c r="I12697" s="24"/>
      <c r="J12697" s="24"/>
      <c r="K12697" s="24"/>
      <c r="L12697" s="24"/>
      <c r="M12697" s="24"/>
      <c r="N12697" s="24"/>
      <c r="O12697" s="24"/>
      <c r="P12697" s="24"/>
      <c r="Q12697" s="24"/>
      <c r="R12697" s="24"/>
      <c r="S12697" s="24"/>
      <c r="T12697" s="24"/>
      <c r="U12697" s="24"/>
      <c r="V12697" s="24"/>
      <c r="W12697" s="24"/>
      <c r="X12697" s="24"/>
      <c r="Y12697" s="24"/>
      <c r="Z12697" s="24"/>
      <c r="AA12697" s="24"/>
    </row>
    <row r="12698">
      <c r="A12698" s="24"/>
      <c r="B12698" s="25"/>
      <c r="C12698" s="24"/>
      <c r="D12698" s="26"/>
      <c r="E12698" s="24"/>
      <c r="F12698" s="24"/>
      <c r="G12698" s="24"/>
      <c r="H12698" s="24"/>
      <c r="I12698" s="24"/>
      <c r="J12698" s="24"/>
      <c r="K12698" s="24"/>
      <c r="L12698" s="24"/>
      <c r="M12698" s="24"/>
      <c r="N12698" s="24"/>
      <c r="O12698" s="24"/>
      <c r="P12698" s="24"/>
      <c r="Q12698" s="24"/>
      <c r="R12698" s="24"/>
      <c r="S12698" s="24"/>
      <c r="T12698" s="24"/>
      <c r="U12698" s="24"/>
      <c r="V12698" s="24"/>
      <c r="W12698" s="24"/>
      <c r="X12698" s="24"/>
      <c r="Y12698" s="24"/>
      <c r="Z12698" s="24"/>
      <c r="AA12698" s="24"/>
    </row>
    <row r="12699">
      <c r="A12699" s="24"/>
      <c r="B12699" s="25"/>
      <c r="C12699" s="24"/>
      <c r="D12699" s="26"/>
      <c r="E12699" s="24"/>
      <c r="F12699" s="24"/>
      <c r="G12699" s="24"/>
      <c r="H12699" s="24"/>
      <c r="I12699" s="24"/>
      <c r="J12699" s="24"/>
      <c r="K12699" s="24"/>
      <c r="L12699" s="24"/>
      <c r="M12699" s="24"/>
      <c r="N12699" s="24"/>
      <c r="O12699" s="24"/>
      <c r="P12699" s="24"/>
      <c r="Q12699" s="24"/>
      <c r="R12699" s="24"/>
      <c r="S12699" s="24"/>
      <c r="T12699" s="24"/>
      <c r="U12699" s="24"/>
      <c r="V12699" s="24"/>
      <c r="W12699" s="24"/>
      <c r="X12699" s="24"/>
      <c r="Y12699" s="24"/>
      <c r="Z12699" s="24"/>
      <c r="AA12699" s="24"/>
    </row>
    <row r="12700">
      <c r="A12700" s="24"/>
      <c r="B12700" s="25"/>
      <c r="C12700" s="24"/>
      <c r="D12700" s="26"/>
      <c r="E12700" s="24"/>
      <c r="F12700" s="24"/>
      <c r="G12700" s="24"/>
      <c r="H12700" s="24"/>
      <c r="I12700" s="24"/>
      <c r="J12700" s="24"/>
      <c r="K12700" s="24"/>
      <c r="L12700" s="24"/>
      <c r="M12700" s="24"/>
      <c r="N12700" s="24"/>
      <c r="O12700" s="24"/>
      <c r="P12700" s="24"/>
      <c r="Q12700" s="24"/>
      <c r="R12700" s="24"/>
      <c r="S12700" s="24"/>
      <c r="T12700" s="24"/>
      <c r="U12700" s="24"/>
      <c r="V12700" s="24"/>
      <c r="W12700" s="24"/>
      <c r="X12700" s="24"/>
      <c r="Y12700" s="24"/>
      <c r="Z12700" s="24"/>
      <c r="AA12700" s="24"/>
    </row>
    <row r="12701">
      <c r="A12701" s="24"/>
      <c r="B12701" s="25"/>
      <c r="C12701" s="24"/>
      <c r="D12701" s="26"/>
      <c r="E12701" s="24"/>
      <c r="F12701" s="24"/>
      <c r="G12701" s="24"/>
      <c r="H12701" s="24"/>
      <c r="I12701" s="24"/>
      <c r="J12701" s="24"/>
      <c r="K12701" s="24"/>
      <c r="L12701" s="24"/>
      <c r="M12701" s="24"/>
      <c r="N12701" s="24"/>
      <c r="O12701" s="24"/>
      <c r="P12701" s="24"/>
      <c r="Q12701" s="24"/>
      <c r="R12701" s="24"/>
      <c r="S12701" s="24"/>
      <c r="T12701" s="24"/>
      <c r="U12701" s="24"/>
      <c r="V12701" s="24"/>
      <c r="W12701" s="24"/>
      <c r="X12701" s="24"/>
      <c r="Y12701" s="24"/>
      <c r="Z12701" s="24"/>
      <c r="AA12701" s="24"/>
    </row>
    <row r="12702">
      <c r="A12702" s="24"/>
      <c r="B12702" s="25"/>
      <c r="C12702" s="24"/>
      <c r="D12702" s="26"/>
      <c r="E12702" s="24"/>
      <c r="F12702" s="24"/>
      <c r="G12702" s="24"/>
      <c r="H12702" s="24"/>
      <c r="I12702" s="24"/>
      <c r="J12702" s="24"/>
      <c r="K12702" s="24"/>
      <c r="L12702" s="24"/>
      <c r="M12702" s="24"/>
      <c r="N12702" s="24"/>
      <c r="O12702" s="24"/>
      <c r="P12702" s="24"/>
      <c r="Q12702" s="24"/>
      <c r="R12702" s="24"/>
      <c r="S12702" s="24"/>
      <c r="T12702" s="24"/>
      <c r="U12702" s="24"/>
      <c r="V12702" s="24"/>
      <c r="W12702" s="24"/>
      <c r="X12702" s="24"/>
      <c r="Y12702" s="24"/>
      <c r="Z12702" s="24"/>
      <c r="AA12702" s="24"/>
    </row>
    <row r="12703">
      <c r="A12703" s="24"/>
      <c r="B12703" s="25"/>
      <c r="C12703" s="24"/>
      <c r="D12703" s="26"/>
      <c r="E12703" s="24"/>
      <c r="F12703" s="24"/>
      <c r="G12703" s="24"/>
      <c r="H12703" s="24"/>
      <c r="I12703" s="24"/>
      <c r="J12703" s="24"/>
      <c r="K12703" s="24"/>
      <c r="L12703" s="24"/>
      <c r="M12703" s="24"/>
      <c r="N12703" s="24"/>
      <c r="O12703" s="24"/>
      <c r="P12703" s="24"/>
      <c r="Q12703" s="24"/>
      <c r="R12703" s="24"/>
      <c r="S12703" s="24"/>
      <c r="T12703" s="24"/>
      <c r="U12703" s="24"/>
      <c r="V12703" s="24"/>
      <c r="W12703" s="24"/>
      <c r="X12703" s="24"/>
      <c r="Y12703" s="24"/>
      <c r="Z12703" s="24"/>
      <c r="AA12703" s="24"/>
    </row>
    <row r="12704">
      <c r="A12704" s="24"/>
      <c r="B12704" s="25"/>
      <c r="C12704" s="24"/>
      <c r="D12704" s="26"/>
      <c r="E12704" s="24"/>
      <c r="F12704" s="24"/>
      <c r="G12704" s="24"/>
      <c r="H12704" s="24"/>
      <c r="I12704" s="24"/>
      <c r="J12704" s="24"/>
      <c r="K12704" s="24"/>
      <c r="L12704" s="24"/>
      <c r="M12704" s="24"/>
      <c r="N12704" s="24"/>
      <c r="O12704" s="24"/>
      <c r="P12704" s="24"/>
      <c r="Q12704" s="24"/>
      <c r="R12704" s="24"/>
      <c r="S12704" s="24"/>
      <c r="T12704" s="24"/>
      <c r="U12704" s="24"/>
      <c r="V12704" s="24"/>
      <c r="W12704" s="24"/>
      <c r="X12704" s="24"/>
      <c r="Y12704" s="24"/>
      <c r="Z12704" s="24"/>
      <c r="AA12704" s="24"/>
    </row>
    <row r="12705">
      <c r="A12705" s="24"/>
      <c r="B12705" s="25"/>
      <c r="C12705" s="24"/>
      <c r="D12705" s="26"/>
      <c r="E12705" s="24"/>
      <c r="F12705" s="24"/>
      <c r="G12705" s="24"/>
      <c r="H12705" s="24"/>
      <c r="I12705" s="24"/>
      <c r="J12705" s="24"/>
      <c r="K12705" s="24"/>
      <c r="L12705" s="24"/>
      <c r="M12705" s="24"/>
      <c r="N12705" s="24"/>
      <c r="O12705" s="24"/>
      <c r="P12705" s="24"/>
      <c r="Q12705" s="24"/>
      <c r="R12705" s="24"/>
      <c r="S12705" s="24"/>
      <c r="T12705" s="24"/>
      <c r="U12705" s="24"/>
      <c r="V12705" s="24"/>
      <c r="W12705" s="24"/>
      <c r="X12705" s="24"/>
      <c r="Y12705" s="24"/>
      <c r="Z12705" s="24"/>
      <c r="AA12705" s="24"/>
    </row>
    <row r="12706">
      <c r="A12706" s="24"/>
      <c r="B12706" s="25"/>
      <c r="C12706" s="24"/>
      <c r="D12706" s="26"/>
      <c r="E12706" s="24"/>
      <c r="F12706" s="24"/>
      <c r="G12706" s="24"/>
      <c r="H12706" s="24"/>
      <c r="I12706" s="24"/>
      <c r="J12706" s="24"/>
      <c r="K12706" s="24"/>
      <c r="L12706" s="24"/>
      <c r="M12706" s="24"/>
      <c r="N12706" s="24"/>
      <c r="O12706" s="24"/>
      <c r="P12706" s="24"/>
      <c r="Q12706" s="24"/>
      <c r="R12706" s="24"/>
      <c r="S12706" s="24"/>
      <c r="T12706" s="24"/>
      <c r="U12706" s="24"/>
      <c r="V12706" s="24"/>
      <c r="W12706" s="24"/>
      <c r="X12706" s="24"/>
      <c r="Y12706" s="24"/>
      <c r="Z12706" s="24"/>
      <c r="AA12706" s="24"/>
    </row>
    <row r="12707">
      <c r="A12707" s="24"/>
      <c r="B12707" s="25"/>
      <c r="C12707" s="24"/>
      <c r="D12707" s="26"/>
      <c r="E12707" s="24"/>
      <c r="F12707" s="24"/>
      <c r="G12707" s="24"/>
      <c r="H12707" s="24"/>
      <c r="I12707" s="24"/>
      <c r="J12707" s="24"/>
      <c r="K12707" s="24"/>
      <c r="L12707" s="24"/>
      <c r="M12707" s="24"/>
      <c r="N12707" s="24"/>
      <c r="O12707" s="24"/>
      <c r="P12707" s="24"/>
      <c r="Q12707" s="24"/>
      <c r="R12707" s="24"/>
      <c r="S12707" s="24"/>
      <c r="T12707" s="24"/>
      <c r="U12707" s="24"/>
      <c r="V12707" s="24"/>
      <c r="W12707" s="24"/>
      <c r="X12707" s="24"/>
      <c r="Y12707" s="24"/>
      <c r="Z12707" s="24"/>
      <c r="AA12707" s="24"/>
    </row>
    <row r="12708">
      <c r="A12708" s="24"/>
      <c r="B12708" s="25"/>
      <c r="C12708" s="24"/>
      <c r="D12708" s="26"/>
      <c r="E12708" s="24"/>
      <c r="F12708" s="24"/>
      <c r="G12708" s="24"/>
      <c r="H12708" s="24"/>
      <c r="I12708" s="24"/>
      <c r="J12708" s="24"/>
      <c r="K12708" s="24"/>
      <c r="L12708" s="24"/>
      <c r="M12708" s="24"/>
      <c r="N12708" s="24"/>
      <c r="O12708" s="24"/>
      <c r="P12708" s="24"/>
      <c r="Q12708" s="24"/>
      <c r="R12708" s="24"/>
      <c r="S12708" s="24"/>
      <c r="T12708" s="24"/>
      <c r="U12708" s="24"/>
      <c r="V12708" s="24"/>
      <c r="W12708" s="24"/>
      <c r="X12708" s="24"/>
      <c r="Y12708" s="24"/>
      <c r="Z12708" s="24"/>
      <c r="AA12708" s="24"/>
    </row>
    <row r="12709">
      <c r="A12709" s="24"/>
      <c r="B12709" s="25"/>
      <c r="C12709" s="24"/>
      <c r="D12709" s="26"/>
      <c r="E12709" s="24"/>
      <c r="F12709" s="24"/>
      <c r="G12709" s="24"/>
      <c r="H12709" s="24"/>
      <c r="I12709" s="24"/>
      <c r="J12709" s="24"/>
      <c r="K12709" s="24"/>
      <c r="L12709" s="24"/>
      <c r="M12709" s="24"/>
      <c r="N12709" s="24"/>
      <c r="O12709" s="24"/>
      <c r="P12709" s="24"/>
      <c r="Q12709" s="24"/>
      <c r="R12709" s="24"/>
      <c r="S12709" s="24"/>
      <c r="T12709" s="24"/>
      <c r="U12709" s="24"/>
      <c r="V12709" s="24"/>
      <c r="W12709" s="24"/>
      <c r="X12709" s="24"/>
      <c r="Y12709" s="24"/>
      <c r="Z12709" s="24"/>
      <c r="AA12709" s="24"/>
    </row>
    <row r="12710">
      <c r="A12710" s="24"/>
      <c r="B12710" s="25"/>
      <c r="C12710" s="24"/>
      <c r="D12710" s="26"/>
      <c r="E12710" s="24"/>
      <c r="F12710" s="24"/>
      <c r="G12710" s="24"/>
      <c r="H12710" s="24"/>
      <c r="I12710" s="24"/>
      <c r="J12710" s="24"/>
      <c r="K12710" s="24"/>
      <c r="L12710" s="24"/>
      <c r="M12710" s="24"/>
      <c r="N12710" s="24"/>
      <c r="O12710" s="24"/>
      <c r="P12710" s="24"/>
      <c r="Q12710" s="24"/>
      <c r="R12710" s="24"/>
      <c r="S12710" s="24"/>
      <c r="T12710" s="24"/>
      <c r="U12710" s="24"/>
      <c r="V12710" s="24"/>
      <c r="W12710" s="24"/>
      <c r="X12710" s="24"/>
      <c r="Y12710" s="24"/>
      <c r="Z12710" s="24"/>
      <c r="AA12710" s="24"/>
    </row>
    <row r="12711">
      <c r="A12711" s="24"/>
      <c r="B12711" s="25"/>
      <c r="C12711" s="24"/>
      <c r="D12711" s="26"/>
      <c r="E12711" s="24"/>
      <c r="F12711" s="24"/>
      <c r="G12711" s="24"/>
      <c r="H12711" s="24"/>
      <c r="I12711" s="24"/>
      <c r="J12711" s="24"/>
      <c r="K12711" s="24"/>
      <c r="L12711" s="24"/>
      <c r="M12711" s="24"/>
      <c r="N12711" s="24"/>
      <c r="O12711" s="24"/>
      <c r="P12711" s="24"/>
      <c r="Q12711" s="24"/>
      <c r="R12711" s="24"/>
      <c r="S12711" s="24"/>
      <c r="T12711" s="24"/>
      <c r="U12711" s="24"/>
      <c r="V12711" s="24"/>
      <c r="W12711" s="24"/>
      <c r="X12711" s="24"/>
      <c r="Y12711" s="24"/>
      <c r="Z12711" s="24"/>
      <c r="AA12711" s="24"/>
    </row>
    <row r="12712">
      <c r="A12712" s="24"/>
      <c r="B12712" s="25"/>
      <c r="C12712" s="24"/>
      <c r="D12712" s="26"/>
      <c r="E12712" s="24"/>
      <c r="F12712" s="24"/>
      <c r="G12712" s="24"/>
      <c r="H12712" s="24"/>
      <c r="I12712" s="24"/>
      <c r="J12712" s="24"/>
      <c r="K12712" s="24"/>
      <c r="L12712" s="24"/>
      <c r="M12712" s="24"/>
      <c r="N12712" s="24"/>
      <c r="O12712" s="24"/>
      <c r="P12712" s="24"/>
      <c r="Q12712" s="24"/>
      <c r="R12712" s="24"/>
      <c r="S12712" s="24"/>
      <c r="T12712" s="24"/>
      <c r="U12712" s="24"/>
      <c r="V12712" s="24"/>
      <c r="W12712" s="24"/>
      <c r="X12712" s="24"/>
      <c r="Y12712" s="24"/>
      <c r="Z12712" s="24"/>
      <c r="AA12712" s="24"/>
    </row>
    <row r="12713">
      <c r="A12713" s="24"/>
      <c r="B12713" s="25"/>
      <c r="C12713" s="24"/>
      <c r="D12713" s="26"/>
      <c r="E12713" s="24"/>
      <c r="F12713" s="24"/>
      <c r="G12713" s="24"/>
      <c r="H12713" s="24"/>
      <c r="I12713" s="24"/>
      <c r="J12713" s="24"/>
      <c r="K12713" s="24"/>
      <c r="L12713" s="24"/>
      <c r="M12713" s="24"/>
      <c r="N12713" s="24"/>
      <c r="O12713" s="24"/>
      <c r="P12713" s="24"/>
      <c r="Q12713" s="24"/>
      <c r="R12713" s="24"/>
      <c r="S12713" s="24"/>
      <c r="T12713" s="24"/>
      <c r="U12713" s="24"/>
      <c r="V12713" s="24"/>
      <c r="W12713" s="24"/>
      <c r="X12713" s="24"/>
      <c r="Y12713" s="24"/>
      <c r="Z12713" s="24"/>
      <c r="AA12713" s="24"/>
    </row>
    <row r="12714">
      <c r="A12714" s="24"/>
      <c r="B12714" s="25"/>
      <c r="C12714" s="24"/>
      <c r="D12714" s="26"/>
      <c r="E12714" s="24"/>
      <c r="F12714" s="24"/>
      <c r="G12714" s="24"/>
      <c r="H12714" s="24"/>
      <c r="I12714" s="24"/>
      <c r="J12714" s="24"/>
      <c r="K12714" s="24"/>
      <c r="L12714" s="24"/>
      <c r="M12714" s="24"/>
      <c r="N12714" s="24"/>
      <c r="O12714" s="24"/>
      <c r="P12714" s="24"/>
      <c r="Q12714" s="24"/>
      <c r="R12714" s="24"/>
      <c r="S12714" s="24"/>
      <c r="T12714" s="24"/>
      <c r="U12714" s="24"/>
      <c r="V12714" s="24"/>
      <c r="W12714" s="24"/>
      <c r="X12714" s="24"/>
      <c r="Y12714" s="24"/>
      <c r="Z12714" s="24"/>
      <c r="AA12714" s="24"/>
    </row>
    <row r="12715">
      <c r="A12715" s="24"/>
      <c r="B12715" s="25"/>
      <c r="C12715" s="24"/>
      <c r="D12715" s="26"/>
      <c r="E12715" s="24"/>
      <c r="F12715" s="24"/>
      <c r="G12715" s="24"/>
      <c r="H12715" s="24"/>
      <c r="I12715" s="24"/>
      <c r="J12715" s="24"/>
      <c r="K12715" s="24"/>
      <c r="L12715" s="24"/>
      <c r="M12715" s="24"/>
      <c r="N12715" s="24"/>
      <c r="O12715" s="24"/>
      <c r="P12715" s="24"/>
      <c r="Q12715" s="24"/>
      <c r="R12715" s="24"/>
      <c r="S12715" s="24"/>
      <c r="T12715" s="24"/>
      <c r="U12715" s="24"/>
      <c r="V12715" s="24"/>
      <c r="W12715" s="24"/>
      <c r="X12715" s="24"/>
      <c r="Y12715" s="24"/>
      <c r="Z12715" s="24"/>
      <c r="AA12715" s="24"/>
    </row>
    <row r="12716">
      <c r="A12716" s="24"/>
      <c r="B12716" s="25"/>
      <c r="C12716" s="24"/>
      <c r="D12716" s="26"/>
      <c r="E12716" s="24"/>
      <c r="F12716" s="24"/>
      <c r="G12716" s="24"/>
      <c r="H12716" s="24"/>
      <c r="I12716" s="24"/>
      <c r="J12716" s="24"/>
      <c r="K12716" s="24"/>
      <c r="L12716" s="24"/>
      <c r="M12716" s="24"/>
      <c r="N12716" s="24"/>
      <c r="O12716" s="24"/>
      <c r="P12716" s="24"/>
      <c r="Q12716" s="24"/>
      <c r="R12716" s="24"/>
      <c r="S12716" s="24"/>
      <c r="T12716" s="24"/>
      <c r="U12716" s="24"/>
      <c r="V12716" s="24"/>
      <c r="W12716" s="24"/>
      <c r="X12716" s="24"/>
      <c r="Y12716" s="24"/>
      <c r="Z12716" s="24"/>
      <c r="AA12716" s="24"/>
    </row>
    <row r="12717">
      <c r="A12717" s="24"/>
      <c r="B12717" s="25"/>
      <c r="C12717" s="24"/>
      <c r="D12717" s="26"/>
      <c r="E12717" s="24"/>
      <c r="F12717" s="24"/>
      <c r="G12717" s="24"/>
      <c r="H12717" s="24"/>
      <c r="I12717" s="24"/>
      <c r="J12717" s="24"/>
      <c r="K12717" s="24"/>
      <c r="L12717" s="24"/>
      <c r="M12717" s="24"/>
      <c r="N12717" s="24"/>
      <c r="O12717" s="24"/>
      <c r="P12717" s="24"/>
      <c r="Q12717" s="24"/>
      <c r="R12717" s="24"/>
      <c r="S12717" s="24"/>
      <c r="T12717" s="24"/>
      <c r="U12717" s="24"/>
      <c r="V12717" s="24"/>
      <c r="W12717" s="24"/>
      <c r="X12717" s="24"/>
      <c r="Y12717" s="24"/>
      <c r="Z12717" s="24"/>
      <c r="AA12717" s="24"/>
    </row>
    <row r="12718">
      <c r="A12718" s="24"/>
      <c r="B12718" s="25"/>
      <c r="C12718" s="24"/>
      <c r="D12718" s="26"/>
      <c r="E12718" s="24"/>
      <c r="F12718" s="24"/>
      <c r="G12718" s="24"/>
      <c r="H12718" s="24"/>
      <c r="I12718" s="24"/>
      <c r="J12718" s="24"/>
      <c r="K12718" s="24"/>
      <c r="L12718" s="24"/>
      <c r="M12718" s="24"/>
      <c r="N12718" s="24"/>
      <c r="O12718" s="24"/>
      <c r="P12718" s="24"/>
      <c r="Q12718" s="24"/>
      <c r="R12718" s="24"/>
      <c r="S12718" s="24"/>
      <c r="T12718" s="24"/>
      <c r="U12718" s="24"/>
      <c r="V12718" s="24"/>
      <c r="W12718" s="24"/>
      <c r="X12718" s="24"/>
      <c r="Y12718" s="24"/>
      <c r="Z12718" s="24"/>
      <c r="AA12718" s="24"/>
    </row>
    <row r="12719">
      <c r="A12719" s="24"/>
      <c r="B12719" s="25"/>
      <c r="C12719" s="24"/>
      <c r="D12719" s="26"/>
      <c r="E12719" s="24"/>
      <c r="F12719" s="24"/>
      <c r="G12719" s="24"/>
      <c r="H12719" s="24"/>
      <c r="I12719" s="24"/>
      <c r="J12719" s="24"/>
      <c r="K12719" s="24"/>
      <c r="L12719" s="24"/>
      <c r="M12719" s="24"/>
      <c r="N12719" s="24"/>
      <c r="O12719" s="24"/>
      <c r="P12719" s="24"/>
      <c r="Q12719" s="24"/>
      <c r="R12719" s="24"/>
      <c r="S12719" s="24"/>
      <c r="T12719" s="24"/>
      <c r="U12719" s="24"/>
      <c r="V12719" s="24"/>
      <c r="W12719" s="24"/>
      <c r="X12719" s="24"/>
      <c r="Y12719" s="24"/>
      <c r="Z12719" s="24"/>
      <c r="AA12719" s="24"/>
    </row>
    <row r="12720">
      <c r="A12720" s="24"/>
      <c r="B12720" s="25"/>
      <c r="C12720" s="24"/>
      <c r="D12720" s="26"/>
      <c r="E12720" s="24"/>
      <c r="F12720" s="24"/>
      <c r="G12720" s="24"/>
      <c r="H12720" s="24"/>
      <c r="I12720" s="24"/>
      <c r="J12720" s="24"/>
      <c r="K12720" s="24"/>
      <c r="L12720" s="24"/>
      <c r="M12720" s="24"/>
      <c r="N12720" s="24"/>
      <c r="O12720" s="24"/>
      <c r="P12720" s="24"/>
      <c r="Q12720" s="24"/>
      <c r="R12720" s="24"/>
      <c r="S12720" s="24"/>
      <c r="T12720" s="24"/>
      <c r="U12720" s="24"/>
      <c r="V12720" s="24"/>
      <c r="W12720" s="24"/>
      <c r="X12720" s="24"/>
      <c r="Y12720" s="24"/>
      <c r="Z12720" s="24"/>
      <c r="AA12720" s="24"/>
    </row>
    <row r="12721">
      <c r="A12721" s="24"/>
      <c r="B12721" s="25"/>
      <c r="C12721" s="24"/>
      <c r="D12721" s="26"/>
      <c r="E12721" s="24"/>
      <c r="F12721" s="24"/>
      <c r="G12721" s="24"/>
      <c r="H12721" s="24"/>
      <c r="I12721" s="24"/>
      <c r="J12721" s="24"/>
      <c r="K12721" s="24"/>
      <c r="L12721" s="24"/>
      <c r="M12721" s="24"/>
      <c r="N12721" s="24"/>
      <c r="O12721" s="24"/>
      <c r="P12721" s="24"/>
      <c r="Q12721" s="24"/>
      <c r="R12721" s="24"/>
      <c r="S12721" s="24"/>
      <c r="T12721" s="24"/>
      <c r="U12721" s="24"/>
      <c r="V12721" s="24"/>
      <c r="W12721" s="24"/>
      <c r="X12721" s="24"/>
      <c r="Y12721" s="24"/>
      <c r="Z12721" s="24"/>
      <c r="AA12721" s="24"/>
    </row>
    <row r="12722">
      <c r="A12722" s="24"/>
      <c r="B12722" s="25"/>
      <c r="C12722" s="24"/>
      <c r="D12722" s="26"/>
      <c r="E12722" s="24"/>
      <c r="F12722" s="24"/>
      <c r="G12722" s="24"/>
      <c r="H12722" s="24"/>
      <c r="I12722" s="24"/>
      <c r="J12722" s="24"/>
      <c r="K12722" s="24"/>
      <c r="L12722" s="24"/>
      <c r="M12722" s="24"/>
      <c r="N12722" s="24"/>
      <c r="O12722" s="24"/>
      <c r="P12722" s="24"/>
      <c r="Q12722" s="24"/>
      <c r="R12722" s="24"/>
      <c r="S12722" s="24"/>
      <c r="T12722" s="24"/>
      <c r="U12722" s="24"/>
      <c r="V12722" s="24"/>
      <c r="W12722" s="24"/>
      <c r="X12722" s="24"/>
      <c r="Y12722" s="24"/>
      <c r="Z12722" s="24"/>
      <c r="AA12722" s="24"/>
    </row>
    <row r="12723">
      <c r="A12723" s="24"/>
      <c r="B12723" s="25"/>
      <c r="C12723" s="24"/>
      <c r="D12723" s="26"/>
      <c r="E12723" s="24"/>
      <c r="F12723" s="24"/>
      <c r="G12723" s="24"/>
      <c r="H12723" s="24"/>
      <c r="I12723" s="24"/>
      <c r="J12723" s="24"/>
      <c r="K12723" s="24"/>
      <c r="L12723" s="24"/>
      <c r="M12723" s="24"/>
      <c r="N12723" s="24"/>
      <c r="O12723" s="24"/>
      <c r="P12723" s="24"/>
      <c r="Q12723" s="24"/>
      <c r="R12723" s="24"/>
      <c r="S12723" s="24"/>
      <c r="T12723" s="24"/>
      <c r="U12723" s="24"/>
      <c r="V12723" s="24"/>
      <c r="W12723" s="24"/>
      <c r="X12723" s="24"/>
      <c r="Y12723" s="24"/>
      <c r="Z12723" s="24"/>
      <c r="AA12723" s="24"/>
    </row>
    <row r="12724">
      <c r="A12724" s="24"/>
      <c r="B12724" s="25"/>
      <c r="C12724" s="24"/>
      <c r="D12724" s="26"/>
      <c r="E12724" s="24"/>
      <c r="F12724" s="24"/>
      <c r="G12724" s="24"/>
      <c r="H12724" s="24"/>
      <c r="I12724" s="24"/>
      <c r="J12724" s="24"/>
      <c r="K12724" s="24"/>
      <c r="L12724" s="24"/>
      <c r="M12724" s="24"/>
      <c r="N12724" s="24"/>
      <c r="O12724" s="24"/>
      <c r="P12724" s="24"/>
      <c r="Q12724" s="24"/>
      <c r="R12724" s="24"/>
      <c r="S12724" s="24"/>
      <c r="T12724" s="24"/>
      <c r="U12724" s="24"/>
      <c r="V12724" s="24"/>
      <c r="W12724" s="24"/>
      <c r="X12724" s="24"/>
      <c r="Y12724" s="24"/>
      <c r="Z12724" s="24"/>
      <c r="AA12724" s="24"/>
    </row>
    <row r="12725">
      <c r="A12725" s="24"/>
      <c r="B12725" s="25"/>
      <c r="C12725" s="24"/>
      <c r="D12725" s="26"/>
      <c r="E12725" s="24"/>
      <c r="F12725" s="24"/>
      <c r="G12725" s="24"/>
      <c r="H12725" s="24"/>
      <c r="I12725" s="24"/>
      <c r="J12725" s="24"/>
      <c r="K12725" s="24"/>
      <c r="L12725" s="24"/>
      <c r="M12725" s="24"/>
      <c r="N12725" s="24"/>
      <c r="O12725" s="24"/>
      <c r="P12725" s="24"/>
      <c r="Q12725" s="24"/>
      <c r="R12725" s="24"/>
      <c r="S12725" s="24"/>
      <c r="T12725" s="24"/>
      <c r="U12725" s="24"/>
      <c r="V12725" s="24"/>
      <c r="W12725" s="24"/>
      <c r="X12725" s="24"/>
      <c r="Y12725" s="24"/>
      <c r="Z12725" s="24"/>
      <c r="AA12725" s="24"/>
    </row>
    <row r="12726">
      <c r="A12726" s="24"/>
      <c r="B12726" s="25"/>
      <c r="C12726" s="24"/>
      <c r="D12726" s="26"/>
      <c r="E12726" s="24"/>
      <c r="F12726" s="24"/>
      <c r="G12726" s="24"/>
      <c r="H12726" s="24"/>
      <c r="I12726" s="24"/>
      <c r="J12726" s="24"/>
      <c r="K12726" s="24"/>
      <c r="L12726" s="24"/>
      <c r="M12726" s="24"/>
      <c r="N12726" s="24"/>
      <c r="O12726" s="24"/>
      <c r="P12726" s="24"/>
      <c r="Q12726" s="24"/>
      <c r="R12726" s="24"/>
      <c r="S12726" s="24"/>
      <c r="T12726" s="24"/>
      <c r="U12726" s="24"/>
      <c r="V12726" s="24"/>
      <c r="W12726" s="24"/>
      <c r="X12726" s="24"/>
      <c r="Y12726" s="24"/>
      <c r="Z12726" s="24"/>
      <c r="AA12726" s="24"/>
    </row>
    <row r="12727">
      <c r="A12727" s="24"/>
      <c r="B12727" s="25"/>
      <c r="C12727" s="24"/>
      <c r="D12727" s="26"/>
      <c r="E12727" s="24"/>
      <c r="F12727" s="24"/>
      <c r="G12727" s="24"/>
      <c r="H12727" s="24"/>
      <c r="I12727" s="24"/>
      <c r="J12727" s="24"/>
      <c r="K12727" s="24"/>
      <c r="L12727" s="24"/>
      <c r="M12727" s="24"/>
      <c r="N12727" s="24"/>
      <c r="O12727" s="24"/>
      <c r="P12727" s="24"/>
      <c r="Q12727" s="24"/>
      <c r="R12727" s="24"/>
      <c r="S12727" s="24"/>
      <c r="T12727" s="24"/>
      <c r="U12727" s="24"/>
      <c r="V12727" s="24"/>
      <c r="W12727" s="24"/>
      <c r="X12727" s="24"/>
      <c r="Y12727" s="24"/>
      <c r="Z12727" s="24"/>
      <c r="AA12727" s="24"/>
    </row>
    <row r="12728">
      <c r="A12728" s="24"/>
      <c r="B12728" s="25"/>
      <c r="C12728" s="24"/>
      <c r="D12728" s="26"/>
      <c r="E12728" s="24"/>
      <c r="F12728" s="24"/>
      <c r="G12728" s="24"/>
      <c r="H12728" s="24"/>
      <c r="I12728" s="24"/>
      <c r="J12728" s="24"/>
      <c r="K12728" s="24"/>
      <c r="L12728" s="24"/>
      <c r="M12728" s="24"/>
      <c r="N12728" s="24"/>
      <c r="O12728" s="24"/>
      <c r="P12728" s="24"/>
      <c r="Q12728" s="24"/>
      <c r="R12728" s="24"/>
      <c r="S12728" s="24"/>
      <c r="T12728" s="24"/>
      <c r="U12728" s="24"/>
      <c r="V12728" s="24"/>
      <c r="W12728" s="24"/>
      <c r="X12728" s="24"/>
      <c r="Y12728" s="24"/>
      <c r="Z12728" s="24"/>
      <c r="AA12728" s="24"/>
    </row>
    <row r="12729">
      <c r="A12729" s="24"/>
      <c r="B12729" s="25"/>
      <c r="C12729" s="24"/>
      <c r="D12729" s="26"/>
      <c r="E12729" s="24"/>
      <c r="F12729" s="24"/>
      <c r="G12729" s="24"/>
      <c r="H12729" s="24"/>
      <c r="I12729" s="24"/>
      <c r="J12729" s="24"/>
      <c r="K12729" s="24"/>
      <c r="L12729" s="24"/>
      <c r="M12729" s="24"/>
      <c r="N12729" s="24"/>
      <c r="O12729" s="24"/>
      <c r="P12729" s="24"/>
      <c r="Q12729" s="24"/>
      <c r="R12729" s="24"/>
      <c r="S12729" s="24"/>
      <c r="T12729" s="24"/>
      <c r="U12729" s="24"/>
      <c r="V12729" s="24"/>
      <c r="W12729" s="24"/>
      <c r="X12729" s="24"/>
      <c r="Y12729" s="24"/>
      <c r="Z12729" s="24"/>
      <c r="AA12729" s="24"/>
    </row>
    <row r="12730">
      <c r="A12730" s="24"/>
      <c r="B12730" s="25"/>
      <c r="C12730" s="24"/>
      <c r="D12730" s="26"/>
      <c r="E12730" s="24"/>
      <c r="F12730" s="24"/>
      <c r="G12730" s="24"/>
      <c r="H12730" s="24"/>
      <c r="I12730" s="24"/>
      <c r="J12730" s="24"/>
      <c r="K12730" s="24"/>
      <c r="L12730" s="24"/>
      <c r="M12730" s="24"/>
      <c r="N12730" s="24"/>
      <c r="O12730" s="24"/>
      <c r="P12730" s="24"/>
      <c r="Q12730" s="24"/>
      <c r="R12730" s="24"/>
      <c r="S12730" s="24"/>
      <c r="T12730" s="24"/>
      <c r="U12730" s="24"/>
      <c r="V12730" s="24"/>
      <c r="W12730" s="24"/>
      <c r="X12730" s="24"/>
      <c r="Y12730" s="24"/>
      <c r="Z12730" s="24"/>
      <c r="AA12730" s="24"/>
    </row>
    <row r="12731">
      <c r="A12731" s="24"/>
      <c r="B12731" s="25"/>
      <c r="C12731" s="24"/>
      <c r="D12731" s="26"/>
      <c r="E12731" s="24"/>
      <c r="F12731" s="24"/>
      <c r="G12731" s="24"/>
      <c r="H12731" s="24"/>
      <c r="I12731" s="24"/>
      <c r="J12731" s="24"/>
      <c r="K12731" s="24"/>
      <c r="L12731" s="24"/>
      <c r="M12731" s="24"/>
      <c r="N12731" s="24"/>
      <c r="O12731" s="24"/>
      <c r="P12731" s="24"/>
      <c r="Q12731" s="24"/>
      <c r="R12731" s="24"/>
      <c r="S12731" s="24"/>
      <c r="T12731" s="24"/>
      <c r="U12731" s="24"/>
      <c r="V12731" s="24"/>
      <c r="W12731" s="24"/>
      <c r="X12731" s="24"/>
      <c r="Y12731" s="24"/>
      <c r="Z12731" s="24"/>
      <c r="AA12731" s="24"/>
    </row>
    <row r="12732">
      <c r="A12732" s="24"/>
      <c r="B12732" s="25"/>
      <c r="C12732" s="24"/>
      <c r="D12732" s="26"/>
      <c r="E12732" s="24"/>
      <c r="F12732" s="24"/>
      <c r="G12732" s="24"/>
      <c r="H12732" s="24"/>
      <c r="I12732" s="24"/>
      <c r="J12732" s="24"/>
      <c r="K12732" s="24"/>
      <c r="L12732" s="24"/>
      <c r="M12732" s="24"/>
      <c r="N12732" s="24"/>
      <c r="O12732" s="24"/>
      <c r="P12732" s="24"/>
      <c r="Q12732" s="24"/>
      <c r="R12732" s="24"/>
      <c r="S12732" s="24"/>
      <c r="T12732" s="24"/>
      <c r="U12732" s="24"/>
      <c r="V12732" s="24"/>
      <c r="W12732" s="24"/>
      <c r="X12732" s="24"/>
      <c r="Y12732" s="24"/>
      <c r="Z12732" s="24"/>
      <c r="AA12732" s="24"/>
    </row>
    <row r="12733">
      <c r="A12733" s="24"/>
      <c r="B12733" s="25"/>
      <c r="C12733" s="24"/>
      <c r="D12733" s="26"/>
      <c r="E12733" s="24"/>
      <c r="F12733" s="24"/>
      <c r="G12733" s="24"/>
      <c r="H12733" s="24"/>
      <c r="I12733" s="24"/>
      <c r="J12733" s="24"/>
      <c r="K12733" s="24"/>
      <c r="L12733" s="24"/>
      <c r="M12733" s="24"/>
      <c r="N12733" s="24"/>
      <c r="O12733" s="24"/>
      <c r="P12733" s="24"/>
      <c r="Q12733" s="24"/>
      <c r="R12733" s="24"/>
      <c r="S12733" s="24"/>
      <c r="T12733" s="24"/>
      <c r="U12733" s="24"/>
      <c r="V12733" s="24"/>
      <c r="W12733" s="24"/>
      <c r="X12733" s="24"/>
      <c r="Y12733" s="24"/>
      <c r="Z12733" s="24"/>
      <c r="AA12733" s="24"/>
    </row>
    <row r="12734">
      <c r="A12734" s="24"/>
      <c r="B12734" s="25"/>
      <c r="C12734" s="24"/>
      <c r="D12734" s="26"/>
      <c r="E12734" s="24"/>
      <c r="F12734" s="24"/>
      <c r="G12734" s="24"/>
      <c r="H12734" s="24"/>
      <c r="I12734" s="24"/>
      <c r="J12734" s="24"/>
      <c r="K12734" s="24"/>
      <c r="L12734" s="24"/>
      <c r="M12734" s="24"/>
      <c r="N12734" s="24"/>
      <c r="O12734" s="24"/>
      <c r="P12734" s="24"/>
      <c r="Q12734" s="24"/>
      <c r="R12734" s="24"/>
      <c r="S12734" s="24"/>
      <c r="T12734" s="24"/>
      <c r="U12734" s="24"/>
      <c r="V12734" s="24"/>
      <c r="W12734" s="24"/>
      <c r="X12734" s="24"/>
      <c r="Y12734" s="24"/>
      <c r="Z12734" s="24"/>
      <c r="AA12734" s="24"/>
    </row>
    <row r="12735">
      <c r="A12735" s="24"/>
      <c r="B12735" s="25"/>
      <c r="C12735" s="24"/>
      <c r="D12735" s="26"/>
      <c r="E12735" s="24"/>
      <c r="F12735" s="24"/>
      <c r="G12735" s="24"/>
      <c r="H12735" s="24"/>
      <c r="I12735" s="24"/>
      <c r="J12735" s="24"/>
      <c r="K12735" s="24"/>
      <c r="L12735" s="24"/>
      <c r="M12735" s="24"/>
      <c r="N12735" s="24"/>
      <c r="O12735" s="24"/>
      <c r="P12735" s="24"/>
      <c r="Q12735" s="24"/>
      <c r="R12735" s="24"/>
      <c r="S12735" s="24"/>
      <c r="T12735" s="24"/>
      <c r="U12735" s="24"/>
      <c r="V12735" s="24"/>
      <c r="W12735" s="24"/>
      <c r="X12735" s="24"/>
      <c r="Y12735" s="24"/>
      <c r="Z12735" s="24"/>
      <c r="AA12735" s="24"/>
    </row>
    <row r="12736">
      <c r="A12736" s="24"/>
      <c r="B12736" s="25"/>
      <c r="C12736" s="24"/>
      <c r="D12736" s="26"/>
      <c r="E12736" s="24"/>
      <c r="F12736" s="24"/>
      <c r="G12736" s="24"/>
      <c r="H12736" s="24"/>
      <c r="I12736" s="24"/>
      <c r="J12736" s="24"/>
      <c r="K12736" s="24"/>
      <c r="L12736" s="24"/>
      <c r="M12736" s="24"/>
      <c r="N12736" s="24"/>
      <c r="O12736" s="24"/>
      <c r="P12736" s="24"/>
      <c r="Q12736" s="24"/>
      <c r="R12736" s="24"/>
      <c r="S12736" s="24"/>
      <c r="T12736" s="24"/>
      <c r="U12736" s="24"/>
      <c r="V12736" s="24"/>
      <c r="W12736" s="24"/>
      <c r="X12736" s="24"/>
      <c r="Y12736" s="24"/>
      <c r="Z12736" s="24"/>
      <c r="AA12736" s="24"/>
    </row>
    <row r="12737">
      <c r="A12737" s="24"/>
      <c r="B12737" s="25"/>
      <c r="C12737" s="24"/>
      <c r="D12737" s="26"/>
      <c r="E12737" s="24"/>
      <c r="F12737" s="24"/>
      <c r="G12737" s="24"/>
      <c r="H12737" s="24"/>
      <c r="I12737" s="24"/>
      <c r="J12737" s="24"/>
      <c r="K12737" s="24"/>
      <c r="L12737" s="24"/>
      <c r="M12737" s="24"/>
      <c r="N12737" s="24"/>
      <c r="O12737" s="24"/>
      <c r="P12737" s="24"/>
      <c r="Q12737" s="24"/>
      <c r="R12737" s="24"/>
      <c r="S12737" s="24"/>
      <c r="T12737" s="24"/>
      <c r="U12737" s="24"/>
      <c r="V12737" s="24"/>
      <c r="W12737" s="24"/>
      <c r="X12737" s="24"/>
      <c r="Y12737" s="24"/>
      <c r="Z12737" s="24"/>
      <c r="AA12737" s="24"/>
    </row>
    <row r="12738">
      <c r="A12738" s="24"/>
      <c r="B12738" s="25"/>
      <c r="C12738" s="24"/>
      <c r="D12738" s="26"/>
      <c r="E12738" s="24"/>
      <c r="F12738" s="24"/>
      <c r="G12738" s="24"/>
      <c r="H12738" s="24"/>
      <c r="I12738" s="24"/>
      <c r="J12738" s="24"/>
      <c r="K12738" s="24"/>
      <c r="L12738" s="24"/>
      <c r="M12738" s="24"/>
      <c r="N12738" s="24"/>
      <c r="O12738" s="24"/>
      <c r="P12738" s="24"/>
      <c r="Q12738" s="24"/>
      <c r="R12738" s="24"/>
      <c r="S12738" s="24"/>
      <c r="T12738" s="24"/>
      <c r="U12738" s="24"/>
      <c r="V12738" s="24"/>
      <c r="W12738" s="24"/>
      <c r="X12738" s="24"/>
      <c r="Y12738" s="24"/>
      <c r="Z12738" s="24"/>
      <c r="AA12738" s="24"/>
    </row>
    <row r="12739">
      <c r="A12739" s="24"/>
      <c r="B12739" s="25"/>
      <c r="C12739" s="24"/>
      <c r="D12739" s="26"/>
      <c r="E12739" s="24"/>
      <c r="F12739" s="24"/>
      <c r="G12739" s="24"/>
      <c r="H12739" s="24"/>
      <c r="I12739" s="24"/>
      <c r="J12739" s="24"/>
      <c r="K12739" s="24"/>
      <c r="L12739" s="24"/>
      <c r="M12739" s="24"/>
      <c r="N12739" s="24"/>
      <c r="O12739" s="24"/>
      <c r="P12739" s="24"/>
      <c r="Q12739" s="24"/>
      <c r="R12739" s="24"/>
      <c r="S12739" s="24"/>
      <c r="T12739" s="24"/>
      <c r="U12739" s="24"/>
      <c r="V12739" s="24"/>
      <c r="W12739" s="24"/>
      <c r="X12739" s="24"/>
      <c r="Y12739" s="24"/>
      <c r="Z12739" s="24"/>
      <c r="AA12739" s="24"/>
    </row>
    <row r="12740">
      <c r="A12740" s="24"/>
      <c r="B12740" s="25"/>
      <c r="C12740" s="24"/>
      <c r="D12740" s="26"/>
      <c r="E12740" s="24"/>
      <c r="F12740" s="24"/>
      <c r="G12740" s="24"/>
      <c r="H12740" s="24"/>
      <c r="I12740" s="24"/>
      <c r="J12740" s="24"/>
      <c r="K12740" s="24"/>
      <c r="L12740" s="24"/>
      <c r="M12740" s="24"/>
      <c r="N12740" s="24"/>
      <c r="O12740" s="24"/>
      <c r="P12740" s="24"/>
      <c r="Q12740" s="24"/>
      <c r="R12740" s="24"/>
      <c r="S12740" s="24"/>
      <c r="T12740" s="24"/>
      <c r="U12740" s="24"/>
      <c r="V12740" s="24"/>
      <c r="W12740" s="24"/>
      <c r="X12740" s="24"/>
      <c r="Y12740" s="24"/>
      <c r="Z12740" s="24"/>
      <c r="AA12740" s="24"/>
    </row>
    <row r="12741">
      <c r="A12741" s="24"/>
      <c r="B12741" s="25"/>
      <c r="C12741" s="24"/>
      <c r="D12741" s="26"/>
      <c r="E12741" s="24"/>
      <c r="F12741" s="24"/>
      <c r="G12741" s="24"/>
      <c r="H12741" s="24"/>
      <c r="I12741" s="24"/>
      <c r="J12741" s="24"/>
      <c r="K12741" s="24"/>
      <c r="L12741" s="24"/>
      <c r="M12741" s="24"/>
      <c r="N12741" s="24"/>
      <c r="O12741" s="24"/>
      <c r="P12741" s="24"/>
      <c r="Q12741" s="24"/>
      <c r="R12741" s="24"/>
      <c r="S12741" s="24"/>
      <c r="T12741" s="24"/>
      <c r="U12741" s="24"/>
      <c r="V12741" s="24"/>
      <c r="W12741" s="24"/>
      <c r="X12741" s="24"/>
      <c r="Y12741" s="24"/>
      <c r="Z12741" s="24"/>
      <c r="AA12741" s="24"/>
    </row>
    <row r="12742">
      <c r="A12742" s="24"/>
      <c r="B12742" s="25"/>
      <c r="C12742" s="24"/>
      <c r="D12742" s="26"/>
      <c r="E12742" s="24"/>
      <c r="F12742" s="24"/>
      <c r="G12742" s="24"/>
      <c r="H12742" s="24"/>
      <c r="I12742" s="24"/>
      <c r="J12742" s="24"/>
      <c r="K12742" s="24"/>
      <c r="L12742" s="24"/>
      <c r="M12742" s="24"/>
      <c r="N12742" s="24"/>
      <c r="O12742" s="24"/>
      <c r="P12742" s="24"/>
      <c r="Q12742" s="24"/>
      <c r="R12742" s="24"/>
      <c r="S12742" s="24"/>
      <c r="T12742" s="24"/>
      <c r="U12742" s="24"/>
      <c r="V12742" s="24"/>
      <c r="W12742" s="24"/>
      <c r="X12742" s="24"/>
      <c r="Y12742" s="24"/>
      <c r="Z12742" s="24"/>
      <c r="AA12742" s="24"/>
    </row>
    <row r="12743">
      <c r="A12743" s="24"/>
      <c r="B12743" s="25"/>
      <c r="C12743" s="24"/>
      <c r="D12743" s="26"/>
      <c r="E12743" s="24"/>
      <c r="F12743" s="24"/>
      <c r="G12743" s="24"/>
      <c r="H12743" s="24"/>
      <c r="I12743" s="24"/>
      <c r="J12743" s="24"/>
      <c r="K12743" s="24"/>
      <c r="L12743" s="24"/>
      <c r="M12743" s="24"/>
      <c r="N12743" s="24"/>
      <c r="O12743" s="24"/>
      <c r="P12743" s="24"/>
      <c r="Q12743" s="24"/>
      <c r="R12743" s="24"/>
      <c r="S12743" s="24"/>
      <c r="T12743" s="24"/>
      <c r="U12743" s="24"/>
      <c r="V12743" s="24"/>
      <c r="W12743" s="24"/>
      <c r="X12743" s="24"/>
      <c r="Y12743" s="24"/>
      <c r="Z12743" s="24"/>
      <c r="AA12743" s="24"/>
    </row>
    <row r="12744">
      <c r="A12744" s="24"/>
      <c r="B12744" s="25"/>
      <c r="C12744" s="24"/>
      <c r="D12744" s="26"/>
      <c r="E12744" s="24"/>
      <c r="F12744" s="24"/>
      <c r="G12744" s="24"/>
      <c r="H12744" s="24"/>
      <c r="I12744" s="24"/>
      <c r="J12744" s="24"/>
      <c r="K12744" s="24"/>
      <c r="L12744" s="24"/>
      <c r="M12744" s="24"/>
      <c r="N12744" s="24"/>
      <c r="O12744" s="24"/>
      <c r="P12744" s="24"/>
      <c r="Q12744" s="24"/>
      <c r="R12744" s="24"/>
      <c r="S12744" s="24"/>
      <c r="T12744" s="24"/>
      <c r="U12744" s="24"/>
      <c r="V12744" s="24"/>
      <c r="W12744" s="24"/>
      <c r="X12744" s="24"/>
      <c r="Y12744" s="24"/>
      <c r="Z12744" s="24"/>
      <c r="AA12744" s="24"/>
    </row>
    <row r="12745">
      <c r="A12745" s="24"/>
      <c r="B12745" s="25"/>
      <c r="C12745" s="24"/>
      <c r="D12745" s="26"/>
      <c r="E12745" s="24"/>
      <c r="F12745" s="24"/>
      <c r="G12745" s="24"/>
      <c r="H12745" s="24"/>
      <c r="I12745" s="24"/>
      <c r="J12745" s="24"/>
      <c r="K12745" s="24"/>
      <c r="L12745" s="24"/>
      <c r="M12745" s="24"/>
      <c r="N12745" s="24"/>
      <c r="O12745" s="24"/>
      <c r="P12745" s="24"/>
      <c r="Q12745" s="24"/>
      <c r="R12745" s="24"/>
      <c r="S12745" s="24"/>
      <c r="T12745" s="24"/>
      <c r="U12745" s="24"/>
      <c r="V12745" s="24"/>
      <c r="W12745" s="24"/>
      <c r="X12745" s="24"/>
      <c r="Y12745" s="24"/>
      <c r="Z12745" s="24"/>
      <c r="AA12745" s="24"/>
    </row>
    <row r="12746">
      <c r="A12746" s="24"/>
      <c r="B12746" s="25"/>
      <c r="C12746" s="24"/>
      <c r="D12746" s="26"/>
      <c r="E12746" s="24"/>
      <c r="F12746" s="24"/>
      <c r="G12746" s="24"/>
      <c r="H12746" s="24"/>
      <c r="I12746" s="24"/>
      <c r="J12746" s="24"/>
      <c r="K12746" s="24"/>
      <c r="L12746" s="24"/>
      <c r="M12746" s="24"/>
      <c r="N12746" s="24"/>
      <c r="O12746" s="24"/>
      <c r="P12746" s="24"/>
      <c r="Q12746" s="24"/>
      <c r="R12746" s="24"/>
      <c r="S12746" s="24"/>
      <c r="T12746" s="24"/>
      <c r="U12746" s="24"/>
      <c r="V12746" s="24"/>
      <c r="W12746" s="24"/>
      <c r="X12746" s="24"/>
      <c r="Y12746" s="24"/>
      <c r="Z12746" s="24"/>
      <c r="AA12746" s="24"/>
    </row>
    <row r="12747">
      <c r="A12747" s="24"/>
      <c r="B12747" s="25"/>
      <c r="C12747" s="24"/>
      <c r="D12747" s="26"/>
      <c r="E12747" s="24"/>
      <c r="F12747" s="24"/>
      <c r="G12747" s="24"/>
      <c r="H12747" s="24"/>
      <c r="I12747" s="24"/>
      <c r="J12747" s="24"/>
      <c r="K12747" s="24"/>
      <c r="L12747" s="24"/>
      <c r="M12747" s="24"/>
      <c r="N12747" s="24"/>
      <c r="O12747" s="24"/>
      <c r="P12747" s="24"/>
      <c r="Q12747" s="24"/>
      <c r="R12747" s="24"/>
      <c r="S12747" s="24"/>
      <c r="T12747" s="24"/>
      <c r="U12747" s="24"/>
      <c r="V12747" s="24"/>
      <c r="W12747" s="24"/>
      <c r="X12747" s="24"/>
      <c r="Y12747" s="24"/>
      <c r="Z12747" s="24"/>
      <c r="AA12747" s="24"/>
    </row>
    <row r="12748">
      <c r="A12748" s="24"/>
      <c r="B12748" s="25"/>
      <c r="C12748" s="24"/>
      <c r="D12748" s="26"/>
      <c r="E12748" s="24"/>
      <c r="F12748" s="24"/>
      <c r="G12748" s="24"/>
      <c r="H12748" s="24"/>
      <c r="I12748" s="24"/>
      <c r="J12748" s="24"/>
      <c r="K12748" s="24"/>
      <c r="L12748" s="24"/>
      <c r="M12748" s="24"/>
      <c r="N12748" s="24"/>
      <c r="O12748" s="24"/>
      <c r="P12748" s="24"/>
      <c r="Q12748" s="24"/>
      <c r="R12748" s="24"/>
      <c r="S12748" s="24"/>
      <c r="T12748" s="24"/>
      <c r="U12748" s="24"/>
      <c r="V12748" s="24"/>
      <c r="W12748" s="24"/>
      <c r="X12748" s="24"/>
      <c r="Y12748" s="24"/>
      <c r="Z12748" s="24"/>
      <c r="AA12748" s="24"/>
    </row>
    <row r="12749">
      <c r="A12749" s="24"/>
      <c r="B12749" s="25"/>
      <c r="C12749" s="24"/>
      <c r="D12749" s="26"/>
      <c r="E12749" s="24"/>
      <c r="F12749" s="24"/>
      <c r="G12749" s="24"/>
      <c r="H12749" s="24"/>
      <c r="I12749" s="24"/>
      <c r="J12749" s="24"/>
      <c r="K12749" s="24"/>
      <c r="L12749" s="24"/>
      <c r="M12749" s="24"/>
      <c r="N12749" s="24"/>
      <c r="O12749" s="24"/>
      <c r="P12749" s="24"/>
      <c r="Q12749" s="24"/>
      <c r="R12749" s="24"/>
      <c r="S12749" s="24"/>
      <c r="T12749" s="24"/>
      <c r="U12749" s="24"/>
      <c r="V12749" s="24"/>
      <c r="W12749" s="24"/>
      <c r="X12749" s="24"/>
      <c r="Y12749" s="24"/>
      <c r="Z12749" s="24"/>
      <c r="AA12749" s="24"/>
    </row>
    <row r="12750">
      <c r="A12750" s="24"/>
      <c r="B12750" s="25"/>
      <c r="C12750" s="24"/>
      <c r="D12750" s="26"/>
      <c r="E12750" s="24"/>
      <c r="F12750" s="24"/>
      <c r="G12750" s="24"/>
      <c r="H12750" s="24"/>
      <c r="I12750" s="24"/>
      <c r="J12750" s="24"/>
      <c r="K12750" s="24"/>
      <c r="L12750" s="24"/>
      <c r="M12750" s="24"/>
      <c r="N12750" s="24"/>
      <c r="O12750" s="24"/>
      <c r="P12750" s="24"/>
      <c r="Q12750" s="24"/>
      <c r="R12750" s="24"/>
      <c r="S12750" s="24"/>
      <c r="T12750" s="24"/>
      <c r="U12750" s="24"/>
      <c r="V12750" s="24"/>
      <c r="W12750" s="24"/>
      <c r="X12750" s="24"/>
      <c r="Y12750" s="24"/>
      <c r="Z12750" s="24"/>
      <c r="AA12750" s="24"/>
    </row>
    <row r="12751">
      <c r="A12751" s="24"/>
      <c r="B12751" s="25"/>
      <c r="C12751" s="24"/>
      <c r="D12751" s="26"/>
      <c r="E12751" s="24"/>
      <c r="F12751" s="24"/>
      <c r="G12751" s="24"/>
      <c r="H12751" s="24"/>
      <c r="I12751" s="24"/>
      <c r="J12751" s="24"/>
      <c r="K12751" s="24"/>
      <c r="L12751" s="24"/>
      <c r="M12751" s="24"/>
      <c r="N12751" s="24"/>
      <c r="O12751" s="24"/>
      <c r="P12751" s="24"/>
      <c r="Q12751" s="24"/>
      <c r="R12751" s="24"/>
      <c r="S12751" s="24"/>
      <c r="T12751" s="24"/>
      <c r="U12751" s="24"/>
      <c r="V12751" s="24"/>
      <c r="W12751" s="24"/>
      <c r="X12751" s="24"/>
      <c r="Y12751" s="24"/>
      <c r="Z12751" s="24"/>
      <c r="AA12751" s="24"/>
    </row>
    <row r="12752">
      <c r="A12752" s="24"/>
      <c r="B12752" s="25"/>
      <c r="C12752" s="24"/>
      <c r="D12752" s="26"/>
      <c r="E12752" s="24"/>
      <c r="F12752" s="24"/>
      <c r="G12752" s="24"/>
      <c r="H12752" s="24"/>
      <c r="I12752" s="24"/>
      <c r="J12752" s="24"/>
      <c r="K12752" s="24"/>
      <c r="L12752" s="24"/>
      <c r="M12752" s="24"/>
      <c r="N12752" s="24"/>
      <c r="O12752" s="24"/>
      <c r="P12752" s="24"/>
      <c r="Q12752" s="24"/>
      <c r="R12752" s="24"/>
      <c r="S12752" s="24"/>
      <c r="T12752" s="24"/>
      <c r="U12752" s="24"/>
      <c r="V12752" s="24"/>
      <c r="W12752" s="24"/>
      <c r="X12752" s="24"/>
      <c r="Y12752" s="24"/>
      <c r="Z12752" s="24"/>
      <c r="AA12752" s="24"/>
    </row>
    <row r="12753">
      <c r="A12753" s="24"/>
      <c r="B12753" s="25"/>
      <c r="C12753" s="24"/>
      <c r="D12753" s="26"/>
      <c r="E12753" s="24"/>
      <c r="F12753" s="24"/>
      <c r="G12753" s="24"/>
      <c r="H12753" s="24"/>
      <c r="I12753" s="24"/>
      <c r="J12753" s="24"/>
      <c r="K12753" s="24"/>
      <c r="L12753" s="24"/>
      <c r="M12753" s="24"/>
      <c r="N12753" s="24"/>
      <c r="O12753" s="24"/>
      <c r="P12753" s="24"/>
      <c r="Q12753" s="24"/>
      <c r="R12753" s="24"/>
      <c r="S12753" s="24"/>
      <c r="T12753" s="24"/>
      <c r="U12753" s="24"/>
      <c r="V12753" s="24"/>
      <c r="W12753" s="24"/>
      <c r="X12753" s="24"/>
      <c r="Y12753" s="24"/>
      <c r="Z12753" s="24"/>
      <c r="AA12753" s="24"/>
    </row>
    <row r="12754">
      <c r="A12754" s="24"/>
      <c r="B12754" s="25"/>
      <c r="C12754" s="24"/>
      <c r="D12754" s="26"/>
      <c r="E12754" s="24"/>
      <c r="F12754" s="24"/>
      <c r="G12754" s="24"/>
      <c r="H12754" s="24"/>
      <c r="I12754" s="24"/>
      <c r="J12754" s="24"/>
      <c r="K12754" s="24"/>
      <c r="L12754" s="24"/>
      <c r="M12754" s="24"/>
      <c r="N12754" s="24"/>
      <c r="O12754" s="24"/>
      <c r="P12754" s="24"/>
      <c r="Q12754" s="24"/>
      <c r="R12754" s="24"/>
      <c r="S12754" s="24"/>
      <c r="T12754" s="24"/>
      <c r="U12754" s="24"/>
      <c r="V12754" s="24"/>
      <c r="W12754" s="24"/>
      <c r="X12754" s="24"/>
      <c r="Y12754" s="24"/>
      <c r="Z12754" s="24"/>
      <c r="AA12754" s="24"/>
    </row>
    <row r="12755">
      <c r="A12755" s="24"/>
      <c r="B12755" s="25"/>
      <c r="C12755" s="24"/>
      <c r="D12755" s="26"/>
      <c r="E12755" s="24"/>
      <c r="F12755" s="24"/>
      <c r="G12755" s="24"/>
      <c r="H12755" s="24"/>
      <c r="I12755" s="24"/>
      <c r="J12755" s="24"/>
      <c r="K12755" s="24"/>
      <c r="L12755" s="24"/>
      <c r="M12755" s="24"/>
      <c r="N12755" s="24"/>
      <c r="O12755" s="24"/>
      <c r="P12755" s="24"/>
      <c r="Q12755" s="24"/>
      <c r="R12755" s="24"/>
      <c r="S12755" s="24"/>
      <c r="T12755" s="24"/>
      <c r="U12755" s="24"/>
      <c r="V12755" s="24"/>
      <c r="W12755" s="24"/>
      <c r="X12755" s="24"/>
      <c r="Y12755" s="24"/>
      <c r="Z12755" s="24"/>
      <c r="AA12755" s="24"/>
    </row>
    <row r="12756">
      <c r="A12756" s="24"/>
      <c r="B12756" s="25"/>
      <c r="C12756" s="24"/>
      <c r="D12756" s="26"/>
      <c r="E12756" s="24"/>
      <c r="F12756" s="24"/>
      <c r="G12756" s="24"/>
      <c r="H12756" s="24"/>
      <c r="I12756" s="24"/>
      <c r="J12756" s="24"/>
      <c r="K12756" s="24"/>
      <c r="L12756" s="24"/>
      <c r="M12756" s="24"/>
      <c r="N12756" s="24"/>
      <c r="O12756" s="24"/>
      <c r="P12756" s="24"/>
      <c r="Q12756" s="24"/>
      <c r="R12756" s="24"/>
      <c r="S12756" s="24"/>
      <c r="T12756" s="24"/>
      <c r="U12756" s="24"/>
      <c r="V12756" s="24"/>
      <c r="W12756" s="24"/>
      <c r="X12756" s="24"/>
      <c r="Y12756" s="24"/>
      <c r="Z12756" s="24"/>
      <c r="AA12756" s="24"/>
    </row>
    <row r="12757">
      <c r="A12757" s="24"/>
      <c r="B12757" s="25"/>
      <c r="C12757" s="24"/>
      <c r="D12757" s="26"/>
      <c r="E12757" s="24"/>
      <c r="F12757" s="24"/>
      <c r="G12757" s="24"/>
      <c r="H12757" s="24"/>
      <c r="I12757" s="24"/>
      <c r="J12757" s="24"/>
      <c r="K12757" s="24"/>
      <c r="L12757" s="24"/>
      <c r="M12757" s="24"/>
      <c r="N12757" s="24"/>
      <c r="O12757" s="24"/>
      <c r="P12757" s="24"/>
      <c r="Q12757" s="24"/>
      <c r="R12757" s="24"/>
      <c r="S12757" s="24"/>
      <c r="T12757" s="24"/>
      <c r="U12757" s="24"/>
      <c r="V12757" s="24"/>
      <c r="W12757" s="24"/>
      <c r="X12757" s="24"/>
      <c r="Y12757" s="24"/>
      <c r="Z12757" s="24"/>
      <c r="AA12757" s="24"/>
    </row>
    <row r="12758">
      <c r="A12758" s="24"/>
      <c r="B12758" s="25"/>
      <c r="C12758" s="24"/>
      <c r="D12758" s="26"/>
      <c r="E12758" s="24"/>
      <c r="F12758" s="24"/>
      <c r="G12758" s="24"/>
      <c r="H12758" s="24"/>
      <c r="I12758" s="24"/>
      <c r="J12758" s="24"/>
      <c r="K12758" s="24"/>
      <c r="L12758" s="24"/>
      <c r="M12758" s="24"/>
      <c r="N12758" s="24"/>
      <c r="O12758" s="24"/>
      <c r="P12758" s="24"/>
      <c r="Q12758" s="24"/>
      <c r="R12758" s="24"/>
      <c r="S12758" s="24"/>
      <c r="T12758" s="24"/>
      <c r="U12758" s="24"/>
      <c r="V12758" s="24"/>
      <c r="W12758" s="24"/>
      <c r="X12758" s="24"/>
      <c r="Y12758" s="24"/>
      <c r="Z12758" s="24"/>
      <c r="AA12758" s="24"/>
    </row>
    <row r="12759">
      <c r="A12759" s="24"/>
      <c r="B12759" s="25"/>
      <c r="C12759" s="24"/>
      <c r="D12759" s="26"/>
      <c r="E12759" s="24"/>
      <c r="F12759" s="24"/>
      <c r="G12759" s="24"/>
      <c r="H12759" s="24"/>
      <c r="I12759" s="24"/>
      <c r="J12759" s="24"/>
      <c r="K12759" s="24"/>
      <c r="L12759" s="24"/>
      <c r="M12759" s="24"/>
      <c r="N12759" s="24"/>
      <c r="O12759" s="24"/>
      <c r="P12759" s="24"/>
      <c r="Q12759" s="24"/>
      <c r="R12759" s="24"/>
      <c r="S12759" s="24"/>
      <c r="T12759" s="24"/>
      <c r="U12759" s="24"/>
      <c r="V12759" s="24"/>
      <c r="W12759" s="24"/>
      <c r="X12759" s="24"/>
      <c r="Y12759" s="24"/>
      <c r="Z12759" s="24"/>
      <c r="AA12759" s="24"/>
    </row>
    <row r="12760">
      <c r="A12760" s="24"/>
      <c r="B12760" s="25"/>
      <c r="C12760" s="24"/>
      <c r="D12760" s="26"/>
      <c r="E12760" s="24"/>
      <c r="F12760" s="24"/>
      <c r="G12760" s="24"/>
      <c r="H12760" s="24"/>
      <c r="I12760" s="24"/>
      <c r="J12760" s="24"/>
      <c r="K12760" s="24"/>
      <c r="L12760" s="24"/>
      <c r="M12760" s="24"/>
      <c r="N12760" s="24"/>
      <c r="O12760" s="24"/>
      <c r="P12760" s="24"/>
      <c r="Q12760" s="24"/>
      <c r="R12760" s="24"/>
      <c r="S12760" s="24"/>
      <c r="T12760" s="24"/>
      <c r="U12760" s="24"/>
      <c r="V12760" s="24"/>
      <c r="W12760" s="24"/>
      <c r="X12760" s="24"/>
      <c r="Y12760" s="24"/>
      <c r="Z12760" s="24"/>
      <c r="AA12760" s="24"/>
    </row>
    <row r="12761">
      <c r="A12761" s="24"/>
      <c r="B12761" s="25"/>
      <c r="C12761" s="24"/>
      <c r="D12761" s="26"/>
      <c r="E12761" s="24"/>
      <c r="F12761" s="24"/>
      <c r="G12761" s="24"/>
      <c r="H12761" s="24"/>
      <c r="I12761" s="24"/>
      <c r="J12761" s="24"/>
      <c r="K12761" s="24"/>
      <c r="L12761" s="24"/>
      <c r="M12761" s="24"/>
      <c r="N12761" s="24"/>
      <c r="O12761" s="24"/>
      <c r="P12761" s="24"/>
      <c r="Q12761" s="24"/>
      <c r="R12761" s="24"/>
      <c r="S12761" s="24"/>
      <c r="T12761" s="24"/>
      <c r="U12761" s="24"/>
      <c r="V12761" s="24"/>
      <c r="W12761" s="24"/>
      <c r="X12761" s="24"/>
      <c r="Y12761" s="24"/>
      <c r="Z12761" s="24"/>
      <c r="AA12761" s="24"/>
    </row>
    <row r="12762">
      <c r="A12762" s="24"/>
      <c r="B12762" s="25"/>
      <c r="C12762" s="24"/>
      <c r="D12762" s="26"/>
      <c r="E12762" s="24"/>
      <c r="F12762" s="24"/>
      <c r="G12762" s="24"/>
      <c r="H12762" s="24"/>
      <c r="I12762" s="24"/>
      <c r="J12762" s="24"/>
      <c r="K12762" s="24"/>
      <c r="L12762" s="24"/>
      <c r="M12762" s="24"/>
      <c r="N12762" s="24"/>
      <c r="O12762" s="24"/>
      <c r="P12762" s="24"/>
      <c r="Q12762" s="24"/>
      <c r="R12762" s="24"/>
      <c r="S12762" s="24"/>
      <c r="T12762" s="24"/>
      <c r="U12762" s="24"/>
      <c r="V12762" s="24"/>
      <c r="W12762" s="24"/>
      <c r="X12762" s="24"/>
      <c r="Y12762" s="24"/>
      <c r="Z12762" s="24"/>
      <c r="AA12762" s="24"/>
    </row>
    <row r="12763">
      <c r="A12763" s="24"/>
      <c r="B12763" s="25"/>
      <c r="C12763" s="24"/>
      <c r="D12763" s="26"/>
      <c r="E12763" s="24"/>
      <c r="F12763" s="24"/>
      <c r="G12763" s="24"/>
      <c r="H12763" s="24"/>
      <c r="I12763" s="24"/>
      <c r="J12763" s="24"/>
      <c r="K12763" s="24"/>
      <c r="L12763" s="24"/>
      <c r="M12763" s="24"/>
      <c r="N12763" s="24"/>
      <c r="O12763" s="24"/>
      <c r="P12763" s="24"/>
      <c r="Q12763" s="24"/>
      <c r="R12763" s="24"/>
      <c r="S12763" s="24"/>
      <c r="T12763" s="24"/>
      <c r="U12763" s="24"/>
      <c r="V12763" s="24"/>
      <c r="W12763" s="24"/>
      <c r="X12763" s="24"/>
      <c r="Y12763" s="24"/>
      <c r="Z12763" s="24"/>
      <c r="AA12763" s="24"/>
    </row>
    <row r="12764">
      <c r="A12764" s="24"/>
      <c r="B12764" s="25"/>
      <c r="C12764" s="24"/>
      <c r="D12764" s="26"/>
      <c r="E12764" s="24"/>
      <c r="F12764" s="24"/>
      <c r="G12764" s="24"/>
      <c r="H12764" s="24"/>
      <c r="I12764" s="24"/>
      <c r="J12764" s="24"/>
      <c r="K12764" s="24"/>
      <c r="L12764" s="24"/>
      <c r="M12764" s="24"/>
      <c r="N12764" s="24"/>
      <c r="O12764" s="24"/>
      <c r="P12764" s="24"/>
      <c r="Q12764" s="24"/>
      <c r="R12764" s="24"/>
      <c r="S12764" s="24"/>
      <c r="T12764" s="24"/>
      <c r="U12764" s="24"/>
      <c r="V12764" s="24"/>
      <c r="W12764" s="24"/>
      <c r="X12764" s="24"/>
      <c r="Y12764" s="24"/>
      <c r="Z12764" s="24"/>
      <c r="AA12764" s="24"/>
    </row>
    <row r="12765">
      <c r="A12765" s="24"/>
      <c r="B12765" s="25"/>
      <c r="C12765" s="24"/>
      <c r="D12765" s="26"/>
      <c r="E12765" s="24"/>
      <c r="F12765" s="24"/>
      <c r="G12765" s="24"/>
      <c r="H12765" s="24"/>
      <c r="I12765" s="24"/>
      <c r="J12765" s="24"/>
      <c r="K12765" s="24"/>
      <c r="L12765" s="24"/>
      <c r="M12765" s="24"/>
      <c r="N12765" s="24"/>
      <c r="O12765" s="24"/>
      <c r="P12765" s="24"/>
      <c r="Q12765" s="24"/>
      <c r="R12765" s="24"/>
      <c r="S12765" s="24"/>
      <c r="T12765" s="24"/>
      <c r="U12765" s="24"/>
      <c r="V12765" s="24"/>
      <c r="W12765" s="24"/>
      <c r="X12765" s="24"/>
      <c r="Y12765" s="24"/>
      <c r="Z12765" s="24"/>
      <c r="AA12765" s="24"/>
    </row>
    <row r="12766">
      <c r="A12766" s="24"/>
      <c r="B12766" s="25"/>
      <c r="C12766" s="24"/>
      <c r="D12766" s="26"/>
      <c r="E12766" s="24"/>
      <c r="F12766" s="24"/>
      <c r="G12766" s="24"/>
      <c r="H12766" s="24"/>
      <c r="I12766" s="24"/>
      <c r="J12766" s="24"/>
      <c r="K12766" s="24"/>
      <c r="L12766" s="24"/>
      <c r="M12766" s="24"/>
      <c r="N12766" s="24"/>
      <c r="O12766" s="24"/>
      <c r="P12766" s="24"/>
      <c r="Q12766" s="24"/>
      <c r="R12766" s="24"/>
      <c r="S12766" s="24"/>
      <c r="T12766" s="24"/>
      <c r="U12766" s="24"/>
      <c r="V12766" s="24"/>
      <c r="W12766" s="24"/>
      <c r="X12766" s="24"/>
      <c r="Y12766" s="24"/>
      <c r="Z12766" s="24"/>
      <c r="AA12766" s="24"/>
    </row>
    <row r="12767">
      <c r="A12767" s="24"/>
      <c r="B12767" s="25"/>
      <c r="C12767" s="24"/>
      <c r="D12767" s="26"/>
      <c r="E12767" s="24"/>
      <c r="F12767" s="24"/>
      <c r="G12767" s="24"/>
      <c r="H12767" s="24"/>
      <c r="I12767" s="24"/>
      <c r="J12767" s="24"/>
      <c r="K12767" s="24"/>
      <c r="L12767" s="24"/>
      <c r="M12767" s="24"/>
      <c r="N12767" s="24"/>
      <c r="O12767" s="24"/>
      <c r="P12767" s="24"/>
      <c r="Q12767" s="24"/>
      <c r="R12767" s="24"/>
      <c r="S12767" s="24"/>
      <c r="T12767" s="24"/>
      <c r="U12767" s="24"/>
      <c r="V12767" s="24"/>
      <c r="W12767" s="24"/>
      <c r="X12767" s="24"/>
      <c r="Y12767" s="24"/>
      <c r="Z12767" s="24"/>
      <c r="AA12767" s="24"/>
    </row>
    <row r="12768">
      <c r="A12768" s="24"/>
      <c r="B12768" s="25"/>
      <c r="C12768" s="24"/>
      <c r="D12768" s="26"/>
      <c r="E12768" s="24"/>
      <c r="F12768" s="24"/>
      <c r="G12768" s="24"/>
      <c r="H12768" s="24"/>
      <c r="I12768" s="24"/>
      <c r="J12768" s="24"/>
      <c r="K12768" s="24"/>
      <c r="L12768" s="24"/>
      <c r="M12768" s="24"/>
      <c r="N12768" s="24"/>
      <c r="O12768" s="24"/>
      <c r="P12768" s="24"/>
      <c r="Q12768" s="24"/>
      <c r="R12768" s="24"/>
      <c r="S12768" s="24"/>
      <c r="T12768" s="24"/>
      <c r="U12768" s="24"/>
      <c r="V12768" s="24"/>
      <c r="W12768" s="24"/>
      <c r="X12768" s="24"/>
      <c r="Y12768" s="24"/>
      <c r="Z12768" s="24"/>
      <c r="AA12768" s="24"/>
    </row>
    <row r="12769">
      <c r="A12769" s="24"/>
      <c r="B12769" s="25"/>
      <c r="C12769" s="24"/>
      <c r="D12769" s="26"/>
      <c r="E12769" s="24"/>
      <c r="F12769" s="24"/>
      <c r="G12769" s="24"/>
      <c r="H12769" s="24"/>
      <c r="I12769" s="24"/>
      <c r="J12769" s="24"/>
      <c r="K12769" s="24"/>
      <c r="L12769" s="24"/>
      <c r="M12769" s="24"/>
      <c r="N12769" s="24"/>
      <c r="O12769" s="24"/>
      <c r="P12769" s="24"/>
      <c r="Q12769" s="24"/>
      <c r="R12769" s="24"/>
      <c r="S12769" s="24"/>
      <c r="T12769" s="24"/>
      <c r="U12769" s="24"/>
      <c r="V12769" s="24"/>
      <c r="W12769" s="24"/>
      <c r="X12769" s="24"/>
      <c r="Y12769" s="24"/>
      <c r="Z12769" s="24"/>
      <c r="AA12769" s="24"/>
    </row>
    <row r="12770">
      <c r="A12770" s="24"/>
      <c r="B12770" s="25"/>
      <c r="C12770" s="24"/>
      <c r="D12770" s="26"/>
      <c r="E12770" s="24"/>
      <c r="F12770" s="24"/>
      <c r="G12770" s="24"/>
      <c r="H12770" s="24"/>
      <c r="I12770" s="24"/>
      <c r="J12770" s="24"/>
      <c r="K12770" s="24"/>
      <c r="L12770" s="24"/>
      <c r="M12770" s="24"/>
      <c r="N12770" s="24"/>
      <c r="O12770" s="24"/>
      <c r="P12770" s="24"/>
      <c r="Q12770" s="24"/>
      <c r="R12770" s="24"/>
      <c r="S12770" s="24"/>
      <c r="T12770" s="24"/>
      <c r="U12770" s="24"/>
      <c r="V12770" s="24"/>
      <c r="W12770" s="24"/>
      <c r="X12770" s="24"/>
      <c r="Y12770" s="24"/>
      <c r="Z12770" s="24"/>
      <c r="AA12770" s="24"/>
    </row>
    <row r="12771">
      <c r="A12771" s="24"/>
      <c r="B12771" s="25"/>
      <c r="C12771" s="24"/>
      <c r="D12771" s="26"/>
      <c r="E12771" s="24"/>
      <c r="F12771" s="24"/>
      <c r="G12771" s="24"/>
      <c r="H12771" s="24"/>
      <c r="I12771" s="24"/>
      <c r="J12771" s="24"/>
      <c r="K12771" s="24"/>
      <c r="L12771" s="24"/>
      <c r="M12771" s="24"/>
      <c r="N12771" s="24"/>
      <c r="O12771" s="24"/>
      <c r="P12771" s="24"/>
      <c r="Q12771" s="24"/>
      <c r="R12771" s="24"/>
      <c r="S12771" s="24"/>
      <c r="T12771" s="24"/>
      <c r="U12771" s="24"/>
      <c r="V12771" s="24"/>
      <c r="W12771" s="24"/>
      <c r="X12771" s="24"/>
      <c r="Y12771" s="24"/>
      <c r="Z12771" s="24"/>
      <c r="AA12771" s="24"/>
    </row>
    <row r="12772">
      <c r="A12772" s="24"/>
      <c r="B12772" s="25"/>
      <c r="C12772" s="24"/>
      <c r="D12772" s="26"/>
      <c r="E12772" s="24"/>
      <c r="F12772" s="24"/>
      <c r="G12772" s="24"/>
      <c r="H12772" s="24"/>
      <c r="I12772" s="24"/>
      <c r="J12772" s="24"/>
      <c r="K12772" s="24"/>
      <c r="L12772" s="24"/>
      <c r="M12772" s="24"/>
      <c r="N12772" s="24"/>
      <c r="O12772" s="24"/>
      <c r="P12772" s="24"/>
      <c r="Q12772" s="24"/>
      <c r="R12772" s="24"/>
      <c r="S12772" s="24"/>
      <c r="T12772" s="24"/>
      <c r="U12772" s="24"/>
      <c r="V12772" s="24"/>
      <c r="W12772" s="24"/>
      <c r="X12772" s="24"/>
      <c r="Y12772" s="24"/>
      <c r="Z12772" s="24"/>
      <c r="AA12772" s="24"/>
    </row>
    <row r="12773">
      <c r="A12773" s="24"/>
      <c r="B12773" s="25"/>
      <c r="C12773" s="24"/>
      <c r="D12773" s="26"/>
      <c r="E12773" s="24"/>
      <c r="F12773" s="24"/>
      <c r="G12773" s="24"/>
      <c r="H12773" s="24"/>
      <c r="I12773" s="24"/>
      <c r="J12773" s="24"/>
      <c r="K12773" s="24"/>
      <c r="L12773" s="24"/>
      <c r="M12773" s="24"/>
      <c r="N12773" s="24"/>
      <c r="O12773" s="24"/>
      <c r="P12773" s="24"/>
      <c r="Q12773" s="24"/>
      <c r="R12773" s="24"/>
      <c r="S12773" s="24"/>
      <c r="T12773" s="24"/>
      <c r="U12773" s="24"/>
      <c r="V12773" s="24"/>
      <c r="W12773" s="24"/>
      <c r="X12773" s="24"/>
      <c r="Y12773" s="24"/>
      <c r="Z12773" s="24"/>
      <c r="AA12773" s="24"/>
    </row>
    <row r="12774">
      <c r="A12774" s="24"/>
      <c r="B12774" s="25"/>
      <c r="C12774" s="24"/>
      <c r="D12774" s="26"/>
      <c r="E12774" s="24"/>
      <c r="F12774" s="24"/>
      <c r="G12774" s="24"/>
      <c r="H12774" s="24"/>
      <c r="I12774" s="24"/>
      <c r="J12774" s="24"/>
      <c r="K12774" s="24"/>
      <c r="L12774" s="24"/>
      <c r="M12774" s="24"/>
      <c r="N12774" s="24"/>
      <c r="O12774" s="24"/>
      <c r="P12774" s="24"/>
      <c r="Q12774" s="24"/>
      <c r="R12774" s="24"/>
      <c r="S12774" s="24"/>
      <c r="T12774" s="24"/>
      <c r="U12774" s="24"/>
      <c r="V12774" s="24"/>
      <c r="W12774" s="24"/>
      <c r="X12774" s="24"/>
      <c r="Y12774" s="24"/>
      <c r="Z12774" s="24"/>
      <c r="AA12774" s="24"/>
    </row>
    <row r="12775">
      <c r="A12775" s="24"/>
      <c r="B12775" s="25"/>
      <c r="C12775" s="24"/>
      <c r="D12775" s="26"/>
      <c r="E12775" s="24"/>
      <c r="F12775" s="24"/>
      <c r="G12775" s="24"/>
      <c r="H12775" s="24"/>
      <c r="I12775" s="24"/>
      <c r="J12775" s="24"/>
      <c r="K12775" s="24"/>
      <c r="L12775" s="24"/>
      <c r="M12775" s="24"/>
      <c r="N12775" s="24"/>
      <c r="O12775" s="24"/>
      <c r="P12775" s="24"/>
      <c r="Q12775" s="24"/>
      <c r="R12775" s="24"/>
      <c r="S12775" s="24"/>
      <c r="T12775" s="24"/>
      <c r="U12775" s="24"/>
      <c r="V12775" s="24"/>
      <c r="W12775" s="24"/>
      <c r="X12775" s="24"/>
      <c r="Y12775" s="24"/>
      <c r="Z12775" s="24"/>
      <c r="AA12775" s="24"/>
    </row>
    <row r="12776">
      <c r="A12776" s="24"/>
      <c r="B12776" s="25"/>
      <c r="C12776" s="24"/>
      <c r="D12776" s="26"/>
      <c r="E12776" s="24"/>
      <c r="F12776" s="24"/>
      <c r="G12776" s="24"/>
      <c r="H12776" s="24"/>
      <c r="I12776" s="24"/>
      <c r="J12776" s="24"/>
      <c r="K12776" s="24"/>
      <c r="L12776" s="24"/>
      <c r="M12776" s="24"/>
      <c r="N12776" s="24"/>
      <c r="O12776" s="24"/>
      <c r="P12776" s="24"/>
      <c r="Q12776" s="24"/>
      <c r="R12776" s="24"/>
      <c r="S12776" s="24"/>
      <c r="T12776" s="24"/>
      <c r="U12776" s="24"/>
      <c r="V12776" s="24"/>
      <c r="W12776" s="24"/>
      <c r="X12776" s="24"/>
      <c r="Y12776" s="24"/>
      <c r="Z12776" s="24"/>
      <c r="AA12776" s="24"/>
    </row>
    <row r="12777">
      <c r="A12777" s="24"/>
      <c r="B12777" s="25"/>
      <c r="C12777" s="24"/>
      <c r="D12777" s="26"/>
      <c r="E12777" s="24"/>
      <c r="F12777" s="24"/>
      <c r="G12777" s="24"/>
      <c r="H12777" s="24"/>
      <c r="I12777" s="24"/>
      <c r="J12777" s="24"/>
      <c r="K12777" s="24"/>
      <c r="L12777" s="24"/>
      <c r="M12777" s="24"/>
      <c r="N12777" s="24"/>
      <c r="O12777" s="24"/>
      <c r="P12777" s="24"/>
      <c r="Q12777" s="24"/>
      <c r="R12777" s="24"/>
      <c r="S12777" s="24"/>
      <c r="T12777" s="24"/>
      <c r="U12777" s="24"/>
      <c r="V12777" s="24"/>
      <c r="W12777" s="24"/>
      <c r="X12777" s="24"/>
      <c r="Y12777" s="24"/>
      <c r="Z12777" s="24"/>
      <c r="AA12777" s="24"/>
    </row>
    <row r="12778">
      <c r="A12778" s="24"/>
      <c r="B12778" s="25"/>
      <c r="C12778" s="24"/>
      <c r="D12778" s="26"/>
      <c r="E12778" s="24"/>
      <c r="F12778" s="24"/>
      <c r="G12778" s="24"/>
      <c r="H12778" s="24"/>
      <c r="I12778" s="24"/>
      <c r="J12778" s="24"/>
      <c r="K12778" s="24"/>
      <c r="L12778" s="24"/>
      <c r="M12778" s="24"/>
      <c r="N12778" s="24"/>
      <c r="O12778" s="24"/>
      <c r="P12778" s="24"/>
      <c r="Q12778" s="24"/>
      <c r="R12778" s="24"/>
      <c r="S12778" s="24"/>
      <c r="T12778" s="24"/>
      <c r="U12778" s="24"/>
      <c r="V12778" s="24"/>
      <c r="W12778" s="24"/>
      <c r="X12778" s="24"/>
      <c r="Y12778" s="24"/>
      <c r="Z12778" s="24"/>
      <c r="AA12778" s="24"/>
    </row>
    <row r="12779">
      <c r="A12779" s="24"/>
      <c r="B12779" s="25"/>
      <c r="C12779" s="24"/>
      <c r="D12779" s="26"/>
      <c r="E12779" s="24"/>
      <c r="F12779" s="24"/>
      <c r="G12779" s="24"/>
      <c r="H12779" s="24"/>
      <c r="I12779" s="24"/>
      <c r="J12779" s="24"/>
      <c r="K12779" s="24"/>
      <c r="L12779" s="24"/>
      <c r="M12779" s="24"/>
      <c r="N12779" s="24"/>
      <c r="O12779" s="24"/>
      <c r="P12779" s="24"/>
      <c r="Q12779" s="24"/>
      <c r="R12779" s="24"/>
      <c r="S12779" s="24"/>
      <c r="T12779" s="24"/>
      <c r="U12779" s="24"/>
      <c r="V12779" s="24"/>
      <c r="W12779" s="24"/>
      <c r="X12779" s="24"/>
      <c r="Y12779" s="24"/>
      <c r="Z12779" s="24"/>
      <c r="AA12779" s="24"/>
    </row>
    <row r="12780">
      <c r="A12780" s="24"/>
      <c r="B12780" s="25"/>
      <c r="C12780" s="24"/>
      <c r="D12780" s="26"/>
      <c r="E12780" s="24"/>
      <c r="F12780" s="24"/>
      <c r="G12780" s="24"/>
      <c r="H12780" s="24"/>
      <c r="I12780" s="24"/>
      <c r="J12780" s="24"/>
      <c r="K12780" s="24"/>
      <c r="L12780" s="24"/>
      <c r="M12780" s="24"/>
      <c r="N12780" s="24"/>
      <c r="O12780" s="24"/>
      <c r="P12780" s="24"/>
      <c r="Q12780" s="24"/>
      <c r="R12780" s="24"/>
      <c r="S12780" s="24"/>
      <c r="T12780" s="24"/>
      <c r="U12780" s="24"/>
      <c r="V12780" s="24"/>
      <c r="W12780" s="24"/>
      <c r="X12780" s="24"/>
      <c r="Y12780" s="24"/>
      <c r="Z12780" s="24"/>
      <c r="AA12780" s="24"/>
    </row>
    <row r="12781">
      <c r="A12781" s="24"/>
      <c r="B12781" s="25"/>
      <c r="C12781" s="24"/>
      <c r="D12781" s="26"/>
      <c r="E12781" s="24"/>
      <c r="F12781" s="24"/>
      <c r="G12781" s="24"/>
      <c r="H12781" s="24"/>
      <c r="I12781" s="24"/>
      <c r="J12781" s="24"/>
      <c r="K12781" s="24"/>
      <c r="L12781" s="24"/>
      <c r="M12781" s="24"/>
      <c r="N12781" s="24"/>
      <c r="O12781" s="24"/>
      <c r="P12781" s="24"/>
      <c r="Q12781" s="24"/>
      <c r="R12781" s="24"/>
      <c r="S12781" s="24"/>
      <c r="T12781" s="24"/>
      <c r="U12781" s="24"/>
      <c r="V12781" s="24"/>
      <c r="W12781" s="24"/>
      <c r="X12781" s="24"/>
      <c r="Y12781" s="24"/>
      <c r="Z12781" s="24"/>
      <c r="AA12781" s="24"/>
    </row>
    <row r="12782">
      <c r="A12782" s="24"/>
      <c r="B12782" s="25"/>
      <c r="C12782" s="24"/>
      <c r="D12782" s="26"/>
      <c r="E12782" s="24"/>
      <c r="F12782" s="24"/>
      <c r="G12782" s="24"/>
      <c r="H12782" s="24"/>
      <c r="I12782" s="24"/>
      <c r="J12782" s="24"/>
      <c r="K12782" s="24"/>
      <c r="L12782" s="24"/>
      <c r="M12782" s="24"/>
      <c r="N12782" s="24"/>
      <c r="O12782" s="24"/>
      <c r="P12782" s="24"/>
      <c r="Q12782" s="24"/>
      <c r="R12782" s="24"/>
      <c r="S12782" s="24"/>
      <c r="T12782" s="24"/>
      <c r="U12782" s="24"/>
      <c r="V12782" s="24"/>
      <c r="W12782" s="24"/>
      <c r="X12782" s="24"/>
      <c r="Y12782" s="24"/>
      <c r="Z12782" s="24"/>
      <c r="AA12782" s="24"/>
    </row>
    <row r="12783">
      <c r="A12783" s="24"/>
      <c r="B12783" s="25"/>
      <c r="C12783" s="24"/>
      <c r="D12783" s="26"/>
      <c r="E12783" s="24"/>
      <c r="F12783" s="24"/>
      <c r="G12783" s="24"/>
      <c r="H12783" s="24"/>
      <c r="I12783" s="24"/>
      <c r="J12783" s="24"/>
      <c r="K12783" s="24"/>
      <c r="L12783" s="24"/>
      <c r="M12783" s="24"/>
      <c r="N12783" s="24"/>
      <c r="O12783" s="24"/>
      <c r="P12783" s="24"/>
      <c r="Q12783" s="24"/>
      <c r="R12783" s="24"/>
      <c r="S12783" s="24"/>
      <c r="T12783" s="24"/>
      <c r="U12783" s="24"/>
      <c r="V12783" s="24"/>
      <c r="W12783" s="24"/>
      <c r="X12783" s="24"/>
      <c r="Y12783" s="24"/>
      <c r="Z12783" s="24"/>
      <c r="AA12783" s="24"/>
    </row>
    <row r="12784">
      <c r="A12784" s="24"/>
      <c r="B12784" s="25"/>
      <c r="C12784" s="24"/>
      <c r="D12784" s="26"/>
      <c r="E12784" s="24"/>
      <c r="F12784" s="24"/>
      <c r="G12784" s="24"/>
      <c r="H12784" s="24"/>
      <c r="I12784" s="24"/>
      <c r="J12784" s="24"/>
      <c r="K12784" s="24"/>
      <c r="L12784" s="24"/>
      <c r="M12784" s="24"/>
      <c r="N12784" s="24"/>
      <c r="O12784" s="24"/>
      <c r="P12784" s="24"/>
      <c r="Q12784" s="24"/>
      <c r="R12784" s="24"/>
      <c r="S12784" s="24"/>
      <c r="T12784" s="24"/>
      <c r="U12784" s="24"/>
      <c r="V12784" s="24"/>
      <c r="W12784" s="24"/>
      <c r="X12784" s="24"/>
      <c r="Y12784" s="24"/>
      <c r="Z12784" s="24"/>
      <c r="AA12784" s="24"/>
    </row>
    <row r="12785">
      <c r="A12785" s="24"/>
      <c r="B12785" s="25"/>
      <c r="C12785" s="24"/>
      <c r="D12785" s="26"/>
      <c r="E12785" s="24"/>
      <c r="F12785" s="24"/>
      <c r="G12785" s="24"/>
      <c r="H12785" s="24"/>
      <c r="I12785" s="24"/>
      <c r="J12785" s="24"/>
      <c r="K12785" s="24"/>
      <c r="L12785" s="24"/>
      <c r="M12785" s="24"/>
      <c r="N12785" s="24"/>
      <c r="O12785" s="24"/>
      <c r="P12785" s="24"/>
      <c r="Q12785" s="24"/>
      <c r="R12785" s="24"/>
      <c r="S12785" s="24"/>
      <c r="T12785" s="24"/>
      <c r="U12785" s="24"/>
      <c r="V12785" s="24"/>
      <c r="W12785" s="24"/>
      <c r="X12785" s="24"/>
      <c r="Y12785" s="24"/>
      <c r="Z12785" s="24"/>
      <c r="AA12785" s="24"/>
    </row>
    <row r="12786">
      <c r="A12786" s="24"/>
      <c r="B12786" s="25"/>
      <c r="C12786" s="24"/>
      <c r="D12786" s="26"/>
      <c r="E12786" s="24"/>
      <c r="F12786" s="24"/>
      <c r="G12786" s="24"/>
      <c r="H12786" s="24"/>
      <c r="I12786" s="24"/>
      <c r="J12786" s="24"/>
      <c r="K12786" s="24"/>
      <c r="L12786" s="24"/>
      <c r="M12786" s="24"/>
      <c r="N12786" s="24"/>
      <c r="O12786" s="24"/>
      <c r="P12786" s="24"/>
      <c r="Q12786" s="24"/>
      <c r="R12786" s="24"/>
      <c r="S12786" s="24"/>
      <c r="T12786" s="24"/>
      <c r="U12786" s="24"/>
      <c r="V12786" s="24"/>
      <c r="W12786" s="24"/>
      <c r="X12786" s="24"/>
      <c r="Y12786" s="24"/>
      <c r="Z12786" s="24"/>
      <c r="AA12786" s="24"/>
    </row>
    <row r="12787">
      <c r="A12787" s="24"/>
      <c r="B12787" s="25"/>
      <c r="C12787" s="24"/>
      <c r="D12787" s="26"/>
      <c r="E12787" s="24"/>
      <c r="F12787" s="24"/>
      <c r="G12787" s="24"/>
      <c r="H12787" s="24"/>
      <c r="I12787" s="24"/>
      <c r="J12787" s="24"/>
      <c r="K12787" s="24"/>
      <c r="L12787" s="24"/>
      <c r="M12787" s="24"/>
      <c r="N12787" s="24"/>
      <c r="O12787" s="24"/>
      <c r="P12787" s="24"/>
      <c r="Q12787" s="24"/>
      <c r="R12787" s="24"/>
      <c r="S12787" s="24"/>
      <c r="T12787" s="24"/>
      <c r="U12787" s="24"/>
      <c r="V12787" s="24"/>
      <c r="W12787" s="24"/>
      <c r="X12787" s="24"/>
      <c r="Y12787" s="24"/>
      <c r="Z12787" s="24"/>
      <c r="AA12787" s="24"/>
    </row>
    <row r="12788">
      <c r="A12788" s="24"/>
      <c r="B12788" s="25"/>
      <c r="C12788" s="24"/>
      <c r="D12788" s="26"/>
      <c r="E12788" s="24"/>
      <c r="F12788" s="24"/>
      <c r="G12788" s="24"/>
      <c r="H12788" s="24"/>
      <c r="I12788" s="24"/>
      <c r="J12788" s="24"/>
      <c r="K12788" s="24"/>
      <c r="L12788" s="24"/>
      <c r="M12788" s="24"/>
      <c r="N12788" s="24"/>
      <c r="O12788" s="24"/>
      <c r="P12788" s="24"/>
      <c r="Q12788" s="24"/>
      <c r="R12788" s="24"/>
      <c r="S12788" s="24"/>
      <c r="T12788" s="24"/>
      <c r="U12788" s="24"/>
      <c r="V12788" s="24"/>
      <c r="W12788" s="24"/>
      <c r="X12788" s="24"/>
      <c r="Y12788" s="24"/>
      <c r="Z12788" s="24"/>
      <c r="AA12788" s="24"/>
    </row>
    <row r="12789">
      <c r="A12789" s="24"/>
      <c r="B12789" s="25"/>
      <c r="C12789" s="24"/>
      <c r="D12789" s="26"/>
      <c r="E12789" s="24"/>
      <c r="F12789" s="24"/>
      <c r="G12789" s="24"/>
      <c r="H12789" s="24"/>
      <c r="I12789" s="24"/>
      <c r="J12789" s="24"/>
      <c r="K12789" s="24"/>
      <c r="L12789" s="24"/>
      <c r="M12789" s="24"/>
      <c r="N12789" s="24"/>
      <c r="O12789" s="24"/>
      <c r="P12789" s="24"/>
      <c r="Q12789" s="24"/>
      <c r="R12789" s="24"/>
      <c r="S12789" s="24"/>
      <c r="T12789" s="24"/>
      <c r="U12789" s="24"/>
      <c r="V12789" s="24"/>
      <c r="W12789" s="24"/>
      <c r="X12789" s="24"/>
      <c r="Y12789" s="24"/>
      <c r="Z12789" s="24"/>
      <c r="AA12789" s="24"/>
    </row>
    <row r="12790">
      <c r="A12790" s="24"/>
      <c r="B12790" s="25"/>
      <c r="C12790" s="24"/>
      <c r="D12790" s="26"/>
      <c r="E12790" s="24"/>
      <c r="F12790" s="24"/>
      <c r="G12790" s="24"/>
      <c r="H12790" s="24"/>
      <c r="I12790" s="24"/>
      <c r="J12790" s="24"/>
      <c r="K12790" s="24"/>
      <c r="L12790" s="24"/>
      <c r="M12790" s="24"/>
      <c r="N12790" s="24"/>
      <c r="O12790" s="24"/>
      <c r="P12790" s="24"/>
      <c r="Q12790" s="24"/>
      <c r="R12790" s="24"/>
      <c r="S12790" s="24"/>
      <c r="T12790" s="24"/>
      <c r="U12790" s="24"/>
      <c r="V12790" s="24"/>
      <c r="W12790" s="24"/>
      <c r="X12790" s="24"/>
      <c r="Y12790" s="24"/>
      <c r="Z12790" s="24"/>
      <c r="AA12790" s="24"/>
    </row>
    <row r="12791">
      <c r="A12791" s="24"/>
      <c r="B12791" s="25"/>
      <c r="C12791" s="24"/>
      <c r="D12791" s="26"/>
      <c r="E12791" s="24"/>
      <c r="F12791" s="24"/>
      <c r="G12791" s="24"/>
      <c r="H12791" s="24"/>
      <c r="I12791" s="24"/>
      <c r="J12791" s="24"/>
      <c r="K12791" s="24"/>
      <c r="L12791" s="24"/>
      <c r="M12791" s="24"/>
      <c r="N12791" s="24"/>
      <c r="O12791" s="24"/>
      <c r="P12791" s="24"/>
      <c r="Q12791" s="24"/>
      <c r="R12791" s="24"/>
      <c r="S12791" s="24"/>
      <c r="T12791" s="24"/>
      <c r="U12791" s="24"/>
      <c r="V12791" s="24"/>
      <c r="W12791" s="24"/>
      <c r="X12791" s="24"/>
      <c r="Y12791" s="24"/>
      <c r="Z12791" s="24"/>
      <c r="AA12791" s="24"/>
    </row>
    <row r="12792">
      <c r="A12792" s="24"/>
      <c r="B12792" s="25"/>
      <c r="C12792" s="24"/>
      <c r="D12792" s="26"/>
      <c r="E12792" s="24"/>
      <c r="F12792" s="24"/>
      <c r="G12792" s="24"/>
      <c r="H12792" s="24"/>
      <c r="I12792" s="24"/>
      <c r="J12792" s="24"/>
      <c r="K12792" s="24"/>
      <c r="L12792" s="24"/>
      <c r="M12792" s="24"/>
      <c r="N12792" s="24"/>
      <c r="O12792" s="24"/>
      <c r="P12792" s="24"/>
      <c r="Q12792" s="24"/>
      <c r="R12792" s="24"/>
      <c r="S12792" s="24"/>
      <c r="T12792" s="24"/>
      <c r="U12792" s="24"/>
      <c r="V12792" s="24"/>
      <c r="W12792" s="24"/>
      <c r="X12792" s="24"/>
      <c r="Y12792" s="24"/>
      <c r="Z12792" s="24"/>
      <c r="AA12792" s="24"/>
    </row>
    <row r="12793">
      <c r="A12793" s="24"/>
      <c r="B12793" s="25"/>
      <c r="C12793" s="24"/>
      <c r="D12793" s="26"/>
      <c r="E12793" s="24"/>
      <c r="F12793" s="24"/>
      <c r="G12793" s="24"/>
      <c r="H12793" s="24"/>
      <c r="I12793" s="24"/>
      <c r="J12793" s="24"/>
      <c r="K12793" s="24"/>
      <c r="L12793" s="24"/>
      <c r="M12793" s="24"/>
      <c r="N12793" s="24"/>
      <c r="O12793" s="24"/>
      <c r="P12793" s="24"/>
      <c r="Q12793" s="24"/>
      <c r="R12793" s="24"/>
      <c r="S12793" s="24"/>
      <c r="T12793" s="24"/>
      <c r="U12793" s="24"/>
      <c r="V12793" s="24"/>
      <c r="W12793" s="24"/>
      <c r="X12793" s="24"/>
      <c r="Y12793" s="24"/>
      <c r="Z12793" s="24"/>
      <c r="AA12793" s="24"/>
    </row>
    <row r="12794">
      <c r="A12794" s="24"/>
      <c r="B12794" s="25"/>
      <c r="C12794" s="24"/>
      <c r="D12794" s="26"/>
      <c r="E12794" s="24"/>
      <c r="F12794" s="24"/>
      <c r="G12794" s="24"/>
      <c r="H12794" s="24"/>
      <c r="I12794" s="24"/>
      <c r="J12794" s="24"/>
      <c r="K12794" s="24"/>
      <c r="L12794" s="24"/>
      <c r="M12794" s="24"/>
      <c r="N12794" s="24"/>
      <c r="O12794" s="24"/>
      <c r="P12794" s="24"/>
      <c r="Q12794" s="24"/>
      <c r="R12794" s="24"/>
      <c r="S12794" s="24"/>
      <c r="T12794" s="24"/>
      <c r="U12794" s="24"/>
      <c r="V12794" s="24"/>
      <c r="W12794" s="24"/>
      <c r="X12794" s="24"/>
      <c r="Y12794" s="24"/>
      <c r="Z12794" s="24"/>
      <c r="AA12794" s="24"/>
    </row>
    <row r="12795">
      <c r="A12795" s="24"/>
      <c r="B12795" s="25"/>
      <c r="C12795" s="24"/>
      <c r="D12795" s="26"/>
      <c r="E12795" s="24"/>
      <c r="F12795" s="24"/>
      <c r="G12795" s="24"/>
      <c r="H12795" s="24"/>
      <c r="I12795" s="24"/>
      <c r="J12795" s="24"/>
      <c r="K12795" s="24"/>
      <c r="L12795" s="24"/>
      <c r="M12795" s="24"/>
      <c r="N12795" s="24"/>
      <c r="O12795" s="24"/>
      <c r="P12795" s="24"/>
      <c r="Q12795" s="24"/>
      <c r="R12795" s="24"/>
      <c r="S12795" s="24"/>
      <c r="T12795" s="24"/>
      <c r="U12795" s="24"/>
      <c r="V12795" s="24"/>
      <c r="W12795" s="24"/>
      <c r="X12795" s="24"/>
      <c r="Y12795" s="24"/>
      <c r="Z12795" s="24"/>
      <c r="AA12795" s="24"/>
    </row>
    <row r="12796">
      <c r="A12796" s="24"/>
      <c r="B12796" s="25"/>
      <c r="C12796" s="24"/>
      <c r="D12796" s="26"/>
      <c r="E12796" s="24"/>
      <c r="F12796" s="24"/>
      <c r="G12796" s="24"/>
      <c r="H12796" s="24"/>
      <c r="I12796" s="24"/>
      <c r="J12796" s="24"/>
      <c r="K12796" s="24"/>
      <c r="L12796" s="24"/>
      <c r="M12796" s="24"/>
      <c r="N12796" s="24"/>
      <c r="O12796" s="24"/>
      <c r="P12796" s="24"/>
      <c r="Q12796" s="24"/>
      <c r="R12796" s="24"/>
      <c r="S12796" s="24"/>
      <c r="T12796" s="24"/>
      <c r="U12796" s="24"/>
      <c r="V12796" s="24"/>
      <c r="W12796" s="24"/>
      <c r="X12796" s="24"/>
      <c r="Y12796" s="24"/>
      <c r="Z12796" s="24"/>
      <c r="AA12796" s="24"/>
    </row>
    <row r="12797">
      <c r="A12797" s="24"/>
      <c r="B12797" s="25"/>
      <c r="C12797" s="24"/>
      <c r="D12797" s="26"/>
      <c r="E12797" s="24"/>
      <c r="F12797" s="24"/>
      <c r="G12797" s="24"/>
      <c r="H12797" s="24"/>
      <c r="I12797" s="24"/>
      <c r="J12797" s="24"/>
      <c r="K12797" s="24"/>
      <c r="L12797" s="24"/>
      <c r="M12797" s="24"/>
      <c r="N12797" s="24"/>
      <c r="O12797" s="24"/>
      <c r="P12797" s="24"/>
      <c r="Q12797" s="24"/>
      <c r="R12797" s="24"/>
      <c r="S12797" s="24"/>
      <c r="T12797" s="24"/>
      <c r="U12797" s="24"/>
      <c r="V12797" s="24"/>
      <c r="W12797" s="24"/>
      <c r="X12797" s="24"/>
      <c r="Y12797" s="24"/>
      <c r="Z12797" s="24"/>
      <c r="AA12797" s="24"/>
    </row>
    <row r="12798">
      <c r="A12798" s="24"/>
      <c r="B12798" s="25"/>
      <c r="C12798" s="24"/>
      <c r="D12798" s="26"/>
      <c r="E12798" s="24"/>
      <c r="F12798" s="24"/>
      <c r="G12798" s="24"/>
      <c r="H12798" s="24"/>
      <c r="I12798" s="24"/>
      <c r="J12798" s="24"/>
      <c r="K12798" s="24"/>
      <c r="L12798" s="24"/>
      <c r="M12798" s="24"/>
      <c r="N12798" s="24"/>
      <c r="O12798" s="24"/>
      <c r="P12798" s="24"/>
      <c r="Q12798" s="24"/>
      <c r="R12798" s="24"/>
      <c r="S12798" s="24"/>
      <c r="T12798" s="24"/>
      <c r="U12798" s="24"/>
      <c r="V12798" s="24"/>
      <c r="W12798" s="24"/>
      <c r="X12798" s="24"/>
      <c r="Y12798" s="24"/>
      <c r="Z12798" s="24"/>
      <c r="AA12798" s="24"/>
    </row>
    <row r="12799">
      <c r="A12799" s="24"/>
      <c r="B12799" s="25"/>
      <c r="C12799" s="24"/>
      <c r="D12799" s="26"/>
      <c r="E12799" s="24"/>
      <c r="F12799" s="24"/>
      <c r="G12799" s="24"/>
      <c r="H12799" s="24"/>
      <c r="I12799" s="24"/>
      <c r="J12799" s="24"/>
      <c r="K12799" s="24"/>
      <c r="L12799" s="24"/>
      <c r="M12799" s="24"/>
      <c r="N12799" s="24"/>
      <c r="O12799" s="24"/>
      <c r="P12799" s="24"/>
      <c r="Q12799" s="24"/>
      <c r="R12799" s="24"/>
      <c r="S12799" s="24"/>
      <c r="T12799" s="24"/>
      <c r="U12799" s="24"/>
      <c r="V12799" s="24"/>
      <c r="W12799" s="24"/>
      <c r="X12799" s="24"/>
      <c r="Y12799" s="24"/>
      <c r="Z12799" s="24"/>
      <c r="AA12799" s="24"/>
    </row>
    <row r="12800">
      <c r="A12800" s="24"/>
      <c r="B12800" s="25"/>
      <c r="C12800" s="24"/>
      <c r="D12800" s="26"/>
      <c r="E12800" s="24"/>
      <c r="F12800" s="24"/>
      <c r="G12800" s="24"/>
      <c r="H12800" s="24"/>
      <c r="I12800" s="24"/>
      <c r="J12800" s="24"/>
      <c r="K12800" s="24"/>
      <c r="L12800" s="24"/>
      <c r="M12800" s="24"/>
      <c r="N12800" s="24"/>
      <c r="O12800" s="24"/>
      <c r="P12800" s="24"/>
      <c r="Q12800" s="24"/>
      <c r="R12800" s="24"/>
      <c r="S12800" s="24"/>
      <c r="T12800" s="24"/>
      <c r="U12800" s="24"/>
      <c r="V12800" s="24"/>
      <c r="W12800" s="24"/>
      <c r="X12800" s="24"/>
      <c r="Y12800" s="24"/>
      <c r="Z12800" s="24"/>
      <c r="AA12800" s="24"/>
    </row>
    <row r="12801">
      <c r="A12801" s="24"/>
      <c r="B12801" s="25"/>
      <c r="C12801" s="24"/>
      <c r="D12801" s="26"/>
      <c r="E12801" s="24"/>
      <c r="F12801" s="24"/>
      <c r="G12801" s="24"/>
      <c r="H12801" s="24"/>
      <c r="I12801" s="24"/>
      <c r="J12801" s="24"/>
      <c r="K12801" s="24"/>
      <c r="L12801" s="24"/>
      <c r="M12801" s="24"/>
      <c r="N12801" s="24"/>
      <c r="O12801" s="24"/>
      <c r="P12801" s="24"/>
      <c r="Q12801" s="24"/>
      <c r="R12801" s="24"/>
      <c r="S12801" s="24"/>
      <c r="T12801" s="24"/>
      <c r="U12801" s="24"/>
      <c r="V12801" s="24"/>
      <c r="W12801" s="24"/>
      <c r="X12801" s="24"/>
      <c r="Y12801" s="24"/>
      <c r="Z12801" s="24"/>
      <c r="AA12801" s="24"/>
    </row>
    <row r="12802">
      <c r="A12802" s="24"/>
      <c r="B12802" s="25"/>
      <c r="C12802" s="24"/>
      <c r="D12802" s="26"/>
      <c r="E12802" s="24"/>
      <c r="F12802" s="24"/>
      <c r="G12802" s="24"/>
      <c r="H12802" s="24"/>
      <c r="I12802" s="24"/>
      <c r="J12802" s="24"/>
      <c r="K12802" s="24"/>
      <c r="L12802" s="24"/>
      <c r="M12802" s="24"/>
      <c r="N12802" s="24"/>
      <c r="O12802" s="24"/>
      <c r="P12802" s="24"/>
      <c r="Q12802" s="24"/>
      <c r="R12802" s="24"/>
      <c r="S12802" s="24"/>
      <c r="T12802" s="24"/>
      <c r="U12802" s="24"/>
      <c r="V12802" s="24"/>
      <c r="W12802" s="24"/>
      <c r="X12802" s="24"/>
      <c r="Y12802" s="24"/>
      <c r="Z12802" s="24"/>
      <c r="AA12802" s="24"/>
    </row>
    <row r="12803">
      <c r="A12803" s="24"/>
      <c r="B12803" s="25"/>
      <c r="C12803" s="24"/>
      <c r="D12803" s="26"/>
      <c r="E12803" s="24"/>
      <c r="F12803" s="24"/>
      <c r="G12803" s="24"/>
      <c r="H12803" s="24"/>
      <c r="I12803" s="24"/>
      <c r="J12803" s="24"/>
      <c r="K12803" s="24"/>
      <c r="L12803" s="24"/>
      <c r="M12803" s="24"/>
      <c r="N12803" s="24"/>
      <c r="O12803" s="24"/>
      <c r="P12803" s="24"/>
      <c r="Q12803" s="24"/>
      <c r="R12803" s="24"/>
      <c r="S12803" s="24"/>
      <c r="T12803" s="24"/>
      <c r="U12803" s="24"/>
      <c r="V12803" s="24"/>
      <c r="W12803" s="24"/>
      <c r="X12803" s="24"/>
      <c r="Y12803" s="24"/>
      <c r="Z12803" s="24"/>
      <c r="AA12803" s="24"/>
    </row>
    <row r="12804">
      <c r="A12804" s="24"/>
      <c r="B12804" s="25"/>
      <c r="C12804" s="24"/>
      <c r="D12804" s="26"/>
      <c r="E12804" s="24"/>
      <c r="F12804" s="24"/>
      <c r="G12804" s="24"/>
      <c r="H12804" s="24"/>
      <c r="I12804" s="24"/>
      <c r="J12804" s="24"/>
      <c r="K12804" s="24"/>
      <c r="L12804" s="24"/>
      <c r="M12804" s="24"/>
      <c r="N12804" s="24"/>
      <c r="O12804" s="24"/>
      <c r="P12804" s="24"/>
      <c r="Q12804" s="24"/>
      <c r="R12804" s="24"/>
      <c r="S12804" s="24"/>
      <c r="T12804" s="24"/>
      <c r="U12804" s="24"/>
      <c r="V12804" s="24"/>
      <c r="W12804" s="24"/>
      <c r="X12804" s="24"/>
      <c r="Y12804" s="24"/>
      <c r="Z12804" s="24"/>
      <c r="AA12804" s="24"/>
    </row>
    <row r="12805">
      <c r="A12805" s="24"/>
      <c r="B12805" s="25"/>
      <c r="C12805" s="24"/>
      <c r="D12805" s="26"/>
      <c r="E12805" s="24"/>
      <c r="F12805" s="24"/>
      <c r="G12805" s="24"/>
      <c r="H12805" s="24"/>
      <c r="I12805" s="24"/>
      <c r="J12805" s="24"/>
      <c r="K12805" s="24"/>
      <c r="L12805" s="24"/>
      <c r="M12805" s="24"/>
      <c r="N12805" s="24"/>
      <c r="O12805" s="24"/>
      <c r="P12805" s="24"/>
      <c r="Q12805" s="24"/>
      <c r="R12805" s="24"/>
      <c r="S12805" s="24"/>
      <c r="T12805" s="24"/>
      <c r="U12805" s="24"/>
      <c r="V12805" s="24"/>
      <c r="W12805" s="24"/>
      <c r="X12805" s="24"/>
      <c r="Y12805" s="24"/>
      <c r="Z12805" s="24"/>
      <c r="AA12805" s="24"/>
    </row>
    <row r="12806">
      <c r="A12806" s="24"/>
      <c r="B12806" s="25"/>
      <c r="C12806" s="24"/>
      <c r="D12806" s="26"/>
      <c r="E12806" s="24"/>
      <c r="F12806" s="24"/>
      <c r="G12806" s="24"/>
      <c r="H12806" s="24"/>
      <c r="I12806" s="24"/>
      <c r="J12806" s="24"/>
      <c r="K12806" s="24"/>
      <c r="L12806" s="24"/>
      <c r="M12806" s="24"/>
      <c r="N12806" s="24"/>
      <c r="O12806" s="24"/>
      <c r="P12806" s="24"/>
      <c r="Q12806" s="24"/>
      <c r="R12806" s="24"/>
      <c r="S12806" s="24"/>
      <c r="T12806" s="24"/>
      <c r="U12806" s="24"/>
      <c r="V12806" s="24"/>
      <c r="W12806" s="24"/>
      <c r="X12806" s="24"/>
      <c r="Y12806" s="24"/>
      <c r="Z12806" s="24"/>
      <c r="AA12806" s="24"/>
    </row>
    <row r="12807">
      <c r="A12807" s="24"/>
      <c r="B12807" s="25"/>
      <c r="C12807" s="24"/>
      <c r="D12807" s="26"/>
      <c r="E12807" s="24"/>
      <c r="F12807" s="24"/>
      <c r="G12807" s="24"/>
      <c r="H12807" s="24"/>
      <c r="I12807" s="24"/>
      <c r="J12807" s="24"/>
      <c r="K12807" s="24"/>
      <c r="L12807" s="24"/>
      <c r="M12807" s="24"/>
      <c r="N12807" s="24"/>
      <c r="O12807" s="24"/>
      <c r="P12807" s="24"/>
      <c r="Q12807" s="24"/>
      <c r="R12807" s="24"/>
      <c r="S12807" s="24"/>
      <c r="T12807" s="24"/>
      <c r="U12807" s="24"/>
      <c r="V12807" s="24"/>
      <c r="W12807" s="24"/>
      <c r="X12807" s="24"/>
      <c r="Y12807" s="24"/>
      <c r="Z12807" s="24"/>
      <c r="AA12807" s="24"/>
    </row>
    <row r="12808">
      <c r="A12808" s="24"/>
      <c r="B12808" s="25"/>
      <c r="C12808" s="24"/>
      <c r="D12808" s="26"/>
      <c r="E12808" s="24"/>
      <c r="F12808" s="24"/>
      <c r="G12808" s="24"/>
      <c r="H12808" s="24"/>
      <c r="I12808" s="24"/>
      <c r="J12808" s="24"/>
      <c r="K12808" s="24"/>
      <c r="L12808" s="24"/>
      <c r="M12808" s="24"/>
      <c r="N12808" s="24"/>
      <c r="O12808" s="24"/>
      <c r="P12808" s="24"/>
      <c r="Q12808" s="24"/>
      <c r="R12808" s="24"/>
      <c r="S12808" s="24"/>
      <c r="T12808" s="24"/>
      <c r="U12808" s="24"/>
      <c r="V12808" s="24"/>
      <c r="W12808" s="24"/>
      <c r="X12808" s="24"/>
      <c r="Y12808" s="24"/>
      <c r="Z12808" s="24"/>
      <c r="AA12808" s="24"/>
    </row>
    <row r="12809">
      <c r="A12809" s="24"/>
      <c r="B12809" s="25"/>
      <c r="C12809" s="24"/>
      <c r="D12809" s="26"/>
      <c r="E12809" s="24"/>
      <c r="F12809" s="24"/>
      <c r="G12809" s="24"/>
      <c r="H12809" s="24"/>
      <c r="I12809" s="24"/>
      <c r="J12809" s="24"/>
      <c r="K12809" s="24"/>
      <c r="L12809" s="24"/>
      <c r="M12809" s="24"/>
      <c r="N12809" s="24"/>
      <c r="O12809" s="24"/>
      <c r="P12809" s="24"/>
      <c r="Q12809" s="24"/>
      <c r="R12809" s="24"/>
      <c r="S12809" s="24"/>
      <c r="T12809" s="24"/>
      <c r="U12809" s="24"/>
      <c r="V12809" s="24"/>
      <c r="W12809" s="24"/>
      <c r="X12809" s="24"/>
      <c r="Y12809" s="24"/>
      <c r="Z12809" s="24"/>
      <c r="AA12809" s="24"/>
    </row>
    <row r="12810">
      <c r="A12810" s="24"/>
      <c r="B12810" s="25"/>
      <c r="C12810" s="24"/>
      <c r="D12810" s="26"/>
      <c r="E12810" s="24"/>
      <c r="F12810" s="24"/>
      <c r="G12810" s="24"/>
      <c r="H12810" s="24"/>
      <c r="I12810" s="24"/>
      <c r="J12810" s="24"/>
      <c r="K12810" s="24"/>
      <c r="L12810" s="24"/>
      <c r="M12810" s="24"/>
      <c r="N12810" s="24"/>
      <c r="O12810" s="24"/>
      <c r="P12810" s="24"/>
      <c r="Q12810" s="24"/>
      <c r="R12810" s="24"/>
      <c r="S12810" s="24"/>
      <c r="T12810" s="24"/>
      <c r="U12810" s="24"/>
      <c r="V12810" s="24"/>
      <c r="W12810" s="24"/>
      <c r="X12810" s="24"/>
      <c r="Y12810" s="24"/>
      <c r="Z12810" s="24"/>
      <c r="AA12810" s="24"/>
    </row>
    <row r="12811">
      <c r="A12811" s="24"/>
      <c r="B12811" s="25"/>
      <c r="C12811" s="24"/>
      <c r="D12811" s="26"/>
      <c r="E12811" s="24"/>
      <c r="F12811" s="24"/>
      <c r="G12811" s="24"/>
      <c r="H12811" s="24"/>
      <c r="I12811" s="24"/>
      <c r="J12811" s="24"/>
      <c r="K12811" s="24"/>
      <c r="L12811" s="24"/>
      <c r="M12811" s="24"/>
      <c r="N12811" s="24"/>
      <c r="O12811" s="24"/>
      <c r="P12811" s="24"/>
      <c r="Q12811" s="24"/>
      <c r="R12811" s="24"/>
      <c r="S12811" s="24"/>
      <c r="T12811" s="24"/>
      <c r="U12811" s="24"/>
      <c r="V12811" s="24"/>
      <c r="W12811" s="24"/>
      <c r="X12811" s="24"/>
      <c r="Y12811" s="24"/>
      <c r="Z12811" s="24"/>
      <c r="AA12811" s="24"/>
    </row>
    <row r="12812">
      <c r="A12812" s="24"/>
      <c r="B12812" s="25"/>
      <c r="C12812" s="24"/>
      <c r="D12812" s="26"/>
      <c r="E12812" s="24"/>
      <c r="F12812" s="24"/>
      <c r="G12812" s="24"/>
      <c r="H12812" s="24"/>
      <c r="I12812" s="24"/>
      <c r="J12812" s="24"/>
      <c r="K12812" s="24"/>
      <c r="L12812" s="24"/>
      <c r="M12812" s="24"/>
      <c r="N12812" s="24"/>
      <c r="O12812" s="24"/>
      <c r="P12812" s="24"/>
      <c r="Q12812" s="24"/>
      <c r="R12812" s="24"/>
      <c r="S12812" s="24"/>
      <c r="T12812" s="24"/>
      <c r="U12812" s="24"/>
      <c r="V12812" s="24"/>
      <c r="W12812" s="24"/>
      <c r="X12812" s="24"/>
      <c r="Y12812" s="24"/>
      <c r="Z12812" s="24"/>
      <c r="AA12812" s="24"/>
    </row>
    <row r="12813">
      <c r="A12813" s="24"/>
      <c r="B12813" s="25"/>
      <c r="C12813" s="24"/>
      <c r="D12813" s="26"/>
      <c r="E12813" s="24"/>
      <c r="F12813" s="24"/>
      <c r="G12813" s="24"/>
      <c r="H12813" s="24"/>
      <c r="I12813" s="24"/>
      <c r="J12813" s="24"/>
      <c r="K12813" s="24"/>
      <c r="L12813" s="24"/>
      <c r="M12813" s="24"/>
      <c r="N12813" s="24"/>
      <c r="O12813" s="24"/>
      <c r="P12813" s="24"/>
      <c r="Q12813" s="24"/>
      <c r="R12813" s="24"/>
      <c r="S12813" s="24"/>
      <c r="T12813" s="24"/>
      <c r="U12813" s="24"/>
      <c r="V12813" s="24"/>
      <c r="W12813" s="24"/>
      <c r="X12813" s="24"/>
      <c r="Y12813" s="24"/>
      <c r="Z12813" s="24"/>
      <c r="AA12813" s="24"/>
    </row>
    <row r="12814">
      <c r="A12814" s="24"/>
      <c r="B12814" s="25"/>
      <c r="C12814" s="24"/>
      <c r="D12814" s="26"/>
      <c r="E12814" s="24"/>
      <c r="F12814" s="24"/>
      <c r="G12814" s="24"/>
      <c r="H12814" s="24"/>
      <c r="I12814" s="24"/>
      <c r="J12814" s="24"/>
      <c r="K12814" s="24"/>
      <c r="L12814" s="24"/>
      <c r="M12814" s="24"/>
      <c r="N12814" s="24"/>
      <c r="O12814" s="24"/>
      <c r="P12814" s="24"/>
      <c r="Q12814" s="24"/>
      <c r="R12814" s="24"/>
      <c r="S12814" s="24"/>
      <c r="T12814" s="24"/>
      <c r="U12814" s="24"/>
      <c r="V12814" s="24"/>
      <c r="W12814" s="24"/>
      <c r="X12814" s="24"/>
      <c r="Y12814" s="24"/>
      <c r="Z12814" s="24"/>
      <c r="AA12814" s="24"/>
    </row>
    <row r="12815">
      <c r="A12815" s="24"/>
      <c r="B12815" s="25"/>
      <c r="C12815" s="24"/>
      <c r="D12815" s="26"/>
      <c r="E12815" s="24"/>
      <c r="F12815" s="24"/>
      <c r="G12815" s="24"/>
      <c r="H12815" s="24"/>
      <c r="I12815" s="24"/>
      <c r="J12815" s="24"/>
      <c r="K12815" s="24"/>
      <c r="L12815" s="24"/>
      <c r="M12815" s="24"/>
      <c r="N12815" s="24"/>
      <c r="O12815" s="24"/>
      <c r="P12815" s="24"/>
      <c r="Q12815" s="24"/>
      <c r="R12815" s="24"/>
      <c r="S12815" s="24"/>
      <c r="T12815" s="24"/>
      <c r="U12815" s="24"/>
      <c r="V12815" s="24"/>
      <c r="W12815" s="24"/>
      <c r="X12815" s="24"/>
      <c r="Y12815" s="24"/>
      <c r="Z12815" s="24"/>
      <c r="AA12815" s="24"/>
    </row>
    <row r="12816">
      <c r="A12816" s="24"/>
      <c r="B12816" s="25"/>
      <c r="C12816" s="24"/>
      <c r="D12816" s="26"/>
      <c r="E12816" s="24"/>
      <c r="F12816" s="24"/>
      <c r="G12816" s="24"/>
      <c r="H12816" s="24"/>
      <c r="I12816" s="24"/>
      <c r="J12816" s="24"/>
      <c r="K12816" s="24"/>
      <c r="L12816" s="24"/>
      <c r="M12816" s="24"/>
      <c r="N12816" s="24"/>
      <c r="O12816" s="24"/>
      <c r="P12816" s="24"/>
      <c r="Q12816" s="24"/>
      <c r="R12816" s="24"/>
      <c r="S12816" s="24"/>
      <c r="T12816" s="24"/>
      <c r="U12816" s="24"/>
      <c r="V12816" s="24"/>
      <c r="W12816" s="24"/>
      <c r="X12816" s="24"/>
      <c r="Y12816" s="24"/>
      <c r="Z12816" s="24"/>
      <c r="AA12816" s="24"/>
    </row>
    <row r="12817">
      <c r="A12817" s="24"/>
      <c r="B12817" s="25"/>
      <c r="C12817" s="24"/>
      <c r="D12817" s="26"/>
      <c r="E12817" s="24"/>
      <c r="F12817" s="24"/>
      <c r="G12817" s="24"/>
      <c r="H12817" s="24"/>
      <c r="I12817" s="24"/>
      <c r="J12817" s="24"/>
      <c r="K12817" s="24"/>
      <c r="L12817" s="24"/>
      <c r="M12817" s="24"/>
      <c r="N12817" s="24"/>
      <c r="O12817" s="24"/>
      <c r="P12817" s="24"/>
      <c r="Q12817" s="24"/>
      <c r="R12817" s="24"/>
      <c r="S12817" s="24"/>
      <c r="T12817" s="24"/>
      <c r="U12817" s="24"/>
      <c r="V12817" s="24"/>
      <c r="W12817" s="24"/>
      <c r="X12817" s="24"/>
      <c r="Y12817" s="24"/>
      <c r="Z12817" s="24"/>
      <c r="AA12817" s="24"/>
    </row>
    <row r="12818">
      <c r="A12818" s="24"/>
      <c r="B12818" s="25"/>
      <c r="C12818" s="24"/>
      <c r="D12818" s="26"/>
      <c r="E12818" s="24"/>
      <c r="F12818" s="24"/>
      <c r="G12818" s="24"/>
      <c r="H12818" s="24"/>
      <c r="I12818" s="24"/>
      <c r="J12818" s="24"/>
      <c r="K12818" s="24"/>
      <c r="L12818" s="24"/>
      <c r="M12818" s="24"/>
      <c r="N12818" s="24"/>
      <c r="O12818" s="24"/>
      <c r="P12818" s="24"/>
      <c r="Q12818" s="24"/>
      <c r="R12818" s="24"/>
      <c r="S12818" s="24"/>
      <c r="T12818" s="24"/>
      <c r="U12818" s="24"/>
      <c r="V12818" s="24"/>
      <c r="W12818" s="24"/>
      <c r="X12818" s="24"/>
      <c r="Y12818" s="24"/>
      <c r="Z12818" s="24"/>
      <c r="AA12818" s="24"/>
    </row>
    <row r="12819">
      <c r="A12819" s="24"/>
      <c r="B12819" s="25"/>
      <c r="C12819" s="24"/>
      <c r="D12819" s="26"/>
      <c r="E12819" s="24"/>
      <c r="F12819" s="24"/>
      <c r="G12819" s="24"/>
      <c r="H12819" s="24"/>
      <c r="I12819" s="24"/>
      <c r="J12819" s="24"/>
      <c r="K12819" s="24"/>
      <c r="L12819" s="24"/>
      <c r="M12819" s="24"/>
      <c r="N12819" s="24"/>
      <c r="O12819" s="24"/>
      <c r="P12819" s="24"/>
      <c r="Q12819" s="24"/>
      <c r="R12819" s="24"/>
      <c r="S12819" s="24"/>
      <c r="T12819" s="24"/>
      <c r="U12819" s="24"/>
      <c r="V12819" s="24"/>
      <c r="W12819" s="24"/>
      <c r="X12819" s="24"/>
      <c r="Y12819" s="24"/>
      <c r="Z12819" s="24"/>
      <c r="AA12819" s="24"/>
    </row>
    <row r="12820">
      <c r="A12820" s="24"/>
      <c r="B12820" s="25"/>
      <c r="C12820" s="24"/>
      <c r="D12820" s="26"/>
      <c r="E12820" s="24"/>
      <c r="F12820" s="24"/>
      <c r="G12820" s="24"/>
      <c r="H12820" s="24"/>
      <c r="I12820" s="24"/>
      <c r="J12820" s="24"/>
      <c r="K12820" s="24"/>
      <c r="L12820" s="24"/>
      <c r="M12820" s="24"/>
      <c r="N12820" s="24"/>
      <c r="O12820" s="24"/>
      <c r="P12820" s="24"/>
      <c r="Q12820" s="24"/>
      <c r="R12820" s="24"/>
      <c r="S12820" s="24"/>
      <c r="T12820" s="24"/>
      <c r="U12820" s="24"/>
      <c r="V12820" s="24"/>
      <c r="W12820" s="24"/>
      <c r="X12820" s="24"/>
      <c r="Y12820" s="24"/>
      <c r="Z12820" s="24"/>
      <c r="AA12820" s="24"/>
    </row>
    <row r="12821">
      <c r="A12821" s="24"/>
      <c r="B12821" s="25"/>
      <c r="C12821" s="24"/>
      <c r="D12821" s="26"/>
      <c r="E12821" s="24"/>
      <c r="F12821" s="24"/>
      <c r="G12821" s="24"/>
      <c r="H12821" s="24"/>
      <c r="I12821" s="24"/>
      <c r="J12821" s="24"/>
      <c r="K12821" s="24"/>
      <c r="L12821" s="24"/>
      <c r="M12821" s="24"/>
      <c r="N12821" s="24"/>
      <c r="O12821" s="24"/>
      <c r="P12821" s="24"/>
      <c r="Q12821" s="24"/>
      <c r="R12821" s="24"/>
      <c r="S12821" s="24"/>
      <c r="T12821" s="24"/>
      <c r="U12821" s="24"/>
      <c r="V12821" s="24"/>
      <c r="W12821" s="24"/>
      <c r="X12821" s="24"/>
      <c r="Y12821" s="24"/>
      <c r="Z12821" s="24"/>
      <c r="AA12821" s="24"/>
    </row>
    <row r="12822">
      <c r="A12822" s="24"/>
      <c r="B12822" s="25"/>
      <c r="C12822" s="24"/>
      <c r="D12822" s="26"/>
      <c r="E12822" s="24"/>
      <c r="F12822" s="24"/>
      <c r="G12822" s="24"/>
      <c r="H12822" s="24"/>
      <c r="I12822" s="24"/>
      <c r="J12822" s="24"/>
      <c r="K12822" s="24"/>
      <c r="L12822" s="24"/>
      <c r="M12822" s="24"/>
      <c r="N12822" s="24"/>
      <c r="O12822" s="24"/>
      <c r="P12822" s="24"/>
      <c r="Q12822" s="24"/>
      <c r="R12822" s="24"/>
      <c r="S12822" s="24"/>
      <c r="T12822" s="24"/>
      <c r="U12822" s="24"/>
      <c r="V12822" s="24"/>
      <c r="W12822" s="24"/>
      <c r="X12822" s="24"/>
      <c r="Y12822" s="24"/>
      <c r="Z12822" s="24"/>
      <c r="AA12822" s="24"/>
    </row>
    <row r="12823">
      <c r="A12823" s="24"/>
      <c r="B12823" s="25"/>
      <c r="C12823" s="24"/>
      <c r="D12823" s="26"/>
      <c r="E12823" s="24"/>
      <c r="F12823" s="24"/>
      <c r="G12823" s="24"/>
      <c r="H12823" s="24"/>
      <c r="I12823" s="24"/>
      <c r="J12823" s="24"/>
      <c r="K12823" s="24"/>
      <c r="L12823" s="24"/>
      <c r="M12823" s="24"/>
      <c r="N12823" s="24"/>
      <c r="O12823" s="24"/>
      <c r="P12823" s="24"/>
      <c r="Q12823" s="24"/>
      <c r="R12823" s="24"/>
      <c r="S12823" s="24"/>
      <c r="T12823" s="24"/>
      <c r="U12823" s="24"/>
      <c r="V12823" s="24"/>
      <c r="W12823" s="24"/>
      <c r="X12823" s="24"/>
      <c r="Y12823" s="24"/>
      <c r="Z12823" s="24"/>
      <c r="AA12823" s="24"/>
    </row>
    <row r="12824">
      <c r="A12824" s="24"/>
      <c r="B12824" s="25"/>
      <c r="C12824" s="24"/>
      <c r="D12824" s="26"/>
      <c r="E12824" s="24"/>
      <c r="F12824" s="24"/>
      <c r="G12824" s="24"/>
      <c r="H12824" s="24"/>
      <c r="I12824" s="24"/>
      <c r="J12824" s="24"/>
      <c r="K12824" s="24"/>
      <c r="L12824" s="24"/>
      <c r="M12824" s="24"/>
      <c r="N12824" s="24"/>
      <c r="O12824" s="24"/>
      <c r="P12824" s="24"/>
      <c r="Q12824" s="24"/>
      <c r="R12824" s="24"/>
      <c r="S12824" s="24"/>
      <c r="T12824" s="24"/>
      <c r="U12824" s="24"/>
      <c r="V12824" s="24"/>
      <c r="W12824" s="24"/>
      <c r="X12824" s="24"/>
      <c r="Y12824" s="24"/>
      <c r="Z12824" s="24"/>
      <c r="AA12824" s="24"/>
    </row>
    <row r="12825">
      <c r="A12825" s="24"/>
      <c r="B12825" s="25"/>
      <c r="C12825" s="24"/>
      <c r="D12825" s="26"/>
      <c r="E12825" s="24"/>
      <c r="F12825" s="24"/>
      <c r="G12825" s="24"/>
      <c r="H12825" s="24"/>
      <c r="I12825" s="24"/>
      <c r="J12825" s="24"/>
      <c r="K12825" s="24"/>
      <c r="L12825" s="24"/>
      <c r="M12825" s="24"/>
      <c r="N12825" s="24"/>
      <c r="O12825" s="24"/>
      <c r="P12825" s="24"/>
      <c r="Q12825" s="24"/>
      <c r="R12825" s="24"/>
      <c r="S12825" s="24"/>
      <c r="T12825" s="24"/>
      <c r="U12825" s="24"/>
      <c r="V12825" s="24"/>
      <c r="W12825" s="24"/>
      <c r="X12825" s="24"/>
      <c r="Y12825" s="24"/>
      <c r="Z12825" s="24"/>
      <c r="AA12825" s="24"/>
    </row>
    <row r="12826">
      <c r="A12826" s="24"/>
      <c r="B12826" s="25"/>
      <c r="C12826" s="24"/>
      <c r="D12826" s="26"/>
      <c r="E12826" s="24"/>
      <c r="F12826" s="24"/>
      <c r="G12826" s="24"/>
      <c r="H12826" s="24"/>
      <c r="I12826" s="24"/>
      <c r="J12826" s="24"/>
      <c r="K12826" s="24"/>
      <c r="L12826" s="24"/>
      <c r="M12826" s="24"/>
      <c r="N12826" s="24"/>
      <c r="O12826" s="24"/>
      <c r="P12826" s="24"/>
      <c r="Q12826" s="24"/>
      <c r="R12826" s="24"/>
      <c r="S12826" s="24"/>
      <c r="T12826" s="24"/>
      <c r="U12826" s="24"/>
      <c r="V12826" s="24"/>
      <c r="W12826" s="24"/>
      <c r="X12826" s="24"/>
      <c r="Y12826" s="24"/>
      <c r="Z12826" s="24"/>
      <c r="AA12826" s="24"/>
    </row>
    <row r="12827">
      <c r="A12827" s="24"/>
      <c r="B12827" s="25"/>
      <c r="C12827" s="24"/>
      <c r="D12827" s="26"/>
      <c r="E12827" s="24"/>
      <c r="F12827" s="24"/>
      <c r="G12827" s="24"/>
      <c r="H12827" s="24"/>
      <c r="I12827" s="24"/>
      <c r="J12827" s="24"/>
      <c r="K12827" s="24"/>
      <c r="L12827" s="24"/>
      <c r="M12827" s="24"/>
      <c r="N12827" s="24"/>
      <c r="O12827" s="24"/>
      <c r="P12827" s="24"/>
      <c r="Q12827" s="24"/>
      <c r="R12827" s="24"/>
      <c r="S12827" s="24"/>
      <c r="T12827" s="24"/>
      <c r="U12827" s="24"/>
      <c r="V12827" s="24"/>
      <c r="W12827" s="24"/>
      <c r="X12827" s="24"/>
      <c r="Y12827" s="24"/>
      <c r="Z12827" s="24"/>
      <c r="AA12827" s="24"/>
    </row>
    <row r="12828">
      <c r="A12828" s="24"/>
      <c r="B12828" s="25"/>
      <c r="C12828" s="24"/>
      <c r="D12828" s="26"/>
      <c r="E12828" s="24"/>
      <c r="F12828" s="24"/>
      <c r="G12828" s="24"/>
      <c r="H12828" s="24"/>
      <c r="I12828" s="24"/>
      <c r="J12828" s="24"/>
      <c r="K12828" s="24"/>
      <c r="L12828" s="24"/>
      <c r="M12828" s="24"/>
      <c r="N12828" s="24"/>
      <c r="O12828" s="24"/>
      <c r="P12828" s="24"/>
      <c r="Q12828" s="24"/>
      <c r="R12828" s="24"/>
      <c r="S12828" s="24"/>
      <c r="T12828" s="24"/>
      <c r="U12828" s="24"/>
      <c r="V12828" s="24"/>
      <c r="W12828" s="24"/>
      <c r="X12828" s="24"/>
      <c r="Y12828" s="24"/>
      <c r="Z12828" s="24"/>
      <c r="AA12828" s="24"/>
    </row>
    <row r="12829">
      <c r="A12829" s="24"/>
      <c r="B12829" s="25"/>
      <c r="C12829" s="24"/>
      <c r="D12829" s="26"/>
      <c r="E12829" s="24"/>
      <c r="F12829" s="24"/>
      <c r="G12829" s="24"/>
      <c r="H12829" s="24"/>
      <c r="I12829" s="24"/>
      <c r="J12829" s="24"/>
      <c r="K12829" s="24"/>
      <c r="L12829" s="24"/>
      <c r="M12829" s="24"/>
      <c r="N12829" s="24"/>
      <c r="O12829" s="24"/>
      <c r="P12829" s="24"/>
      <c r="Q12829" s="24"/>
      <c r="R12829" s="24"/>
      <c r="S12829" s="24"/>
      <c r="T12829" s="24"/>
      <c r="U12829" s="24"/>
      <c r="V12829" s="24"/>
      <c r="W12829" s="24"/>
      <c r="X12829" s="24"/>
      <c r="Y12829" s="24"/>
      <c r="Z12829" s="24"/>
      <c r="AA12829" s="24"/>
    </row>
    <row r="12830">
      <c r="A12830" s="24"/>
      <c r="B12830" s="25"/>
      <c r="C12830" s="24"/>
      <c r="D12830" s="26"/>
      <c r="E12830" s="24"/>
      <c r="F12830" s="24"/>
      <c r="G12830" s="24"/>
      <c r="H12830" s="24"/>
      <c r="I12830" s="24"/>
      <c r="J12830" s="24"/>
      <c r="K12830" s="24"/>
      <c r="L12830" s="24"/>
      <c r="M12830" s="24"/>
      <c r="N12830" s="24"/>
      <c r="O12830" s="24"/>
      <c r="P12830" s="24"/>
      <c r="Q12830" s="24"/>
      <c r="R12830" s="24"/>
      <c r="S12830" s="24"/>
      <c r="T12830" s="24"/>
      <c r="U12830" s="24"/>
      <c r="V12830" s="24"/>
      <c r="W12830" s="24"/>
      <c r="X12830" s="24"/>
      <c r="Y12830" s="24"/>
      <c r="Z12830" s="24"/>
      <c r="AA12830" s="24"/>
    </row>
    <row r="12831">
      <c r="A12831" s="24"/>
      <c r="B12831" s="25"/>
      <c r="C12831" s="24"/>
      <c r="D12831" s="26"/>
      <c r="E12831" s="24"/>
      <c r="F12831" s="24"/>
      <c r="G12831" s="24"/>
      <c r="H12831" s="24"/>
      <c r="I12831" s="24"/>
      <c r="J12831" s="24"/>
      <c r="K12831" s="24"/>
      <c r="L12831" s="24"/>
      <c r="M12831" s="24"/>
      <c r="N12831" s="24"/>
      <c r="O12831" s="24"/>
      <c r="P12831" s="24"/>
      <c r="Q12831" s="24"/>
      <c r="R12831" s="24"/>
      <c r="S12831" s="24"/>
      <c r="T12831" s="24"/>
      <c r="U12831" s="24"/>
      <c r="V12831" s="24"/>
      <c r="W12831" s="24"/>
      <c r="X12831" s="24"/>
      <c r="Y12831" s="24"/>
      <c r="Z12831" s="24"/>
      <c r="AA12831" s="24"/>
    </row>
    <row r="12832">
      <c r="A12832" s="24"/>
      <c r="B12832" s="25"/>
      <c r="C12832" s="24"/>
      <c r="D12832" s="26"/>
      <c r="E12832" s="24"/>
      <c r="F12832" s="24"/>
      <c r="G12832" s="24"/>
      <c r="H12832" s="24"/>
      <c r="I12832" s="24"/>
      <c r="J12832" s="24"/>
      <c r="K12832" s="24"/>
      <c r="L12832" s="24"/>
      <c r="M12832" s="24"/>
      <c r="N12832" s="24"/>
      <c r="O12832" s="24"/>
      <c r="P12832" s="24"/>
      <c r="Q12832" s="24"/>
      <c r="R12832" s="24"/>
      <c r="S12832" s="24"/>
      <c r="T12832" s="24"/>
      <c r="U12832" s="24"/>
      <c r="V12832" s="24"/>
      <c r="W12832" s="24"/>
      <c r="X12832" s="24"/>
      <c r="Y12832" s="24"/>
      <c r="Z12832" s="24"/>
      <c r="AA12832" s="24"/>
    </row>
    <row r="12833">
      <c r="A12833" s="24"/>
      <c r="B12833" s="25"/>
      <c r="C12833" s="24"/>
      <c r="D12833" s="26"/>
      <c r="E12833" s="24"/>
      <c r="F12833" s="24"/>
      <c r="G12833" s="24"/>
      <c r="H12833" s="24"/>
      <c r="I12833" s="24"/>
      <c r="J12833" s="24"/>
      <c r="K12833" s="24"/>
      <c r="L12833" s="24"/>
      <c r="M12833" s="24"/>
      <c r="N12833" s="24"/>
      <c r="O12833" s="24"/>
      <c r="P12833" s="24"/>
      <c r="Q12833" s="24"/>
      <c r="R12833" s="24"/>
      <c r="S12833" s="24"/>
      <c r="T12833" s="24"/>
      <c r="U12833" s="24"/>
      <c r="V12833" s="24"/>
      <c r="W12833" s="24"/>
      <c r="X12833" s="24"/>
      <c r="Y12833" s="24"/>
      <c r="Z12833" s="24"/>
      <c r="AA12833" s="24"/>
    </row>
    <row r="12834">
      <c r="A12834" s="24"/>
      <c r="B12834" s="25"/>
      <c r="C12834" s="24"/>
      <c r="D12834" s="26"/>
      <c r="E12834" s="24"/>
      <c r="F12834" s="24"/>
      <c r="G12834" s="24"/>
      <c r="H12834" s="24"/>
      <c r="I12834" s="24"/>
      <c r="J12834" s="24"/>
      <c r="K12834" s="24"/>
      <c r="L12834" s="24"/>
      <c r="M12834" s="24"/>
      <c r="N12834" s="24"/>
      <c r="O12834" s="24"/>
      <c r="P12834" s="24"/>
      <c r="Q12834" s="24"/>
      <c r="R12834" s="24"/>
      <c r="S12834" s="24"/>
      <c r="T12834" s="24"/>
      <c r="U12834" s="24"/>
      <c r="V12834" s="24"/>
      <c r="W12834" s="24"/>
      <c r="X12834" s="24"/>
      <c r="Y12834" s="24"/>
      <c r="Z12834" s="24"/>
      <c r="AA12834" s="24"/>
    </row>
    <row r="12835">
      <c r="A12835" s="24"/>
      <c r="B12835" s="25"/>
      <c r="C12835" s="24"/>
      <c r="D12835" s="26"/>
      <c r="E12835" s="24"/>
      <c r="F12835" s="24"/>
      <c r="G12835" s="24"/>
      <c r="H12835" s="24"/>
      <c r="I12835" s="24"/>
      <c r="J12835" s="24"/>
      <c r="K12835" s="24"/>
      <c r="L12835" s="24"/>
      <c r="M12835" s="24"/>
      <c r="N12835" s="24"/>
      <c r="O12835" s="24"/>
      <c r="P12835" s="24"/>
      <c r="Q12835" s="24"/>
      <c r="R12835" s="24"/>
      <c r="S12835" s="24"/>
      <c r="T12835" s="24"/>
      <c r="U12835" s="24"/>
      <c r="V12835" s="24"/>
      <c r="W12835" s="24"/>
      <c r="X12835" s="24"/>
      <c r="Y12835" s="24"/>
      <c r="Z12835" s="24"/>
      <c r="AA12835" s="24"/>
    </row>
    <row r="12836">
      <c r="A12836" s="24"/>
      <c r="B12836" s="25"/>
      <c r="C12836" s="24"/>
      <c r="D12836" s="26"/>
      <c r="E12836" s="24"/>
      <c r="F12836" s="24"/>
      <c r="G12836" s="24"/>
      <c r="H12836" s="24"/>
      <c r="I12836" s="24"/>
      <c r="J12836" s="24"/>
      <c r="K12836" s="24"/>
      <c r="L12836" s="24"/>
      <c r="M12836" s="24"/>
      <c r="N12836" s="24"/>
      <c r="O12836" s="24"/>
      <c r="P12836" s="24"/>
      <c r="Q12836" s="24"/>
      <c r="R12836" s="24"/>
      <c r="S12836" s="24"/>
      <c r="T12836" s="24"/>
      <c r="U12836" s="24"/>
      <c r="V12836" s="24"/>
      <c r="W12836" s="24"/>
      <c r="X12836" s="24"/>
      <c r="Y12836" s="24"/>
      <c r="Z12836" s="24"/>
      <c r="AA12836" s="24"/>
    </row>
    <row r="12837">
      <c r="A12837" s="24"/>
      <c r="B12837" s="25"/>
      <c r="C12837" s="24"/>
      <c r="D12837" s="26"/>
      <c r="E12837" s="24"/>
      <c r="F12837" s="24"/>
      <c r="G12837" s="24"/>
      <c r="H12837" s="24"/>
      <c r="I12837" s="24"/>
      <c r="J12837" s="24"/>
      <c r="K12837" s="24"/>
      <c r="L12837" s="24"/>
      <c r="M12837" s="24"/>
      <c r="N12837" s="24"/>
      <c r="O12837" s="24"/>
      <c r="P12837" s="24"/>
      <c r="Q12837" s="24"/>
      <c r="R12837" s="24"/>
      <c r="S12837" s="24"/>
      <c r="T12837" s="24"/>
      <c r="U12837" s="24"/>
      <c r="V12837" s="24"/>
      <c r="W12837" s="24"/>
      <c r="X12837" s="24"/>
      <c r="Y12837" s="24"/>
      <c r="Z12837" s="24"/>
      <c r="AA12837" s="24"/>
    </row>
    <row r="12838">
      <c r="A12838" s="24"/>
      <c r="B12838" s="25"/>
      <c r="C12838" s="24"/>
      <c r="D12838" s="26"/>
      <c r="E12838" s="24"/>
      <c r="F12838" s="24"/>
      <c r="G12838" s="24"/>
      <c r="H12838" s="24"/>
      <c r="I12838" s="24"/>
      <c r="J12838" s="24"/>
      <c r="K12838" s="24"/>
      <c r="L12838" s="24"/>
      <c r="M12838" s="24"/>
      <c r="N12838" s="24"/>
      <c r="O12838" s="24"/>
      <c r="P12838" s="24"/>
      <c r="Q12838" s="24"/>
      <c r="R12838" s="24"/>
      <c r="S12838" s="24"/>
      <c r="T12838" s="24"/>
      <c r="U12838" s="24"/>
      <c r="V12838" s="24"/>
      <c r="W12838" s="24"/>
      <c r="X12838" s="24"/>
      <c r="Y12838" s="24"/>
      <c r="Z12838" s="24"/>
      <c r="AA12838" s="24"/>
    </row>
    <row r="12839">
      <c r="A12839" s="24"/>
      <c r="B12839" s="25"/>
      <c r="C12839" s="24"/>
      <c r="D12839" s="26"/>
      <c r="E12839" s="24"/>
      <c r="F12839" s="24"/>
      <c r="G12839" s="24"/>
      <c r="H12839" s="24"/>
      <c r="I12839" s="24"/>
      <c r="J12839" s="24"/>
      <c r="K12839" s="24"/>
      <c r="L12839" s="24"/>
      <c r="M12839" s="24"/>
      <c r="N12839" s="24"/>
      <c r="O12839" s="24"/>
      <c r="P12839" s="24"/>
      <c r="Q12839" s="24"/>
      <c r="R12839" s="24"/>
      <c r="S12839" s="24"/>
      <c r="T12839" s="24"/>
      <c r="U12839" s="24"/>
      <c r="V12839" s="24"/>
      <c r="W12839" s="24"/>
      <c r="X12839" s="24"/>
      <c r="Y12839" s="24"/>
      <c r="Z12839" s="24"/>
      <c r="AA12839" s="24"/>
    </row>
    <row r="12840">
      <c r="A12840" s="24"/>
      <c r="B12840" s="25"/>
      <c r="C12840" s="24"/>
      <c r="D12840" s="26"/>
      <c r="E12840" s="24"/>
      <c r="F12840" s="24"/>
      <c r="G12840" s="24"/>
      <c r="H12840" s="24"/>
      <c r="I12840" s="24"/>
      <c r="J12840" s="24"/>
      <c r="K12840" s="24"/>
      <c r="L12840" s="24"/>
      <c r="M12840" s="24"/>
      <c r="N12840" s="24"/>
      <c r="O12840" s="24"/>
      <c r="P12840" s="24"/>
      <c r="Q12840" s="24"/>
      <c r="R12840" s="24"/>
      <c r="S12840" s="24"/>
      <c r="T12840" s="24"/>
      <c r="U12840" s="24"/>
      <c r="V12840" s="24"/>
      <c r="W12840" s="24"/>
      <c r="X12840" s="24"/>
      <c r="Y12840" s="24"/>
      <c r="Z12840" s="24"/>
      <c r="AA12840" s="24"/>
    </row>
    <row r="12841">
      <c r="A12841" s="24"/>
      <c r="B12841" s="25"/>
      <c r="C12841" s="24"/>
      <c r="D12841" s="26"/>
      <c r="E12841" s="24"/>
      <c r="F12841" s="24"/>
      <c r="G12841" s="24"/>
      <c r="H12841" s="24"/>
      <c r="I12841" s="24"/>
      <c r="J12841" s="24"/>
      <c r="K12841" s="24"/>
      <c r="L12841" s="24"/>
      <c r="M12841" s="24"/>
      <c r="N12841" s="24"/>
      <c r="O12841" s="24"/>
      <c r="P12841" s="24"/>
      <c r="Q12841" s="24"/>
      <c r="R12841" s="24"/>
      <c r="S12841" s="24"/>
      <c r="T12841" s="24"/>
      <c r="U12841" s="24"/>
      <c r="V12841" s="24"/>
      <c r="W12841" s="24"/>
      <c r="X12841" s="24"/>
      <c r="Y12841" s="24"/>
      <c r="Z12841" s="24"/>
      <c r="AA12841" s="24"/>
    </row>
    <row r="12842">
      <c r="A12842" s="24"/>
      <c r="B12842" s="25"/>
      <c r="C12842" s="24"/>
      <c r="D12842" s="26"/>
      <c r="E12842" s="24"/>
      <c r="F12842" s="24"/>
      <c r="G12842" s="24"/>
      <c r="H12842" s="24"/>
      <c r="I12842" s="24"/>
      <c r="J12842" s="24"/>
      <c r="K12842" s="24"/>
      <c r="L12842" s="24"/>
      <c r="M12842" s="24"/>
      <c r="N12842" s="24"/>
      <c r="O12842" s="24"/>
      <c r="P12842" s="24"/>
      <c r="Q12842" s="24"/>
      <c r="R12842" s="24"/>
      <c r="S12842" s="24"/>
      <c r="T12842" s="24"/>
      <c r="U12842" s="24"/>
      <c r="V12842" s="24"/>
      <c r="W12842" s="24"/>
      <c r="X12842" s="24"/>
      <c r="Y12842" s="24"/>
      <c r="Z12842" s="24"/>
      <c r="AA12842" s="24"/>
    </row>
    <row r="12843">
      <c r="A12843" s="24"/>
      <c r="B12843" s="25"/>
      <c r="C12843" s="24"/>
      <c r="D12843" s="26"/>
      <c r="E12843" s="24"/>
      <c r="F12843" s="24"/>
      <c r="G12843" s="24"/>
      <c r="H12843" s="24"/>
      <c r="I12843" s="24"/>
      <c r="J12843" s="24"/>
      <c r="K12843" s="24"/>
      <c r="L12843" s="24"/>
      <c r="M12843" s="24"/>
      <c r="N12843" s="24"/>
      <c r="O12843" s="24"/>
      <c r="P12843" s="24"/>
      <c r="Q12843" s="24"/>
      <c r="R12843" s="24"/>
      <c r="S12843" s="24"/>
      <c r="T12843" s="24"/>
      <c r="U12843" s="24"/>
      <c r="V12843" s="24"/>
      <c r="W12843" s="24"/>
      <c r="X12843" s="24"/>
      <c r="Y12843" s="24"/>
      <c r="Z12843" s="24"/>
      <c r="AA12843" s="24"/>
    </row>
    <row r="12844">
      <c r="A12844" s="24"/>
      <c r="B12844" s="25"/>
      <c r="C12844" s="24"/>
      <c r="D12844" s="26"/>
      <c r="E12844" s="24"/>
      <c r="F12844" s="24"/>
      <c r="G12844" s="24"/>
      <c r="H12844" s="24"/>
      <c r="I12844" s="24"/>
      <c r="J12844" s="24"/>
      <c r="K12844" s="24"/>
      <c r="L12844" s="24"/>
      <c r="M12844" s="24"/>
      <c r="N12844" s="24"/>
      <c r="O12844" s="24"/>
      <c r="P12844" s="24"/>
      <c r="Q12844" s="24"/>
      <c r="R12844" s="24"/>
      <c r="S12844" s="24"/>
      <c r="T12844" s="24"/>
      <c r="U12844" s="24"/>
      <c r="V12844" s="24"/>
      <c r="W12844" s="24"/>
      <c r="X12844" s="24"/>
      <c r="Y12844" s="24"/>
      <c r="Z12844" s="24"/>
      <c r="AA12844" s="24"/>
    </row>
    <row r="12845">
      <c r="A12845" s="24"/>
      <c r="B12845" s="25"/>
      <c r="C12845" s="24"/>
      <c r="D12845" s="26"/>
      <c r="E12845" s="24"/>
      <c r="F12845" s="24"/>
      <c r="G12845" s="24"/>
      <c r="H12845" s="24"/>
      <c r="I12845" s="24"/>
      <c r="J12845" s="24"/>
      <c r="K12845" s="24"/>
      <c r="L12845" s="24"/>
      <c r="M12845" s="24"/>
      <c r="N12845" s="24"/>
      <c r="O12845" s="24"/>
      <c r="P12845" s="24"/>
      <c r="Q12845" s="24"/>
      <c r="R12845" s="24"/>
      <c r="S12845" s="24"/>
      <c r="T12845" s="24"/>
      <c r="U12845" s="24"/>
      <c r="V12845" s="24"/>
      <c r="W12845" s="24"/>
      <c r="X12845" s="24"/>
      <c r="Y12845" s="24"/>
      <c r="Z12845" s="24"/>
      <c r="AA12845" s="24"/>
    </row>
    <row r="12846">
      <c r="A12846" s="24"/>
      <c r="B12846" s="25"/>
      <c r="C12846" s="24"/>
      <c r="D12846" s="26"/>
      <c r="E12846" s="24"/>
      <c r="F12846" s="24"/>
      <c r="G12846" s="24"/>
      <c r="H12846" s="24"/>
      <c r="I12846" s="24"/>
      <c r="J12846" s="24"/>
      <c r="K12846" s="24"/>
      <c r="L12846" s="24"/>
      <c r="M12846" s="24"/>
      <c r="N12846" s="24"/>
      <c r="O12846" s="24"/>
      <c r="P12846" s="24"/>
      <c r="Q12846" s="24"/>
      <c r="R12846" s="24"/>
      <c r="S12846" s="24"/>
      <c r="T12846" s="24"/>
      <c r="U12846" s="24"/>
      <c r="V12846" s="24"/>
      <c r="W12846" s="24"/>
      <c r="X12846" s="24"/>
      <c r="Y12846" s="24"/>
      <c r="Z12846" s="24"/>
      <c r="AA12846" s="24"/>
    </row>
    <row r="12847">
      <c r="A12847" s="24"/>
      <c r="B12847" s="25"/>
      <c r="C12847" s="24"/>
      <c r="D12847" s="26"/>
      <c r="E12847" s="24"/>
      <c r="F12847" s="24"/>
      <c r="G12847" s="24"/>
      <c r="H12847" s="24"/>
      <c r="I12847" s="24"/>
      <c r="J12847" s="24"/>
      <c r="K12847" s="24"/>
      <c r="L12847" s="24"/>
      <c r="M12847" s="24"/>
      <c r="N12847" s="24"/>
      <c r="O12847" s="24"/>
      <c r="P12847" s="24"/>
      <c r="Q12847" s="24"/>
      <c r="R12847" s="24"/>
      <c r="S12847" s="24"/>
      <c r="T12847" s="24"/>
      <c r="U12847" s="24"/>
      <c r="V12847" s="24"/>
      <c r="W12847" s="24"/>
      <c r="X12847" s="24"/>
      <c r="Y12847" s="24"/>
      <c r="Z12847" s="24"/>
      <c r="AA12847" s="24"/>
    </row>
    <row r="12848">
      <c r="A12848" s="24"/>
      <c r="B12848" s="25"/>
      <c r="C12848" s="24"/>
      <c r="D12848" s="26"/>
      <c r="E12848" s="24"/>
      <c r="F12848" s="24"/>
      <c r="G12848" s="24"/>
      <c r="H12848" s="24"/>
      <c r="I12848" s="24"/>
      <c r="J12848" s="24"/>
      <c r="K12848" s="24"/>
      <c r="L12848" s="24"/>
      <c r="M12848" s="24"/>
      <c r="N12848" s="24"/>
      <c r="O12848" s="24"/>
      <c r="P12848" s="24"/>
      <c r="Q12848" s="24"/>
      <c r="R12848" s="24"/>
      <c r="S12848" s="24"/>
      <c r="T12848" s="24"/>
      <c r="U12848" s="24"/>
      <c r="V12848" s="24"/>
      <c r="W12848" s="24"/>
      <c r="X12848" s="24"/>
      <c r="Y12848" s="24"/>
      <c r="Z12848" s="24"/>
      <c r="AA12848" s="24"/>
    </row>
    <row r="12849">
      <c r="A12849" s="24"/>
      <c r="B12849" s="25"/>
      <c r="C12849" s="24"/>
      <c r="D12849" s="26"/>
      <c r="E12849" s="24"/>
      <c r="F12849" s="24"/>
      <c r="G12849" s="24"/>
      <c r="H12849" s="24"/>
      <c r="I12849" s="24"/>
      <c r="J12849" s="24"/>
      <c r="K12849" s="24"/>
      <c r="L12849" s="24"/>
      <c r="M12849" s="24"/>
      <c r="N12849" s="24"/>
      <c r="O12849" s="24"/>
      <c r="P12849" s="24"/>
      <c r="Q12849" s="24"/>
      <c r="R12849" s="24"/>
      <c r="S12849" s="24"/>
      <c r="T12849" s="24"/>
      <c r="U12849" s="24"/>
      <c r="V12849" s="24"/>
      <c r="W12849" s="24"/>
      <c r="X12849" s="24"/>
      <c r="Y12849" s="24"/>
      <c r="Z12849" s="24"/>
      <c r="AA12849" s="24"/>
    </row>
    <row r="12850">
      <c r="A12850" s="24"/>
      <c r="B12850" s="25"/>
      <c r="C12850" s="24"/>
      <c r="D12850" s="26"/>
      <c r="E12850" s="24"/>
      <c r="F12850" s="24"/>
      <c r="G12850" s="24"/>
      <c r="H12850" s="24"/>
      <c r="I12850" s="24"/>
      <c r="J12850" s="24"/>
      <c r="K12850" s="24"/>
      <c r="L12850" s="24"/>
      <c r="M12850" s="24"/>
      <c r="N12850" s="24"/>
      <c r="O12850" s="24"/>
      <c r="P12850" s="24"/>
      <c r="Q12850" s="24"/>
      <c r="R12850" s="24"/>
      <c r="S12850" s="24"/>
      <c r="T12850" s="24"/>
      <c r="U12850" s="24"/>
      <c r="V12850" s="24"/>
      <c r="W12850" s="24"/>
      <c r="X12850" s="24"/>
      <c r="Y12850" s="24"/>
      <c r="Z12850" s="24"/>
      <c r="AA12850" s="24"/>
    </row>
    <row r="12851">
      <c r="A12851" s="24"/>
      <c r="B12851" s="25"/>
      <c r="C12851" s="24"/>
      <c r="D12851" s="26"/>
      <c r="E12851" s="24"/>
      <c r="F12851" s="24"/>
      <c r="G12851" s="24"/>
      <c r="H12851" s="24"/>
      <c r="I12851" s="24"/>
      <c r="J12851" s="24"/>
      <c r="K12851" s="24"/>
      <c r="L12851" s="24"/>
      <c r="M12851" s="24"/>
      <c r="N12851" s="24"/>
      <c r="O12851" s="24"/>
      <c r="P12851" s="24"/>
      <c r="Q12851" s="24"/>
      <c r="R12851" s="24"/>
      <c r="S12851" s="24"/>
      <c r="T12851" s="24"/>
      <c r="U12851" s="24"/>
      <c r="V12851" s="24"/>
      <c r="W12851" s="24"/>
      <c r="X12851" s="24"/>
      <c r="Y12851" s="24"/>
      <c r="Z12851" s="24"/>
      <c r="AA12851" s="24"/>
    </row>
    <row r="12852">
      <c r="A12852" s="24"/>
      <c r="B12852" s="25"/>
      <c r="C12852" s="24"/>
      <c r="D12852" s="26"/>
      <c r="E12852" s="24"/>
      <c r="F12852" s="24"/>
      <c r="G12852" s="24"/>
      <c r="H12852" s="24"/>
      <c r="I12852" s="24"/>
      <c r="J12852" s="24"/>
      <c r="K12852" s="24"/>
      <c r="L12852" s="24"/>
      <c r="M12852" s="24"/>
      <c r="N12852" s="24"/>
      <c r="O12852" s="24"/>
      <c r="P12852" s="24"/>
      <c r="Q12852" s="24"/>
      <c r="R12852" s="24"/>
      <c r="S12852" s="24"/>
      <c r="T12852" s="24"/>
      <c r="U12852" s="24"/>
      <c r="V12852" s="24"/>
      <c r="W12852" s="24"/>
      <c r="X12852" s="24"/>
      <c r="Y12852" s="24"/>
      <c r="Z12852" s="24"/>
      <c r="AA12852" s="24"/>
    </row>
    <row r="12853">
      <c r="A12853" s="24"/>
      <c r="B12853" s="25"/>
      <c r="C12853" s="24"/>
      <c r="D12853" s="26"/>
      <c r="E12853" s="24"/>
      <c r="F12853" s="24"/>
      <c r="G12853" s="24"/>
      <c r="H12853" s="24"/>
      <c r="I12853" s="24"/>
      <c r="J12853" s="24"/>
      <c r="K12853" s="24"/>
      <c r="L12853" s="24"/>
      <c r="M12853" s="24"/>
      <c r="N12853" s="24"/>
      <c r="O12853" s="24"/>
      <c r="P12853" s="24"/>
      <c r="Q12853" s="24"/>
      <c r="R12853" s="24"/>
      <c r="S12853" s="24"/>
      <c r="T12853" s="24"/>
      <c r="U12853" s="24"/>
      <c r="V12853" s="24"/>
      <c r="W12853" s="24"/>
      <c r="X12853" s="24"/>
      <c r="Y12853" s="24"/>
      <c r="Z12853" s="24"/>
      <c r="AA12853" s="24"/>
    </row>
    <row r="12854">
      <c r="A12854" s="24"/>
      <c r="B12854" s="25"/>
      <c r="C12854" s="24"/>
      <c r="D12854" s="26"/>
      <c r="E12854" s="24"/>
      <c r="F12854" s="24"/>
      <c r="G12854" s="24"/>
      <c r="H12854" s="24"/>
      <c r="I12854" s="24"/>
      <c r="J12854" s="24"/>
      <c r="K12854" s="24"/>
      <c r="L12854" s="24"/>
      <c r="M12854" s="24"/>
      <c r="N12854" s="24"/>
      <c r="O12854" s="24"/>
      <c r="P12854" s="24"/>
      <c r="Q12854" s="24"/>
      <c r="R12854" s="24"/>
      <c r="S12854" s="24"/>
      <c r="T12854" s="24"/>
      <c r="U12854" s="24"/>
      <c r="V12854" s="24"/>
      <c r="W12854" s="24"/>
      <c r="X12854" s="24"/>
      <c r="Y12854" s="24"/>
      <c r="Z12854" s="24"/>
      <c r="AA12854" s="24"/>
    </row>
    <row r="12855">
      <c r="A12855" s="24"/>
      <c r="B12855" s="25"/>
      <c r="C12855" s="24"/>
      <c r="D12855" s="26"/>
      <c r="E12855" s="24"/>
      <c r="F12855" s="24"/>
      <c r="G12855" s="24"/>
      <c r="H12855" s="24"/>
      <c r="I12855" s="24"/>
      <c r="J12855" s="24"/>
      <c r="K12855" s="24"/>
      <c r="L12855" s="24"/>
      <c r="M12855" s="24"/>
      <c r="N12855" s="24"/>
      <c r="O12855" s="24"/>
      <c r="P12855" s="24"/>
      <c r="Q12855" s="24"/>
      <c r="R12855" s="24"/>
      <c r="S12855" s="24"/>
      <c r="T12855" s="24"/>
      <c r="U12855" s="24"/>
      <c r="V12855" s="24"/>
      <c r="W12855" s="24"/>
      <c r="X12855" s="24"/>
      <c r="Y12855" s="24"/>
      <c r="Z12855" s="24"/>
      <c r="AA12855" s="24"/>
    </row>
    <row r="12856">
      <c r="A12856" s="24"/>
      <c r="B12856" s="25"/>
      <c r="C12856" s="24"/>
      <c r="D12856" s="26"/>
      <c r="E12856" s="24"/>
      <c r="F12856" s="24"/>
      <c r="G12856" s="24"/>
      <c r="H12856" s="24"/>
      <c r="I12856" s="24"/>
      <c r="J12856" s="24"/>
      <c r="K12856" s="24"/>
      <c r="L12856" s="24"/>
      <c r="M12856" s="24"/>
      <c r="N12856" s="24"/>
      <c r="O12856" s="24"/>
      <c r="P12856" s="24"/>
      <c r="Q12856" s="24"/>
      <c r="R12856" s="24"/>
      <c r="S12856" s="24"/>
      <c r="T12856" s="24"/>
      <c r="U12856" s="24"/>
      <c r="V12856" s="24"/>
      <c r="W12856" s="24"/>
      <c r="X12856" s="24"/>
      <c r="Y12856" s="24"/>
      <c r="Z12856" s="24"/>
      <c r="AA12856" s="24"/>
    </row>
    <row r="12857">
      <c r="A12857" s="24"/>
      <c r="B12857" s="25"/>
      <c r="C12857" s="24"/>
      <c r="D12857" s="26"/>
      <c r="E12857" s="24"/>
      <c r="F12857" s="24"/>
      <c r="G12857" s="24"/>
      <c r="H12857" s="24"/>
      <c r="I12857" s="24"/>
      <c r="J12857" s="24"/>
      <c r="K12857" s="24"/>
      <c r="L12857" s="24"/>
      <c r="M12857" s="24"/>
      <c r="N12857" s="24"/>
      <c r="O12857" s="24"/>
      <c r="P12857" s="24"/>
      <c r="Q12857" s="24"/>
      <c r="R12857" s="24"/>
      <c r="S12857" s="24"/>
      <c r="T12857" s="24"/>
      <c r="U12857" s="24"/>
      <c r="V12857" s="24"/>
      <c r="W12857" s="24"/>
      <c r="X12857" s="24"/>
      <c r="Y12857" s="24"/>
      <c r="Z12857" s="24"/>
      <c r="AA12857" s="24"/>
    </row>
    <row r="12858">
      <c r="A12858" s="24"/>
      <c r="B12858" s="25"/>
      <c r="C12858" s="24"/>
      <c r="D12858" s="26"/>
      <c r="E12858" s="24"/>
      <c r="F12858" s="24"/>
      <c r="G12858" s="24"/>
      <c r="H12858" s="24"/>
      <c r="I12858" s="24"/>
      <c r="J12858" s="24"/>
      <c r="K12858" s="24"/>
      <c r="L12858" s="24"/>
      <c r="M12858" s="24"/>
      <c r="N12858" s="24"/>
      <c r="O12858" s="24"/>
      <c r="P12858" s="24"/>
      <c r="Q12858" s="24"/>
      <c r="R12858" s="24"/>
      <c r="S12858" s="24"/>
      <c r="T12858" s="24"/>
      <c r="U12858" s="24"/>
      <c r="V12858" s="24"/>
      <c r="W12858" s="24"/>
      <c r="X12858" s="24"/>
      <c r="Y12858" s="24"/>
      <c r="Z12858" s="24"/>
      <c r="AA12858" s="24"/>
    </row>
    <row r="12859">
      <c r="A12859" s="24"/>
      <c r="B12859" s="25"/>
      <c r="C12859" s="24"/>
      <c r="D12859" s="26"/>
      <c r="E12859" s="24"/>
      <c r="F12859" s="24"/>
      <c r="G12859" s="24"/>
      <c r="H12859" s="24"/>
      <c r="I12859" s="24"/>
      <c r="J12859" s="24"/>
      <c r="K12859" s="24"/>
      <c r="L12859" s="24"/>
      <c r="M12859" s="24"/>
      <c r="N12859" s="24"/>
      <c r="O12859" s="24"/>
      <c r="P12859" s="24"/>
      <c r="Q12859" s="24"/>
      <c r="R12859" s="24"/>
      <c r="S12859" s="24"/>
      <c r="T12859" s="24"/>
      <c r="U12859" s="24"/>
      <c r="V12859" s="24"/>
      <c r="W12859" s="24"/>
      <c r="X12859" s="24"/>
      <c r="Y12859" s="24"/>
      <c r="Z12859" s="24"/>
      <c r="AA12859" s="24"/>
    </row>
    <row r="12860">
      <c r="A12860" s="24"/>
      <c r="B12860" s="25"/>
      <c r="C12860" s="24"/>
      <c r="D12860" s="26"/>
      <c r="E12860" s="24"/>
      <c r="F12860" s="24"/>
      <c r="G12860" s="24"/>
      <c r="H12860" s="24"/>
      <c r="I12860" s="24"/>
      <c r="J12860" s="24"/>
      <c r="K12860" s="24"/>
      <c r="L12860" s="24"/>
      <c r="M12860" s="24"/>
      <c r="N12860" s="24"/>
      <c r="O12860" s="24"/>
      <c r="P12860" s="24"/>
      <c r="Q12860" s="24"/>
      <c r="R12860" s="24"/>
      <c r="S12860" s="24"/>
      <c r="T12860" s="24"/>
      <c r="U12860" s="24"/>
      <c r="V12860" s="24"/>
      <c r="W12860" s="24"/>
      <c r="X12860" s="24"/>
      <c r="Y12860" s="24"/>
      <c r="Z12860" s="24"/>
      <c r="AA12860" s="24"/>
    </row>
    <row r="12861">
      <c r="A12861" s="24"/>
      <c r="B12861" s="25"/>
      <c r="C12861" s="24"/>
      <c r="D12861" s="26"/>
      <c r="E12861" s="24"/>
      <c r="F12861" s="24"/>
      <c r="G12861" s="24"/>
      <c r="H12861" s="24"/>
      <c r="I12861" s="24"/>
      <c r="J12861" s="24"/>
      <c r="K12861" s="24"/>
      <c r="L12861" s="24"/>
      <c r="M12861" s="24"/>
      <c r="N12861" s="24"/>
      <c r="O12861" s="24"/>
      <c r="P12861" s="24"/>
      <c r="Q12861" s="24"/>
      <c r="R12861" s="24"/>
      <c r="S12861" s="24"/>
      <c r="T12861" s="24"/>
      <c r="U12861" s="24"/>
      <c r="V12861" s="24"/>
      <c r="W12861" s="24"/>
      <c r="X12861" s="24"/>
      <c r="Y12861" s="24"/>
      <c r="Z12861" s="24"/>
      <c r="AA12861" s="24"/>
    </row>
    <row r="12862">
      <c r="A12862" s="24"/>
      <c r="B12862" s="25"/>
      <c r="C12862" s="24"/>
      <c r="D12862" s="26"/>
      <c r="E12862" s="24"/>
      <c r="F12862" s="24"/>
      <c r="G12862" s="24"/>
      <c r="H12862" s="24"/>
      <c r="I12862" s="24"/>
      <c r="J12862" s="24"/>
      <c r="K12862" s="24"/>
      <c r="L12862" s="24"/>
      <c r="M12862" s="24"/>
      <c r="N12862" s="24"/>
      <c r="O12862" s="24"/>
      <c r="P12862" s="24"/>
      <c r="Q12862" s="24"/>
      <c r="R12862" s="24"/>
      <c r="S12862" s="24"/>
      <c r="T12862" s="24"/>
      <c r="U12862" s="24"/>
      <c r="V12862" s="24"/>
      <c r="W12862" s="24"/>
      <c r="X12862" s="24"/>
      <c r="Y12862" s="24"/>
      <c r="Z12862" s="24"/>
      <c r="AA12862" s="24"/>
    </row>
    <row r="12863">
      <c r="A12863" s="24"/>
      <c r="B12863" s="25"/>
      <c r="C12863" s="24"/>
      <c r="D12863" s="26"/>
      <c r="E12863" s="24"/>
      <c r="F12863" s="24"/>
      <c r="G12863" s="24"/>
      <c r="H12863" s="24"/>
      <c r="I12863" s="24"/>
      <c r="J12863" s="24"/>
      <c r="K12863" s="24"/>
      <c r="L12863" s="24"/>
      <c r="M12863" s="24"/>
      <c r="N12863" s="24"/>
      <c r="O12863" s="24"/>
      <c r="P12863" s="24"/>
      <c r="Q12863" s="24"/>
      <c r="R12863" s="24"/>
      <c r="S12863" s="24"/>
      <c r="T12863" s="24"/>
      <c r="U12863" s="24"/>
      <c r="V12863" s="24"/>
      <c r="W12863" s="24"/>
      <c r="X12863" s="24"/>
      <c r="Y12863" s="24"/>
      <c r="Z12863" s="24"/>
      <c r="AA12863" s="24"/>
    </row>
    <row r="12864">
      <c r="A12864" s="24"/>
      <c r="B12864" s="25"/>
      <c r="C12864" s="24"/>
      <c r="D12864" s="26"/>
      <c r="E12864" s="24"/>
      <c r="F12864" s="24"/>
      <c r="G12864" s="24"/>
      <c r="H12864" s="24"/>
      <c r="I12864" s="24"/>
      <c r="J12864" s="24"/>
      <c r="K12864" s="24"/>
      <c r="L12864" s="24"/>
      <c r="M12864" s="24"/>
      <c r="N12864" s="24"/>
      <c r="O12864" s="24"/>
      <c r="P12864" s="24"/>
      <c r="Q12864" s="24"/>
      <c r="R12864" s="24"/>
      <c r="S12864" s="24"/>
      <c r="T12864" s="24"/>
      <c r="U12864" s="24"/>
      <c r="V12864" s="24"/>
      <c r="W12864" s="24"/>
      <c r="X12864" s="24"/>
      <c r="Y12864" s="24"/>
      <c r="Z12864" s="24"/>
      <c r="AA12864" s="24"/>
    </row>
    <row r="12865">
      <c r="A12865" s="24"/>
      <c r="B12865" s="25"/>
      <c r="C12865" s="24"/>
      <c r="D12865" s="26"/>
      <c r="E12865" s="24"/>
      <c r="F12865" s="24"/>
      <c r="G12865" s="24"/>
      <c r="H12865" s="24"/>
      <c r="I12865" s="24"/>
      <c r="J12865" s="24"/>
      <c r="K12865" s="24"/>
      <c r="L12865" s="24"/>
      <c r="M12865" s="24"/>
      <c r="N12865" s="24"/>
      <c r="O12865" s="24"/>
      <c r="P12865" s="24"/>
      <c r="Q12865" s="24"/>
      <c r="R12865" s="24"/>
      <c r="S12865" s="24"/>
      <c r="T12865" s="24"/>
      <c r="U12865" s="24"/>
      <c r="V12865" s="24"/>
      <c r="W12865" s="24"/>
      <c r="X12865" s="24"/>
      <c r="Y12865" s="24"/>
      <c r="Z12865" s="24"/>
      <c r="AA12865" s="24"/>
    </row>
    <row r="12866">
      <c r="A12866" s="24"/>
      <c r="B12866" s="25"/>
      <c r="C12866" s="24"/>
      <c r="D12866" s="26"/>
      <c r="E12866" s="24"/>
      <c r="F12866" s="24"/>
      <c r="G12866" s="24"/>
      <c r="H12866" s="24"/>
      <c r="I12866" s="24"/>
      <c r="J12866" s="24"/>
      <c r="K12866" s="24"/>
      <c r="L12866" s="24"/>
      <c r="M12866" s="24"/>
      <c r="N12866" s="24"/>
      <c r="O12866" s="24"/>
      <c r="P12866" s="24"/>
      <c r="Q12866" s="24"/>
      <c r="R12866" s="24"/>
      <c r="S12866" s="24"/>
      <c r="T12866" s="24"/>
      <c r="U12866" s="24"/>
      <c r="V12866" s="24"/>
      <c r="W12866" s="24"/>
      <c r="X12866" s="24"/>
      <c r="Y12866" s="24"/>
      <c r="Z12866" s="24"/>
      <c r="AA12866" s="24"/>
    </row>
    <row r="12867">
      <c r="A12867" s="24"/>
      <c r="B12867" s="25"/>
      <c r="C12867" s="24"/>
      <c r="D12867" s="26"/>
      <c r="E12867" s="24"/>
      <c r="F12867" s="24"/>
      <c r="G12867" s="24"/>
      <c r="H12867" s="24"/>
      <c r="I12867" s="24"/>
      <c r="J12867" s="24"/>
      <c r="K12867" s="24"/>
      <c r="L12867" s="24"/>
      <c r="M12867" s="24"/>
      <c r="N12867" s="24"/>
      <c r="O12867" s="24"/>
      <c r="P12867" s="24"/>
      <c r="Q12867" s="24"/>
      <c r="R12867" s="24"/>
      <c r="S12867" s="24"/>
      <c r="T12867" s="24"/>
      <c r="U12867" s="24"/>
      <c r="V12867" s="24"/>
      <c r="W12867" s="24"/>
      <c r="X12867" s="24"/>
      <c r="Y12867" s="24"/>
      <c r="Z12867" s="24"/>
      <c r="AA12867" s="24"/>
    </row>
    <row r="12868">
      <c r="A12868" s="24"/>
      <c r="B12868" s="25"/>
      <c r="C12868" s="24"/>
      <c r="D12868" s="26"/>
      <c r="E12868" s="24"/>
      <c r="F12868" s="24"/>
      <c r="G12868" s="24"/>
      <c r="H12868" s="24"/>
      <c r="I12868" s="24"/>
      <c r="J12868" s="24"/>
      <c r="K12868" s="24"/>
      <c r="L12868" s="24"/>
      <c r="M12868" s="24"/>
      <c r="N12868" s="24"/>
      <c r="O12868" s="24"/>
      <c r="P12868" s="24"/>
      <c r="Q12868" s="24"/>
      <c r="R12868" s="24"/>
      <c r="S12868" s="24"/>
      <c r="T12868" s="24"/>
      <c r="U12868" s="24"/>
      <c r="V12868" s="24"/>
      <c r="W12868" s="24"/>
      <c r="X12868" s="24"/>
      <c r="Y12868" s="24"/>
      <c r="Z12868" s="24"/>
      <c r="AA12868" s="24"/>
    </row>
    <row r="12869">
      <c r="A12869" s="24"/>
      <c r="B12869" s="25"/>
      <c r="C12869" s="24"/>
      <c r="D12869" s="26"/>
      <c r="E12869" s="24"/>
      <c r="F12869" s="24"/>
      <c r="G12869" s="24"/>
      <c r="H12869" s="24"/>
      <c r="I12869" s="24"/>
      <c r="J12869" s="24"/>
      <c r="K12869" s="24"/>
      <c r="L12869" s="24"/>
      <c r="M12869" s="24"/>
      <c r="N12869" s="24"/>
      <c r="O12869" s="24"/>
      <c r="P12869" s="24"/>
      <c r="Q12869" s="24"/>
      <c r="R12869" s="24"/>
      <c r="S12869" s="24"/>
      <c r="T12869" s="24"/>
      <c r="U12869" s="24"/>
      <c r="V12869" s="24"/>
      <c r="W12869" s="24"/>
      <c r="X12869" s="24"/>
      <c r="Y12869" s="24"/>
      <c r="Z12869" s="24"/>
      <c r="AA12869" s="24"/>
    </row>
    <row r="12870">
      <c r="A12870" s="24"/>
      <c r="B12870" s="25"/>
      <c r="C12870" s="24"/>
      <c r="D12870" s="26"/>
      <c r="E12870" s="24"/>
      <c r="F12870" s="24"/>
      <c r="G12870" s="24"/>
      <c r="H12870" s="24"/>
      <c r="I12870" s="24"/>
      <c r="J12870" s="24"/>
      <c r="K12870" s="24"/>
      <c r="L12870" s="24"/>
      <c r="M12870" s="24"/>
      <c r="N12870" s="24"/>
      <c r="O12870" s="24"/>
      <c r="P12870" s="24"/>
      <c r="Q12870" s="24"/>
      <c r="R12870" s="24"/>
      <c r="S12870" s="24"/>
      <c r="T12870" s="24"/>
      <c r="U12870" s="24"/>
      <c r="V12870" s="24"/>
      <c r="W12870" s="24"/>
      <c r="X12870" s="24"/>
      <c r="Y12870" s="24"/>
      <c r="Z12870" s="24"/>
      <c r="AA12870" s="24"/>
    </row>
    <row r="12871">
      <c r="A12871" s="24"/>
      <c r="B12871" s="25"/>
      <c r="C12871" s="24"/>
      <c r="D12871" s="26"/>
      <c r="E12871" s="24"/>
      <c r="F12871" s="24"/>
      <c r="G12871" s="24"/>
      <c r="H12871" s="24"/>
      <c r="I12871" s="24"/>
      <c r="J12871" s="24"/>
      <c r="K12871" s="24"/>
      <c r="L12871" s="24"/>
      <c r="M12871" s="24"/>
      <c r="N12871" s="24"/>
      <c r="O12871" s="24"/>
      <c r="P12871" s="24"/>
      <c r="Q12871" s="24"/>
      <c r="R12871" s="24"/>
      <c r="S12871" s="24"/>
      <c r="T12871" s="24"/>
      <c r="U12871" s="24"/>
      <c r="V12871" s="24"/>
      <c r="W12871" s="24"/>
      <c r="X12871" s="24"/>
      <c r="Y12871" s="24"/>
      <c r="Z12871" s="24"/>
      <c r="AA12871" s="24"/>
    </row>
    <row r="12872">
      <c r="A12872" s="24"/>
      <c r="B12872" s="25"/>
      <c r="C12872" s="24"/>
      <c r="D12872" s="26"/>
      <c r="E12872" s="24"/>
      <c r="F12872" s="24"/>
      <c r="G12872" s="24"/>
      <c r="H12872" s="24"/>
      <c r="I12872" s="24"/>
      <c r="J12872" s="24"/>
      <c r="K12872" s="24"/>
      <c r="L12872" s="24"/>
      <c r="M12872" s="24"/>
      <c r="N12872" s="24"/>
      <c r="O12872" s="24"/>
      <c r="P12872" s="24"/>
      <c r="Q12872" s="24"/>
      <c r="R12872" s="24"/>
      <c r="S12872" s="24"/>
      <c r="T12872" s="24"/>
      <c r="U12872" s="24"/>
      <c r="V12872" s="24"/>
      <c r="W12872" s="24"/>
      <c r="X12872" s="24"/>
      <c r="Y12872" s="24"/>
      <c r="Z12872" s="24"/>
      <c r="AA12872" s="24"/>
    </row>
    <row r="12873">
      <c r="A12873" s="24"/>
      <c r="B12873" s="25"/>
      <c r="C12873" s="24"/>
      <c r="D12873" s="26"/>
      <c r="E12873" s="24"/>
      <c r="F12873" s="24"/>
      <c r="G12873" s="24"/>
      <c r="H12873" s="24"/>
      <c r="I12873" s="24"/>
      <c r="J12873" s="24"/>
      <c r="K12873" s="24"/>
      <c r="L12873" s="24"/>
      <c r="M12873" s="24"/>
      <c r="N12873" s="24"/>
      <c r="O12873" s="24"/>
      <c r="P12873" s="24"/>
      <c r="Q12873" s="24"/>
      <c r="R12873" s="24"/>
      <c r="S12873" s="24"/>
      <c r="T12873" s="24"/>
      <c r="U12873" s="24"/>
      <c r="V12873" s="24"/>
      <c r="W12873" s="24"/>
      <c r="X12873" s="24"/>
      <c r="Y12873" s="24"/>
      <c r="Z12873" s="24"/>
      <c r="AA12873" s="24"/>
    </row>
    <row r="12874">
      <c r="A12874" s="24"/>
      <c r="B12874" s="25"/>
      <c r="C12874" s="24"/>
      <c r="D12874" s="26"/>
      <c r="E12874" s="24"/>
      <c r="F12874" s="24"/>
      <c r="G12874" s="24"/>
      <c r="H12874" s="24"/>
      <c r="I12874" s="24"/>
      <c r="J12874" s="24"/>
      <c r="K12874" s="24"/>
      <c r="L12874" s="24"/>
      <c r="M12874" s="24"/>
      <c r="N12874" s="24"/>
      <c r="O12874" s="24"/>
      <c r="P12874" s="24"/>
      <c r="Q12874" s="24"/>
      <c r="R12874" s="24"/>
      <c r="S12874" s="24"/>
      <c r="T12874" s="24"/>
      <c r="U12874" s="24"/>
      <c r="V12874" s="24"/>
      <c r="W12874" s="24"/>
      <c r="X12874" s="24"/>
      <c r="Y12874" s="24"/>
      <c r="Z12874" s="24"/>
      <c r="AA12874" s="24"/>
    </row>
    <row r="12875">
      <c r="A12875" s="24"/>
      <c r="B12875" s="25"/>
      <c r="C12875" s="24"/>
      <c r="D12875" s="26"/>
      <c r="E12875" s="24"/>
      <c r="F12875" s="24"/>
      <c r="G12875" s="24"/>
      <c r="H12875" s="24"/>
      <c r="I12875" s="24"/>
      <c r="J12875" s="24"/>
      <c r="K12875" s="24"/>
      <c r="L12875" s="24"/>
      <c r="M12875" s="24"/>
      <c r="N12875" s="24"/>
      <c r="O12875" s="24"/>
      <c r="P12875" s="24"/>
      <c r="Q12875" s="24"/>
      <c r="R12875" s="24"/>
      <c r="S12875" s="24"/>
      <c r="T12875" s="24"/>
      <c r="U12875" s="24"/>
      <c r="V12875" s="24"/>
      <c r="W12875" s="24"/>
      <c r="X12875" s="24"/>
      <c r="Y12875" s="24"/>
      <c r="Z12875" s="24"/>
      <c r="AA12875" s="24"/>
    </row>
    <row r="12876">
      <c r="A12876" s="24"/>
      <c r="B12876" s="25"/>
      <c r="C12876" s="24"/>
      <c r="D12876" s="26"/>
      <c r="E12876" s="24"/>
      <c r="F12876" s="24"/>
      <c r="G12876" s="24"/>
      <c r="H12876" s="24"/>
      <c r="I12876" s="24"/>
      <c r="J12876" s="24"/>
      <c r="K12876" s="24"/>
      <c r="L12876" s="24"/>
      <c r="M12876" s="24"/>
      <c r="N12876" s="24"/>
      <c r="O12876" s="24"/>
      <c r="P12876" s="24"/>
      <c r="Q12876" s="24"/>
      <c r="R12876" s="24"/>
      <c r="S12876" s="24"/>
      <c r="T12876" s="24"/>
      <c r="U12876" s="24"/>
      <c r="V12876" s="24"/>
      <c r="W12876" s="24"/>
      <c r="X12876" s="24"/>
      <c r="Y12876" s="24"/>
      <c r="Z12876" s="24"/>
      <c r="AA12876" s="24"/>
    </row>
    <row r="12877">
      <c r="A12877" s="24"/>
      <c r="B12877" s="25"/>
      <c r="C12877" s="24"/>
      <c r="D12877" s="26"/>
      <c r="E12877" s="24"/>
      <c r="F12877" s="24"/>
      <c r="G12877" s="24"/>
      <c r="H12877" s="24"/>
      <c r="I12877" s="24"/>
      <c r="J12877" s="24"/>
      <c r="K12877" s="24"/>
      <c r="L12877" s="24"/>
      <c r="M12877" s="24"/>
      <c r="N12877" s="24"/>
      <c r="O12877" s="24"/>
      <c r="P12877" s="24"/>
      <c r="Q12877" s="24"/>
      <c r="R12877" s="24"/>
      <c r="S12877" s="24"/>
      <c r="T12877" s="24"/>
      <c r="U12877" s="24"/>
      <c r="V12877" s="24"/>
      <c r="W12877" s="24"/>
      <c r="X12877" s="24"/>
      <c r="Y12877" s="24"/>
      <c r="Z12877" s="24"/>
      <c r="AA12877" s="24"/>
    </row>
    <row r="12878">
      <c r="A12878" s="24"/>
      <c r="B12878" s="25"/>
      <c r="C12878" s="24"/>
      <c r="D12878" s="26"/>
      <c r="E12878" s="24"/>
      <c r="F12878" s="24"/>
      <c r="G12878" s="24"/>
      <c r="H12878" s="24"/>
      <c r="I12878" s="24"/>
      <c r="J12878" s="24"/>
      <c r="K12878" s="24"/>
      <c r="L12878" s="24"/>
      <c r="M12878" s="24"/>
      <c r="N12878" s="24"/>
      <c r="O12878" s="24"/>
      <c r="P12878" s="24"/>
      <c r="Q12878" s="24"/>
      <c r="R12878" s="24"/>
      <c r="S12878" s="24"/>
      <c r="T12878" s="24"/>
      <c r="U12878" s="24"/>
      <c r="V12878" s="24"/>
      <c r="W12878" s="24"/>
      <c r="X12878" s="24"/>
      <c r="Y12878" s="24"/>
      <c r="Z12878" s="24"/>
      <c r="AA12878" s="24"/>
    </row>
    <row r="12879">
      <c r="A12879" s="24"/>
      <c r="B12879" s="25"/>
      <c r="C12879" s="24"/>
      <c r="D12879" s="26"/>
      <c r="E12879" s="24"/>
      <c r="F12879" s="24"/>
      <c r="G12879" s="24"/>
      <c r="H12879" s="24"/>
      <c r="I12879" s="24"/>
      <c r="J12879" s="24"/>
      <c r="K12879" s="24"/>
      <c r="L12879" s="24"/>
      <c r="M12879" s="24"/>
      <c r="N12879" s="24"/>
      <c r="O12879" s="24"/>
      <c r="P12879" s="24"/>
      <c r="Q12879" s="24"/>
      <c r="R12879" s="24"/>
      <c r="S12879" s="24"/>
      <c r="T12879" s="24"/>
      <c r="U12879" s="24"/>
      <c r="V12879" s="24"/>
      <c r="W12879" s="24"/>
      <c r="X12879" s="24"/>
      <c r="Y12879" s="24"/>
      <c r="Z12879" s="24"/>
      <c r="AA12879" s="24"/>
    </row>
    <row r="12880">
      <c r="A12880" s="24"/>
      <c r="B12880" s="25"/>
      <c r="C12880" s="24"/>
      <c r="D12880" s="26"/>
      <c r="E12880" s="24"/>
      <c r="F12880" s="24"/>
      <c r="G12880" s="24"/>
      <c r="H12880" s="24"/>
      <c r="I12880" s="24"/>
      <c r="J12880" s="24"/>
      <c r="K12880" s="24"/>
      <c r="L12880" s="24"/>
      <c r="M12880" s="24"/>
      <c r="N12880" s="24"/>
      <c r="O12880" s="24"/>
      <c r="P12880" s="24"/>
      <c r="Q12880" s="24"/>
      <c r="R12880" s="24"/>
      <c r="S12880" s="24"/>
      <c r="T12880" s="24"/>
      <c r="U12880" s="24"/>
      <c r="V12880" s="24"/>
      <c r="W12880" s="24"/>
      <c r="X12880" s="24"/>
      <c r="Y12880" s="24"/>
      <c r="Z12880" s="24"/>
      <c r="AA12880" s="24"/>
    </row>
    <row r="12881">
      <c r="A12881" s="24"/>
      <c r="B12881" s="25"/>
      <c r="C12881" s="24"/>
      <c r="D12881" s="26"/>
      <c r="E12881" s="24"/>
      <c r="F12881" s="24"/>
      <c r="G12881" s="24"/>
      <c r="H12881" s="24"/>
      <c r="I12881" s="24"/>
      <c r="J12881" s="24"/>
      <c r="K12881" s="24"/>
      <c r="L12881" s="24"/>
      <c r="M12881" s="24"/>
      <c r="N12881" s="24"/>
      <c r="O12881" s="24"/>
      <c r="P12881" s="24"/>
      <c r="Q12881" s="24"/>
      <c r="R12881" s="24"/>
      <c r="S12881" s="24"/>
      <c r="T12881" s="24"/>
      <c r="U12881" s="24"/>
      <c r="V12881" s="24"/>
      <c r="W12881" s="24"/>
      <c r="X12881" s="24"/>
      <c r="Y12881" s="24"/>
      <c r="Z12881" s="24"/>
      <c r="AA12881" s="24"/>
    </row>
    <row r="12882">
      <c r="A12882" s="24"/>
      <c r="B12882" s="25"/>
      <c r="C12882" s="24"/>
      <c r="D12882" s="26"/>
      <c r="E12882" s="24"/>
      <c r="F12882" s="24"/>
      <c r="G12882" s="24"/>
      <c r="H12882" s="24"/>
      <c r="I12882" s="24"/>
      <c r="J12882" s="24"/>
      <c r="K12882" s="24"/>
      <c r="L12882" s="24"/>
      <c r="M12882" s="24"/>
      <c r="N12882" s="24"/>
      <c r="O12882" s="24"/>
      <c r="P12882" s="24"/>
      <c r="Q12882" s="24"/>
      <c r="R12882" s="24"/>
      <c r="S12882" s="24"/>
      <c r="T12882" s="24"/>
      <c r="U12882" s="24"/>
      <c r="V12882" s="24"/>
      <c r="W12882" s="24"/>
      <c r="X12882" s="24"/>
      <c r="Y12882" s="24"/>
      <c r="Z12882" s="24"/>
      <c r="AA12882" s="24"/>
    </row>
    <row r="12883">
      <c r="A12883" s="24"/>
      <c r="B12883" s="25"/>
      <c r="C12883" s="24"/>
      <c r="D12883" s="26"/>
      <c r="E12883" s="24"/>
      <c r="F12883" s="24"/>
      <c r="G12883" s="24"/>
      <c r="H12883" s="24"/>
      <c r="I12883" s="24"/>
      <c r="J12883" s="24"/>
      <c r="K12883" s="24"/>
      <c r="L12883" s="24"/>
      <c r="M12883" s="24"/>
      <c r="N12883" s="24"/>
      <c r="O12883" s="24"/>
      <c r="P12883" s="24"/>
      <c r="Q12883" s="24"/>
      <c r="R12883" s="24"/>
      <c r="S12883" s="24"/>
      <c r="T12883" s="24"/>
      <c r="U12883" s="24"/>
      <c r="V12883" s="24"/>
      <c r="W12883" s="24"/>
      <c r="X12883" s="24"/>
      <c r="Y12883" s="24"/>
      <c r="Z12883" s="24"/>
      <c r="AA12883" s="24"/>
    </row>
    <row r="12884">
      <c r="A12884" s="24"/>
      <c r="B12884" s="25"/>
      <c r="C12884" s="24"/>
      <c r="D12884" s="26"/>
      <c r="E12884" s="24"/>
      <c r="F12884" s="24"/>
      <c r="G12884" s="24"/>
      <c r="H12884" s="24"/>
      <c r="I12884" s="24"/>
      <c r="J12884" s="24"/>
      <c r="K12884" s="24"/>
      <c r="L12884" s="24"/>
      <c r="M12884" s="24"/>
      <c r="N12884" s="24"/>
      <c r="O12884" s="24"/>
      <c r="P12884" s="24"/>
      <c r="Q12884" s="24"/>
      <c r="R12884" s="24"/>
      <c r="S12884" s="24"/>
      <c r="T12884" s="24"/>
      <c r="U12884" s="24"/>
      <c r="V12884" s="24"/>
      <c r="W12884" s="24"/>
      <c r="X12884" s="24"/>
      <c r="Y12884" s="24"/>
      <c r="Z12884" s="24"/>
      <c r="AA12884" s="24"/>
    </row>
    <row r="12885">
      <c r="A12885" s="24"/>
      <c r="B12885" s="25"/>
      <c r="C12885" s="24"/>
      <c r="D12885" s="26"/>
      <c r="E12885" s="24"/>
      <c r="F12885" s="24"/>
      <c r="G12885" s="24"/>
      <c r="H12885" s="24"/>
      <c r="I12885" s="24"/>
      <c r="J12885" s="24"/>
      <c r="K12885" s="24"/>
      <c r="L12885" s="24"/>
      <c r="M12885" s="24"/>
      <c r="N12885" s="24"/>
      <c r="O12885" s="24"/>
      <c r="P12885" s="24"/>
      <c r="Q12885" s="24"/>
      <c r="R12885" s="24"/>
      <c r="S12885" s="24"/>
      <c r="T12885" s="24"/>
      <c r="U12885" s="24"/>
      <c r="V12885" s="24"/>
      <c r="W12885" s="24"/>
      <c r="X12885" s="24"/>
      <c r="Y12885" s="24"/>
      <c r="Z12885" s="24"/>
      <c r="AA12885" s="24"/>
    </row>
    <row r="12886">
      <c r="A12886" s="24"/>
      <c r="B12886" s="25"/>
      <c r="C12886" s="24"/>
      <c r="D12886" s="26"/>
      <c r="E12886" s="24"/>
      <c r="F12886" s="24"/>
      <c r="G12886" s="24"/>
      <c r="H12886" s="24"/>
      <c r="I12886" s="24"/>
      <c r="J12886" s="24"/>
      <c r="K12886" s="24"/>
      <c r="L12886" s="24"/>
      <c r="M12886" s="24"/>
      <c r="N12886" s="24"/>
      <c r="O12886" s="24"/>
      <c r="P12886" s="24"/>
      <c r="Q12886" s="24"/>
      <c r="R12886" s="24"/>
      <c r="S12886" s="24"/>
      <c r="T12886" s="24"/>
      <c r="U12886" s="24"/>
      <c r="V12886" s="24"/>
      <c r="W12886" s="24"/>
      <c r="X12886" s="24"/>
      <c r="Y12886" s="24"/>
      <c r="Z12886" s="24"/>
      <c r="AA12886" s="24"/>
    </row>
    <row r="12887">
      <c r="A12887" s="24"/>
      <c r="B12887" s="25"/>
      <c r="C12887" s="24"/>
      <c r="D12887" s="26"/>
      <c r="E12887" s="24"/>
      <c r="F12887" s="24"/>
      <c r="G12887" s="24"/>
      <c r="H12887" s="24"/>
      <c r="I12887" s="24"/>
      <c r="J12887" s="24"/>
      <c r="K12887" s="24"/>
      <c r="L12887" s="24"/>
      <c r="M12887" s="24"/>
      <c r="N12887" s="24"/>
      <c r="O12887" s="24"/>
      <c r="P12887" s="24"/>
      <c r="Q12887" s="24"/>
      <c r="R12887" s="24"/>
      <c r="S12887" s="24"/>
      <c r="T12887" s="24"/>
      <c r="U12887" s="24"/>
      <c r="V12887" s="24"/>
      <c r="W12887" s="24"/>
      <c r="X12887" s="24"/>
      <c r="Y12887" s="24"/>
      <c r="Z12887" s="24"/>
      <c r="AA12887" s="24"/>
    </row>
    <row r="12888">
      <c r="A12888" s="24"/>
      <c r="B12888" s="25"/>
      <c r="C12888" s="24"/>
      <c r="D12888" s="26"/>
      <c r="E12888" s="24"/>
      <c r="F12888" s="24"/>
      <c r="G12888" s="24"/>
      <c r="H12888" s="24"/>
      <c r="I12888" s="24"/>
      <c r="J12888" s="24"/>
      <c r="K12888" s="24"/>
      <c r="L12888" s="24"/>
      <c r="M12888" s="24"/>
      <c r="N12888" s="24"/>
      <c r="O12888" s="24"/>
      <c r="P12888" s="24"/>
      <c r="Q12888" s="24"/>
      <c r="R12888" s="24"/>
      <c r="S12888" s="24"/>
      <c r="T12888" s="24"/>
      <c r="U12888" s="24"/>
      <c r="V12888" s="24"/>
      <c r="W12888" s="24"/>
      <c r="X12888" s="24"/>
      <c r="Y12888" s="24"/>
      <c r="Z12888" s="24"/>
      <c r="AA12888" s="24"/>
    </row>
    <row r="12889">
      <c r="A12889" s="24"/>
      <c r="B12889" s="25"/>
      <c r="C12889" s="24"/>
      <c r="D12889" s="26"/>
      <c r="E12889" s="24"/>
      <c r="F12889" s="24"/>
      <c r="G12889" s="24"/>
      <c r="H12889" s="24"/>
      <c r="I12889" s="24"/>
      <c r="J12889" s="24"/>
      <c r="K12889" s="24"/>
      <c r="L12889" s="24"/>
      <c r="M12889" s="24"/>
      <c r="N12889" s="24"/>
      <c r="O12889" s="24"/>
      <c r="P12889" s="24"/>
      <c r="Q12889" s="24"/>
      <c r="R12889" s="24"/>
      <c r="S12889" s="24"/>
      <c r="T12889" s="24"/>
      <c r="U12889" s="24"/>
      <c r="V12889" s="24"/>
      <c r="W12889" s="24"/>
      <c r="X12889" s="24"/>
      <c r="Y12889" s="24"/>
      <c r="Z12889" s="24"/>
      <c r="AA12889" s="24"/>
    </row>
    <row r="12890">
      <c r="A12890" s="24"/>
      <c r="B12890" s="25"/>
      <c r="C12890" s="24"/>
      <c r="D12890" s="26"/>
      <c r="E12890" s="24"/>
      <c r="F12890" s="24"/>
      <c r="G12890" s="24"/>
      <c r="H12890" s="24"/>
      <c r="I12890" s="24"/>
      <c r="J12890" s="24"/>
      <c r="K12890" s="24"/>
      <c r="L12890" s="24"/>
      <c r="M12890" s="24"/>
      <c r="N12890" s="24"/>
      <c r="O12890" s="24"/>
      <c r="P12890" s="24"/>
      <c r="Q12890" s="24"/>
      <c r="R12890" s="24"/>
      <c r="S12890" s="24"/>
      <c r="T12890" s="24"/>
      <c r="U12890" s="24"/>
      <c r="V12890" s="24"/>
      <c r="W12890" s="24"/>
      <c r="X12890" s="24"/>
      <c r="Y12890" s="24"/>
      <c r="Z12890" s="24"/>
      <c r="AA12890" s="24"/>
    </row>
    <row r="12891">
      <c r="A12891" s="24"/>
      <c r="B12891" s="25"/>
      <c r="C12891" s="24"/>
      <c r="D12891" s="26"/>
      <c r="E12891" s="24"/>
      <c r="F12891" s="24"/>
      <c r="G12891" s="24"/>
      <c r="H12891" s="24"/>
      <c r="I12891" s="24"/>
      <c r="J12891" s="24"/>
      <c r="K12891" s="24"/>
      <c r="L12891" s="24"/>
      <c r="M12891" s="24"/>
      <c r="N12891" s="24"/>
      <c r="O12891" s="24"/>
      <c r="P12891" s="24"/>
      <c r="Q12891" s="24"/>
      <c r="R12891" s="24"/>
      <c r="S12891" s="24"/>
      <c r="T12891" s="24"/>
      <c r="U12891" s="24"/>
      <c r="V12891" s="24"/>
      <c r="W12891" s="24"/>
      <c r="X12891" s="24"/>
      <c r="Y12891" s="24"/>
      <c r="Z12891" s="24"/>
      <c r="AA12891" s="24"/>
    </row>
    <row r="12892">
      <c r="A12892" s="24"/>
      <c r="B12892" s="25"/>
      <c r="C12892" s="24"/>
      <c r="D12892" s="26"/>
      <c r="E12892" s="24"/>
      <c r="F12892" s="24"/>
      <c r="G12892" s="24"/>
      <c r="H12892" s="24"/>
      <c r="I12892" s="24"/>
      <c r="J12892" s="24"/>
      <c r="K12892" s="24"/>
      <c r="L12892" s="24"/>
      <c r="M12892" s="24"/>
      <c r="N12892" s="24"/>
      <c r="O12892" s="24"/>
      <c r="P12892" s="24"/>
      <c r="Q12892" s="24"/>
      <c r="R12892" s="24"/>
      <c r="S12892" s="24"/>
      <c r="T12892" s="24"/>
      <c r="U12892" s="24"/>
      <c r="V12892" s="24"/>
      <c r="W12892" s="24"/>
      <c r="X12892" s="24"/>
      <c r="Y12892" s="24"/>
      <c r="Z12892" s="24"/>
      <c r="AA12892" s="24"/>
    </row>
    <row r="12893">
      <c r="A12893" s="24"/>
      <c r="B12893" s="25"/>
      <c r="C12893" s="24"/>
      <c r="D12893" s="26"/>
      <c r="E12893" s="24"/>
      <c r="F12893" s="24"/>
      <c r="G12893" s="24"/>
      <c r="H12893" s="24"/>
      <c r="I12893" s="24"/>
      <c r="J12893" s="24"/>
      <c r="K12893" s="24"/>
      <c r="L12893" s="24"/>
      <c r="M12893" s="24"/>
      <c r="N12893" s="24"/>
      <c r="O12893" s="24"/>
      <c r="P12893" s="24"/>
      <c r="Q12893" s="24"/>
      <c r="R12893" s="24"/>
      <c r="S12893" s="24"/>
      <c r="T12893" s="24"/>
      <c r="U12893" s="24"/>
      <c r="V12893" s="24"/>
      <c r="W12893" s="24"/>
      <c r="X12893" s="24"/>
      <c r="Y12893" s="24"/>
      <c r="Z12893" s="24"/>
      <c r="AA12893" s="24"/>
    </row>
    <row r="12894">
      <c r="A12894" s="24"/>
      <c r="B12894" s="25"/>
      <c r="C12894" s="24"/>
      <c r="D12894" s="26"/>
      <c r="E12894" s="24"/>
      <c r="F12894" s="24"/>
      <c r="G12894" s="24"/>
      <c r="H12894" s="24"/>
      <c r="I12894" s="24"/>
      <c r="J12894" s="24"/>
      <c r="K12894" s="24"/>
      <c r="L12894" s="24"/>
      <c r="M12894" s="24"/>
      <c r="N12894" s="24"/>
      <c r="O12894" s="24"/>
      <c r="P12894" s="24"/>
      <c r="Q12894" s="24"/>
      <c r="R12894" s="24"/>
      <c r="S12894" s="24"/>
      <c r="T12894" s="24"/>
      <c r="U12894" s="24"/>
      <c r="V12894" s="24"/>
      <c r="W12894" s="24"/>
      <c r="X12894" s="24"/>
      <c r="Y12894" s="24"/>
      <c r="Z12894" s="24"/>
      <c r="AA12894" s="24"/>
    </row>
    <row r="12895">
      <c r="A12895" s="24"/>
      <c r="B12895" s="25"/>
      <c r="C12895" s="24"/>
      <c r="D12895" s="26"/>
      <c r="E12895" s="24"/>
      <c r="F12895" s="24"/>
      <c r="G12895" s="24"/>
      <c r="H12895" s="24"/>
      <c r="I12895" s="24"/>
      <c r="J12895" s="24"/>
      <c r="K12895" s="24"/>
      <c r="L12895" s="24"/>
      <c r="M12895" s="24"/>
      <c r="N12895" s="24"/>
      <c r="O12895" s="24"/>
      <c r="P12895" s="24"/>
      <c r="Q12895" s="24"/>
      <c r="R12895" s="24"/>
      <c r="S12895" s="24"/>
      <c r="T12895" s="24"/>
      <c r="U12895" s="24"/>
      <c r="V12895" s="24"/>
      <c r="W12895" s="24"/>
      <c r="X12895" s="24"/>
      <c r="Y12895" s="24"/>
      <c r="Z12895" s="24"/>
      <c r="AA12895" s="24"/>
    </row>
    <row r="12896">
      <c r="A12896" s="24"/>
      <c r="B12896" s="25"/>
      <c r="C12896" s="24"/>
      <c r="D12896" s="26"/>
      <c r="E12896" s="24"/>
      <c r="F12896" s="24"/>
      <c r="G12896" s="24"/>
      <c r="H12896" s="24"/>
      <c r="I12896" s="24"/>
      <c r="J12896" s="24"/>
      <c r="K12896" s="24"/>
      <c r="L12896" s="24"/>
      <c r="M12896" s="24"/>
      <c r="N12896" s="24"/>
      <c r="O12896" s="24"/>
      <c r="P12896" s="24"/>
      <c r="Q12896" s="24"/>
      <c r="R12896" s="24"/>
      <c r="S12896" s="24"/>
      <c r="T12896" s="24"/>
      <c r="U12896" s="24"/>
      <c r="V12896" s="24"/>
      <c r="W12896" s="24"/>
      <c r="X12896" s="24"/>
      <c r="Y12896" s="24"/>
      <c r="Z12896" s="24"/>
      <c r="AA12896" s="24"/>
    </row>
    <row r="12897">
      <c r="A12897" s="24"/>
      <c r="B12897" s="25"/>
      <c r="C12897" s="24"/>
      <c r="D12897" s="26"/>
      <c r="E12897" s="24"/>
      <c r="F12897" s="24"/>
      <c r="G12897" s="24"/>
      <c r="H12897" s="24"/>
      <c r="I12897" s="24"/>
      <c r="J12897" s="24"/>
      <c r="K12897" s="24"/>
      <c r="L12897" s="24"/>
      <c r="M12897" s="24"/>
      <c r="N12897" s="24"/>
      <c r="O12897" s="24"/>
      <c r="P12897" s="24"/>
      <c r="Q12897" s="24"/>
      <c r="R12897" s="24"/>
      <c r="S12897" s="24"/>
      <c r="T12897" s="24"/>
      <c r="U12897" s="24"/>
      <c r="V12897" s="24"/>
      <c r="W12897" s="24"/>
      <c r="X12897" s="24"/>
      <c r="Y12897" s="24"/>
      <c r="Z12897" s="24"/>
      <c r="AA12897" s="24"/>
    </row>
    <row r="12898">
      <c r="A12898" s="24"/>
      <c r="B12898" s="25"/>
      <c r="C12898" s="24"/>
      <c r="D12898" s="26"/>
      <c r="E12898" s="24"/>
      <c r="F12898" s="24"/>
      <c r="G12898" s="24"/>
      <c r="H12898" s="24"/>
      <c r="I12898" s="24"/>
      <c r="J12898" s="24"/>
      <c r="K12898" s="24"/>
      <c r="L12898" s="24"/>
      <c r="M12898" s="24"/>
      <c r="N12898" s="24"/>
      <c r="O12898" s="24"/>
      <c r="P12898" s="24"/>
      <c r="Q12898" s="24"/>
      <c r="R12898" s="24"/>
      <c r="S12898" s="24"/>
      <c r="T12898" s="24"/>
      <c r="U12898" s="24"/>
      <c r="V12898" s="24"/>
      <c r="W12898" s="24"/>
      <c r="X12898" s="24"/>
      <c r="Y12898" s="24"/>
      <c r="Z12898" s="24"/>
      <c r="AA12898" s="24"/>
    </row>
    <row r="12899">
      <c r="A12899" s="24"/>
      <c r="B12899" s="25"/>
      <c r="C12899" s="24"/>
      <c r="D12899" s="26"/>
      <c r="E12899" s="24"/>
      <c r="F12899" s="24"/>
      <c r="G12899" s="24"/>
      <c r="H12899" s="24"/>
      <c r="I12899" s="24"/>
      <c r="J12899" s="24"/>
      <c r="K12899" s="24"/>
      <c r="L12899" s="24"/>
      <c r="M12899" s="24"/>
      <c r="N12899" s="24"/>
      <c r="O12899" s="24"/>
      <c r="P12899" s="24"/>
      <c r="Q12899" s="24"/>
      <c r="R12899" s="24"/>
      <c r="S12899" s="24"/>
      <c r="T12899" s="24"/>
      <c r="U12899" s="24"/>
      <c r="V12899" s="24"/>
      <c r="W12899" s="24"/>
      <c r="X12899" s="24"/>
      <c r="Y12899" s="24"/>
      <c r="Z12899" s="24"/>
      <c r="AA12899" s="24"/>
    </row>
    <row r="12900">
      <c r="A12900" s="24"/>
      <c r="B12900" s="25"/>
      <c r="C12900" s="24"/>
      <c r="D12900" s="26"/>
      <c r="E12900" s="24"/>
      <c r="F12900" s="24"/>
      <c r="G12900" s="24"/>
      <c r="H12900" s="24"/>
      <c r="I12900" s="24"/>
      <c r="J12900" s="24"/>
      <c r="K12900" s="24"/>
      <c r="L12900" s="24"/>
      <c r="M12900" s="24"/>
      <c r="N12900" s="24"/>
      <c r="O12900" s="24"/>
      <c r="P12900" s="24"/>
      <c r="Q12900" s="24"/>
      <c r="R12900" s="24"/>
      <c r="S12900" s="24"/>
      <c r="T12900" s="24"/>
      <c r="U12900" s="24"/>
      <c r="V12900" s="24"/>
      <c r="W12900" s="24"/>
      <c r="X12900" s="24"/>
      <c r="Y12900" s="24"/>
      <c r="Z12900" s="24"/>
      <c r="AA12900" s="24"/>
    </row>
    <row r="12901">
      <c r="A12901" s="24"/>
      <c r="B12901" s="25"/>
      <c r="C12901" s="24"/>
      <c r="D12901" s="26"/>
      <c r="E12901" s="24"/>
      <c r="F12901" s="24"/>
      <c r="G12901" s="24"/>
      <c r="H12901" s="24"/>
      <c r="I12901" s="24"/>
      <c r="J12901" s="24"/>
      <c r="K12901" s="24"/>
      <c r="L12901" s="24"/>
      <c r="M12901" s="24"/>
      <c r="N12901" s="24"/>
      <c r="O12901" s="24"/>
      <c r="P12901" s="24"/>
      <c r="Q12901" s="24"/>
      <c r="R12901" s="24"/>
      <c r="S12901" s="24"/>
      <c r="T12901" s="24"/>
      <c r="U12901" s="24"/>
      <c r="V12901" s="24"/>
      <c r="W12901" s="24"/>
      <c r="X12901" s="24"/>
      <c r="Y12901" s="24"/>
      <c r="Z12901" s="24"/>
      <c r="AA12901" s="24"/>
    </row>
    <row r="12902">
      <c r="A12902" s="24"/>
      <c r="B12902" s="25"/>
      <c r="C12902" s="24"/>
      <c r="D12902" s="26"/>
      <c r="E12902" s="24"/>
      <c r="F12902" s="24"/>
      <c r="G12902" s="24"/>
      <c r="H12902" s="24"/>
      <c r="I12902" s="24"/>
      <c r="J12902" s="24"/>
      <c r="K12902" s="24"/>
      <c r="L12902" s="24"/>
      <c r="M12902" s="24"/>
      <c r="N12902" s="24"/>
      <c r="O12902" s="24"/>
      <c r="P12902" s="24"/>
      <c r="Q12902" s="24"/>
      <c r="R12902" s="24"/>
      <c r="S12902" s="24"/>
      <c r="T12902" s="24"/>
      <c r="U12902" s="24"/>
      <c r="V12902" s="24"/>
      <c r="W12902" s="24"/>
      <c r="X12902" s="24"/>
      <c r="Y12902" s="24"/>
      <c r="Z12902" s="24"/>
      <c r="AA12902" s="24"/>
    </row>
    <row r="12903">
      <c r="A12903" s="24"/>
      <c r="B12903" s="25"/>
      <c r="C12903" s="24"/>
      <c r="D12903" s="26"/>
      <c r="E12903" s="24"/>
      <c r="F12903" s="24"/>
      <c r="G12903" s="24"/>
      <c r="H12903" s="24"/>
      <c r="I12903" s="24"/>
      <c r="J12903" s="24"/>
      <c r="K12903" s="24"/>
      <c r="L12903" s="24"/>
      <c r="M12903" s="24"/>
      <c r="N12903" s="24"/>
      <c r="O12903" s="24"/>
      <c r="P12903" s="24"/>
      <c r="Q12903" s="24"/>
      <c r="R12903" s="24"/>
      <c r="S12903" s="24"/>
      <c r="T12903" s="24"/>
      <c r="U12903" s="24"/>
      <c r="V12903" s="24"/>
      <c r="W12903" s="24"/>
      <c r="X12903" s="24"/>
      <c r="Y12903" s="24"/>
      <c r="Z12903" s="24"/>
      <c r="AA12903" s="24"/>
    </row>
    <row r="12904">
      <c r="A12904" s="24"/>
      <c r="B12904" s="25"/>
      <c r="C12904" s="24"/>
      <c r="D12904" s="26"/>
      <c r="E12904" s="24"/>
      <c r="F12904" s="24"/>
      <c r="G12904" s="24"/>
      <c r="H12904" s="24"/>
      <c r="I12904" s="24"/>
      <c r="J12904" s="24"/>
      <c r="K12904" s="24"/>
      <c r="L12904" s="24"/>
      <c r="M12904" s="24"/>
      <c r="N12904" s="24"/>
      <c r="O12904" s="24"/>
      <c r="P12904" s="24"/>
      <c r="Q12904" s="24"/>
      <c r="R12904" s="24"/>
      <c r="S12904" s="24"/>
      <c r="T12904" s="24"/>
      <c r="U12904" s="24"/>
      <c r="V12904" s="24"/>
      <c r="W12904" s="24"/>
      <c r="X12904" s="24"/>
      <c r="Y12904" s="24"/>
      <c r="Z12904" s="24"/>
      <c r="AA12904" s="24"/>
    </row>
    <row r="12905">
      <c r="A12905" s="24"/>
      <c r="B12905" s="25"/>
      <c r="C12905" s="24"/>
      <c r="D12905" s="26"/>
      <c r="E12905" s="24"/>
      <c r="F12905" s="24"/>
      <c r="G12905" s="24"/>
      <c r="H12905" s="24"/>
      <c r="I12905" s="24"/>
      <c r="J12905" s="24"/>
      <c r="K12905" s="24"/>
      <c r="L12905" s="24"/>
      <c r="M12905" s="24"/>
      <c r="N12905" s="24"/>
      <c r="O12905" s="24"/>
      <c r="P12905" s="24"/>
      <c r="Q12905" s="24"/>
      <c r="R12905" s="24"/>
      <c r="S12905" s="24"/>
      <c r="T12905" s="24"/>
      <c r="U12905" s="24"/>
      <c r="V12905" s="24"/>
      <c r="W12905" s="24"/>
      <c r="X12905" s="24"/>
      <c r="Y12905" s="24"/>
      <c r="Z12905" s="24"/>
      <c r="AA12905" s="24"/>
    </row>
    <row r="12906">
      <c r="A12906" s="24"/>
      <c r="B12906" s="25"/>
      <c r="C12906" s="24"/>
      <c r="D12906" s="26"/>
      <c r="E12906" s="24"/>
      <c r="F12906" s="24"/>
      <c r="G12906" s="24"/>
      <c r="H12906" s="24"/>
      <c r="I12906" s="24"/>
      <c r="J12906" s="24"/>
      <c r="K12906" s="24"/>
      <c r="L12906" s="24"/>
      <c r="M12906" s="24"/>
      <c r="N12906" s="24"/>
      <c r="O12906" s="24"/>
      <c r="P12906" s="24"/>
      <c r="Q12906" s="24"/>
      <c r="R12906" s="24"/>
      <c r="S12906" s="24"/>
      <c r="T12906" s="24"/>
      <c r="U12906" s="24"/>
      <c r="V12906" s="24"/>
      <c r="W12906" s="24"/>
      <c r="X12906" s="24"/>
      <c r="Y12906" s="24"/>
      <c r="Z12906" s="24"/>
      <c r="AA12906" s="24"/>
    </row>
    <row r="12907">
      <c r="A12907" s="24"/>
      <c r="B12907" s="25"/>
      <c r="C12907" s="24"/>
      <c r="D12907" s="26"/>
      <c r="E12907" s="24"/>
      <c r="F12907" s="24"/>
      <c r="G12907" s="24"/>
      <c r="H12907" s="24"/>
      <c r="I12907" s="24"/>
      <c r="J12907" s="24"/>
      <c r="K12907" s="24"/>
      <c r="L12907" s="24"/>
      <c r="M12907" s="24"/>
      <c r="N12907" s="24"/>
      <c r="O12907" s="24"/>
      <c r="P12907" s="24"/>
      <c r="Q12907" s="24"/>
      <c r="R12907" s="24"/>
      <c r="S12907" s="24"/>
      <c r="T12907" s="24"/>
      <c r="U12907" s="24"/>
      <c r="V12907" s="24"/>
      <c r="W12907" s="24"/>
      <c r="X12907" s="24"/>
      <c r="Y12907" s="24"/>
      <c r="Z12907" s="24"/>
      <c r="AA12907" s="24"/>
    </row>
    <row r="12908">
      <c r="A12908" s="24"/>
      <c r="B12908" s="25"/>
      <c r="C12908" s="24"/>
      <c r="D12908" s="26"/>
      <c r="E12908" s="24"/>
      <c r="F12908" s="24"/>
      <c r="G12908" s="24"/>
      <c r="H12908" s="24"/>
      <c r="I12908" s="24"/>
      <c r="J12908" s="24"/>
      <c r="K12908" s="24"/>
      <c r="L12908" s="24"/>
      <c r="M12908" s="24"/>
      <c r="N12908" s="24"/>
      <c r="O12908" s="24"/>
      <c r="P12908" s="24"/>
      <c r="Q12908" s="24"/>
      <c r="R12908" s="24"/>
      <c r="S12908" s="24"/>
      <c r="T12908" s="24"/>
      <c r="U12908" s="24"/>
      <c r="V12908" s="24"/>
      <c r="W12908" s="24"/>
      <c r="X12908" s="24"/>
      <c r="Y12908" s="24"/>
      <c r="Z12908" s="24"/>
      <c r="AA12908" s="24"/>
    </row>
    <row r="12909">
      <c r="A12909" s="24"/>
      <c r="B12909" s="25"/>
      <c r="C12909" s="24"/>
      <c r="D12909" s="26"/>
      <c r="E12909" s="24"/>
      <c r="F12909" s="24"/>
      <c r="G12909" s="24"/>
      <c r="H12909" s="24"/>
      <c r="I12909" s="24"/>
      <c r="J12909" s="24"/>
      <c r="K12909" s="24"/>
      <c r="L12909" s="24"/>
      <c r="M12909" s="24"/>
      <c r="N12909" s="24"/>
      <c r="O12909" s="24"/>
      <c r="P12909" s="24"/>
      <c r="Q12909" s="24"/>
      <c r="R12909" s="24"/>
      <c r="S12909" s="24"/>
      <c r="T12909" s="24"/>
      <c r="U12909" s="24"/>
      <c r="V12909" s="24"/>
      <c r="W12909" s="24"/>
      <c r="X12909" s="24"/>
      <c r="Y12909" s="24"/>
      <c r="Z12909" s="24"/>
      <c r="AA12909" s="24"/>
    </row>
    <row r="12910">
      <c r="A12910" s="24"/>
      <c r="B12910" s="25"/>
      <c r="C12910" s="24"/>
      <c r="D12910" s="26"/>
      <c r="E12910" s="24"/>
      <c r="F12910" s="24"/>
      <c r="G12910" s="24"/>
      <c r="H12910" s="24"/>
      <c r="I12910" s="24"/>
      <c r="J12910" s="24"/>
      <c r="K12910" s="24"/>
      <c r="L12910" s="24"/>
      <c r="M12910" s="24"/>
      <c r="N12910" s="24"/>
      <c r="O12910" s="24"/>
      <c r="P12910" s="24"/>
      <c r="Q12910" s="24"/>
      <c r="R12910" s="24"/>
      <c r="S12910" s="24"/>
      <c r="T12910" s="24"/>
      <c r="U12910" s="24"/>
      <c r="V12910" s="24"/>
      <c r="W12910" s="24"/>
      <c r="X12910" s="24"/>
      <c r="Y12910" s="24"/>
      <c r="Z12910" s="24"/>
      <c r="AA12910" s="24"/>
    </row>
    <row r="12911">
      <c r="A12911" s="24"/>
      <c r="B12911" s="25"/>
      <c r="C12911" s="24"/>
      <c r="D12911" s="26"/>
      <c r="E12911" s="24"/>
      <c r="F12911" s="24"/>
      <c r="G12911" s="24"/>
      <c r="H12911" s="24"/>
      <c r="I12911" s="24"/>
      <c r="J12911" s="24"/>
      <c r="K12911" s="24"/>
      <c r="L12911" s="24"/>
      <c r="M12911" s="24"/>
      <c r="N12911" s="24"/>
      <c r="O12911" s="24"/>
      <c r="P12911" s="24"/>
      <c r="Q12911" s="24"/>
      <c r="R12911" s="24"/>
      <c r="S12911" s="24"/>
      <c r="T12911" s="24"/>
      <c r="U12911" s="24"/>
      <c r="V12911" s="24"/>
      <c r="W12911" s="24"/>
      <c r="X12911" s="24"/>
      <c r="Y12911" s="24"/>
      <c r="Z12911" s="24"/>
      <c r="AA12911" s="24"/>
    </row>
    <row r="12912">
      <c r="A12912" s="24"/>
      <c r="B12912" s="25"/>
      <c r="C12912" s="24"/>
      <c r="D12912" s="26"/>
      <c r="E12912" s="24"/>
      <c r="F12912" s="24"/>
      <c r="G12912" s="24"/>
      <c r="H12912" s="24"/>
      <c r="I12912" s="24"/>
      <c r="J12912" s="24"/>
      <c r="K12912" s="24"/>
      <c r="L12912" s="24"/>
      <c r="M12912" s="24"/>
      <c r="N12912" s="24"/>
      <c r="O12912" s="24"/>
      <c r="P12912" s="24"/>
      <c r="Q12912" s="24"/>
      <c r="R12912" s="24"/>
      <c r="S12912" s="24"/>
      <c r="T12912" s="24"/>
      <c r="U12912" s="24"/>
      <c r="V12912" s="24"/>
      <c r="W12912" s="24"/>
      <c r="X12912" s="24"/>
      <c r="Y12912" s="24"/>
      <c r="Z12912" s="24"/>
      <c r="AA12912" s="24"/>
    </row>
    <row r="12913">
      <c r="A12913" s="24"/>
      <c r="B12913" s="25"/>
      <c r="C12913" s="24"/>
      <c r="D12913" s="26"/>
      <c r="E12913" s="24"/>
      <c r="F12913" s="24"/>
      <c r="G12913" s="24"/>
      <c r="H12913" s="24"/>
      <c r="I12913" s="24"/>
      <c r="J12913" s="24"/>
      <c r="K12913" s="24"/>
      <c r="L12913" s="24"/>
      <c r="M12913" s="24"/>
      <c r="N12913" s="24"/>
      <c r="O12913" s="24"/>
      <c r="P12913" s="24"/>
      <c r="Q12913" s="24"/>
      <c r="R12913" s="24"/>
      <c r="S12913" s="24"/>
      <c r="T12913" s="24"/>
      <c r="U12913" s="24"/>
      <c r="V12913" s="24"/>
      <c r="W12913" s="24"/>
      <c r="X12913" s="24"/>
      <c r="Y12913" s="24"/>
      <c r="Z12913" s="24"/>
      <c r="AA12913" s="24"/>
    </row>
    <row r="12914">
      <c r="A12914" s="24"/>
      <c r="B12914" s="25"/>
      <c r="C12914" s="24"/>
      <c r="D12914" s="26"/>
      <c r="E12914" s="24"/>
      <c r="F12914" s="24"/>
      <c r="G12914" s="24"/>
      <c r="H12914" s="24"/>
      <c r="I12914" s="24"/>
      <c r="J12914" s="24"/>
      <c r="K12914" s="24"/>
      <c r="L12914" s="24"/>
      <c r="M12914" s="24"/>
      <c r="N12914" s="24"/>
      <c r="O12914" s="24"/>
      <c r="P12914" s="24"/>
      <c r="Q12914" s="24"/>
      <c r="R12914" s="24"/>
      <c r="S12914" s="24"/>
      <c r="T12914" s="24"/>
      <c r="U12914" s="24"/>
      <c r="V12914" s="24"/>
      <c r="W12914" s="24"/>
      <c r="X12914" s="24"/>
      <c r="Y12914" s="24"/>
      <c r="Z12914" s="24"/>
      <c r="AA12914" s="24"/>
    </row>
    <row r="12915">
      <c r="A12915" s="24"/>
      <c r="B12915" s="25"/>
      <c r="C12915" s="24"/>
      <c r="D12915" s="26"/>
      <c r="E12915" s="24"/>
      <c r="F12915" s="24"/>
      <c r="G12915" s="24"/>
      <c r="H12915" s="24"/>
      <c r="I12915" s="24"/>
      <c r="J12915" s="24"/>
      <c r="K12915" s="24"/>
      <c r="L12915" s="24"/>
      <c r="M12915" s="24"/>
      <c r="N12915" s="24"/>
      <c r="O12915" s="24"/>
      <c r="P12915" s="24"/>
      <c r="Q12915" s="24"/>
      <c r="R12915" s="24"/>
      <c r="S12915" s="24"/>
      <c r="T12915" s="24"/>
      <c r="U12915" s="24"/>
      <c r="V12915" s="24"/>
      <c r="W12915" s="24"/>
      <c r="X12915" s="24"/>
      <c r="Y12915" s="24"/>
      <c r="Z12915" s="24"/>
      <c r="AA12915" s="24"/>
    </row>
    <row r="12916">
      <c r="A12916" s="24"/>
      <c r="B12916" s="25"/>
      <c r="C12916" s="24"/>
      <c r="D12916" s="26"/>
      <c r="E12916" s="24"/>
      <c r="F12916" s="24"/>
      <c r="G12916" s="24"/>
      <c r="H12916" s="24"/>
      <c r="I12916" s="24"/>
      <c r="J12916" s="24"/>
      <c r="K12916" s="24"/>
      <c r="L12916" s="24"/>
      <c r="M12916" s="24"/>
      <c r="N12916" s="24"/>
      <c r="O12916" s="24"/>
      <c r="P12916" s="24"/>
      <c r="Q12916" s="24"/>
      <c r="R12916" s="24"/>
      <c r="S12916" s="24"/>
      <c r="T12916" s="24"/>
      <c r="U12916" s="24"/>
      <c r="V12916" s="24"/>
      <c r="W12916" s="24"/>
      <c r="X12916" s="24"/>
      <c r="Y12916" s="24"/>
      <c r="Z12916" s="24"/>
      <c r="AA12916" s="24"/>
    </row>
    <row r="12917">
      <c r="A12917" s="24"/>
      <c r="B12917" s="25"/>
      <c r="C12917" s="24"/>
      <c r="D12917" s="26"/>
      <c r="E12917" s="24"/>
      <c r="F12917" s="24"/>
      <c r="G12917" s="24"/>
      <c r="H12917" s="24"/>
      <c r="I12917" s="24"/>
      <c r="J12917" s="24"/>
      <c r="K12917" s="24"/>
      <c r="L12917" s="24"/>
      <c r="M12917" s="24"/>
      <c r="N12917" s="24"/>
      <c r="O12917" s="24"/>
      <c r="P12917" s="24"/>
      <c r="Q12917" s="24"/>
      <c r="R12917" s="24"/>
      <c r="S12917" s="24"/>
      <c r="T12917" s="24"/>
      <c r="U12917" s="24"/>
      <c r="V12917" s="24"/>
      <c r="W12917" s="24"/>
      <c r="X12917" s="24"/>
      <c r="Y12917" s="24"/>
      <c r="Z12917" s="24"/>
      <c r="AA12917" s="24"/>
    </row>
    <row r="12918">
      <c r="A12918" s="24"/>
      <c r="B12918" s="25"/>
      <c r="C12918" s="24"/>
      <c r="D12918" s="26"/>
      <c r="E12918" s="24"/>
      <c r="F12918" s="24"/>
      <c r="G12918" s="24"/>
      <c r="H12918" s="24"/>
      <c r="I12918" s="24"/>
      <c r="J12918" s="24"/>
      <c r="K12918" s="24"/>
      <c r="L12918" s="24"/>
      <c r="M12918" s="24"/>
      <c r="N12918" s="24"/>
      <c r="O12918" s="24"/>
      <c r="P12918" s="24"/>
      <c r="Q12918" s="24"/>
      <c r="R12918" s="24"/>
      <c r="S12918" s="24"/>
      <c r="T12918" s="24"/>
      <c r="U12918" s="24"/>
      <c r="V12918" s="24"/>
      <c r="W12918" s="24"/>
      <c r="X12918" s="24"/>
      <c r="Y12918" s="24"/>
      <c r="Z12918" s="24"/>
      <c r="AA12918" s="24"/>
    </row>
    <row r="12919">
      <c r="A12919" s="24"/>
      <c r="B12919" s="25"/>
      <c r="C12919" s="24"/>
      <c r="D12919" s="26"/>
      <c r="E12919" s="24"/>
      <c r="F12919" s="24"/>
      <c r="G12919" s="24"/>
      <c r="H12919" s="24"/>
      <c r="I12919" s="24"/>
      <c r="J12919" s="24"/>
      <c r="K12919" s="24"/>
      <c r="L12919" s="24"/>
      <c r="M12919" s="24"/>
      <c r="N12919" s="24"/>
      <c r="O12919" s="24"/>
      <c r="P12919" s="24"/>
      <c r="Q12919" s="24"/>
      <c r="R12919" s="24"/>
      <c r="S12919" s="24"/>
      <c r="T12919" s="24"/>
      <c r="U12919" s="24"/>
      <c r="V12919" s="24"/>
      <c r="W12919" s="24"/>
      <c r="X12919" s="24"/>
      <c r="Y12919" s="24"/>
      <c r="Z12919" s="24"/>
      <c r="AA12919" s="24"/>
    </row>
    <row r="12920">
      <c r="A12920" s="24"/>
      <c r="B12920" s="25"/>
      <c r="C12920" s="24"/>
      <c r="D12920" s="26"/>
      <c r="E12920" s="24"/>
      <c r="F12920" s="24"/>
      <c r="G12920" s="24"/>
      <c r="H12920" s="24"/>
      <c r="I12920" s="24"/>
      <c r="J12920" s="24"/>
      <c r="K12920" s="24"/>
      <c r="L12920" s="24"/>
      <c r="M12920" s="24"/>
      <c r="N12920" s="24"/>
      <c r="O12920" s="24"/>
      <c r="P12920" s="24"/>
      <c r="Q12920" s="24"/>
      <c r="R12920" s="24"/>
      <c r="S12920" s="24"/>
      <c r="T12920" s="24"/>
      <c r="U12920" s="24"/>
      <c r="V12920" s="24"/>
      <c r="W12920" s="24"/>
      <c r="X12920" s="24"/>
      <c r="Y12920" s="24"/>
      <c r="Z12920" s="24"/>
      <c r="AA12920" s="24"/>
    </row>
    <row r="12921">
      <c r="A12921" s="24"/>
      <c r="B12921" s="25"/>
      <c r="C12921" s="24"/>
      <c r="D12921" s="26"/>
      <c r="E12921" s="24"/>
      <c r="F12921" s="24"/>
      <c r="G12921" s="24"/>
      <c r="H12921" s="24"/>
      <c r="I12921" s="24"/>
      <c r="J12921" s="24"/>
      <c r="K12921" s="24"/>
      <c r="L12921" s="24"/>
      <c r="M12921" s="24"/>
      <c r="N12921" s="24"/>
      <c r="O12921" s="24"/>
      <c r="P12921" s="24"/>
      <c r="Q12921" s="24"/>
      <c r="R12921" s="24"/>
      <c r="S12921" s="24"/>
      <c r="T12921" s="24"/>
      <c r="U12921" s="24"/>
      <c r="V12921" s="24"/>
      <c r="W12921" s="24"/>
      <c r="X12921" s="24"/>
      <c r="Y12921" s="24"/>
      <c r="Z12921" s="24"/>
      <c r="AA12921" s="24"/>
    </row>
    <row r="12922">
      <c r="A12922" s="24"/>
      <c r="B12922" s="25"/>
      <c r="C12922" s="24"/>
      <c r="D12922" s="26"/>
      <c r="E12922" s="24"/>
      <c r="F12922" s="24"/>
      <c r="G12922" s="24"/>
      <c r="H12922" s="24"/>
      <c r="I12922" s="24"/>
      <c r="J12922" s="24"/>
      <c r="K12922" s="24"/>
      <c r="L12922" s="24"/>
      <c r="M12922" s="24"/>
      <c r="N12922" s="24"/>
      <c r="O12922" s="24"/>
      <c r="P12922" s="24"/>
      <c r="Q12922" s="24"/>
      <c r="R12922" s="24"/>
      <c r="S12922" s="24"/>
      <c r="T12922" s="24"/>
      <c r="U12922" s="24"/>
      <c r="V12922" s="24"/>
      <c r="W12922" s="24"/>
      <c r="X12922" s="24"/>
      <c r="Y12922" s="24"/>
      <c r="Z12922" s="24"/>
      <c r="AA12922" s="24"/>
    </row>
    <row r="12923">
      <c r="A12923" s="24"/>
      <c r="B12923" s="25"/>
      <c r="C12923" s="24"/>
      <c r="D12923" s="26"/>
      <c r="E12923" s="24"/>
      <c r="F12923" s="24"/>
      <c r="G12923" s="24"/>
      <c r="H12923" s="24"/>
      <c r="I12923" s="24"/>
      <c r="J12923" s="24"/>
      <c r="K12923" s="24"/>
      <c r="L12923" s="24"/>
      <c r="M12923" s="24"/>
      <c r="N12923" s="24"/>
      <c r="O12923" s="24"/>
      <c r="P12923" s="24"/>
      <c r="Q12923" s="24"/>
      <c r="R12923" s="24"/>
      <c r="S12923" s="24"/>
      <c r="T12923" s="24"/>
      <c r="U12923" s="24"/>
      <c r="V12923" s="24"/>
      <c r="W12923" s="24"/>
      <c r="X12923" s="24"/>
      <c r="Y12923" s="24"/>
      <c r="Z12923" s="24"/>
      <c r="AA12923" s="24"/>
    </row>
    <row r="12924">
      <c r="A12924" s="24"/>
      <c r="B12924" s="25"/>
      <c r="C12924" s="24"/>
      <c r="D12924" s="26"/>
      <c r="E12924" s="24"/>
      <c r="F12924" s="24"/>
      <c r="G12924" s="24"/>
      <c r="H12924" s="24"/>
      <c r="I12924" s="24"/>
      <c r="J12924" s="24"/>
      <c r="K12924" s="24"/>
      <c r="L12924" s="24"/>
      <c r="M12924" s="24"/>
      <c r="N12924" s="24"/>
      <c r="O12924" s="24"/>
      <c r="P12924" s="24"/>
      <c r="Q12924" s="24"/>
      <c r="R12924" s="24"/>
      <c r="S12924" s="24"/>
      <c r="T12924" s="24"/>
      <c r="U12924" s="24"/>
      <c r="V12924" s="24"/>
      <c r="W12924" s="24"/>
      <c r="X12924" s="24"/>
      <c r="Y12924" s="24"/>
      <c r="Z12924" s="24"/>
      <c r="AA12924" s="24"/>
    </row>
    <row r="12925">
      <c r="A12925" s="24"/>
      <c r="B12925" s="25"/>
      <c r="C12925" s="24"/>
      <c r="D12925" s="26"/>
      <c r="E12925" s="24"/>
      <c r="F12925" s="24"/>
      <c r="G12925" s="24"/>
      <c r="H12925" s="24"/>
      <c r="I12925" s="24"/>
      <c r="J12925" s="24"/>
      <c r="K12925" s="24"/>
      <c r="L12925" s="24"/>
      <c r="M12925" s="24"/>
      <c r="N12925" s="24"/>
      <c r="O12925" s="24"/>
      <c r="P12925" s="24"/>
      <c r="Q12925" s="24"/>
      <c r="R12925" s="24"/>
      <c r="S12925" s="24"/>
      <c r="T12925" s="24"/>
      <c r="U12925" s="24"/>
      <c r="V12925" s="24"/>
      <c r="W12925" s="24"/>
      <c r="X12925" s="24"/>
      <c r="Y12925" s="24"/>
      <c r="Z12925" s="24"/>
      <c r="AA12925" s="24"/>
    </row>
    <row r="12926">
      <c r="A12926" s="24"/>
      <c r="B12926" s="25"/>
      <c r="C12926" s="24"/>
      <c r="D12926" s="26"/>
      <c r="E12926" s="24"/>
      <c r="F12926" s="24"/>
      <c r="G12926" s="24"/>
      <c r="H12926" s="24"/>
      <c r="I12926" s="24"/>
      <c r="J12926" s="24"/>
      <c r="K12926" s="24"/>
      <c r="L12926" s="24"/>
      <c r="M12926" s="24"/>
      <c r="N12926" s="24"/>
      <c r="O12926" s="24"/>
      <c r="P12926" s="24"/>
      <c r="Q12926" s="24"/>
      <c r="R12926" s="24"/>
      <c r="S12926" s="24"/>
      <c r="T12926" s="24"/>
      <c r="U12926" s="24"/>
      <c r="V12926" s="24"/>
      <c r="W12926" s="24"/>
      <c r="X12926" s="24"/>
      <c r="Y12926" s="24"/>
      <c r="Z12926" s="24"/>
      <c r="AA12926" s="24"/>
    </row>
    <row r="12927">
      <c r="A12927" s="24"/>
      <c r="B12927" s="25"/>
      <c r="C12927" s="24"/>
      <c r="D12927" s="26"/>
      <c r="E12927" s="24"/>
      <c r="F12927" s="24"/>
      <c r="G12927" s="24"/>
      <c r="H12927" s="24"/>
      <c r="I12927" s="24"/>
      <c r="J12927" s="24"/>
      <c r="K12927" s="24"/>
      <c r="L12927" s="24"/>
      <c r="M12927" s="24"/>
      <c r="N12927" s="24"/>
      <c r="O12927" s="24"/>
      <c r="P12927" s="24"/>
      <c r="Q12927" s="24"/>
      <c r="R12927" s="24"/>
      <c r="S12927" s="24"/>
      <c r="T12927" s="24"/>
      <c r="U12927" s="24"/>
      <c r="V12927" s="24"/>
      <c r="W12927" s="24"/>
      <c r="X12927" s="24"/>
      <c r="Y12927" s="24"/>
      <c r="Z12927" s="24"/>
      <c r="AA12927" s="24"/>
    </row>
    <row r="12928">
      <c r="A12928" s="24"/>
      <c r="B12928" s="25"/>
      <c r="C12928" s="24"/>
      <c r="D12928" s="26"/>
      <c r="E12928" s="24"/>
      <c r="F12928" s="24"/>
      <c r="G12928" s="24"/>
      <c r="H12928" s="24"/>
      <c r="I12928" s="24"/>
      <c r="J12928" s="24"/>
      <c r="K12928" s="24"/>
      <c r="L12928" s="24"/>
      <c r="M12928" s="24"/>
      <c r="N12928" s="24"/>
      <c r="O12928" s="24"/>
      <c r="P12928" s="24"/>
      <c r="Q12928" s="24"/>
      <c r="R12928" s="24"/>
      <c r="S12928" s="24"/>
      <c r="T12928" s="24"/>
      <c r="U12928" s="24"/>
      <c r="V12928" s="24"/>
      <c r="W12928" s="24"/>
      <c r="X12928" s="24"/>
      <c r="Y12928" s="24"/>
      <c r="Z12928" s="24"/>
      <c r="AA12928" s="24"/>
    </row>
    <row r="12929">
      <c r="A12929" s="24"/>
      <c r="B12929" s="25"/>
      <c r="C12929" s="24"/>
      <c r="D12929" s="26"/>
      <c r="E12929" s="24"/>
      <c r="F12929" s="24"/>
      <c r="G12929" s="24"/>
      <c r="H12929" s="24"/>
      <c r="I12929" s="24"/>
      <c r="J12929" s="24"/>
      <c r="K12929" s="24"/>
      <c r="L12929" s="24"/>
      <c r="M12929" s="24"/>
      <c r="N12929" s="24"/>
      <c r="O12929" s="24"/>
      <c r="P12929" s="24"/>
      <c r="Q12929" s="24"/>
      <c r="R12929" s="24"/>
      <c r="S12929" s="24"/>
      <c r="T12929" s="24"/>
      <c r="U12929" s="24"/>
      <c r="V12929" s="24"/>
      <c r="W12929" s="24"/>
      <c r="X12929" s="24"/>
      <c r="Y12929" s="24"/>
      <c r="Z12929" s="24"/>
      <c r="AA12929" s="24"/>
    </row>
    <row r="12930">
      <c r="A12930" s="24"/>
      <c r="B12930" s="25"/>
      <c r="C12930" s="24"/>
      <c r="D12930" s="26"/>
      <c r="E12930" s="24"/>
      <c r="F12930" s="24"/>
      <c r="G12930" s="24"/>
      <c r="H12930" s="24"/>
      <c r="I12930" s="24"/>
      <c r="J12930" s="24"/>
      <c r="K12930" s="24"/>
      <c r="L12930" s="24"/>
      <c r="M12930" s="24"/>
      <c r="N12930" s="24"/>
      <c r="O12930" s="24"/>
      <c r="P12930" s="24"/>
      <c r="Q12930" s="24"/>
      <c r="R12930" s="24"/>
      <c r="S12930" s="24"/>
      <c r="T12930" s="24"/>
      <c r="U12930" s="24"/>
      <c r="V12930" s="24"/>
      <c r="W12930" s="24"/>
      <c r="X12930" s="24"/>
      <c r="Y12930" s="24"/>
      <c r="Z12930" s="24"/>
      <c r="AA12930" s="24"/>
    </row>
    <row r="12931">
      <c r="A12931" s="24"/>
      <c r="B12931" s="25"/>
      <c r="C12931" s="24"/>
      <c r="D12931" s="26"/>
      <c r="E12931" s="24"/>
      <c r="F12931" s="24"/>
      <c r="G12931" s="24"/>
      <c r="H12931" s="24"/>
      <c r="I12931" s="24"/>
      <c r="J12931" s="24"/>
      <c r="K12931" s="24"/>
      <c r="L12931" s="24"/>
      <c r="M12931" s="24"/>
      <c r="N12931" s="24"/>
      <c r="O12931" s="24"/>
      <c r="P12931" s="24"/>
      <c r="Q12931" s="24"/>
      <c r="R12931" s="24"/>
      <c r="S12931" s="24"/>
      <c r="T12931" s="24"/>
      <c r="U12931" s="24"/>
      <c r="V12931" s="24"/>
      <c r="W12931" s="24"/>
      <c r="X12931" s="24"/>
      <c r="Y12931" s="24"/>
      <c r="Z12931" s="24"/>
      <c r="AA12931" s="24"/>
    </row>
    <row r="12932">
      <c r="A12932" s="24"/>
      <c r="B12932" s="25"/>
      <c r="C12932" s="24"/>
      <c r="D12932" s="26"/>
      <c r="E12932" s="24"/>
      <c r="F12932" s="24"/>
      <c r="G12932" s="24"/>
      <c r="H12932" s="24"/>
      <c r="I12932" s="24"/>
      <c r="J12932" s="24"/>
      <c r="K12932" s="24"/>
      <c r="L12932" s="24"/>
      <c r="M12932" s="24"/>
      <c r="N12932" s="24"/>
      <c r="O12932" s="24"/>
      <c r="P12932" s="24"/>
      <c r="Q12932" s="24"/>
      <c r="R12932" s="24"/>
      <c r="S12932" s="24"/>
      <c r="T12932" s="24"/>
      <c r="U12932" s="24"/>
      <c r="V12932" s="24"/>
      <c r="W12932" s="24"/>
      <c r="X12932" s="24"/>
      <c r="Y12932" s="24"/>
      <c r="Z12932" s="24"/>
      <c r="AA12932" s="24"/>
    </row>
    <row r="12933">
      <c r="A12933" s="24"/>
      <c r="B12933" s="25"/>
      <c r="C12933" s="24"/>
      <c r="D12933" s="26"/>
      <c r="E12933" s="24"/>
      <c r="F12933" s="24"/>
      <c r="G12933" s="24"/>
      <c r="H12933" s="24"/>
      <c r="I12933" s="24"/>
      <c r="J12933" s="24"/>
      <c r="K12933" s="24"/>
      <c r="L12933" s="24"/>
      <c r="M12933" s="24"/>
      <c r="N12933" s="24"/>
      <c r="O12933" s="24"/>
      <c r="P12933" s="24"/>
      <c r="Q12933" s="24"/>
      <c r="R12933" s="24"/>
      <c r="S12933" s="24"/>
      <c r="T12933" s="24"/>
      <c r="U12933" s="24"/>
      <c r="V12933" s="24"/>
      <c r="W12933" s="24"/>
      <c r="X12933" s="24"/>
      <c r="Y12933" s="24"/>
      <c r="Z12933" s="24"/>
      <c r="AA12933" s="24"/>
    </row>
    <row r="12934">
      <c r="A12934" s="24"/>
      <c r="B12934" s="25"/>
      <c r="C12934" s="24"/>
      <c r="D12934" s="26"/>
      <c r="E12934" s="24"/>
      <c r="F12934" s="24"/>
      <c r="G12934" s="24"/>
      <c r="H12934" s="24"/>
      <c r="I12934" s="24"/>
      <c r="J12934" s="24"/>
      <c r="K12934" s="24"/>
      <c r="L12934" s="24"/>
      <c r="M12934" s="24"/>
      <c r="N12934" s="24"/>
      <c r="O12934" s="24"/>
      <c r="P12934" s="24"/>
      <c r="Q12934" s="24"/>
      <c r="R12934" s="24"/>
      <c r="S12934" s="24"/>
      <c r="T12934" s="24"/>
      <c r="U12934" s="24"/>
      <c r="V12934" s="24"/>
      <c r="W12934" s="24"/>
      <c r="X12934" s="24"/>
      <c r="Y12934" s="24"/>
      <c r="Z12934" s="24"/>
      <c r="AA12934" s="24"/>
    </row>
    <row r="12935">
      <c r="A12935" s="24"/>
      <c r="B12935" s="25"/>
      <c r="C12935" s="24"/>
      <c r="D12935" s="26"/>
      <c r="E12935" s="24"/>
      <c r="F12935" s="24"/>
      <c r="G12935" s="24"/>
      <c r="H12935" s="24"/>
      <c r="I12935" s="24"/>
      <c r="J12935" s="24"/>
      <c r="K12935" s="24"/>
      <c r="L12935" s="24"/>
      <c r="M12935" s="24"/>
      <c r="N12935" s="24"/>
      <c r="O12935" s="24"/>
      <c r="P12935" s="24"/>
      <c r="Q12935" s="24"/>
      <c r="R12935" s="24"/>
      <c r="S12935" s="24"/>
      <c r="T12935" s="24"/>
      <c r="U12935" s="24"/>
      <c r="V12935" s="24"/>
      <c r="W12935" s="24"/>
      <c r="X12935" s="24"/>
      <c r="Y12935" s="24"/>
      <c r="Z12935" s="24"/>
      <c r="AA12935" s="24"/>
    </row>
    <row r="12936">
      <c r="A12936" s="24"/>
      <c r="B12936" s="25"/>
      <c r="C12936" s="24"/>
      <c r="D12936" s="26"/>
      <c r="E12936" s="24"/>
      <c r="F12936" s="24"/>
      <c r="G12936" s="24"/>
      <c r="H12936" s="24"/>
      <c r="I12936" s="24"/>
      <c r="J12936" s="24"/>
      <c r="K12936" s="24"/>
      <c r="L12936" s="24"/>
      <c r="M12936" s="24"/>
      <c r="N12936" s="24"/>
      <c r="O12936" s="24"/>
      <c r="P12936" s="24"/>
      <c r="Q12936" s="24"/>
      <c r="R12936" s="24"/>
      <c r="S12936" s="24"/>
      <c r="T12936" s="24"/>
      <c r="U12936" s="24"/>
      <c r="V12936" s="24"/>
      <c r="W12936" s="24"/>
      <c r="X12936" s="24"/>
      <c r="Y12936" s="24"/>
      <c r="Z12936" s="24"/>
      <c r="AA12936" s="24"/>
    </row>
    <row r="12937">
      <c r="A12937" s="24"/>
      <c r="B12937" s="25"/>
      <c r="C12937" s="24"/>
      <c r="D12937" s="26"/>
      <c r="E12937" s="24"/>
      <c r="F12937" s="24"/>
      <c r="G12937" s="24"/>
      <c r="H12937" s="24"/>
      <c r="I12937" s="24"/>
      <c r="J12937" s="24"/>
      <c r="K12937" s="24"/>
      <c r="L12937" s="24"/>
      <c r="M12937" s="24"/>
      <c r="N12937" s="24"/>
      <c r="O12937" s="24"/>
      <c r="P12937" s="24"/>
      <c r="Q12937" s="24"/>
      <c r="R12937" s="24"/>
      <c r="S12937" s="24"/>
      <c r="T12937" s="24"/>
      <c r="U12937" s="24"/>
      <c r="V12937" s="24"/>
      <c r="W12937" s="24"/>
      <c r="X12937" s="24"/>
      <c r="Y12937" s="24"/>
      <c r="Z12937" s="24"/>
      <c r="AA12937" s="24"/>
    </row>
    <row r="12938">
      <c r="A12938" s="24"/>
      <c r="B12938" s="25"/>
      <c r="C12938" s="24"/>
      <c r="D12938" s="26"/>
      <c r="E12938" s="24"/>
      <c r="F12938" s="24"/>
      <c r="G12938" s="24"/>
      <c r="H12938" s="24"/>
      <c r="I12938" s="24"/>
      <c r="J12938" s="24"/>
      <c r="K12938" s="24"/>
      <c r="L12938" s="24"/>
      <c r="M12938" s="24"/>
      <c r="N12938" s="24"/>
      <c r="O12938" s="24"/>
      <c r="P12938" s="24"/>
      <c r="Q12938" s="24"/>
      <c r="R12938" s="24"/>
      <c r="S12938" s="24"/>
      <c r="T12938" s="24"/>
      <c r="U12938" s="24"/>
      <c r="V12938" s="24"/>
      <c r="W12938" s="24"/>
      <c r="X12938" s="24"/>
      <c r="Y12938" s="24"/>
      <c r="Z12938" s="24"/>
      <c r="AA12938" s="24"/>
    </row>
    <row r="12939">
      <c r="A12939" s="24"/>
      <c r="B12939" s="25"/>
      <c r="C12939" s="24"/>
      <c r="D12939" s="26"/>
      <c r="E12939" s="24"/>
      <c r="F12939" s="24"/>
      <c r="G12939" s="24"/>
      <c r="H12939" s="24"/>
      <c r="I12939" s="24"/>
      <c r="J12939" s="24"/>
      <c r="K12939" s="24"/>
      <c r="L12939" s="24"/>
      <c r="M12939" s="24"/>
      <c r="N12939" s="24"/>
      <c r="O12939" s="24"/>
      <c r="P12939" s="24"/>
      <c r="Q12939" s="24"/>
      <c r="R12939" s="24"/>
      <c r="S12939" s="24"/>
      <c r="T12939" s="24"/>
      <c r="U12939" s="24"/>
      <c r="V12939" s="24"/>
      <c r="W12939" s="24"/>
      <c r="X12939" s="24"/>
      <c r="Y12939" s="24"/>
      <c r="Z12939" s="24"/>
      <c r="AA12939" s="24"/>
    </row>
    <row r="12940">
      <c r="A12940" s="24"/>
      <c r="B12940" s="25"/>
      <c r="C12940" s="24"/>
      <c r="D12940" s="26"/>
      <c r="E12940" s="24"/>
      <c r="F12940" s="24"/>
      <c r="G12940" s="24"/>
      <c r="H12940" s="24"/>
      <c r="I12940" s="24"/>
      <c r="J12940" s="24"/>
      <c r="K12940" s="24"/>
      <c r="L12940" s="24"/>
      <c r="M12940" s="24"/>
      <c r="N12940" s="24"/>
      <c r="O12940" s="24"/>
      <c r="P12940" s="24"/>
      <c r="Q12940" s="24"/>
      <c r="R12940" s="24"/>
      <c r="S12940" s="24"/>
      <c r="T12940" s="24"/>
      <c r="U12940" s="24"/>
      <c r="V12940" s="24"/>
      <c r="W12940" s="24"/>
      <c r="X12940" s="24"/>
      <c r="Y12940" s="24"/>
      <c r="Z12940" s="24"/>
      <c r="AA12940" s="24"/>
    </row>
    <row r="12941">
      <c r="A12941" s="24"/>
      <c r="B12941" s="25"/>
      <c r="C12941" s="24"/>
      <c r="D12941" s="26"/>
      <c r="E12941" s="24"/>
      <c r="F12941" s="24"/>
      <c r="G12941" s="24"/>
      <c r="H12941" s="24"/>
      <c r="I12941" s="24"/>
      <c r="J12941" s="24"/>
      <c r="K12941" s="24"/>
      <c r="L12941" s="24"/>
      <c r="M12941" s="24"/>
      <c r="N12941" s="24"/>
      <c r="O12941" s="24"/>
      <c r="P12941" s="24"/>
      <c r="Q12941" s="24"/>
      <c r="R12941" s="24"/>
      <c r="S12941" s="24"/>
      <c r="T12941" s="24"/>
      <c r="U12941" s="24"/>
      <c r="V12941" s="24"/>
      <c r="W12941" s="24"/>
      <c r="X12941" s="24"/>
      <c r="Y12941" s="24"/>
      <c r="Z12941" s="24"/>
      <c r="AA12941" s="24"/>
    </row>
    <row r="12942">
      <c r="A12942" s="24"/>
      <c r="B12942" s="25"/>
      <c r="C12942" s="24"/>
      <c r="D12942" s="26"/>
      <c r="E12942" s="24"/>
      <c r="F12942" s="24"/>
      <c r="G12942" s="24"/>
      <c r="H12942" s="24"/>
      <c r="I12942" s="24"/>
      <c r="J12942" s="24"/>
      <c r="K12942" s="24"/>
      <c r="L12942" s="24"/>
      <c r="M12942" s="24"/>
      <c r="N12942" s="24"/>
      <c r="O12942" s="24"/>
      <c r="P12942" s="24"/>
      <c r="Q12942" s="24"/>
      <c r="R12942" s="24"/>
      <c r="S12942" s="24"/>
      <c r="T12942" s="24"/>
      <c r="U12942" s="24"/>
      <c r="V12942" s="24"/>
      <c r="W12942" s="24"/>
      <c r="X12942" s="24"/>
      <c r="Y12942" s="24"/>
      <c r="Z12942" s="24"/>
      <c r="AA12942" s="24"/>
    </row>
    <row r="12943">
      <c r="A12943" s="24"/>
      <c r="B12943" s="25"/>
      <c r="C12943" s="24"/>
      <c r="D12943" s="26"/>
      <c r="E12943" s="24"/>
      <c r="F12943" s="24"/>
      <c r="G12943" s="24"/>
      <c r="H12943" s="24"/>
      <c r="I12943" s="24"/>
      <c r="J12943" s="24"/>
      <c r="K12943" s="24"/>
      <c r="L12943" s="24"/>
      <c r="M12943" s="24"/>
      <c r="N12943" s="24"/>
      <c r="O12943" s="24"/>
      <c r="P12943" s="24"/>
      <c r="Q12943" s="24"/>
      <c r="R12943" s="24"/>
      <c r="S12943" s="24"/>
      <c r="T12943" s="24"/>
      <c r="U12943" s="24"/>
      <c r="V12943" s="24"/>
      <c r="W12943" s="24"/>
      <c r="X12943" s="24"/>
      <c r="Y12943" s="24"/>
      <c r="Z12943" s="24"/>
      <c r="AA12943" s="24"/>
    </row>
    <row r="12944">
      <c r="A12944" s="24"/>
      <c r="B12944" s="25"/>
      <c r="C12944" s="24"/>
      <c r="D12944" s="26"/>
      <c r="E12944" s="24"/>
      <c r="F12944" s="24"/>
      <c r="G12944" s="24"/>
      <c r="H12944" s="24"/>
      <c r="I12944" s="24"/>
      <c r="J12944" s="24"/>
      <c r="K12944" s="24"/>
      <c r="L12944" s="24"/>
      <c r="M12944" s="24"/>
      <c r="N12944" s="24"/>
      <c r="O12944" s="24"/>
      <c r="P12944" s="24"/>
      <c r="Q12944" s="24"/>
      <c r="R12944" s="24"/>
      <c r="S12944" s="24"/>
      <c r="T12944" s="24"/>
      <c r="U12944" s="24"/>
      <c r="V12944" s="24"/>
      <c r="W12944" s="24"/>
      <c r="X12944" s="24"/>
      <c r="Y12944" s="24"/>
      <c r="Z12944" s="24"/>
      <c r="AA12944" s="24"/>
    </row>
    <row r="12945">
      <c r="A12945" s="24"/>
      <c r="B12945" s="25"/>
      <c r="C12945" s="24"/>
      <c r="D12945" s="26"/>
      <c r="E12945" s="24"/>
      <c r="F12945" s="24"/>
      <c r="G12945" s="24"/>
      <c r="H12945" s="24"/>
      <c r="I12945" s="24"/>
      <c r="J12945" s="24"/>
      <c r="K12945" s="24"/>
      <c r="L12945" s="24"/>
      <c r="M12945" s="24"/>
      <c r="N12945" s="24"/>
      <c r="O12945" s="24"/>
      <c r="P12945" s="24"/>
      <c r="Q12945" s="24"/>
      <c r="R12945" s="24"/>
      <c r="S12945" s="24"/>
      <c r="T12945" s="24"/>
      <c r="U12945" s="24"/>
      <c r="V12945" s="24"/>
      <c r="W12945" s="24"/>
      <c r="X12945" s="24"/>
      <c r="Y12945" s="24"/>
      <c r="Z12945" s="24"/>
      <c r="AA12945" s="24"/>
    </row>
    <row r="12946">
      <c r="A12946" s="24"/>
      <c r="B12946" s="25"/>
      <c r="C12946" s="24"/>
      <c r="D12946" s="26"/>
      <c r="E12946" s="24"/>
      <c r="F12946" s="24"/>
      <c r="G12946" s="24"/>
      <c r="H12946" s="24"/>
      <c r="I12946" s="24"/>
      <c r="J12946" s="24"/>
      <c r="K12946" s="24"/>
      <c r="L12946" s="24"/>
      <c r="M12946" s="24"/>
      <c r="N12946" s="24"/>
      <c r="O12946" s="24"/>
      <c r="P12946" s="24"/>
      <c r="Q12946" s="24"/>
      <c r="R12946" s="24"/>
      <c r="S12946" s="24"/>
      <c r="T12946" s="24"/>
      <c r="U12946" s="24"/>
      <c r="V12946" s="24"/>
      <c r="W12946" s="24"/>
      <c r="X12946" s="24"/>
      <c r="Y12946" s="24"/>
      <c r="Z12946" s="24"/>
      <c r="AA12946" s="24"/>
    </row>
    <row r="12947">
      <c r="A12947" s="24"/>
      <c r="B12947" s="25"/>
      <c r="C12947" s="24"/>
      <c r="D12947" s="26"/>
      <c r="E12947" s="24"/>
      <c r="F12947" s="24"/>
      <c r="G12947" s="24"/>
      <c r="H12947" s="24"/>
      <c r="I12947" s="24"/>
      <c r="J12947" s="24"/>
      <c r="K12947" s="24"/>
      <c r="L12947" s="24"/>
      <c r="M12947" s="24"/>
      <c r="N12947" s="24"/>
      <c r="O12947" s="24"/>
      <c r="P12947" s="24"/>
      <c r="Q12947" s="24"/>
      <c r="R12947" s="24"/>
      <c r="S12947" s="24"/>
      <c r="T12947" s="24"/>
      <c r="U12947" s="24"/>
      <c r="V12947" s="24"/>
      <c r="W12947" s="24"/>
      <c r="X12947" s="24"/>
      <c r="Y12947" s="24"/>
      <c r="Z12947" s="24"/>
      <c r="AA12947" s="24"/>
    </row>
    <row r="12948">
      <c r="A12948" s="24"/>
      <c r="B12948" s="25"/>
      <c r="C12948" s="24"/>
      <c r="D12948" s="26"/>
      <c r="E12948" s="24"/>
      <c r="F12948" s="24"/>
      <c r="G12948" s="24"/>
      <c r="H12948" s="24"/>
      <c r="I12948" s="24"/>
      <c r="J12948" s="24"/>
      <c r="K12948" s="24"/>
      <c r="L12948" s="24"/>
      <c r="M12948" s="24"/>
      <c r="N12948" s="24"/>
      <c r="O12948" s="24"/>
      <c r="P12948" s="24"/>
      <c r="Q12948" s="24"/>
      <c r="R12948" s="24"/>
      <c r="S12948" s="24"/>
      <c r="T12948" s="24"/>
      <c r="U12948" s="24"/>
      <c r="V12948" s="24"/>
      <c r="W12948" s="24"/>
      <c r="X12948" s="24"/>
      <c r="Y12948" s="24"/>
      <c r="Z12948" s="24"/>
      <c r="AA12948" s="24"/>
    </row>
    <row r="12949">
      <c r="A12949" s="24"/>
      <c r="B12949" s="25"/>
      <c r="C12949" s="24"/>
      <c r="D12949" s="26"/>
      <c r="E12949" s="24"/>
      <c r="F12949" s="24"/>
      <c r="G12949" s="24"/>
      <c r="H12949" s="24"/>
      <c r="I12949" s="24"/>
      <c r="J12949" s="24"/>
      <c r="K12949" s="24"/>
      <c r="L12949" s="24"/>
      <c r="M12949" s="24"/>
      <c r="N12949" s="24"/>
      <c r="O12949" s="24"/>
      <c r="P12949" s="24"/>
      <c r="Q12949" s="24"/>
      <c r="R12949" s="24"/>
      <c r="S12949" s="24"/>
      <c r="T12949" s="24"/>
      <c r="U12949" s="24"/>
      <c r="V12949" s="24"/>
      <c r="W12949" s="24"/>
      <c r="X12949" s="24"/>
      <c r="Y12949" s="24"/>
      <c r="Z12949" s="24"/>
      <c r="AA12949" s="24"/>
    </row>
    <row r="12950">
      <c r="A12950" s="24"/>
      <c r="B12950" s="25"/>
      <c r="C12950" s="24"/>
      <c r="D12950" s="26"/>
      <c r="E12950" s="24"/>
      <c r="F12950" s="24"/>
      <c r="G12950" s="24"/>
      <c r="H12950" s="24"/>
      <c r="I12950" s="24"/>
      <c r="J12950" s="24"/>
      <c r="K12950" s="24"/>
      <c r="L12950" s="24"/>
      <c r="M12950" s="24"/>
      <c r="N12950" s="24"/>
      <c r="O12950" s="24"/>
      <c r="P12950" s="24"/>
      <c r="Q12950" s="24"/>
      <c r="R12950" s="24"/>
      <c r="S12950" s="24"/>
      <c r="T12950" s="24"/>
      <c r="U12950" s="24"/>
      <c r="V12950" s="24"/>
      <c r="W12950" s="24"/>
      <c r="X12950" s="24"/>
      <c r="Y12950" s="24"/>
      <c r="Z12950" s="24"/>
      <c r="AA12950" s="24"/>
    </row>
    <row r="12951">
      <c r="A12951" s="24"/>
      <c r="B12951" s="25"/>
      <c r="C12951" s="24"/>
      <c r="D12951" s="26"/>
      <c r="E12951" s="24"/>
      <c r="F12951" s="24"/>
      <c r="G12951" s="24"/>
      <c r="H12951" s="24"/>
      <c r="I12951" s="24"/>
      <c r="J12951" s="24"/>
      <c r="K12951" s="24"/>
      <c r="L12951" s="24"/>
      <c r="M12951" s="24"/>
      <c r="N12951" s="24"/>
      <c r="O12951" s="24"/>
      <c r="P12951" s="24"/>
      <c r="Q12951" s="24"/>
      <c r="R12951" s="24"/>
      <c r="S12951" s="24"/>
      <c r="T12951" s="24"/>
      <c r="U12951" s="24"/>
      <c r="V12951" s="24"/>
      <c r="W12951" s="24"/>
      <c r="X12951" s="24"/>
      <c r="Y12951" s="24"/>
      <c r="Z12951" s="24"/>
      <c r="AA12951" s="24"/>
    </row>
    <row r="12952">
      <c r="A12952" s="24"/>
      <c r="B12952" s="25"/>
      <c r="C12952" s="24"/>
      <c r="D12952" s="26"/>
      <c r="E12952" s="24"/>
      <c r="F12952" s="24"/>
      <c r="G12952" s="24"/>
      <c r="H12952" s="24"/>
      <c r="I12952" s="24"/>
      <c r="J12952" s="24"/>
      <c r="K12952" s="24"/>
      <c r="L12952" s="24"/>
      <c r="M12952" s="24"/>
      <c r="N12952" s="24"/>
      <c r="O12952" s="24"/>
      <c r="P12952" s="24"/>
      <c r="Q12952" s="24"/>
      <c r="R12952" s="24"/>
      <c r="S12952" s="24"/>
      <c r="T12952" s="24"/>
      <c r="U12952" s="24"/>
      <c r="V12952" s="24"/>
      <c r="W12952" s="24"/>
      <c r="X12952" s="24"/>
      <c r="Y12952" s="24"/>
      <c r="Z12952" s="24"/>
      <c r="AA12952" s="24"/>
    </row>
    <row r="12953">
      <c r="A12953" s="24"/>
      <c r="B12953" s="25"/>
      <c r="C12953" s="24"/>
      <c r="D12953" s="26"/>
      <c r="E12953" s="24"/>
      <c r="F12953" s="24"/>
      <c r="G12953" s="24"/>
      <c r="H12953" s="24"/>
      <c r="I12953" s="24"/>
      <c r="J12953" s="24"/>
      <c r="K12953" s="24"/>
      <c r="L12953" s="24"/>
      <c r="M12953" s="24"/>
      <c r="N12953" s="24"/>
      <c r="O12953" s="24"/>
      <c r="P12953" s="24"/>
      <c r="Q12953" s="24"/>
      <c r="R12953" s="24"/>
      <c r="S12953" s="24"/>
      <c r="T12953" s="24"/>
      <c r="U12953" s="24"/>
      <c r="V12953" s="24"/>
      <c r="W12953" s="24"/>
      <c r="X12953" s="24"/>
      <c r="Y12953" s="24"/>
      <c r="Z12953" s="24"/>
      <c r="AA12953" s="24"/>
    </row>
    <row r="12954">
      <c r="A12954" s="24"/>
      <c r="B12954" s="25"/>
      <c r="C12954" s="24"/>
      <c r="D12954" s="26"/>
      <c r="E12954" s="24"/>
      <c r="F12954" s="24"/>
      <c r="G12954" s="24"/>
      <c r="H12954" s="24"/>
      <c r="I12954" s="24"/>
      <c r="J12954" s="24"/>
      <c r="K12954" s="24"/>
      <c r="L12954" s="24"/>
      <c r="M12954" s="24"/>
      <c r="N12954" s="24"/>
      <c r="O12954" s="24"/>
      <c r="P12954" s="24"/>
      <c r="Q12954" s="24"/>
      <c r="R12954" s="24"/>
      <c r="S12954" s="24"/>
      <c r="T12954" s="24"/>
      <c r="U12954" s="24"/>
      <c r="V12954" s="24"/>
      <c r="W12954" s="24"/>
      <c r="X12954" s="24"/>
      <c r="Y12954" s="24"/>
      <c r="Z12954" s="24"/>
      <c r="AA12954" s="24"/>
    </row>
    <row r="12955">
      <c r="A12955" s="24"/>
      <c r="B12955" s="25"/>
      <c r="C12955" s="24"/>
      <c r="D12955" s="26"/>
      <c r="E12955" s="24"/>
      <c r="F12955" s="24"/>
      <c r="G12955" s="24"/>
      <c r="H12955" s="24"/>
      <c r="I12955" s="24"/>
      <c r="J12955" s="24"/>
      <c r="K12955" s="24"/>
      <c r="L12955" s="24"/>
      <c r="M12955" s="24"/>
      <c r="N12955" s="24"/>
      <c r="O12955" s="24"/>
      <c r="P12955" s="24"/>
      <c r="Q12955" s="24"/>
      <c r="R12955" s="24"/>
      <c r="S12955" s="24"/>
      <c r="T12955" s="24"/>
      <c r="U12955" s="24"/>
      <c r="V12955" s="24"/>
      <c r="W12955" s="24"/>
      <c r="X12955" s="24"/>
      <c r="Y12955" s="24"/>
      <c r="Z12955" s="24"/>
      <c r="AA12955" s="24"/>
    </row>
    <row r="12956">
      <c r="A12956" s="24"/>
      <c r="B12956" s="25"/>
      <c r="C12956" s="24"/>
      <c r="D12956" s="26"/>
      <c r="E12956" s="24"/>
      <c r="F12956" s="24"/>
      <c r="G12956" s="24"/>
      <c r="H12956" s="24"/>
      <c r="I12956" s="24"/>
      <c r="J12956" s="24"/>
      <c r="K12956" s="24"/>
      <c r="L12956" s="24"/>
      <c r="M12956" s="24"/>
      <c r="N12956" s="24"/>
      <c r="O12956" s="24"/>
      <c r="P12956" s="24"/>
      <c r="Q12956" s="24"/>
      <c r="R12956" s="24"/>
      <c r="S12956" s="24"/>
      <c r="T12956" s="24"/>
      <c r="U12956" s="24"/>
      <c r="V12956" s="24"/>
      <c r="W12956" s="24"/>
      <c r="X12956" s="24"/>
      <c r="Y12956" s="24"/>
      <c r="Z12956" s="24"/>
      <c r="AA12956" s="24"/>
    </row>
    <row r="12957">
      <c r="A12957" s="24"/>
      <c r="B12957" s="25"/>
      <c r="C12957" s="24"/>
      <c r="D12957" s="26"/>
      <c r="E12957" s="24"/>
      <c r="F12957" s="24"/>
      <c r="G12957" s="24"/>
      <c r="H12957" s="24"/>
      <c r="I12957" s="24"/>
      <c r="J12957" s="24"/>
      <c r="K12957" s="24"/>
      <c r="L12957" s="24"/>
      <c r="M12957" s="24"/>
      <c r="N12957" s="24"/>
      <c r="O12957" s="24"/>
      <c r="P12957" s="24"/>
      <c r="Q12957" s="24"/>
      <c r="R12957" s="24"/>
      <c r="S12957" s="24"/>
      <c r="T12957" s="24"/>
      <c r="U12957" s="24"/>
      <c r="V12957" s="24"/>
      <c r="W12957" s="24"/>
      <c r="X12957" s="24"/>
      <c r="Y12957" s="24"/>
      <c r="Z12957" s="24"/>
      <c r="AA12957" s="24"/>
    </row>
    <row r="12958">
      <c r="A12958" s="24"/>
      <c r="B12958" s="25"/>
      <c r="C12958" s="24"/>
      <c r="D12958" s="26"/>
      <c r="E12958" s="24"/>
      <c r="F12958" s="24"/>
      <c r="G12958" s="24"/>
      <c r="H12958" s="24"/>
      <c r="I12958" s="24"/>
      <c r="J12958" s="24"/>
      <c r="K12958" s="24"/>
      <c r="L12958" s="24"/>
      <c r="M12958" s="24"/>
      <c r="N12958" s="24"/>
      <c r="O12958" s="24"/>
      <c r="P12958" s="24"/>
      <c r="Q12958" s="24"/>
      <c r="R12958" s="24"/>
      <c r="S12958" s="24"/>
      <c r="T12958" s="24"/>
      <c r="U12958" s="24"/>
      <c r="V12958" s="24"/>
      <c r="W12958" s="24"/>
      <c r="X12958" s="24"/>
      <c r="Y12958" s="24"/>
      <c r="Z12958" s="24"/>
      <c r="AA12958" s="24"/>
    </row>
    <row r="12959">
      <c r="A12959" s="24"/>
      <c r="B12959" s="25"/>
      <c r="C12959" s="24"/>
      <c r="D12959" s="26"/>
      <c r="E12959" s="24"/>
      <c r="F12959" s="24"/>
      <c r="G12959" s="24"/>
      <c r="H12959" s="24"/>
      <c r="I12959" s="24"/>
      <c r="J12959" s="24"/>
      <c r="K12959" s="24"/>
      <c r="L12959" s="24"/>
      <c r="M12959" s="24"/>
      <c r="N12959" s="24"/>
      <c r="O12959" s="24"/>
      <c r="P12959" s="24"/>
      <c r="Q12959" s="24"/>
      <c r="R12959" s="24"/>
      <c r="S12959" s="24"/>
      <c r="T12959" s="24"/>
      <c r="U12959" s="24"/>
      <c r="V12959" s="24"/>
      <c r="W12959" s="24"/>
      <c r="X12959" s="24"/>
      <c r="Y12959" s="24"/>
      <c r="Z12959" s="24"/>
      <c r="AA12959" s="24"/>
    </row>
    <row r="12960">
      <c r="A12960" s="24"/>
      <c r="B12960" s="25"/>
      <c r="C12960" s="24"/>
      <c r="D12960" s="26"/>
      <c r="E12960" s="24"/>
      <c r="F12960" s="24"/>
      <c r="G12960" s="24"/>
      <c r="H12960" s="24"/>
      <c r="I12960" s="24"/>
      <c r="J12960" s="24"/>
      <c r="K12960" s="24"/>
      <c r="L12960" s="24"/>
      <c r="M12960" s="24"/>
      <c r="N12960" s="24"/>
      <c r="O12960" s="24"/>
      <c r="P12960" s="24"/>
      <c r="Q12960" s="24"/>
      <c r="R12960" s="24"/>
      <c r="S12960" s="24"/>
      <c r="T12960" s="24"/>
      <c r="U12960" s="24"/>
      <c r="V12960" s="24"/>
      <c r="W12960" s="24"/>
      <c r="X12960" s="24"/>
      <c r="Y12960" s="24"/>
      <c r="Z12960" s="24"/>
      <c r="AA12960" s="24"/>
    </row>
    <row r="12961">
      <c r="A12961" s="24"/>
      <c r="B12961" s="25"/>
      <c r="C12961" s="24"/>
      <c r="D12961" s="26"/>
      <c r="E12961" s="24"/>
      <c r="F12961" s="24"/>
      <c r="G12961" s="24"/>
      <c r="H12961" s="24"/>
      <c r="I12961" s="24"/>
      <c r="J12961" s="24"/>
      <c r="K12961" s="24"/>
      <c r="L12961" s="24"/>
      <c r="M12961" s="24"/>
      <c r="N12961" s="24"/>
      <c r="O12961" s="24"/>
      <c r="P12961" s="24"/>
      <c r="Q12961" s="24"/>
      <c r="R12961" s="24"/>
      <c r="S12961" s="24"/>
      <c r="T12961" s="24"/>
      <c r="U12961" s="24"/>
      <c r="V12961" s="24"/>
      <c r="W12961" s="24"/>
      <c r="X12961" s="24"/>
      <c r="Y12961" s="24"/>
      <c r="Z12961" s="24"/>
      <c r="AA12961" s="24"/>
    </row>
    <row r="12962">
      <c r="A12962" s="24"/>
      <c r="B12962" s="25"/>
      <c r="C12962" s="24"/>
      <c r="D12962" s="26"/>
      <c r="E12962" s="24"/>
      <c r="F12962" s="24"/>
      <c r="G12962" s="24"/>
      <c r="H12962" s="24"/>
      <c r="I12962" s="24"/>
      <c r="J12962" s="24"/>
      <c r="K12962" s="24"/>
      <c r="L12962" s="24"/>
      <c r="M12962" s="24"/>
      <c r="N12962" s="24"/>
      <c r="O12962" s="24"/>
      <c r="P12962" s="24"/>
      <c r="Q12962" s="24"/>
      <c r="R12962" s="24"/>
      <c r="S12962" s="24"/>
      <c r="T12962" s="24"/>
      <c r="U12962" s="24"/>
      <c r="V12962" s="24"/>
      <c r="W12962" s="24"/>
      <c r="X12962" s="24"/>
      <c r="Y12962" s="24"/>
      <c r="Z12962" s="24"/>
      <c r="AA12962" s="24"/>
    </row>
    <row r="12963">
      <c r="A12963" s="24"/>
      <c r="B12963" s="25"/>
      <c r="C12963" s="24"/>
      <c r="D12963" s="26"/>
      <c r="E12963" s="24"/>
      <c r="F12963" s="24"/>
      <c r="G12963" s="24"/>
      <c r="H12963" s="24"/>
      <c r="I12963" s="24"/>
      <c r="J12963" s="24"/>
      <c r="K12963" s="24"/>
      <c r="L12963" s="24"/>
      <c r="M12963" s="24"/>
      <c r="N12963" s="24"/>
      <c r="O12963" s="24"/>
      <c r="P12963" s="24"/>
      <c r="Q12963" s="24"/>
      <c r="R12963" s="24"/>
      <c r="S12963" s="24"/>
      <c r="T12963" s="24"/>
      <c r="U12963" s="24"/>
      <c r="V12963" s="24"/>
      <c r="W12963" s="24"/>
      <c r="X12963" s="24"/>
      <c r="Y12963" s="24"/>
      <c r="Z12963" s="24"/>
      <c r="AA12963" s="24"/>
    </row>
    <row r="12964">
      <c r="A12964" s="24"/>
      <c r="B12964" s="25"/>
      <c r="C12964" s="24"/>
      <c r="D12964" s="26"/>
      <c r="E12964" s="24"/>
      <c r="F12964" s="24"/>
      <c r="G12964" s="24"/>
      <c r="H12964" s="24"/>
      <c r="I12964" s="24"/>
      <c r="J12964" s="24"/>
      <c r="K12964" s="24"/>
      <c r="L12964" s="24"/>
      <c r="M12964" s="24"/>
      <c r="N12964" s="24"/>
      <c r="O12964" s="24"/>
      <c r="P12964" s="24"/>
      <c r="Q12964" s="24"/>
      <c r="R12964" s="24"/>
      <c r="S12964" s="24"/>
      <c r="T12964" s="24"/>
      <c r="U12964" s="24"/>
      <c r="V12964" s="24"/>
      <c r="W12964" s="24"/>
      <c r="X12964" s="24"/>
      <c r="Y12964" s="24"/>
      <c r="Z12964" s="24"/>
      <c r="AA12964" s="24"/>
    </row>
    <row r="12965">
      <c r="A12965" s="24"/>
      <c r="B12965" s="25"/>
      <c r="C12965" s="24"/>
      <c r="D12965" s="26"/>
      <c r="E12965" s="24"/>
      <c r="F12965" s="24"/>
      <c r="G12965" s="24"/>
      <c r="H12965" s="24"/>
      <c r="I12965" s="24"/>
      <c r="J12965" s="24"/>
      <c r="K12965" s="24"/>
      <c r="L12965" s="24"/>
      <c r="M12965" s="24"/>
      <c r="N12965" s="24"/>
      <c r="O12965" s="24"/>
      <c r="P12965" s="24"/>
      <c r="Q12965" s="24"/>
      <c r="R12965" s="24"/>
      <c r="S12965" s="24"/>
      <c r="T12965" s="24"/>
      <c r="U12965" s="24"/>
      <c r="V12965" s="24"/>
      <c r="W12965" s="24"/>
      <c r="X12965" s="24"/>
      <c r="Y12965" s="24"/>
      <c r="Z12965" s="24"/>
      <c r="AA12965" s="24"/>
    </row>
    <row r="12966">
      <c r="A12966" s="24"/>
      <c r="B12966" s="25"/>
      <c r="C12966" s="24"/>
      <c r="D12966" s="26"/>
      <c r="E12966" s="24"/>
      <c r="F12966" s="24"/>
      <c r="G12966" s="24"/>
      <c r="H12966" s="24"/>
      <c r="I12966" s="24"/>
      <c r="J12966" s="24"/>
      <c r="K12966" s="24"/>
      <c r="L12966" s="24"/>
      <c r="M12966" s="24"/>
      <c r="N12966" s="24"/>
      <c r="O12966" s="24"/>
      <c r="P12966" s="24"/>
      <c r="Q12966" s="24"/>
      <c r="R12966" s="24"/>
      <c r="S12966" s="24"/>
      <c r="T12966" s="24"/>
      <c r="U12966" s="24"/>
      <c r="V12966" s="24"/>
      <c r="W12966" s="24"/>
      <c r="X12966" s="24"/>
      <c r="Y12966" s="24"/>
      <c r="Z12966" s="24"/>
      <c r="AA12966" s="24"/>
    </row>
    <row r="12967">
      <c r="A12967" s="24"/>
      <c r="B12967" s="25"/>
      <c r="C12967" s="24"/>
      <c r="D12967" s="26"/>
      <c r="E12967" s="24"/>
      <c r="F12967" s="24"/>
      <c r="G12967" s="24"/>
      <c r="H12967" s="24"/>
      <c r="I12967" s="24"/>
      <c r="J12967" s="24"/>
      <c r="K12967" s="24"/>
      <c r="L12967" s="24"/>
      <c r="M12967" s="24"/>
      <c r="N12967" s="24"/>
      <c r="O12967" s="24"/>
      <c r="P12967" s="24"/>
      <c r="Q12967" s="24"/>
      <c r="R12967" s="24"/>
      <c r="S12967" s="24"/>
      <c r="T12967" s="24"/>
      <c r="U12967" s="24"/>
      <c r="V12967" s="24"/>
      <c r="W12967" s="24"/>
      <c r="X12967" s="24"/>
      <c r="Y12967" s="24"/>
      <c r="Z12967" s="24"/>
      <c r="AA12967" s="24"/>
    </row>
    <row r="12968">
      <c r="A12968" s="24"/>
      <c r="B12968" s="25"/>
      <c r="C12968" s="24"/>
      <c r="D12968" s="26"/>
      <c r="E12968" s="24"/>
      <c r="F12968" s="24"/>
      <c r="G12968" s="24"/>
      <c r="H12968" s="24"/>
      <c r="I12968" s="24"/>
      <c r="J12968" s="24"/>
      <c r="K12968" s="24"/>
      <c r="L12968" s="24"/>
      <c r="M12968" s="24"/>
      <c r="N12968" s="24"/>
      <c r="O12968" s="24"/>
      <c r="P12968" s="24"/>
      <c r="Q12968" s="24"/>
      <c r="R12968" s="24"/>
      <c r="S12968" s="24"/>
      <c r="T12968" s="24"/>
      <c r="U12968" s="24"/>
      <c r="V12968" s="24"/>
      <c r="W12968" s="24"/>
      <c r="X12968" s="24"/>
      <c r="Y12968" s="24"/>
      <c r="Z12968" s="24"/>
      <c r="AA12968" s="24"/>
    </row>
    <row r="12969">
      <c r="A12969" s="24"/>
      <c r="B12969" s="25"/>
      <c r="C12969" s="24"/>
      <c r="D12969" s="26"/>
      <c r="E12969" s="24"/>
      <c r="F12969" s="24"/>
      <c r="G12969" s="24"/>
      <c r="H12969" s="24"/>
      <c r="I12969" s="24"/>
      <c r="J12969" s="24"/>
      <c r="K12969" s="24"/>
      <c r="L12969" s="24"/>
      <c r="M12969" s="24"/>
      <c r="N12969" s="24"/>
      <c r="O12969" s="24"/>
      <c r="P12969" s="24"/>
      <c r="Q12969" s="24"/>
      <c r="R12969" s="24"/>
      <c r="S12969" s="24"/>
      <c r="T12969" s="24"/>
      <c r="U12969" s="24"/>
      <c r="V12969" s="24"/>
      <c r="W12969" s="24"/>
      <c r="X12969" s="24"/>
      <c r="Y12969" s="24"/>
      <c r="Z12969" s="24"/>
      <c r="AA12969" s="24"/>
    </row>
    <row r="12970">
      <c r="A12970" s="24"/>
      <c r="B12970" s="25"/>
      <c r="C12970" s="24"/>
      <c r="D12970" s="26"/>
      <c r="E12970" s="24"/>
      <c r="F12970" s="24"/>
      <c r="G12970" s="24"/>
      <c r="H12970" s="24"/>
      <c r="I12970" s="24"/>
      <c r="J12970" s="24"/>
      <c r="K12970" s="24"/>
      <c r="L12970" s="24"/>
      <c r="M12970" s="24"/>
      <c r="N12970" s="24"/>
      <c r="O12970" s="24"/>
      <c r="P12970" s="24"/>
      <c r="Q12970" s="24"/>
      <c r="R12970" s="24"/>
      <c r="S12970" s="24"/>
      <c r="T12970" s="24"/>
      <c r="U12970" s="24"/>
      <c r="V12970" s="24"/>
      <c r="W12970" s="24"/>
      <c r="X12970" s="24"/>
      <c r="Y12970" s="24"/>
      <c r="Z12970" s="24"/>
      <c r="AA12970" s="24"/>
    </row>
    <row r="12971">
      <c r="A12971" s="24"/>
      <c r="B12971" s="25"/>
      <c r="C12971" s="24"/>
      <c r="D12971" s="26"/>
      <c r="E12971" s="24"/>
      <c r="F12971" s="24"/>
      <c r="G12971" s="24"/>
      <c r="H12971" s="24"/>
      <c r="I12971" s="24"/>
      <c r="J12971" s="24"/>
      <c r="K12971" s="24"/>
      <c r="L12971" s="24"/>
      <c r="M12971" s="24"/>
      <c r="N12971" s="24"/>
      <c r="O12971" s="24"/>
      <c r="P12971" s="24"/>
      <c r="Q12971" s="24"/>
      <c r="R12971" s="24"/>
      <c r="S12971" s="24"/>
      <c r="T12971" s="24"/>
      <c r="U12971" s="24"/>
      <c r="V12971" s="24"/>
      <c r="W12971" s="24"/>
      <c r="X12971" s="24"/>
      <c r="Y12971" s="24"/>
      <c r="Z12971" s="24"/>
      <c r="AA12971" s="24"/>
    </row>
    <row r="12972">
      <c r="A12972" s="24"/>
      <c r="B12972" s="25"/>
      <c r="C12972" s="24"/>
      <c r="D12972" s="26"/>
      <c r="E12972" s="24"/>
      <c r="F12972" s="24"/>
      <c r="G12972" s="24"/>
      <c r="H12972" s="24"/>
      <c r="I12972" s="24"/>
      <c r="J12972" s="24"/>
      <c r="K12972" s="24"/>
      <c r="L12972" s="24"/>
      <c r="M12972" s="24"/>
      <c r="N12972" s="24"/>
      <c r="O12972" s="24"/>
      <c r="P12972" s="24"/>
      <c r="Q12972" s="24"/>
      <c r="R12972" s="24"/>
      <c r="S12972" s="24"/>
      <c r="T12972" s="24"/>
      <c r="U12972" s="24"/>
      <c r="V12972" s="24"/>
      <c r="W12972" s="24"/>
      <c r="X12972" s="24"/>
      <c r="Y12972" s="24"/>
      <c r="Z12972" s="24"/>
      <c r="AA12972" s="24"/>
    </row>
    <row r="12973">
      <c r="A12973" s="24"/>
      <c r="B12973" s="25"/>
      <c r="C12973" s="24"/>
      <c r="D12973" s="26"/>
      <c r="E12973" s="24"/>
      <c r="F12973" s="24"/>
      <c r="G12973" s="24"/>
      <c r="H12973" s="24"/>
      <c r="I12973" s="24"/>
      <c r="J12973" s="24"/>
      <c r="K12973" s="24"/>
      <c r="L12973" s="24"/>
      <c r="M12973" s="24"/>
      <c r="N12973" s="24"/>
      <c r="O12973" s="24"/>
      <c r="P12973" s="24"/>
      <c r="Q12973" s="24"/>
      <c r="R12973" s="24"/>
      <c r="S12973" s="24"/>
      <c r="T12973" s="24"/>
      <c r="U12973" s="24"/>
      <c r="V12973" s="24"/>
      <c r="W12973" s="24"/>
      <c r="X12973" s="24"/>
      <c r="Y12973" s="24"/>
      <c r="Z12973" s="24"/>
      <c r="AA12973" s="24"/>
    </row>
    <row r="12974">
      <c r="A12974" s="24"/>
      <c r="B12974" s="25"/>
      <c r="C12974" s="24"/>
      <c r="D12974" s="26"/>
      <c r="E12974" s="24"/>
      <c r="F12974" s="24"/>
      <c r="G12974" s="24"/>
      <c r="H12974" s="24"/>
      <c r="I12974" s="24"/>
      <c r="J12974" s="24"/>
      <c r="K12974" s="24"/>
      <c r="L12974" s="24"/>
      <c r="M12974" s="24"/>
      <c r="N12974" s="24"/>
      <c r="O12974" s="24"/>
      <c r="P12974" s="24"/>
      <c r="Q12974" s="24"/>
      <c r="R12974" s="24"/>
      <c r="S12974" s="24"/>
      <c r="T12974" s="24"/>
      <c r="U12974" s="24"/>
      <c r="V12974" s="24"/>
      <c r="W12974" s="24"/>
      <c r="X12974" s="24"/>
      <c r="Y12974" s="24"/>
      <c r="Z12974" s="24"/>
      <c r="AA12974" s="24"/>
    </row>
    <row r="12975">
      <c r="A12975" s="24"/>
      <c r="B12975" s="25"/>
      <c r="C12975" s="24"/>
      <c r="D12975" s="26"/>
      <c r="E12975" s="24"/>
      <c r="F12975" s="24"/>
      <c r="G12975" s="24"/>
      <c r="H12975" s="24"/>
      <c r="I12975" s="24"/>
      <c r="J12975" s="24"/>
      <c r="K12975" s="24"/>
      <c r="L12975" s="24"/>
      <c r="M12975" s="24"/>
      <c r="N12975" s="24"/>
      <c r="O12975" s="24"/>
      <c r="P12975" s="24"/>
      <c r="Q12975" s="24"/>
      <c r="R12975" s="24"/>
      <c r="S12975" s="24"/>
      <c r="T12975" s="24"/>
      <c r="U12975" s="24"/>
      <c r="V12975" s="24"/>
      <c r="W12975" s="24"/>
      <c r="X12975" s="24"/>
      <c r="Y12975" s="24"/>
      <c r="Z12975" s="24"/>
      <c r="AA12975" s="24"/>
    </row>
    <row r="12976">
      <c r="A12976" s="24"/>
      <c r="B12976" s="25"/>
      <c r="C12976" s="24"/>
      <c r="D12976" s="26"/>
      <c r="E12976" s="24"/>
      <c r="F12976" s="24"/>
      <c r="G12976" s="24"/>
      <c r="H12976" s="24"/>
      <c r="I12976" s="24"/>
      <c r="J12976" s="24"/>
      <c r="K12976" s="24"/>
      <c r="L12976" s="24"/>
      <c r="M12976" s="24"/>
      <c r="N12976" s="24"/>
      <c r="O12976" s="24"/>
      <c r="P12976" s="24"/>
      <c r="Q12976" s="24"/>
      <c r="R12976" s="24"/>
      <c r="S12976" s="24"/>
      <c r="T12976" s="24"/>
      <c r="U12976" s="24"/>
      <c r="V12976" s="24"/>
      <c r="W12976" s="24"/>
      <c r="X12976" s="24"/>
      <c r="Y12976" s="24"/>
      <c r="Z12976" s="24"/>
      <c r="AA12976" s="24"/>
    </row>
    <row r="12977">
      <c r="A12977" s="24"/>
      <c r="B12977" s="25"/>
      <c r="C12977" s="24"/>
      <c r="D12977" s="26"/>
      <c r="E12977" s="24"/>
      <c r="F12977" s="24"/>
      <c r="G12977" s="24"/>
      <c r="H12977" s="24"/>
      <c r="I12977" s="24"/>
      <c r="J12977" s="24"/>
      <c r="K12977" s="24"/>
      <c r="L12977" s="24"/>
      <c r="M12977" s="24"/>
      <c r="N12977" s="24"/>
      <c r="O12977" s="24"/>
      <c r="P12977" s="24"/>
      <c r="Q12977" s="24"/>
      <c r="R12977" s="24"/>
      <c r="S12977" s="24"/>
      <c r="T12977" s="24"/>
      <c r="U12977" s="24"/>
      <c r="V12977" s="24"/>
      <c r="W12977" s="24"/>
      <c r="X12977" s="24"/>
      <c r="Y12977" s="24"/>
      <c r="Z12977" s="24"/>
      <c r="AA12977" s="24"/>
    </row>
    <row r="12978">
      <c r="A12978" s="24"/>
      <c r="B12978" s="25"/>
      <c r="C12978" s="24"/>
      <c r="D12978" s="26"/>
      <c r="E12978" s="24"/>
      <c r="F12978" s="24"/>
      <c r="G12978" s="24"/>
      <c r="H12978" s="24"/>
      <c r="I12978" s="24"/>
      <c r="J12978" s="24"/>
      <c r="K12978" s="24"/>
      <c r="L12978" s="24"/>
      <c r="M12978" s="24"/>
      <c r="N12978" s="24"/>
      <c r="O12978" s="24"/>
      <c r="P12978" s="24"/>
      <c r="Q12978" s="24"/>
      <c r="R12978" s="24"/>
      <c r="S12978" s="24"/>
      <c r="T12978" s="24"/>
      <c r="U12978" s="24"/>
      <c r="V12978" s="24"/>
      <c r="W12978" s="24"/>
      <c r="X12978" s="24"/>
      <c r="Y12978" s="24"/>
      <c r="Z12978" s="24"/>
      <c r="AA12978" s="24"/>
    </row>
    <row r="12979">
      <c r="A12979" s="24"/>
      <c r="B12979" s="25"/>
      <c r="C12979" s="24"/>
      <c r="D12979" s="26"/>
      <c r="E12979" s="24"/>
      <c r="F12979" s="24"/>
      <c r="G12979" s="24"/>
      <c r="H12979" s="24"/>
      <c r="I12979" s="24"/>
      <c r="J12979" s="24"/>
      <c r="K12979" s="24"/>
      <c r="L12979" s="24"/>
      <c r="M12979" s="24"/>
      <c r="N12979" s="24"/>
      <c r="O12979" s="24"/>
      <c r="P12979" s="24"/>
      <c r="Q12979" s="24"/>
      <c r="R12979" s="24"/>
      <c r="S12979" s="24"/>
      <c r="T12979" s="24"/>
      <c r="U12979" s="24"/>
      <c r="V12979" s="24"/>
      <c r="W12979" s="24"/>
      <c r="X12979" s="24"/>
      <c r="Y12979" s="24"/>
      <c r="Z12979" s="24"/>
      <c r="AA12979" s="24"/>
    </row>
    <row r="12980">
      <c r="A12980" s="24"/>
      <c r="B12980" s="25"/>
      <c r="C12980" s="24"/>
      <c r="D12980" s="26"/>
      <c r="E12980" s="24"/>
      <c r="F12980" s="24"/>
      <c r="G12980" s="24"/>
      <c r="H12980" s="24"/>
      <c r="I12980" s="24"/>
      <c r="J12980" s="24"/>
      <c r="K12980" s="24"/>
      <c r="L12980" s="24"/>
      <c r="M12980" s="24"/>
      <c r="N12980" s="24"/>
      <c r="O12980" s="24"/>
      <c r="P12980" s="24"/>
      <c r="Q12980" s="24"/>
      <c r="R12980" s="24"/>
      <c r="S12980" s="24"/>
      <c r="T12980" s="24"/>
      <c r="U12980" s="24"/>
      <c r="V12980" s="24"/>
      <c r="W12980" s="24"/>
      <c r="X12980" s="24"/>
      <c r="Y12980" s="24"/>
      <c r="Z12980" s="24"/>
      <c r="AA12980" s="24"/>
    </row>
    <row r="12981">
      <c r="A12981" s="24"/>
      <c r="B12981" s="25"/>
      <c r="C12981" s="24"/>
      <c r="D12981" s="26"/>
      <c r="E12981" s="24"/>
      <c r="F12981" s="24"/>
      <c r="G12981" s="24"/>
      <c r="H12981" s="24"/>
      <c r="I12981" s="24"/>
      <c r="J12981" s="24"/>
      <c r="K12981" s="24"/>
      <c r="L12981" s="24"/>
      <c r="M12981" s="24"/>
      <c r="N12981" s="24"/>
      <c r="O12981" s="24"/>
      <c r="P12981" s="24"/>
      <c r="Q12981" s="24"/>
      <c r="R12981" s="24"/>
      <c r="S12981" s="24"/>
      <c r="T12981" s="24"/>
      <c r="U12981" s="24"/>
      <c r="V12981" s="24"/>
      <c r="W12981" s="24"/>
      <c r="X12981" s="24"/>
      <c r="Y12981" s="24"/>
      <c r="Z12981" s="24"/>
      <c r="AA12981" s="24"/>
    </row>
    <row r="12982">
      <c r="A12982" s="24"/>
      <c r="B12982" s="25"/>
      <c r="C12982" s="24"/>
      <c r="D12982" s="26"/>
      <c r="E12982" s="24"/>
      <c r="F12982" s="24"/>
      <c r="G12982" s="24"/>
      <c r="H12982" s="24"/>
      <c r="I12982" s="24"/>
      <c r="J12982" s="24"/>
      <c r="K12982" s="24"/>
      <c r="L12982" s="24"/>
      <c r="M12982" s="24"/>
      <c r="N12982" s="24"/>
      <c r="O12982" s="24"/>
      <c r="P12982" s="24"/>
      <c r="Q12982" s="24"/>
      <c r="R12982" s="24"/>
      <c r="S12982" s="24"/>
      <c r="T12982" s="24"/>
      <c r="U12982" s="24"/>
      <c r="V12982" s="24"/>
      <c r="W12982" s="24"/>
      <c r="X12982" s="24"/>
      <c r="Y12982" s="24"/>
      <c r="Z12982" s="24"/>
      <c r="AA12982" s="24"/>
    </row>
    <row r="12983">
      <c r="A12983" s="24"/>
      <c r="B12983" s="25"/>
      <c r="C12983" s="24"/>
      <c r="D12983" s="26"/>
      <c r="E12983" s="24"/>
      <c r="F12983" s="24"/>
      <c r="G12983" s="24"/>
      <c r="H12983" s="24"/>
      <c r="I12983" s="24"/>
      <c r="J12983" s="24"/>
      <c r="K12983" s="24"/>
      <c r="L12983" s="24"/>
      <c r="M12983" s="24"/>
      <c r="N12983" s="24"/>
      <c r="O12983" s="24"/>
      <c r="P12983" s="24"/>
      <c r="Q12983" s="24"/>
      <c r="R12983" s="24"/>
      <c r="S12983" s="24"/>
      <c r="T12983" s="24"/>
      <c r="U12983" s="24"/>
      <c r="V12983" s="24"/>
      <c r="W12983" s="24"/>
      <c r="X12983" s="24"/>
      <c r="Y12983" s="24"/>
      <c r="Z12983" s="24"/>
      <c r="AA12983" s="24"/>
    </row>
    <row r="12984">
      <c r="A12984" s="24"/>
      <c r="B12984" s="25"/>
      <c r="C12984" s="24"/>
      <c r="D12984" s="26"/>
      <c r="E12984" s="24"/>
      <c r="F12984" s="24"/>
      <c r="G12984" s="24"/>
      <c r="H12984" s="24"/>
      <c r="I12984" s="24"/>
      <c r="J12984" s="24"/>
      <c r="K12984" s="24"/>
      <c r="L12984" s="24"/>
      <c r="M12984" s="24"/>
      <c r="N12984" s="24"/>
      <c r="O12984" s="24"/>
      <c r="P12984" s="24"/>
      <c r="Q12984" s="24"/>
      <c r="R12984" s="24"/>
      <c r="S12984" s="24"/>
      <c r="T12984" s="24"/>
      <c r="U12984" s="24"/>
      <c r="V12984" s="24"/>
      <c r="W12984" s="24"/>
      <c r="X12984" s="24"/>
      <c r="Y12984" s="24"/>
      <c r="Z12984" s="24"/>
      <c r="AA12984" s="24"/>
    </row>
    <row r="12985">
      <c r="A12985" s="24"/>
      <c r="B12985" s="25"/>
      <c r="C12985" s="24"/>
      <c r="D12985" s="26"/>
      <c r="E12985" s="24"/>
      <c r="F12985" s="24"/>
      <c r="G12985" s="24"/>
      <c r="H12985" s="24"/>
      <c r="I12985" s="24"/>
      <c r="J12985" s="24"/>
      <c r="K12985" s="24"/>
      <c r="L12985" s="24"/>
      <c r="M12985" s="24"/>
      <c r="N12985" s="24"/>
      <c r="O12985" s="24"/>
      <c r="P12985" s="24"/>
      <c r="Q12985" s="24"/>
      <c r="R12985" s="24"/>
      <c r="S12985" s="24"/>
      <c r="T12985" s="24"/>
      <c r="U12985" s="24"/>
      <c r="V12985" s="24"/>
      <c r="W12985" s="24"/>
      <c r="X12985" s="24"/>
      <c r="Y12985" s="24"/>
      <c r="Z12985" s="24"/>
      <c r="AA12985" s="24"/>
    </row>
    <row r="12986">
      <c r="A12986" s="24"/>
      <c r="B12986" s="25"/>
      <c r="C12986" s="24"/>
      <c r="D12986" s="26"/>
      <c r="E12986" s="24"/>
      <c r="F12986" s="24"/>
      <c r="G12986" s="24"/>
      <c r="H12986" s="24"/>
      <c r="I12986" s="24"/>
      <c r="J12986" s="24"/>
      <c r="K12986" s="24"/>
      <c r="L12986" s="24"/>
      <c r="M12986" s="24"/>
      <c r="N12986" s="24"/>
      <c r="O12986" s="24"/>
      <c r="P12986" s="24"/>
      <c r="Q12986" s="24"/>
      <c r="R12986" s="24"/>
      <c r="S12986" s="24"/>
      <c r="T12986" s="24"/>
      <c r="U12986" s="24"/>
      <c r="V12986" s="24"/>
      <c r="W12986" s="24"/>
      <c r="X12986" s="24"/>
      <c r="Y12986" s="24"/>
      <c r="Z12986" s="24"/>
      <c r="AA12986" s="24"/>
    </row>
    <row r="12987">
      <c r="A12987" s="24"/>
      <c r="B12987" s="25"/>
      <c r="C12987" s="24"/>
      <c r="D12987" s="26"/>
      <c r="E12987" s="24"/>
      <c r="F12987" s="24"/>
      <c r="G12987" s="24"/>
      <c r="H12987" s="24"/>
      <c r="I12987" s="24"/>
      <c r="J12987" s="24"/>
      <c r="K12987" s="24"/>
      <c r="L12987" s="24"/>
      <c r="M12987" s="24"/>
      <c r="N12987" s="24"/>
      <c r="O12987" s="24"/>
      <c r="P12987" s="24"/>
      <c r="Q12987" s="24"/>
      <c r="R12987" s="24"/>
      <c r="S12987" s="24"/>
      <c r="T12987" s="24"/>
      <c r="U12987" s="24"/>
      <c r="V12987" s="24"/>
      <c r="W12987" s="24"/>
      <c r="X12987" s="24"/>
      <c r="Y12987" s="24"/>
      <c r="Z12987" s="24"/>
      <c r="AA12987" s="24"/>
    </row>
    <row r="12988">
      <c r="A12988" s="24"/>
      <c r="B12988" s="25"/>
      <c r="C12988" s="24"/>
      <c r="D12988" s="26"/>
      <c r="E12988" s="24"/>
      <c r="F12988" s="24"/>
      <c r="G12988" s="24"/>
      <c r="H12988" s="24"/>
      <c r="I12988" s="24"/>
      <c r="J12988" s="24"/>
      <c r="K12988" s="24"/>
      <c r="L12988" s="24"/>
      <c r="M12988" s="24"/>
      <c r="N12988" s="24"/>
      <c r="O12988" s="24"/>
      <c r="P12988" s="24"/>
      <c r="Q12988" s="24"/>
      <c r="R12988" s="24"/>
      <c r="S12988" s="24"/>
      <c r="T12988" s="24"/>
      <c r="U12988" s="24"/>
      <c r="V12988" s="24"/>
      <c r="W12988" s="24"/>
      <c r="X12988" s="24"/>
      <c r="Y12988" s="24"/>
      <c r="Z12988" s="24"/>
      <c r="AA12988" s="24"/>
    </row>
    <row r="12989">
      <c r="A12989" s="24"/>
      <c r="B12989" s="25"/>
      <c r="C12989" s="24"/>
      <c r="D12989" s="26"/>
      <c r="E12989" s="24"/>
      <c r="F12989" s="24"/>
      <c r="G12989" s="24"/>
      <c r="H12989" s="24"/>
      <c r="I12989" s="24"/>
      <c r="J12989" s="24"/>
      <c r="K12989" s="24"/>
      <c r="L12989" s="24"/>
      <c r="M12989" s="24"/>
      <c r="N12989" s="24"/>
      <c r="O12989" s="24"/>
      <c r="P12989" s="24"/>
      <c r="Q12989" s="24"/>
      <c r="R12989" s="24"/>
      <c r="S12989" s="24"/>
      <c r="T12989" s="24"/>
      <c r="U12989" s="24"/>
      <c r="V12989" s="24"/>
      <c r="W12989" s="24"/>
      <c r="X12989" s="24"/>
      <c r="Y12989" s="24"/>
      <c r="Z12989" s="24"/>
      <c r="AA12989" s="24"/>
    </row>
    <row r="12990">
      <c r="A12990" s="24"/>
      <c r="B12990" s="25"/>
      <c r="C12990" s="24"/>
      <c r="D12990" s="26"/>
      <c r="E12990" s="24"/>
      <c r="F12990" s="24"/>
      <c r="G12990" s="24"/>
      <c r="H12990" s="24"/>
      <c r="I12990" s="24"/>
      <c r="J12990" s="24"/>
      <c r="K12990" s="24"/>
      <c r="L12990" s="24"/>
      <c r="M12990" s="24"/>
      <c r="N12990" s="24"/>
      <c r="O12990" s="24"/>
      <c r="P12990" s="24"/>
      <c r="Q12990" s="24"/>
      <c r="R12990" s="24"/>
      <c r="S12990" s="24"/>
      <c r="T12990" s="24"/>
      <c r="U12990" s="24"/>
      <c r="V12990" s="24"/>
      <c r="W12990" s="24"/>
      <c r="X12990" s="24"/>
      <c r="Y12990" s="24"/>
      <c r="Z12990" s="24"/>
      <c r="AA12990" s="24"/>
    </row>
    <row r="12991">
      <c r="A12991" s="24"/>
      <c r="B12991" s="25"/>
      <c r="C12991" s="24"/>
      <c r="D12991" s="26"/>
      <c r="E12991" s="24"/>
      <c r="F12991" s="24"/>
      <c r="G12991" s="24"/>
      <c r="H12991" s="24"/>
      <c r="I12991" s="24"/>
      <c r="J12991" s="24"/>
      <c r="K12991" s="24"/>
      <c r="L12991" s="24"/>
      <c r="M12991" s="24"/>
      <c r="N12991" s="24"/>
      <c r="O12991" s="24"/>
      <c r="P12991" s="24"/>
      <c r="Q12991" s="24"/>
      <c r="R12991" s="24"/>
      <c r="S12991" s="24"/>
      <c r="T12991" s="24"/>
      <c r="U12991" s="24"/>
      <c r="V12991" s="24"/>
      <c r="W12991" s="24"/>
      <c r="X12991" s="24"/>
      <c r="Y12991" s="24"/>
      <c r="Z12991" s="24"/>
      <c r="AA12991" s="24"/>
    </row>
    <row r="12992">
      <c r="A12992" s="24"/>
      <c r="B12992" s="25"/>
      <c r="C12992" s="24"/>
      <c r="D12992" s="26"/>
      <c r="E12992" s="24"/>
      <c r="F12992" s="24"/>
      <c r="G12992" s="24"/>
      <c r="H12992" s="24"/>
      <c r="I12992" s="24"/>
      <c r="J12992" s="24"/>
      <c r="K12992" s="24"/>
      <c r="L12992" s="24"/>
      <c r="M12992" s="24"/>
      <c r="N12992" s="24"/>
      <c r="O12992" s="24"/>
      <c r="P12992" s="24"/>
      <c r="Q12992" s="24"/>
      <c r="R12992" s="24"/>
      <c r="S12992" s="24"/>
      <c r="T12992" s="24"/>
      <c r="U12992" s="24"/>
      <c r="V12992" s="24"/>
      <c r="W12992" s="24"/>
      <c r="X12992" s="24"/>
      <c r="Y12992" s="24"/>
      <c r="Z12992" s="24"/>
      <c r="AA12992" s="24"/>
    </row>
    <row r="12993">
      <c r="A12993" s="24"/>
      <c r="B12993" s="25"/>
      <c r="C12993" s="24"/>
      <c r="D12993" s="26"/>
      <c r="E12993" s="24"/>
      <c r="F12993" s="24"/>
      <c r="G12993" s="24"/>
      <c r="H12993" s="24"/>
      <c r="I12993" s="24"/>
      <c r="J12993" s="24"/>
      <c r="K12993" s="24"/>
      <c r="L12993" s="24"/>
      <c r="M12993" s="24"/>
      <c r="N12993" s="24"/>
      <c r="O12993" s="24"/>
      <c r="P12993" s="24"/>
      <c r="Q12993" s="24"/>
      <c r="R12993" s="24"/>
      <c r="S12993" s="24"/>
      <c r="T12993" s="24"/>
      <c r="U12993" s="24"/>
      <c r="V12993" s="24"/>
      <c r="W12993" s="24"/>
      <c r="X12993" s="24"/>
      <c r="Y12993" s="24"/>
      <c r="Z12993" s="24"/>
      <c r="AA12993" s="24"/>
    </row>
    <row r="12994">
      <c r="A12994" s="24"/>
      <c r="B12994" s="25"/>
      <c r="C12994" s="24"/>
      <c r="D12994" s="26"/>
      <c r="E12994" s="24"/>
      <c r="F12994" s="24"/>
      <c r="G12994" s="24"/>
      <c r="H12994" s="24"/>
      <c r="I12994" s="24"/>
      <c r="J12994" s="24"/>
      <c r="K12994" s="24"/>
      <c r="L12994" s="24"/>
      <c r="M12994" s="24"/>
      <c r="N12994" s="24"/>
      <c r="O12994" s="24"/>
      <c r="P12994" s="24"/>
      <c r="Q12994" s="24"/>
      <c r="R12994" s="24"/>
      <c r="S12994" s="24"/>
      <c r="T12994" s="24"/>
      <c r="U12994" s="24"/>
      <c r="V12994" s="24"/>
      <c r="W12994" s="24"/>
      <c r="X12994" s="24"/>
      <c r="Y12994" s="24"/>
      <c r="Z12994" s="24"/>
      <c r="AA12994" s="24"/>
    </row>
    <row r="12995">
      <c r="A12995" s="24"/>
      <c r="B12995" s="25"/>
      <c r="C12995" s="24"/>
      <c r="D12995" s="26"/>
      <c r="E12995" s="24"/>
      <c r="F12995" s="24"/>
      <c r="G12995" s="24"/>
      <c r="H12995" s="24"/>
      <c r="I12995" s="24"/>
      <c r="J12995" s="24"/>
      <c r="K12995" s="24"/>
      <c r="L12995" s="24"/>
      <c r="M12995" s="24"/>
      <c r="N12995" s="24"/>
      <c r="O12995" s="24"/>
      <c r="P12995" s="24"/>
      <c r="Q12995" s="24"/>
      <c r="R12995" s="24"/>
      <c r="S12995" s="24"/>
      <c r="T12995" s="24"/>
      <c r="U12995" s="24"/>
      <c r="V12995" s="24"/>
      <c r="W12995" s="24"/>
      <c r="X12995" s="24"/>
      <c r="Y12995" s="24"/>
      <c r="Z12995" s="24"/>
      <c r="AA12995" s="24"/>
    </row>
    <row r="12996">
      <c r="A12996" s="24"/>
      <c r="B12996" s="25"/>
      <c r="C12996" s="24"/>
      <c r="D12996" s="26"/>
      <c r="E12996" s="24"/>
      <c r="F12996" s="24"/>
      <c r="G12996" s="24"/>
      <c r="H12996" s="24"/>
      <c r="I12996" s="24"/>
      <c r="J12996" s="24"/>
      <c r="K12996" s="24"/>
      <c r="L12996" s="24"/>
      <c r="M12996" s="24"/>
      <c r="N12996" s="24"/>
      <c r="O12996" s="24"/>
      <c r="P12996" s="24"/>
      <c r="Q12996" s="24"/>
      <c r="R12996" s="24"/>
      <c r="S12996" s="24"/>
      <c r="T12996" s="24"/>
      <c r="U12996" s="24"/>
      <c r="V12996" s="24"/>
      <c r="W12996" s="24"/>
      <c r="X12996" s="24"/>
      <c r="Y12996" s="24"/>
      <c r="Z12996" s="24"/>
      <c r="AA12996" s="24"/>
    </row>
    <row r="12997">
      <c r="A12997" s="24"/>
      <c r="B12997" s="25"/>
      <c r="C12997" s="24"/>
      <c r="D12997" s="26"/>
      <c r="E12997" s="24"/>
      <c r="F12997" s="24"/>
      <c r="G12997" s="24"/>
      <c r="H12997" s="24"/>
      <c r="I12997" s="24"/>
      <c r="J12997" s="24"/>
      <c r="K12997" s="24"/>
      <c r="L12997" s="24"/>
      <c r="M12997" s="24"/>
      <c r="N12997" s="24"/>
      <c r="O12997" s="24"/>
      <c r="P12997" s="24"/>
      <c r="Q12997" s="24"/>
      <c r="R12997" s="24"/>
      <c r="S12997" s="24"/>
      <c r="T12997" s="24"/>
      <c r="U12997" s="24"/>
      <c r="V12997" s="24"/>
      <c r="W12997" s="24"/>
      <c r="X12997" s="24"/>
      <c r="Y12997" s="24"/>
      <c r="Z12997" s="24"/>
      <c r="AA12997" s="24"/>
    </row>
    <row r="12998">
      <c r="A12998" s="24"/>
      <c r="B12998" s="25"/>
      <c r="C12998" s="24"/>
      <c r="D12998" s="26"/>
      <c r="E12998" s="24"/>
      <c r="F12998" s="24"/>
      <c r="G12998" s="24"/>
      <c r="H12998" s="24"/>
      <c r="I12998" s="24"/>
      <c r="J12998" s="24"/>
      <c r="K12998" s="24"/>
      <c r="L12998" s="24"/>
      <c r="M12998" s="24"/>
      <c r="N12998" s="24"/>
      <c r="O12998" s="24"/>
      <c r="P12998" s="24"/>
      <c r="Q12998" s="24"/>
      <c r="R12998" s="24"/>
      <c r="S12998" s="24"/>
      <c r="T12998" s="24"/>
      <c r="U12998" s="24"/>
      <c r="V12998" s="24"/>
      <c r="W12998" s="24"/>
      <c r="X12998" s="24"/>
      <c r="Y12998" s="24"/>
      <c r="Z12998" s="24"/>
      <c r="AA12998" s="24"/>
    </row>
    <row r="12999">
      <c r="A12999" s="24"/>
      <c r="B12999" s="25"/>
      <c r="C12999" s="24"/>
      <c r="D12999" s="26"/>
      <c r="E12999" s="24"/>
      <c r="F12999" s="24"/>
      <c r="G12999" s="24"/>
      <c r="H12999" s="24"/>
      <c r="I12999" s="24"/>
      <c r="J12999" s="24"/>
      <c r="K12999" s="24"/>
      <c r="L12999" s="24"/>
      <c r="M12999" s="24"/>
      <c r="N12999" s="24"/>
      <c r="O12999" s="24"/>
      <c r="P12999" s="24"/>
      <c r="Q12999" s="24"/>
      <c r="R12999" s="24"/>
      <c r="S12999" s="24"/>
      <c r="T12999" s="24"/>
      <c r="U12999" s="24"/>
      <c r="V12999" s="24"/>
      <c r="W12999" s="24"/>
      <c r="X12999" s="24"/>
      <c r="Y12999" s="24"/>
      <c r="Z12999" s="24"/>
      <c r="AA12999" s="24"/>
    </row>
    <row r="13000">
      <c r="A13000" s="24"/>
      <c r="B13000" s="25"/>
      <c r="C13000" s="24"/>
      <c r="D13000" s="26"/>
      <c r="E13000" s="24"/>
      <c r="F13000" s="24"/>
      <c r="G13000" s="24"/>
      <c r="H13000" s="24"/>
      <c r="I13000" s="24"/>
      <c r="J13000" s="24"/>
      <c r="K13000" s="24"/>
      <c r="L13000" s="24"/>
      <c r="M13000" s="24"/>
      <c r="N13000" s="24"/>
      <c r="O13000" s="24"/>
      <c r="P13000" s="24"/>
      <c r="Q13000" s="24"/>
      <c r="R13000" s="24"/>
      <c r="S13000" s="24"/>
      <c r="T13000" s="24"/>
      <c r="U13000" s="24"/>
      <c r="V13000" s="24"/>
      <c r="W13000" s="24"/>
      <c r="X13000" s="24"/>
      <c r="Y13000" s="24"/>
      <c r="Z13000" s="24"/>
      <c r="AA13000" s="24"/>
    </row>
    <row r="13001">
      <c r="A13001" s="24"/>
      <c r="B13001" s="25"/>
      <c r="C13001" s="24"/>
      <c r="D13001" s="26"/>
      <c r="E13001" s="24"/>
      <c r="F13001" s="24"/>
      <c r="G13001" s="24"/>
      <c r="H13001" s="24"/>
      <c r="I13001" s="24"/>
      <c r="J13001" s="24"/>
      <c r="K13001" s="24"/>
      <c r="L13001" s="24"/>
      <c r="M13001" s="24"/>
      <c r="N13001" s="24"/>
      <c r="O13001" s="24"/>
      <c r="P13001" s="24"/>
      <c r="Q13001" s="24"/>
      <c r="R13001" s="24"/>
      <c r="S13001" s="24"/>
      <c r="T13001" s="24"/>
      <c r="U13001" s="24"/>
      <c r="V13001" s="24"/>
      <c r="W13001" s="24"/>
      <c r="X13001" s="24"/>
      <c r="Y13001" s="24"/>
      <c r="Z13001" s="24"/>
      <c r="AA13001" s="24"/>
    </row>
    <row r="13002">
      <c r="A13002" s="24"/>
      <c r="B13002" s="25"/>
      <c r="C13002" s="24"/>
      <c r="D13002" s="26"/>
      <c r="E13002" s="24"/>
      <c r="F13002" s="24"/>
      <c r="G13002" s="24"/>
      <c r="H13002" s="24"/>
      <c r="I13002" s="24"/>
      <c r="J13002" s="24"/>
      <c r="K13002" s="24"/>
      <c r="L13002" s="24"/>
      <c r="M13002" s="24"/>
      <c r="N13002" s="24"/>
      <c r="O13002" s="24"/>
      <c r="P13002" s="24"/>
      <c r="Q13002" s="24"/>
      <c r="R13002" s="24"/>
      <c r="S13002" s="24"/>
      <c r="T13002" s="24"/>
      <c r="U13002" s="24"/>
      <c r="V13002" s="24"/>
      <c r="W13002" s="24"/>
      <c r="X13002" s="24"/>
      <c r="Y13002" s="24"/>
      <c r="Z13002" s="24"/>
      <c r="AA13002" s="24"/>
    </row>
    <row r="13003">
      <c r="A13003" s="24"/>
      <c r="B13003" s="25"/>
      <c r="C13003" s="24"/>
      <c r="D13003" s="26"/>
      <c r="E13003" s="24"/>
      <c r="F13003" s="24"/>
      <c r="G13003" s="24"/>
      <c r="H13003" s="24"/>
      <c r="I13003" s="24"/>
      <c r="J13003" s="24"/>
      <c r="K13003" s="24"/>
      <c r="L13003" s="24"/>
      <c r="M13003" s="24"/>
      <c r="N13003" s="24"/>
      <c r="O13003" s="24"/>
      <c r="P13003" s="24"/>
      <c r="Q13003" s="24"/>
      <c r="R13003" s="24"/>
      <c r="S13003" s="24"/>
      <c r="T13003" s="24"/>
      <c r="U13003" s="24"/>
      <c r="V13003" s="24"/>
      <c r="W13003" s="24"/>
      <c r="X13003" s="24"/>
      <c r="Y13003" s="24"/>
      <c r="Z13003" s="24"/>
      <c r="AA13003" s="24"/>
    </row>
    <row r="13004">
      <c r="A13004" s="24"/>
      <c r="B13004" s="25"/>
      <c r="C13004" s="24"/>
      <c r="D13004" s="26"/>
      <c r="E13004" s="24"/>
      <c r="F13004" s="24"/>
      <c r="G13004" s="24"/>
      <c r="H13004" s="24"/>
      <c r="I13004" s="24"/>
      <c r="J13004" s="24"/>
      <c r="K13004" s="24"/>
      <c r="L13004" s="24"/>
      <c r="M13004" s="24"/>
      <c r="N13004" s="24"/>
      <c r="O13004" s="24"/>
      <c r="P13004" s="24"/>
      <c r="Q13004" s="24"/>
      <c r="R13004" s="24"/>
      <c r="S13004" s="24"/>
      <c r="T13004" s="24"/>
      <c r="U13004" s="24"/>
      <c r="V13004" s="24"/>
      <c r="W13004" s="24"/>
      <c r="X13004" s="24"/>
      <c r="Y13004" s="24"/>
      <c r="Z13004" s="24"/>
      <c r="AA13004" s="24"/>
    </row>
    <row r="13005">
      <c r="A13005" s="24"/>
      <c r="B13005" s="25"/>
      <c r="C13005" s="24"/>
      <c r="D13005" s="26"/>
      <c r="E13005" s="24"/>
      <c r="F13005" s="24"/>
      <c r="G13005" s="24"/>
      <c r="H13005" s="24"/>
      <c r="I13005" s="24"/>
      <c r="J13005" s="24"/>
      <c r="K13005" s="24"/>
      <c r="L13005" s="24"/>
      <c r="M13005" s="24"/>
      <c r="N13005" s="24"/>
      <c r="O13005" s="24"/>
      <c r="P13005" s="24"/>
      <c r="Q13005" s="24"/>
      <c r="R13005" s="24"/>
      <c r="S13005" s="24"/>
      <c r="T13005" s="24"/>
      <c r="U13005" s="24"/>
      <c r="V13005" s="24"/>
      <c r="W13005" s="24"/>
      <c r="X13005" s="24"/>
      <c r="Y13005" s="24"/>
      <c r="Z13005" s="24"/>
      <c r="AA13005" s="24"/>
    </row>
    <row r="13006">
      <c r="A13006" s="24"/>
      <c r="B13006" s="25"/>
      <c r="C13006" s="24"/>
      <c r="D13006" s="26"/>
      <c r="E13006" s="24"/>
      <c r="F13006" s="24"/>
      <c r="G13006" s="24"/>
      <c r="H13006" s="24"/>
      <c r="I13006" s="24"/>
      <c r="J13006" s="24"/>
      <c r="K13006" s="24"/>
      <c r="L13006" s="24"/>
      <c r="M13006" s="24"/>
      <c r="N13006" s="24"/>
      <c r="O13006" s="24"/>
      <c r="P13006" s="24"/>
      <c r="Q13006" s="24"/>
      <c r="R13006" s="24"/>
      <c r="S13006" s="24"/>
      <c r="T13006" s="24"/>
      <c r="U13006" s="24"/>
      <c r="V13006" s="24"/>
      <c r="W13006" s="24"/>
      <c r="X13006" s="24"/>
      <c r="Y13006" s="24"/>
      <c r="Z13006" s="24"/>
      <c r="AA13006" s="24"/>
    </row>
    <row r="13007">
      <c r="A13007" s="24"/>
      <c r="B13007" s="25"/>
      <c r="C13007" s="24"/>
      <c r="D13007" s="26"/>
      <c r="E13007" s="24"/>
      <c r="F13007" s="24"/>
      <c r="G13007" s="24"/>
      <c r="H13007" s="24"/>
      <c r="I13007" s="24"/>
      <c r="J13007" s="24"/>
      <c r="K13007" s="24"/>
      <c r="L13007" s="24"/>
      <c r="M13007" s="24"/>
      <c r="N13007" s="24"/>
      <c r="O13007" s="24"/>
      <c r="P13007" s="24"/>
      <c r="Q13007" s="24"/>
      <c r="R13007" s="24"/>
      <c r="S13007" s="24"/>
      <c r="T13007" s="24"/>
      <c r="U13007" s="24"/>
      <c r="V13007" s="24"/>
      <c r="W13007" s="24"/>
      <c r="X13007" s="24"/>
      <c r="Y13007" s="24"/>
      <c r="Z13007" s="24"/>
      <c r="AA13007" s="24"/>
    </row>
    <row r="13008">
      <c r="A13008" s="24"/>
      <c r="B13008" s="25"/>
      <c r="C13008" s="24"/>
      <c r="D13008" s="26"/>
      <c r="E13008" s="24"/>
      <c r="F13008" s="24"/>
      <c r="G13008" s="24"/>
      <c r="H13008" s="24"/>
      <c r="I13008" s="24"/>
      <c r="J13008" s="24"/>
      <c r="K13008" s="24"/>
      <c r="L13008" s="24"/>
      <c r="M13008" s="24"/>
      <c r="N13008" s="24"/>
      <c r="O13008" s="24"/>
      <c r="P13008" s="24"/>
      <c r="Q13008" s="24"/>
      <c r="R13008" s="24"/>
      <c r="S13008" s="24"/>
      <c r="T13008" s="24"/>
      <c r="U13008" s="24"/>
      <c r="V13008" s="24"/>
      <c r="W13008" s="24"/>
      <c r="X13008" s="24"/>
      <c r="Y13008" s="24"/>
      <c r="Z13008" s="24"/>
      <c r="AA13008" s="24"/>
    </row>
    <row r="13009">
      <c r="A13009" s="24"/>
      <c r="B13009" s="25"/>
      <c r="C13009" s="24"/>
      <c r="D13009" s="26"/>
      <c r="E13009" s="24"/>
      <c r="F13009" s="24"/>
      <c r="G13009" s="24"/>
      <c r="H13009" s="24"/>
      <c r="I13009" s="24"/>
      <c r="J13009" s="24"/>
      <c r="K13009" s="24"/>
      <c r="L13009" s="24"/>
      <c r="M13009" s="24"/>
      <c r="N13009" s="24"/>
      <c r="O13009" s="24"/>
      <c r="P13009" s="24"/>
      <c r="Q13009" s="24"/>
      <c r="R13009" s="24"/>
      <c r="S13009" s="24"/>
      <c r="T13009" s="24"/>
      <c r="U13009" s="24"/>
      <c r="V13009" s="24"/>
      <c r="W13009" s="24"/>
      <c r="X13009" s="24"/>
      <c r="Y13009" s="24"/>
      <c r="Z13009" s="24"/>
      <c r="AA13009" s="24"/>
    </row>
    <row r="13010">
      <c r="A13010" s="24"/>
      <c r="B13010" s="25"/>
      <c r="C13010" s="24"/>
      <c r="D13010" s="26"/>
      <c r="E13010" s="24"/>
      <c r="F13010" s="24"/>
      <c r="G13010" s="24"/>
      <c r="H13010" s="24"/>
      <c r="I13010" s="24"/>
      <c r="J13010" s="24"/>
      <c r="K13010" s="24"/>
      <c r="L13010" s="24"/>
      <c r="M13010" s="24"/>
      <c r="N13010" s="24"/>
      <c r="O13010" s="24"/>
      <c r="P13010" s="24"/>
      <c r="Q13010" s="24"/>
      <c r="R13010" s="24"/>
      <c r="S13010" s="24"/>
      <c r="T13010" s="24"/>
      <c r="U13010" s="24"/>
      <c r="V13010" s="24"/>
      <c r="W13010" s="24"/>
      <c r="X13010" s="24"/>
      <c r="Y13010" s="24"/>
      <c r="Z13010" s="24"/>
      <c r="AA13010" s="24"/>
    </row>
    <row r="13011">
      <c r="A13011" s="24"/>
      <c r="B13011" s="25"/>
      <c r="C13011" s="24"/>
      <c r="D13011" s="26"/>
      <c r="E13011" s="24"/>
      <c r="F13011" s="24"/>
      <c r="G13011" s="24"/>
      <c r="H13011" s="24"/>
      <c r="I13011" s="24"/>
      <c r="J13011" s="24"/>
      <c r="K13011" s="24"/>
      <c r="L13011" s="24"/>
      <c r="M13011" s="24"/>
      <c r="N13011" s="24"/>
      <c r="O13011" s="24"/>
      <c r="P13011" s="24"/>
      <c r="Q13011" s="24"/>
      <c r="R13011" s="24"/>
      <c r="S13011" s="24"/>
      <c r="T13011" s="24"/>
      <c r="U13011" s="24"/>
      <c r="V13011" s="24"/>
      <c r="W13011" s="24"/>
      <c r="X13011" s="24"/>
      <c r="Y13011" s="24"/>
      <c r="Z13011" s="24"/>
      <c r="AA13011" s="24"/>
    </row>
    <row r="13012">
      <c r="A13012" s="24"/>
      <c r="B13012" s="25"/>
      <c r="C13012" s="24"/>
      <c r="D13012" s="26"/>
      <c r="E13012" s="24"/>
      <c r="F13012" s="24"/>
      <c r="G13012" s="24"/>
      <c r="H13012" s="24"/>
      <c r="I13012" s="24"/>
      <c r="J13012" s="24"/>
      <c r="K13012" s="24"/>
      <c r="L13012" s="24"/>
      <c r="M13012" s="24"/>
      <c r="N13012" s="24"/>
      <c r="O13012" s="24"/>
      <c r="P13012" s="24"/>
      <c r="Q13012" s="24"/>
      <c r="R13012" s="24"/>
      <c r="S13012" s="24"/>
      <c r="T13012" s="24"/>
      <c r="U13012" s="24"/>
      <c r="V13012" s="24"/>
      <c r="W13012" s="24"/>
      <c r="X13012" s="24"/>
      <c r="Y13012" s="24"/>
      <c r="Z13012" s="24"/>
      <c r="AA13012" s="24"/>
    </row>
    <row r="13013">
      <c r="A13013" s="24"/>
      <c r="B13013" s="25"/>
      <c r="C13013" s="24"/>
      <c r="D13013" s="26"/>
      <c r="E13013" s="24"/>
      <c r="F13013" s="24"/>
      <c r="G13013" s="24"/>
      <c r="H13013" s="24"/>
      <c r="I13013" s="24"/>
      <c r="J13013" s="24"/>
      <c r="K13013" s="24"/>
      <c r="L13013" s="24"/>
      <c r="M13013" s="24"/>
      <c r="N13013" s="24"/>
      <c r="O13013" s="24"/>
      <c r="P13013" s="24"/>
      <c r="Q13013" s="24"/>
      <c r="R13013" s="24"/>
      <c r="S13013" s="24"/>
      <c r="T13013" s="24"/>
      <c r="U13013" s="24"/>
      <c r="V13013" s="24"/>
      <c r="W13013" s="24"/>
      <c r="X13013" s="24"/>
      <c r="Y13013" s="24"/>
      <c r="Z13013" s="24"/>
      <c r="AA13013" s="24"/>
    </row>
    <row r="13014">
      <c r="A13014" s="24"/>
      <c r="B13014" s="25"/>
      <c r="C13014" s="24"/>
      <c r="D13014" s="26"/>
      <c r="E13014" s="24"/>
      <c r="F13014" s="24"/>
      <c r="G13014" s="24"/>
      <c r="H13014" s="24"/>
      <c r="I13014" s="24"/>
      <c r="J13014" s="24"/>
      <c r="K13014" s="24"/>
      <c r="L13014" s="24"/>
      <c r="M13014" s="24"/>
      <c r="N13014" s="24"/>
      <c r="O13014" s="24"/>
      <c r="P13014" s="24"/>
      <c r="Q13014" s="24"/>
      <c r="R13014" s="24"/>
      <c r="S13014" s="24"/>
      <c r="T13014" s="24"/>
      <c r="U13014" s="24"/>
      <c r="V13014" s="24"/>
      <c r="W13014" s="24"/>
      <c r="X13014" s="24"/>
      <c r="Y13014" s="24"/>
      <c r="Z13014" s="24"/>
      <c r="AA13014" s="24"/>
    </row>
    <row r="13015">
      <c r="A13015" s="24"/>
      <c r="B13015" s="25"/>
      <c r="C13015" s="24"/>
      <c r="D13015" s="26"/>
      <c r="E13015" s="24"/>
      <c r="F13015" s="24"/>
      <c r="G13015" s="24"/>
      <c r="H13015" s="24"/>
      <c r="I13015" s="24"/>
      <c r="J13015" s="24"/>
      <c r="K13015" s="24"/>
      <c r="L13015" s="24"/>
      <c r="M13015" s="24"/>
      <c r="N13015" s="24"/>
      <c r="O13015" s="24"/>
      <c r="P13015" s="24"/>
      <c r="Q13015" s="24"/>
      <c r="R13015" s="24"/>
      <c r="S13015" s="24"/>
      <c r="T13015" s="24"/>
      <c r="U13015" s="24"/>
      <c r="V13015" s="24"/>
      <c r="W13015" s="24"/>
      <c r="X13015" s="24"/>
      <c r="Y13015" s="24"/>
      <c r="Z13015" s="24"/>
      <c r="AA13015" s="24"/>
    </row>
    <row r="13016">
      <c r="A13016" s="24"/>
      <c r="B13016" s="25"/>
      <c r="C13016" s="24"/>
      <c r="D13016" s="26"/>
      <c r="E13016" s="24"/>
      <c r="F13016" s="24"/>
      <c r="G13016" s="24"/>
      <c r="H13016" s="24"/>
      <c r="I13016" s="24"/>
      <c r="J13016" s="24"/>
      <c r="K13016" s="24"/>
      <c r="L13016" s="24"/>
      <c r="M13016" s="24"/>
      <c r="N13016" s="24"/>
      <c r="O13016" s="24"/>
      <c r="P13016" s="24"/>
      <c r="Q13016" s="24"/>
      <c r="R13016" s="24"/>
      <c r="S13016" s="24"/>
      <c r="T13016" s="24"/>
      <c r="U13016" s="24"/>
      <c r="V13016" s="24"/>
      <c r="W13016" s="24"/>
      <c r="X13016" s="24"/>
      <c r="Y13016" s="24"/>
      <c r="Z13016" s="24"/>
      <c r="AA13016" s="24"/>
    </row>
    <row r="13017">
      <c r="A13017" s="24"/>
      <c r="B13017" s="25"/>
      <c r="C13017" s="24"/>
      <c r="D13017" s="26"/>
      <c r="E13017" s="24"/>
      <c r="F13017" s="24"/>
      <c r="G13017" s="24"/>
      <c r="H13017" s="24"/>
      <c r="I13017" s="24"/>
      <c r="J13017" s="24"/>
      <c r="K13017" s="24"/>
      <c r="L13017" s="24"/>
      <c r="M13017" s="24"/>
      <c r="N13017" s="24"/>
      <c r="O13017" s="24"/>
      <c r="P13017" s="24"/>
      <c r="Q13017" s="24"/>
      <c r="R13017" s="24"/>
      <c r="S13017" s="24"/>
      <c r="T13017" s="24"/>
      <c r="U13017" s="24"/>
      <c r="V13017" s="24"/>
      <c r="W13017" s="24"/>
      <c r="X13017" s="24"/>
      <c r="Y13017" s="24"/>
      <c r="Z13017" s="24"/>
      <c r="AA13017" s="24"/>
    </row>
    <row r="13018">
      <c r="A13018" s="24"/>
      <c r="B13018" s="25"/>
      <c r="C13018" s="24"/>
      <c r="D13018" s="26"/>
      <c r="E13018" s="24"/>
      <c r="F13018" s="24"/>
      <c r="G13018" s="24"/>
      <c r="H13018" s="24"/>
      <c r="I13018" s="24"/>
      <c r="J13018" s="24"/>
      <c r="K13018" s="24"/>
      <c r="L13018" s="24"/>
      <c r="M13018" s="24"/>
      <c r="N13018" s="24"/>
      <c r="O13018" s="24"/>
      <c r="P13018" s="24"/>
      <c r="Q13018" s="24"/>
      <c r="R13018" s="24"/>
      <c r="S13018" s="24"/>
      <c r="T13018" s="24"/>
      <c r="U13018" s="24"/>
      <c r="V13018" s="24"/>
      <c r="W13018" s="24"/>
      <c r="X13018" s="24"/>
      <c r="Y13018" s="24"/>
      <c r="Z13018" s="24"/>
      <c r="AA13018" s="24"/>
    </row>
    <row r="13019">
      <c r="A13019" s="24"/>
      <c r="B13019" s="25"/>
      <c r="C13019" s="24"/>
      <c r="D13019" s="26"/>
      <c r="E13019" s="24"/>
      <c r="F13019" s="24"/>
      <c r="G13019" s="24"/>
      <c r="H13019" s="24"/>
      <c r="I13019" s="24"/>
      <c r="J13019" s="24"/>
      <c r="K13019" s="24"/>
      <c r="L13019" s="24"/>
      <c r="M13019" s="24"/>
      <c r="N13019" s="24"/>
      <c r="O13019" s="24"/>
      <c r="P13019" s="24"/>
      <c r="Q13019" s="24"/>
      <c r="R13019" s="24"/>
      <c r="S13019" s="24"/>
      <c r="T13019" s="24"/>
      <c r="U13019" s="24"/>
      <c r="V13019" s="24"/>
      <c r="W13019" s="24"/>
      <c r="X13019" s="24"/>
      <c r="Y13019" s="24"/>
      <c r="Z13019" s="24"/>
      <c r="AA13019" s="24"/>
    </row>
    <row r="13020">
      <c r="A13020" s="24"/>
      <c r="B13020" s="25"/>
      <c r="C13020" s="24"/>
      <c r="D13020" s="26"/>
      <c r="E13020" s="24"/>
      <c r="F13020" s="24"/>
      <c r="G13020" s="24"/>
      <c r="H13020" s="24"/>
      <c r="I13020" s="24"/>
      <c r="J13020" s="24"/>
      <c r="K13020" s="24"/>
      <c r="L13020" s="24"/>
      <c r="M13020" s="24"/>
      <c r="N13020" s="24"/>
      <c r="O13020" s="24"/>
      <c r="P13020" s="24"/>
      <c r="Q13020" s="24"/>
      <c r="R13020" s="24"/>
      <c r="S13020" s="24"/>
      <c r="T13020" s="24"/>
      <c r="U13020" s="24"/>
      <c r="V13020" s="24"/>
      <c r="W13020" s="24"/>
      <c r="X13020" s="24"/>
      <c r="Y13020" s="24"/>
      <c r="Z13020" s="24"/>
      <c r="AA13020" s="24"/>
    </row>
    <row r="13021">
      <c r="A13021" s="24"/>
      <c r="B13021" s="25"/>
      <c r="C13021" s="24"/>
      <c r="D13021" s="26"/>
      <c r="E13021" s="24"/>
      <c r="F13021" s="24"/>
      <c r="G13021" s="24"/>
      <c r="H13021" s="24"/>
      <c r="I13021" s="24"/>
      <c r="J13021" s="24"/>
      <c r="K13021" s="24"/>
      <c r="L13021" s="24"/>
      <c r="M13021" s="24"/>
      <c r="N13021" s="24"/>
      <c r="O13021" s="24"/>
      <c r="P13021" s="24"/>
      <c r="Q13021" s="24"/>
      <c r="R13021" s="24"/>
      <c r="S13021" s="24"/>
      <c r="T13021" s="24"/>
      <c r="U13021" s="24"/>
      <c r="V13021" s="24"/>
      <c r="W13021" s="24"/>
      <c r="X13021" s="24"/>
      <c r="Y13021" s="24"/>
      <c r="Z13021" s="24"/>
      <c r="AA13021" s="24"/>
    </row>
    <row r="13022">
      <c r="A13022" s="24"/>
      <c r="B13022" s="25"/>
      <c r="C13022" s="24"/>
      <c r="D13022" s="26"/>
      <c r="E13022" s="24"/>
      <c r="F13022" s="24"/>
      <c r="G13022" s="24"/>
      <c r="H13022" s="24"/>
      <c r="I13022" s="24"/>
      <c r="J13022" s="24"/>
      <c r="K13022" s="24"/>
      <c r="L13022" s="24"/>
      <c r="M13022" s="24"/>
      <c r="N13022" s="24"/>
      <c r="O13022" s="24"/>
      <c r="P13022" s="24"/>
      <c r="Q13022" s="24"/>
      <c r="R13022" s="24"/>
      <c r="S13022" s="24"/>
      <c r="T13022" s="24"/>
      <c r="U13022" s="24"/>
      <c r="V13022" s="24"/>
      <c r="W13022" s="24"/>
      <c r="X13022" s="24"/>
      <c r="Y13022" s="24"/>
      <c r="Z13022" s="24"/>
      <c r="AA13022" s="24"/>
    </row>
    <row r="13023">
      <c r="A13023" s="24"/>
      <c r="B13023" s="25"/>
      <c r="C13023" s="24"/>
      <c r="D13023" s="26"/>
      <c r="E13023" s="24"/>
      <c r="F13023" s="24"/>
      <c r="G13023" s="24"/>
      <c r="H13023" s="24"/>
      <c r="I13023" s="24"/>
      <c r="J13023" s="24"/>
      <c r="K13023" s="24"/>
      <c r="L13023" s="24"/>
      <c r="M13023" s="24"/>
      <c r="N13023" s="24"/>
      <c r="O13023" s="24"/>
      <c r="P13023" s="24"/>
      <c r="Q13023" s="24"/>
      <c r="R13023" s="24"/>
      <c r="S13023" s="24"/>
      <c r="T13023" s="24"/>
      <c r="U13023" s="24"/>
      <c r="V13023" s="24"/>
      <c r="W13023" s="24"/>
      <c r="X13023" s="24"/>
      <c r="Y13023" s="24"/>
      <c r="Z13023" s="24"/>
      <c r="AA13023" s="24"/>
    </row>
    <row r="13024">
      <c r="A13024" s="24"/>
      <c r="B13024" s="25"/>
      <c r="C13024" s="24"/>
      <c r="D13024" s="26"/>
      <c r="E13024" s="24"/>
      <c r="F13024" s="24"/>
      <c r="G13024" s="24"/>
      <c r="H13024" s="24"/>
      <c r="I13024" s="24"/>
      <c r="J13024" s="24"/>
      <c r="K13024" s="24"/>
      <c r="L13024" s="24"/>
      <c r="M13024" s="24"/>
      <c r="N13024" s="24"/>
      <c r="O13024" s="24"/>
      <c r="P13024" s="24"/>
      <c r="Q13024" s="24"/>
      <c r="R13024" s="24"/>
      <c r="S13024" s="24"/>
      <c r="T13024" s="24"/>
      <c r="U13024" s="24"/>
      <c r="V13024" s="24"/>
      <c r="W13024" s="24"/>
      <c r="X13024" s="24"/>
      <c r="Y13024" s="24"/>
      <c r="Z13024" s="24"/>
      <c r="AA13024" s="24"/>
    </row>
    <row r="13025">
      <c r="A13025" s="24"/>
      <c r="B13025" s="25"/>
      <c r="C13025" s="24"/>
      <c r="D13025" s="26"/>
      <c r="E13025" s="24"/>
      <c r="F13025" s="24"/>
      <c r="G13025" s="24"/>
      <c r="H13025" s="24"/>
      <c r="I13025" s="24"/>
      <c r="J13025" s="24"/>
      <c r="K13025" s="24"/>
      <c r="L13025" s="24"/>
      <c r="M13025" s="24"/>
      <c r="N13025" s="24"/>
      <c r="O13025" s="24"/>
      <c r="P13025" s="24"/>
      <c r="Q13025" s="24"/>
      <c r="R13025" s="24"/>
      <c r="S13025" s="24"/>
      <c r="T13025" s="24"/>
      <c r="U13025" s="24"/>
      <c r="V13025" s="24"/>
      <c r="W13025" s="24"/>
      <c r="X13025" s="24"/>
      <c r="Y13025" s="24"/>
      <c r="Z13025" s="24"/>
      <c r="AA13025" s="24"/>
    </row>
    <row r="13026">
      <c r="A13026" s="24"/>
      <c r="B13026" s="25"/>
      <c r="C13026" s="24"/>
      <c r="D13026" s="26"/>
      <c r="E13026" s="24"/>
      <c r="F13026" s="24"/>
      <c r="G13026" s="24"/>
      <c r="H13026" s="24"/>
      <c r="I13026" s="24"/>
      <c r="J13026" s="24"/>
      <c r="K13026" s="24"/>
      <c r="L13026" s="24"/>
      <c r="M13026" s="24"/>
      <c r="N13026" s="24"/>
      <c r="O13026" s="24"/>
      <c r="P13026" s="24"/>
      <c r="Q13026" s="24"/>
      <c r="R13026" s="24"/>
      <c r="S13026" s="24"/>
      <c r="T13026" s="24"/>
      <c r="U13026" s="24"/>
      <c r="V13026" s="24"/>
      <c r="W13026" s="24"/>
      <c r="X13026" s="24"/>
      <c r="Y13026" s="24"/>
      <c r="Z13026" s="24"/>
      <c r="AA13026" s="24"/>
    </row>
    <row r="13027">
      <c r="A13027" s="24"/>
      <c r="B13027" s="25"/>
      <c r="C13027" s="24"/>
      <c r="D13027" s="26"/>
      <c r="E13027" s="24"/>
      <c r="F13027" s="24"/>
      <c r="G13027" s="24"/>
      <c r="H13027" s="24"/>
      <c r="I13027" s="24"/>
      <c r="J13027" s="24"/>
      <c r="K13027" s="24"/>
      <c r="L13027" s="24"/>
      <c r="M13027" s="24"/>
      <c r="N13027" s="24"/>
      <c r="O13027" s="24"/>
      <c r="P13027" s="24"/>
      <c r="Q13027" s="24"/>
      <c r="R13027" s="24"/>
      <c r="S13027" s="24"/>
      <c r="T13027" s="24"/>
      <c r="U13027" s="24"/>
      <c r="V13027" s="24"/>
      <c r="W13027" s="24"/>
      <c r="X13027" s="24"/>
      <c r="Y13027" s="24"/>
      <c r="Z13027" s="24"/>
      <c r="AA13027" s="24"/>
    </row>
    <row r="13028">
      <c r="A13028" s="24"/>
      <c r="B13028" s="25"/>
      <c r="C13028" s="24"/>
      <c r="D13028" s="26"/>
      <c r="E13028" s="24"/>
      <c r="F13028" s="24"/>
      <c r="G13028" s="24"/>
      <c r="H13028" s="24"/>
      <c r="I13028" s="24"/>
      <c r="J13028" s="24"/>
      <c r="K13028" s="24"/>
      <c r="L13028" s="24"/>
      <c r="M13028" s="24"/>
      <c r="N13028" s="24"/>
      <c r="O13028" s="24"/>
      <c r="P13028" s="24"/>
      <c r="Q13028" s="24"/>
      <c r="R13028" s="24"/>
      <c r="S13028" s="24"/>
      <c r="T13028" s="24"/>
      <c r="U13028" s="24"/>
      <c r="V13028" s="24"/>
      <c r="W13028" s="24"/>
      <c r="X13028" s="24"/>
      <c r="Y13028" s="24"/>
      <c r="Z13028" s="24"/>
      <c r="AA13028" s="24"/>
    </row>
    <row r="13029">
      <c r="A13029" s="24"/>
      <c r="B13029" s="25"/>
      <c r="C13029" s="24"/>
      <c r="D13029" s="26"/>
      <c r="E13029" s="24"/>
      <c r="F13029" s="24"/>
      <c r="G13029" s="24"/>
      <c r="H13029" s="24"/>
      <c r="I13029" s="24"/>
      <c r="J13029" s="24"/>
      <c r="K13029" s="24"/>
      <c r="L13029" s="24"/>
      <c r="M13029" s="24"/>
      <c r="N13029" s="24"/>
      <c r="O13029" s="24"/>
      <c r="P13029" s="24"/>
      <c r="Q13029" s="24"/>
      <c r="R13029" s="24"/>
      <c r="S13029" s="24"/>
      <c r="T13029" s="24"/>
      <c r="U13029" s="24"/>
      <c r="V13029" s="24"/>
      <c r="W13029" s="24"/>
      <c r="X13029" s="24"/>
      <c r="Y13029" s="24"/>
      <c r="Z13029" s="24"/>
      <c r="AA13029" s="24"/>
    </row>
    <row r="13030">
      <c r="A13030" s="24"/>
      <c r="B13030" s="25"/>
      <c r="C13030" s="24"/>
      <c r="D13030" s="26"/>
      <c r="E13030" s="24"/>
      <c r="F13030" s="24"/>
      <c r="G13030" s="24"/>
      <c r="H13030" s="24"/>
      <c r="I13030" s="24"/>
      <c r="J13030" s="24"/>
      <c r="K13030" s="24"/>
      <c r="L13030" s="24"/>
      <c r="M13030" s="24"/>
      <c r="N13030" s="24"/>
      <c r="O13030" s="24"/>
      <c r="P13030" s="24"/>
      <c r="Q13030" s="24"/>
      <c r="R13030" s="24"/>
      <c r="S13030" s="24"/>
      <c r="T13030" s="24"/>
      <c r="U13030" s="24"/>
      <c r="V13030" s="24"/>
      <c r="W13030" s="24"/>
      <c r="X13030" s="24"/>
      <c r="Y13030" s="24"/>
      <c r="Z13030" s="24"/>
      <c r="AA13030" s="24"/>
    </row>
    <row r="13031">
      <c r="A13031" s="24"/>
      <c r="B13031" s="25"/>
      <c r="C13031" s="24"/>
      <c r="D13031" s="26"/>
      <c r="E13031" s="24"/>
      <c r="F13031" s="24"/>
      <c r="G13031" s="24"/>
      <c r="H13031" s="24"/>
      <c r="I13031" s="24"/>
      <c r="J13031" s="24"/>
      <c r="K13031" s="24"/>
      <c r="L13031" s="24"/>
      <c r="M13031" s="24"/>
      <c r="N13031" s="24"/>
      <c r="O13031" s="24"/>
      <c r="P13031" s="24"/>
      <c r="Q13031" s="24"/>
      <c r="R13031" s="24"/>
      <c r="S13031" s="24"/>
      <c r="T13031" s="24"/>
      <c r="U13031" s="24"/>
      <c r="V13031" s="24"/>
      <c r="W13031" s="24"/>
      <c r="X13031" s="24"/>
      <c r="Y13031" s="24"/>
      <c r="Z13031" s="24"/>
      <c r="AA13031" s="24"/>
    </row>
    <row r="13032">
      <c r="A13032" s="24"/>
      <c r="B13032" s="25"/>
      <c r="C13032" s="24"/>
      <c r="D13032" s="26"/>
      <c r="E13032" s="24"/>
      <c r="F13032" s="24"/>
      <c r="G13032" s="24"/>
      <c r="H13032" s="24"/>
      <c r="I13032" s="24"/>
      <c r="J13032" s="24"/>
      <c r="K13032" s="24"/>
      <c r="L13032" s="24"/>
      <c r="M13032" s="24"/>
      <c r="N13032" s="24"/>
      <c r="O13032" s="24"/>
      <c r="P13032" s="24"/>
      <c r="Q13032" s="24"/>
      <c r="R13032" s="24"/>
      <c r="S13032" s="24"/>
      <c r="T13032" s="24"/>
      <c r="U13032" s="24"/>
      <c r="V13032" s="24"/>
      <c r="W13032" s="24"/>
      <c r="X13032" s="24"/>
      <c r="Y13032" s="24"/>
      <c r="Z13032" s="24"/>
      <c r="AA13032" s="24"/>
    </row>
    <row r="13033">
      <c r="A13033" s="24"/>
      <c r="B13033" s="25"/>
      <c r="C13033" s="24"/>
      <c r="D13033" s="26"/>
      <c r="E13033" s="24"/>
      <c r="F13033" s="24"/>
      <c r="G13033" s="24"/>
      <c r="H13033" s="24"/>
      <c r="I13033" s="24"/>
      <c r="J13033" s="24"/>
      <c r="K13033" s="24"/>
      <c r="L13033" s="24"/>
      <c r="M13033" s="24"/>
      <c r="N13033" s="24"/>
      <c r="O13033" s="24"/>
      <c r="P13033" s="24"/>
      <c r="Q13033" s="24"/>
      <c r="R13033" s="24"/>
      <c r="S13033" s="24"/>
      <c r="T13033" s="24"/>
      <c r="U13033" s="24"/>
      <c r="V13033" s="24"/>
      <c r="W13033" s="24"/>
      <c r="X13033" s="24"/>
      <c r="Y13033" s="24"/>
      <c r="Z13033" s="24"/>
      <c r="AA13033" s="24"/>
    </row>
    <row r="13034">
      <c r="A13034" s="24"/>
      <c r="B13034" s="25"/>
      <c r="C13034" s="24"/>
      <c r="D13034" s="26"/>
      <c r="E13034" s="24"/>
      <c r="F13034" s="24"/>
      <c r="G13034" s="24"/>
      <c r="H13034" s="24"/>
      <c r="I13034" s="24"/>
      <c r="J13034" s="24"/>
      <c r="K13034" s="24"/>
      <c r="L13034" s="24"/>
      <c r="M13034" s="24"/>
      <c r="N13034" s="24"/>
      <c r="O13034" s="24"/>
      <c r="P13034" s="24"/>
      <c r="Q13034" s="24"/>
      <c r="R13034" s="24"/>
      <c r="S13034" s="24"/>
      <c r="T13034" s="24"/>
      <c r="U13034" s="24"/>
      <c r="V13034" s="24"/>
      <c r="W13034" s="24"/>
      <c r="X13034" s="24"/>
      <c r="Y13034" s="24"/>
      <c r="Z13034" s="24"/>
      <c r="AA13034" s="24"/>
    </row>
    <row r="13035">
      <c r="A13035" s="24"/>
      <c r="B13035" s="25"/>
      <c r="C13035" s="24"/>
      <c r="D13035" s="26"/>
      <c r="E13035" s="24"/>
      <c r="F13035" s="24"/>
      <c r="G13035" s="24"/>
      <c r="H13035" s="24"/>
      <c r="I13035" s="24"/>
      <c r="J13035" s="24"/>
      <c r="K13035" s="24"/>
      <c r="L13035" s="24"/>
      <c r="M13035" s="24"/>
      <c r="N13035" s="24"/>
      <c r="O13035" s="24"/>
      <c r="P13035" s="24"/>
      <c r="Q13035" s="24"/>
      <c r="R13035" s="24"/>
      <c r="S13035" s="24"/>
      <c r="T13035" s="24"/>
      <c r="U13035" s="24"/>
      <c r="V13035" s="24"/>
      <c r="W13035" s="24"/>
      <c r="X13035" s="24"/>
      <c r="Y13035" s="24"/>
      <c r="Z13035" s="24"/>
      <c r="AA13035" s="24"/>
    </row>
    <row r="13036">
      <c r="A13036" s="24"/>
      <c r="B13036" s="25"/>
      <c r="C13036" s="24"/>
      <c r="D13036" s="26"/>
      <c r="E13036" s="24"/>
      <c r="F13036" s="24"/>
      <c r="G13036" s="24"/>
      <c r="H13036" s="24"/>
      <c r="I13036" s="24"/>
      <c r="J13036" s="24"/>
      <c r="K13036" s="24"/>
      <c r="L13036" s="24"/>
      <c r="M13036" s="24"/>
      <c r="N13036" s="24"/>
      <c r="O13036" s="24"/>
      <c r="P13036" s="24"/>
      <c r="Q13036" s="24"/>
      <c r="R13036" s="24"/>
      <c r="S13036" s="24"/>
      <c r="T13036" s="24"/>
      <c r="U13036" s="24"/>
      <c r="V13036" s="24"/>
      <c r="W13036" s="24"/>
      <c r="X13036" s="24"/>
      <c r="Y13036" s="24"/>
      <c r="Z13036" s="24"/>
      <c r="AA13036" s="24"/>
    </row>
    <row r="13037">
      <c r="A13037" s="24"/>
      <c r="B13037" s="25"/>
      <c r="C13037" s="24"/>
      <c r="D13037" s="26"/>
      <c r="E13037" s="24"/>
      <c r="F13037" s="24"/>
      <c r="G13037" s="24"/>
      <c r="H13037" s="24"/>
      <c r="I13037" s="24"/>
      <c r="J13037" s="24"/>
      <c r="K13037" s="24"/>
      <c r="L13037" s="24"/>
      <c r="M13037" s="24"/>
      <c r="N13037" s="24"/>
      <c r="O13037" s="24"/>
      <c r="P13037" s="24"/>
      <c r="Q13037" s="24"/>
      <c r="R13037" s="24"/>
      <c r="S13037" s="24"/>
      <c r="T13037" s="24"/>
      <c r="U13037" s="24"/>
      <c r="V13037" s="24"/>
      <c r="W13037" s="24"/>
      <c r="X13037" s="24"/>
      <c r="Y13037" s="24"/>
      <c r="Z13037" s="24"/>
      <c r="AA13037" s="24"/>
    </row>
    <row r="13038">
      <c r="A13038" s="24"/>
      <c r="B13038" s="25"/>
      <c r="C13038" s="24"/>
      <c r="D13038" s="26"/>
      <c r="E13038" s="24"/>
      <c r="F13038" s="24"/>
      <c r="G13038" s="24"/>
      <c r="H13038" s="24"/>
      <c r="I13038" s="24"/>
      <c r="J13038" s="24"/>
      <c r="K13038" s="24"/>
      <c r="L13038" s="24"/>
      <c r="M13038" s="24"/>
      <c r="N13038" s="24"/>
      <c r="O13038" s="24"/>
      <c r="P13038" s="24"/>
      <c r="Q13038" s="24"/>
      <c r="R13038" s="24"/>
      <c r="S13038" s="24"/>
      <c r="T13038" s="24"/>
      <c r="U13038" s="24"/>
      <c r="V13038" s="24"/>
      <c r="W13038" s="24"/>
      <c r="X13038" s="24"/>
      <c r="Y13038" s="24"/>
      <c r="Z13038" s="24"/>
      <c r="AA13038" s="24"/>
    </row>
    <row r="13039">
      <c r="A13039" s="24"/>
      <c r="B13039" s="25"/>
      <c r="C13039" s="24"/>
      <c r="D13039" s="26"/>
      <c r="E13039" s="24"/>
      <c r="F13039" s="24"/>
      <c r="G13039" s="24"/>
      <c r="H13039" s="24"/>
      <c r="I13039" s="24"/>
      <c r="J13039" s="24"/>
      <c r="K13039" s="24"/>
      <c r="L13039" s="24"/>
      <c r="M13039" s="24"/>
      <c r="N13039" s="24"/>
      <c r="O13039" s="24"/>
      <c r="P13039" s="24"/>
      <c r="Q13039" s="24"/>
      <c r="R13039" s="24"/>
      <c r="S13039" s="24"/>
      <c r="T13039" s="24"/>
      <c r="U13039" s="24"/>
      <c r="V13039" s="24"/>
      <c r="W13039" s="24"/>
      <c r="X13039" s="24"/>
      <c r="Y13039" s="24"/>
      <c r="Z13039" s="24"/>
      <c r="AA13039" s="24"/>
    </row>
    <row r="13040">
      <c r="A13040" s="24"/>
      <c r="B13040" s="25"/>
      <c r="C13040" s="24"/>
      <c r="D13040" s="26"/>
      <c r="E13040" s="24"/>
      <c r="F13040" s="24"/>
      <c r="G13040" s="24"/>
      <c r="H13040" s="24"/>
      <c r="I13040" s="24"/>
      <c r="J13040" s="24"/>
      <c r="K13040" s="24"/>
      <c r="L13040" s="24"/>
      <c r="M13040" s="24"/>
      <c r="N13040" s="24"/>
      <c r="O13040" s="24"/>
      <c r="P13040" s="24"/>
      <c r="Q13040" s="24"/>
      <c r="R13040" s="24"/>
      <c r="S13040" s="24"/>
      <c r="T13040" s="24"/>
      <c r="U13040" s="24"/>
      <c r="V13040" s="24"/>
      <c r="W13040" s="24"/>
      <c r="X13040" s="24"/>
      <c r="Y13040" s="24"/>
      <c r="Z13040" s="24"/>
      <c r="AA13040" s="24"/>
    </row>
    <row r="13041">
      <c r="A13041" s="24"/>
      <c r="B13041" s="25"/>
      <c r="C13041" s="24"/>
      <c r="D13041" s="26"/>
      <c r="E13041" s="24"/>
      <c r="F13041" s="24"/>
      <c r="G13041" s="24"/>
      <c r="H13041" s="24"/>
      <c r="I13041" s="24"/>
      <c r="J13041" s="24"/>
      <c r="K13041" s="24"/>
      <c r="L13041" s="24"/>
      <c r="M13041" s="24"/>
      <c r="N13041" s="24"/>
      <c r="O13041" s="24"/>
      <c r="P13041" s="24"/>
      <c r="Q13041" s="24"/>
      <c r="R13041" s="24"/>
      <c r="S13041" s="24"/>
      <c r="T13041" s="24"/>
      <c r="U13041" s="24"/>
      <c r="V13041" s="24"/>
      <c r="W13041" s="24"/>
      <c r="X13041" s="24"/>
      <c r="Y13041" s="24"/>
      <c r="Z13041" s="24"/>
      <c r="AA13041" s="24"/>
    </row>
    <row r="13042">
      <c r="A13042" s="24"/>
      <c r="B13042" s="25"/>
      <c r="C13042" s="24"/>
      <c r="D13042" s="26"/>
      <c r="E13042" s="24"/>
      <c r="F13042" s="24"/>
      <c r="G13042" s="24"/>
      <c r="H13042" s="24"/>
      <c r="I13042" s="24"/>
      <c r="J13042" s="24"/>
      <c r="K13042" s="24"/>
      <c r="L13042" s="24"/>
      <c r="M13042" s="24"/>
      <c r="N13042" s="24"/>
      <c r="O13042" s="24"/>
      <c r="P13042" s="24"/>
      <c r="Q13042" s="24"/>
      <c r="R13042" s="24"/>
      <c r="S13042" s="24"/>
      <c r="T13042" s="24"/>
      <c r="U13042" s="24"/>
      <c r="V13042" s="24"/>
      <c r="W13042" s="24"/>
      <c r="X13042" s="24"/>
      <c r="Y13042" s="24"/>
      <c r="Z13042" s="24"/>
      <c r="AA13042" s="24"/>
    </row>
    <row r="13043">
      <c r="A13043" s="24"/>
      <c r="B13043" s="25"/>
      <c r="C13043" s="24"/>
      <c r="D13043" s="26"/>
      <c r="E13043" s="24"/>
      <c r="F13043" s="24"/>
      <c r="G13043" s="24"/>
      <c r="H13043" s="24"/>
      <c r="I13043" s="24"/>
      <c r="J13043" s="24"/>
      <c r="K13043" s="24"/>
      <c r="L13043" s="24"/>
      <c r="M13043" s="24"/>
      <c r="N13043" s="24"/>
      <c r="O13043" s="24"/>
      <c r="P13043" s="24"/>
      <c r="Q13043" s="24"/>
      <c r="R13043" s="24"/>
      <c r="S13043" s="24"/>
      <c r="T13043" s="24"/>
      <c r="U13043" s="24"/>
      <c r="V13043" s="24"/>
      <c r="W13043" s="24"/>
      <c r="X13043" s="24"/>
      <c r="Y13043" s="24"/>
      <c r="Z13043" s="24"/>
      <c r="AA13043" s="24"/>
    </row>
    <row r="13044">
      <c r="A13044" s="24"/>
      <c r="B13044" s="25"/>
      <c r="C13044" s="24"/>
      <c r="D13044" s="26"/>
      <c r="E13044" s="24"/>
      <c r="F13044" s="24"/>
      <c r="G13044" s="24"/>
      <c r="H13044" s="24"/>
      <c r="I13044" s="24"/>
      <c r="J13044" s="24"/>
      <c r="K13044" s="24"/>
      <c r="L13044" s="24"/>
      <c r="M13044" s="24"/>
      <c r="N13044" s="24"/>
      <c r="O13044" s="24"/>
      <c r="P13044" s="24"/>
      <c r="Q13044" s="24"/>
      <c r="R13044" s="24"/>
      <c r="S13044" s="24"/>
      <c r="T13044" s="24"/>
      <c r="U13044" s="24"/>
      <c r="V13044" s="24"/>
      <c r="W13044" s="24"/>
      <c r="X13044" s="24"/>
      <c r="Y13044" s="24"/>
      <c r="Z13044" s="24"/>
      <c r="AA13044" s="24"/>
    </row>
    <row r="13045">
      <c r="A13045" s="24"/>
      <c r="B13045" s="25"/>
      <c r="C13045" s="24"/>
      <c r="D13045" s="26"/>
      <c r="E13045" s="24"/>
      <c r="F13045" s="24"/>
      <c r="G13045" s="24"/>
      <c r="H13045" s="24"/>
      <c r="I13045" s="24"/>
      <c r="J13045" s="24"/>
      <c r="K13045" s="24"/>
      <c r="L13045" s="24"/>
      <c r="M13045" s="24"/>
      <c r="N13045" s="24"/>
      <c r="O13045" s="24"/>
      <c r="P13045" s="24"/>
      <c r="Q13045" s="24"/>
      <c r="R13045" s="24"/>
      <c r="S13045" s="24"/>
      <c r="T13045" s="24"/>
      <c r="U13045" s="24"/>
      <c r="V13045" s="24"/>
      <c r="W13045" s="24"/>
      <c r="X13045" s="24"/>
      <c r="Y13045" s="24"/>
      <c r="Z13045" s="24"/>
      <c r="AA13045" s="24"/>
    </row>
    <row r="13046">
      <c r="A13046" s="24"/>
      <c r="B13046" s="25"/>
      <c r="C13046" s="24"/>
      <c r="D13046" s="26"/>
      <c r="E13046" s="24"/>
      <c r="F13046" s="24"/>
      <c r="G13046" s="24"/>
      <c r="H13046" s="24"/>
      <c r="I13046" s="24"/>
      <c r="J13046" s="24"/>
      <c r="K13046" s="24"/>
      <c r="L13046" s="24"/>
      <c r="M13046" s="24"/>
      <c r="N13046" s="24"/>
      <c r="O13046" s="24"/>
      <c r="P13046" s="24"/>
      <c r="Q13046" s="24"/>
      <c r="R13046" s="24"/>
      <c r="S13046" s="24"/>
      <c r="T13046" s="24"/>
      <c r="U13046" s="24"/>
      <c r="V13046" s="24"/>
      <c r="W13046" s="24"/>
      <c r="X13046" s="24"/>
      <c r="Y13046" s="24"/>
      <c r="Z13046" s="24"/>
      <c r="AA13046" s="24"/>
    </row>
    <row r="13047">
      <c r="A13047" s="24"/>
      <c r="B13047" s="25"/>
      <c r="C13047" s="24"/>
      <c r="D13047" s="26"/>
      <c r="E13047" s="24"/>
      <c r="F13047" s="24"/>
      <c r="G13047" s="24"/>
      <c r="H13047" s="24"/>
      <c r="I13047" s="24"/>
      <c r="J13047" s="24"/>
      <c r="K13047" s="24"/>
      <c r="L13047" s="24"/>
      <c r="M13047" s="24"/>
      <c r="N13047" s="24"/>
      <c r="O13047" s="24"/>
      <c r="P13047" s="24"/>
      <c r="Q13047" s="24"/>
      <c r="R13047" s="24"/>
      <c r="S13047" s="24"/>
      <c r="T13047" s="24"/>
      <c r="U13047" s="24"/>
      <c r="V13047" s="24"/>
      <c r="W13047" s="24"/>
      <c r="X13047" s="24"/>
      <c r="Y13047" s="24"/>
      <c r="Z13047" s="24"/>
      <c r="AA13047" s="24"/>
    </row>
    <row r="13048">
      <c r="A13048" s="24"/>
      <c r="B13048" s="25"/>
      <c r="C13048" s="24"/>
      <c r="D13048" s="26"/>
      <c r="E13048" s="24"/>
      <c r="F13048" s="24"/>
      <c r="G13048" s="24"/>
      <c r="H13048" s="24"/>
      <c r="I13048" s="24"/>
      <c r="J13048" s="24"/>
      <c r="K13048" s="24"/>
      <c r="L13048" s="24"/>
      <c r="M13048" s="24"/>
      <c r="N13048" s="24"/>
      <c r="O13048" s="24"/>
      <c r="P13048" s="24"/>
      <c r="Q13048" s="24"/>
      <c r="R13048" s="24"/>
      <c r="S13048" s="24"/>
      <c r="T13048" s="24"/>
      <c r="U13048" s="24"/>
      <c r="V13048" s="24"/>
      <c r="W13048" s="24"/>
      <c r="X13048" s="24"/>
      <c r="Y13048" s="24"/>
      <c r="Z13048" s="24"/>
      <c r="AA13048" s="24"/>
    </row>
    <row r="13049">
      <c r="A13049" s="24"/>
      <c r="B13049" s="25"/>
      <c r="C13049" s="24"/>
      <c r="D13049" s="26"/>
      <c r="E13049" s="24"/>
      <c r="F13049" s="24"/>
      <c r="G13049" s="24"/>
      <c r="H13049" s="24"/>
      <c r="I13049" s="24"/>
      <c r="J13049" s="24"/>
      <c r="K13049" s="24"/>
      <c r="L13049" s="24"/>
      <c r="M13049" s="24"/>
      <c r="N13049" s="24"/>
      <c r="O13049" s="24"/>
      <c r="P13049" s="24"/>
      <c r="Q13049" s="24"/>
      <c r="R13049" s="24"/>
      <c r="S13049" s="24"/>
      <c r="T13049" s="24"/>
      <c r="U13049" s="24"/>
      <c r="V13049" s="24"/>
      <c r="W13049" s="24"/>
      <c r="X13049" s="24"/>
      <c r="Y13049" s="24"/>
      <c r="Z13049" s="24"/>
      <c r="AA13049" s="24"/>
    </row>
    <row r="13050">
      <c r="A13050" s="24"/>
      <c r="B13050" s="25"/>
      <c r="C13050" s="24"/>
      <c r="D13050" s="26"/>
      <c r="E13050" s="24"/>
      <c r="F13050" s="24"/>
      <c r="G13050" s="24"/>
      <c r="H13050" s="24"/>
      <c r="I13050" s="24"/>
      <c r="J13050" s="24"/>
      <c r="K13050" s="24"/>
      <c r="L13050" s="24"/>
      <c r="M13050" s="24"/>
      <c r="N13050" s="24"/>
      <c r="O13050" s="24"/>
      <c r="P13050" s="24"/>
      <c r="Q13050" s="24"/>
      <c r="R13050" s="24"/>
      <c r="S13050" s="24"/>
      <c r="T13050" s="24"/>
      <c r="U13050" s="24"/>
      <c r="V13050" s="24"/>
      <c r="W13050" s="24"/>
      <c r="X13050" s="24"/>
      <c r="Y13050" s="24"/>
      <c r="Z13050" s="24"/>
      <c r="AA13050" s="24"/>
    </row>
    <row r="13051">
      <c r="A13051" s="24"/>
      <c r="B13051" s="25"/>
      <c r="C13051" s="24"/>
      <c r="D13051" s="26"/>
      <c r="E13051" s="24"/>
      <c r="F13051" s="24"/>
      <c r="G13051" s="24"/>
      <c r="H13051" s="24"/>
      <c r="I13051" s="24"/>
      <c r="J13051" s="24"/>
      <c r="K13051" s="24"/>
      <c r="L13051" s="24"/>
      <c r="M13051" s="24"/>
      <c r="N13051" s="24"/>
      <c r="O13051" s="24"/>
      <c r="P13051" s="24"/>
      <c r="Q13051" s="24"/>
      <c r="R13051" s="24"/>
      <c r="S13051" s="24"/>
      <c r="T13051" s="24"/>
      <c r="U13051" s="24"/>
      <c r="V13051" s="24"/>
      <c r="W13051" s="24"/>
      <c r="X13051" s="24"/>
      <c r="Y13051" s="24"/>
      <c r="Z13051" s="24"/>
      <c r="AA13051" s="24"/>
    </row>
    <row r="13052">
      <c r="A13052" s="24"/>
      <c r="B13052" s="25"/>
      <c r="C13052" s="24"/>
      <c r="D13052" s="26"/>
      <c r="E13052" s="24"/>
      <c r="F13052" s="24"/>
      <c r="G13052" s="24"/>
      <c r="H13052" s="24"/>
      <c r="I13052" s="24"/>
      <c r="J13052" s="24"/>
      <c r="K13052" s="24"/>
      <c r="L13052" s="24"/>
      <c r="M13052" s="24"/>
      <c r="N13052" s="24"/>
      <c r="O13052" s="24"/>
      <c r="P13052" s="24"/>
      <c r="Q13052" s="24"/>
      <c r="R13052" s="24"/>
      <c r="S13052" s="24"/>
      <c r="T13052" s="24"/>
      <c r="U13052" s="24"/>
      <c r="V13052" s="24"/>
      <c r="W13052" s="24"/>
      <c r="X13052" s="24"/>
      <c r="Y13052" s="24"/>
      <c r="Z13052" s="24"/>
      <c r="AA13052" s="24"/>
    </row>
    <row r="13053">
      <c r="A13053" s="24"/>
      <c r="B13053" s="25"/>
      <c r="C13053" s="24"/>
      <c r="D13053" s="26"/>
      <c r="E13053" s="24"/>
      <c r="F13053" s="24"/>
      <c r="G13053" s="24"/>
      <c r="H13053" s="24"/>
      <c r="I13053" s="24"/>
      <c r="J13053" s="24"/>
      <c r="K13053" s="24"/>
      <c r="L13053" s="24"/>
      <c r="M13053" s="24"/>
      <c r="N13053" s="24"/>
      <c r="O13053" s="24"/>
      <c r="P13053" s="24"/>
      <c r="Q13053" s="24"/>
      <c r="R13053" s="24"/>
      <c r="S13053" s="24"/>
      <c r="T13053" s="24"/>
      <c r="U13053" s="24"/>
      <c r="V13053" s="24"/>
      <c r="W13053" s="24"/>
      <c r="X13053" s="24"/>
      <c r="Y13053" s="24"/>
      <c r="Z13053" s="24"/>
      <c r="AA13053" s="24"/>
    </row>
    <row r="13054">
      <c r="A13054" s="24"/>
      <c r="B13054" s="25"/>
      <c r="C13054" s="24"/>
      <c r="D13054" s="26"/>
      <c r="E13054" s="24"/>
      <c r="F13054" s="24"/>
      <c r="G13054" s="24"/>
      <c r="H13054" s="24"/>
      <c r="I13054" s="24"/>
      <c r="J13054" s="24"/>
      <c r="K13054" s="24"/>
      <c r="L13054" s="24"/>
      <c r="M13054" s="24"/>
      <c r="N13054" s="24"/>
      <c r="O13054" s="24"/>
      <c r="P13054" s="24"/>
      <c r="Q13054" s="24"/>
      <c r="R13054" s="24"/>
      <c r="S13054" s="24"/>
      <c r="T13054" s="24"/>
      <c r="U13054" s="24"/>
      <c r="V13054" s="24"/>
      <c r="W13054" s="24"/>
      <c r="X13054" s="24"/>
      <c r="Y13054" s="24"/>
      <c r="Z13054" s="24"/>
      <c r="AA13054" s="24"/>
    </row>
    <row r="13055">
      <c r="A13055" s="24"/>
      <c r="B13055" s="25"/>
      <c r="C13055" s="24"/>
      <c r="D13055" s="26"/>
      <c r="E13055" s="24"/>
      <c r="F13055" s="24"/>
      <c r="G13055" s="24"/>
      <c r="H13055" s="24"/>
      <c r="I13055" s="24"/>
      <c r="J13055" s="24"/>
      <c r="K13055" s="24"/>
      <c r="L13055" s="24"/>
      <c r="M13055" s="24"/>
      <c r="N13055" s="24"/>
      <c r="O13055" s="24"/>
      <c r="P13055" s="24"/>
      <c r="Q13055" s="24"/>
      <c r="R13055" s="24"/>
      <c r="S13055" s="24"/>
      <c r="T13055" s="24"/>
      <c r="U13055" s="24"/>
      <c r="V13055" s="24"/>
      <c r="W13055" s="24"/>
      <c r="X13055" s="24"/>
      <c r="Y13055" s="24"/>
      <c r="Z13055" s="24"/>
      <c r="AA13055" s="24"/>
    </row>
    <row r="13056">
      <c r="A13056" s="24"/>
      <c r="B13056" s="25"/>
      <c r="C13056" s="24"/>
      <c r="D13056" s="26"/>
      <c r="E13056" s="24"/>
      <c r="F13056" s="24"/>
      <c r="G13056" s="24"/>
      <c r="H13056" s="24"/>
      <c r="I13056" s="24"/>
      <c r="J13056" s="24"/>
      <c r="K13056" s="24"/>
      <c r="L13056" s="24"/>
      <c r="M13056" s="24"/>
      <c r="N13056" s="24"/>
      <c r="O13056" s="24"/>
      <c r="P13056" s="24"/>
      <c r="Q13056" s="24"/>
      <c r="R13056" s="24"/>
      <c r="S13056" s="24"/>
      <c r="T13056" s="24"/>
      <c r="U13056" s="24"/>
      <c r="V13056" s="24"/>
      <c r="W13056" s="24"/>
      <c r="X13056" s="24"/>
      <c r="Y13056" s="24"/>
      <c r="Z13056" s="24"/>
      <c r="AA13056" s="24"/>
    </row>
    <row r="13057">
      <c r="A13057" s="24"/>
      <c r="B13057" s="25"/>
      <c r="C13057" s="24"/>
      <c r="D13057" s="26"/>
      <c r="E13057" s="24"/>
      <c r="F13057" s="24"/>
      <c r="G13057" s="24"/>
      <c r="H13057" s="24"/>
      <c r="I13057" s="24"/>
      <c r="J13057" s="24"/>
      <c r="K13057" s="24"/>
      <c r="L13057" s="24"/>
      <c r="M13057" s="24"/>
      <c r="N13057" s="24"/>
      <c r="O13057" s="24"/>
      <c r="P13057" s="24"/>
      <c r="Q13057" s="24"/>
      <c r="R13057" s="24"/>
      <c r="S13057" s="24"/>
      <c r="T13057" s="24"/>
      <c r="U13057" s="24"/>
      <c r="V13057" s="24"/>
      <c r="W13057" s="24"/>
      <c r="X13057" s="24"/>
      <c r="Y13057" s="24"/>
      <c r="Z13057" s="24"/>
      <c r="AA13057" s="24"/>
    </row>
    <row r="13058">
      <c r="A13058" s="24"/>
      <c r="B13058" s="25"/>
      <c r="C13058" s="24"/>
      <c r="D13058" s="26"/>
      <c r="E13058" s="24"/>
      <c r="F13058" s="24"/>
      <c r="G13058" s="24"/>
      <c r="H13058" s="24"/>
      <c r="I13058" s="24"/>
      <c r="J13058" s="24"/>
      <c r="K13058" s="24"/>
      <c r="L13058" s="24"/>
      <c r="M13058" s="24"/>
      <c r="N13058" s="24"/>
      <c r="O13058" s="24"/>
      <c r="P13058" s="24"/>
      <c r="Q13058" s="24"/>
      <c r="R13058" s="24"/>
      <c r="S13058" s="24"/>
      <c r="T13058" s="24"/>
      <c r="U13058" s="24"/>
      <c r="V13058" s="24"/>
      <c r="W13058" s="24"/>
      <c r="X13058" s="24"/>
      <c r="Y13058" s="24"/>
      <c r="Z13058" s="24"/>
      <c r="AA13058" s="24"/>
    </row>
    <row r="13059">
      <c r="A13059" s="24"/>
      <c r="B13059" s="25"/>
      <c r="C13059" s="24"/>
      <c r="D13059" s="26"/>
      <c r="E13059" s="24"/>
      <c r="F13059" s="24"/>
      <c r="G13059" s="24"/>
      <c r="H13059" s="24"/>
      <c r="I13059" s="24"/>
      <c r="J13059" s="24"/>
      <c r="K13059" s="24"/>
      <c r="L13059" s="24"/>
      <c r="M13059" s="24"/>
      <c r="N13059" s="24"/>
      <c r="O13059" s="24"/>
      <c r="P13059" s="24"/>
      <c r="Q13059" s="24"/>
      <c r="R13059" s="24"/>
      <c r="S13059" s="24"/>
      <c r="T13059" s="24"/>
      <c r="U13059" s="24"/>
      <c r="V13059" s="24"/>
      <c r="W13059" s="24"/>
      <c r="X13059" s="24"/>
      <c r="Y13059" s="24"/>
      <c r="Z13059" s="24"/>
      <c r="AA13059" s="24"/>
    </row>
    <row r="13060">
      <c r="A13060" s="24"/>
      <c r="B13060" s="25"/>
      <c r="C13060" s="24"/>
      <c r="D13060" s="26"/>
      <c r="E13060" s="24"/>
      <c r="F13060" s="24"/>
      <c r="G13060" s="24"/>
      <c r="H13060" s="24"/>
      <c r="I13060" s="24"/>
      <c r="J13060" s="24"/>
      <c r="K13060" s="24"/>
      <c r="L13060" s="24"/>
      <c r="M13060" s="24"/>
      <c r="N13060" s="24"/>
      <c r="O13060" s="24"/>
      <c r="P13060" s="24"/>
      <c r="Q13060" s="24"/>
      <c r="R13060" s="24"/>
      <c r="S13060" s="24"/>
      <c r="T13060" s="24"/>
      <c r="U13060" s="24"/>
      <c r="V13060" s="24"/>
      <c r="W13060" s="24"/>
      <c r="X13060" s="24"/>
      <c r="Y13060" s="24"/>
      <c r="Z13060" s="24"/>
      <c r="AA13060" s="24"/>
    </row>
    <row r="13061">
      <c r="A13061" s="24"/>
      <c r="B13061" s="25"/>
      <c r="C13061" s="24"/>
      <c r="D13061" s="26"/>
      <c r="E13061" s="24"/>
      <c r="F13061" s="24"/>
      <c r="G13061" s="24"/>
      <c r="H13061" s="24"/>
      <c r="I13061" s="24"/>
      <c r="J13061" s="24"/>
      <c r="K13061" s="24"/>
      <c r="L13061" s="24"/>
      <c r="M13061" s="24"/>
      <c r="N13061" s="24"/>
      <c r="O13061" s="24"/>
      <c r="P13061" s="24"/>
      <c r="Q13061" s="24"/>
      <c r="R13061" s="24"/>
      <c r="S13061" s="24"/>
      <c r="T13061" s="24"/>
      <c r="U13061" s="24"/>
      <c r="V13061" s="24"/>
      <c r="W13061" s="24"/>
      <c r="X13061" s="24"/>
      <c r="Y13061" s="24"/>
      <c r="Z13061" s="24"/>
      <c r="AA13061" s="24"/>
    </row>
    <row r="13062">
      <c r="A13062" s="24"/>
      <c r="B13062" s="25"/>
      <c r="C13062" s="24"/>
      <c r="D13062" s="26"/>
      <c r="E13062" s="24"/>
      <c r="F13062" s="24"/>
      <c r="G13062" s="24"/>
      <c r="H13062" s="24"/>
      <c r="I13062" s="24"/>
      <c r="J13062" s="24"/>
      <c r="K13062" s="24"/>
      <c r="L13062" s="24"/>
      <c r="M13062" s="24"/>
      <c r="N13062" s="24"/>
      <c r="O13062" s="24"/>
      <c r="P13062" s="24"/>
      <c r="Q13062" s="24"/>
      <c r="R13062" s="24"/>
      <c r="S13062" s="24"/>
      <c r="T13062" s="24"/>
      <c r="U13062" s="24"/>
      <c r="V13062" s="24"/>
      <c r="W13062" s="24"/>
      <c r="X13062" s="24"/>
      <c r="Y13062" s="24"/>
      <c r="Z13062" s="24"/>
      <c r="AA13062" s="24"/>
    </row>
    <row r="13063">
      <c r="A13063" s="24"/>
      <c r="B13063" s="25"/>
      <c r="C13063" s="24"/>
      <c r="D13063" s="26"/>
      <c r="E13063" s="24"/>
      <c r="F13063" s="24"/>
      <c r="G13063" s="24"/>
      <c r="H13063" s="24"/>
      <c r="I13063" s="24"/>
      <c r="J13063" s="24"/>
      <c r="K13063" s="24"/>
      <c r="L13063" s="24"/>
      <c r="M13063" s="24"/>
      <c r="N13063" s="24"/>
      <c r="O13063" s="24"/>
      <c r="P13063" s="24"/>
      <c r="Q13063" s="24"/>
      <c r="R13063" s="24"/>
      <c r="S13063" s="24"/>
      <c r="T13063" s="24"/>
      <c r="U13063" s="24"/>
      <c r="V13063" s="24"/>
      <c r="W13063" s="24"/>
      <c r="X13063" s="24"/>
      <c r="Y13063" s="24"/>
      <c r="Z13063" s="24"/>
      <c r="AA13063" s="24"/>
    </row>
    <row r="13064">
      <c r="A13064" s="24"/>
      <c r="B13064" s="25"/>
      <c r="C13064" s="24"/>
      <c r="D13064" s="26"/>
      <c r="E13064" s="24"/>
      <c r="F13064" s="24"/>
      <c r="G13064" s="24"/>
      <c r="H13064" s="24"/>
      <c r="I13064" s="24"/>
      <c r="J13064" s="24"/>
      <c r="K13064" s="24"/>
      <c r="L13064" s="24"/>
      <c r="M13064" s="24"/>
      <c r="N13064" s="24"/>
      <c r="O13064" s="24"/>
      <c r="P13064" s="24"/>
      <c r="Q13064" s="24"/>
      <c r="R13064" s="24"/>
      <c r="S13064" s="24"/>
      <c r="T13064" s="24"/>
      <c r="U13064" s="24"/>
      <c r="V13064" s="24"/>
      <c r="W13064" s="24"/>
      <c r="X13064" s="24"/>
      <c r="Y13064" s="24"/>
      <c r="Z13064" s="24"/>
      <c r="AA13064" s="24"/>
    </row>
    <row r="13065">
      <c r="A13065" s="24"/>
      <c r="B13065" s="25"/>
      <c r="C13065" s="24"/>
      <c r="D13065" s="26"/>
      <c r="E13065" s="24"/>
      <c r="F13065" s="24"/>
      <c r="G13065" s="24"/>
      <c r="H13065" s="24"/>
      <c r="I13065" s="24"/>
      <c r="J13065" s="24"/>
      <c r="K13065" s="24"/>
      <c r="L13065" s="24"/>
      <c r="M13065" s="24"/>
      <c r="N13065" s="24"/>
      <c r="O13065" s="24"/>
      <c r="P13065" s="24"/>
      <c r="Q13065" s="24"/>
      <c r="R13065" s="24"/>
      <c r="S13065" s="24"/>
      <c r="T13065" s="24"/>
      <c r="U13065" s="24"/>
      <c r="V13065" s="24"/>
      <c r="W13065" s="24"/>
      <c r="X13065" s="24"/>
      <c r="Y13065" s="24"/>
      <c r="Z13065" s="24"/>
      <c r="AA13065" s="24"/>
    </row>
    <row r="13066">
      <c r="A13066" s="24"/>
      <c r="B13066" s="25"/>
      <c r="C13066" s="24"/>
      <c r="D13066" s="26"/>
      <c r="E13066" s="24"/>
      <c r="F13066" s="24"/>
      <c r="G13066" s="24"/>
      <c r="H13066" s="24"/>
      <c r="I13066" s="24"/>
      <c r="J13066" s="24"/>
      <c r="K13066" s="24"/>
      <c r="L13066" s="24"/>
      <c r="M13066" s="24"/>
      <c r="N13066" s="24"/>
      <c r="O13066" s="24"/>
      <c r="P13066" s="24"/>
      <c r="Q13066" s="24"/>
      <c r="R13066" s="24"/>
      <c r="S13066" s="24"/>
      <c r="T13066" s="24"/>
      <c r="U13066" s="24"/>
      <c r="V13066" s="24"/>
      <c r="W13066" s="24"/>
      <c r="X13066" s="24"/>
      <c r="Y13066" s="24"/>
      <c r="Z13066" s="24"/>
      <c r="AA13066" s="24"/>
    </row>
    <row r="13067">
      <c r="A13067" s="24"/>
      <c r="B13067" s="25"/>
      <c r="C13067" s="24"/>
      <c r="D13067" s="26"/>
      <c r="E13067" s="24"/>
      <c r="F13067" s="24"/>
      <c r="G13067" s="24"/>
      <c r="H13067" s="24"/>
      <c r="I13067" s="24"/>
      <c r="J13067" s="24"/>
      <c r="K13067" s="24"/>
      <c r="L13067" s="24"/>
      <c r="M13067" s="24"/>
      <c r="N13067" s="24"/>
      <c r="O13067" s="24"/>
      <c r="P13067" s="24"/>
      <c r="Q13067" s="24"/>
      <c r="R13067" s="24"/>
      <c r="S13067" s="24"/>
      <c r="T13067" s="24"/>
      <c r="U13067" s="24"/>
      <c r="V13067" s="24"/>
      <c r="W13067" s="24"/>
      <c r="X13067" s="24"/>
      <c r="Y13067" s="24"/>
      <c r="Z13067" s="24"/>
      <c r="AA13067" s="24"/>
    </row>
    <row r="13068">
      <c r="A13068" s="24"/>
      <c r="B13068" s="25"/>
      <c r="C13068" s="24"/>
      <c r="D13068" s="26"/>
      <c r="E13068" s="24"/>
      <c r="F13068" s="24"/>
      <c r="G13068" s="24"/>
      <c r="H13068" s="24"/>
      <c r="I13068" s="24"/>
      <c r="J13068" s="24"/>
      <c r="K13068" s="24"/>
      <c r="L13068" s="24"/>
      <c r="M13068" s="24"/>
      <c r="N13068" s="24"/>
      <c r="O13068" s="24"/>
      <c r="P13068" s="24"/>
      <c r="Q13068" s="24"/>
      <c r="R13068" s="24"/>
      <c r="S13068" s="24"/>
      <c r="T13068" s="24"/>
      <c r="U13068" s="24"/>
      <c r="V13068" s="24"/>
      <c r="W13068" s="24"/>
      <c r="X13068" s="24"/>
      <c r="Y13068" s="24"/>
      <c r="Z13068" s="24"/>
      <c r="AA13068" s="24"/>
    </row>
    <row r="13069">
      <c r="A13069" s="24"/>
      <c r="B13069" s="25"/>
      <c r="C13069" s="24"/>
      <c r="D13069" s="26"/>
      <c r="E13069" s="24"/>
      <c r="F13069" s="24"/>
      <c r="G13069" s="24"/>
      <c r="H13069" s="24"/>
      <c r="I13069" s="24"/>
      <c r="J13069" s="24"/>
      <c r="K13069" s="24"/>
      <c r="L13069" s="24"/>
      <c r="M13069" s="24"/>
      <c r="N13069" s="24"/>
      <c r="O13069" s="24"/>
      <c r="P13069" s="24"/>
      <c r="Q13069" s="24"/>
      <c r="R13069" s="24"/>
      <c r="S13069" s="24"/>
      <c r="T13069" s="24"/>
      <c r="U13069" s="24"/>
      <c r="V13069" s="24"/>
      <c r="W13069" s="24"/>
      <c r="X13069" s="24"/>
      <c r="Y13069" s="24"/>
      <c r="Z13069" s="24"/>
      <c r="AA13069" s="24"/>
    </row>
    <row r="13070">
      <c r="A13070" s="24"/>
      <c r="B13070" s="25"/>
      <c r="C13070" s="24"/>
      <c r="D13070" s="26"/>
      <c r="E13070" s="24"/>
      <c r="F13070" s="24"/>
      <c r="G13070" s="24"/>
      <c r="H13070" s="24"/>
      <c r="I13070" s="24"/>
      <c r="J13070" s="24"/>
      <c r="K13070" s="24"/>
      <c r="L13070" s="24"/>
      <c r="M13070" s="24"/>
      <c r="N13070" s="24"/>
      <c r="O13070" s="24"/>
      <c r="P13070" s="24"/>
      <c r="Q13070" s="24"/>
      <c r="R13070" s="24"/>
      <c r="S13070" s="24"/>
      <c r="T13070" s="24"/>
      <c r="U13070" s="24"/>
      <c r="V13070" s="24"/>
      <c r="W13070" s="24"/>
      <c r="X13070" s="24"/>
      <c r="Y13070" s="24"/>
      <c r="Z13070" s="24"/>
      <c r="AA13070" s="24"/>
    </row>
    <row r="13071">
      <c r="A13071" s="24"/>
      <c r="B13071" s="25"/>
      <c r="C13071" s="24"/>
      <c r="D13071" s="26"/>
      <c r="E13071" s="24"/>
      <c r="F13071" s="24"/>
      <c r="G13071" s="24"/>
      <c r="H13071" s="24"/>
      <c r="I13071" s="24"/>
      <c r="J13071" s="24"/>
      <c r="K13071" s="24"/>
      <c r="L13071" s="24"/>
      <c r="M13071" s="24"/>
      <c r="N13071" s="24"/>
      <c r="O13071" s="24"/>
      <c r="P13071" s="24"/>
      <c r="Q13071" s="24"/>
      <c r="R13071" s="24"/>
      <c r="S13071" s="24"/>
      <c r="T13071" s="24"/>
      <c r="U13071" s="24"/>
      <c r="V13071" s="24"/>
      <c r="W13071" s="24"/>
      <c r="X13071" s="24"/>
      <c r="Y13071" s="24"/>
      <c r="Z13071" s="24"/>
      <c r="AA13071" s="24"/>
    </row>
    <row r="13072">
      <c r="A13072" s="24"/>
      <c r="B13072" s="25"/>
      <c r="C13072" s="24"/>
      <c r="D13072" s="26"/>
      <c r="E13072" s="24"/>
      <c r="F13072" s="24"/>
      <c r="G13072" s="24"/>
      <c r="H13072" s="24"/>
      <c r="I13072" s="24"/>
      <c r="J13072" s="24"/>
      <c r="K13072" s="24"/>
      <c r="L13072" s="24"/>
      <c r="M13072" s="24"/>
      <c r="N13072" s="24"/>
      <c r="O13072" s="24"/>
      <c r="P13072" s="24"/>
      <c r="Q13072" s="24"/>
      <c r="R13072" s="24"/>
      <c r="S13072" s="24"/>
      <c r="T13072" s="24"/>
      <c r="U13072" s="24"/>
      <c r="V13072" s="24"/>
      <c r="W13072" s="24"/>
      <c r="X13072" s="24"/>
      <c r="Y13072" s="24"/>
      <c r="Z13072" s="24"/>
      <c r="AA13072" s="24"/>
    </row>
    <row r="13073">
      <c r="A13073" s="24"/>
      <c r="B13073" s="25"/>
      <c r="C13073" s="24"/>
      <c r="D13073" s="26"/>
      <c r="E13073" s="24"/>
      <c r="F13073" s="24"/>
      <c r="G13073" s="24"/>
      <c r="H13073" s="24"/>
      <c r="I13073" s="24"/>
      <c r="J13073" s="24"/>
      <c r="K13073" s="24"/>
      <c r="L13073" s="24"/>
      <c r="M13073" s="24"/>
      <c r="N13073" s="24"/>
      <c r="O13073" s="24"/>
      <c r="P13073" s="24"/>
      <c r="Q13073" s="24"/>
      <c r="R13073" s="24"/>
      <c r="S13073" s="24"/>
      <c r="T13073" s="24"/>
      <c r="U13073" s="24"/>
      <c r="V13073" s="24"/>
      <c r="W13073" s="24"/>
      <c r="X13073" s="24"/>
      <c r="Y13073" s="24"/>
      <c r="Z13073" s="24"/>
      <c r="AA13073" s="24"/>
    </row>
    <row r="13074">
      <c r="A13074" s="24"/>
      <c r="B13074" s="25"/>
      <c r="C13074" s="24"/>
      <c r="D13074" s="26"/>
      <c r="E13074" s="24"/>
      <c r="F13074" s="24"/>
      <c r="G13074" s="24"/>
      <c r="H13074" s="24"/>
      <c r="I13074" s="24"/>
      <c r="J13074" s="24"/>
      <c r="K13074" s="24"/>
      <c r="L13074" s="24"/>
      <c r="M13074" s="24"/>
      <c r="N13074" s="24"/>
      <c r="O13074" s="24"/>
      <c r="P13074" s="24"/>
      <c r="Q13074" s="24"/>
      <c r="R13074" s="24"/>
      <c r="S13074" s="24"/>
      <c r="T13074" s="24"/>
      <c r="U13074" s="24"/>
      <c r="V13074" s="24"/>
      <c r="W13074" s="24"/>
      <c r="X13074" s="24"/>
      <c r="Y13074" s="24"/>
      <c r="Z13074" s="24"/>
      <c r="AA13074" s="24"/>
    </row>
    <row r="13075">
      <c r="A13075" s="24"/>
      <c r="B13075" s="25"/>
      <c r="C13075" s="24"/>
      <c r="D13075" s="26"/>
      <c r="E13075" s="24"/>
      <c r="F13075" s="24"/>
      <c r="G13075" s="24"/>
      <c r="H13075" s="24"/>
      <c r="I13075" s="24"/>
      <c r="J13075" s="24"/>
      <c r="K13075" s="24"/>
      <c r="L13075" s="24"/>
      <c r="M13075" s="24"/>
      <c r="N13075" s="24"/>
      <c r="O13075" s="24"/>
      <c r="P13075" s="24"/>
      <c r="Q13075" s="24"/>
      <c r="R13075" s="24"/>
      <c r="S13075" s="24"/>
      <c r="T13075" s="24"/>
      <c r="U13075" s="24"/>
      <c r="V13075" s="24"/>
      <c r="W13075" s="24"/>
      <c r="X13075" s="24"/>
      <c r="Y13075" s="24"/>
      <c r="Z13075" s="24"/>
      <c r="AA13075" s="24"/>
    </row>
    <row r="13076">
      <c r="A13076" s="24"/>
      <c r="B13076" s="25"/>
      <c r="C13076" s="24"/>
      <c r="D13076" s="26"/>
      <c r="E13076" s="24"/>
      <c r="F13076" s="24"/>
      <c r="G13076" s="24"/>
      <c r="H13076" s="24"/>
      <c r="I13076" s="24"/>
      <c r="J13076" s="24"/>
      <c r="K13076" s="24"/>
      <c r="L13076" s="24"/>
      <c r="M13076" s="24"/>
      <c r="N13076" s="24"/>
      <c r="O13076" s="24"/>
      <c r="P13076" s="24"/>
      <c r="Q13076" s="24"/>
      <c r="R13076" s="24"/>
      <c r="S13076" s="24"/>
      <c r="T13076" s="24"/>
      <c r="U13076" s="24"/>
      <c r="V13076" s="24"/>
      <c r="W13076" s="24"/>
      <c r="X13076" s="24"/>
      <c r="Y13076" s="24"/>
      <c r="Z13076" s="24"/>
      <c r="AA13076" s="24"/>
    </row>
    <row r="13077">
      <c r="A13077" s="24"/>
      <c r="B13077" s="25"/>
      <c r="C13077" s="24"/>
      <c r="D13077" s="26"/>
      <c r="E13077" s="24"/>
      <c r="F13077" s="24"/>
      <c r="G13077" s="24"/>
      <c r="H13077" s="24"/>
      <c r="I13077" s="24"/>
      <c r="J13077" s="24"/>
      <c r="K13077" s="24"/>
      <c r="L13077" s="24"/>
      <c r="M13077" s="24"/>
      <c r="N13077" s="24"/>
      <c r="O13077" s="24"/>
      <c r="P13077" s="24"/>
      <c r="Q13077" s="24"/>
      <c r="R13077" s="24"/>
      <c r="S13077" s="24"/>
      <c r="T13077" s="24"/>
      <c r="U13077" s="24"/>
      <c r="V13077" s="24"/>
      <c r="W13077" s="24"/>
      <c r="X13077" s="24"/>
      <c r="Y13077" s="24"/>
      <c r="Z13077" s="24"/>
      <c r="AA13077" s="24"/>
    </row>
    <row r="13078">
      <c r="A13078" s="24"/>
      <c r="B13078" s="25"/>
      <c r="C13078" s="24"/>
      <c r="D13078" s="26"/>
      <c r="E13078" s="24"/>
      <c r="F13078" s="24"/>
      <c r="G13078" s="24"/>
      <c r="H13078" s="24"/>
      <c r="I13078" s="24"/>
      <c r="J13078" s="24"/>
      <c r="K13078" s="24"/>
      <c r="L13078" s="24"/>
      <c r="M13078" s="24"/>
      <c r="N13078" s="24"/>
      <c r="O13078" s="24"/>
      <c r="P13078" s="24"/>
      <c r="Q13078" s="24"/>
      <c r="R13078" s="24"/>
      <c r="S13078" s="24"/>
      <c r="T13078" s="24"/>
      <c r="U13078" s="24"/>
      <c r="V13078" s="24"/>
      <c r="W13078" s="24"/>
      <c r="X13078" s="24"/>
      <c r="Y13078" s="24"/>
      <c r="Z13078" s="24"/>
      <c r="AA13078" s="24"/>
    </row>
    <row r="13079">
      <c r="A13079" s="24"/>
      <c r="B13079" s="25"/>
      <c r="C13079" s="24"/>
      <c r="D13079" s="26"/>
      <c r="E13079" s="24"/>
      <c r="F13079" s="24"/>
      <c r="G13079" s="24"/>
      <c r="H13079" s="24"/>
      <c r="I13079" s="24"/>
      <c r="J13079" s="24"/>
      <c r="K13079" s="24"/>
      <c r="L13079" s="24"/>
      <c r="M13079" s="24"/>
      <c r="N13079" s="24"/>
      <c r="O13079" s="24"/>
      <c r="P13079" s="24"/>
      <c r="Q13079" s="24"/>
      <c r="R13079" s="24"/>
      <c r="S13079" s="24"/>
      <c r="T13079" s="24"/>
      <c r="U13079" s="24"/>
      <c r="V13079" s="24"/>
      <c r="W13079" s="24"/>
      <c r="X13079" s="24"/>
      <c r="Y13079" s="24"/>
      <c r="Z13079" s="24"/>
      <c r="AA13079" s="24"/>
    </row>
    <row r="13080">
      <c r="A13080" s="24"/>
      <c r="B13080" s="25"/>
      <c r="C13080" s="24"/>
      <c r="D13080" s="26"/>
      <c r="E13080" s="24"/>
      <c r="F13080" s="24"/>
      <c r="G13080" s="24"/>
      <c r="H13080" s="24"/>
      <c r="I13080" s="24"/>
      <c r="J13080" s="24"/>
      <c r="K13080" s="24"/>
      <c r="L13080" s="24"/>
      <c r="M13080" s="24"/>
      <c r="N13080" s="24"/>
      <c r="O13080" s="24"/>
      <c r="P13080" s="24"/>
      <c r="Q13080" s="24"/>
      <c r="R13080" s="24"/>
      <c r="S13080" s="24"/>
      <c r="T13080" s="24"/>
      <c r="U13080" s="24"/>
      <c r="V13080" s="24"/>
      <c r="W13080" s="24"/>
      <c r="X13080" s="24"/>
      <c r="Y13080" s="24"/>
      <c r="Z13080" s="24"/>
      <c r="AA13080" s="24"/>
    </row>
    <row r="13081">
      <c r="A13081" s="24"/>
      <c r="B13081" s="25"/>
      <c r="C13081" s="24"/>
      <c r="D13081" s="26"/>
      <c r="E13081" s="24"/>
      <c r="F13081" s="24"/>
      <c r="G13081" s="24"/>
      <c r="H13081" s="24"/>
      <c r="I13081" s="24"/>
      <c r="J13081" s="24"/>
      <c r="K13081" s="24"/>
      <c r="L13081" s="24"/>
      <c r="M13081" s="24"/>
      <c r="N13081" s="24"/>
      <c r="O13081" s="24"/>
      <c r="P13081" s="24"/>
      <c r="Q13081" s="24"/>
      <c r="R13081" s="24"/>
      <c r="S13081" s="24"/>
      <c r="T13081" s="24"/>
      <c r="U13081" s="24"/>
      <c r="V13081" s="24"/>
      <c r="W13081" s="24"/>
      <c r="X13081" s="24"/>
      <c r="Y13081" s="24"/>
      <c r="Z13081" s="24"/>
      <c r="AA13081" s="24"/>
    </row>
    <row r="13082">
      <c r="A13082" s="24"/>
      <c r="B13082" s="25"/>
      <c r="C13082" s="24"/>
      <c r="D13082" s="26"/>
      <c r="E13082" s="24"/>
      <c r="F13082" s="24"/>
      <c r="G13082" s="24"/>
      <c r="H13082" s="24"/>
      <c r="I13082" s="24"/>
      <c r="J13082" s="24"/>
      <c r="K13082" s="24"/>
      <c r="L13082" s="24"/>
      <c r="M13082" s="24"/>
      <c r="N13082" s="24"/>
      <c r="O13082" s="24"/>
      <c r="P13082" s="24"/>
      <c r="Q13082" s="24"/>
      <c r="R13082" s="24"/>
      <c r="S13082" s="24"/>
      <c r="T13082" s="24"/>
      <c r="U13082" s="24"/>
      <c r="V13082" s="24"/>
      <c r="W13082" s="24"/>
      <c r="X13082" s="24"/>
      <c r="Y13082" s="24"/>
      <c r="Z13082" s="24"/>
      <c r="AA13082" s="24"/>
    </row>
    <row r="13083">
      <c r="A13083" s="24"/>
      <c r="B13083" s="25"/>
      <c r="C13083" s="24"/>
      <c r="D13083" s="26"/>
      <c r="E13083" s="24"/>
      <c r="F13083" s="24"/>
      <c r="G13083" s="24"/>
      <c r="H13083" s="24"/>
      <c r="I13083" s="24"/>
      <c r="J13083" s="24"/>
      <c r="K13083" s="24"/>
      <c r="L13083" s="24"/>
      <c r="M13083" s="24"/>
      <c r="N13083" s="24"/>
      <c r="O13083" s="24"/>
      <c r="P13083" s="24"/>
      <c r="Q13083" s="24"/>
      <c r="R13083" s="24"/>
      <c r="S13083" s="24"/>
      <c r="T13083" s="24"/>
      <c r="U13083" s="24"/>
      <c r="V13083" s="24"/>
      <c r="W13083" s="24"/>
      <c r="X13083" s="24"/>
      <c r="Y13083" s="24"/>
      <c r="Z13083" s="24"/>
      <c r="AA13083" s="24"/>
    </row>
    <row r="13084">
      <c r="A13084" s="24"/>
      <c r="B13084" s="25"/>
      <c r="C13084" s="24"/>
      <c r="D13084" s="26"/>
      <c r="E13084" s="24"/>
      <c r="F13084" s="24"/>
      <c r="G13084" s="24"/>
      <c r="H13084" s="24"/>
      <c r="I13084" s="24"/>
      <c r="J13084" s="24"/>
      <c r="K13084" s="24"/>
      <c r="L13084" s="24"/>
      <c r="M13084" s="24"/>
      <c r="N13084" s="24"/>
      <c r="O13084" s="24"/>
      <c r="P13084" s="24"/>
      <c r="Q13084" s="24"/>
      <c r="R13084" s="24"/>
      <c r="S13084" s="24"/>
      <c r="T13084" s="24"/>
      <c r="U13084" s="24"/>
      <c r="V13084" s="24"/>
      <c r="W13084" s="24"/>
      <c r="X13084" s="24"/>
      <c r="Y13084" s="24"/>
      <c r="Z13084" s="24"/>
      <c r="AA13084" s="24"/>
    </row>
    <row r="13085">
      <c r="A13085" s="24"/>
      <c r="B13085" s="25"/>
      <c r="C13085" s="24"/>
      <c r="D13085" s="26"/>
      <c r="E13085" s="24"/>
      <c r="F13085" s="24"/>
      <c r="G13085" s="24"/>
      <c r="H13085" s="24"/>
      <c r="I13085" s="24"/>
      <c r="J13085" s="24"/>
      <c r="K13085" s="24"/>
      <c r="L13085" s="24"/>
      <c r="M13085" s="24"/>
      <c r="N13085" s="24"/>
      <c r="O13085" s="24"/>
      <c r="P13085" s="24"/>
      <c r="Q13085" s="24"/>
      <c r="R13085" s="24"/>
      <c r="S13085" s="24"/>
      <c r="T13085" s="24"/>
      <c r="U13085" s="24"/>
      <c r="V13085" s="24"/>
      <c r="W13085" s="24"/>
      <c r="X13085" s="24"/>
      <c r="Y13085" s="24"/>
      <c r="Z13085" s="24"/>
      <c r="AA13085" s="24"/>
    </row>
    <row r="13086">
      <c r="A13086" s="24"/>
      <c r="B13086" s="25"/>
      <c r="C13086" s="24"/>
      <c r="D13086" s="26"/>
      <c r="E13086" s="24"/>
      <c r="F13086" s="24"/>
      <c r="G13086" s="24"/>
      <c r="H13086" s="24"/>
      <c r="I13086" s="24"/>
      <c r="J13086" s="24"/>
      <c r="K13086" s="24"/>
      <c r="L13086" s="24"/>
      <c r="M13086" s="24"/>
      <c r="N13086" s="24"/>
      <c r="O13086" s="24"/>
      <c r="P13086" s="24"/>
      <c r="Q13086" s="24"/>
      <c r="R13086" s="24"/>
      <c r="S13086" s="24"/>
      <c r="T13086" s="24"/>
      <c r="U13086" s="24"/>
      <c r="V13086" s="24"/>
      <c r="W13086" s="24"/>
      <c r="X13086" s="24"/>
      <c r="Y13086" s="24"/>
      <c r="Z13086" s="24"/>
      <c r="AA13086" s="24"/>
    </row>
    <row r="13087">
      <c r="A13087" s="24"/>
      <c r="B13087" s="25"/>
      <c r="C13087" s="24"/>
      <c r="D13087" s="26"/>
      <c r="E13087" s="24"/>
      <c r="F13087" s="24"/>
      <c r="G13087" s="24"/>
      <c r="H13087" s="24"/>
      <c r="I13087" s="24"/>
      <c r="J13087" s="24"/>
      <c r="K13087" s="24"/>
      <c r="L13087" s="24"/>
      <c r="M13087" s="24"/>
      <c r="N13087" s="24"/>
      <c r="O13087" s="24"/>
      <c r="P13087" s="24"/>
      <c r="Q13087" s="24"/>
      <c r="R13087" s="24"/>
      <c r="S13087" s="24"/>
      <c r="T13087" s="24"/>
      <c r="U13087" s="24"/>
      <c r="V13087" s="24"/>
      <c r="W13087" s="24"/>
      <c r="X13087" s="24"/>
      <c r="Y13087" s="24"/>
      <c r="Z13087" s="24"/>
      <c r="AA13087" s="24"/>
    </row>
    <row r="13088">
      <c r="A13088" s="24"/>
      <c r="B13088" s="25"/>
      <c r="C13088" s="24"/>
      <c r="D13088" s="26"/>
      <c r="E13088" s="24"/>
      <c r="F13088" s="24"/>
      <c r="G13088" s="24"/>
      <c r="H13088" s="24"/>
      <c r="I13088" s="24"/>
      <c r="J13088" s="24"/>
      <c r="K13088" s="24"/>
      <c r="L13088" s="24"/>
      <c r="M13088" s="24"/>
      <c r="N13088" s="24"/>
      <c r="O13088" s="24"/>
      <c r="P13088" s="24"/>
      <c r="Q13088" s="24"/>
      <c r="R13088" s="24"/>
      <c r="S13088" s="24"/>
      <c r="T13088" s="24"/>
      <c r="U13088" s="24"/>
      <c r="V13088" s="24"/>
      <c r="W13088" s="24"/>
      <c r="X13088" s="24"/>
      <c r="Y13088" s="24"/>
      <c r="Z13088" s="24"/>
      <c r="AA13088" s="24"/>
    </row>
    <row r="13089">
      <c r="A13089" s="24"/>
      <c r="B13089" s="25"/>
      <c r="C13089" s="24"/>
      <c r="D13089" s="26"/>
      <c r="E13089" s="24"/>
      <c r="F13089" s="24"/>
      <c r="G13089" s="24"/>
      <c r="H13089" s="24"/>
      <c r="I13089" s="24"/>
      <c r="J13089" s="24"/>
      <c r="K13089" s="24"/>
      <c r="L13089" s="24"/>
      <c r="M13089" s="24"/>
      <c r="N13089" s="24"/>
      <c r="O13089" s="24"/>
      <c r="P13089" s="24"/>
      <c r="Q13089" s="24"/>
      <c r="R13089" s="24"/>
      <c r="S13089" s="24"/>
      <c r="T13089" s="24"/>
      <c r="U13089" s="24"/>
      <c r="V13089" s="24"/>
      <c r="W13089" s="24"/>
      <c r="X13089" s="24"/>
      <c r="Y13089" s="24"/>
      <c r="Z13089" s="24"/>
      <c r="AA13089" s="24"/>
    </row>
    <row r="13090">
      <c r="A13090" s="24"/>
      <c r="B13090" s="25"/>
      <c r="C13090" s="24"/>
      <c r="D13090" s="26"/>
      <c r="E13090" s="24"/>
      <c r="F13090" s="24"/>
      <c r="G13090" s="24"/>
      <c r="H13090" s="24"/>
      <c r="I13090" s="24"/>
      <c r="J13090" s="24"/>
      <c r="K13090" s="24"/>
      <c r="L13090" s="24"/>
      <c r="M13090" s="24"/>
      <c r="N13090" s="24"/>
      <c r="O13090" s="24"/>
      <c r="P13090" s="24"/>
      <c r="Q13090" s="24"/>
      <c r="R13090" s="24"/>
      <c r="S13090" s="24"/>
      <c r="T13090" s="24"/>
      <c r="U13090" s="24"/>
      <c r="V13090" s="24"/>
      <c r="W13090" s="24"/>
      <c r="X13090" s="24"/>
      <c r="Y13090" s="24"/>
      <c r="Z13090" s="24"/>
      <c r="AA13090" s="24"/>
    </row>
    <row r="13091">
      <c r="A13091" s="24"/>
      <c r="B13091" s="25"/>
      <c r="C13091" s="24"/>
      <c r="D13091" s="26"/>
      <c r="E13091" s="24"/>
      <c r="F13091" s="24"/>
      <c r="G13091" s="24"/>
      <c r="H13091" s="24"/>
      <c r="I13091" s="24"/>
      <c r="J13091" s="24"/>
      <c r="K13091" s="24"/>
      <c r="L13091" s="24"/>
      <c r="M13091" s="24"/>
      <c r="N13091" s="24"/>
      <c r="O13091" s="24"/>
      <c r="P13091" s="24"/>
      <c r="Q13091" s="24"/>
      <c r="R13091" s="24"/>
      <c r="S13091" s="24"/>
      <c r="T13091" s="24"/>
      <c r="U13091" s="24"/>
      <c r="V13091" s="24"/>
      <c r="W13091" s="24"/>
      <c r="X13091" s="24"/>
      <c r="Y13091" s="24"/>
      <c r="Z13091" s="24"/>
      <c r="AA13091" s="24"/>
    </row>
    <row r="13092">
      <c r="A13092" s="24"/>
      <c r="B13092" s="25"/>
      <c r="C13092" s="24"/>
      <c r="D13092" s="26"/>
      <c r="E13092" s="24"/>
      <c r="F13092" s="24"/>
      <c r="G13092" s="24"/>
      <c r="H13092" s="24"/>
      <c r="I13092" s="24"/>
      <c r="J13092" s="24"/>
      <c r="K13092" s="24"/>
      <c r="L13092" s="24"/>
      <c r="M13092" s="24"/>
      <c r="N13092" s="24"/>
      <c r="O13092" s="24"/>
      <c r="P13092" s="24"/>
      <c r="Q13092" s="24"/>
      <c r="R13092" s="24"/>
      <c r="S13092" s="24"/>
      <c r="T13092" s="24"/>
      <c r="U13092" s="24"/>
      <c r="V13092" s="24"/>
      <c r="W13092" s="24"/>
      <c r="X13092" s="24"/>
      <c r="Y13092" s="24"/>
      <c r="Z13092" s="24"/>
      <c r="AA13092" s="24"/>
    </row>
    <row r="13093">
      <c r="A13093" s="24"/>
      <c r="B13093" s="25"/>
      <c r="C13093" s="24"/>
      <c r="D13093" s="26"/>
      <c r="E13093" s="24"/>
      <c r="F13093" s="24"/>
      <c r="G13093" s="24"/>
      <c r="H13093" s="24"/>
      <c r="I13093" s="24"/>
      <c r="J13093" s="24"/>
      <c r="K13093" s="24"/>
      <c r="L13093" s="24"/>
      <c r="M13093" s="24"/>
      <c r="N13093" s="24"/>
      <c r="O13093" s="24"/>
      <c r="P13093" s="24"/>
      <c r="Q13093" s="24"/>
      <c r="R13093" s="24"/>
      <c r="S13093" s="24"/>
      <c r="T13093" s="24"/>
      <c r="U13093" s="24"/>
      <c r="V13093" s="24"/>
      <c r="W13093" s="24"/>
      <c r="X13093" s="24"/>
      <c r="Y13093" s="24"/>
      <c r="Z13093" s="24"/>
      <c r="AA13093" s="24"/>
    </row>
    <row r="13094">
      <c r="A13094" s="24"/>
      <c r="B13094" s="25"/>
      <c r="C13094" s="24"/>
      <c r="D13094" s="26"/>
      <c r="E13094" s="24"/>
      <c r="F13094" s="24"/>
      <c r="G13094" s="24"/>
      <c r="H13094" s="24"/>
      <c r="I13094" s="24"/>
      <c r="J13094" s="24"/>
      <c r="K13094" s="24"/>
      <c r="L13094" s="24"/>
      <c r="M13094" s="24"/>
      <c r="N13094" s="24"/>
      <c r="O13094" s="24"/>
      <c r="P13094" s="24"/>
      <c r="Q13094" s="24"/>
      <c r="R13094" s="24"/>
      <c r="S13094" s="24"/>
      <c r="T13094" s="24"/>
      <c r="U13094" s="24"/>
      <c r="V13094" s="24"/>
      <c r="W13094" s="24"/>
      <c r="X13094" s="24"/>
      <c r="Y13094" s="24"/>
      <c r="Z13094" s="24"/>
      <c r="AA13094" s="24"/>
    </row>
    <row r="13095">
      <c r="A13095" s="24"/>
      <c r="B13095" s="25"/>
      <c r="C13095" s="24"/>
      <c r="D13095" s="26"/>
      <c r="E13095" s="24"/>
      <c r="F13095" s="24"/>
      <c r="G13095" s="24"/>
      <c r="H13095" s="24"/>
      <c r="I13095" s="24"/>
      <c r="J13095" s="24"/>
      <c r="K13095" s="24"/>
      <c r="L13095" s="24"/>
      <c r="M13095" s="24"/>
      <c r="N13095" s="24"/>
      <c r="O13095" s="24"/>
      <c r="P13095" s="24"/>
      <c r="Q13095" s="24"/>
      <c r="R13095" s="24"/>
      <c r="S13095" s="24"/>
      <c r="T13095" s="24"/>
      <c r="U13095" s="24"/>
      <c r="V13095" s="24"/>
      <c r="W13095" s="24"/>
      <c r="X13095" s="24"/>
      <c r="Y13095" s="24"/>
      <c r="Z13095" s="24"/>
      <c r="AA13095" s="24"/>
    </row>
    <row r="13096">
      <c r="A13096" s="24"/>
      <c r="B13096" s="25"/>
      <c r="C13096" s="24"/>
      <c r="D13096" s="26"/>
      <c r="E13096" s="24"/>
      <c r="F13096" s="24"/>
      <c r="G13096" s="24"/>
      <c r="H13096" s="24"/>
      <c r="I13096" s="24"/>
      <c r="J13096" s="24"/>
      <c r="K13096" s="24"/>
      <c r="L13096" s="24"/>
      <c r="M13096" s="24"/>
      <c r="N13096" s="24"/>
      <c r="O13096" s="24"/>
      <c r="P13096" s="24"/>
      <c r="Q13096" s="24"/>
      <c r="R13096" s="24"/>
      <c r="S13096" s="24"/>
      <c r="T13096" s="24"/>
      <c r="U13096" s="24"/>
      <c r="V13096" s="24"/>
      <c r="W13096" s="24"/>
      <c r="X13096" s="24"/>
      <c r="Y13096" s="24"/>
      <c r="Z13096" s="24"/>
      <c r="AA13096" s="24"/>
    </row>
    <row r="13097">
      <c r="A13097" s="24"/>
      <c r="B13097" s="25"/>
      <c r="C13097" s="24"/>
      <c r="D13097" s="26"/>
      <c r="E13097" s="24"/>
      <c r="F13097" s="24"/>
      <c r="G13097" s="24"/>
      <c r="H13097" s="24"/>
      <c r="I13097" s="24"/>
      <c r="J13097" s="24"/>
      <c r="K13097" s="24"/>
      <c r="L13097" s="24"/>
      <c r="M13097" s="24"/>
      <c r="N13097" s="24"/>
      <c r="O13097" s="24"/>
      <c r="P13097" s="24"/>
      <c r="Q13097" s="24"/>
      <c r="R13097" s="24"/>
      <c r="S13097" s="24"/>
      <c r="T13097" s="24"/>
      <c r="U13097" s="24"/>
      <c r="V13097" s="24"/>
      <c r="W13097" s="24"/>
      <c r="X13097" s="24"/>
      <c r="Y13097" s="24"/>
      <c r="Z13097" s="24"/>
      <c r="AA13097" s="24"/>
    </row>
    <row r="13098">
      <c r="A13098" s="24"/>
      <c r="B13098" s="25"/>
      <c r="C13098" s="24"/>
      <c r="D13098" s="26"/>
      <c r="E13098" s="24"/>
      <c r="F13098" s="24"/>
      <c r="G13098" s="24"/>
      <c r="H13098" s="24"/>
      <c r="I13098" s="24"/>
      <c r="J13098" s="24"/>
      <c r="K13098" s="24"/>
      <c r="L13098" s="24"/>
      <c r="M13098" s="24"/>
      <c r="N13098" s="24"/>
      <c r="O13098" s="24"/>
      <c r="P13098" s="24"/>
      <c r="Q13098" s="24"/>
      <c r="R13098" s="24"/>
      <c r="S13098" s="24"/>
      <c r="T13098" s="24"/>
      <c r="U13098" s="24"/>
      <c r="V13098" s="24"/>
      <c r="W13098" s="24"/>
      <c r="X13098" s="24"/>
      <c r="Y13098" s="24"/>
      <c r="Z13098" s="24"/>
      <c r="AA13098" s="24"/>
    </row>
    <row r="13099">
      <c r="A13099" s="24"/>
      <c r="B13099" s="25"/>
      <c r="C13099" s="24"/>
      <c r="D13099" s="26"/>
      <c r="E13099" s="24"/>
      <c r="F13099" s="24"/>
      <c r="G13099" s="24"/>
      <c r="H13099" s="24"/>
      <c r="I13099" s="24"/>
      <c r="J13099" s="24"/>
      <c r="K13099" s="24"/>
      <c r="L13099" s="24"/>
      <c r="M13099" s="24"/>
      <c r="N13099" s="24"/>
      <c r="O13099" s="24"/>
      <c r="P13099" s="24"/>
      <c r="Q13099" s="24"/>
      <c r="R13099" s="24"/>
      <c r="S13099" s="24"/>
      <c r="T13099" s="24"/>
      <c r="U13099" s="24"/>
      <c r="V13099" s="24"/>
      <c r="W13099" s="24"/>
      <c r="X13099" s="24"/>
      <c r="Y13099" s="24"/>
      <c r="Z13099" s="24"/>
      <c r="AA13099" s="24"/>
    </row>
    <row r="13100">
      <c r="A13100" s="24"/>
      <c r="B13100" s="25"/>
      <c r="C13100" s="24"/>
      <c r="D13100" s="26"/>
      <c r="E13100" s="24"/>
      <c r="F13100" s="24"/>
      <c r="G13100" s="24"/>
      <c r="H13100" s="24"/>
      <c r="I13100" s="24"/>
      <c r="J13100" s="24"/>
      <c r="K13100" s="24"/>
      <c r="L13100" s="24"/>
      <c r="M13100" s="24"/>
      <c r="N13100" s="24"/>
      <c r="O13100" s="24"/>
      <c r="P13100" s="24"/>
      <c r="Q13100" s="24"/>
      <c r="R13100" s="24"/>
      <c r="S13100" s="24"/>
      <c r="T13100" s="24"/>
      <c r="U13100" s="24"/>
      <c r="V13100" s="24"/>
      <c r="W13100" s="24"/>
      <c r="X13100" s="24"/>
      <c r="Y13100" s="24"/>
      <c r="Z13100" s="24"/>
      <c r="AA13100" s="24"/>
    </row>
    <row r="13101">
      <c r="A13101" s="24"/>
      <c r="B13101" s="25"/>
      <c r="C13101" s="24"/>
      <c r="D13101" s="26"/>
      <c r="E13101" s="24"/>
      <c r="F13101" s="24"/>
      <c r="G13101" s="24"/>
      <c r="H13101" s="24"/>
      <c r="I13101" s="24"/>
      <c r="J13101" s="24"/>
      <c r="K13101" s="24"/>
      <c r="L13101" s="24"/>
      <c r="M13101" s="24"/>
      <c r="N13101" s="24"/>
      <c r="O13101" s="24"/>
      <c r="P13101" s="24"/>
      <c r="Q13101" s="24"/>
      <c r="R13101" s="24"/>
      <c r="S13101" s="24"/>
      <c r="T13101" s="24"/>
      <c r="U13101" s="24"/>
      <c r="V13101" s="24"/>
      <c r="W13101" s="24"/>
      <c r="X13101" s="24"/>
      <c r="Y13101" s="24"/>
      <c r="Z13101" s="24"/>
      <c r="AA13101" s="24"/>
    </row>
    <row r="13102">
      <c r="A13102" s="24"/>
      <c r="B13102" s="25"/>
      <c r="C13102" s="24"/>
      <c r="D13102" s="26"/>
      <c r="E13102" s="24"/>
      <c r="F13102" s="24"/>
      <c r="G13102" s="24"/>
      <c r="H13102" s="24"/>
      <c r="I13102" s="24"/>
      <c r="J13102" s="24"/>
      <c r="K13102" s="24"/>
      <c r="L13102" s="24"/>
      <c r="M13102" s="24"/>
      <c r="N13102" s="24"/>
      <c r="O13102" s="24"/>
      <c r="P13102" s="24"/>
      <c r="Q13102" s="24"/>
      <c r="R13102" s="24"/>
      <c r="S13102" s="24"/>
      <c r="T13102" s="24"/>
      <c r="U13102" s="24"/>
      <c r="V13102" s="24"/>
      <c r="W13102" s="24"/>
      <c r="X13102" s="24"/>
      <c r="Y13102" s="24"/>
      <c r="Z13102" s="24"/>
      <c r="AA13102" s="24"/>
    </row>
    <row r="13103">
      <c r="A13103" s="24"/>
      <c r="B13103" s="25"/>
      <c r="C13103" s="24"/>
      <c r="D13103" s="26"/>
      <c r="E13103" s="24"/>
      <c r="F13103" s="24"/>
      <c r="G13103" s="24"/>
      <c r="H13103" s="24"/>
      <c r="I13103" s="24"/>
      <c r="J13103" s="24"/>
      <c r="K13103" s="24"/>
      <c r="L13103" s="24"/>
      <c r="M13103" s="24"/>
      <c r="N13103" s="24"/>
      <c r="O13103" s="24"/>
      <c r="P13103" s="24"/>
      <c r="Q13103" s="24"/>
      <c r="R13103" s="24"/>
      <c r="S13103" s="24"/>
      <c r="T13103" s="24"/>
      <c r="U13103" s="24"/>
      <c r="V13103" s="24"/>
      <c r="W13103" s="24"/>
      <c r="X13103" s="24"/>
      <c r="Y13103" s="24"/>
      <c r="Z13103" s="24"/>
      <c r="AA13103" s="24"/>
    </row>
    <row r="13104">
      <c r="A13104" s="24"/>
      <c r="B13104" s="25"/>
      <c r="C13104" s="24"/>
      <c r="D13104" s="26"/>
      <c r="E13104" s="24"/>
      <c r="F13104" s="24"/>
      <c r="G13104" s="24"/>
      <c r="H13104" s="24"/>
      <c r="I13104" s="24"/>
      <c r="J13104" s="24"/>
      <c r="K13104" s="24"/>
      <c r="L13104" s="24"/>
      <c r="M13104" s="24"/>
      <c r="N13104" s="24"/>
      <c r="O13104" s="24"/>
      <c r="P13104" s="24"/>
      <c r="Q13104" s="24"/>
      <c r="R13104" s="24"/>
      <c r="S13104" s="24"/>
      <c r="T13104" s="24"/>
      <c r="U13104" s="24"/>
      <c r="V13104" s="24"/>
      <c r="W13104" s="24"/>
      <c r="X13104" s="24"/>
      <c r="Y13104" s="24"/>
      <c r="Z13104" s="24"/>
      <c r="AA13104" s="24"/>
    </row>
    <row r="13105">
      <c r="A13105" s="24"/>
      <c r="B13105" s="25"/>
      <c r="C13105" s="24"/>
      <c r="D13105" s="26"/>
      <c r="E13105" s="24"/>
      <c r="F13105" s="24"/>
      <c r="G13105" s="24"/>
      <c r="H13105" s="24"/>
      <c r="I13105" s="24"/>
      <c r="J13105" s="24"/>
      <c r="K13105" s="24"/>
      <c r="L13105" s="24"/>
      <c r="M13105" s="24"/>
      <c r="N13105" s="24"/>
      <c r="O13105" s="24"/>
      <c r="P13105" s="24"/>
      <c r="Q13105" s="24"/>
      <c r="R13105" s="24"/>
      <c r="S13105" s="24"/>
      <c r="T13105" s="24"/>
      <c r="U13105" s="24"/>
      <c r="V13105" s="24"/>
      <c r="W13105" s="24"/>
      <c r="X13105" s="24"/>
      <c r="Y13105" s="24"/>
      <c r="Z13105" s="24"/>
      <c r="AA13105" s="24"/>
    </row>
    <row r="13106">
      <c r="A13106" s="24"/>
      <c r="B13106" s="25"/>
      <c r="C13106" s="24"/>
      <c r="D13106" s="26"/>
      <c r="E13106" s="24"/>
      <c r="F13106" s="24"/>
      <c r="G13106" s="24"/>
      <c r="H13106" s="24"/>
      <c r="I13106" s="24"/>
      <c r="J13106" s="24"/>
      <c r="K13106" s="24"/>
      <c r="L13106" s="24"/>
      <c r="M13106" s="24"/>
      <c r="N13106" s="24"/>
      <c r="O13106" s="24"/>
      <c r="P13106" s="24"/>
      <c r="Q13106" s="24"/>
      <c r="R13106" s="24"/>
      <c r="S13106" s="24"/>
      <c r="T13106" s="24"/>
      <c r="U13106" s="24"/>
      <c r="V13106" s="24"/>
      <c r="W13106" s="24"/>
      <c r="X13106" s="24"/>
      <c r="Y13106" s="24"/>
      <c r="Z13106" s="24"/>
      <c r="AA13106" s="24"/>
    </row>
    <row r="13107">
      <c r="A13107" s="24"/>
      <c r="B13107" s="25"/>
      <c r="C13107" s="24"/>
      <c r="D13107" s="26"/>
      <c r="E13107" s="24"/>
      <c r="F13107" s="24"/>
      <c r="G13107" s="24"/>
      <c r="H13107" s="24"/>
      <c r="I13107" s="24"/>
      <c r="J13107" s="24"/>
      <c r="K13107" s="24"/>
      <c r="L13107" s="24"/>
      <c r="M13107" s="24"/>
      <c r="N13107" s="24"/>
      <c r="O13107" s="24"/>
      <c r="P13107" s="24"/>
      <c r="Q13107" s="24"/>
      <c r="R13107" s="24"/>
      <c r="S13107" s="24"/>
      <c r="T13107" s="24"/>
      <c r="U13107" s="24"/>
      <c r="V13107" s="24"/>
      <c r="W13107" s="24"/>
      <c r="X13107" s="24"/>
      <c r="Y13107" s="24"/>
      <c r="Z13107" s="24"/>
      <c r="AA13107" s="24"/>
    </row>
    <row r="13108">
      <c r="A13108" s="24"/>
      <c r="B13108" s="25"/>
      <c r="C13108" s="24"/>
      <c r="D13108" s="26"/>
      <c r="E13108" s="24"/>
      <c r="F13108" s="24"/>
      <c r="G13108" s="24"/>
      <c r="H13108" s="24"/>
      <c r="I13108" s="24"/>
      <c r="J13108" s="24"/>
      <c r="K13108" s="24"/>
      <c r="L13108" s="24"/>
      <c r="M13108" s="24"/>
      <c r="N13108" s="24"/>
      <c r="O13108" s="24"/>
      <c r="P13108" s="24"/>
      <c r="Q13108" s="24"/>
      <c r="R13108" s="24"/>
      <c r="S13108" s="24"/>
      <c r="T13108" s="24"/>
      <c r="U13108" s="24"/>
      <c r="V13108" s="24"/>
      <c r="W13108" s="24"/>
      <c r="X13108" s="24"/>
      <c r="Y13108" s="24"/>
      <c r="Z13108" s="24"/>
      <c r="AA13108" s="24"/>
    </row>
    <row r="13109">
      <c r="A13109" s="24"/>
      <c r="B13109" s="25"/>
      <c r="C13109" s="24"/>
      <c r="D13109" s="26"/>
      <c r="E13109" s="24"/>
      <c r="F13109" s="24"/>
      <c r="G13109" s="24"/>
      <c r="H13109" s="24"/>
      <c r="I13109" s="24"/>
      <c r="J13109" s="24"/>
      <c r="K13109" s="24"/>
      <c r="L13109" s="24"/>
      <c r="M13109" s="24"/>
      <c r="N13109" s="24"/>
      <c r="O13109" s="24"/>
      <c r="P13109" s="24"/>
      <c r="Q13109" s="24"/>
      <c r="R13109" s="24"/>
      <c r="S13109" s="24"/>
      <c r="T13109" s="24"/>
      <c r="U13109" s="24"/>
      <c r="V13109" s="24"/>
      <c r="W13109" s="24"/>
      <c r="X13109" s="24"/>
      <c r="Y13109" s="24"/>
      <c r="Z13109" s="24"/>
      <c r="AA13109" s="24"/>
    </row>
    <row r="13110">
      <c r="A13110" s="24"/>
      <c r="B13110" s="25"/>
      <c r="C13110" s="24"/>
      <c r="D13110" s="26"/>
      <c r="E13110" s="24"/>
      <c r="F13110" s="24"/>
      <c r="G13110" s="24"/>
      <c r="H13110" s="24"/>
      <c r="I13110" s="24"/>
      <c r="J13110" s="24"/>
      <c r="K13110" s="24"/>
      <c r="L13110" s="24"/>
      <c r="M13110" s="24"/>
      <c r="N13110" s="24"/>
      <c r="O13110" s="24"/>
      <c r="P13110" s="24"/>
      <c r="Q13110" s="24"/>
      <c r="R13110" s="24"/>
      <c r="S13110" s="24"/>
      <c r="T13110" s="24"/>
      <c r="U13110" s="24"/>
      <c r="V13110" s="24"/>
      <c r="W13110" s="24"/>
      <c r="X13110" s="24"/>
      <c r="Y13110" s="24"/>
      <c r="Z13110" s="24"/>
      <c r="AA13110" s="24"/>
    </row>
    <row r="13111">
      <c r="A13111" s="24"/>
      <c r="B13111" s="25"/>
      <c r="C13111" s="24"/>
      <c r="D13111" s="26"/>
      <c r="E13111" s="24"/>
      <c r="F13111" s="24"/>
      <c r="G13111" s="24"/>
      <c r="H13111" s="24"/>
      <c r="I13111" s="24"/>
      <c r="J13111" s="24"/>
      <c r="K13111" s="24"/>
      <c r="L13111" s="24"/>
      <c r="M13111" s="24"/>
      <c r="N13111" s="24"/>
      <c r="O13111" s="24"/>
      <c r="P13111" s="24"/>
      <c r="Q13111" s="24"/>
      <c r="R13111" s="24"/>
      <c r="S13111" s="24"/>
      <c r="T13111" s="24"/>
      <c r="U13111" s="24"/>
      <c r="V13111" s="24"/>
      <c r="W13111" s="24"/>
      <c r="X13111" s="24"/>
      <c r="Y13111" s="24"/>
      <c r="Z13111" s="24"/>
      <c r="AA13111" s="24"/>
    </row>
    <row r="13112">
      <c r="A13112" s="24"/>
      <c r="B13112" s="25"/>
      <c r="C13112" s="24"/>
      <c r="D13112" s="26"/>
      <c r="E13112" s="24"/>
      <c r="F13112" s="24"/>
      <c r="G13112" s="24"/>
      <c r="H13112" s="24"/>
      <c r="I13112" s="24"/>
      <c r="J13112" s="24"/>
      <c r="K13112" s="24"/>
      <c r="L13112" s="24"/>
      <c r="M13112" s="24"/>
      <c r="N13112" s="24"/>
      <c r="O13112" s="24"/>
      <c r="P13112" s="24"/>
      <c r="Q13112" s="24"/>
      <c r="R13112" s="24"/>
      <c r="S13112" s="24"/>
      <c r="T13112" s="24"/>
      <c r="U13112" s="24"/>
      <c r="V13112" s="24"/>
      <c r="W13112" s="24"/>
      <c r="X13112" s="24"/>
      <c r="Y13112" s="24"/>
      <c r="Z13112" s="24"/>
      <c r="AA13112" s="24"/>
    </row>
    <row r="13113">
      <c r="A13113" s="24"/>
      <c r="B13113" s="25"/>
      <c r="C13113" s="24"/>
      <c r="D13113" s="26"/>
      <c r="E13113" s="24"/>
      <c r="F13113" s="24"/>
      <c r="G13113" s="24"/>
      <c r="H13113" s="24"/>
      <c r="I13113" s="24"/>
      <c r="J13113" s="24"/>
      <c r="K13113" s="24"/>
      <c r="L13113" s="24"/>
      <c r="M13113" s="24"/>
      <c r="N13113" s="24"/>
      <c r="O13113" s="24"/>
      <c r="P13113" s="24"/>
      <c r="Q13113" s="24"/>
      <c r="R13113" s="24"/>
      <c r="S13113" s="24"/>
      <c r="T13113" s="24"/>
      <c r="U13113" s="24"/>
      <c r="V13113" s="24"/>
      <c r="W13113" s="24"/>
      <c r="X13113" s="24"/>
      <c r="Y13113" s="24"/>
      <c r="Z13113" s="24"/>
      <c r="AA13113" s="24"/>
    </row>
    <row r="13114">
      <c r="A13114" s="24"/>
      <c r="B13114" s="25"/>
      <c r="C13114" s="24"/>
      <c r="D13114" s="26"/>
      <c r="E13114" s="24"/>
      <c r="F13114" s="24"/>
      <c r="G13114" s="24"/>
      <c r="H13114" s="24"/>
      <c r="I13114" s="24"/>
      <c r="J13114" s="24"/>
      <c r="K13114" s="24"/>
      <c r="L13114" s="24"/>
      <c r="M13114" s="24"/>
      <c r="N13114" s="24"/>
      <c r="O13114" s="24"/>
      <c r="P13114" s="24"/>
      <c r="Q13114" s="24"/>
      <c r="R13114" s="24"/>
      <c r="S13114" s="24"/>
      <c r="T13114" s="24"/>
      <c r="U13114" s="24"/>
      <c r="V13114" s="24"/>
      <c r="W13114" s="24"/>
      <c r="X13114" s="24"/>
      <c r="Y13114" s="24"/>
      <c r="Z13114" s="24"/>
      <c r="AA13114" s="24"/>
    </row>
    <row r="13115">
      <c r="A13115" s="24"/>
      <c r="B13115" s="25"/>
      <c r="C13115" s="24"/>
      <c r="D13115" s="26"/>
      <c r="E13115" s="24"/>
      <c r="F13115" s="24"/>
      <c r="G13115" s="24"/>
      <c r="H13115" s="24"/>
      <c r="I13115" s="24"/>
      <c r="J13115" s="24"/>
      <c r="K13115" s="24"/>
      <c r="L13115" s="24"/>
      <c r="M13115" s="24"/>
      <c r="N13115" s="24"/>
      <c r="O13115" s="24"/>
      <c r="P13115" s="24"/>
      <c r="Q13115" s="24"/>
      <c r="R13115" s="24"/>
      <c r="S13115" s="24"/>
      <c r="T13115" s="24"/>
      <c r="U13115" s="24"/>
      <c r="V13115" s="24"/>
      <c r="W13115" s="24"/>
      <c r="X13115" s="24"/>
      <c r="Y13115" s="24"/>
      <c r="Z13115" s="24"/>
      <c r="AA13115" s="24"/>
    </row>
    <row r="13116">
      <c r="A13116" s="24"/>
      <c r="B13116" s="25"/>
      <c r="C13116" s="24"/>
      <c r="D13116" s="26"/>
      <c r="E13116" s="24"/>
      <c r="F13116" s="24"/>
      <c r="G13116" s="24"/>
      <c r="H13116" s="24"/>
      <c r="I13116" s="24"/>
      <c r="J13116" s="24"/>
      <c r="K13116" s="24"/>
      <c r="L13116" s="24"/>
      <c r="M13116" s="24"/>
      <c r="N13116" s="24"/>
      <c r="O13116" s="24"/>
      <c r="P13116" s="24"/>
      <c r="Q13116" s="24"/>
      <c r="R13116" s="24"/>
      <c r="S13116" s="24"/>
      <c r="T13116" s="24"/>
      <c r="U13116" s="24"/>
      <c r="V13116" s="24"/>
      <c r="W13116" s="24"/>
      <c r="X13116" s="24"/>
      <c r="Y13116" s="24"/>
      <c r="Z13116" s="24"/>
      <c r="AA13116" s="24"/>
    </row>
    <row r="13117">
      <c r="A13117" s="24"/>
      <c r="B13117" s="25"/>
      <c r="C13117" s="24"/>
      <c r="D13117" s="26"/>
      <c r="E13117" s="24"/>
      <c r="F13117" s="24"/>
      <c r="G13117" s="24"/>
      <c r="H13117" s="24"/>
      <c r="I13117" s="24"/>
      <c r="J13117" s="24"/>
      <c r="K13117" s="24"/>
      <c r="L13117" s="24"/>
      <c r="M13117" s="24"/>
      <c r="N13117" s="24"/>
      <c r="O13117" s="24"/>
      <c r="P13117" s="24"/>
      <c r="Q13117" s="24"/>
      <c r="R13117" s="24"/>
      <c r="S13117" s="24"/>
      <c r="T13117" s="24"/>
      <c r="U13117" s="24"/>
      <c r="V13117" s="24"/>
      <c r="W13117" s="24"/>
      <c r="X13117" s="24"/>
      <c r="Y13117" s="24"/>
      <c r="Z13117" s="24"/>
      <c r="AA13117" s="24"/>
    </row>
    <row r="13118">
      <c r="A13118" s="24"/>
      <c r="B13118" s="25"/>
      <c r="C13118" s="24"/>
      <c r="D13118" s="26"/>
      <c r="E13118" s="24"/>
      <c r="F13118" s="24"/>
      <c r="G13118" s="24"/>
      <c r="H13118" s="24"/>
      <c r="I13118" s="24"/>
      <c r="J13118" s="24"/>
      <c r="K13118" s="24"/>
      <c r="L13118" s="24"/>
      <c r="M13118" s="24"/>
      <c r="N13118" s="24"/>
      <c r="O13118" s="24"/>
      <c r="P13118" s="24"/>
      <c r="Q13118" s="24"/>
      <c r="R13118" s="24"/>
      <c r="S13118" s="24"/>
      <c r="T13118" s="24"/>
      <c r="U13118" s="24"/>
      <c r="V13118" s="24"/>
      <c r="W13118" s="24"/>
      <c r="X13118" s="24"/>
      <c r="Y13118" s="24"/>
      <c r="Z13118" s="24"/>
      <c r="AA13118" s="24"/>
    </row>
    <row r="13119">
      <c r="A13119" s="24"/>
      <c r="B13119" s="25"/>
      <c r="C13119" s="24"/>
      <c r="D13119" s="26"/>
      <c r="E13119" s="24"/>
      <c r="F13119" s="24"/>
      <c r="G13119" s="24"/>
      <c r="H13119" s="24"/>
      <c r="I13119" s="24"/>
      <c r="J13119" s="24"/>
      <c r="K13119" s="24"/>
      <c r="L13119" s="24"/>
      <c r="M13119" s="24"/>
      <c r="N13119" s="24"/>
      <c r="O13119" s="24"/>
      <c r="P13119" s="24"/>
      <c r="Q13119" s="24"/>
      <c r="R13119" s="24"/>
      <c r="S13119" s="24"/>
      <c r="T13119" s="24"/>
      <c r="U13119" s="24"/>
      <c r="V13119" s="24"/>
      <c r="W13119" s="24"/>
      <c r="X13119" s="24"/>
      <c r="Y13119" s="24"/>
      <c r="Z13119" s="24"/>
      <c r="AA13119" s="24"/>
    </row>
    <row r="13120">
      <c r="A13120" s="24"/>
      <c r="B13120" s="25"/>
      <c r="C13120" s="24"/>
      <c r="D13120" s="26"/>
      <c r="E13120" s="24"/>
      <c r="F13120" s="24"/>
      <c r="G13120" s="24"/>
      <c r="H13120" s="24"/>
      <c r="I13120" s="24"/>
      <c r="J13120" s="24"/>
      <c r="K13120" s="24"/>
      <c r="L13120" s="24"/>
      <c r="M13120" s="24"/>
      <c r="N13120" s="24"/>
      <c r="O13120" s="24"/>
      <c r="P13120" s="24"/>
      <c r="Q13120" s="24"/>
      <c r="R13120" s="24"/>
      <c r="S13120" s="24"/>
      <c r="T13120" s="24"/>
      <c r="U13120" s="24"/>
      <c r="V13120" s="24"/>
      <c r="W13120" s="24"/>
      <c r="X13120" s="24"/>
      <c r="Y13120" s="24"/>
      <c r="Z13120" s="24"/>
      <c r="AA13120" s="24"/>
    </row>
    <row r="13121">
      <c r="A13121" s="24"/>
      <c r="B13121" s="25"/>
      <c r="C13121" s="24"/>
      <c r="D13121" s="26"/>
      <c r="E13121" s="24"/>
      <c r="F13121" s="24"/>
      <c r="G13121" s="24"/>
      <c r="H13121" s="24"/>
      <c r="I13121" s="24"/>
      <c r="J13121" s="24"/>
      <c r="K13121" s="24"/>
      <c r="L13121" s="24"/>
      <c r="M13121" s="24"/>
      <c r="N13121" s="24"/>
      <c r="O13121" s="24"/>
      <c r="P13121" s="24"/>
      <c r="Q13121" s="24"/>
      <c r="R13121" s="24"/>
      <c r="S13121" s="24"/>
      <c r="T13121" s="24"/>
      <c r="U13121" s="24"/>
      <c r="V13121" s="24"/>
      <c r="W13121" s="24"/>
      <c r="X13121" s="24"/>
      <c r="Y13121" s="24"/>
      <c r="Z13121" s="24"/>
      <c r="AA13121" s="24"/>
    </row>
    <row r="13122">
      <c r="A13122" s="24"/>
      <c r="B13122" s="25"/>
      <c r="C13122" s="24"/>
      <c r="D13122" s="26"/>
      <c r="E13122" s="24"/>
      <c r="F13122" s="24"/>
      <c r="G13122" s="24"/>
      <c r="H13122" s="24"/>
      <c r="I13122" s="24"/>
      <c r="J13122" s="24"/>
      <c r="K13122" s="24"/>
      <c r="L13122" s="24"/>
      <c r="M13122" s="24"/>
      <c r="N13122" s="24"/>
      <c r="O13122" s="24"/>
      <c r="P13122" s="24"/>
      <c r="Q13122" s="24"/>
      <c r="R13122" s="24"/>
      <c r="S13122" s="24"/>
      <c r="T13122" s="24"/>
      <c r="U13122" s="24"/>
      <c r="V13122" s="24"/>
      <c r="W13122" s="24"/>
      <c r="X13122" s="24"/>
      <c r="Y13122" s="24"/>
      <c r="Z13122" s="24"/>
      <c r="AA13122" s="24"/>
    </row>
    <row r="13123">
      <c r="A13123" s="24"/>
      <c r="B13123" s="25"/>
      <c r="C13123" s="24"/>
      <c r="D13123" s="26"/>
      <c r="E13123" s="24"/>
      <c r="F13123" s="24"/>
      <c r="G13123" s="24"/>
      <c r="H13123" s="24"/>
      <c r="I13123" s="24"/>
      <c r="J13123" s="24"/>
      <c r="K13123" s="24"/>
      <c r="L13123" s="24"/>
      <c r="M13123" s="24"/>
      <c r="N13123" s="24"/>
      <c r="O13123" s="24"/>
      <c r="P13123" s="24"/>
      <c r="Q13123" s="24"/>
      <c r="R13123" s="24"/>
      <c r="S13123" s="24"/>
      <c r="T13123" s="24"/>
      <c r="U13123" s="24"/>
      <c r="V13123" s="24"/>
      <c r="W13123" s="24"/>
      <c r="X13123" s="24"/>
      <c r="Y13123" s="24"/>
      <c r="Z13123" s="24"/>
      <c r="AA13123" s="24"/>
    </row>
    <row r="13124">
      <c r="A13124" s="24"/>
      <c r="B13124" s="25"/>
      <c r="C13124" s="24"/>
      <c r="D13124" s="26"/>
      <c r="E13124" s="24"/>
      <c r="F13124" s="24"/>
      <c r="G13124" s="24"/>
      <c r="H13124" s="24"/>
      <c r="I13124" s="24"/>
      <c r="J13124" s="24"/>
      <c r="K13124" s="24"/>
      <c r="L13124" s="24"/>
      <c r="M13124" s="24"/>
      <c r="N13124" s="24"/>
      <c r="O13124" s="24"/>
      <c r="P13124" s="24"/>
      <c r="Q13124" s="24"/>
      <c r="R13124" s="24"/>
      <c r="S13124" s="24"/>
      <c r="T13124" s="24"/>
      <c r="U13124" s="24"/>
      <c r="V13124" s="24"/>
      <c r="W13124" s="24"/>
      <c r="X13124" s="24"/>
      <c r="Y13124" s="24"/>
      <c r="Z13124" s="24"/>
      <c r="AA13124" s="24"/>
    </row>
    <row r="13125">
      <c r="A13125" s="24"/>
      <c r="B13125" s="25"/>
      <c r="C13125" s="24"/>
      <c r="D13125" s="26"/>
      <c r="E13125" s="24"/>
      <c r="F13125" s="24"/>
      <c r="G13125" s="24"/>
      <c r="H13125" s="24"/>
      <c r="I13125" s="24"/>
      <c r="J13125" s="24"/>
      <c r="K13125" s="24"/>
      <c r="L13125" s="24"/>
      <c r="M13125" s="24"/>
      <c r="N13125" s="24"/>
      <c r="O13125" s="24"/>
      <c r="P13125" s="24"/>
      <c r="Q13125" s="24"/>
      <c r="R13125" s="24"/>
      <c r="S13125" s="24"/>
      <c r="T13125" s="24"/>
      <c r="U13125" s="24"/>
      <c r="V13125" s="24"/>
      <c r="W13125" s="24"/>
      <c r="X13125" s="24"/>
      <c r="Y13125" s="24"/>
      <c r="Z13125" s="24"/>
      <c r="AA13125" s="24"/>
    </row>
    <row r="13126">
      <c r="A13126" s="24"/>
      <c r="B13126" s="25"/>
      <c r="C13126" s="24"/>
      <c r="D13126" s="26"/>
      <c r="E13126" s="24"/>
      <c r="F13126" s="24"/>
      <c r="G13126" s="24"/>
      <c r="H13126" s="24"/>
      <c r="I13126" s="24"/>
      <c r="J13126" s="24"/>
      <c r="K13126" s="24"/>
      <c r="L13126" s="24"/>
      <c r="M13126" s="24"/>
      <c r="N13126" s="24"/>
      <c r="O13126" s="24"/>
      <c r="P13126" s="24"/>
      <c r="Q13126" s="24"/>
      <c r="R13126" s="24"/>
      <c r="S13126" s="24"/>
      <c r="T13126" s="24"/>
      <c r="U13126" s="24"/>
      <c r="V13126" s="24"/>
      <c r="W13126" s="24"/>
      <c r="X13126" s="24"/>
      <c r="Y13126" s="24"/>
      <c r="Z13126" s="24"/>
      <c r="AA13126" s="24"/>
    </row>
    <row r="13127">
      <c r="A13127" s="24"/>
      <c r="B13127" s="25"/>
      <c r="C13127" s="24"/>
      <c r="D13127" s="26"/>
      <c r="E13127" s="24"/>
      <c r="F13127" s="24"/>
      <c r="G13127" s="24"/>
      <c r="H13127" s="24"/>
      <c r="I13127" s="24"/>
      <c r="J13127" s="24"/>
      <c r="K13127" s="24"/>
      <c r="L13127" s="24"/>
      <c r="M13127" s="24"/>
      <c r="N13127" s="24"/>
      <c r="O13127" s="24"/>
      <c r="P13127" s="24"/>
      <c r="Q13127" s="24"/>
      <c r="R13127" s="24"/>
      <c r="S13127" s="24"/>
      <c r="T13127" s="24"/>
      <c r="U13127" s="24"/>
      <c r="V13127" s="24"/>
      <c r="W13127" s="24"/>
      <c r="X13127" s="24"/>
      <c r="Y13127" s="24"/>
      <c r="Z13127" s="24"/>
      <c r="AA13127" s="24"/>
    </row>
    <row r="13128">
      <c r="A13128" s="24"/>
      <c r="B13128" s="25"/>
      <c r="C13128" s="24"/>
      <c r="D13128" s="26"/>
      <c r="E13128" s="24"/>
      <c r="F13128" s="24"/>
      <c r="G13128" s="24"/>
      <c r="H13128" s="24"/>
      <c r="I13128" s="24"/>
      <c r="J13128" s="24"/>
      <c r="K13128" s="24"/>
      <c r="L13128" s="24"/>
      <c r="M13128" s="24"/>
      <c r="N13128" s="24"/>
      <c r="O13128" s="24"/>
      <c r="P13128" s="24"/>
      <c r="Q13128" s="24"/>
      <c r="R13128" s="24"/>
      <c r="S13128" s="24"/>
      <c r="T13128" s="24"/>
      <c r="U13128" s="24"/>
      <c r="V13128" s="24"/>
      <c r="W13128" s="24"/>
      <c r="X13128" s="24"/>
      <c r="Y13128" s="24"/>
      <c r="Z13128" s="24"/>
      <c r="AA13128" s="24"/>
    </row>
    <row r="13129">
      <c r="A13129" s="24"/>
      <c r="B13129" s="25"/>
      <c r="C13129" s="24"/>
      <c r="D13129" s="26"/>
      <c r="E13129" s="24"/>
      <c r="F13129" s="24"/>
      <c r="G13129" s="24"/>
      <c r="H13129" s="24"/>
      <c r="I13129" s="24"/>
      <c r="J13129" s="24"/>
      <c r="K13129" s="24"/>
      <c r="L13129" s="24"/>
      <c r="M13129" s="24"/>
      <c r="N13129" s="24"/>
      <c r="O13129" s="24"/>
      <c r="P13129" s="24"/>
      <c r="Q13129" s="24"/>
      <c r="R13129" s="24"/>
      <c r="S13129" s="24"/>
      <c r="T13129" s="24"/>
      <c r="U13129" s="24"/>
      <c r="V13129" s="24"/>
      <c r="W13129" s="24"/>
      <c r="X13129" s="24"/>
      <c r="Y13129" s="24"/>
      <c r="Z13129" s="24"/>
      <c r="AA13129" s="24"/>
    </row>
    <row r="13130">
      <c r="A13130" s="24"/>
      <c r="B13130" s="25"/>
      <c r="C13130" s="24"/>
      <c r="D13130" s="26"/>
      <c r="E13130" s="24"/>
      <c r="F13130" s="24"/>
      <c r="G13130" s="24"/>
      <c r="H13130" s="24"/>
      <c r="I13130" s="24"/>
      <c r="J13130" s="24"/>
      <c r="K13130" s="24"/>
      <c r="L13130" s="24"/>
      <c r="M13130" s="24"/>
      <c r="N13130" s="24"/>
      <c r="O13130" s="24"/>
      <c r="P13130" s="24"/>
      <c r="Q13130" s="24"/>
      <c r="R13130" s="24"/>
      <c r="S13130" s="24"/>
      <c r="T13130" s="24"/>
      <c r="U13130" s="24"/>
      <c r="V13130" s="24"/>
      <c r="W13130" s="24"/>
      <c r="X13130" s="24"/>
      <c r="Y13130" s="24"/>
      <c r="Z13130" s="24"/>
      <c r="AA13130" s="24"/>
    </row>
    <row r="13131">
      <c r="A13131" s="24"/>
      <c r="B13131" s="25"/>
      <c r="C13131" s="24"/>
      <c r="D13131" s="26"/>
      <c r="E13131" s="24"/>
      <c r="F13131" s="24"/>
      <c r="G13131" s="24"/>
      <c r="H13131" s="24"/>
      <c r="I13131" s="24"/>
      <c r="J13131" s="24"/>
      <c r="K13131" s="24"/>
      <c r="L13131" s="24"/>
      <c r="M13131" s="24"/>
      <c r="N13131" s="24"/>
      <c r="O13131" s="24"/>
      <c r="P13131" s="24"/>
      <c r="Q13131" s="24"/>
      <c r="R13131" s="24"/>
      <c r="S13131" s="24"/>
      <c r="T13131" s="24"/>
      <c r="U13131" s="24"/>
      <c r="V13131" s="24"/>
      <c r="W13131" s="24"/>
      <c r="X13131" s="24"/>
      <c r="Y13131" s="24"/>
      <c r="Z13131" s="24"/>
      <c r="AA13131" s="24"/>
    </row>
    <row r="13132">
      <c r="A13132" s="24"/>
      <c r="B13132" s="25"/>
      <c r="C13132" s="24"/>
      <c r="D13132" s="26"/>
      <c r="E13132" s="24"/>
      <c r="F13132" s="24"/>
      <c r="G13132" s="24"/>
      <c r="H13132" s="24"/>
      <c r="I13132" s="24"/>
      <c r="J13132" s="24"/>
      <c r="K13132" s="24"/>
      <c r="L13132" s="24"/>
      <c r="M13132" s="24"/>
      <c r="N13132" s="24"/>
      <c r="O13132" s="24"/>
      <c r="P13132" s="24"/>
      <c r="Q13132" s="24"/>
      <c r="R13132" s="24"/>
      <c r="S13132" s="24"/>
      <c r="T13132" s="24"/>
      <c r="U13132" s="24"/>
      <c r="V13132" s="24"/>
      <c r="W13132" s="24"/>
      <c r="X13132" s="24"/>
      <c r="Y13132" s="24"/>
      <c r="Z13132" s="24"/>
      <c r="AA13132" s="24"/>
    </row>
    <row r="13133">
      <c r="A13133" s="24"/>
      <c r="B13133" s="25"/>
      <c r="C13133" s="24"/>
      <c r="D13133" s="26"/>
      <c r="E13133" s="24"/>
      <c r="F13133" s="24"/>
      <c r="G13133" s="24"/>
      <c r="H13133" s="24"/>
      <c r="I13133" s="24"/>
      <c r="J13133" s="24"/>
      <c r="K13133" s="24"/>
      <c r="L13133" s="24"/>
      <c r="M13133" s="24"/>
      <c r="N13133" s="24"/>
      <c r="O13133" s="24"/>
      <c r="P13133" s="24"/>
      <c r="Q13133" s="24"/>
      <c r="R13133" s="24"/>
      <c r="S13133" s="24"/>
      <c r="T13133" s="24"/>
      <c r="U13133" s="24"/>
      <c r="V13133" s="24"/>
      <c r="W13133" s="24"/>
      <c r="X13133" s="24"/>
      <c r="Y13133" s="24"/>
      <c r="Z13133" s="24"/>
      <c r="AA13133" s="24"/>
    </row>
    <row r="13134">
      <c r="A13134" s="24"/>
      <c r="B13134" s="25"/>
      <c r="C13134" s="24"/>
      <c r="D13134" s="26"/>
      <c r="E13134" s="24"/>
      <c r="F13134" s="24"/>
      <c r="G13134" s="24"/>
      <c r="H13134" s="24"/>
      <c r="I13134" s="24"/>
      <c r="J13134" s="24"/>
      <c r="K13134" s="24"/>
      <c r="L13134" s="24"/>
      <c r="M13134" s="24"/>
      <c r="N13134" s="24"/>
      <c r="O13134" s="24"/>
      <c r="P13134" s="24"/>
      <c r="Q13134" s="24"/>
      <c r="R13134" s="24"/>
      <c r="S13134" s="24"/>
      <c r="T13134" s="24"/>
      <c r="U13134" s="24"/>
      <c r="V13134" s="24"/>
      <c r="W13134" s="24"/>
      <c r="X13134" s="24"/>
      <c r="Y13134" s="24"/>
      <c r="Z13134" s="24"/>
      <c r="AA13134" s="24"/>
    </row>
    <row r="13135">
      <c r="A13135" s="24"/>
      <c r="B13135" s="25"/>
      <c r="C13135" s="24"/>
      <c r="D13135" s="26"/>
      <c r="E13135" s="24"/>
      <c r="F13135" s="24"/>
      <c r="G13135" s="24"/>
      <c r="H13135" s="24"/>
      <c r="I13135" s="24"/>
      <c r="J13135" s="24"/>
      <c r="K13135" s="24"/>
      <c r="L13135" s="24"/>
      <c r="M13135" s="24"/>
      <c r="N13135" s="24"/>
      <c r="O13135" s="24"/>
      <c r="P13135" s="24"/>
      <c r="Q13135" s="24"/>
      <c r="R13135" s="24"/>
      <c r="S13135" s="24"/>
      <c r="T13135" s="24"/>
      <c r="U13135" s="24"/>
      <c r="V13135" s="24"/>
      <c r="W13135" s="24"/>
      <c r="X13135" s="24"/>
      <c r="Y13135" s="24"/>
      <c r="Z13135" s="24"/>
      <c r="AA13135" s="24"/>
    </row>
    <row r="13136">
      <c r="A13136" s="24"/>
      <c r="B13136" s="25"/>
      <c r="C13136" s="24"/>
      <c r="D13136" s="26"/>
      <c r="E13136" s="24"/>
      <c r="F13136" s="24"/>
      <c r="G13136" s="24"/>
      <c r="H13136" s="24"/>
      <c r="I13136" s="24"/>
      <c r="J13136" s="24"/>
      <c r="K13136" s="24"/>
      <c r="L13136" s="24"/>
      <c r="M13136" s="24"/>
      <c r="N13136" s="24"/>
      <c r="O13136" s="24"/>
      <c r="P13136" s="24"/>
      <c r="Q13136" s="24"/>
      <c r="R13136" s="24"/>
      <c r="S13136" s="24"/>
      <c r="T13136" s="24"/>
      <c r="U13136" s="24"/>
      <c r="V13136" s="24"/>
      <c r="W13136" s="24"/>
      <c r="X13136" s="24"/>
      <c r="Y13136" s="24"/>
      <c r="Z13136" s="24"/>
      <c r="AA13136" s="24"/>
    </row>
    <row r="13137">
      <c r="A13137" s="24"/>
      <c r="B13137" s="25"/>
      <c r="C13137" s="24"/>
      <c r="D13137" s="26"/>
      <c r="E13137" s="24"/>
      <c r="F13137" s="24"/>
      <c r="G13137" s="24"/>
      <c r="H13137" s="24"/>
      <c r="I13137" s="24"/>
      <c r="J13137" s="24"/>
      <c r="K13137" s="24"/>
      <c r="L13137" s="24"/>
      <c r="M13137" s="24"/>
      <c r="N13137" s="24"/>
      <c r="O13137" s="24"/>
      <c r="P13137" s="24"/>
      <c r="Q13137" s="24"/>
      <c r="R13137" s="24"/>
      <c r="S13137" s="24"/>
      <c r="T13137" s="24"/>
      <c r="U13137" s="24"/>
      <c r="V13137" s="24"/>
      <c r="W13137" s="24"/>
      <c r="X13137" s="24"/>
      <c r="Y13137" s="24"/>
      <c r="Z13137" s="24"/>
      <c r="AA13137" s="24"/>
    </row>
    <row r="13138">
      <c r="A13138" s="24"/>
      <c r="B13138" s="25"/>
      <c r="C13138" s="24"/>
      <c r="D13138" s="26"/>
      <c r="E13138" s="24"/>
      <c r="F13138" s="24"/>
      <c r="G13138" s="24"/>
      <c r="H13138" s="24"/>
      <c r="I13138" s="24"/>
      <c r="J13138" s="24"/>
      <c r="K13138" s="24"/>
      <c r="L13138" s="24"/>
      <c r="M13138" s="24"/>
      <c r="N13138" s="24"/>
      <c r="O13138" s="24"/>
      <c r="P13138" s="24"/>
      <c r="Q13138" s="24"/>
      <c r="R13138" s="24"/>
      <c r="S13138" s="24"/>
      <c r="T13138" s="24"/>
      <c r="U13138" s="24"/>
      <c r="V13138" s="24"/>
      <c r="W13138" s="24"/>
      <c r="X13138" s="24"/>
      <c r="Y13138" s="24"/>
      <c r="Z13138" s="24"/>
      <c r="AA13138" s="24"/>
    </row>
    <row r="13139">
      <c r="A13139" s="24"/>
      <c r="B13139" s="25"/>
      <c r="C13139" s="24"/>
      <c r="D13139" s="26"/>
      <c r="E13139" s="24"/>
      <c r="F13139" s="24"/>
      <c r="G13139" s="24"/>
      <c r="H13139" s="24"/>
      <c r="I13139" s="24"/>
      <c r="J13139" s="24"/>
      <c r="K13139" s="24"/>
      <c r="L13139" s="24"/>
      <c r="M13139" s="24"/>
      <c r="N13139" s="24"/>
      <c r="O13139" s="24"/>
      <c r="P13139" s="24"/>
      <c r="Q13139" s="24"/>
      <c r="R13139" s="24"/>
      <c r="S13139" s="24"/>
      <c r="T13139" s="24"/>
      <c r="U13139" s="24"/>
      <c r="V13139" s="24"/>
      <c r="W13139" s="24"/>
      <c r="X13139" s="24"/>
      <c r="Y13139" s="24"/>
      <c r="Z13139" s="24"/>
      <c r="AA13139" s="24"/>
    </row>
    <row r="13140">
      <c r="A13140" s="24"/>
      <c r="B13140" s="25"/>
      <c r="C13140" s="24"/>
      <c r="D13140" s="26"/>
      <c r="E13140" s="24"/>
      <c r="F13140" s="24"/>
      <c r="G13140" s="24"/>
      <c r="H13140" s="24"/>
      <c r="I13140" s="24"/>
      <c r="J13140" s="24"/>
      <c r="K13140" s="24"/>
      <c r="L13140" s="24"/>
      <c r="M13140" s="24"/>
      <c r="N13140" s="24"/>
      <c r="O13140" s="24"/>
      <c r="P13140" s="24"/>
      <c r="Q13140" s="24"/>
      <c r="R13140" s="24"/>
      <c r="S13140" s="24"/>
      <c r="T13140" s="24"/>
      <c r="U13140" s="24"/>
      <c r="V13140" s="24"/>
      <c r="W13140" s="24"/>
      <c r="X13140" s="24"/>
      <c r="Y13140" s="24"/>
      <c r="Z13140" s="24"/>
      <c r="AA13140" s="24"/>
    </row>
    <row r="13141">
      <c r="A13141" s="24"/>
      <c r="B13141" s="25"/>
      <c r="C13141" s="24"/>
      <c r="D13141" s="26"/>
      <c r="E13141" s="24"/>
      <c r="F13141" s="24"/>
      <c r="G13141" s="24"/>
      <c r="H13141" s="24"/>
      <c r="I13141" s="24"/>
      <c r="J13141" s="24"/>
      <c r="K13141" s="24"/>
      <c r="L13141" s="24"/>
      <c r="M13141" s="24"/>
      <c r="N13141" s="24"/>
      <c r="O13141" s="24"/>
      <c r="P13141" s="24"/>
      <c r="Q13141" s="24"/>
      <c r="R13141" s="24"/>
      <c r="S13141" s="24"/>
      <c r="T13141" s="24"/>
      <c r="U13141" s="24"/>
      <c r="V13141" s="24"/>
      <c r="W13141" s="24"/>
      <c r="X13141" s="24"/>
      <c r="Y13141" s="24"/>
      <c r="Z13141" s="24"/>
      <c r="AA13141" s="24"/>
    </row>
    <row r="13142">
      <c r="A13142" s="24"/>
      <c r="B13142" s="25"/>
      <c r="C13142" s="24"/>
      <c r="D13142" s="26"/>
      <c r="E13142" s="24"/>
      <c r="F13142" s="24"/>
      <c r="G13142" s="24"/>
      <c r="H13142" s="24"/>
      <c r="I13142" s="24"/>
      <c r="J13142" s="24"/>
      <c r="K13142" s="24"/>
      <c r="L13142" s="24"/>
      <c r="M13142" s="24"/>
      <c r="N13142" s="24"/>
      <c r="O13142" s="24"/>
      <c r="P13142" s="24"/>
      <c r="Q13142" s="24"/>
      <c r="R13142" s="24"/>
      <c r="S13142" s="24"/>
      <c r="T13142" s="24"/>
      <c r="U13142" s="24"/>
      <c r="V13142" s="24"/>
      <c r="W13142" s="24"/>
      <c r="X13142" s="24"/>
      <c r="Y13142" s="24"/>
      <c r="Z13142" s="24"/>
      <c r="AA13142" s="24"/>
    </row>
    <row r="13143">
      <c r="A13143" s="24"/>
      <c r="B13143" s="25"/>
      <c r="C13143" s="24"/>
      <c r="D13143" s="26"/>
      <c r="E13143" s="24"/>
      <c r="F13143" s="24"/>
      <c r="G13143" s="24"/>
      <c r="H13143" s="24"/>
      <c r="I13143" s="24"/>
      <c r="J13143" s="24"/>
      <c r="K13143" s="24"/>
      <c r="L13143" s="24"/>
      <c r="M13143" s="24"/>
      <c r="N13143" s="24"/>
      <c r="O13143" s="24"/>
      <c r="P13143" s="24"/>
      <c r="Q13143" s="24"/>
      <c r="R13143" s="24"/>
      <c r="S13143" s="24"/>
      <c r="T13143" s="24"/>
      <c r="U13143" s="24"/>
      <c r="V13143" s="24"/>
      <c r="W13143" s="24"/>
      <c r="X13143" s="24"/>
      <c r="Y13143" s="24"/>
      <c r="Z13143" s="24"/>
      <c r="AA13143" s="24"/>
    </row>
    <row r="13144">
      <c r="A13144" s="24"/>
      <c r="B13144" s="25"/>
      <c r="C13144" s="24"/>
      <c r="D13144" s="26"/>
      <c r="E13144" s="24"/>
      <c r="F13144" s="24"/>
      <c r="G13144" s="24"/>
      <c r="H13144" s="24"/>
      <c r="I13144" s="24"/>
      <c r="J13144" s="24"/>
      <c r="K13144" s="24"/>
      <c r="L13144" s="24"/>
      <c r="M13144" s="24"/>
      <c r="N13144" s="24"/>
      <c r="O13144" s="24"/>
      <c r="P13144" s="24"/>
      <c r="Q13144" s="24"/>
      <c r="R13144" s="24"/>
      <c r="S13144" s="24"/>
      <c r="T13144" s="24"/>
      <c r="U13144" s="24"/>
      <c r="V13144" s="24"/>
      <c r="W13144" s="24"/>
      <c r="X13144" s="24"/>
      <c r="Y13144" s="24"/>
      <c r="Z13144" s="24"/>
      <c r="AA13144" s="24"/>
    </row>
    <row r="13145">
      <c r="A13145" s="24"/>
      <c r="B13145" s="25"/>
      <c r="C13145" s="24"/>
      <c r="D13145" s="26"/>
      <c r="E13145" s="24"/>
      <c r="F13145" s="24"/>
      <c r="G13145" s="24"/>
      <c r="H13145" s="24"/>
      <c r="I13145" s="24"/>
      <c r="J13145" s="24"/>
      <c r="K13145" s="24"/>
      <c r="L13145" s="24"/>
      <c r="M13145" s="24"/>
      <c r="N13145" s="24"/>
      <c r="O13145" s="24"/>
      <c r="P13145" s="24"/>
      <c r="Q13145" s="24"/>
      <c r="R13145" s="24"/>
      <c r="S13145" s="24"/>
      <c r="T13145" s="24"/>
      <c r="U13145" s="24"/>
      <c r="V13145" s="24"/>
      <c r="W13145" s="24"/>
      <c r="X13145" s="24"/>
      <c r="Y13145" s="24"/>
      <c r="Z13145" s="24"/>
      <c r="AA13145" s="24"/>
    </row>
    <row r="13146">
      <c r="A13146" s="24"/>
      <c r="B13146" s="25"/>
      <c r="C13146" s="24"/>
      <c r="D13146" s="26"/>
      <c r="E13146" s="24"/>
      <c r="F13146" s="24"/>
      <c r="G13146" s="24"/>
      <c r="H13146" s="24"/>
      <c r="I13146" s="24"/>
      <c r="J13146" s="24"/>
      <c r="K13146" s="24"/>
      <c r="L13146" s="24"/>
      <c r="M13146" s="24"/>
      <c r="N13146" s="24"/>
      <c r="O13146" s="24"/>
      <c r="P13146" s="24"/>
      <c r="Q13146" s="24"/>
      <c r="R13146" s="24"/>
      <c r="S13146" s="24"/>
      <c r="T13146" s="24"/>
      <c r="U13146" s="24"/>
      <c r="V13146" s="24"/>
      <c r="W13146" s="24"/>
      <c r="X13146" s="24"/>
      <c r="Y13146" s="24"/>
      <c r="Z13146" s="24"/>
      <c r="AA13146" s="24"/>
    </row>
    <row r="13147">
      <c r="A13147" s="24"/>
      <c r="B13147" s="25"/>
      <c r="C13147" s="24"/>
      <c r="D13147" s="26"/>
      <c r="E13147" s="24"/>
      <c r="F13147" s="24"/>
      <c r="G13147" s="24"/>
      <c r="H13147" s="24"/>
      <c r="I13147" s="24"/>
      <c r="J13147" s="24"/>
      <c r="K13147" s="24"/>
      <c r="L13147" s="24"/>
      <c r="M13147" s="24"/>
      <c r="N13147" s="24"/>
      <c r="O13147" s="24"/>
      <c r="P13147" s="24"/>
      <c r="Q13147" s="24"/>
      <c r="R13147" s="24"/>
      <c r="S13147" s="24"/>
      <c r="T13147" s="24"/>
      <c r="U13147" s="24"/>
      <c r="V13147" s="24"/>
      <c r="W13147" s="24"/>
      <c r="X13147" s="24"/>
      <c r="Y13147" s="24"/>
      <c r="Z13147" s="24"/>
      <c r="AA13147" s="24"/>
    </row>
    <row r="13148">
      <c r="A13148" s="24"/>
      <c r="B13148" s="25"/>
      <c r="C13148" s="24"/>
      <c r="D13148" s="26"/>
      <c r="E13148" s="24"/>
      <c r="F13148" s="24"/>
      <c r="G13148" s="24"/>
      <c r="H13148" s="24"/>
      <c r="I13148" s="24"/>
      <c r="J13148" s="24"/>
      <c r="K13148" s="24"/>
      <c r="L13148" s="24"/>
      <c r="M13148" s="24"/>
      <c r="N13148" s="24"/>
      <c r="O13148" s="24"/>
      <c r="P13148" s="24"/>
      <c r="Q13148" s="24"/>
      <c r="R13148" s="24"/>
      <c r="S13148" s="24"/>
      <c r="T13148" s="24"/>
      <c r="U13148" s="24"/>
      <c r="V13148" s="24"/>
      <c r="W13148" s="24"/>
      <c r="X13148" s="24"/>
      <c r="Y13148" s="24"/>
      <c r="Z13148" s="24"/>
      <c r="AA13148" s="24"/>
    </row>
    <row r="13149">
      <c r="A13149" s="24"/>
      <c r="B13149" s="25"/>
      <c r="C13149" s="24"/>
      <c r="D13149" s="26"/>
      <c r="E13149" s="24"/>
      <c r="F13149" s="24"/>
      <c r="G13149" s="24"/>
      <c r="H13149" s="24"/>
      <c r="I13149" s="24"/>
      <c r="J13149" s="24"/>
      <c r="K13149" s="24"/>
      <c r="L13149" s="24"/>
      <c r="M13149" s="24"/>
      <c r="N13149" s="24"/>
      <c r="O13149" s="24"/>
      <c r="P13149" s="24"/>
      <c r="Q13149" s="24"/>
      <c r="R13149" s="24"/>
      <c r="S13149" s="24"/>
      <c r="T13149" s="24"/>
      <c r="U13149" s="24"/>
      <c r="V13149" s="24"/>
      <c r="W13149" s="24"/>
      <c r="X13149" s="24"/>
      <c r="Y13149" s="24"/>
      <c r="Z13149" s="24"/>
      <c r="AA13149" s="24"/>
    </row>
    <row r="13150">
      <c r="A13150" s="24"/>
      <c r="B13150" s="25"/>
      <c r="C13150" s="24"/>
      <c r="D13150" s="26"/>
      <c r="E13150" s="24"/>
      <c r="F13150" s="24"/>
      <c r="G13150" s="24"/>
      <c r="H13150" s="24"/>
      <c r="I13150" s="24"/>
      <c r="J13150" s="24"/>
      <c r="K13150" s="24"/>
      <c r="L13150" s="24"/>
      <c r="M13150" s="24"/>
      <c r="N13150" s="24"/>
      <c r="O13150" s="24"/>
      <c r="P13150" s="24"/>
      <c r="Q13150" s="24"/>
      <c r="R13150" s="24"/>
      <c r="S13150" s="24"/>
      <c r="T13150" s="24"/>
      <c r="U13150" s="24"/>
      <c r="V13150" s="24"/>
      <c r="W13150" s="24"/>
      <c r="X13150" s="24"/>
      <c r="Y13150" s="24"/>
      <c r="Z13150" s="24"/>
      <c r="AA13150" s="24"/>
    </row>
    <row r="13151">
      <c r="A13151" s="24"/>
      <c r="B13151" s="25"/>
      <c r="C13151" s="24"/>
      <c r="D13151" s="26"/>
      <c r="E13151" s="24"/>
      <c r="F13151" s="24"/>
      <c r="G13151" s="24"/>
      <c r="H13151" s="24"/>
      <c r="I13151" s="24"/>
      <c r="J13151" s="24"/>
      <c r="K13151" s="24"/>
      <c r="L13151" s="24"/>
      <c r="M13151" s="24"/>
      <c r="N13151" s="24"/>
      <c r="O13151" s="24"/>
      <c r="P13151" s="24"/>
      <c r="Q13151" s="24"/>
      <c r="R13151" s="24"/>
      <c r="S13151" s="24"/>
      <c r="T13151" s="24"/>
      <c r="U13151" s="24"/>
      <c r="V13151" s="24"/>
      <c r="W13151" s="24"/>
      <c r="X13151" s="24"/>
      <c r="Y13151" s="24"/>
      <c r="Z13151" s="24"/>
      <c r="AA13151" s="24"/>
    </row>
    <row r="13152">
      <c r="A13152" s="24"/>
      <c r="B13152" s="25"/>
      <c r="C13152" s="24"/>
      <c r="D13152" s="26"/>
      <c r="E13152" s="24"/>
      <c r="F13152" s="24"/>
      <c r="G13152" s="24"/>
      <c r="H13152" s="24"/>
      <c r="I13152" s="24"/>
      <c r="J13152" s="24"/>
      <c r="K13152" s="24"/>
      <c r="L13152" s="24"/>
      <c r="M13152" s="24"/>
      <c r="N13152" s="24"/>
      <c r="O13152" s="24"/>
      <c r="P13152" s="24"/>
      <c r="Q13152" s="24"/>
      <c r="R13152" s="24"/>
      <c r="S13152" s="24"/>
      <c r="T13152" s="24"/>
      <c r="U13152" s="24"/>
      <c r="V13152" s="24"/>
      <c r="W13152" s="24"/>
      <c r="X13152" s="24"/>
      <c r="Y13152" s="24"/>
      <c r="Z13152" s="24"/>
      <c r="AA13152" s="24"/>
    </row>
    <row r="13153">
      <c r="A13153" s="24"/>
      <c r="B13153" s="25"/>
      <c r="C13153" s="24"/>
      <c r="D13153" s="26"/>
      <c r="E13153" s="24"/>
      <c r="F13153" s="24"/>
      <c r="G13153" s="24"/>
      <c r="H13153" s="24"/>
      <c r="I13153" s="24"/>
      <c r="J13153" s="24"/>
      <c r="K13153" s="24"/>
      <c r="L13153" s="24"/>
      <c r="M13153" s="24"/>
      <c r="N13153" s="24"/>
      <c r="O13153" s="24"/>
      <c r="P13153" s="24"/>
      <c r="Q13153" s="24"/>
      <c r="R13153" s="24"/>
      <c r="S13153" s="24"/>
      <c r="T13153" s="24"/>
      <c r="U13153" s="24"/>
      <c r="V13153" s="24"/>
      <c r="W13153" s="24"/>
      <c r="X13153" s="24"/>
      <c r="Y13153" s="24"/>
      <c r="Z13153" s="24"/>
      <c r="AA13153" s="24"/>
    </row>
    <row r="13154">
      <c r="A13154" s="24"/>
      <c r="B13154" s="25"/>
      <c r="C13154" s="24"/>
      <c r="D13154" s="26"/>
      <c r="E13154" s="24"/>
      <c r="F13154" s="24"/>
      <c r="G13154" s="24"/>
      <c r="H13154" s="24"/>
      <c r="I13154" s="24"/>
      <c r="J13154" s="24"/>
      <c r="K13154" s="24"/>
      <c r="L13154" s="24"/>
      <c r="M13154" s="24"/>
      <c r="N13154" s="24"/>
      <c r="O13154" s="24"/>
      <c r="P13154" s="24"/>
      <c r="Q13154" s="24"/>
      <c r="R13154" s="24"/>
      <c r="S13154" s="24"/>
      <c r="T13154" s="24"/>
      <c r="U13154" s="24"/>
      <c r="V13154" s="24"/>
      <c r="W13154" s="24"/>
      <c r="X13154" s="24"/>
      <c r="Y13154" s="24"/>
      <c r="Z13154" s="24"/>
      <c r="AA13154" s="24"/>
    </row>
    <row r="13155">
      <c r="A13155" s="24"/>
      <c r="B13155" s="25"/>
      <c r="C13155" s="24"/>
      <c r="D13155" s="26"/>
      <c r="E13155" s="24"/>
      <c r="F13155" s="24"/>
      <c r="G13155" s="24"/>
      <c r="H13155" s="24"/>
      <c r="I13155" s="24"/>
      <c r="J13155" s="24"/>
      <c r="K13155" s="24"/>
      <c r="L13155" s="24"/>
      <c r="M13155" s="24"/>
      <c r="N13155" s="24"/>
      <c r="O13155" s="24"/>
      <c r="P13155" s="24"/>
      <c r="Q13155" s="24"/>
      <c r="R13155" s="24"/>
      <c r="S13155" s="24"/>
      <c r="T13155" s="24"/>
      <c r="U13155" s="24"/>
      <c r="V13155" s="24"/>
      <c r="W13155" s="24"/>
      <c r="X13155" s="24"/>
      <c r="Y13155" s="24"/>
      <c r="Z13155" s="24"/>
      <c r="AA13155" s="24"/>
    </row>
    <row r="13156">
      <c r="A13156" s="24"/>
      <c r="B13156" s="25"/>
      <c r="C13156" s="24"/>
      <c r="D13156" s="26"/>
      <c r="E13156" s="24"/>
      <c r="F13156" s="24"/>
      <c r="G13156" s="24"/>
      <c r="H13156" s="24"/>
      <c r="I13156" s="24"/>
      <c r="J13156" s="24"/>
      <c r="K13156" s="24"/>
      <c r="L13156" s="24"/>
      <c r="M13156" s="24"/>
      <c r="N13156" s="24"/>
      <c r="O13156" s="24"/>
      <c r="P13156" s="24"/>
      <c r="Q13156" s="24"/>
      <c r="R13156" s="24"/>
      <c r="S13156" s="24"/>
      <c r="T13156" s="24"/>
      <c r="U13156" s="24"/>
      <c r="V13156" s="24"/>
      <c r="W13156" s="24"/>
      <c r="X13156" s="24"/>
      <c r="Y13156" s="24"/>
      <c r="Z13156" s="24"/>
      <c r="AA13156" s="24"/>
    </row>
    <row r="13157">
      <c r="A13157" s="24"/>
      <c r="B13157" s="25"/>
      <c r="C13157" s="24"/>
      <c r="D13157" s="26"/>
      <c r="E13157" s="24"/>
      <c r="F13157" s="24"/>
      <c r="G13157" s="24"/>
      <c r="H13157" s="24"/>
      <c r="I13157" s="24"/>
      <c r="J13157" s="24"/>
      <c r="K13157" s="24"/>
      <c r="L13157" s="24"/>
      <c r="M13157" s="24"/>
      <c r="N13157" s="24"/>
      <c r="O13157" s="24"/>
      <c r="P13157" s="24"/>
      <c r="Q13157" s="24"/>
      <c r="R13157" s="24"/>
      <c r="S13157" s="24"/>
      <c r="T13157" s="24"/>
      <c r="U13157" s="24"/>
      <c r="V13157" s="24"/>
      <c r="W13157" s="24"/>
      <c r="X13157" s="24"/>
      <c r="Y13157" s="24"/>
      <c r="Z13157" s="24"/>
      <c r="AA13157" s="24"/>
    </row>
    <row r="13158">
      <c r="A13158" s="24"/>
      <c r="B13158" s="25"/>
      <c r="C13158" s="24"/>
      <c r="D13158" s="26"/>
      <c r="E13158" s="24"/>
      <c r="F13158" s="24"/>
      <c r="G13158" s="24"/>
      <c r="H13158" s="24"/>
      <c r="I13158" s="24"/>
      <c r="J13158" s="24"/>
      <c r="K13158" s="24"/>
      <c r="L13158" s="24"/>
      <c r="M13158" s="24"/>
      <c r="N13158" s="24"/>
      <c r="O13158" s="24"/>
      <c r="P13158" s="24"/>
      <c r="Q13158" s="24"/>
      <c r="R13158" s="24"/>
      <c r="S13158" s="24"/>
      <c r="T13158" s="24"/>
      <c r="U13158" s="24"/>
      <c r="V13158" s="24"/>
      <c r="W13158" s="24"/>
      <c r="X13158" s="24"/>
      <c r="Y13158" s="24"/>
      <c r="Z13158" s="24"/>
      <c r="AA13158" s="24"/>
    </row>
    <row r="13159">
      <c r="A13159" s="24"/>
      <c r="B13159" s="25"/>
      <c r="C13159" s="24"/>
      <c r="D13159" s="26"/>
      <c r="E13159" s="24"/>
      <c r="F13159" s="24"/>
      <c r="G13159" s="24"/>
      <c r="H13159" s="24"/>
      <c r="I13159" s="24"/>
      <c r="J13159" s="24"/>
      <c r="K13159" s="24"/>
      <c r="L13159" s="24"/>
      <c r="M13159" s="24"/>
      <c r="N13159" s="24"/>
      <c r="O13159" s="24"/>
      <c r="P13159" s="24"/>
      <c r="Q13159" s="24"/>
      <c r="R13159" s="24"/>
      <c r="S13159" s="24"/>
      <c r="T13159" s="24"/>
      <c r="U13159" s="24"/>
      <c r="V13159" s="24"/>
      <c r="W13159" s="24"/>
      <c r="X13159" s="24"/>
      <c r="Y13159" s="24"/>
      <c r="Z13159" s="24"/>
      <c r="AA13159" s="24"/>
    </row>
    <row r="13160">
      <c r="A13160" s="24"/>
      <c r="B13160" s="25"/>
      <c r="C13160" s="24"/>
      <c r="D13160" s="26"/>
      <c r="E13160" s="24"/>
      <c r="F13160" s="24"/>
      <c r="G13160" s="24"/>
      <c r="H13160" s="24"/>
      <c r="I13160" s="24"/>
      <c r="J13160" s="24"/>
      <c r="K13160" s="24"/>
      <c r="L13160" s="24"/>
      <c r="M13160" s="24"/>
      <c r="N13160" s="24"/>
      <c r="O13160" s="24"/>
      <c r="P13160" s="24"/>
      <c r="Q13160" s="24"/>
      <c r="R13160" s="24"/>
      <c r="S13160" s="24"/>
      <c r="T13160" s="24"/>
      <c r="U13160" s="24"/>
      <c r="V13160" s="24"/>
      <c r="W13160" s="24"/>
      <c r="X13160" s="24"/>
      <c r="Y13160" s="24"/>
      <c r="Z13160" s="24"/>
      <c r="AA13160" s="24"/>
    </row>
    <row r="13161">
      <c r="A13161" s="24"/>
      <c r="B13161" s="25"/>
      <c r="C13161" s="24"/>
      <c r="D13161" s="26"/>
      <c r="E13161" s="24"/>
      <c r="F13161" s="24"/>
      <c r="G13161" s="24"/>
      <c r="H13161" s="24"/>
      <c r="I13161" s="24"/>
      <c r="J13161" s="24"/>
      <c r="K13161" s="24"/>
      <c r="L13161" s="24"/>
      <c r="M13161" s="24"/>
      <c r="N13161" s="24"/>
      <c r="O13161" s="24"/>
      <c r="P13161" s="24"/>
      <c r="Q13161" s="24"/>
      <c r="R13161" s="24"/>
      <c r="S13161" s="24"/>
      <c r="T13161" s="24"/>
      <c r="U13161" s="24"/>
      <c r="V13161" s="24"/>
      <c r="W13161" s="24"/>
      <c r="X13161" s="24"/>
      <c r="Y13161" s="24"/>
      <c r="Z13161" s="24"/>
      <c r="AA13161" s="24"/>
    </row>
    <row r="13162">
      <c r="A13162" s="24"/>
      <c r="B13162" s="25"/>
      <c r="C13162" s="24"/>
      <c r="D13162" s="26"/>
      <c r="E13162" s="24"/>
      <c r="F13162" s="24"/>
      <c r="G13162" s="24"/>
      <c r="H13162" s="24"/>
      <c r="I13162" s="24"/>
      <c r="J13162" s="24"/>
      <c r="K13162" s="24"/>
      <c r="L13162" s="24"/>
      <c r="M13162" s="24"/>
      <c r="N13162" s="24"/>
      <c r="O13162" s="24"/>
      <c r="P13162" s="24"/>
      <c r="Q13162" s="24"/>
      <c r="R13162" s="24"/>
      <c r="S13162" s="24"/>
      <c r="T13162" s="24"/>
      <c r="U13162" s="24"/>
      <c r="V13162" s="24"/>
      <c r="W13162" s="24"/>
      <c r="X13162" s="24"/>
      <c r="Y13162" s="24"/>
      <c r="Z13162" s="24"/>
      <c r="AA13162" s="24"/>
    </row>
    <row r="13163">
      <c r="A13163" s="24"/>
      <c r="B13163" s="25"/>
      <c r="C13163" s="24"/>
      <c r="D13163" s="26"/>
      <c r="E13163" s="24"/>
      <c r="F13163" s="24"/>
      <c r="G13163" s="24"/>
      <c r="H13163" s="24"/>
      <c r="I13163" s="24"/>
      <c r="J13163" s="24"/>
      <c r="K13163" s="24"/>
      <c r="L13163" s="24"/>
      <c r="M13163" s="24"/>
      <c r="N13163" s="24"/>
      <c r="O13163" s="24"/>
      <c r="P13163" s="24"/>
      <c r="Q13163" s="24"/>
      <c r="R13163" s="24"/>
      <c r="S13163" s="24"/>
      <c r="T13163" s="24"/>
      <c r="U13163" s="24"/>
      <c r="V13163" s="24"/>
      <c r="W13163" s="24"/>
      <c r="X13163" s="24"/>
      <c r="Y13163" s="24"/>
      <c r="Z13163" s="24"/>
      <c r="AA13163" s="24"/>
    </row>
    <row r="13164">
      <c r="A13164" s="24"/>
      <c r="B13164" s="25"/>
      <c r="C13164" s="24"/>
      <c r="D13164" s="26"/>
      <c r="E13164" s="24"/>
      <c r="F13164" s="24"/>
      <c r="G13164" s="24"/>
      <c r="H13164" s="24"/>
      <c r="I13164" s="24"/>
      <c r="J13164" s="24"/>
      <c r="K13164" s="24"/>
      <c r="L13164" s="24"/>
      <c r="M13164" s="24"/>
      <c r="N13164" s="24"/>
      <c r="O13164" s="24"/>
      <c r="P13164" s="24"/>
      <c r="Q13164" s="24"/>
      <c r="R13164" s="24"/>
      <c r="S13164" s="24"/>
      <c r="T13164" s="24"/>
      <c r="U13164" s="24"/>
      <c r="V13164" s="24"/>
      <c r="W13164" s="24"/>
      <c r="X13164" s="24"/>
      <c r="Y13164" s="24"/>
      <c r="Z13164" s="24"/>
      <c r="AA13164" s="24"/>
    </row>
    <row r="13165">
      <c r="A13165" s="24"/>
      <c r="B13165" s="25"/>
      <c r="C13165" s="24"/>
      <c r="D13165" s="26"/>
      <c r="E13165" s="24"/>
      <c r="F13165" s="24"/>
      <c r="G13165" s="24"/>
      <c r="H13165" s="24"/>
      <c r="I13165" s="24"/>
      <c r="J13165" s="24"/>
      <c r="K13165" s="24"/>
      <c r="L13165" s="24"/>
      <c r="M13165" s="24"/>
      <c r="N13165" s="24"/>
      <c r="O13165" s="24"/>
      <c r="P13165" s="24"/>
      <c r="Q13165" s="24"/>
      <c r="R13165" s="24"/>
      <c r="S13165" s="24"/>
      <c r="T13165" s="24"/>
      <c r="U13165" s="24"/>
      <c r="V13165" s="24"/>
      <c r="W13165" s="24"/>
      <c r="X13165" s="24"/>
      <c r="Y13165" s="24"/>
      <c r="Z13165" s="24"/>
      <c r="AA13165" s="24"/>
    </row>
    <row r="13166">
      <c r="A13166" s="24"/>
      <c r="B13166" s="25"/>
      <c r="C13166" s="24"/>
      <c r="D13166" s="26"/>
      <c r="E13166" s="24"/>
      <c r="F13166" s="24"/>
      <c r="G13166" s="24"/>
      <c r="H13166" s="24"/>
      <c r="I13166" s="24"/>
      <c r="J13166" s="24"/>
      <c r="K13166" s="24"/>
      <c r="L13166" s="24"/>
      <c r="M13166" s="24"/>
      <c r="N13166" s="24"/>
      <c r="O13166" s="24"/>
      <c r="P13166" s="24"/>
      <c r="Q13166" s="24"/>
      <c r="R13166" s="24"/>
      <c r="S13166" s="24"/>
      <c r="T13166" s="24"/>
      <c r="U13166" s="24"/>
      <c r="V13166" s="24"/>
      <c r="W13166" s="24"/>
      <c r="X13166" s="24"/>
      <c r="Y13166" s="24"/>
      <c r="Z13166" s="24"/>
      <c r="AA13166" s="24"/>
    </row>
    <row r="13167">
      <c r="A13167" s="24"/>
      <c r="B13167" s="25"/>
      <c r="C13167" s="24"/>
      <c r="D13167" s="26"/>
      <c r="E13167" s="24"/>
      <c r="F13167" s="24"/>
      <c r="G13167" s="24"/>
      <c r="H13167" s="24"/>
      <c r="I13167" s="24"/>
      <c r="J13167" s="24"/>
      <c r="K13167" s="24"/>
      <c r="L13167" s="24"/>
      <c r="M13167" s="24"/>
      <c r="N13167" s="24"/>
      <c r="O13167" s="24"/>
      <c r="P13167" s="24"/>
      <c r="Q13167" s="24"/>
      <c r="R13167" s="24"/>
      <c r="S13167" s="24"/>
      <c r="T13167" s="24"/>
      <c r="U13167" s="24"/>
      <c r="V13167" s="24"/>
      <c r="W13167" s="24"/>
      <c r="X13167" s="24"/>
      <c r="Y13167" s="24"/>
      <c r="Z13167" s="24"/>
      <c r="AA13167" s="24"/>
    </row>
    <row r="13168">
      <c r="A13168" s="24"/>
      <c r="B13168" s="25"/>
      <c r="C13168" s="24"/>
      <c r="D13168" s="26"/>
      <c r="E13168" s="24"/>
      <c r="F13168" s="24"/>
      <c r="G13168" s="24"/>
      <c r="H13168" s="24"/>
      <c r="I13168" s="24"/>
      <c r="J13168" s="24"/>
      <c r="K13168" s="24"/>
      <c r="L13168" s="24"/>
      <c r="M13168" s="24"/>
      <c r="N13168" s="24"/>
      <c r="O13168" s="24"/>
      <c r="P13168" s="24"/>
      <c r="Q13168" s="24"/>
      <c r="R13168" s="24"/>
      <c r="S13168" s="24"/>
      <c r="T13168" s="24"/>
      <c r="U13168" s="24"/>
      <c r="V13168" s="24"/>
      <c r="W13168" s="24"/>
      <c r="X13168" s="24"/>
      <c r="Y13168" s="24"/>
      <c r="Z13168" s="24"/>
      <c r="AA13168" s="24"/>
    </row>
    <row r="13169">
      <c r="A13169" s="24"/>
      <c r="B13169" s="25"/>
      <c r="C13169" s="24"/>
      <c r="D13169" s="26"/>
      <c r="E13169" s="24"/>
      <c r="F13169" s="24"/>
      <c r="G13169" s="24"/>
      <c r="H13169" s="24"/>
      <c r="I13169" s="24"/>
      <c r="J13169" s="24"/>
      <c r="K13169" s="24"/>
      <c r="L13169" s="24"/>
      <c r="M13169" s="24"/>
      <c r="N13169" s="24"/>
      <c r="O13169" s="24"/>
      <c r="P13169" s="24"/>
      <c r="Q13169" s="24"/>
      <c r="R13169" s="24"/>
      <c r="S13169" s="24"/>
      <c r="T13169" s="24"/>
      <c r="U13169" s="24"/>
      <c r="V13169" s="24"/>
      <c r="W13169" s="24"/>
      <c r="X13169" s="24"/>
      <c r="Y13169" s="24"/>
      <c r="Z13169" s="24"/>
      <c r="AA13169" s="24"/>
    </row>
    <row r="13170">
      <c r="A13170" s="24"/>
      <c r="B13170" s="25"/>
      <c r="C13170" s="24"/>
      <c r="D13170" s="26"/>
      <c r="E13170" s="24"/>
      <c r="F13170" s="24"/>
      <c r="G13170" s="24"/>
      <c r="H13170" s="24"/>
      <c r="I13170" s="24"/>
      <c r="J13170" s="24"/>
      <c r="K13170" s="24"/>
      <c r="L13170" s="24"/>
      <c r="M13170" s="24"/>
      <c r="N13170" s="24"/>
      <c r="O13170" s="24"/>
      <c r="P13170" s="24"/>
      <c r="Q13170" s="24"/>
      <c r="R13170" s="24"/>
      <c r="S13170" s="24"/>
      <c r="T13170" s="24"/>
      <c r="U13170" s="24"/>
      <c r="V13170" s="24"/>
      <c r="W13170" s="24"/>
      <c r="X13170" s="24"/>
      <c r="Y13170" s="24"/>
      <c r="Z13170" s="24"/>
      <c r="AA13170" s="24"/>
    </row>
    <row r="13171">
      <c r="A13171" s="24"/>
      <c r="B13171" s="25"/>
      <c r="C13171" s="24"/>
      <c r="D13171" s="26"/>
      <c r="E13171" s="24"/>
      <c r="F13171" s="24"/>
      <c r="G13171" s="24"/>
      <c r="H13171" s="24"/>
      <c r="I13171" s="24"/>
      <c r="J13171" s="24"/>
      <c r="K13171" s="24"/>
      <c r="L13171" s="24"/>
      <c r="M13171" s="24"/>
      <c r="N13171" s="24"/>
      <c r="O13171" s="24"/>
      <c r="P13171" s="24"/>
      <c r="Q13171" s="24"/>
      <c r="R13171" s="24"/>
      <c r="S13171" s="24"/>
      <c r="T13171" s="24"/>
      <c r="U13171" s="24"/>
      <c r="V13171" s="24"/>
      <c r="W13171" s="24"/>
      <c r="X13171" s="24"/>
      <c r="Y13171" s="24"/>
      <c r="Z13171" s="24"/>
      <c r="AA13171" s="24"/>
    </row>
    <row r="13172">
      <c r="A13172" s="24"/>
      <c r="B13172" s="25"/>
      <c r="C13172" s="24"/>
      <c r="D13172" s="26"/>
      <c r="E13172" s="24"/>
      <c r="F13172" s="24"/>
      <c r="G13172" s="24"/>
      <c r="H13172" s="24"/>
      <c r="I13172" s="24"/>
      <c r="J13172" s="24"/>
      <c r="K13172" s="24"/>
      <c r="L13172" s="24"/>
      <c r="M13172" s="24"/>
      <c r="N13172" s="24"/>
      <c r="O13172" s="24"/>
      <c r="P13172" s="24"/>
      <c r="Q13172" s="24"/>
      <c r="R13172" s="24"/>
      <c r="S13172" s="24"/>
      <c r="T13172" s="24"/>
      <c r="U13172" s="24"/>
      <c r="V13172" s="24"/>
      <c r="W13172" s="24"/>
      <c r="X13172" s="24"/>
      <c r="Y13172" s="24"/>
      <c r="Z13172" s="24"/>
      <c r="AA13172" s="24"/>
    </row>
    <row r="13173">
      <c r="A13173" s="24"/>
      <c r="B13173" s="25"/>
      <c r="C13173" s="24"/>
      <c r="D13173" s="26"/>
      <c r="E13173" s="24"/>
      <c r="F13173" s="24"/>
      <c r="G13173" s="24"/>
      <c r="H13173" s="24"/>
      <c r="I13173" s="24"/>
      <c r="J13173" s="24"/>
      <c r="K13173" s="24"/>
      <c r="L13173" s="24"/>
      <c r="M13173" s="24"/>
      <c r="N13173" s="24"/>
      <c r="O13173" s="24"/>
      <c r="P13173" s="24"/>
      <c r="Q13173" s="24"/>
      <c r="R13173" s="24"/>
      <c r="S13173" s="24"/>
      <c r="T13173" s="24"/>
      <c r="U13173" s="24"/>
      <c r="V13173" s="24"/>
      <c r="W13173" s="24"/>
      <c r="X13173" s="24"/>
      <c r="Y13173" s="24"/>
      <c r="Z13173" s="24"/>
      <c r="AA13173" s="24"/>
    </row>
    <row r="13174">
      <c r="A13174" s="24"/>
      <c r="B13174" s="25"/>
      <c r="C13174" s="24"/>
      <c r="D13174" s="26"/>
      <c r="E13174" s="24"/>
      <c r="F13174" s="24"/>
      <c r="G13174" s="24"/>
      <c r="H13174" s="24"/>
      <c r="I13174" s="24"/>
      <c r="J13174" s="24"/>
      <c r="K13174" s="24"/>
      <c r="L13174" s="24"/>
      <c r="M13174" s="24"/>
      <c r="N13174" s="24"/>
      <c r="O13174" s="24"/>
      <c r="P13174" s="24"/>
      <c r="Q13174" s="24"/>
      <c r="R13174" s="24"/>
      <c r="S13174" s="24"/>
      <c r="T13174" s="24"/>
      <c r="U13174" s="24"/>
      <c r="V13174" s="24"/>
      <c r="W13174" s="24"/>
      <c r="X13174" s="24"/>
      <c r="Y13174" s="24"/>
      <c r="Z13174" s="24"/>
      <c r="AA13174" s="24"/>
    </row>
    <row r="13175">
      <c r="A13175" s="24"/>
      <c r="B13175" s="25"/>
      <c r="C13175" s="24"/>
      <c r="D13175" s="26"/>
      <c r="E13175" s="24"/>
      <c r="F13175" s="24"/>
      <c r="G13175" s="24"/>
      <c r="H13175" s="24"/>
      <c r="I13175" s="24"/>
      <c r="J13175" s="24"/>
      <c r="K13175" s="24"/>
      <c r="L13175" s="24"/>
      <c r="M13175" s="24"/>
      <c r="N13175" s="24"/>
      <c r="O13175" s="24"/>
      <c r="P13175" s="24"/>
      <c r="Q13175" s="24"/>
      <c r="R13175" s="24"/>
      <c r="S13175" s="24"/>
      <c r="T13175" s="24"/>
      <c r="U13175" s="24"/>
      <c r="V13175" s="24"/>
      <c r="W13175" s="24"/>
      <c r="X13175" s="24"/>
      <c r="Y13175" s="24"/>
      <c r="Z13175" s="24"/>
      <c r="AA13175" s="24"/>
    </row>
    <row r="13176">
      <c r="A13176" s="24"/>
      <c r="B13176" s="25"/>
      <c r="C13176" s="24"/>
      <c r="D13176" s="26"/>
      <c r="E13176" s="24"/>
      <c r="F13176" s="24"/>
      <c r="G13176" s="24"/>
      <c r="H13176" s="24"/>
      <c r="I13176" s="24"/>
      <c r="J13176" s="24"/>
      <c r="K13176" s="24"/>
      <c r="L13176" s="24"/>
      <c r="M13176" s="24"/>
      <c r="N13176" s="24"/>
      <c r="O13176" s="24"/>
      <c r="P13176" s="24"/>
      <c r="Q13176" s="24"/>
      <c r="R13176" s="24"/>
      <c r="S13176" s="24"/>
      <c r="T13176" s="24"/>
      <c r="U13176" s="24"/>
      <c r="V13176" s="24"/>
      <c r="W13176" s="24"/>
      <c r="X13176" s="24"/>
      <c r="Y13176" s="24"/>
      <c r="Z13176" s="24"/>
      <c r="AA13176" s="24"/>
    </row>
    <row r="13177">
      <c r="A13177" s="24"/>
      <c r="B13177" s="25"/>
      <c r="C13177" s="24"/>
      <c r="D13177" s="26"/>
      <c r="E13177" s="24"/>
      <c r="F13177" s="24"/>
      <c r="G13177" s="24"/>
      <c r="H13177" s="24"/>
      <c r="I13177" s="24"/>
      <c r="J13177" s="24"/>
      <c r="K13177" s="24"/>
      <c r="L13177" s="24"/>
      <c r="M13177" s="24"/>
      <c r="N13177" s="24"/>
      <c r="O13177" s="24"/>
      <c r="P13177" s="24"/>
      <c r="Q13177" s="24"/>
      <c r="R13177" s="24"/>
      <c r="S13177" s="24"/>
      <c r="T13177" s="24"/>
      <c r="U13177" s="24"/>
      <c r="V13177" s="24"/>
      <c r="W13177" s="24"/>
      <c r="X13177" s="24"/>
      <c r="Y13177" s="24"/>
      <c r="Z13177" s="24"/>
      <c r="AA13177" s="24"/>
    </row>
    <row r="13178">
      <c r="A13178" s="24"/>
      <c r="B13178" s="25"/>
      <c r="C13178" s="24"/>
      <c r="D13178" s="26"/>
      <c r="E13178" s="24"/>
      <c r="F13178" s="24"/>
      <c r="G13178" s="24"/>
      <c r="H13178" s="24"/>
      <c r="I13178" s="24"/>
      <c r="J13178" s="24"/>
      <c r="K13178" s="24"/>
      <c r="L13178" s="24"/>
      <c r="M13178" s="24"/>
      <c r="N13178" s="24"/>
      <c r="O13178" s="24"/>
      <c r="P13178" s="24"/>
      <c r="Q13178" s="24"/>
      <c r="R13178" s="24"/>
      <c r="S13178" s="24"/>
      <c r="T13178" s="24"/>
      <c r="U13178" s="24"/>
      <c r="V13178" s="24"/>
      <c r="W13178" s="24"/>
      <c r="X13178" s="24"/>
      <c r="Y13178" s="24"/>
      <c r="Z13178" s="24"/>
      <c r="AA13178" s="24"/>
    </row>
    <row r="13179">
      <c r="A13179" s="24"/>
      <c r="B13179" s="25"/>
      <c r="C13179" s="24"/>
      <c r="D13179" s="26"/>
      <c r="E13179" s="24"/>
      <c r="F13179" s="24"/>
      <c r="G13179" s="24"/>
      <c r="H13179" s="24"/>
      <c r="I13179" s="24"/>
      <c r="J13179" s="24"/>
      <c r="K13179" s="24"/>
      <c r="L13179" s="24"/>
      <c r="M13179" s="24"/>
      <c r="N13179" s="24"/>
      <c r="O13179" s="24"/>
      <c r="P13179" s="24"/>
      <c r="Q13179" s="24"/>
      <c r="R13179" s="24"/>
      <c r="S13179" s="24"/>
      <c r="T13179" s="24"/>
      <c r="U13179" s="24"/>
      <c r="V13179" s="24"/>
      <c r="W13179" s="24"/>
      <c r="X13179" s="24"/>
      <c r="Y13179" s="24"/>
      <c r="Z13179" s="24"/>
      <c r="AA13179" s="24"/>
    </row>
    <row r="13180">
      <c r="A13180" s="24"/>
      <c r="B13180" s="25"/>
      <c r="C13180" s="24"/>
      <c r="D13180" s="26"/>
      <c r="E13180" s="24"/>
      <c r="F13180" s="24"/>
      <c r="G13180" s="24"/>
      <c r="H13180" s="24"/>
      <c r="I13180" s="24"/>
      <c r="J13180" s="24"/>
      <c r="K13180" s="24"/>
      <c r="L13180" s="24"/>
      <c r="M13180" s="24"/>
      <c r="N13180" s="24"/>
      <c r="O13180" s="24"/>
      <c r="P13180" s="24"/>
      <c r="Q13180" s="24"/>
      <c r="R13180" s="24"/>
      <c r="S13180" s="24"/>
      <c r="T13180" s="24"/>
      <c r="U13180" s="24"/>
      <c r="V13180" s="24"/>
      <c r="W13180" s="24"/>
      <c r="X13180" s="24"/>
      <c r="Y13180" s="24"/>
      <c r="Z13180" s="24"/>
      <c r="AA13180" s="24"/>
    </row>
    <row r="13181">
      <c r="A13181" s="24"/>
      <c r="B13181" s="25"/>
      <c r="C13181" s="24"/>
      <c r="D13181" s="26"/>
      <c r="E13181" s="24"/>
      <c r="F13181" s="24"/>
      <c r="G13181" s="24"/>
      <c r="H13181" s="24"/>
      <c r="I13181" s="24"/>
      <c r="J13181" s="24"/>
      <c r="K13181" s="24"/>
      <c r="L13181" s="24"/>
      <c r="M13181" s="24"/>
      <c r="N13181" s="24"/>
      <c r="O13181" s="24"/>
      <c r="P13181" s="24"/>
      <c r="Q13181" s="24"/>
      <c r="R13181" s="24"/>
      <c r="S13181" s="24"/>
      <c r="T13181" s="24"/>
      <c r="U13181" s="24"/>
      <c r="V13181" s="24"/>
      <c r="W13181" s="24"/>
      <c r="X13181" s="24"/>
      <c r="Y13181" s="24"/>
      <c r="Z13181" s="24"/>
      <c r="AA13181" s="24"/>
    </row>
    <row r="13182">
      <c r="A13182" s="24"/>
      <c r="B13182" s="25"/>
      <c r="C13182" s="24"/>
      <c r="D13182" s="26"/>
      <c r="E13182" s="24"/>
      <c r="F13182" s="24"/>
      <c r="G13182" s="24"/>
      <c r="H13182" s="24"/>
      <c r="I13182" s="24"/>
      <c r="J13182" s="24"/>
      <c r="K13182" s="24"/>
      <c r="L13182" s="24"/>
      <c r="M13182" s="24"/>
      <c r="N13182" s="24"/>
      <c r="O13182" s="24"/>
      <c r="P13182" s="24"/>
      <c r="Q13182" s="24"/>
      <c r="R13182" s="24"/>
      <c r="S13182" s="24"/>
      <c r="T13182" s="24"/>
      <c r="U13182" s="24"/>
      <c r="V13182" s="24"/>
      <c r="W13182" s="24"/>
      <c r="X13182" s="24"/>
      <c r="Y13182" s="24"/>
      <c r="Z13182" s="24"/>
      <c r="AA13182" s="24"/>
    </row>
    <row r="13183">
      <c r="A13183" s="24"/>
      <c r="B13183" s="25"/>
      <c r="C13183" s="24"/>
      <c r="D13183" s="26"/>
      <c r="E13183" s="24"/>
      <c r="F13183" s="24"/>
      <c r="G13183" s="24"/>
      <c r="H13183" s="24"/>
      <c r="I13183" s="24"/>
      <c r="J13183" s="24"/>
      <c r="K13183" s="24"/>
      <c r="L13183" s="24"/>
      <c r="M13183" s="24"/>
      <c r="N13183" s="24"/>
      <c r="O13183" s="24"/>
      <c r="P13183" s="24"/>
      <c r="Q13183" s="24"/>
      <c r="R13183" s="24"/>
      <c r="S13183" s="24"/>
      <c r="T13183" s="24"/>
      <c r="U13183" s="24"/>
      <c r="V13183" s="24"/>
      <c r="W13183" s="24"/>
      <c r="X13183" s="24"/>
      <c r="Y13183" s="24"/>
      <c r="Z13183" s="24"/>
      <c r="AA13183" s="24"/>
    </row>
    <row r="13184">
      <c r="A13184" s="24"/>
      <c r="B13184" s="25"/>
      <c r="C13184" s="24"/>
      <c r="D13184" s="26"/>
      <c r="E13184" s="24"/>
      <c r="F13184" s="24"/>
      <c r="G13184" s="24"/>
      <c r="H13184" s="24"/>
      <c r="I13184" s="24"/>
      <c r="J13184" s="24"/>
      <c r="K13184" s="24"/>
      <c r="L13184" s="24"/>
      <c r="M13184" s="24"/>
      <c r="N13184" s="24"/>
      <c r="O13184" s="24"/>
      <c r="P13184" s="24"/>
      <c r="Q13184" s="24"/>
      <c r="R13184" s="24"/>
      <c r="S13184" s="24"/>
      <c r="T13184" s="24"/>
      <c r="U13184" s="24"/>
      <c r="V13184" s="24"/>
      <c r="W13184" s="24"/>
      <c r="X13184" s="24"/>
      <c r="Y13184" s="24"/>
      <c r="Z13184" s="24"/>
      <c r="AA13184" s="24"/>
    </row>
    <row r="13185">
      <c r="A13185" s="24"/>
      <c r="B13185" s="25"/>
      <c r="C13185" s="24"/>
      <c r="D13185" s="26"/>
      <c r="E13185" s="24"/>
      <c r="F13185" s="24"/>
      <c r="G13185" s="24"/>
      <c r="H13185" s="24"/>
      <c r="I13185" s="24"/>
      <c r="J13185" s="24"/>
      <c r="K13185" s="24"/>
      <c r="L13185" s="24"/>
      <c r="M13185" s="24"/>
      <c r="N13185" s="24"/>
      <c r="O13185" s="24"/>
      <c r="P13185" s="24"/>
      <c r="Q13185" s="24"/>
      <c r="R13185" s="24"/>
      <c r="S13185" s="24"/>
      <c r="T13185" s="24"/>
      <c r="U13185" s="24"/>
      <c r="V13185" s="24"/>
      <c r="W13185" s="24"/>
      <c r="X13185" s="24"/>
      <c r="Y13185" s="24"/>
      <c r="Z13185" s="24"/>
      <c r="AA13185" s="24"/>
    </row>
    <row r="13186">
      <c r="A13186" s="24"/>
      <c r="B13186" s="25"/>
      <c r="C13186" s="24"/>
      <c r="D13186" s="26"/>
      <c r="E13186" s="24"/>
      <c r="F13186" s="24"/>
      <c r="G13186" s="24"/>
      <c r="H13186" s="24"/>
      <c r="I13186" s="24"/>
      <c r="J13186" s="24"/>
      <c r="K13186" s="24"/>
      <c r="L13186" s="24"/>
      <c r="M13186" s="24"/>
      <c r="N13186" s="24"/>
      <c r="O13186" s="24"/>
      <c r="P13186" s="24"/>
      <c r="Q13186" s="24"/>
      <c r="R13186" s="24"/>
      <c r="S13186" s="24"/>
      <c r="T13186" s="24"/>
      <c r="U13186" s="24"/>
      <c r="V13186" s="24"/>
      <c r="W13186" s="24"/>
      <c r="X13186" s="24"/>
      <c r="Y13186" s="24"/>
      <c r="Z13186" s="24"/>
      <c r="AA13186" s="24"/>
    </row>
    <row r="13187">
      <c r="A13187" s="24"/>
      <c r="B13187" s="25"/>
      <c r="C13187" s="24"/>
      <c r="D13187" s="26"/>
      <c r="E13187" s="24"/>
      <c r="F13187" s="24"/>
      <c r="G13187" s="24"/>
      <c r="H13187" s="24"/>
      <c r="I13187" s="24"/>
      <c r="J13187" s="24"/>
      <c r="K13187" s="24"/>
      <c r="L13187" s="24"/>
      <c r="M13187" s="24"/>
      <c r="N13187" s="24"/>
      <c r="O13187" s="24"/>
      <c r="P13187" s="24"/>
      <c r="Q13187" s="24"/>
      <c r="R13187" s="24"/>
      <c r="S13187" s="24"/>
      <c r="T13187" s="24"/>
      <c r="U13187" s="24"/>
      <c r="V13187" s="24"/>
      <c r="W13187" s="24"/>
      <c r="X13187" s="24"/>
      <c r="Y13187" s="24"/>
      <c r="Z13187" s="24"/>
      <c r="AA13187" s="24"/>
    </row>
    <row r="13188">
      <c r="A13188" s="24"/>
      <c r="B13188" s="25"/>
      <c r="C13188" s="24"/>
      <c r="D13188" s="26"/>
      <c r="E13188" s="24"/>
      <c r="F13188" s="24"/>
      <c r="G13188" s="24"/>
      <c r="H13188" s="24"/>
      <c r="I13188" s="24"/>
      <c r="J13188" s="24"/>
      <c r="K13188" s="24"/>
      <c r="L13188" s="24"/>
      <c r="M13188" s="24"/>
      <c r="N13188" s="24"/>
      <c r="O13188" s="24"/>
      <c r="P13188" s="24"/>
      <c r="Q13188" s="24"/>
      <c r="R13188" s="24"/>
      <c r="S13188" s="24"/>
      <c r="T13188" s="24"/>
      <c r="U13188" s="24"/>
      <c r="V13188" s="24"/>
      <c r="W13188" s="24"/>
      <c r="X13188" s="24"/>
      <c r="Y13188" s="24"/>
      <c r="Z13188" s="24"/>
      <c r="AA13188" s="24"/>
    </row>
    <row r="13189">
      <c r="A13189" s="24"/>
      <c r="B13189" s="25"/>
      <c r="C13189" s="24"/>
      <c r="D13189" s="26"/>
      <c r="E13189" s="24"/>
      <c r="F13189" s="24"/>
      <c r="G13189" s="24"/>
      <c r="H13189" s="24"/>
      <c r="I13189" s="24"/>
      <c r="J13189" s="24"/>
      <c r="K13189" s="24"/>
      <c r="L13189" s="24"/>
      <c r="M13189" s="24"/>
      <c r="N13189" s="24"/>
      <c r="O13189" s="24"/>
      <c r="P13189" s="24"/>
      <c r="Q13189" s="24"/>
      <c r="R13189" s="24"/>
      <c r="S13189" s="24"/>
      <c r="T13189" s="24"/>
      <c r="U13189" s="24"/>
      <c r="V13189" s="24"/>
      <c r="W13189" s="24"/>
      <c r="X13189" s="24"/>
      <c r="Y13189" s="24"/>
      <c r="Z13189" s="24"/>
      <c r="AA13189" s="24"/>
    </row>
    <row r="13190">
      <c r="A13190" s="24"/>
      <c r="B13190" s="25"/>
      <c r="C13190" s="24"/>
      <c r="D13190" s="26"/>
      <c r="E13190" s="24"/>
      <c r="F13190" s="24"/>
      <c r="G13190" s="24"/>
      <c r="H13190" s="24"/>
      <c r="I13190" s="24"/>
      <c r="J13190" s="24"/>
      <c r="K13190" s="24"/>
      <c r="L13190" s="24"/>
      <c r="M13190" s="24"/>
      <c r="N13190" s="24"/>
      <c r="O13190" s="24"/>
      <c r="P13190" s="24"/>
      <c r="Q13190" s="24"/>
      <c r="R13190" s="24"/>
      <c r="S13190" s="24"/>
      <c r="T13190" s="24"/>
      <c r="U13190" s="24"/>
      <c r="V13190" s="24"/>
      <c r="W13190" s="24"/>
      <c r="X13190" s="24"/>
      <c r="Y13190" s="24"/>
      <c r="Z13190" s="24"/>
      <c r="AA13190" s="24"/>
    </row>
    <row r="13191">
      <c r="A13191" s="24"/>
      <c r="B13191" s="25"/>
      <c r="C13191" s="24"/>
      <c r="D13191" s="26"/>
      <c r="E13191" s="24"/>
      <c r="F13191" s="24"/>
      <c r="G13191" s="24"/>
      <c r="H13191" s="24"/>
      <c r="I13191" s="24"/>
      <c r="J13191" s="24"/>
      <c r="K13191" s="24"/>
      <c r="L13191" s="24"/>
      <c r="M13191" s="24"/>
      <c r="N13191" s="24"/>
      <c r="O13191" s="24"/>
      <c r="P13191" s="24"/>
      <c r="Q13191" s="24"/>
      <c r="R13191" s="24"/>
      <c r="S13191" s="24"/>
      <c r="T13191" s="24"/>
      <c r="U13191" s="24"/>
      <c r="V13191" s="24"/>
      <c r="W13191" s="24"/>
      <c r="X13191" s="24"/>
      <c r="Y13191" s="24"/>
      <c r="Z13191" s="24"/>
      <c r="AA13191" s="24"/>
    </row>
    <row r="13192">
      <c r="A13192" s="24"/>
      <c r="B13192" s="25"/>
      <c r="C13192" s="24"/>
      <c r="D13192" s="26"/>
      <c r="E13192" s="24"/>
      <c r="F13192" s="24"/>
      <c r="G13192" s="24"/>
      <c r="H13192" s="24"/>
      <c r="I13192" s="24"/>
      <c r="J13192" s="24"/>
      <c r="K13192" s="24"/>
      <c r="L13192" s="24"/>
      <c r="M13192" s="24"/>
      <c r="N13192" s="24"/>
      <c r="O13192" s="24"/>
      <c r="P13192" s="24"/>
      <c r="Q13192" s="24"/>
      <c r="R13192" s="24"/>
      <c r="S13192" s="24"/>
      <c r="T13192" s="24"/>
      <c r="U13192" s="24"/>
      <c r="V13192" s="24"/>
      <c r="W13192" s="24"/>
      <c r="X13192" s="24"/>
      <c r="Y13192" s="24"/>
      <c r="Z13192" s="24"/>
      <c r="AA13192" s="24"/>
    </row>
    <row r="13193">
      <c r="A13193" s="24"/>
      <c r="B13193" s="25"/>
      <c r="C13193" s="24"/>
      <c r="D13193" s="26"/>
      <c r="E13193" s="24"/>
      <c r="F13193" s="24"/>
      <c r="G13193" s="24"/>
      <c r="H13193" s="24"/>
      <c r="I13193" s="24"/>
      <c r="J13193" s="24"/>
      <c r="K13193" s="24"/>
      <c r="L13193" s="24"/>
      <c r="M13193" s="24"/>
      <c r="N13193" s="24"/>
      <c r="O13193" s="24"/>
      <c r="P13193" s="24"/>
      <c r="Q13193" s="24"/>
      <c r="R13193" s="24"/>
      <c r="S13193" s="24"/>
      <c r="T13193" s="24"/>
      <c r="U13193" s="24"/>
      <c r="V13193" s="24"/>
      <c r="W13193" s="24"/>
      <c r="X13193" s="24"/>
      <c r="Y13193" s="24"/>
      <c r="Z13193" s="24"/>
      <c r="AA13193" s="24"/>
    </row>
    <row r="13194">
      <c r="A13194" s="24"/>
      <c r="B13194" s="25"/>
      <c r="C13194" s="24"/>
      <c r="D13194" s="26"/>
      <c r="E13194" s="24"/>
      <c r="F13194" s="24"/>
      <c r="G13194" s="24"/>
      <c r="H13194" s="24"/>
      <c r="I13194" s="24"/>
      <c r="J13194" s="24"/>
      <c r="K13194" s="24"/>
      <c r="L13194" s="24"/>
      <c r="M13194" s="24"/>
      <c r="N13194" s="24"/>
      <c r="O13194" s="24"/>
      <c r="P13194" s="24"/>
      <c r="Q13194" s="24"/>
      <c r="R13194" s="24"/>
      <c r="S13194" s="24"/>
      <c r="T13194" s="24"/>
      <c r="U13194" s="24"/>
      <c r="V13194" s="24"/>
      <c r="W13194" s="24"/>
      <c r="X13194" s="24"/>
      <c r="Y13194" s="24"/>
      <c r="Z13194" s="24"/>
      <c r="AA13194" s="24"/>
    </row>
    <row r="13195">
      <c r="A13195" s="24"/>
      <c r="B13195" s="25"/>
      <c r="C13195" s="24"/>
      <c r="D13195" s="26"/>
      <c r="E13195" s="24"/>
      <c r="F13195" s="24"/>
      <c r="G13195" s="24"/>
      <c r="H13195" s="24"/>
      <c r="I13195" s="24"/>
      <c r="J13195" s="24"/>
      <c r="K13195" s="24"/>
      <c r="L13195" s="24"/>
      <c r="M13195" s="24"/>
      <c r="N13195" s="24"/>
      <c r="O13195" s="24"/>
      <c r="P13195" s="24"/>
      <c r="Q13195" s="24"/>
      <c r="R13195" s="24"/>
      <c r="S13195" s="24"/>
      <c r="T13195" s="24"/>
      <c r="U13195" s="24"/>
      <c r="V13195" s="24"/>
      <c r="W13195" s="24"/>
      <c r="X13195" s="24"/>
      <c r="Y13195" s="24"/>
      <c r="Z13195" s="24"/>
      <c r="AA13195" s="24"/>
    </row>
    <row r="13196">
      <c r="A13196" s="24"/>
      <c r="B13196" s="25"/>
      <c r="C13196" s="24"/>
      <c r="D13196" s="26"/>
      <c r="E13196" s="24"/>
      <c r="F13196" s="24"/>
      <c r="G13196" s="24"/>
      <c r="H13196" s="24"/>
      <c r="I13196" s="24"/>
      <c r="J13196" s="24"/>
      <c r="K13196" s="24"/>
      <c r="L13196" s="24"/>
      <c r="M13196" s="24"/>
      <c r="N13196" s="24"/>
      <c r="O13196" s="24"/>
      <c r="P13196" s="24"/>
      <c r="Q13196" s="24"/>
      <c r="R13196" s="24"/>
      <c r="S13196" s="24"/>
      <c r="T13196" s="24"/>
      <c r="U13196" s="24"/>
      <c r="V13196" s="24"/>
      <c r="W13196" s="24"/>
      <c r="X13196" s="24"/>
      <c r="Y13196" s="24"/>
      <c r="Z13196" s="24"/>
      <c r="AA13196" s="24"/>
    </row>
    <row r="13197">
      <c r="A13197" s="24"/>
      <c r="B13197" s="25"/>
      <c r="C13197" s="24"/>
      <c r="D13197" s="26"/>
      <c r="E13197" s="24"/>
      <c r="F13197" s="24"/>
      <c r="G13197" s="24"/>
      <c r="H13197" s="24"/>
      <c r="I13197" s="24"/>
      <c r="J13197" s="24"/>
      <c r="K13197" s="24"/>
      <c r="L13197" s="24"/>
      <c r="M13197" s="24"/>
      <c r="N13197" s="24"/>
      <c r="O13197" s="24"/>
      <c r="P13197" s="24"/>
      <c r="Q13197" s="24"/>
      <c r="R13197" s="24"/>
      <c r="S13197" s="24"/>
      <c r="T13197" s="24"/>
      <c r="U13197" s="24"/>
      <c r="V13197" s="24"/>
      <c r="W13197" s="24"/>
      <c r="X13197" s="24"/>
      <c r="Y13197" s="24"/>
      <c r="Z13197" s="24"/>
      <c r="AA13197" s="24"/>
    </row>
    <row r="13198">
      <c r="A13198" s="24"/>
      <c r="B13198" s="25"/>
      <c r="C13198" s="24"/>
      <c r="D13198" s="26"/>
      <c r="E13198" s="24"/>
      <c r="F13198" s="24"/>
      <c r="G13198" s="24"/>
      <c r="H13198" s="24"/>
      <c r="I13198" s="24"/>
      <c r="J13198" s="24"/>
      <c r="K13198" s="24"/>
      <c r="L13198" s="24"/>
      <c r="M13198" s="24"/>
      <c r="N13198" s="24"/>
      <c r="O13198" s="24"/>
      <c r="P13198" s="24"/>
      <c r="Q13198" s="24"/>
      <c r="R13198" s="24"/>
      <c r="S13198" s="24"/>
      <c r="T13198" s="24"/>
      <c r="U13198" s="24"/>
      <c r="V13198" s="24"/>
      <c r="W13198" s="24"/>
      <c r="X13198" s="24"/>
      <c r="Y13198" s="24"/>
      <c r="Z13198" s="24"/>
      <c r="AA13198" s="24"/>
    </row>
    <row r="13199">
      <c r="A13199" s="24"/>
      <c r="B13199" s="25"/>
      <c r="C13199" s="24"/>
      <c r="D13199" s="26"/>
      <c r="E13199" s="24"/>
      <c r="F13199" s="24"/>
      <c r="G13199" s="24"/>
      <c r="H13199" s="24"/>
      <c r="I13199" s="24"/>
      <c r="J13199" s="24"/>
      <c r="K13199" s="24"/>
      <c r="L13199" s="24"/>
      <c r="M13199" s="24"/>
      <c r="N13199" s="24"/>
      <c r="O13199" s="24"/>
      <c r="P13199" s="24"/>
      <c r="Q13199" s="24"/>
      <c r="R13199" s="24"/>
      <c r="S13199" s="24"/>
      <c r="T13199" s="24"/>
      <c r="U13199" s="24"/>
      <c r="V13199" s="24"/>
      <c r="W13199" s="24"/>
      <c r="X13199" s="24"/>
      <c r="Y13199" s="24"/>
      <c r="Z13199" s="24"/>
      <c r="AA13199" s="24"/>
    </row>
    <row r="13200">
      <c r="A13200" s="24"/>
      <c r="B13200" s="25"/>
      <c r="C13200" s="24"/>
      <c r="D13200" s="26"/>
      <c r="E13200" s="24"/>
      <c r="F13200" s="24"/>
      <c r="G13200" s="24"/>
      <c r="H13200" s="24"/>
      <c r="I13200" s="24"/>
      <c r="J13200" s="24"/>
      <c r="K13200" s="24"/>
      <c r="L13200" s="24"/>
      <c r="M13200" s="24"/>
      <c r="N13200" s="24"/>
      <c r="O13200" s="24"/>
      <c r="P13200" s="24"/>
      <c r="Q13200" s="24"/>
      <c r="R13200" s="24"/>
      <c r="S13200" s="24"/>
      <c r="T13200" s="24"/>
      <c r="U13200" s="24"/>
      <c r="V13200" s="24"/>
      <c r="W13200" s="24"/>
      <c r="X13200" s="24"/>
      <c r="Y13200" s="24"/>
      <c r="Z13200" s="24"/>
      <c r="AA13200" s="24"/>
    </row>
    <row r="13201">
      <c r="A13201" s="24"/>
      <c r="B13201" s="25"/>
      <c r="C13201" s="24"/>
      <c r="D13201" s="26"/>
      <c r="E13201" s="24"/>
      <c r="F13201" s="24"/>
      <c r="G13201" s="24"/>
      <c r="H13201" s="24"/>
      <c r="I13201" s="24"/>
      <c r="J13201" s="24"/>
      <c r="K13201" s="24"/>
      <c r="L13201" s="24"/>
      <c r="M13201" s="24"/>
      <c r="N13201" s="24"/>
      <c r="O13201" s="24"/>
      <c r="P13201" s="24"/>
      <c r="Q13201" s="24"/>
      <c r="R13201" s="24"/>
      <c r="S13201" s="24"/>
      <c r="T13201" s="24"/>
      <c r="U13201" s="24"/>
      <c r="V13201" s="24"/>
      <c r="W13201" s="24"/>
      <c r="X13201" s="24"/>
      <c r="Y13201" s="24"/>
      <c r="Z13201" s="24"/>
      <c r="AA13201" s="24"/>
    </row>
    <row r="13202">
      <c r="A13202" s="24"/>
      <c r="B13202" s="25"/>
      <c r="C13202" s="24"/>
      <c r="D13202" s="26"/>
      <c r="E13202" s="24"/>
      <c r="F13202" s="24"/>
      <c r="G13202" s="24"/>
      <c r="H13202" s="24"/>
      <c r="I13202" s="24"/>
      <c r="J13202" s="24"/>
      <c r="K13202" s="24"/>
      <c r="L13202" s="24"/>
      <c r="M13202" s="24"/>
      <c r="N13202" s="24"/>
      <c r="O13202" s="24"/>
      <c r="P13202" s="24"/>
      <c r="Q13202" s="24"/>
      <c r="R13202" s="24"/>
      <c r="S13202" s="24"/>
      <c r="T13202" s="24"/>
      <c r="U13202" s="24"/>
      <c r="V13202" s="24"/>
      <c r="W13202" s="24"/>
      <c r="X13202" s="24"/>
      <c r="Y13202" s="24"/>
      <c r="Z13202" s="24"/>
      <c r="AA13202" s="24"/>
    </row>
    <row r="13203">
      <c r="A13203" s="24"/>
      <c r="B13203" s="25"/>
      <c r="C13203" s="24"/>
      <c r="D13203" s="26"/>
      <c r="E13203" s="24"/>
      <c r="F13203" s="24"/>
      <c r="G13203" s="24"/>
      <c r="H13203" s="24"/>
      <c r="I13203" s="24"/>
      <c r="J13203" s="24"/>
      <c r="K13203" s="24"/>
      <c r="L13203" s="24"/>
      <c r="M13203" s="24"/>
      <c r="N13203" s="24"/>
      <c r="O13203" s="24"/>
      <c r="P13203" s="24"/>
      <c r="Q13203" s="24"/>
      <c r="R13203" s="24"/>
      <c r="S13203" s="24"/>
      <c r="T13203" s="24"/>
      <c r="U13203" s="24"/>
      <c r="V13203" s="24"/>
      <c r="W13203" s="24"/>
      <c r="X13203" s="24"/>
      <c r="Y13203" s="24"/>
      <c r="Z13203" s="24"/>
      <c r="AA13203" s="24"/>
    </row>
    <row r="13204">
      <c r="A13204" s="24"/>
      <c r="B13204" s="25"/>
      <c r="C13204" s="24"/>
      <c r="D13204" s="26"/>
      <c r="E13204" s="24"/>
      <c r="F13204" s="24"/>
      <c r="G13204" s="24"/>
      <c r="H13204" s="24"/>
      <c r="I13204" s="24"/>
      <c r="J13204" s="24"/>
      <c r="K13204" s="24"/>
      <c r="L13204" s="24"/>
      <c r="M13204" s="24"/>
      <c r="N13204" s="24"/>
      <c r="O13204" s="24"/>
      <c r="P13204" s="24"/>
      <c r="Q13204" s="24"/>
      <c r="R13204" s="24"/>
      <c r="S13204" s="24"/>
      <c r="T13204" s="24"/>
      <c r="U13204" s="24"/>
      <c r="V13204" s="24"/>
      <c r="W13204" s="24"/>
      <c r="X13204" s="24"/>
      <c r="Y13204" s="24"/>
      <c r="Z13204" s="24"/>
      <c r="AA13204" s="24"/>
    </row>
    <row r="13205">
      <c r="A13205" s="24"/>
      <c r="B13205" s="25"/>
      <c r="C13205" s="24"/>
      <c r="D13205" s="26"/>
      <c r="E13205" s="24"/>
      <c r="F13205" s="24"/>
      <c r="G13205" s="24"/>
      <c r="H13205" s="24"/>
      <c r="I13205" s="24"/>
      <c r="J13205" s="24"/>
      <c r="K13205" s="24"/>
      <c r="L13205" s="24"/>
      <c r="M13205" s="24"/>
      <c r="N13205" s="24"/>
      <c r="O13205" s="24"/>
      <c r="P13205" s="24"/>
      <c r="Q13205" s="24"/>
      <c r="R13205" s="24"/>
      <c r="S13205" s="24"/>
      <c r="T13205" s="24"/>
      <c r="U13205" s="24"/>
      <c r="V13205" s="24"/>
      <c r="W13205" s="24"/>
      <c r="X13205" s="24"/>
      <c r="Y13205" s="24"/>
      <c r="Z13205" s="24"/>
      <c r="AA13205" s="24"/>
    </row>
    <row r="13206">
      <c r="A13206" s="24"/>
      <c r="B13206" s="25"/>
      <c r="C13206" s="24"/>
      <c r="D13206" s="26"/>
      <c r="E13206" s="24"/>
      <c r="F13206" s="24"/>
      <c r="G13206" s="24"/>
      <c r="H13206" s="24"/>
      <c r="I13206" s="24"/>
      <c r="J13206" s="24"/>
      <c r="K13206" s="24"/>
      <c r="L13206" s="24"/>
      <c r="M13206" s="24"/>
      <c r="N13206" s="24"/>
      <c r="O13206" s="24"/>
      <c r="P13206" s="24"/>
      <c r="Q13206" s="24"/>
      <c r="R13206" s="24"/>
      <c r="S13206" s="24"/>
      <c r="T13206" s="24"/>
      <c r="U13206" s="24"/>
      <c r="V13206" s="24"/>
      <c r="W13206" s="24"/>
      <c r="X13206" s="24"/>
      <c r="Y13206" s="24"/>
      <c r="Z13206" s="24"/>
      <c r="AA13206" s="24"/>
    </row>
    <row r="13207">
      <c r="A13207" s="24"/>
      <c r="B13207" s="25"/>
      <c r="C13207" s="24"/>
      <c r="D13207" s="26"/>
      <c r="E13207" s="24"/>
      <c r="F13207" s="24"/>
      <c r="G13207" s="24"/>
      <c r="H13207" s="24"/>
      <c r="I13207" s="24"/>
      <c r="J13207" s="24"/>
      <c r="K13207" s="24"/>
      <c r="L13207" s="24"/>
      <c r="M13207" s="24"/>
      <c r="N13207" s="24"/>
      <c r="O13207" s="24"/>
      <c r="P13207" s="24"/>
      <c r="Q13207" s="24"/>
      <c r="R13207" s="24"/>
      <c r="S13207" s="24"/>
      <c r="T13207" s="24"/>
      <c r="U13207" s="24"/>
      <c r="V13207" s="24"/>
      <c r="W13207" s="24"/>
      <c r="X13207" s="24"/>
      <c r="Y13207" s="24"/>
      <c r="Z13207" s="24"/>
      <c r="AA13207" s="24"/>
    </row>
    <row r="13208">
      <c r="A13208" s="24"/>
      <c r="B13208" s="25"/>
      <c r="C13208" s="24"/>
      <c r="D13208" s="26"/>
      <c r="E13208" s="24"/>
      <c r="F13208" s="24"/>
      <c r="G13208" s="24"/>
      <c r="H13208" s="24"/>
      <c r="I13208" s="24"/>
      <c r="J13208" s="24"/>
      <c r="K13208" s="24"/>
      <c r="L13208" s="24"/>
      <c r="M13208" s="24"/>
      <c r="N13208" s="24"/>
      <c r="O13208" s="24"/>
      <c r="P13208" s="24"/>
      <c r="Q13208" s="24"/>
      <c r="R13208" s="24"/>
      <c r="S13208" s="24"/>
      <c r="T13208" s="24"/>
      <c r="U13208" s="24"/>
      <c r="V13208" s="24"/>
      <c r="W13208" s="24"/>
      <c r="X13208" s="24"/>
      <c r="Y13208" s="24"/>
      <c r="Z13208" s="24"/>
      <c r="AA13208" s="24"/>
    </row>
    <row r="13209">
      <c r="A13209" s="24"/>
      <c r="B13209" s="25"/>
      <c r="C13209" s="24"/>
      <c r="D13209" s="26"/>
      <c r="E13209" s="24"/>
      <c r="F13209" s="24"/>
      <c r="G13209" s="24"/>
      <c r="H13209" s="24"/>
      <c r="I13209" s="24"/>
      <c r="J13209" s="24"/>
      <c r="K13209" s="24"/>
      <c r="L13209" s="24"/>
      <c r="M13209" s="24"/>
      <c r="N13209" s="24"/>
      <c r="O13209" s="24"/>
      <c r="P13209" s="24"/>
      <c r="Q13209" s="24"/>
      <c r="R13209" s="24"/>
      <c r="S13209" s="24"/>
      <c r="T13209" s="24"/>
      <c r="U13209" s="24"/>
      <c r="V13209" s="24"/>
      <c r="W13209" s="24"/>
      <c r="X13209" s="24"/>
      <c r="Y13209" s="24"/>
      <c r="Z13209" s="24"/>
      <c r="AA13209" s="24"/>
    </row>
    <row r="13210">
      <c r="A13210" s="24"/>
      <c r="B13210" s="25"/>
      <c r="C13210" s="24"/>
      <c r="D13210" s="26"/>
      <c r="E13210" s="24"/>
      <c r="F13210" s="24"/>
      <c r="G13210" s="24"/>
      <c r="H13210" s="24"/>
      <c r="I13210" s="24"/>
      <c r="J13210" s="24"/>
      <c r="K13210" s="24"/>
      <c r="L13210" s="24"/>
      <c r="M13210" s="24"/>
      <c r="N13210" s="24"/>
      <c r="O13210" s="24"/>
      <c r="P13210" s="24"/>
      <c r="Q13210" s="24"/>
      <c r="R13210" s="24"/>
      <c r="S13210" s="24"/>
      <c r="T13210" s="24"/>
      <c r="U13210" s="24"/>
      <c r="V13210" s="24"/>
      <c r="W13210" s="24"/>
      <c r="X13210" s="24"/>
      <c r="Y13210" s="24"/>
      <c r="Z13210" s="24"/>
      <c r="AA13210" s="24"/>
    </row>
    <row r="13211">
      <c r="A13211" s="24"/>
      <c r="B13211" s="25"/>
      <c r="C13211" s="24"/>
      <c r="D13211" s="26"/>
      <c r="E13211" s="24"/>
      <c r="F13211" s="24"/>
      <c r="G13211" s="24"/>
      <c r="H13211" s="24"/>
      <c r="I13211" s="24"/>
      <c r="J13211" s="24"/>
      <c r="K13211" s="24"/>
      <c r="L13211" s="24"/>
      <c r="M13211" s="24"/>
      <c r="N13211" s="24"/>
      <c r="O13211" s="24"/>
      <c r="P13211" s="24"/>
      <c r="Q13211" s="24"/>
      <c r="R13211" s="24"/>
      <c r="S13211" s="24"/>
      <c r="T13211" s="24"/>
      <c r="U13211" s="24"/>
      <c r="V13211" s="24"/>
      <c r="W13211" s="24"/>
      <c r="X13211" s="24"/>
      <c r="Y13211" s="24"/>
      <c r="Z13211" s="24"/>
      <c r="AA13211" s="24"/>
    </row>
    <row r="13212">
      <c r="A13212" s="24"/>
      <c r="B13212" s="25"/>
      <c r="C13212" s="24"/>
      <c r="D13212" s="26"/>
      <c r="E13212" s="24"/>
      <c r="F13212" s="24"/>
      <c r="G13212" s="24"/>
      <c r="H13212" s="24"/>
      <c r="I13212" s="24"/>
      <c r="J13212" s="24"/>
      <c r="K13212" s="24"/>
      <c r="L13212" s="24"/>
      <c r="M13212" s="24"/>
      <c r="N13212" s="24"/>
      <c r="O13212" s="24"/>
      <c r="P13212" s="24"/>
      <c r="Q13212" s="24"/>
      <c r="R13212" s="24"/>
      <c r="S13212" s="24"/>
      <c r="T13212" s="24"/>
      <c r="U13212" s="24"/>
      <c r="V13212" s="24"/>
      <c r="W13212" s="24"/>
      <c r="X13212" s="24"/>
      <c r="Y13212" s="24"/>
      <c r="Z13212" s="24"/>
      <c r="AA13212" s="24"/>
    </row>
    <row r="13213">
      <c r="A13213" s="24"/>
      <c r="B13213" s="25"/>
      <c r="C13213" s="24"/>
      <c r="D13213" s="26"/>
      <c r="E13213" s="24"/>
      <c r="F13213" s="24"/>
      <c r="G13213" s="24"/>
      <c r="H13213" s="24"/>
      <c r="I13213" s="24"/>
      <c r="J13213" s="24"/>
      <c r="K13213" s="24"/>
      <c r="L13213" s="24"/>
      <c r="M13213" s="24"/>
      <c r="N13213" s="24"/>
      <c r="O13213" s="24"/>
      <c r="P13213" s="24"/>
      <c r="Q13213" s="24"/>
      <c r="R13213" s="24"/>
      <c r="S13213" s="24"/>
      <c r="T13213" s="24"/>
      <c r="U13213" s="24"/>
      <c r="V13213" s="24"/>
      <c r="W13213" s="24"/>
      <c r="X13213" s="24"/>
      <c r="Y13213" s="24"/>
      <c r="Z13213" s="24"/>
      <c r="AA13213" s="24"/>
    </row>
    <row r="13214">
      <c r="A13214" s="24"/>
      <c r="B13214" s="25"/>
      <c r="C13214" s="24"/>
      <c r="D13214" s="26"/>
      <c r="E13214" s="24"/>
      <c r="F13214" s="24"/>
      <c r="G13214" s="24"/>
      <c r="H13214" s="24"/>
      <c r="I13214" s="24"/>
      <c r="J13214" s="24"/>
      <c r="K13214" s="24"/>
      <c r="L13214" s="24"/>
      <c r="M13214" s="24"/>
      <c r="N13214" s="24"/>
      <c r="O13214" s="24"/>
      <c r="P13214" s="24"/>
      <c r="Q13214" s="24"/>
      <c r="R13214" s="24"/>
      <c r="S13214" s="24"/>
      <c r="T13214" s="24"/>
      <c r="U13214" s="24"/>
      <c r="V13214" s="24"/>
      <c r="W13214" s="24"/>
      <c r="X13214" s="24"/>
      <c r="Y13214" s="24"/>
      <c r="Z13214" s="24"/>
      <c r="AA13214" s="24"/>
    </row>
    <row r="13215">
      <c r="A13215" s="24"/>
      <c r="B13215" s="25"/>
      <c r="C13215" s="24"/>
      <c r="D13215" s="26"/>
      <c r="E13215" s="24"/>
      <c r="F13215" s="24"/>
      <c r="G13215" s="24"/>
      <c r="H13215" s="24"/>
      <c r="I13215" s="24"/>
      <c r="J13215" s="24"/>
      <c r="K13215" s="24"/>
      <c r="L13215" s="24"/>
      <c r="M13215" s="24"/>
      <c r="N13215" s="24"/>
      <c r="O13215" s="24"/>
      <c r="P13215" s="24"/>
      <c r="Q13215" s="24"/>
      <c r="R13215" s="24"/>
      <c r="S13215" s="24"/>
      <c r="T13215" s="24"/>
      <c r="U13215" s="24"/>
      <c r="V13215" s="24"/>
      <c r="W13215" s="24"/>
      <c r="X13215" s="24"/>
      <c r="Y13215" s="24"/>
      <c r="Z13215" s="24"/>
      <c r="AA13215" s="24"/>
    </row>
    <row r="13216">
      <c r="A13216" s="24"/>
      <c r="B13216" s="25"/>
      <c r="C13216" s="24"/>
      <c r="D13216" s="26"/>
      <c r="E13216" s="24"/>
      <c r="F13216" s="24"/>
      <c r="G13216" s="24"/>
      <c r="H13216" s="24"/>
      <c r="I13216" s="24"/>
      <c r="J13216" s="24"/>
      <c r="K13216" s="24"/>
      <c r="L13216" s="24"/>
      <c r="M13216" s="24"/>
      <c r="N13216" s="24"/>
      <c r="O13216" s="24"/>
      <c r="P13216" s="24"/>
      <c r="Q13216" s="24"/>
      <c r="R13216" s="24"/>
      <c r="S13216" s="24"/>
      <c r="T13216" s="24"/>
      <c r="U13216" s="24"/>
      <c r="V13216" s="24"/>
      <c r="W13216" s="24"/>
      <c r="X13216" s="24"/>
      <c r="Y13216" s="24"/>
      <c r="Z13216" s="24"/>
      <c r="AA13216" s="24"/>
    </row>
    <row r="13217">
      <c r="A13217" s="24"/>
      <c r="B13217" s="25"/>
      <c r="C13217" s="24"/>
      <c r="D13217" s="26"/>
      <c r="E13217" s="24"/>
      <c r="F13217" s="24"/>
      <c r="G13217" s="24"/>
      <c r="H13217" s="24"/>
      <c r="I13217" s="24"/>
      <c r="J13217" s="24"/>
      <c r="K13217" s="24"/>
      <c r="L13217" s="24"/>
      <c r="M13217" s="24"/>
      <c r="N13217" s="24"/>
      <c r="O13217" s="24"/>
      <c r="P13217" s="24"/>
      <c r="Q13217" s="24"/>
      <c r="R13217" s="24"/>
      <c r="S13217" s="24"/>
      <c r="T13217" s="24"/>
      <c r="U13217" s="24"/>
      <c r="V13217" s="24"/>
      <c r="W13217" s="24"/>
      <c r="X13217" s="24"/>
      <c r="Y13217" s="24"/>
      <c r="Z13217" s="24"/>
      <c r="AA13217" s="24"/>
    </row>
    <row r="13218">
      <c r="A13218" s="24"/>
      <c r="B13218" s="25"/>
      <c r="C13218" s="24"/>
      <c r="D13218" s="26"/>
      <c r="E13218" s="24"/>
      <c r="F13218" s="24"/>
      <c r="G13218" s="24"/>
      <c r="H13218" s="24"/>
      <c r="I13218" s="24"/>
      <c r="J13218" s="24"/>
      <c r="K13218" s="24"/>
      <c r="L13218" s="24"/>
      <c r="M13218" s="24"/>
      <c r="N13218" s="24"/>
      <c r="O13218" s="24"/>
      <c r="P13218" s="24"/>
      <c r="Q13218" s="24"/>
      <c r="R13218" s="24"/>
      <c r="S13218" s="24"/>
      <c r="T13218" s="24"/>
      <c r="U13218" s="24"/>
      <c r="V13218" s="24"/>
      <c r="W13218" s="24"/>
      <c r="X13218" s="24"/>
      <c r="Y13218" s="24"/>
      <c r="Z13218" s="24"/>
      <c r="AA13218" s="24"/>
    </row>
    <row r="13219">
      <c r="A13219" s="24"/>
      <c r="B13219" s="25"/>
      <c r="C13219" s="24"/>
      <c r="D13219" s="26"/>
      <c r="E13219" s="24"/>
      <c r="F13219" s="24"/>
      <c r="G13219" s="24"/>
      <c r="H13219" s="24"/>
      <c r="I13219" s="24"/>
      <c r="J13219" s="24"/>
      <c r="K13219" s="24"/>
      <c r="L13219" s="24"/>
      <c r="M13219" s="24"/>
      <c r="N13219" s="24"/>
      <c r="O13219" s="24"/>
      <c r="P13219" s="24"/>
      <c r="Q13219" s="24"/>
      <c r="R13219" s="24"/>
      <c r="S13219" s="24"/>
      <c r="T13219" s="24"/>
      <c r="U13219" s="24"/>
      <c r="V13219" s="24"/>
      <c r="W13219" s="24"/>
      <c r="X13219" s="24"/>
      <c r="Y13219" s="24"/>
      <c r="Z13219" s="24"/>
      <c r="AA13219" s="24"/>
    </row>
    <row r="13220">
      <c r="A13220" s="24"/>
      <c r="B13220" s="25"/>
      <c r="C13220" s="24"/>
      <c r="D13220" s="26"/>
      <c r="E13220" s="24"/>
      <c r="F13220" s="24"/>
      <c r="G13220" s="24"/>
      <c r="H13220" s="24"/>
      <c r="I13220" s="24"/>
      <c r="J13220" s="24"/>
      <c r="K13220" s="24"/>
      <c r="L13220" s="24"/>
      <c r="M13220" s="24"/>
      <c r="N13220" s="24"/>
      <c r="O13220" s="24"/>
      <c r="P13220" s="24"/>
      <c r="Q13220" s="24"/>
      <c r="R13220" s="24"/>
      <c r="S13220" s="24"/>
      <c r="T13220" s="24"/>
      <c r="U13220" s="24"/>
      <c r="V13220" s="24"/>
      <c r="W13220" s="24"/>
      <c r="X13220" s="24"/>
      <c r="Y13220" s="24"/>
      <c r="Z13220" s="24"/>
      <c r="AA13220" s="24"/>
    </row>
    <row r="13221">
      <c r="A13221" s="24"/>
      <c r="B13221" s="25"/>
      <c r="C13221" s="24"/>
      <c r="D13221" s="26"/>
      <c r="E13221" s="24"/>
      <c r="F13221" s="24"/>
      <c r="G13221" s="24"/>
      <c r="H13221" s="24"/>
      <c r="I13221" s="24"/>
      <c r="J13221" s="24"/>
      <c r="K13221" s="24"/>
      <c r="L13221" s="24"/>
      <c r="M13221" s="24"/>
      <c r="N13221" s="24"/>
      <c r="O13221" s="24"/>
      <c r="P13221" s="24"/>
      <c r="Q13221" s="24"/>
      <c r="R13221" s="24"/>
      <c r="S13221" s="24"/>
      <c r="T13221" s="24"/>
      <c r="U13221" s="24"/>
      <c r="V13221" s="24"/>
      <c r="W13221" s="24"/>
      <c r="X13221" s="24"/>
      <c r="Y13221" s="24"/>
      <c r="Z13221" s="24"/>
      <c r="AA13221" s="24"/>
    </row>
    <row r="13222">
      <c r="A13222" s="24"/>
      <c r="B13222" s="25"/>
      <c r="C13222" s="24"/>
      <c r="D13222" s="26"/>
      <c r="E13222" s="24"/>
      <c r="F13222" s="24"/>
      <c r="G13222" s="24"/>
      <c r="H13222" s="24"/>
      <c r="I13222" s="24"/>
      <c r="J13222" s="24"/>
      <c r="K13222" s="24"/>
      <c r="L13222" s="24"/>
      <c r="M13222" s="24"/>
      <c r="N13222" s="24"/>
      <c r="O13222" s="24"/>
      <c r="P13222" s="24"/>
      <c r="Q13222" s="24"/>
      <c r="R13222" s="24"/>
      <c r="S13222" s="24"/>
      <c r="T13222" s="24"/>
      <c r="U13222" s="24"/>
      <c r="V13222" s="24"/>
      <c r="W13222" s="24"/>
      <c r="X13222" s="24"/>
      <c r="Y13222" s="24"/>
      <c r="Z13222" s="24"/>
      <c r="AA13222" s="24"/>
    </row>
    <row r="13223">
      <c r="A13223" s="24"/>
      <c r="B13223" s="25"/>
      <c r="C13223" s="24"/>
      <c r="D13223" s="26"/>
      <c r="E13223" s="24"/>
      <c r="F13223" s="24"/>
      <c r="G13223" s="24"/>
      <c r="H13223" s="24"/>
      <c r="I13223" s="24"/>
      <c r="J13223" s="24"/>
      <c r="K13223" s="24"/>
      <c r="L13223" s="24"/>
      <c r="M13223" s="24"/>
      <c r="N13223" s="24"/>
      <c r="O13223" s="24"/>
      <c r="P13223" s="24"/>
      <c r="Q13223" s="24"/>
      <c r="R13223" s="24"/>
      <c r="S13223" s="24"/>
      <c r="T13223" s="24"/>
      <c r="U13223" s="24"/>
      <c r="V13223" s="24"/>
      <c r="W13223" s="24"/>
      <c r="X13223" s="24"/>
      <c r="Y13223" s="24"/>
      <c r="Z13223" s="24"/>
      <c r="AA13223" s="24"/>
    </row>
    <row r="13224">
      <c r="A13224" s="24"/>
      <c r="B13224" s="25"/>
      <c r="C13224" s="24"/>
      <c r="D13224" s="26"/>
      <c r="E13224" s="24"/>
      <c r="F13224" s="24"/>
      <c r="G13224" s="24"/>
      <c r="H13224" s="24"/>
      <c r="I13224" s="24"/>
      <c r="J13224" s="24"/>
      <c r="K13224" s="24"/>
      <c r="L13224" s="24"/>
      <c r="M13224" s="24"/>
      <c r="N13224" s="24"/>
      <c r="O13224" s="24"/>
      <c r="P13224" s="24"/>
      <c r="Q13224" s="24"/>
      <c r="R13224" s="24"/>
      <c r="S13224" s="24"/>
      <c r="T13224" s="24"/>
      <c r="U13224" s="24"/>
      <c r="V13224" s="24"/>
      <c r="W13224" s="24"/>
      <c r="X13224" s="24"/>
      <c r="Y13224" s="24"/>
      <c r="Z13224" s="24"/>
      <c r="AA13224" s="24"/>
    </row>
    <row r="13225">
      <c r="A13225" s="24"/>
      <c r="B13225" s="25"/>
      <c r="C13225" s="24"/>
      <c r="D13225" s="26"/>
      <c r="E13225" s="24"/>
      <c r="F13225" s="24"/>
      <c r="G13225" s="24"/>
      <c r="H13225" s="24"/>
      <c r="I13225" s="24"/>
      <c r="J13225" s="24"/>
      <c r="K13225" s="24"/>
      <c r="L13225" s="24"/>
      <c r="M13225" s="24"/>
      <c r="N13225" s="24"/>
      <c r="O13225" s="24"/>
      <c r="P13225" s="24"/>
      <c r="Q13225" s="24"/>
      <c r="R13225" s="24"/>
      <c r="S13225" s="24"/>
      <c r="T13225" s="24"/>
      <c r="U13225" s="24"/>
      <c r="V13225" s="24"/>
      <c r="W13225" s="24"/>
      <c r="X13225" s="24"/>
      <c r="Y13225" s="24"/>
      <c r="Z13225" s="24"/>
      <c r="AA13225" s="24"/>
    </row>
    <row r="13226">
      <c r="A13226" s="24"/>
      <c r="B13226" s="25"/>
      <c r="C13226" s="24"/>
      <c r="D13226" s="26"/>
      <c r="E13226" s="24"/>
      <c r="F13226" s="24"/>
      <c r="G13226" s="24"/>
      <c r="H13226" s="24"/>
      <c r="I13226" s="24"/>
      <c r="J13226" s="24"/>
      <c r="K13226" s="24"/>
      <c r="L13226" s="24"/>
      <c r="M13226" s="24"/>
      <c r="N13226" s="24"/>
      <c r="O13226" s="24"/>
      <c r="P13226" s="24"/>
      <c r="Q13226" s="24"/>
      <c r="R13226" s="24"/>
      <c r="S13226" s="24"/>
      <c r="T13226" s="24"/>
      <c r="U13226" s="24"/>
      <c r="V13226" s="24"/>
      <c r="W13226" s="24"/>
      <c r="X13226" s="24"/>
      <c r="Y13226" s="24"/>
      <c r="Z13226" s="24"/>
      <c r="AA13226" s="24"/>
    </row>
    <row r="13227">
      <c r="A13227" s="24"/>
      <c r="B13227" s="25"/>
      <c r="C13227" s="24"/>
      <c r="D13227" s="26"/>
      <c r="E13227" s="24"/>
      <c r="F13227" s="24"/>
      <c r="G13227" s="24"/>
      <c r="H13227" s="24"/>
      <c r="I13227" s="24"/>
      <c r="J13227" s="24"/>
      <c r="K13227" s="24"/>
      <c r="L13227" s="24"/>
      <c r="M13227" s="24"/>
      <c r="N13227" s="24"/>
      <c r="O13227" s="24"/>
      <c r="P13227" s="24"/>
      <c r="Q13227" s="24"/>
      <c r="R13227" s="24"/>
      <c r="S13227" s="24"/>
      <c r="T13227" s="24"/>
      <c r="U13227" s="24"/>
      <c r="V13227" s="24"/>
      <c r="W13227" s="24"/>
      <c r="X13227" s="24"/>
      <c r="Y13227" s="24"/>
      <c r="Z13227" s="24"/>
      <c r="AA13227" s="24"/>
    </row>
    <row r="13228">
      <c r="A13228" s="24"/>
      <c r="B13228" s="25"/>
      <c r="C13228" s="24"/>
      <c r="D13228" s="26"/>
      <c r="E13228" s="24"/>
      <c r="F13228" s="24"/>
      <c r="G13228" s="24"/>
      <c r="H13228" s="24"/>
      <c r="I13228" s="24"/>
      <c r="J13228" s="24"/>
      <c r="K13228" s="24"/>
      <c r="L13228" s="24"/>
      <c r="M13228" s="24"/>
      <c r="N13228" s="24"/>
      <c r="O13228" s="24"/>
      <c r="P13228" s="24"/>
      <c r="Q13228" s="24"/>
      <c r="R13228" s="24"/>
      <c r="S13228" s="24"/>
      <c r="T13228" s="24"/>
      <c r="U13228" s="24"/>
      <c r="V13228" s="24"/>
      <c r="W13228" s="24"/>
      <c r="X13228" s="24"/>
      <c r="Y13228" s="24"/>
      <c r="Z13228" s="24"/>
      <c r="AA13228" s="24"/>
    </row>
    <row r="13229">
      <c r="A13229" s="24"/>
      <c r="B13229" s="25"/>
      <c r="C13229" s="24"/>
      <c r="D13229" s="26"/>
      <c r="E13229" s="24"/>
      <c r="F13229" s="24"/>
      <c r="G13229" s="24"/>
      <c r="H13229" s="24"/>
      <c r="I13229" s="24"/>
      <c r="J13229" s="24"/>
      <c r="K13229" s="24"/>
      <c r="L13229" s="24"/>
      <c r="M13229" s="24"/>
      <c r="N13229" s="24"/>
      <c r="O13229" s="24"/>
      <c r="P13229" s="24"/>
      <c r="Q13229" s="24"/>
      <c r="R13229" s="24"/>
      <c r="S13229" s="24"/>
      <c r="T13229" s="24"/>
      <c r="U13229" s="24"/>
      <c r="V13229" s="24"/>
      <c r="W13229" s="24"/>
      <c r="X13229" s="24"/>
      <c r="Y13229" s="24"/>
      <c r="Z13229" s="24"/>
      <c r="AA13229" s="24"/>
    </row>
    <row r="13230">
      <c r="A13230" s="24"/>
      <c r="B13230" s="25"/>
      <c r="C13230" s="24"/>
      <c r="D13230" s="26"/>
      <c r="E13230" s="24"/>
      <c r="F13230" s="24"/>
      <c r="G13230" s="24"/>
      <c r="H13230" s="24"/>
      <c r="I13230" s="24"/>
      <c r="J13230" s="24"/>
      <c r="K13230" s="24"/>
      <c r="L13230" s="24"/>
      <c r="M13230" s="24"/>
      <c r="N13230" s="24"/>
      <c r="O13230" s="24"/>
      <c r="P13230" s="24"/>
      <c r="Q13230" s="24"/>
      <c r="R13230" s="24"/>
      <c r="S13230" s="24"/>
      <c r="T13230" s="24"/>
      <c r="U13230" s="24"/>
      <c r="V13230" s="24"/>
      <c r="W13230" s="24"/>
      <c r="X13230" s="24"/>
      <c r="Y13230" s="24"/>
      <c r="Z13230" s="24"/>
      <c r="AA13230" s="24"/>
    </row>
    <row r="13231">
      <c r="A13231" s="24"/>
      <c r="B13231" s="25"/>
      <c r="C13231" s="24"/>
      <c r="D13231" s="26"/>
      <c r="E13231" s="24"/>
      <c r="F13231" s="24"/>
      <c r="G13231" s="24"/>
      <c r="H13231" s="24"/>
      <c r="I13231" s="24"/>
      <c r="J13231" s="24"/>
      <c r="K13231" s="24"/>
      <c r="L13231" s="24"/>
      <c r="M13231" s="24"/>
      <c r="N13231" s="24"/>
      <c r="O13231" s="24"/>
      <c r="P13231" s="24"/>
      <c r="Q13231" s="24"/>
      <c r="R13231" s="24"/>
      <c r="S13231" s="24"/>
      <c r="T13231" s="24"/>
      <c r="U13231" s="24"/>
      <c r="V13231" s="24"/>
      <c r="W13231" s="24"/>
      <c r="X13231" s="24"/>
      <c r="Y13231" s="24"/>
      <c r="Z13231" s="24"/>
      <c r="AA13231" s="24"/>
    </row>
    <row r="13232">
      <c r="A13232" s="24"/>
      <c r="B13232" s="25"/>
      <c r="C13232" s="24"/>
      <c r="D13232" s="26"/>
      <c r="E13232" s="24"/>
      <c r="F13232" s="24"/>
      <c r="G13232" s="24"/>
      <c r="H13232" s="24"/>
      <c r="I13232" s="24"/>
      <c r="J13232" s="24"/>
      <c r="K13232" s="24"/>
      <c r="L13232" s="24"/>
      <c r="M13232" s="24"/>
      <c r="N13232" s="24"/>
      <c r="O13232" s="24"/>
      <c r="P13232" s="24"/>
      <c r="Q13232" s="24"/>
      <c r="R13232" s="24"/>
      <c r="S13232" s="24"/>
      <c r="T13232" s="24"/>
      <c r="U13232" s="24"/>
      <c r="V13232" s="24"/>
      <c r="W13232" s="24"/>
      <c r="X13232" s="24"/>
      <c r="Y13232" s="24"/>
      <c r="Z13232" s="24"/>
      <c r="AA13232" s="24"/>
    </row>
    <row r="13233">
      <c r="A13233" s="24"/>
      <c r="B13233" s="25"/>
      <c r="C13233" s="24"/>
      <c r="D13233" s="26"/>
      <c r="E13233" s="24"/>
      <c r="F13233" s="24"/>
      <c r="G13233" s="24"/>
      <c r="H13233" s="24"/>
      <c r="I13233" s="24"/>
      <c r="J13233" s="24"/>
      <c r="K13233" s="24"/>
      <c r="L13233" s="24"/>
      <c r="M13233" s="24"/>
      <c r="N13233" s="24"/>
      <c r="O13233" s="24"/>
      <c r="P13233" s="24"/>
      <c r="Q13233" s="24"/>
      <c r="R13233" s="24"/>
      <c r="S13233" s="24"/>
      <c r="T13233" s="24"/>
      <c r="U13233" s="24"/>
      <c r="V13233" s="24"/>
      <c r="W13233" s="24"/>
      <c r="X13233" s="24"/>
      <c r="Y13233" s="24"/>
      <c r="Z13233" s="24"/>
      <c r="AA13233" s="24"/>
    </row>
    <row r="13234">
      <c r="A13234" s="24"/>
      <c r="B13234" s="25"/>
      <c r="C13234" s="24"/>
      <c r="D13234" s="26"/>
      <c r="E13234" s="24"/>
      <c r="F13234" s="24"/>
      <c r="G13234" s="24"/>
      <c r="H13234" s="24"/>
      <c r="I13234" s="24"/>
      <c r="J13234" s="24"/>
      <c r="K13234" s="24"/>
      <c r="L13234" s="24"/>
      <c r="M13234" s="24"/>
      <c r="N13234" s="24"/>
      <c r="O13234" s="24"/>
      <c r="P13234" s="24"/>
      <c r="Q13234" s="24"/>
      <c r="R13234" s="24"/>
      <c r="S13234" s="24"/>
      <c r="T13234" s="24"/>
      <c r="U13234" s="24"/>
      <c r="V13234" s="24"/>
      <c r="W13234" s="24"/>
      <c r="X13234" s="24"/>
      <c r="Y13234" s="24"/>
      <c r="Z13234" s="24"/>
      <c r="AA13234" s="24"/>
    </row>
    <row r="13235">
      <c r="A13235" s="24"/>
      <c r="B13235" s="25"/>
      <c r="C13235" s="24"/>
      <c r="D13235" s="26"/>
      <c r="E13235" s="24"/>
      <c r="F13235" s="24"/>
      <c r="G13235" s="24"/>
      <c r="H13235" s="24"/>
      <c r="I13235" s="24"/>
      <c r="J13235" s="24"/>
      <c r="K13235" s="24"/>
      <c r="L13235" s="24"/>
      <c r="M13235" s="24"/>
      <c r="N13235" s="24"/>
      <c r="O13235" s="24"/>
      <c r="P13235" s="24"/>
      <c r="Q13235" s="24"/>
      <c r="R13235" s="24"/>
      <c r="S13235" s="24"/>
      <c r="T13235" s="24"/>
      <c r="U13235" s="24"/>
      <c r="V13235" s="24"/>
      <c r="W13235" s="24"/>
      <c r="X13235" s="24"/>
      <c r="Y13235" s="24"/>
      <c r="Z13235" s="24"/>
      <c r="AA13235" s="24"/>
    </row>
    <row r="13236">
      <c r="A13236" s="24"/>
      <c r="B13236" s="25"/>
      <c r="C13236" s="24"/>
      <c r="D13236" s="26"/>
      <c r="E13236" s="24"/>
      <c r="F13236" s="24"/>
      <c r="G13236" s="24"/>
      <c r="H13236" s="24"/>
      <c r="I13236" s="24"/>
      <c r="J13236" s="24"/>
      <c r="K13236" s="24"/>
      <c r="L13236" s="24"/>
      <c r="M13236" s="24"/>
      <c r="N13236" s="24"/>
      <c r="O13236" s="24"/>
      <c r="P13236" s="24"/>
      <c r="Q13236" s="24"/>
      <c r="R13236" s="24"/>
      <c r="S13236" s="24"/>
      <c r="T13236" s="24"/>
      <c r="U13236" s="24"/>
      <c r="V13236" s="24"/>
      <c r="W13236" s="24"/>
      <c r="X13236" s="24"/>
      <c r="Y13236" s="24"/>
      <c r="Z13236" s="24"/>
      <c r="AA13236" s="24"/>
    </row>
    <row r="13237">
      <c r="A13237" s="24"/>
      <c r="B13237" s="25"/>
      <c r="C13237" s="24"/>
      <c r="D13237" s="26"/>
      <c r="E13237" s="24"/>
      <c r="F13237" s="24"/>
      <c r="G13237" s="24"/>
      <c r="H13237" s="24"/>
      <c r="I13237" s="24"/>
      <c r="J13237" s="24"/>
      <c r="K13237" s="24"/>
      <c r="L13237" s="24"/>
      <c r="M13237" s="24"/>
      <c r="N13237" s="24"/>
      <c r="O13237" s="24"/>
      <c r="P13237" s="24"/>
      <c r="Q13237" s="24"/>
      <c r="R13237" s="24"/>
      <c r="S13237" s="24"/>
      <c r="T13237" s="24"/>
      <c r="U13237" s="24"/>
      <c r="V13237" s="24"/>
      <c r="W13237" s="24"/>
      <c r="X13237" s="24"/>
      <c r="Y13237" s="24"/>
      <c r="Z13237" s="24"/>
      <c r="AA13237" s="24"/>
    </row>
    <row r="13238">
      <c r="A13238" s="24"/>
      <c r="B13238" s="25"/>
      <c r="C13238" s="24"/>
      <c r="D13238" s="26"/>
      <c r="E13238" s="24"/>
      <c r="F13238" s="24"/>
      <c r="G13238" s="24"/>
      <c r="H13238" s="24"/>
      <c r="I13238" s="24"/>
      <c r="J13238" s="24"/>
      <c r="K13238" s="24"/>
      <c r="L13238" s="24"/>
      <c r="M13238" s="24"/>
      <c r="N13238" s="24"/>
      <c r="O13238" s="24"/>
      <c r="P13238" s="24"/>
      <c r="Q13238" s="24"/>
      <c r="R13238" s="24"/>
      <c r="S13238" s="24"/>
      <c r="T13238" s="24"/>
      <c r="U13238" s="24"/>
      <c r="V13238" s="24"/>
      <c r="W13238" s="24"/>
      <c r="X13238" s="24"/>
      <c r="Y13238" s="24"/>
      <c r="Z13238" s="24"/>
      <c r="AA13238" s="24"/>
    </row>
    <row r="13239">
      <c r="A13239" s="24"/>
      <c r="B13239" s="25"/>
      <c r="C13239" s="24"/>
      <c r="D13239" s="26"/>
      <c r="E13239" s="24"/>
      <c r="F13239" s="24"/>
      <c r="G13239" s="24"/>
      <c r="H13239" s="24"/>
      <c r="I13239" s="24"/>
      <c r="J13239" s="24"/>
      <c r="K13239" s="24"/>
      <c r="L13239" s="24"/>
      <c r="M13239" s="24"/>
      <c r="N13239" s="24"/>
      <c r="O13239" s="24"/>
      <c r="P13239" s="24"/>
      <c r="Q13239" s="24"/>
      <c r="R13239" s="24"/>
      <c r="S13239" s="24"/>
      <c r="T13239" s="24"/>
      <c r="U13239" s="24"/>
      <c r="V13239" s="24"/>
      <c r="W13239" s="24"/>
      <c r="X13239" s="24"/>
      <c r="Y13239" s="24"/>
      <c r="Z13239" s="24"/>
      <c r="AA13239" s="24"/>
    </row>
    <row r="13240">
      <c r="A13240" s="24"/>
      <c r="B13240" s="25"/>
      <c r="C13240" s="24"/>
      <c r="D13240" s="26"/>
      <c r="E13240" s="24"/>
      <c r="F13240" s="24"/>
      <c r="G13240" s="24"/>
      <c r="H13240" s="24"/>
      <c r="I13240" s="24"/>
      <c r="J13240" s="24"/>
      <c r="K13240" s="24"/>
      <c r="L13240" s="24"/>
      <c r="M13240" s="24"/>
      <c r="N13240" s="24"/>
      <c r="O13240" s="24"/>
      <c r="P13240" s="24"/>
      <c r="Q13240" s="24"/>
      <c r="R13240" s="24"/>
      <c r="S13240" s="24"/>
      <c r="T13240" s="24"/>
      <c r="U13240" s="24"/>
      <c r="V13240" s="24"/>
      <c r="W13240" s="24"/>
      <c r="X13240" s="24"/>
      <c r="Y13240" s="24"/>
      <c r="Z13240" s="24"/>
      <c r="AA13240" s="24"/>
    </row>
    <row r="13241">
      <c r="A13241" s="24"/>
      <c r="B13241" s="25"/>
      <c r="C13241" s="24"/>
      <c r="D13241" s="26"/>
      <c r="E13241" s="24"/>
      <c r="F13241" s="24"/>
      <c r="G13241" s="24"/>
      <c r="H13241" s="24"/>
      <c r="I13241" s="24"/>
      <c r="J13241" s="24"/>
      <c r="K13241" s="24"/>
      <c r="L13241" s="24"/>
      <c r="M13241" s="24"/>
      <c r="N13241" s="24"/>
      <c r="O13241" s="24"/>
      <c r="P13241" s="24"/>
      <c r="Q13241" s="24"/>
      <c r="R13241" s="24"/>
      <c r="S13241" s="24"/>
      <c r="T13241" s="24"/>
      <c r="U13241" s="24"/>
      <c r="V13241" s="24"/>
      <c r="W13241" s="24"/>
      <c r="X13241" s="24"/>
      <c r="Y13241" s="24"/>
      <c r="Z13241" s="24"/>
      <c r="AA13241" s="24"/>
    </row>
    <row r="13242">
      <c r="A13242" s="24"/>
      <c r="B13242" s="25"/>
      <c r="C13242" s="24"/>
      <c r="D13242" s="26"/>
      <c r="E13242" s="24"/>
      <c r="F13242" s="24"/>
      <c r="G13242" s="24"/>
      <c r="H13242" s="24"/>
      <c r="I13242" s="24"/>
      <c r="J13242" s="24"/>
      <c r="K13242" s="24"/>
      <c r="L13242" s="24"/>
      <c r="M13242" s="24"/>
      <c r="N13242" s="24"/>
      <c r="O13242" s="24"/>
      <c r="P13242" s="24"/>
      <c r="Q13242" s="24"/>
      <c r="R13242" s="24"/>
      <c r="S13242" s="24"/>
      <c r="T13242" s="24"/>
      <c r="U13242" s="24"/>
      <c r="V13242" s="24"/>
      <c r="W13242" s="24"/>
      <c r="X13242" s="24"/>
      <c r="Y13242" s="24"/>
      <c r="Z13242" s="24"/>
      <c r="AA13242" s="24"/>
    </row>
    <row r="13243">
      <c r="A13243" s="24"/>
      <c r="B13243" s="25"/>
      <c r="C13243" s="24"/>
      <c r="D13243" s="26"/>
      <c r="E13243" s="24"/>
      <c r="F13243" s="24"/>
      <c r="G13243" s="24"/>
      <c r="H13243" s="24"/>
      <c r="I13243" s="24"/>
      <c r="J13243" s="24"/>
      <c r="K13243" s="24"/>
      <c r="L13243" s="24"/>
      <c r="M13243" s="24"/>
      <c r="N13243" s="24"/>
      <c r="O13243" s="24"/>
      <c r="P13243" s="24"/>
      <c r="Q13243" s="24"/>
      <c r="R13243" s="24"/>
      <c r="S13243" s="24"/>
      <c r="T13243" s="24"/>
      <c r="U13243" s="24"/>
      <c r="V13243" s="24"/>
      <c r="W13243" s="24"/>
      <c r="X13243" s="24"/>
      <c r="Y13243" s="24"/>
      <c r="Z13243" s="24"/>
      <c r="AA13243" s="24"/>
    </row>
    <row r="13244">
      <c r="A13244" s="24"/>
      <c r="B13244" s="25"/>
      <c r="C13244" s="24"/>
      <c r="D13244" s="26"/>
      <c r="E13244" s="24"/>
      <c r="F13244" s="24"/>
      <c r="G13244" s="24"/>
      <c r="H13244" s="24"/>
      <c r="I13244" s="24"/>
      <c r="J13244" s="24"/>
      <c r="K13244" s="24"/>
      <c r="L13244" s="24"/>
      <c r="M13244" s="24"/>
      <c r="N13244" s="24"/>
      <c r="O13244" s="24"/>
      <c r="P13244" s="24"/>
      <c r="Q13244" s="24"/>
      <c r="R13244" s="24"/>
      <c r="S13244" s="24"/>
      <c r="T13244" s="24"/>
      <c r="U13244" s="24"/>
      <c r="V13244" s="24"/>
      <c r="W13244" s="24"/>
      <c r="X13244" s="24"/>
      <c r="Y13244" s="24"/>
      <c r="Z13244" s="24"/>
      <c r="AA13244" s="24"/>
    </row>
    <row r="13245">
      <c r="A13245" s="24"/>
      <c r="B13245" s="25"/>
      <c r="C13245" s="24"/>
      <c r="D13245" s="26"/>
      <c r="E13245" s="24"/>
      <c r="F13245" s="24"/>
      <c r="G13245" s="24"/>
      <c r="H13245" s="24"/>
      <c r="I13245" s="24"/>
      <c r="J13245" s="24"/>
      <c r="K13245" s="24"/>
      <c r="L13245" s="24"/>
      <c r="M13245" s="24"/>
      <c r="N13245" s="24"/>
      <c r="O13245" s="24"/>
      <c r="P13245" s="24"/>
      <c r="Q13245" s="24"/>
      <c r="R13245" s="24"/>
      <c r="S13245" s="24"/>
      <c r="T13245" s="24"/>
      <c r="U13245" s="24"/>
      <c r="V13245" s="24"/>
      <c r="W13245" s="24"/>
      <c r="X13245" s="24"/>
      <c r="Y13245" s="24"/>
      <c r="Z13245" s="24"/>
      <c r="AA13245" s="24"/>
    </row>
    <row r="13246">
      <c r="A13246" s="24"/>
      <c r="B13246" s="25"/>
      <c r="C13246" s="24"/>
      <c r="D13246" s="26"/>
      <c r="E13246" s="24"/>
      <c r="F13246" s="24"/>
      <c r="G13246" s="24"/>
      <c r="H13246" s="24"/>
      <c r="I13246" s="24"/>
      <c r="J13246" s="24"/>
      <c r="K13246" s="24"/>
      <c r="L13246" s="24"/>
      <c r="M13246" s="24"/>
      <c r="N13246" s="24"/>
      <c r="O13246" s="24"/>
      <c r="P13246" s="24"/>
      <c r="Q13246" s="24"/>
      <c r="R13246" s="24"/>
      <c r="S13246" s="24"/>
      <c r="T13246" s="24"/>
      <c r="U13246" s="24"/>
      <c r="V13246" s="24"/>
      <c r="W13246" s="24"/>
      <c r="X13246" s="24"/>
      <c r="Y13246" s="24"/>
      <c r="Z13246" s="24"/>
      <c r="AA13246" s="24"/>
    </row>
    <row r="13247">
      <c r="A13247" s="24"/>
      <c r="B13247" s="25"/>
      <c r="C13247" s="24"/>
      <c r="D13247" s="26"/>
      <c r="E13247" s="24"/>
      <c r="F13247" s="24"/>
      <c r="G13247" s="24"/>
      <c r="H13247" s="24"/>
      <c r="I13247" s="24"/>
      <c r="J13247" s="24"/>
      <c r="K13247" s="24"/>
      <c r="L13247" s="24"/>
      <c r="M13247" s="24"/>
      <c r="N13247" s="24"/>
      <c r="O13247" s="24"/>
      <c r="P13247" s="24"/>
      <c r="Q13247" s="24"/>
      <c r="R13247" s="24"/>
      <c r="S13247" s="24"/>
      <c r="T13247" s="24"/>
      <c r="U13247" s="24"/>
      <c r="V13247" s="24"/>
      <c r="W13247" s="24"/>
      <c r="X13247" s="24"/>
      <c r="Y13247" s="24"/>
      <c r="Z13247" s="24"/>
      <c r="AA13247" s="24"/>
    </row>
    <row r="13248">
      <c r="A13248" s="24"/>
      <c r="B13248" s="25"/>
      <c r="C13248" s="24"/>
      <c r="D13248" s="26"/>
      <c r="E13248" s="24"/>
      <c r="F13248" s="24"/>
      <c r="G13248" s="24"/>
      <c r="H13248" s="24"/>
      <c r="I13248" s="24"/>
      <c r="J13248" s="24"/>
      <c r="K13248" s="24"/>
      <c r="L13248" s="24"/>
      <c r="M13248" s="24"/>
      <c r="N13248" s="24"/>
      <c r="O13248" s="24"/>
      <c r="P13248" s="24"/>
      <c r="Q13248" s="24"/>
      <c r="R13248" s="24"/>
      <c r="S13248" s="24"/>
      <c r="T13248" s="24"/>
      <c r="U13248" s="24"/>
      <c r="V13248" s="24"/>
      <c r="W13248" s="24"/>
      <c r="X13248" s="24"/>
      <c r="Y13248" s="24"/>
      <c r="Z13248" s="24"/>
      <c r="AA13248" s="24"/>
    </row>
    <row r="13249">
      <c r="A13249" s="24"/>
      <c r="B13249" s="25"/>
      <c r="C13249" s="24"/>
      <c r="D13249" s="26"/>
      <c r="E13249" s="24"/>
      <c r="F13249" s="24"/>
      <c r="G13249" s="24"/>
      <c r="H13249" s="24"/>
      <c r="I13249" s="24"/>
      <c r="J13249" s="24"/>
      <c r="K13249" s="24"/>
      <c r="L13249" s="24"/>
      <c r="M13249" s="24"/>
      <c r="N13249" s="24"/>
      <c r="O13249" s="24"/>
      <c r="P13249" s="24"/>
      <c r="Q13249" s="24"/>
      <c r="R13249" s="24"/>
      <c r="S13249" s="24"/>
      <c r="T13249" s="24"/>
      <c r="U13249" s="24"/>
      <c r="V13249" s="24"/>
      <c r="W13249" s="24"/>
      <c r="X13249" s="24"/>
      <c r="Y13249" s="24"/>
      <c r="Z13249" s="24"/>
      <c r="AA13249" s="24"/>
    </row>
    <row r="13250">
      <c r="A13250" s="24"/>
      <c r="B13250" s="25"/>
      <c r="C13250" s="24"/>
      <c r="D13250" s="26"/>
      <c r="E13250" s="24"/>
      <c r="F13250" s="24"/>
      <c r="G13250" s="24"/>
      <c r="H13250" s="24"/>
      <c r="I13250" s="24"/>
      <c r="J13250" s="24"/>
      <c r="K13250" s="24"/>
      <c r="L13250" s="24"/>
      <c r="M13250" s="24"/>
      <c r="N13250" s="24"/>
      <c r="O13250" s="24"/>
      <c r="P13250" s="24"/>
      <c r="Q13250" s="24"/>
      <c r="R13250" s="24"/>
      <c r="S13250" s="24"/>
      <c r="T13250" s="24"/>
      <c r="U13250" s="24"/>
      <c r="V13250" s="24"/>
      <c r="W13250" s="24"/>
      <c r="X13250" s="24"/>
      <c r="Y13250" s="24"/>
      <c r="Z13250" s="24"/>
      <c r="AA13250" s="24"/>
    </row>
    <row r="13251">
      <c r="A13251" s="24"/>
      <c r="B13251" s="25"/>
      <c r="C13251" s="24"/>
      <c r="D13251" s="26"/>
      <c r="E13251" s="24"/>
      <c r="F13251" s="24"/>
      <c r="G13251" s="24"/>
      <c r="H13251" s="24"/>
      <c r="I13251" s="24"/>
      <c r="J13251" s="24"/>
      <c r="K13251" s="24"/>
      <c r="L13251" s="24"/>
      <c r="M13251" s="24"/>
      <c r="N13251" s="24"/>
      <c r="O13251" s="24"/>
      <c r="P13251" s="24"/>
      <c r="Q13251" s="24"/>
      <c r="R13251" s="24"/>
      <c r="S13251" s="24"/>
      <c r="T13251" s="24"/>
      <c r="U13251" s="24"/>
      <c r="V13251" s="24"/>
      <c r="W13251" s="24"/>
      <c r="X13251" s="24"/>
      <c r="Y13251" s="24"/>
      <c r="Z13251" s="24"/>
      <c r="AA13251" s="24"/>
    </row>
    <row r="13252">
      <c r="A13252" s="24"/>
      <c r="B13252" s="25"/>
      <c r="C13252" s="24"/>
      <c r="D13252" s="26"/>
      <c r="E13252" s="24"/>
      <c r="F13252" s="24"/>
      <c r="G13252" s="24"/>
      <c r="H13252" s="24"/>
      <c r="I13252" s="24"/>
      <c r="J13252" s="24"/>
      <c r="K13252" s="24"/>
      <c r="L13252" s="24"/>
      <c r="M13252" s="24"/>
      <c r="N13252" s="24"/>
      <c r="O13252" s="24"/>
      <c r="P13252" s="24"/>
      <c r="Q13252" s="24"/>
      <c r="R13252" s="24"/>
      <c r="S13252" s="24"/>
      <c r="T13252" s="24"/>
      <c r="U13252" s="24"/>
      <c r="V13252" s="24"/>
      <c r="W13252" s="24"/>
      <c r="X13252" s="24"/>
      <c r="Y13252" s="24"/>
      <c r="Z13252" s="24"/>
      <c r="AA13252" s="24"/>
    </row>
    <row r="13253">
      <c r="A13253" s="24"/>
      <c r="B13253" s="25"/>
      <c r="C13253" s="24"/>
      <c r="D13253" s="26"/>
      <c r="E13253" s="24"/>
      <c r="F13253" s="24"/>
      <c r="G13253" s="24"/>
      <c r="H13253" s="24"/>
      <c r="I13253" s="24"/>
      <c r="J13253" s="24"/>
      <c r="K13253" s="24"/>
      <c r="L13253" s="24"/>
      <c r="M13253" s="24"/>
      <c r="N13253" s="24"/>
      <c r="O13253" s="24"/>
      <c r="P13253" s="24"/>
      <c r="Q13253" s="24"/>
      <c r="R13253" s="24"/>
      <c r="S13253" s="24"/>
      <c r="T13253" s="24"/>
      <c r="U13253" s="24"/>
      <c r="V13253" s="24"/>
      <c r="W13253" s="24"/>
      <c r="X13253" s="24"/>
      <c r="Y13253" s="24"/>
      <c r="Z13253" s="24"/>
      <c r="AA13253" s="24"/>
    </row>
    <row r="13254">
      <c r="A13254" s="24"/>
      <c r="B13254" s="25"/>
      <c r="C13254" s="24"/>
      <c r="D13254" s="26"/>
      <c r="E13254" s="24"/>
      <c r="F13254" s="24"/>
      <c r="G13254" s="24"/>
      <c r="H13254" s="24"/>
      <c r="I13254" s="24"/>
      <c r="J13254" s="24"/>
      <c r="K13254" s="24"/>
      <c r="L13254" s="24"/>
      <c r="M13254" s="24"/>
      <c r="N13254" s="24"/>
      <c r="O13254" s="24"/>
      <c r="P13254" s="24"/>
      <c r="Q13254" s="24"/>
      <c r="R13254" s="24"/>
      <c r="S13254" s="24"/>
      <c r="T13254" s="24"/>
      <c r="U13254" s="24"/>
      <c r="V13254" s="24"/>
      <c r="W13254" s="24"/>
      <c r="X13254" s="24"/>
      <c r="Y13254" s="24"/>
      <c r="Z13254" s="24"/>
      <c r="AA13254" s="24"/>
    </row>
    <row r="13255">
      <c r="A13255" s="24"/>
      <c r="B13255" s="25"/>
      <c r="C13255" s="24"/>
      <c r="D13255" s="26"/>
      <c r="E13255" s="24"/>
      <c r="F13255" s="24"/>
      <c r="G13255" s="24"/>
      <c r="H13255" s="24"/>
      <c r="I13255" s="24"/>
      <c r="J13255" s="24"/>
      <c r="K13255" s="24"/>
      <c r="L13255" s="24"/>
      <c r="M13255" s="24"/>
      <c r="N13255" s="24"/>
      <c r="O13255" s="24"/>
      <c r="P13255" s="24"/>
      <c r="Q13255" s="24"/>
      <c r="R13255" s="24"/>
      <c r="S13255" s="24"/>
      <c r="T13255" s="24"/>
      <c r="U13255" s="24"/>
      <c r="V13255" s="24"/>
      <c r="W13255" s="24"/>
      <c r="X13255" s="24"/>
      <c r="Y13255" s="24"/>
      <c r="Z13255" s="24"/>
      <c r="AA13255" s="24"/>
    </row>
    <row r="13256">
      <c r="A13256" s="24"/>
      <c r="B13256" s="25"/>
      <c r="C13256" s="24"/>
      <c r="D13256" s="26"/>
      <c r="E13256" s="24"/>
      <c r="F13256" s="24"/>
      <c r="G13256" s="24"/>
      <c r="H13256" s="24"/>
      <c r="I13256" s="24"/>
      <c r="J13256" s="24"/>
      <c r="K13256" s="24"/>
      <c r="L13256" s="24"/>
      <c r="M13256" s="24"/>
      <c r="N13256" s="24"/>
      <c r="O13256" s="24"/>
      <c r="P13256" s="24"/>
      <c r="Q13256" s="24"/>
      <c r="R13256" s="24"/>
      <c r="S13256" s="24"/>
      <c r="T13256" s="24"/>
      <c r="U13256" s="24"/>
      <c r="V13256" s="24"/>
      <c r="W13256" s="24"/>
      <c r="X13256" s="24"/>
      <c r="Y13256" s="24"/>
      <c r="Z13256" s="24"/>
      <c r="AA13256" s="24"/>
    </row>
    <row r="13257">
      <c r="A13257" s="24"/>
      <c r="B13257" s="25"/>
      <c r="C13257" s="24"/>
      <c r="D13257" s="26"/>
      <c r="E13257" s="24"/>
      <c r="F13257" s="24"/>
      <c r="G13257" s="24"/>
      <c r="H13257" s="24"/>
      <c r="I13257" s="24"/>
      <c r="J13257" s="24"/>
      <c r="K13257" s="24"/>
      <c r="L13257" s="24"/>
      <c r="M13257" s="24"/>
      <c r="N13257" s="24"/>
      <c r="O13257" s="24"/>
      <c r="P13257" s="24"/>
      <c r="Q13257" s="24"/>
      <c r="R13257" s="24"/>
      <c r="S13257" s="24"/>
      <c r="T13257" s="24"/>
      <c r="U13257" s="24"/>
      <c r="V13257" s="24"/>
      <c r="W13257" s="24"/>
      <c r="X13257" s="24"/>
      <c r="Y13257" s="24"/>
      <c r="Z13257" s="24"/>
      <c r="AA13257" s="24"/>
    </row>
    <row r="13258">
      <c r="A13258" s="24"/>
      <c r="B13258" s="25"/>
      <c r="C13258" s="24"/>
      <c r="D13258" s="26"/>
      <c r="E13258" s="24"/>
      <c r="F13258" s="24"/>
      <c r="G13258" s="24"/>
      <c r="H13258" s="24"/>
      <c r="I13258" s="24"/>
      <c r="J13258" s="24"/>
      <c r="K13258" s="24"/>
      <c r="L13258" s="24"/>
      <c r="M13258" s="24"/>
      <c r="N13258" s="24"/>
      <c r="O13258" s="24"/>
      <c r="P13258" s="24"/>
      <c r="Q13258" s="24"/>
      <c r="R13258" s="24"/>
      <c r="S13258" s="24"/>
      <c r="T13258" s="24"/>
      <c r="U13258" s="24"/>
      <c r="V13258" s="24"/>
      <c r="W13258" s="24"/>
      <c r="X13258" s="24"/>
      <c r="Y13258" s="24"/>
      <c r="Z13258" s="24"/>
      <c r="AA13258" s="24"/>
    </row>
    <row r="13259">
      <c r="A13259" s="24"/>
      <c r="B13259" s="25"/>
      <c r="C13259" s="24"/>
      <c r="D13259" s="26"/>
      <c r="E13259" s="24"/>
      <c r="F13259" s="24"/>
      <c r="G13259" s="24"/>
      <c r="H13259" s="24"/>
      <c r="I13259" s="24"/>
      <c r="J13259" s="24"/>
      <c r="K13259" s="24"/>
      <c r="L13259" s="24"/>
      <c r="M13259" s="24"/>
      <c r="N13259" s="24"/>
      <c r="O13259" s="24"/>
      <c r="P13259" s="24"/>
      <c r="Q13259" s="24"/>
      <c r="R13259" s="24"/>
      <c r="S13259" s="24"/>
      <c r="T13259" s="24"/>
      <c r="U13259" s="24"/>
      <c r="V13259" s="24"/>
      <c r="W13259" s="24"/>
      <c r="X13259" s="24"/>
      <c r="Y13259" s="24"/>
      <c r="Z13259" s="24"/>
      <c r="AA13259" s="24"/>
    </row>
    <row r="13260">
      <c r="A13260" s="24"/>
      <c r="B13260" s="25"/>
      <c r="C13260" s="24"/>
      <c r="D13260" s="26"/>
      <c r="E13260" s="24"/>
      <c r="F13260" s="24"/>
      <c r="G13260" s="24"/>
      <c r="H13260" s="24"/>
      <c r="I13260" s="24"/>
      <c r="J13260" s="24"/>
      <c r="K13260" s="24"/>
      <c r="L13260" s="24"/>
      <c r="M13260" s="24"/>
      <c r="N13260" s="24"/>
      <c r="O13260" s="24"/>
      <c r="P13260" s="24"/>
      <c r="Q13260" s="24"/>
      <c r="R13260" s="24"/>
      <c r="S13260" s="24"/>
      <c r="T13260" s="24"/>
      <c r="U13260" s="24"/>
      <c r="V13260" s="24"/>
      <c r="W13260" s="24"/>
      <c r="X13260" s="24"/>
      <c r="Y13260" s="24"/>
      <c r="Z13260" s="24"/>
      <c r="AA13260" s="24"/>
    </row>
    <row r="13261">
      <c r="A13261" s="24"/>
      <c r="B13261" s="25"/>
      <c r="C13261" s="24"/>
      <c r="D13261" s="26"/>
      <c r="E13261" s="24"/>
      <c r="F13261" s="24"/>
      <c r="G13261" s="24"/>
      <c r="H13261" s="24"/>
      <c r="I13261" s="24"/>
      <c r="J13261" s="24"/>
      <c r="K13261" s="24"/>
      <c r="L13261" s="24"/>
      <c r="M13261" s="24"/>
      <c r="N13261" s="24"/>
      <c r="O13261" s="24"/>
      <c r="P13261" s="24"/>
      <c r="Q13261" s="24"/>
      <c r="R13261" s="24"/>
      <c r="S13261" s="24"/>
      <c r="T13261" s="24"/>
      <c r="U13261" s="24"/>
      <c r="V13261" s="24"/>
      <c r="W13261" s="24"/>
      <c r="X13261" s="24"/>
      <c r="Y13261" s="24"/>
      <c r="Z13261" s="24"/>
      <c r="AA13261" s="24"/>
    </row>
    <row r="13262">
      <c r="A13262" s="24"/>
      <c r="B13262" s="25"/>
      <c r="C13262" s="24"/>
      <c r="D13262" s="26"/>
      <c r="E13262" s="24"/>
      <c r="F13262" s="24"/>
      <c r="G13262" s="24"/>
      <c r="H13262" s="24"/>
      <c r="I13262" s="24"/>
      <c r="J13262" s="24"/>
      <c r="K13262" s="24"/>
      <c r="L13262" s="24"/>
      <c r="M13262" s="24"/>
      <c r="N13262" s="24"/>
      <c r="O13262" s="24"/>
      <c r="P13262" s="24"/>
      <c r="Q13262" s="24"/>
      <c r="R13262" s="24"/>
      <c r="S13262" s="24"/>
      <c r="T13262" s="24"/>
      <c r="U13262" s="24"/>
      <c r="V13262" s="24"/>
      <c r="W13262" s="24"/>
      <c r="X13262" s="24"/>
      <c r="Y13262" s="24"/>
      <c r="Z13262" s="24"/>
      <c r="AA13262" s="24"/>
    </row>
    <row r="13263">
      <c r="A13263" s="24"/>
      <c r="B13263" s="25"/>
      <c r="C13263" s="24"/>
      <c r="D13263" s="26"/>
      <c r="E13263" s="24"/>
      <c r="F13263" s="24"/>
      <c r="G13263" s="24"/>
      <c r="H13263" s="24"/>
      <c r="I13263" s="24"/>
      <c r="J13263" s="24"/>
      <c r="K13263" s="24"/>
      <c r="L13263" s="24"/>
      <c r="M13263" s="24"/>
      <c r="N13263" s="24"/>
      <c r="O13263" s="24"/>
      <c r="P13263" s="24"/>
      <c r="Q13263" s="24"/>
      <c r="R13263" s="24"/>
      <c r="S13263" s="24"/>
      <c r="T13263" s="24"/>
      <c r="U13263" s="24"/>
      <c r="V13263" s="24"/>
      <c r="W13263" s="24"/>
      <c r="X13263" s="24"/>
      <c r="Y13263" s="24"/>
      <c r="Z13263" s="24"/>
      <c r="AA13263" s="24"/>
    </row>
    <row r="13264">
      <c r="A13264" s="24"/>
      <c r="B13264" s="25"/>
      <c r="C13264" s="24"/>
      <c r="D13264" s="26"/>
      <c r="E13264" s="24"/>
      <c r="F13264" s="24"/>
      <c r="G13264" s="24"/>
      <c r="H13264" s="24"/>
      <c r="I13264" s="24"/>
      <c r="J13264" s="24"/>
      <c r="K13264" s="24"/>
      <c r="L13264" s="24"/>
      <c r="M13264" s="24"/>
      <c r="N13264" s="24"/>
      <c r="O13264" s="24"/>
      <c r="P13264" s="24"/>
      <c r="Q13264" s="24"/>
      <c r="R13264" s="24"/>
      <c r="S13264" s="24"/>
      <c r="T13264" s="24"/>
      <c r="U13264" s="24"/>
      <c r="V13264" s="24"/>
      <c r="W13264" s="24"/>
      <c r="X13264" s="24"/>
      <c r="Y13264" s="24"/>
      <c r="Z13264" s="24"/>
      <c r="AA13264" s="24"/>
    </row>
    <row r="13265">
      <c r="A13265" s="24"/>
      <c r="B13265" s="25"/>
      <c r="C13265" s="24"/>
      <c r="D13265" s="26"/>
      <c r="E13265" s="24"/>
      <c r="F13265" s="24"/>
      <c r="G13265" s="24"/>
      <c r="H13265" s="24"/>
      <c r="I13265" s="24"/>
      <c r="J13265" s="24"/>
      <c r="K13265" s="24"/>
      <c r="L13265" s="24"/>
      <c r="M13265" s="24"/>
      <c r="N13265" s="24"/>
      <c r="O13265" s="24"/>
      <c r="P13265" s="24"/>
      <c r="Q13265" s="24"/>
      <c r="R13265" s="24"/>
      <c r="S13265" s="24"/>
      <c r="T13265" s="24"/>
      <c r="U13265" s="24"/>
      <c r="V13265" s="24"/>
      <c r="W13265" s="24"/>
      <c r="X13265" s="24"/>
      <c r="Y13265" s="24"/>
      <c r="Z13265" s="24"/>
      <c r="AA13265" s="24"/>
    </row>
    <row r="13266">
      <c r="A13266" s="24"/>
      <c r="B13266" s="25"/>
      <c r="C13266" s="24"/>
      <c r="D13266" s="26"/>
      <c r="E13266" s="24"/>
      <c r="F13266" s="24"/>
      <c r="G13266" s="24"/>
      <c r="H13266" s="24"/>
      <c r="I13266" s="24"/>
      <c r="J13266" s="24"/>
      <c r="K13266" s="24"/>
      <c r="L13266" s="24"/>
      <c r="M13266" s="24"/>
      <c r="N13266" s="24"/>
      <c r="O13266" s="24"/>
      <c r="P13266" s="24"/>
      <c r="Q13266" s="24"/>
      <c r="R13266" s="24"/>
      <c r="S13266" s="24"/>
      <c r="T13266" s="24"/>
      <c r="U13266" s="24"/>
      <c r="V13266" s="24"/>
      <c r="W13266" s="24"/>
      <c r="X13266" s="24"/>
      <c r="Y13266" s="24"/>
      <c r="Z13266" s="24"/>
      <c r="AA13266" s="24"/>
    </row>
    <row r="13267">
      <c r="A13267" s="24"/>
      <c r="B13267" s="25"/>
      <c r="C13267" s="24"/>
      <c r="D13267" s="26"/>
      <c r="E13267" s="24"/>
      <c r="F13267" s="24"/>
      <c r="G13267" s="24"/>
      <c r="H13267" s="24"/>
      <c r="I13267" s="24"/>
      <c r="J13267" s="24"/>
      <c r="K13267" s="24"/>
      <c r="L13267" s="24"/>
      <c r="M13267" s="24"/>
      <c r="N13267" s="24"/>
      <c r="O13267" s="24"/>
      <c r="P13267" s="24"/>
      <c r="Q13267" s="24"/>
      <c r="R13267" s="24"/>
      <c r="S13267" s="24"/>
      <c r="T13267" s="24"/>
      <c r="U13267" s="24"/>
      <c r="V13267" s="24"/>
      <c r="W13267" s="24"/>
      <c r="X13267" s="24"/>
      <c r="Y13267" s="24"/>
      <c r="Z13267" s="24"/>
      <c r="AA13267" s="24"/>
    </row>
    <row r="13268">
      <c r="A13268" s="24"/>
      <c r="B13268" s="25"/>
      <c r="C13268" s="24"/>
      <c r="D13268" s="26"/>
      <c r="E13268" s="24"/>
      <c r="F13268" s="24"/>
      <c r="G13268" s="24"/>
      <c r="H13268" s="24"/>
      <c r="I13268" s="24"/>
      <c r="J13268" s="24"/>
      <c r="K13268" s="24"/>
      <c r="L13268" s="24"/>
      <c r="M13268" s="24"/>
      <c r="N13268" s="24"/>
      <c r="O13268" s="24"/>
      <c r="P13268" s="24"/>
      <c r="Q13268" s="24"/>
      <c r="R13268" s="24"/>
      <c r="S13268" s="24"/>
      <c r="T13268" s="24"/>
      <c r="U13268" s="24"/>
      <c r="V13268" s="24"/>
      <c r="W13268" s="24"/>
      <c r="X13268" s="24"/>
      <c r="Y13268" s="24"/>
      <c r="Z13268" s="24"/>
      <c r="AA13268" s="24"/>
    </row>
    <row r="13269">
      <c r="A13269" s="24"/>
      <c r="B13269" s="25"/>
      <c r="C13269" s="24"/>
      <c r="D13269" s="26"/>
      <c r="E13269" s="24"/>
      <c r="F13269" s="24"/>
      <c r="G13269" s="24"/>
      <c r="H13269" s="24"/>
      <c r="I13269" s="24"/>
      <c r="J13269" s="24"/>
      <c r="K13269" s="24"/>
      <c r="L13269" s="24"/>
      <c r="M13269" s="24"/>
      <c r="N13269" s="24"/>
      <c r="O13269" s="24"/>
      <c r="P13269" s="24"/>
      <c r="Q13269" s="24"/>
      <c r="R13269" s="24"/>
      <c r="S13269" s="24"/>
      <c r="T13269" s="24"/>
      <c r="U13269" s="24"/>
      <c r="V13269" s="24"/>
      <c r="W13269" s="24"/>
      <c r="X13269" s="24"/>
      <c r="Y13269" s="24"/>
      <c r="Z13269" s="24"/>
      <c r="AA13269" s="24"/>
    </row>
    <row r="13270">
      <c r="A13270" s="24"/>
      <c r="B13270" s="25"/>
      <c r="C13270" s="24"/>
      <c r="D13270" s="26"/>
      <c r="E13270" s="24"/>
      <c r="F13270" s="24"/>
      <c r="G13270" s="24"/>
      <c r="H13270" s="24"/>
      <c r="I13270" s="24"/>
      <c r="J13270" s="24"/>
      <c r="K13270" s="24"/>
      <c r="L13270" s="24"/>
      <c r="M13270" s="24"/>
      <c r="N13270" s="24"/>
      <c r="O13270" s="24"/>
      <c r="P13270" s="24"/>
      <c r="Q13270" s="24"/>
      <c r="R13270" s="24"/>
      <c r="S13270" s="24"/>
      <c r="T13270" s="24"/>
      <c r="U13270" s="24"/>
      <c r="V13270" s="24"/>
      <c r="W13270" s="24"/>
      <c r="X13270" s="24"/>
      <c r="Y13270" s="24"/>
      <c r="Z13270" s="24"/>
      <c r="AA13270" s="24"/>
    </row>
    <row r="13271">
      <c r="A13271" s="24"/>
      <c r="B13271" s="25"/>
      <c r="C13271" s="24"/>
      <c r="D13271" s="26"/>
      <c r="E13271" s="24"/>
      <c r="F13271" s="24"/>
      <c r="G13271" s="24"/>
      <c r="H13271" s="24"/>
      <c r="I13271" s="24"/>
      <c r="J13271" s="24"/>
      <c r="K13271" s="24"/>
      <c r="L13271" s="24"/>
      <c r="M13271" s="24"/>
      <c r="N13271" s="24"/>
      <c r="O13271" s="24"/>
      <c r="P13271" s="24"/>
      <c r="Q13271" s="24"/>
      <c r="R13271" s="24"/>
      <c r="S13271" s="24"/>
      <c r="T13271" s="24"/>
      <c r="U13271" s="24"/>
      <c r="V13271" s="24"/>
      <c r="W13271" s="24"/>
      <c r="X13271" s="24"/>
      <c r="Y13271" s="24"/>
      <c r="Z13271" s="24"/>
      <c r="AA13271" s="24"/>
    </row>
    <row r="13272">
      <c r="A13272" s="24"/>
      <c r="B13272" s="25"/>
      <c r="C13272" s="24"/>
      <c r="D13272" s="26"/>
      <c r="E13272" s="24"/>
      <c r="F13272" s="24"/>
      <c r="G13272" s="24"/>
      <c r="H13272" s="24"/>
      <c r="I13272" s="24"/>
      <c r="J13272" s="24"/>
      <c r="K13272" s="24"/>
      <c r="L13272" s="24"/>
      <c r="M13272" s="24"/>
      <c r="N13272" s="24"/>
      <c r="O13272" s="24"/>
      <c r="P13272" s="24"/>
      <c r="Q13272" s="24"/>
      <c r="R13272" s="24"/>
      <c r="S13272" s="24"/>
      <c r="T13272" s="24"/>
      <c r="U13272" s="24"/>
      <c r="V13272" s="24"/>
      <c r="W13272" s="24"/>
      <c r="X13272" s="24"/>
      <c r="Y13272" s="24"/>
      <c r="Z13272" s="24"/>
      <c r="AA13272" s="24"/>
    </row>
    <row r="13273">
      <c r="A13273" s="24"/>
      <c r="B13273" s="25"/>
      <c r="C13273" s="24"/>
      <c r="D13273" s="26"/>
      <c r="E13273" s="24"/>
      <c r="F13273" s="24"/>
      <c r="G13273" s="24"/>
      <c r="H13273" s="24"/>
      <c r="I13273" s="24"/>
      <c r="J13273" s="24"/>
      <c r="K13273" s="24"/>
      <c r="L13273" s="24"/>
      <c r="M13273" s="24"/>
      <c r="N13273" s="24"/>
      <c r="O13273" s="24"/>
      <c r="P13273" s="24"/>
      <c r="Q13273" s="24"/>
      <c r="R13273" s="24"/>
      <c r="S13273" s="24"/>
      <c r="T13273" s="24"/>
      <c r="U13273" s="24"/>
      <c r="V13273" s="24"/>
      <c r="W13273" s="24"/>
      <c r="X13273" s="24"/>
      <c r="Y13273" s="24"/>
      <c r="Z13273" s="24"/>
      <c r="AA13273" s="24"/>
    </row>
    <row r="13274">
      <c r="A13274" s="24"/>
      <c r="B13274" s="25"/>
      <c r="C13274" s="24"/>
      <c r="D13274" s="26"/>
      <c r="E13274" s="24"/>
      <c r="F13274" s="24"/>
      <c r="G13274" s="24"/>
      <c r="H13274" s="24"/>
      <c r="I13274" s="24"/>
      <c r="J13274" s="24"/>
      <c r="K13274" s="24"/>
      <c r="L13274" s="24"/>
      <c r="M13274" s="24"/>
      <c r="N13274" s="24"/>
      <c r="O13274" s="24"/>
      <c r="P13274" s="24"/>
      <c r="Q13274" s="24"/>
      <c r="R13274" s="24"/>
      <c r="S13274" s="24"/>
      <c r="T13274" s="24"/>
      <c r="U13274" s="24"/>
      <c r="V13274" s="24"/>
      <c r="W13274" s="24"/>
      <c r="X13274" s="24"/>
      <c r="Y13274" s="24"/>
      <c r="Z13274" s="24"/>
      <c r="AA13274" s="24"/>
    </row>
    <row r="13275">
      <c r="A13275" s="24"/>
      <c r="B13275" s="25"/>
      <c r="C13275" s="24"/>
      <c r="D13275" s="26"/>
      <c r="E13275" s="24"/>
      <c r="F13275" s="24"/>
      <c r="G13275" s="24"/>
      <c r="H13275" s="24"/>
      <c r="I13275" s="24"/>
      <c r="J13275" s="24"/>
      <c r="K13275" s="24"/>
      <c r="L13275" s="24"/>
      <c r="M13275" s="24"/>
      <c r="N13275" s="24"/>
      <c r="O13275" s="24"/>
      <c r="P13275" s="24"/>
      <c r="Q13275" s="24"/>
      <c r="R13275" s="24"/>
      <c r="S13275" s="24"/>
      <c r="T13275" s="24"/>
      <c r="U13275" s="24"/>
      <c r="V13275" s="24"/>
      <c r="W13275" s="24"/>
      <c r="X13275" s="24"/>
      <c r="Y13275" s="24"/>
      <c r="Z13275" s="24"/>
      <c r="AA13275" s="24"/>
    </row>
    <row r="13276">
      <c r="A13276" s="24"/>
      <c r="B13276" s="25"/>
      <c r="C13276" s="24"/>
      <c r="D13276" s="26"/>
      <c r="E13276" s="24"/>
      <c r="F13276" s="24"/>
      <c r="G13276" s="24"/>
      <c r="H13276" s="24"/>
      <c r="I13276" s="24"/>
      <c r="J13276" s="24"/>
      <c r="K13276" s="24"/>
      <c r="L13276" s="24"/>
      <c r="M13276" s="24"/>
      <c r="N13276" s="24"/>
      <c r="O13276" s="24"/>
      <c r="P13276" s="24"/>
      <c r="Q13276" s="24"/>
      <c r="R13276" s="24"/>
      <c r="S13276" s="24"/>
      <c r="T13276" s="24"/>
      <c r="U13276" s="24"/>
      <c r="V13276" s="24"/>
      <c r="W13276" s="24"/>
      <c r="X13276" s="24"/>
      <c r="Y13276" s="24"/>
      <c r="Z13276" s="24"/>
      <c r="AA13276" s="24"/>
    </row>
    <row r="13277">
      <c r="A13277" s="24"/>
      <c r="B13277" s="25"/>
      <c r="C13277" s="24"/>
      <c r="D13277" s="26"/>
      <c r="E13277" s="24"/>
      <c r="F13277" s="24"/>
      <c r="G13277" s="24"/>
      <c r="H13277" s="24"/>
      <c r="I13277" s="24"/>
      <c r="J13277" s="24"/>
      <c r="K13277" s="24"/>
      <c r="L13277" s="24"/>
      <c r="M13277" s="24"/>
      <c r="N13277" s="24"/>
      <c r="O13277" s="24"/>
      <c r="P13277" s="24"/>
      <c r="Q13277" s="24"/>
      <c r="R13277" s="24"/>
      <c r="S13277" s="24"/>
      <c r="T13277" s="24"/>
      <c r="U13277" s="24"/>
      <c r="V13277" s="24"/>
      <c r="W13277" s="24"/>
      <c r="X13277" s="24"/>
      <c r="Y13277" s="24"/>
      <c r="Z13277" s="24"/>
      <c r="AA13277" s="24"/>
    </row>
    <row r="13278">
      <c r="A13278" s="24"/>
      <c r="B13278" s="25"/>
      <c r="C13278" s="24"/>
      <c r="D13278" s="26"/>
      <c r="E13278" s="24"/>
      <c r="F13278" s="24"/>
      <c r="G13278" s="24"/>
      <c r="H13278" s="24"/>
      <c r="I13278" s="24"/>
      <c r="J13278" s="24"/>
      <c r="K13278" s="24"/>
      <c r="L13278" s="24"/>
      <c r="M13278" s="24"/>
      <c r="N13278" s="24"/>
      <c r="O13278" s="24"/>
      <c r="P13278" s="24"/>
      <c r="Q13278" s="24"/>
      <c r="R13278" s="24"/>
      <c r="S13278" s="24"/>
      <c r="T13278" s="24"/>
      <c r="U13278" s="24"/>
      <c r="V13278" s="24"/>
      <c r="W13278" s="24"/>
      <c r="X13278" s="24"/>
      <c r="Y13278" s="24"/>
      <c r="Z13278" s="24"/>
      <c r="AA13278" s="24"/>
    </row>
    <row r="13279">
      <c r="A13279" s="24"/>
      <c r="B13279" s="25"/>
      <c r="C13279" s="24"/>
      <c r="D13279" s="26"/>
      <c r="E13279" s="24"/>
      <c r="F13279" s="24"/>
      <c r="G13279" s="24"/>
      <c r="H13279" s="24"/>
      <c r="I13279" s="24"/>
      <c r="J13279" s="24"/>
      <c r="K13279" s="24"/>
      <c r="L13279" s="24"/>
      <c r="M13279" s="24"/>
      <c r="N13279" s="24"/>
      <c r="O13279" s="24"/>
      <c r="P13279" s="24"/>
      <c r="Q13279" s="24"/>
      <c r="R13279" s="24"/>
      <c r="S13279" s="24"/>
      <c r="T13279" s="24"/>
      <c r="U13279" s="24"/>
      <c r="V13279" s="24"/>
      <c r="W13279" s="24"/>
      <c r="X13279" s="24"/>
      <c r="Y13279" s="24"/>
      <c r="Z13279" s="24"/>
      <c r="AA13279" s="24"/>
    </row>
    <row r="13280">
      <c r="A13280" s="24"/>
      <c r="B13280" s="25"/>
      <c r="C13280" s="24"/>
      <c r="D13280" s="26"/>
      <c r="E13280" s="24"/>
      <c r="F13280" s="24"/>
      <c r="G13280" s="24"/>
      <c r="H13280" s="24"/>
      <c r="I13280" s="24"/>
      <c r="J13280" s="24"/>
      <c r="K13280" s="24"/>
      <c r="L13280" s="24"/>
      <c r="M13280" s="24"/>
      <c r="N13280" s="24"/>
      <c r="O13280" s="24"/>
      <c r="P13280" s="24"/>
      <c r="Q13280" s="24"/>
      <c r="R13280" s="24"/>
      <c r="S13280" s="24"/>
      <c r="T13280" s="24"/>
      <c r="U13280" s="24"/>
      <c r="V13280" s="24"/>
      <c r="W13280" s="24"/>
      <c r="X13280" s="24"/>
      <c r="Y13280" s="24"/>
      <c r="Z13280" s="24"/>
      <c r="AA13280" s="24"/>
    </row>
    <row r="13281">
      <c r="A13281" s="24"/>
      <c r="B13281" s="25"/>
      <c r="C13281" s="24"/>
      <c r="D13281" s="26"/>
      <c r="E13281" s="24"/>
      <c r="F13281" s="24"/>
      <c r="G13281" s="24"/>
      <c r="H13281" s="24"/>
      <c r="I13281" s="24"/>
      <c r="J13281" s="24"/>
      <c r="K13281" s="24"/>
      <c r="L13281" s="24"/>
      <c r="M13281" s="24"/>
      <c r="N13281" s="24"/>
      <c r="O13281" s="24"/>
      <c r="P13281" s="24"/>
      <c r="Q13281" s="24"/>
      <c r="R13281" s="24"/>
      <c r="S13281" s="24"/>
      <c r="T13281" s="24"/>
      <c r="U13281" s="24"/>
      <c r="V13281" s="24"/>
      <c r="W13281" s="24"/>
      <c r="X13281" s="24"/>
      <c r="Y13281" s="24"/>
      <c r="Z13281" s="24"/>
      <c r="AA13281" s="24"/>
    </row>
    <row r="13282">
      <c r="A13282" s="24"/>
      <c r="B13282" s="25"/>
      <c r="C13282" s="24"/>
      <c r="D13282" s="26"/>
      <c r="E13282" s="24"/>
      <c r="F13282" s="24"/>
      <c r="G13282" s="24"/>
      <c r="H13282" s="24"/>
      <c r="I13282" s="24"/>
      <c r="J13282" s="24"/>
      <c r="K13282" s="24"/>
      <c r="L13282" s="24"/>
      <c r="M13282" s="24"/>
      <c r="N13282" s="24"/>
      <c r="O13282" s="24"/>
      <c r="P13282" s="24"/>
      <c r="Q13282" s="24"/>
      <c r="R13282" s="24"/>
      <c r="S13282" s="24"/>
      <c r="T13282" s="24"/>
      <c r="U13282" s="24"/>
      <c r="V13282" s="24"/>
      <c r="W13282" s="24"/>
      <c r="X13282" s="24"/>
      <c r="Y13282" s="24"/>
      <c r="Z13282" s="24"/>
      <c r="AA13282" s="24"/>
    </row>
    <row r="13283">
      <c r="A13283" s="24"/>
      <c r="B13283" s="25"/>
      <c r="C13283" s="24"/>
      <c r="D13283" s="26"/>
      <c r="E13283" s="24"/>
      <c r="F13283" s="24"/>
      <c r="G13283" s="24"/>
      <c r="H13283" s="24"/>
      <c r="I13283" s="24"/>
      <c r="J13283" s="24"/>
      <c r="K13283" s="24"/>
      <c r="L13283" s="24"/>
      <c r="M13283" s="24"/>
      <c r="N13283" s="24"/>
      <c r="O13283" s="24"/>
      <c r="P13283" s="24"/>
      <c r="Q13283" s="24"/>
      <c r="R13283" s="24"/>
      <c r="S13283" s="24"/>
      <c r="T13283" s="24"/>
      <c r="U13283" s="24"/>
      <c r="V13283" s="24"/>
      <c r="W13283" s="24"/>
      <c r="X13283" s="24"/>
      <c r="Y13283" s="24"/>
      <c r="Z13283" s="24"/>
      <c r="AA13283" s="24"/>
    </row>
    <row r="13284">
      <c r="A13284" s="24"/>
      <c r="B13284" s="25"/>
      <c r="C13284" s="24"/>
      <c r="D13284" s="26"/>
      <c r="E13284" s="24"/>
      <c r="F13284" s="24"/>
      <c r="G13284" s="24"/>
      <c r="H13284" s="24"/>
      <c r="I13284" s="24"/>
      <c r="J13284" s="24"/>
      <c r="K13284" s="24"/>
      <c r="L13284" s="24"/>
      <c r="M13284" s="24"/>
      <c r="N13284" s="24"/>
      <c r="O13284" s="24"/>
      <c r="P13284" s="24"/>
      <c r="Q13284" s="24"/>
      <c r="R13284" s="24"/>
      <c r="S13284" s="24"/>
      <c r="T13284" s="24"/>
      <c r="U13284" s="24"/>
      <c r="V13284" s="24"/>
      <c r="W13284" s="24"/>
      <c r="X13284" s="24"/>
      <c r="Y13284" s="24"/>
      <c r="Z13284" s="24"/>
      <c r="AA13284" s="24"/>
    </row>
    <row r="13285">
      <c r="A13285" s="24"/>
      <c r="B13285" s="25"/>
      <c r="C13285" s="24"/>
      <c r="D13285" s="26"/>
      <c r="E13285" s="24"/>
      <c r="F13285" s="24"/>
      <c r="G13285" s="24"/>
      <c r="H13285" s="24"/>
      <c r="I13285" s="24"/>
      <c r="J13285" s="24"/>
      <c r="K13285" s="24"/>
      <c r="L13285" s="24"/>
      <c r="M13285" s="24"/>
      <c r="N13285" s="24"/>
      <c r="O13285" s="24"/>
      <c r="P13285" s="24"/>
      <c r="Q13285" s="24"/>
      <c r="R13285" s="24"/>
      <c r="S13285" s="24"/>
      <c r="T13285" s="24"/>
      <c r="U13285" s="24"/>
      <c r="V13285" s="24"/>
      <c r="W13285" s="24"/>
      <c r="X13285" s="24"/>
      <c r="Y13285" s="24"/>
      <c r="Z13285" s="24"/>
      <c r="AA13285" s="24"/>
    </row>
    <row r="13286">
      <c r="A13286" s="24"/>
      <c r="B13286" s="25"/>
      <c r="C13286" s="24"/>
      <c r="D13286" s="26"/>
      <c r="E13286" s="24"/>
      <c r="F13286" s="24"/>
      <c r="G13286" s="24"/>
      <c r="H13286" s="24"/>
      <c r="I13286" s="24"/>
      <c r="J13286" s="24"/>
      <c r="K13286" s="24"/>
      <c r="L13286" s="24"/>
      <c r="M13286" s="24"/>
      <c r="N13286" s="24"/>
      <c r="O13286" s="24"/>
      <c r="P13286" s="24"/>
      <c r="Q13286" s="24"/>
      <c r="R13286" s="24"/>
      <c r="S13286" s="24"/>
      <c r="T13286" s="24"/>
      <c r="U13286" s="24"/>
      <c r="V13286" s="24"/>
      <c r="W13286" s="24"/>
      <c r="X13286" s="24"/>
      <c r="Y13286" s="24"/>
      <c r="Z13286" s="24"/>
      <c r="AA13286" s="24"/>
    </row>
    <row r="13287">
      <c r="A13287" s="24"/>
      <c r="B13287" s="25"/>
      <c r="C13287" s="24"/>
      <c r="D13287" s="26"/>
      <c r="E13287" s="24"/>
      <c r="F13287" s="24"/>
      <c r="G13287" s="24"/>
      <c r="H13287" s="24"/>
      <c r="I13287" s="24"/>
      <c r="J13287" s="24"/>
      <c r="K13287" s="24"/>
      <c r="L13287" s="24"/>
      <c r="M13287" s="24"/>
      <c r="N13287" s="24"/>
      <c r="O13287" s="24"/>
      <c r="P13287" s="24"/>
      <c r="Q13287" s="24"/>
      <c r="R13287" s="24"/>
      <c r="S13287" s="24"/>
      <c r="T13287" s="24"/>
      <c r="U13287" s="24"/>
      <c r="V13287" s="24"/>
      <c r="W13287" s="24"/>
      <c r="X13287" s="24"/>
      <c r="Y13287" s="24"/>
      <c r="Z13287" s="24"/>
      <c r="AA13287" s="24"/>
    </row>
    <row r="13288">
      <c r="A13288" s="24"/>
      <c r="B13288" s="25"/>
      <c r="C13288" s="24"/>
      <c r="D13288" s="26"/>
      <c r="E13288" s="24"/>
      <c r="F13288" s="24"/>
      <c r="G13288" s="24"/>
      <c r="H13288" s="24"/>
      <c r="I13288" s="24"/>
      <c r="J13288" s="24"/>
      <c r="K13288" s="24"/>
      <c r="L13288" s="24"/>
      <c r="M13288" s="24"/>
      <c r="N13288" s="24"/>
      <c r="O13288" s="24"/>
      <c r="P13288" s="24"/>
      <c r="Q13288" s="24"/>
      <c r="R13288" s="24"/>
      <c r="S13288" s="24"/>
      <c r="T13288" s="24"/>
      <c r="U13288" s="24"/>
      <c r="V13288" s="24"/>
      <c r="W13288" s="24"/>
      <c r="X13288" s="24"/>
      <c r="Y13288" s="24"/>
      <c r="Z13288" s="24"/>
      <c r="AA13288" s="24"/>
    </row>
    <row r="13289">
      <c r="A13289" s="24"/>
      <c r="B13289" s="25"/>
      <c r="C13289" s="24"/>
      <c r="D13289" s="26"/>
      <c r="E13289" s="24"/>
      <c r="F13289" s="24"/>
      <c r="G13289" s="24"/>
      <c r="H13289" s="24"/>
      <c r="I13289" s="24"/>
      <c r="J13289" s="24"/>
      <c r="K13289" s="24"/>
      <c r="L13289" s="24"/>
      <c r="M13289" s="24"/>
      <c r="N13289" s="24"/>
      <c r="O13289" s="24"/>
      <c r="P13289" s="24"/>
      <c r="Q13289" s="24"/>
      <c r="R13289" s="24"/>
      <c r="S13289" s="24"/>
      <c r="T13289" s="24"/>
      <c r="U13289" s="24"/>
      <c r="V13289" s="24"/>
      <c r="W13289" s="24"/>
      <c r="X13289" s="24"/>
      <c r="Y13289" s="24"/>
      <c r="Z13289" s="24"/>
      <c r="AA13289" s="24"/>
    </row>
    <row r="13290">
      <c r="A13290" s="24"/>
      <c r="B13290" s="25"/>
      <c r="C13290" s="24"/>
      <c r="D13290" s="26"/>
      <c r="E13290" s="24"/>
      <c r="F13290" s="24"/>
      <c r="G13290" s="24"/>
      <c r="H13290" s="24"/>
      <c r="I13290" s="24"/>
      <c r="J13290" s="24"/>
      <c r="K13290" s="24"/>
      <c r="L13290" s="24"/>
      <c r="M13290" s="24"/>
      <c r="N13290" s="24"/>
      <c r="O13290" s="24"/>
      <c r="P13290" s="24"/>
      <c r="Q13290" s="24"/>
      <c r="R13290" s="24"/>
      <c r="S13290" s="24"/>
      <c r="T13290" s="24"/>
      <c r="U13290" s="24"/>
      <c r="V13290" s="24"/>
      <c r="W13290" s="24"/>
      <c r="X13290" s="24"/>
      <c r="Y13290" s="24"/>
      <c r="Z13290" s="24"/>
      <c r="AA13290" s="24"/>
    </row>
    <row r="13291">
      <c r="A13291" s="24"/>
      <c r="B13291" s="25"/>
      <c r="C13291" s="24"/>
      <c r="D13291" s="26"/>
      <c r="E13291" s="24"/>
      <c r="F13291" s="24"/>
      <c r="G13291" s="24"/>
      <c r="H13291" s="24"/>
      <c r="I13291" s="24"/>
      <c r="J13291" s="24"/>
      <c r="K13291" s="24"/>
      <c r="L13291" s="24"/>
      <c r="M13291" s="24"/>
      <c r="N13291" s="24"/>
      <c r="O13291" s="24"/>
      <c r="P13291" s="24"/>
      <c r="Q13291" s="24"/>
      <c r="R13291" s="24"/>
      <c r="S13291" s="24"/>
      <c r="T13291" s="24"/>
      <c r="U13291" s="24"/>
      <c r="V13291" s="24"/>
      <c r="W13291" s="24"/>
      <c r="X13291" s="24"/>
      <c r="Y13291" s="24"/>
      <c r="Z13291" s="24"/>
      <c r="AA13291" s="24"/>
    </row>
    <row r="13292">
      <c r="A13292" s="24"/>
      <c r="B13292" s="25"/>
      <c r="C13292" s="24"/>
      <c r="D13292" s="26"/>
      <c r="E13292" s="24"/>
      <c r="F13292" s="24"/>
      <c r="G13292" s="24"/>
      <c r="H13292" s="24"/>
      <c r="I13292" s="24"/>
      <c r="J13292" s="24"/>
      <c r="K13292" s="24"/>
      <c r="L13292" s="24"/>
      <c r="M13292" s="24"/>
      <c r="N13292" s="24"/>
      <c r="O13292" s="24"/>
      <c r="P13292" s="24"/>
      <c r="Q13292" s="24"/>
      <c r="R13292" s="24"/>
      <c r="S13292" s="24"/>
      <c r="T13292" s="24"/>
      <c r="U13292" s="24"/>
      <c r="V13292" s="24"/>
      <c r="W13292" s="24"/>
      <c r="X13292" s="24"/>
      <c r="Y13292" s="24"/>
      <c r="Z13292" s="24"/>
      <c r="AA13292" s="24"/>
    </row>
    <row r="13293">
      <c r="A13293" s="24"/>
      <c r="B13293" s="25"/>
      <c r="C13293" s="24"/>
      <c r="D13293" s="26"/>
      <c r="E13293" s="24"/>
      <c r="F13293" s="24"/>
      <c r="G13293" s="24"/>
      <c r="H13293" s="24"/>
      <c r="I13293" s="24"/>
      <c r="J13293" s="24"/>
      <c r="K13293" s="24"/>
      <c r="L13293" s="24"/>
      <c r="M13293" s="24"/>
      <c r="N13293" s="24"/>
      <c r="O13293" s="24"/>
      <c r="P13293" s="24"/>
      <c r="Q13293" s="24"/>
      <c r="R13293" s="24"/>
      <c r="S13293" s="24"/>
      <c r="T13293" s="24"/>
      <c r="U13293" s="24"/>
      <c r="V13293" s="24"/>
      <c r="W13293" s="24"/>
      <c r="X13293" s="24"/>
      <c r="Y13293" s="24"/>
      <c r="Z13293" s="24"/>
      <c r="AA13293" s="24"/>
    </row>
    <row r="13294">
      <c r="A13294" s="24"/>
      <c r="B13294" s="25"/>
      <c r="C13294" s="24"/>
      <c r="D13294" s="26"/>
      <c r="E13294" s="24"/>
      <c r="F13294" s="24"/>
      <c r="G13294" s="24"/>
      <c r="H13294" s="24"/>
      <c r="I13294" s="24"/>
      <c r="J13294" s="24"/>
      <c r="K13294" s="24"/>
      <c r="L13294" s="24"/>
      <c r="M13294" s="24"/>
      <c r="N13294" s="24"/>
      <c r="O13294" s="24"/>
      <c r="P13294" s="24"/>
      <c r="Q13294" s="24"/>
      <c r="R13294" s="24"/>
      <c r="S13294" s="24"/>
      <c r="T13294" s="24"/>
      <c r="U13294" s="24"/>
      <c r="V13294" s="24"/>
      <c r="W13294" s="24"/>
      <c r="X13294" s="24"/>
      <c r="Y13294" s="24"/>
      <c r="Z13294" s="24"/>
      <c r="AA13294" s="24"/>
    </row>
    <row r="13295">
      <c r="A13295" s="24"/>
      <c r="B13295" s="25"/>
      <c r="C13295" s="24"/>
      <c r="D13295" s="26"/>
      <c r="E13295" s="24"/>
      <c r="F13295" s="24"/>
      <c r="G13295" s="24"/>
      <c r="H13295" s="24"/>
      <c r="I13295" s="24"/>
      <c r="J13295" s="24"/>
      <c r="K13295" s="24"/>
      <c r="L13295" s="24"/>
      <c r="M13295" s="24"/>
      <c r="N13295" s="24"/>
      <c r="O13295" s="24"/>
      <c r="P13295" s="24"/>
      <c r="Q13295" s="24"/>
      <c r="R13295" s="24"/>
      <c r="S13295" s="24"/>
      <c r="T13295" s="24"/>
      <c r="U13295" s="24"/>
      <c r="V13295" s="24"/>
      <c r="W13295" s="24"/>
      <c r="X13295" s="24"/>
      <c r="Y13295" s="24"/>
      <c r="Z13295" s="24"/>
      <c r="AA13295" s="24"/>
    </row>
    <row r="13296">
      <c r="A13296" s="24"/>
      <c r="B13296" s="25"/>
      <c r="C13296" s="24"/>
      <c r="D13296" s="26"/>
      <c r="E13296" s="24"/>
      <c r="F13296" s="24"/>
      <c r="G13296" s="24"/>
      <c r="H13296" s="24"/>
      <c r="I13296" s="24"/>
      <c r="J13296" s="24"/>
      <c r="K13296" s="24"/>
      <c r="L13296" s="24"/>
      <c r="M13296" s="24"/>
      <c r="N13296" s="24"/>
      <c r="O13296" s="24"/>
      <c r="P13296" s="24"/>
      <c r="Q13296" s="24"/>
      <c r="R13296" s="24"/>
      <c r="S13296" s="24"/>
      <c r="T13296" s="24"/>
      <c r="U13296" s="24"/>
      <c r="V13296" s="24"/>
      <c r="W13296" s="24"/>
      <c r="X13296" s="24"/>
      <c r="Y13296" s="24"/>
      <c r="Z13296" s="24"/>
      <c r="AA13296" s="24"/>
    </row>
    <row r="13297">
      <c r="A13297" s="24"/>
      <c r="B13297" s="25"/>
      <c r="C13297" s="24"/>
      <c r="D13297" s="26"/>
      <c r="E13297" s="24"/>
      <c r="F13297" s="24"/>
      <c r="G13297" s="24"/>
      <c r="H13297" s="24"/>
      <c r="I13297" s="24"/>
      <c r="J13297" s="24"/>
      <c r="K13297" s="24"/>
      <c r="L13297" s="24"/>
      <c r="M13297" s="24"/>
      <c r="N13297" s="24"/>
      <c r="O13297" s="24"/>
      <c r="P13297" s="24"/>
      <c r="Q13297" s="24"/>
      <c r="R13297" s="24"/>
      <c r="S13297" s="24"/>
      <c r="T13297" s="24"/>
      <c r="U13297" s="24"/>
      <c r="V13297" s="24"/>
      <c r="W13297" s="24"/>
      <c r="X13297" s="24"/>
      <c r="Y13297" s="24"/>
      <c r="Z13297" s="24"/>
      <c r="AA13297" s="24"/>
    </row>
    <row r="13298">
      <c r="A13298" s="24"/>
      <c r="B13298" s="25"/>
      <c r="C13298" s="24"/>
      <c r="D13298" s="26"/>
      <c r="E13298" s="24"/>
      <c r="F13298" s="24"/>
      <c r="G13298" s="24"/>
      <c r="H13298" s="24"/>
      <c r="I13298" s="24"/>
      <c r="J13298" s="24"/>
      <c r="K13298" s="24"/>
      <c r="L13298" s="24"/>
      <c r="M13298" s="24"/>
      <c r="N13298" s="24"/>
      <c r="O13298" s="24"/>
      <c r="P13298" s="24"/>
      <c r="Q13298" s="24"/>
      <c r="R13298" s="24"/>
      <c r="S13298" s="24"/>
      <c r="T13298" s="24"/>
      <c r="U13298" s="24"/>
      <c r="V13298" s="24"/>
      <c r="W13298" s="24"/>
      <c r="X13298" s="24"/>
      <c r="Y13298" s="24"/>
      <c r="Z13298" s="24"/>
      <c r="AA13298" s="24"/>
    </row>
    <row r="13299">
      <c r="A13299" s="24"/>
      <c r="B13299" s="25"/>
      <c r="C13299" s="24"/>
      <c r="D13299" s="26"/>
      <c r="E13299" s="24"/>
      <c r="F13299" s="24"/>
      <c r="G13299" s="24"/>
      <c r="H13299" s="24"/>
      <c r="I13299" s="24"/>
      <c r="J13299" s="24"/>
      <c r="K13299" s="24"/>
      <c r="L13299" s="24"/>
      <c r="M13299" s="24"/>
      <c r="N13299" s="24"/>
      <c r="O13299" s="24"/>
      <c r="P13299" s="24"/>
      <c r="Q13299" s="24"/>
      <c r="R13299" s="24"/>
      <c r="S13299" s="24"/>
      <c r="T13299" s="24"/>
      <c r="U13299" s="24"/>
      <c r="V13299" s="24"/>
      <c r="W13299" s="24"/>
      <c r="X13299" s="24"/>
      <c r="Y13299" s="24"/>
      <c r="Z13299" s="24"/>
      <c r="AA13299" s="24"/>
    </row>
    <row r="13300">
      <c r="A13300" s="24"/>
      <c r="B13300" s="25"/>
      <c r="C13300" s="24"/>
      <c r="D13300" s="26"/>
      <c r="E13300" s="24"/>
      <c r="F13300" s="24"/>
      <c r="G13300" s="24"/>
      <c r="H13300" s="24"/>
      <c r="I13300" s="24"/>
      <c r="J13300" s="24"/>
      <c r="K13300" s="24"/>
      <c r="L13300" s="24"/>
      <c r="M13300" s="24"/>
      <c r="N13300" s="24"/>
      <c r="O13300" s="24"/>
      <c r="P13300" s="24"/>
      <c r="Q13300" s="24"/>
      <c r="R13300" s="24"/>
      <c r="S13300" s="24"/>
      <c r="T13300" s="24"/>
      <c r="U13300" s="24"/>
      <c r="V13300" s="24"/>
      <c r="W13300" s="24"/>
      <c r="X13300" s="24"/>
      <c r="Y13300" s="24"/>
      <c r="Z13300" s="24"/>
      <c r="AA13300" s="24"/>
    </row>
    <row r="13301">
      <c r="A13301" s="24"/>
      <c r="B13301" s="25"/>
      <c r="C13301" s="24"/>
      <c r="D13301" s="26"/>
      <c r="E13301" s="24"/>
      <c r="F13301" s="24"/>
      <c r="G13301" s="24"/>
      <c r="H13301" s="24"/>
      <c r="I13301" s="24"/>
      <c r="J13301" s="24"/>
      <c r="K13301" s="24"/>
      <c r="L13301" s="24"/>
      <c r="M13301" s="24"/>
      <c r="N13301" s="24"/>
      <c r="O13301" s="24"/>
      <c r="P13301" s="24"/>
      <c r="Q13301" s="24"/>
      <c r="R13301" s="24"/>
      <c r="S13301" s="24"/>
      <c r="T13301" s="24"/>
      <c r="U13301" s="24"/>
      <c r="V13301" s="24"/>
      <c r="W13301" s="24"/>
      <c r="X13301" s="24"/>
      <c r="Y13301" s="24"/>
      <c r="Z13301" s="24"/>
      <c r="AA13301" s="24"/>
    </row>
    <row r="13302">
      <c r="A13302" s="24"/>
      <c r="B13302" s="25"/>
      <c r="C13302" s="24"/>
      <c r="D13302" s="26"/>
      <c r="E13302" s="24"/>
      <c r="F13302" s="24"/>
      <c r="G13302" s="24"/>
      <c r="H13302" s="24"/>
      <c r="I13302" s="24"/>
      <c r="J13302" s="24"/>
      <c r="K13302" s="24"/>
      <c r="L13302" s="24"/>
      <c r="M13302" s="24"/>
      <c r="N13302" s="24"/>
      <c r="O13302" s="24"/>
      <c r="P13302" s="24"/>
      <c r="Q13302" s="24"/>
      <c r="R13302" s="24"/>
      <c r="S13302" s="24"/>
      <c r="T13302" s="24"/>
      <c r="U13302" s="24"/>
      <c r="V13302" s="24"/>
      <c r="W13302" s="24"/>
      <c r="X13302" s="24"/>
      <c r="Y13302" s="24"/>
      <c r="Z13302" s="24"/>
      <c r="AA13302" s="24"/>
    </row>
    <row r="13303">
      <c r="A13303" s="24"/>
      <c r="B13303" s="25"/>
      <c r="C13303" s="24"/>
      <c r="D13303" s="26"/>
      <c r="E13303" s="24"/>
      <c r="F13303" s="24"/>
      <c r="G13303" s="24"/>
      <c r="H13303" s="24"/>
      <c r="I13303" s="24"/>
      <c r="J13303" s="24"/>
      <c r="K13303" s="24"/>
      <c r="L13303" s="24"/>
      <c r="M13303" s="24"/>
      <c r="N13303" s="24"/>
      <c r="O13303" s="24"/>
      <c r="P13303" s="24"/>
      <c r="Q13303" s="24"/>
      <c r="R13303" s="24"/>
      <c r="S13303" s="24"/>
      <c r="T13303" s="24"/>
      <c r="U13303" s="24"/>
      <c r="V13303" s="24"/>
      <c r="W13303" s="24"/>
      <c r="X13303" s="24"/>
      <c r="Y13303" s="24"/>
      <c r="Z13303" s="24"/>
      <c r="AA13303" s="24"/>
    </row>
    <row r="13304">
      <c r="A13304" s="24"/>
      <c r="B13304" s="25"/>
      <c r="C13304" s="24"/>
      <c r="D13304" s="26"/>
      <c r="E13304" s="24"/>
      <c r="F13304" s="24"/>
      <c r="G13304" s="24"/>
      <c r="H13304" s="24"/>
      <c r="I13304" s="24"/>
      <c r="J13304" s="24"/>
      <c r="K13304" s="24"/>
      <c r="L13304" s="24"/>
      <c r="M13304" s="24"/>
      <c r="N13304" s="24"/>
      <c r="O13304" s="24"/>
      <c r="P13304" s="24"/>
      <c r="Q13304" s="24"/>
      <c r="R13304" s="24"/>
      <c r="S13304" s="24"/>
      <c r="T13304" s="24"/>
      <c r="U13304" s="24"/>
      <c r="V13304" s="24"/>
      <c r="W13304" s="24"/>
      <c r="X13304" s="24"/>
      <c r="Y13304" s="24"/>
      <c r="Z13304" s="24"/>
      <c r="AA13304" s="24"/>
    </row>
    <row r="13305">
      <c r="A13305" s="24"/>
      <c r="B13305" s="25"/>
      <c r="C13305" s="24"/>
      <c r="D13305" s="26"/>
      <c r="E13305" s="24"/>
      <c r="F13305" s="24"/>
      <c r="G13305" s="24"/>
      <c r="H13305" s="24"/>
      <c r="I13305" s="24"/>
      <c r="J13305" s="24"/>
      <c r="K13305" s="24"/>
      <c r="L13305" s="24"/>
      <c r="M13305" s="24"/>
      <c r="N13305" s="24"/>
      <c r="O13305" s="24"/>
      <c r="P13305" s="24"/>
      <c r="Q13305" s="24"/>
      <c r="R13305" s="24"/>
      <c r="S13305" s="24"/>
      <c r="T13305" s="24"/>
      <c r="U13305" s="24"/>
      <c r="V13305" s="24"/>
      <c r="W13305" s="24"/>
      <c r="X13305" s="24"/>
      <c r="Y13305" s="24"/>
      <c r="Z13305" s="24"/>
      <c r="AA13305" s="24"/>
    </row>
    <row r="13306">
      <c r="A13306" s="24"/>
      <c r="B13306" s="25"/>
      <c r="C13306" s="24"/>
      <c r="D13306" s="26"/>
      <c r="E13306" s="24"/>
      <c r="F13306" s="24"/>
      <c r="G13306" s="24"/>
      <c r="H13306" s="24"/>
      <c r="I13306" s="24"/>
      <c r="J13306" s="24"/>
      <c r="K13306" s="24"/>
      <c r="L13306" s="24"/>
      <c r="M13306" s="24"/>
      <c r="N13306" s="24"/>
      <c r="O13306" s="24"/>
      <c r="P13306" s="24"/>
      <c r="Q13306" s="24"/>
      <c r="R13306" s="24"/>
      <c r="S13306" s="24"/>
      <c r="T13306" s="24"/>
      <c r="U13306" s="24"/>
      <c r="V13306" s="24"/>
      <c r="W13306" s="24"/>
      <c r="X13306" s="24"/>
      <c r="Y13306" s="24"/>
      <c r="Z13306" s="24"/>
      <c r="AA13306" s="24"/>
    </row>
    <row r="13307">
      <c r="A13307" s="24"/>
      <c r="B13307" s="25"/>
      <c r="C13307" s="24"/>
      <c r="D13307" s="26"/>
      <c r="E13307" s="24"/>
      <c r="F13307" s="24"/>
      <c r="G13307" s="24"/>
      <c r="H13307" s="24"/>
      <c r="I13307" s="24"/>
      <c r="J13307" s="24"/>
      <c r="K13307" s="24"/>
      <c r="L13307" s="24"/>
      <c r="M13307" s="24"/>
      <c r="N13307" s="24"/>
      <c r="O13307" s="24"/>
      <c r="P13307" s="24"/>
      <c r="Q13307" s="24"/>
      <c r="R13307" s="24"/>
      <c r="S13307" s="24"/>
      <c r="T13307" s="24"/>
      <c r="U13307" s="24"/>
      <c r="V13307" s="24"/>
      <c r="W13307" s="24"/>
      <c r="X13307" s="24"/>
      <c r="Y13307" s="24"/>
      <c r="Z13307" s="24"/>
      <c r="AA13307" s="24"/>
    </row>
    <row r="13308">
      <c r="A13308" s="24"/>
      <c r="B13308" s="25"/>
      <c r="C13308" s="24"/>
      <c r="D13308" s="26"/>
      <c r="E13308" s="24"/>
      <c r="F13308" s="24"/>
      <c r="G13308" s="24"/>
      <c r="H13308" s="24"/>
      <c r="I13308" s="24"/>
      <c r="J13308" s="24"/>
      <c r="K13308" s="24"/>
      <c r="L13308" s="24"/>
      <c r="M13308" s="24"/>
      <c r="N13308" s="24"/>
      <c r="O13308" s="24"/>
      <c r="P13308" s="24"/>
      <c r="Q13308" s="24"/>
      <c r="R13308" s="24"/>
      <c r="S13308" s="24"/>
      <c r="T13308" s="24"/>
      <c r="U13308" s="24"/>
      <c r="V13308" s="24"/>
      <c r="W13308" s="24"/>
      <c r="X13308" s="24"/>
      <c r="Y13308" s="24"/>
      <c r="Z13308" s="24"/>
      <c r="AA13308" s="24"/>
    </row>
    <row r="13309">
      <c r="A13309" s="24"/>
      <c r="B13309" s="25"/>
      <c r="C13309" s="24"/>
      <c r="D13309" s="26"/>
      <c r="E13309" s="24"/>
      <c r="F13309" s="24"/>
      <c r="G13309" s="24"/>
      <c r="H13309" s="24"/>
      <c r="I13309" s="24"/>
      <c r="J13309" s="24"/>
      <c r="K13309" s="24"/>
      <c r="L13309" s="24"/>
      <c r="M13309" s="24"/>
      <c r="N13309" s="24"/>
      <c r="O13309" s="24"/>
      <c r="P13309" s="24"/>
      <c r="Q13309" s="24"/>
      <c r="R13309" s="24"/>
      <c r="S13309" s="24"/>
      <c r="T13309" s="24"/>
      <c r="U13309" s="24"/>
      <c r="V13309" s="24"/>
      <c r="W13309" s="24"/>
      <c r="X13309" s="24"/>
      <c r="Y13309" s="24"/>
      <c r="Z13309" s="24"/>
      <c r="AA13309" s="24"/>
    </row>
    <row r="13310">
      <c r="A13310" s="24"/>
      <c r="B13310" s="25"/>
      <c r="C13310" s="24"/>
      <c r="D13310" s="26"/>
      <c r="E13310" s="24"/>
      <c r="F13310" s="24"/>
      <c r="G13310" s="24"/>
      <c r="H13310" s="24"/>
      <c r="I13310" s="24"/>
      <c r="J13310" s="24"/>
      <c r="K13310" s="24"/>
      <c r="L13310" s="24"/>
      <c r="M13310" s="24"/>
      <c r="N13310" s="24"/>
      <c r="O13310" s="24"/>
      <c r="P13310" s="24"/>
      <c r="Q13310" s="24"/>
      <c r="R13310" s="24"/>
      <c r="S13310" s="24"/>
      <c r="T13310" s="24"/>
      <c r="U13310" s="24"/>
      <c r="V13310" s="24"/>
      <c r="W13310" s="24"/>
      <c r="X13310" s="24"/>
      <c r="Y13310" s="24"/>
      <c r="Z13310" s="24"/>
      <c r="AA13310" s="24"/>
    </row>
    <row r="13311">
      <c r="A13311" s="24"/>
      <c r="B13311" s="25"/>
      <c r="C13311" s="24"/>
      <c r="D13311" s="26"/>
      <c r="E13311" s="24"/>
      <c r="F13311" s="24"/>
      <c r="G13311" s="24"/>
      <c r="H13311" s="24"/>
      <c r="I13311" s="24"/>
      <c r="J13311" s="24"/>
      <c r="K13311" s="24"/>
      <c r="L13311" s="24"/>
      <c r="M13311" s="24"/>
      <c r="N13311" s="24"/>
      <c r="O13311" s="24"/>
      <c r="P13311" s="24"/>
      <c r="Q13311" s="24"/>
      <c r="R13311" s="24"/>
      <c r="S13311" s="24"/>
      <c r="T13311" s="24"/>
      <c r="U13311" s="24"/>
      <c r="V13311" s="24"/>
      <c r="W13311" s="24"/>
      <c r="X13311" s="24"/>
      <c r="Y13311" s="24"/>
      <c r="Z13311" s="24"/>
      <c r="AA13311" s="24"/>
    </row>
    <row r="13312">
      <c r="A13312" s="24"/>
      <c r="B13312" s="25"/>
      <c r="C13312" s="24"/>
      <c r="D13312" s="26"/>
      <c r="E13312" s="24"/>
      <c r="F13312" s="24"/>
      <c r="G13312" s="24"/>
      <c r="H13312" s="24"/>
      <c r="I13312" s="24"/>
      <c r="J13312" s="24"/>
      <c r="K13312" s="24"/>
      <c r="L13312" s="24"/>
      <c r="M13312" s="24"/>
      <c r="N13312" s="24"/>
      <c r="O13312" s="24"/>
      <c r="P13312" s="24"/>
      <c r="Q13312" s="24"/>
      <c r="R13312" s="24"/>
      <c r="S13312" s="24"/>
      <c r="T13312" s="24"/>
      <c r="U13312" s="24"/>
      <c r="V13312" s="24"/>
      <c r="W13312" s="24"/>
      <c r="X13312" s="24"/>
      <c r="Y13312" s="24"/>
      <c r="Z13312" s="24"/>
      <c r="AA13312" s="24"/>
    </row>
    <row r="13313">
      <c r="A13313" s="24"/>
      <c r="B13313" s="25"/>
      <c r="C13313" s="24"/>
      <c r="D13313" s="26"/>
      <c r="E13313" s="24"/>
      <c r="F13313" s="24"/>
      <c r="G13313" s="24"/>
      <c r="H13313" s="24"/>
      <c r="I13313" s="24"/>
      <c r="J13313" s="24"/>
      <c r="K13313" s="24"/>
      <c r="L13313" s="24"/>
      <c r="M13313" s="24"/>
      <c r="N13313" s="24"/>
      <c r="O13313" s="24"/>
      <c r="P13313" s="24"/>
      <c r="Q13313" s="24"/>
      <c r="R13313" s="24"/>
      <c r="S13313" s="24"/>
      <c r="T13313" s="24"/>
      <c r="U13313" s="24"/>
      <c r="V13313" s="24"/>
      <c r="W13313" s="24"/>
      <c r="X13313" s="24"/>
      <c r="Y13313" s="24"/>
      <c r="Z13313" s="24"/>
      <c r="AA13313" s="24"/>
    </row>
    <row r="13314">
      <c r="A13314" s="24"/>
      <c r="B13314" s="25"/>
      <c r="C13314" s="24"/>
      <c r="D13314" s="26"/>
      <c r="E13314" s="24"/>
      <c r="F13314" s="24"/>
      <c r="G13314" s="24"/>
      <c r="H13314" s="24"/>
      <c r="I13314" s="24"/>
      <c r="J13314" s="24"/>
      <c r="K13314" s="24"/>
      <c r="L13314" s="24"/>
      <c r="M13314" s="24"/>
      <c r="N13314" s="24"/>
      <c r="O13314" s="24"/>
      <c r="P13314" s="24"/>
      <c r="Q13314" s="24"/>
      <c r="R13314" s="24"/>
      <c r="S13314" s="24"/>
      <c r="T13314" s="24"/>
      <c r="U13314" s="24"/>
      <c r="V13314" s="24"/>
      <c r="W13314" s="24"/>
      <c r="X13314" s="24"/>
      <c r="Y13314" s="24"/>
      <c r="Z13314" s="24"/>
      <c r="AA13314" s="24"/>
    </row>
    <row r="13315">
      <c r="A13315" s="24"/>
      <c r="B13315" s="25"/>
      <c r="C13315" s="24"/>
      <c r="D13315" s="26"/>
      <c r="E13315" s="24"/>
      <c r="F13315" s="24"/>
      <c r="G13315" s="24"/>
      <c r="H13315" s="24"/>
      <c r="I13315" s="24"/>
      <c r="J13315" s="24"/>
      <c r="K13315" s="24"/>
      <c r="L13315" s="24"/>
      <c r="M13315" s="24"/>
      <c r="N13315" s="24"/>
      <c r="O13315" s="24"/>
      <c r="P13315" s="24"/>
      <c r="Q13315" s="24"/>
      <c r="R13315" s="24"/>
      <c r="S13315" s="24"/>
      <c r="T13315" s="24"/>
      <c r="U13315" s="24"/>
      <c r="V13315" s="24"/>
      <c r="W13315" s="24"/>
      <c r="X13315" s="24"/>
      <c r="Y13315" s="24"/>
      <c r="Z13315" s="24"/>
      <c r="AA13315" s="24"/>
    </row>
    <row r="13316">
      <c r="A13316" s="24"/>
      <c r="B13316" s="25"/>
      <c r="C13316" s="24"/>
      <c r="D13316" s="26"/>
      <c r="E13316" s="24"/>
      <c r="F13316" s="24"/>
      <c r="G13316" s="24"/>
      <c r="H13316" s="24"/>
      <c r="I13316" s="24"/>
      <c r="J13316" s="24"/>
      <c r="K13316" s="24"/>
      <c r="L13316" s="24"/>
      <c r="M13316" s="24"/>
      <c r="N13316" s="24"/>
      <c r="O13316" s="24"/>
      <c r="P13316" s="24"/>
      <c r="Q13316" s="24"/>
      <c r="R13316" s="24"/>
      <c r="S13316" s="24"/>
      <c r="T13316" s="24"/>
      <c r="U13316" s="24"/>
      <c r="V13316" s="24"/>
      <c r="W13316" s="24"/>
      <c r="X13316" s="24"/>
      <c r="Y13316" s="24"/>
      <c r="Z13316" s="24"/>
      <c r="AA13316" s="24"/>
    </row>
    <row r="13317">
      <c r="A13317" s="24"/>
      <c r="B13317" s="25"/>
      <c r="C13317" s="24"/>
      <c r="D13317" s="26"/>
      <c r="E13317" s="24"/>
      <c r="F13317" s="24"/>
      <c r="G13317" s="24"/>
      <c r="H13317" s="24"/>
      <c r="I13317" s="24"/>
      <c r="J13317" s="24"/>
      <c r="K13317" s="24"/>
      <c r="L13317" s="24"/>
      <c r="M13317" s="24"/>
      <c r="N13317" s="24"/>
      <c r="O13317" s="24"/>
      <c r="P13317" s="24"/>
      <c r="Q13317" s="24"/>
      <c r="R13317" s="24"/>
      <c r="S13317" s="24"/>
      <c r="T13317" s="24"/>
      <c r="U13317" s="24"/>
      <c r="V13317" s="24"/>
      <c r="W13317" s="24"/>
      <c r="X13317" s="24"/>
      <c r="Y13317" s="24"/>
      <c r="Z13317" s="24"/>
      <c r="AA13317" s="24"/>
    </row>
    <row r="13318">
      <c r="A13318" s="24"/>
      <c r="B13318" s="25"/>
      <c r="C13318" s="24"/>
      <c r="D13318" s="26"/>
      <c r="E13318" s="24"/>
      <c r="F13318" s="24"/>
      <c r="G13318" s="24"/>
      <c r="H13318" s="24"/>
      <c r="I13318" s="24"/>
      <c r="J13318" s="24"/>
      <c r="K13318" s="24"/>
      <c r="L13318" s="24"/>
      <c r="M13318" s="24"/>
      <c r="N13318" s="24"/>
      <c r="O13318" s="24"/>
      <c r="P13318" s="24"/>
      <c r="Q13318" s="24"/>
      <c r="R13318" s="24"/>
      <c r="S13318" s="24"/>
      <c r="T13318" s="24"/>
      <c r="U13318" s="24"/>
      <c r="V13318" s="24"/>
      <c r="W13318" s="24"/>
      <c r="X13318" s="24"/>
      <c r="Y13318" s="24"/>
      <c r="Z13318" s="24"/>
      <c r="AA13318" s="24"/>
    </row>
    <row r="13319">
      <c r="A13319" s="24"/>
      <c r="B13319" s="25"/>
      <c r="C13319" s="24"/>
      <c r="D13319" s="26"/>
      <c r="E13319" s="24"/>
      <c r="F13319" s="24"/>
      <c r="G13319" s="24"/>
      <c r="H13319" s="24"/>
      <c r="I13319" s="24"/>
      <c r="J13319" s="24"/>
      <c r="K13319" s="24"/>
      <c r="L13319" s="24"/>
      <c r="M13319" s="24"/>
      <c r="N13319" s="24"/>
      <c r="O13319" s="24"/>
      <c r="P13319" s="24"/>
      <c r="Q13319" s="24"/>
      <c r="R13319" s="24"/>
      <c r="S13319" s="24"/>
      <c r="T13319" s="24"/>
      <c r="U13319" s="24"/>
      <c r="V13319" s="24"/>
      <c r="W13319" s="24"/>
      <c r="X13319" s="24"/>
      <c r="Y13319" s="24"/>
      <c r="Z13319" s="24"/>
      <c r="AA13319" s="24"/>
    </row>
    <row r="13320">
      <c r="A13320" s="24"/>
      <c r="B13320" s="25"/>
      <c r="C13320" s="24"/>
      <c r="D13320" s="26"/>
      <c r="E13320" s="24"/>
      <c r="F13320" s="24"/>
      <c r="G13320" s="24"/>
      <c r="H13320" s="24"/>
      <c r="I13320" s="24"/>
      <c r="J13320" s="24"/>
      <c r="K13320" s="24"/>
      <c r="L13320" s="24"/>
      <c r="M13320" s="24"/>
      <c r="N13320" s="24"/>
      <c r="O13320" s="24"/>
      <c r="P13320" s="24"/>
      <c r="Q13320" s="24"/>
      <c r="R13320" s="24"/>
      <c r="S13320" s="24"/>
      <c r="T13320" s="24"/>
      <c r="U13320" s="24"/>
      <c r="V13320" s="24"/>
      <c r="W13320" s="24"/>
      <c r="X13320" s="24"/>
      <c r="Y13320" s="24"/>
      <c r="Z13320" s="24"/>
      <c r="AA13320" s="24"/>
    </row>
    <row r="13321">
      <c r="A13321" s="24"/>
      <c r="B13321" s="25"/>
      <c r="C13321" s="24"/>
      <c r="D13321" s="26"/>
      <c r="E13321" s="24"/>
      <c r="F13321" s="24"/>
      <c r="G13321" s="24"/>
      <c r="H13321" s="24"/>
      <c r="I13321" s="24"/>
      <c r="J13321" s="24"/>
      <c r="K13321" s="24"/>
      <c r="L13321" s="24"/>
      <c r="M13321" s="24"/>
      <c r="N13321" s="24"/>
      <c r="O13321" s="24"/>
      <c r="P13321" s="24"/>
      <c r="Q13321" s="24"/>
      <c r="R13321" s="24"/>
      <c r="S13321" s="24"/>
      <c r="T13321" s="24"/>
      <c r="U13321" s="24"/>
      <c r="V13321" s="24"/>
      <c r="W13321" s="24"/>
      <c r="X13321" s="24"/>
      <c r="Y13321" s="24"/>
      <c r="Z13321" s="24"/>
      <c r="AA13321" s="24"/>
    </row>
    <row r="13322">
      <c r="A13322" s="24"/>
      <c r="B13322" s="25"/>
      <c r="C13322" s="24"/>
      <c r="D13322" s="26"/>
      <c r="E13322" s="24"/>
      <c r="F13322" s="24"/>
      <c r="G13322" s="24"/>
      <c r="H13322" s="24"/>
      <c r="I13322" s="24"/>
      <c r="J13322" s="24"/>
      <c r="K13322" s="24"/>
      <c r="L13322" s="24"/>
      <c r="M13322" s="24"/>
      <c r="N13322" s="24"/>
      <c r="O13322" s="24"/>
      <c r="P13322" s="24"/>
      <c r="Q13322" s="24"/>
      <c r="R13322" s="24"/>
      <c r="S13322" s="24"/>
      <c r="T13322" s="24"/>
      <c r="U13322" s="24"/>
      <c r="V13322" s="24"/>
      <c r="W13322" s="24"/>
      <c r="X13322" s="24"/>
      <c r="Y13322" s="24"/>
      <c r="Z13322" s="24"/>
      <c r="AA13322" s="24"/>
    </row>
    <row r="13323">
      <c r="A13323" s="24"/>
      <c r="B13323" s="25"/>
      <c r="C13323" s="24"/>
      <c r="D13323" s="26"/>
      <c r="E13323" s="24"/>
      <c r="F13323" s="24"/>
      <c r="G13323" s="24"/>
      <c r="H13323" s="24"/>
      <c r="I13323" s="24"/>
      <c r="J13323" s="24"/>
      <c r="K13323" s="24"/>
      <c r="L13323" s="24"/>
      <c r="M13323" s="24"/>
      <c r="N13323" s="24"/>
      <c r="O13323" s="24"/>
      <c r="P13323" s="24"/>
      <c r="Q13323" s="24"/>
      <c r="R13323" s="24"/>
      <c r="S13323" s="24"/>
      <c r="T13323" s="24"/>
      <c r="U13323" s="24"/>
      <c r="V13323" s="24"/>
      <c r="W13323" s="24"/>
      <c r="X13323" s="24"/>
      <c r="Y13323" s="24"/>
      <c r="Z13323" s="24"/>
      <c r="AA13323" s="24"/>
    </row>
    <row r="13324">
      <c r="A13324" s="24"/>
      <c r="B13324" s="25"/>
      <c r="C13324" s="24"/>
      <c r="D13324" s="26"/>
      <c r="E13324" s="24"/>
      <c r="F13324" s="24"/>
      <c r="G13324" s="24"/>
      <c r="H13324" s="24"/>
      <c r="I13324" s="24"/>
      <c r="J13324" s="24"/>
      <c r="K13324" s="24"/>
      <c r="L13324" s="24"/>
      <c r="M13324" s="24"/>
      <c r="N13324" s="24"/>
      <c r="O13324" s="24"/>
      <c r="P13324" s="24"/>
      <c r="Q13324" s="24"/>
      <c r="R13324" s="24"/>
      <c r="S13324" s="24"/>
      <c r="T13324" s="24"/>
      <c r="U13324" s="24"/>
      <c r="V13324" s="24"/>
      <c r="W13324" s="24"/>
      <c r="X13324" s="24"/>
      <c r="Y13324" s="24"/>
      <c r="Z13324" s="24"/>
      <c r="AA13324" s="24"/>
    </row>
    <row r="13325">
      <c r="A13325" s="24"/>
      <c r="B13325" s="25"/>
      <c r="C13325" s="24"/>
      <c r="D13325" s="26"/>
      <c r="E13325" s="24"/>
      <c r="F13325" s="24"/>
      <c r="G13325" s="24"/>
      <c r="H13325" s="24"/>
      <c r="I13325" s="24"/>
      <c r="J13325" s="24"/>
      <c r="K13325" s="24"/>
      <c r="L13325" s="24"/>
      <c r="M13325" s="24"/>
      <c r="N13325" s="24"/>
      <c r="O13325" s="24"/>
      <c r="P13325" s="24"/>
      <c r="Q13325" s="24"/>
      <c r="R13325" s="24"/>
      <c r="S13325" s="24"/>
      <c r="T13325" s="24"/>
      <c r="U13325" s="24"/>
      <c r="V13325" s="24"/>
      <c r="W13325" s="24"/>
      <c r="X13325" s="24"/>
      <c r="Y13325" s="24"/>
      <c r="Z13325" s="24"/>
      <c r="AA13325" s="24"/>
    </row>
    <row r="13326">
      <c r="A13326" s="24"/>
      <c r="B13326" s="25"/>
      <c r="C13326" s="24"/>
      <c r="D13326" s="26"/>
      <c r="E13326" s="24"/>
      <c r="F13326" s="24"/>
      <c r="G13326" s="24"/>
      <c r="H13326" s="24"/>
      <c r="I13326" s="24"/>
      <c r="J13326" s="24"/>
      <c r="K13326" s="24"/>
      <c r="L13326" s="24"/>
      <c r="M13326" s="24"/>
      <c r="N13326" s="24"/>
      <c r="O13326" s="24"/>
      <c r="P13326" s="24"/>
      <c r="Q13326" s="24"/>
      <c r="R13326" s="24"/>
      <c r="S13326" s="24"/>
      <c r="T13326" s="24"/>
      <c r="U13326" s="24"/>
      <c r="V13326" s="24"/>
      <c r="W13326" s="24"/>
      <c r="X13326" s="24"/>
      <c r="Y13326" s="24"/>
      <c r="Z13326" s="24"/>
      <c r="AA13326" s="24"/>
    </row>
    <row r="13327">
      <c r="A13327" s="24"/>
      <c r="B13327" s="25"/>
      <c r="C13327" s="24"/>
      <c r="D13327" s="26"/>
      <c r="E13327" s="24"/>
      <c r="F13327" s="24"/>
      <c r="G13327" s="24"/>
      <c r="H13327" s="24"/>
      <c r="I13327" s="24"/>
      <c r="J13327" s="24"/>
      <c r="K13327" s="24"/>
      <c r="L13327" s="24"/>
      <c r="M13327" s="24"/>
      <c r="N13327" s="24"/>
      <c r="O13327" s="24"/>
      <c r="P13327" s="24"/>
      <c r="Q13327" s="24"/>
      <c r="R13327" s="24"/>
      <c r="S13327" s="24"/>
      <c r="T13327" s="24"/>
      <c r="U13327" s="24"/>
      <c r="V13327" s="24"/>
      <c r="W13327" s="24"/>
      <c r="X13327" s="24"/>
      <c r="Y13327" s="24"/>
      <c r="Z13327" s="24"/>
      <c r="AA13327" s="24"/>
    </row>
    <row r="13328">
      <c r="A13328" s="24"/>
      <c r="B13328" s="25"/>
      <c r="C13328" s="24"/>
      <c r="D13328" s="26"/>
      <c r="E13328" s="24"/>
      <c r="F13328" s="24"/>
      <c r="G13328" s="24"/>
      <c r="H13328" s="24"/>
      <c r="I13328" s="24"/>
      <c r="J13328" s="24"/>
      <c r="K13328" s="24"/>
      <c r="L13328" s="24"/>
      <c r="M13328" s="24"/>
      <c r="N13328" s="24"/>
      <c r="O13328" s="24"/>
      <c r="P13328" s="24"/>
      <c r="Q13328" s="24"/>
      <c r="R13328" s="24"/>
      <c r="S13328" s="24"/>
      <c r="T13328" s="24"/>
      <c r="U13328" s="24"/>
      <c r="V13328" s="24"/>
      <c r="W13328" s="24"/>
      <c r="X13328" s="24"/>
      <c r="Y13328" s="24"/>
      <c r="Z13328" s="24"/>
      <c r="AA13328" s="24"/>
    </row>
    <row r="13329">
      <c r="A13329" s="24"/>
      <c r="B13329" s="25"/>
      <c r="C13329" s="24"/>
      <c r="D13329" s="26"/>
      <c r="E13329" s="24"/>
      <c r="F13329" s="24"/>
      <c r="G13329" s="24"/>
      <c r="H13329" s="24"/>
      <c r="I13329" s="24"/>
      <c r="J13329" s="24"/>
      <c r="K13329" s="24"/>
      <c r="L13329" s="24"/>
      <c r="M13329" s="24"/>
      <c r="N13329" s="24"/>
      <c r="O13329" s="24"/>
      <c r="P13329" s="24"/>
      <c r="Q13329" s="24"/>
      <c r="R13329" s="24"/>
      <c r="S13329" s="24"/>
      <c r="T13329" s="24"/>
      <c r="U13329" s="24"/>
      <c r="V13329" s="24"/>
      <c r="W13329" s="24"/>
      <c r="X13329" s="24"/>
      <c r="Y13329" s="24"/>
      <c r="Z13329" s="24"/>
      <c r="AA13329" s="24"/>
    </row>
    <row r="13330">
      <c r="A13330" s="24"/>
      <c r="B13330" s="25"/>
      <c r="C13330" s="24"/>
      <c r="D13330" s="26"/>
      <c r="E13330" s="24"/>
      <c r="F13330" s="24"/>
      <c r="G13330" s="24"/>
      <c r="H13330" s="24"/>
      <c r="I13330" s="24"/>
      <c r="J13330" s="24"/>
      <c r="K13330" s="24"/>
      <c r="L13330" s="24"/>
      <c r="M13330" s="24"/>
      <c r="N13330" s="24"/>
      <c r="O13330" s="24"/>
      <c r="P13330" s="24"/>
      <c r="Q13330" s="24"/>
      <c r="R13330" s="24"/>
      <c r="S13330" s="24"/>
      <c r="T13330" s="24"/>
      <c r="U13330" s="24"/>
      <c r="V13330" s="24"/>
      <c r="W13330" s="24"/>
      <c r="X13330" s="24"/>
      <c r="Y13330" s="24"/>
      <c r="Z13330" s="24"/>
      <c r="AA13330" s="24"/>
    </row>
    <row r="13331">
      <c r="A13331" s="24"/>
      <c r="B13331" s="25"/>
      <c r="C13331" s="24"/>
      <c r="D13331" s="26"/>
      <c r="E13331" s="24"/>
      <c r="F13331" s="24"/>
      <c r="G13331" s="24"/>
      <c r="H13331" s="24"/>
      <c r="I13331" s="24"/>
      <c r="J13331" s="24"/>
      <c r="K13331" s="24"/>
      <c r="L13331" s="24"/>
      <c r="M13331" s="24"/>
      <c r="N13331" s="24"/>
      <c r="O13331" s="24"/>
      <c r="P13331" s="24"/>
      <c r="Q13331" s="24"/>
      <c r="R13331" s="24"/>
      <c r="S13331" s="24"/>
      <c r="T13331" s="24"/>
      <c r="U13331" s="24"/>
      <c r="V13331" s="24"/>
      <c r="W13331" s="24"/>
      <c r="X13331" s="24"/>
      <c r="Y13331" s="24"/>
      <c r="Z13331" s="24"/>
      <c r="AA13331" s="24"/>
    </row>
    <row r="13332">
      <c r="A13332" s="24"/>
      <c r="B13332" s="25"/>
      <c r="C13332" s="24"/>
      <c r="D13332" s="26"/>
      <c r="E13332" s="24"/>
      <c r="F13332" s="24"/>
      <c r="G13332" s="24"/>
      <c r="H13332" s="24"/>
      <c r="I13332" s="24"/>
      <c r="J13332" s="24"/>
      <c r="K13332" s="24"/>
      <c r="L13332" s="24"/>
      <c r="M13332" s="24"/>
      <c r="N13332" s="24"/>
      <c r="O13332" s="24"/>
      <c r="P13332" s="24"/>
      <c r="Q13332" s="24"/>
      <c r="R13332" s="24"/>
      <c r="S13332" s="24"/>
      <c r="T13332" s="24"/>
      <c r="U13332" s="24"/>
      <c r="V13332" s="24"/>
      <c r="W13332" s="24"/>
      <c r="X13332" s="24"/>
      <c r="Y13332" s="24"/>
      <c r="Z13332" s="24"/>
      <c r="AA13332" s="24"/>
    </row>
    <row r="13333">
      <c r="A13333" s="24"/>
      <c r="B13333" s="25"/>
      <c r="C13333" s="24"/>
      <c r="D13333" s="26"/>
      <c r="E13333" s="24"/>
      <c r="F13333" s="24"/>
      <c r="G13333" s="24"/>
      <c r="H13333" s="24"/>
      <c r="I13333" s="24"/>
      <c r="J13333" s="24"/>
      <c r="K13333" s="24"/>
      <c r="L13333" s="24"/>
      <c r="M13333" s="24"/>
      <c r="N13333" s="24"/>
      <c r="O13333" s="24"/>
      <c r="P13333" s="24"/>
      <c r="Q13333" s="24"/>
      <c r="R13333" s="24"/>
      <c r="S13333" s="24"/>
      <c r="T13333" s="24"/>
      <c r="U13333" s="24"/>
      <c r="V13333" s="24"/>
      <c r="W13333" s="24"/>
      <c r="X13333" s="24"/>
      <c r="Y13333" s="24"/>
      <c r="Z13333" s="24"/>
      <c r="AA13333" s="24"/>
    </row>
    <row r="13334">
      <c r="A13334" s="24"/>
      <c r="B13334" s="25"/>
      <c r="C13334" s="24"/>
      <c r="D13334" s="26"/>
      <c r="E13334" s="24"/>
      <c r="F13334" s="24"/>
      <c r="G13334" s="24"/>
      <c r="H13334" s="24"/>
      <c r="I13334" s="24"/>
      <c r="J13334" s="24"/>
      <c r="K13334" s="24"/>
      <c r="L13334" s="24"/>
      <c r="M13334" s="24"/>
      <c r="N13334" s="24"/>
      <c r="O13334" s="24"/>
      <c r="P13334" s="24"/>
      <c r="Q13334" s="24"/>
      <c r="R13334" s="24"/>
      <c r="S13334" s="24"/>
      <c r="T13334" s="24"/>
      <c r="U13334" s="24"/>
      <c r="V13334" s="24"/>
      <c r="W13334" s="24"/>
      <c r="X13334" s="24"/>
      <c r="Y13334" s="24"/>
      <c r="Z13334" s="24"/>
      <c r="AA13334" s="24"/>
    </row>
    <row r="13335">
      <c r="A13335" s="24"/>
      <c r="B13335" s="25"/>
      <c r="C13335" s="24"/>
      <c r="D13335" s="26"/>
      <c r="E13335" s="24"/>
      <c r="F13335" s="24"/>
      <c r="G13335" s="24"/>
      <c r="H13335" s="24"/>
      <c r="I13335" s="24"/>
      <c r="J13335" s="24"/>
      <c r="K13335" s="24"/>
      <c r="L13335" s="24"/>
      <c r="M13335" s="24"/>
      <c r="N13335" s="24"/>
      <c r="O13335" s="24"/>
      <c r="P13335" s="24"/>
      <c r="Q13335" s="24"/>
      <c r="R13335" s="24"/>
      <c r="S13335" s="24"/>
      <c r="T13335" s="24"/>
      <c r="U13335" s="24"/>
      <c r="V13335" s="24"/>
      <c r="W13335" s="24"/>
      <c r="X13335" s="24"/>
      <c r="Y13335" s="24"/>
      <c r="Z13335" s="24"/>
      <c r="AA13335" s="24"/>
    </row>
    <row r="13336">
      <c r="A13336" s="24"/>
      <c r="B13336" s="25"/>
      <c r="C13336" s="24"/>
      <c r="D13336" s="26"/>
      <c r="E13336" s="24"/>
      <c r="F13336" s="24"/>
      <c r="G13336" s="24"/>
      <c r="H13336" s="24"/>
      <c r="I13336" s="24"/>
      <c r="J13336" s="24"/>
      <c r="K13336" s="24"/>
      <c r="L13336" s="24"/>
      <c r="M13336" s="24"/>
      <c r="N13336" s="24"/>
      <c r="O13336" s="24"/>
      <c r="P13336" s="24"/>
      <c r="Q13336" s="24"/>
      <c r="R13336" s="24"/>
      <c r="S13336" s="24"/>
      <c r="T13336" s="24"/>
      <c r="U13336" s="24"/>
      <c r="V13336" s="24"/>
      <c r="W13336" s="24"/>
      <c r="X13336" s="24"/>
      <c r="Y13336" s="24"/>
      <c r="Z13336" s="24"/>
      <c r="AA13336" s="24"/>
    </row>
    <row r="13337">
      <c r="A13337" s="24"/>
      <c r="B13337" s="25"/>
      <c r="C13337" s="24"/>
      <c r="D13337" s="26"/>
      <c r="E13337" s="24"/>
      <c r="F13337" s="24"/>
      <c r="G13337" s="24"/>
      <c r="H13337" s="24"/>
      <c r="I13337" s="24"/>
      <c r="J13337" s="24"/>
      <c r="K13337" s="24"/>
      <c r="L13337" s="24"/>
      <c r="M13337" s="24"/>
      <c r="N13337" s="24"/>
      <c r="O13337" s="24"/>
      <c r="P13337" s="24"/>
      <c r="Q13337" s="24"/>
      <c r="R13337" s="24"/>
      <c r="S13337" s="24"/>
      <c r="T13337" s="24"/>
      <c r="U13337" s="24"/>
      <c r="V13337" s="24"/>
      <c r="W13337" s="24"/>
      <c r="X13337" s="24"/>
      <c r="Y13337" s="24"/>
      <c r="Z13337" s="24"/>
      <c r="AA13337" s="24"/>
    </row>
    <row r="13338">
      <c r="A13338" s="24"/>
      <c r="B13338" s="25"/>
      <c r="C13338" s="24"/>
      <c r="D13338" s="26"/>
      <c r="E13338" s="24"/>
      <c r="F13338" s="24"/>
      <c r="G13338" s="24"/>
      <c r="H13338" s="24"/>
      <c r="I13338" s="24"/>
      <c r="J13338" s="24"/>
      <c r="K13338" s="24"/>
      <c r="L13338" s="24"/>
      <c r="M13338" s="24"/>
      <c r="N13338" s="24"/>
      <c r="O13338" s="24"/>
      <c r="P13338" s="24"/>
      <c r="Q13338" s="24"/>
      <c r="R13338" s="24"/>
      <c r="S13338" s="24"/>
      <c r="T13338" s="24"/>
      <c r="U13338" s="24"/>
      <c r="V13338" s="24"/>
      <c r="W13338" s="24"/>
      <c r="X13338" s="24"/>
      <c r="Y13338" s="24"/>
      <c r="Z13338" s="24"/>
      <c r="AA13338" s="24"/>
    </row>
    <row r="13339">
      <c r="A13339" s="24"/>
      <c r="B13339" s="25"/>
      <c r="C13339" s="24"/>
      <c r="D13339" s="26"/>
      <c r="E13339" s="24"/>
      <c r="F13339" s="24"/>
      <c r="G13339" s="24"/>
      <c r="H13339" s="24"/>
      <c r="I13339" s="24"/>
      <c r="J13339" s="24"/>
      <c r="K13339" s="24"/>
      <c r="L13339" s="24"/>
      <c r="M13339" s="24"/>
      <c r="N13339" s="24"/>
      <c r="O13339" s="24"/>
      <c r="P13339" s="24"/>
      <c r="Q13339" s="24"/>
      <c r="R13339" s="24"/>
      <c r="S13339" s="24"/>
      <c r="T13339" s="24"/>
      <c r="U13339" s="24"/>
      <c r="V13339" s="24"/>
      <c r="W13339" s="24"/>
      <c r="X13339" s="24"/>
      <c r="Y13339" s="24"/>
      <c r="Z13339" s="24"/>
      <c r="AA13339" s="24"/>
    </row>
    <row r="13340">
      <c r="A13340" s="24"/>
      <c r="B13340" s="25"/>
      <c r="C13340" s="24"/>
      <c r="D13340" s="26"/>
      <c r="E13340" s="24"/>
      <c r="F13340" s="24"/>
      <c r="G13340" s="24"/>
      <c r="H13340" s="24"/>
      <c r="I13340" s="24"/>
      <c r="J13340" s="24"/>
      <c r="K13340" s="24"/>
      <c r="L13340" s="24"/>
      <c r="M13340" s="24"/>
      <c r="N13340" s="24"/>
      <c r="O13340" s="24"/>
      <c r="P13340" s="24"/>
      <c r="Q13340" s="24"/>
      <c r="R13340" s="24"/>
      <c r="S13340" s="24"/>
      <c r="T13340" s="24"/>
      <c r="U13340" s="24"/>
      <c r="V13340" s="24"/>
      <c r="W13340" s="24"/>
      <c r="X13340" s="24"/>
      <c r="Y13340" s="24"/>
      <c r="Z13340" s="24"/>
      <c r="AA13340" s="24"/>
    </row>
    <row r="13341">
      <c r="A13341" s="24"/>
      <c r="B13341" s="25"/>
      <c r="C13341" s="24"/>
      <c r="D13341" s="26"/>
      <c r="E13341" s="24"/>
      <c r="F13341" s="24"/>
      <c r="G13341" s="24"/>
      <c r="H13341" s="24"/>
      <c r="I13341" s="24"/>
      <c r="J13341" s="24"/>
      <c r="K13341" s="24"/>
      <c r="L13341" s="24"/>
      <c r="M13341" s="24"/>
      <c r="N13341" s="24"/>
      <c r="O13341" s="24"/>
      <c r="P13341" s="24"/>
      <c r="Q13341" s="24"/>
      <c r="R13341" s="24"/>
      <c r="S13341" s="24"/>
      <c r="T13341" s="24"/>
      <c r="U13341" s="24"/>
      <c r="V13341" s="24"/>
      <c r="W13341" s="24"/>
      <c r="X13341" s="24"/>
      <c r="Y13341" s="24"/>
      <c r="Z13341" s="24"/>
      <c r="AA13341" s="24"/>
    </row>
    <row r="13342">
      <c r="A13342" s="24"/>
      <c r="B13342" s="25"/>
      <c r="C13342" s="24"/>
      <c r="D13342" s="26"/>
      <c r="E13342" s="24"/>
      <c r="F13342" s="24"/>
      <c r="G13342" s="24"/>
      <c r="H13342" s="24"/>
      <c r="I13342" s="24"/>
      <c r="J13342" s="24"/>
      <c r="K13342" s="24"/>
      <c r="L13342" s="24"/>
      <c r="M13342" s="24"/>
      <c r="N13342" s="24"/>
      <c r="O13342" s="24"/>
      <c r="P13342" s="24"/>
      <c r="Q13342" s="24"/>
      <c r="R13342" s="24"/>
      <c r="S13342" s="24"/>
      <c r="T13342" s="24"/>
      <c r="U13342" s="24"/>
      <c r="V13342" s="24"/>
      <c r="W13342" s="24"/>
      <c r="X13342" s="24"/>
      <c r="Y13342" s="24"/>
      <c r="Z13342" s="24"/>
      <c r="AA13342" s="24"/>
    </row>
    <row r="13343">
      <c r="A13343" s="24"/>
      <c r="B13343" s="25"/>
      <c r="C13343" s="24"/>
      <c r="D13343" s="26"/>
      <c r="E13343" s="24"/>
      <c r="F13343" s="24"/>
      <c r="G13343" s="24"/>
      <c r="H13343" s="24"/>
      <c r="I13343" s="24"/>
      <c r="J13343" s="24"/>
      <c r="K13343" s="24"/>
      <c r="L13343" s="24"/>
      <c r="M13343" s="24"/>
      <c r="N13343" s="24"/>
      <c r="O13343" s="24"/>
      <c r="P13343" s="24"/>
      <c r="Q13343" s="24"/>
      <c r="R13343" s="24"/>
      <c r="S13343" s="24"/>
      <c r="T13343" s="24"/>
      <c r="U13343" s="24"/>
      <c r="V13343" s="24"/>
      <c r="W13343" s="24"/>
      <c r="X13343" s="24"/>
      <c r="Y13343" s="24"/>
      <c r="Z13343" s="24"/>
      <c r="AA13343" s="24"/>
    </row>
    <row r="13344">
      <c r="A13344" s="24"/>
      <c r="B13344" s="25"/>
      <c r="C13344" s="24"/>
      <c r="D13344" s="26"/>
      <c r="E13344" s="24"/>
      <c r="F13344" s="24"/>
      <c r="G13344" s="24"/>
      <c r="H13344" s="24"/>
      <c r="I13344" s="24"/>
      <c r="J13344" s="24"/>
      <c r="K13344" s="24"/>
      <c r="L13344" s="24"/>
      <c r="M13344" s="24"/>
      <c r="N13344" s="24"/>
      <c r="O13344" s="24"/>
      <c r="P13344" s="24"/>
      <c r="Q13344" s="24"/>
      <c r="R13344" s="24"/>
      <c r="S13344" s="24"/>
      <c r="T13344" s="24"/>
      <c r="U13344" s="24"/>
      <c r="V13344" s="24"/>
      <c r="W13344" s="24"/>
      <c r="X13344" s="24"/>
      <c r="Y13344" s="24"/>
      <c r="Z13344" s="24"/>
      <c r="AA13344" s="24"/>
    </row>
    <row r="13345">
      <c r="A13345" s="24"/>
      <c r="B13345" s="25"/>
      <c r="C13345" s="24"/>
      <c r="D13345" s="26"/>
      <c r="E13345" s="24"/>
      <c r="F13345" s="24"/>
      <c r="G13345" s="24"/>
      <c r="H13345" s="24"/>
      <c r="I13345" s="24"/>
      <c r="J13345" s="24"/>
      <c r="K13345" s="24"/>
      <c r="L13345" s="24"/>
      <c r="M13345" s="24"/>
      <c r="N13345" s="24"/>
      <c r="O13345" s="24"/>
      <c r="P13345" s="24"/>
      <c r="Q13345" s="24"/>
      <c r="R13345" s="24"/>
      <c r="S13345" s="24"/>
      <c r="T13345" s="24"/>
      <c r="U13345" s="24"/>
      <c r="V13345" s="24"/>
      <c r="W13345" s="24"/>
      <c r="X13345" s="24"/>
      <c r="Y13345" s="24"/>
      <c r="Z13345" s="24"/>
      <c r="AA13345" s="24"/>
    </row>
    <row r="13346">
      <c r="A13346" s="24"/>
      <c r="B13346" s="25"/>
      <c r="C13346" s="24"/>
      <c r="D13346" s="26"/>
      <c r="E13346" s="24"/>
      <c r="F13346" s="24"/>
      <c r="G13346" s="24"/>
      <c r="H13346" s="24"/>
      <c r="I13346" s="24"/>
      <c r="J13346" s="24"/>
      <c r="K13346" s="24"/>
      <c r="L13346" s="24"/>
      <c r="M13346" s="24"/>
      <c r="N13346" s="24"/>
      <c r="O13346" s="24"/>
      <c r="P13346" s="24"/>
      <c r="Q13346" s="24"/>
      <c r="R13346" s="24"/>
      <c r="S13346" s="24"/>
      <c r="T13346" s="24"/>
      <c r="U13346" s="24"/>
      <c r="V13346" s="24"/>
      <c r="W13346" s="24"/>
      <c r="X13346" s="24"/>
      <c r="Y13346" s="24"/>
      <c r="Z13346" s="24"/>
      <c r="AA13346" s="24"/>
    </row>
    <row r="13347">
      <c r="A13347" s="24"/>
      <c r="B13347" s="25"/>
      <c r="C13347" s="24"/>
      <c r="D13347" s="26"/>
      <c r="E13347" s="24"/>
      <c r="F13347" s="24"/>
      <c r="G13347" s="24"/>
      <c r="H13347" s="24"/>
      <c r="I13347" s="24"/>
      <c r="J13347" s="24"/>
      <c r="K13347" s="24"/>
      <c r="L13347" s="24"/>
      <c r="M13347" s="24"/>
      <c r="N13347" s="24"/>
      <c r="O13347" s="24"/>
      <c r="P13347" s="24"/>
      <c r="Q13347" s="24"/>
      <c r="R13347" s="24"/>
      <c r="S13347" s="24"/>
      <c r="T13347" s="24"/>
      <c r="U13347" s="24"/>
      <c r="V13347" s="24"/>
      <c r="W13347" s="24"/>
      <c r="X13347" s="24"/>
      <c r="Y13347" s="24"/>
      <c r="Z13347" s="24"/>
      <c r="AA13347" s="24"/>
    </row>
    <row r="13348">
      <c r="A13348" s="24"/>
      <c r="B13348" s="25"/>
      <c r="C13348" s="24"/>
      <c r="D13348" s="26"/>
      <c r="E13348" s="24"/>
      <c r="F13348" s="24"/>
      <c r="G13348" s="24"/>
      <c r="H13348" s="24"/>
      <c r="I13348" s="24"/>
      <c r="J13348" s="24"/>
      <c r="K13348" s="24"/>
      <c r="L13348" s="24"/>
      <c r="M13348" s="24"/>
      <c r="N13348" s="24"/>
      <c r="O13348" s="24"/>
      <c r="P13348" s="24"/>
      <c r="Q13348" s="24"/>
      <c r="R13348" s="24"/>
      <c r="S13348" s="24"/>
      <c r="T13348" s="24"/>
      <c r="U13348" s="24"/>
      <c r="V13348" s="24"/>
      <c r="W13348" s="24"/>
      <c r="X13348" s="24"/>
      <c r="Y13348" s="24"/>
      <c r="Z13348" s="24"/>
      <c r="AA13348" s="24"/>
    </row>
    <row r="13349">
      <c r="A13349" s="24"/>
      <c r="B13349" s="25"/>
      <c r="C13349" s="24"/>
      <c r="D13349" s="26"/>
      <c r="E13349" s="24"/>
      <c r="F13349" s="24"/>
      <c r="G13349" s="24"/>
      <c r="H13349" s="24"/>
      <c r="I13349" s="24"/>
      <c r="J13349" s="24"/>
      <c r="K13349" s="24"/>
      <c r="L13349" s="24"/>
      <c r="M13349" s="24"/>
      <c r="N13349" s="24"/>
      <c r="O13349" s="24"/>
      <c r="P13349" s="24"/>
      <c r="Q13349" s="24"/>
      <c r="R13349" s="24"/>
      <c r="S13349" s="24"/>
      <c r="T13349" s="24"/>
      <c r="U13349" s="24"/>
      <c r="V13349" s="24"/>
      <c r="W13349" s="24"/>
      <c r="X13349" s="24"/>
      <c r="Y13349" s="24"/>
      <c r="Z13349" s="24"/>
      <c r="AA13349" s="24"/>
    </row>
    <row r="13350">
      <c r="A13350" s="24"/>
      <c r="B13350" s="25"/>
      <c r="C13350" s="24"/>
      <c r="D13350" s="26"/>
      <c r="E13350" s="24"/>
      <c r="F13350" s="24"/>
      <c r="G13350" s="24"/>
      <c r="H13350" s="24"/>
      <c r="I13350" s="24"/>
      <c r="J13350" s="24"/>
      <c r="K13350" s="24"/>
      <c r="L13350" s="24"/>
      <c r="M13350" s="24"/>
      <c r="N13350" s="24"/>
      <c r="O13350" s="24"/>
      <c r="P13350" s="24"/>
      <c r="Q13350" s="24"/>
      <c r="R13350" s="24"/>
      <c r="S13350" s="24"/>
      <c r="T13350" s="24"/>
      <c r="U13350" s="24"/>
      <c r="V13350" s="24"/>
      <c r="W13350" s="24"/>
      <c r="X13350" s="24"/>
      <c r="Y13350" s="24"/>
      <c r="Z13350" s="24"/>
      <c r="AA13350" s="24"/>
    </row>
    <row r="13351">
      <c r="A13351" s="24"/>
      <c r="B13351" s="25"/>
      <c r="C13351" s="24"/>
      <c r="D13351" s="26"/>
      <c r="E13351" s="24"/>
      <c r="F13351" s="24"/>
      <c r="G13351" s="24"/>
      <c r="H13351" s="24"/>
      <c r="I13351" s="24"/>
      <c r="J13351" s="24"/>
      <c r="K13351" s="24"/>
      <c r="L13351" s="24"/>
      <c r="M13351" s="24"/>
      <c r="N13351" s="24"/>
      <c r="O13351" s="24"/>
      <c r="P13351" s="24"/>
      <c r="Q13351" s="24"/>
      <c r="R13351" s="24"/>
      <c r="S13351" s="24"/>
      <c r="T13351" s="24"/>
      <c r="U13351" s="24"/>
      <c r="V13351" s="24"/>
      <c r="W13351" s="24"/>
      <c r="X13351" s="24"/>
      <c r="Y13351" s="24"/>
      <c r="Z13351" s="24"/>
      <c r="AA13351" s="24"/>
    </row>
    <row r="13352">
      <c r="A13352" s="24"/>
      <c r="B13352" s="25"/>
      <c r="C13352" s="24"/>
      <c r="D13352" s="26"/>
      <c r="E13352" s="24"/>
      <c r="F13352" s="24"/>
      <c r="G13352" s="24"/>
      <c r="H13352" s="24"/>
      <c r="I13352" s="24"/>
      <c r="J13352" s="24"/>
      <c r="K13352" s="24"/>
      <c r="L13352" s="24"/>
      <c r="M13352" s="24"/>
      <c r="N13352" s="24"/>
      <c r="O13352" s="24"/>
      <c r="P13352" s="24"/>
      <c r="Q13352" s="24"/>
      <c r="R13352" s="24"/>
      <c r="S13352" s="24"/>
      <c r="T13352" s="24"/>
      <c r="U13352" s="24"/>
      <c r="V13352" s="24"/>
      <c r="W13352" s="24"/>
      <c r="X13352" s="24"/>
      <c r="Y13352" s="24"/>
      <c r="Z13352" s="24"/>
      <c r="AA13352" s="24"/>
    </row>
    <row r="13353">
      <c r="A13353" s="24"/>
      <c r="B13353" s="25"/>
      <c r="C13353" s="24"/>
      <c r="D13353" s="26"/>
      <c r="E13353" s="24"/>
      <c r="F13353" s="24"/>
      <c r="G13353" s="24"/>
      <c r="H13353" s="24"/>
      <c r="I13353" s="24"/>
      <c r="J13353" s="24"/>
      <c r="K13353" s="24"/>
      <c r="L13353" s="24"/>
      <c r="M13353" s="24"/>
      <c r="N13353" s="24"/>
      <c r="O13353" s="24"/>
      <c r="P13353" s="24"/>
      <c r="Q13353" s="24"/>
      <c r="R13353" s="24"/>
      <c r="S13353" s="24"/>
      <c r="T13353" s="24"/>
      <c r="U13353" s="24"/>
      <c r="V13353" s="24"/>
      <c r="W13353" s="24"/>
      <c r="X13353" s="24"/>
      <c r="Y13353" s="24"/>
      <c r="Z13353" s="24"/>
      <c r="AA13353" s="24"/>
    </row>
    <row r="13354">
      <c r="A13354" s="24"/>
      <c r="B13354" s="25"/>
      <c r="C13354" s="24"/>
      <c r="D13354" s="26"/>
      <c r="E13354" s="24"/>
      <c r="F13354" s="24"/>
      <c r="G13354" s="24"/>
      <c r="H13354" s="24"/>
      <c r="I13354" s="24"/>
      <c r="J13354" s="24"/>
      <c r="K13354" s="24"/>
      <c r="L13354" s="24"/>
      <c r="M13354" s="24"/>
      <c r="N13354" s="24"/>
      <c r="O13354" s="24"/>
      <c r="P13354" s="24"/>
      <c r="Q13354" s="24"/>
      <c r="R13354" s="24"/>
      <c r="S13354" s="24"/>
      <c r="T13354" s="24"/>
      <c r="U13354" s="24"/>
      <c r="V13354" s="24"/>
      <c r="W13354" s="24"/>
      <c r="X13354" s="24"/>
      <c r="Y13354" s="24"/>
      <c r="Z13354" s="24"/>
      <c r="AA13354" s="24"/>
    </row>
    <row r="13355">
      <c r="A13355" s="24"/>
      <c r="B13355" s="25"/>
      <c r="C13355" s="24"/>
      <c r="D13355" s="26"/>
      <c r="E13355" s="24"/>
      <c r="F13355" s="24"/>
      <c r="G13355" s="24"/>
      <c r="H13355" s="24"/>
      <c r="I13355" s="24"/>
      <c r="J13355" s="24"/>
      <c r="K13355" s="24"/>
      <c r="L13355" s="24"/>
      <c r="M13355" s="24"/>
      <c r="N13355" s="24"/>
      <c r="O13355" s="24"/>
      <c r="P13355" s="24"/>
      <c r="Q13355" s="24"/>
      <c r="R13355" s="24"/>
      <c r="S13355" s="24"/>
      <c r="T13355" s="24"/>
      <c r="U13355" s="24"/>
      <c r="V13355" s="24"/>
      <c r="W13355" s="24"/>
      <c r="X13355" s="24"/>
      <c r="Y13355" s="24"/>
      <c r="Z13355" s="24"/>
      <c r="AA13355" s="24"/>
    </row>
    <row r="13356">
      <c r="A13356" s="24"/>
      <c r="B13356" s="25"/>
      <c r="C13356" s="24"/>
      <c r="D13356" s="26"/>
      <c r="E13356" s="24"/>
      <c r="F13356" s="24"/>
      <c r="G13356" s="24"/>
      <c r="H13356" s="24"/>
      <c r="I13356" s="24"/>
      <c r="J13356" s="24"/>
      <c r="K13356" s="24"/>
      <c r="L13356" s="24"/>
      <c r="M13356" s="24"/>
      <c r="N13356" s="24"/>
      <c r="O13356" s="24"/>
      <c r="P13356" s="24"/>
      <c r="Q13356" s="24"/>
      <c r="R13356" s="24"/>
      <c r="S13356" s="24"/>
      <c r="T13356" s="24"/>
      <c r="U13356" s="24"/>
      <c r="V13356" s="24"/>
      <c r="W13356" s="24"/>
      <c r="X13356" s="24"/>
      <c r="Y13356" s="24"/>
      <c r="Z13356" s="24"/>
      <c r="AA13356" s="24"/>
    </row>
    <row r="13357">
      <c r="A13357" s="24"/>
      <c r="B13357" s="25"/>
      <c r="C13357" s="24"/>
      <c r="D13357" s="26"/>
      <c r="E13357" s="24"/>
      <c r="F13357" s="24"/>
      <c r="G13357" s="24"/>
      <c r="H13357" s="24"/>
      <c r="I13357" s="24"/>
      <c r="J13357" s="24"/>
      <c r="K13357" s="24"/>
      <c r="L13357" s="24"/>
      <c r="M13357" s="24"/>
      <c r="N13357" s="24"/>
      <c r="O13357" s="24"/>
      <c r="P13357" s="24"/>
      <c r="Q13357" s="24"/>
      <c r="R13357" s="24"/>
      <c r="S13357" s="24"/>
      <c r="T13357" s="24"/>
      <c r="U13357" s="24"/>
      <c r="V13357" s="24"/>
      <c r="W13357" s="24"/>
      <c r="X13357" s="24"/>
      <c r="Y13357" s="24"/>
      <c r="Z13357" s="24"/>
      <c r="AA13357" s="24"/>
    </row>
    <row r="13358">
      <c r="A13358" s="24"/>
      <c r="B13358" s="25"/>
      <c r="C13358" s="24"/>
      <c r="D13358" s="26"/>
      <c r="E13358" s="24"/>
      <c r="F13358" s="24"/>
      <c r="G13358" s="24"/>
      <c r="H13358" s="24"/>
      <c r="I13358" s="24"/>
      <c r="J13358" s="24"/>
      <c r="K13358" s="24"/>
      <c r="L13358" s="24"/>
      <c r="M13358" s="24"/>
      <c r="N13358" s="24"/>
      <c r="O13358" s="24"/>
      <c r="P13358" s="24"/>
      <c r="Q13358" s="24"/>
      <c r="R13358" s="24"/>
      <c r="S13358" s="24"/>
      <c r="T13358" s="24"/>
      <c r="U13358" s="24"/>
      <c r="V13358" s="24"/>
      <c r="W13358" s="24"/>
      <c r="X13358" s="24"/>
      <c r="Y13358" s="24"/>
      <c r="Z13358" s="24"/>
      <c r="AA13358" s="24"/>
    </row>
    <row r="13359">
      <c r="A13359" s="24"/>
      <c r="B13359" s="25"/>
      <c r="C13359" s="24"/>
      <c r="D13359" s="26"/>
      <c r="E13359" s="24"/>
      <c r="F13359" s="24"/>
      <c r="G13359" s="24"/>
      <c r="H13359" s="24"/>
      <c r="I13359" s="24"/>
      <c r="J13359" s="24"/>
      <c r="K13359" s="24"/>
      <c r="L13359" s="24"/>
      <c r="M13359" s="24"/>
      <c r="N13359" s="24"/>
      <c r="O13359" s="24"/>
      <c r="P13359" s="24"/>
      <c r="Q13359" s="24"/>
      <c r="R13359" s="24"/>
      <c r="S13359" s="24"/>
      <c r="T13359" s="24"/>
      <c r="U13359" s="24"/>
      <c r="V13359" s="24"/>
      <c r="W13359" s="24"/>
      <c r="X13359" s="24"/>
      <c r="Y13359" s="24"/>
      <c r="Z13359" s="24"/>
      <c r="AA13359" s="24"/>
    </row>
    <row r="13360">
      <c r="A13360" s="24"/>
      <c r="B13360" s="25"/>
      <c r="C13360" s="24"/>
      <c r="D13360" s="26"/>
      <c r="E13360" s="24"/>
      <c r="F13360" s="24"/>
      <c r="G13360" s="24"/>
      <c r="H13360" s="24"/>
      <c r="I13360" s="24"/>
      <c r="J13360" s="24"/>
      <c r="K13360" s="24"/>
      <c r="L13360" s="24"/>
      <c r="M13360" s="24"/>
      <c r="N13360" s="24"/>
      <c r="O13360" s="24"/>
      <c r="P13360" s="24"/>
      <c r="Q13360" s="24"/>
      <c r="R13360" s="24"/>
      <c r="S13360" s="24"/>
      <c r="T13360" s="24"/>
      <c r="U13360" s="24"/>
      <c r="V13360" s="24"/>
      <c r="W13360" s="24"/>
      <c r="X13360" s="24"/>
      <c r="Y13360" s="24"/>
      <c r="Z13360" s="24"/>
      <c r="AA13360" s="24"/>
    </row>
    <row r="13361">
      <c r="A13361" s="24"/>
      <c r="B13361" s="25"/>
      <c r="C13361" s="24"/>
      <c r="D13361" s="26"/>
      <c r="E13361" s="24"/>
      <c r="F13361" s="24"/>
      <c r="G13361" s="24"/>
      <c r="H13361" s="24"/>
      <c r="I13361" s="24"/>
      <c r="J13361" s="24"/>
      <c r="K13361" s="24"/>
      <c r="L13361" s="24"/>
      <c r="M13361" s="24"/>
      <c r="N13361" s="24"/>
      <c r="O13361" s="24"/>
      <c r="P13361" s="24"/>
      <c r="Q13361" s="24"/>
      <c r="R13361" s="24"/>
      <c r="S13361" s="24"/>
      <c r="T13361" s="24"/>
      <c r="U13361" s="24"/>
      <c r="V13361" s="24"/>
      <c r="W13361" s="24"/>
      <c r="X13361" s="24"/>
      <c r="Y13361" s="24"/>
      <c r="Z13361" s="24"/>
      <c r="AA13361" s="24"/>
    </row>
    <row r="13362">
      <c r="A13362" s="24"/>
      <c r="B13362" s="25"/>
      <c r="C13362" s="24"/>
      <c r="D13362" s="26"/>
      <c r="E13362" s="24"/>
      <c r="F13362" s="24"/>
      <c r="G13362" s="24"/>
      <c r="H13362" s="24"/>
      <c r="I13362" s="24"/>
      <c r="J13362" s="24"/>
      <c r="K13362" s="24"/>
      <c r="L13362" s="24"/>
      <c r="M13362" s="24"/>
      <c r="N13362" s="24"/>
      <c r="O13362" s="24"/>
      <c r="P13362" s="24"/>
      <c r="Q13362" s="24"/>
      <c r="R13362" s="24"/>
      <c r="S13362" s="24"/>
      <c r="T13362" s="24"/>
      <c r="U13362" s="24"/>
      <c r="V13362" s="24"/>
      <c r="W13362" s="24"/>
      <c r="X13362" s="24"/>
      <c r="Y13362" s="24"/>
      <c r="Z13362" s="24"/>
      <c r="AA13362" s="24"/>
    </row>
    <row r="13363">
      <c r="A13363" s="24"/>
      <c r="B13363" s="25"/>
      <c r="C13363" s="24"/>
      <c r="D13363" s="26"/>
      <c r="E13363" s="24"/>
      <c r="F13363" s="24"/>
      <c r="G13363" s="24"/>
      <c r="H13363" s="24"/>
      <c r="I13363" s="24"/>
      <c r="J13363" s="24"/>
      <c r="K13363" s="24"/>
      <c r="L13363" s="24"/>
      <c r="M13363" s="24"/>
      <c r="N13363" s="24"/>
      <c r="O13363" s="24"/>
      <c r="P13363" s="24"/>
      <c r="Q13363" s="24"/>
      <c r="R13363" s="24"/>
      <c r="S13363" s="24"/>
      <c r="T13363" s="24"/>
      <c r="U13363" s="24"/>
      <c r="V13363" s="24"/>
      <c r="W13363" s="24"/>
      <c r="X13363" s="24"/>
      <c r="Y13363" s="24"/>
      <c r="Z13363" s="24"/>
      <c r="AA13363" s="24"/>
    </row>
    <row r="13364">
      <c r="A13364" s="24"/>
      <c r="B13364" s="25"/>
      <c r="C13364" s="24"/>
      <c r="D13364" s="26"/>
      <c r="E13364" s="24"/>
      <c r="F13364" s="24"/>
      <c r="G13364" s="24"/>
      <c r="H13364" s="24"/>
      <c r="I13364" s="24"/>
      <c r="J13364" s="24"/>
      <c r="K13364" s="24"/>
      <c r="L13364" s="24"/>
      <c r="M13364" s="24"/>
      <c r="N13364" s="24"/>
      <c r="O13364" s="24"/>
      <c r="P13364" s="24"/>
      <c r="Q13364" s="24"/>
      <c r="R13364" s="24"/>
      <c r="S13364" s="24"/>
      <c r="T13364" s="24"/>
      <c r="U13364" s="24"/>
      <c r="V13364" s="24"/>
      <c r="W13364" s="24"/>
      <c r="X13364" s="24"/>
      <c r="Y13364" s="24"/>
      <c r="Z13364" s="24"/>
      <c r="AA13364" s="24"/>
    </row>
    <row r="13365">
      <c r="A13365" s="24"/>
      <c r="B13365" s="25"/>
      <c r="C13365" s="24"/>
      <c r="D13365" s="26"/>
      <c r="E13365" s="24"/>
      <c r="F13365" s="24"/>
      <c r="G13365" s="24"/>
      <c r="H13365" s="24"/>
      <c r="I13365" s="24"/>
      <c r="J13365" s="24"/>
      <c r="K13365" s="24"/>
      <c r="L13365" s="24"/>
      <c r="M13365" s="24"/>
      <c r="N13365" s="24"/>
      <c r="O13365" s="24"/>
      <c r="P13365" s="24"/>
      <c r="Q13365" s="24"/>
      <c r="R13365" s="24"/>
      <c r="S13365" s="24"/>
      <c r="T13365" s="24"/>
      <c r="U13365" s="24"/>
      <c r="V13365" s="24"/>
      <c r="W13365" s="24"/>
      <c r="X13365" s="24"/>
      <c r="Y13365" s="24"/>
      <c r="Z13365" s="24"/>
      <c r="AA13365" s="24"/>
    </row>
    <row r="13366">
      <c r="A13366" s="24"/>
      <c r="B13366" s="25"/>
      <c r="C13366" s="24"/>
      <c r="D13366" s="26"/>
      <c r="E13366" s="24"/>
      <c r="F13366" s="24"/>
      <c r="G13366" s="24"/>
      <c r="H13366" s="24"/>
      <c r="I13366" s="24"/>
      <c r="J13366" s="24"/>
      <c r="K13366" s="24"/>
      <c r="L13366" s="24"/>
      <c r="M13366" s="24"/>
      <c r="N13366" s="24"/>
      <c r="O13366" s="24"/>
      <c r="P13366" s="24"/>
      <c r="Q13366" s="24"/>
      <c r="R13366" s="24"/>
      <c r="S13366" s="24"/>
      <c r="T13366" s="24"/>
      <c r="U13366" s="24"/>
      <c r="V13366" s="24"/>
      <c r="W13366" s="24"/>
      <c r="X13366" s="24"/>
      <c r="Y13366" s="24"/>
      <c r="Z13366" s="24"/>
      <c r="AA13366" s="24"/>
    </row>
    <row r="13367">
      <c r="A13367" s="24"/>
      <c r="B13367" s="25"/>
      <c r="C13367" s="24"/>
      <c r="D13367" s="26"/>
      <c r="E13367" s="24"/>
      <c r="F13367" s="24"/>
      <c r="G13367" s="24"/>
      <c r="H13367" s="24"/>
      <c r="I13367" s="24"/>
      <c r="J13367" s="24"/>
      <c r="K13367" s="24"/>
      <c r="L13367" s="24"/>
      <c r="M13367" s="24"/>
      <c r="N13367" s="24"/>
      <c r="O13367" s="24"/>
      <c r="P13367" s="24"/>
      <c r="Q13367" s="24"/>
      <c r="R13367" s="24"/>
      <c r="S13367" s="24"/>
      <c r="T13367" s="24"/>
      <c r="U13367" s="24"/>
      <c r="V13367" s="24"/>
      <c r="W13367" s="24"/>
      <c r="X13367" s="24"/>
      <c r="Y13367" s="24"/>
      <c r="Z13367" s="24"/>
      <c r="AA13367" s="24"/>
    </row>
    <row r="13368">
      <c r="A13368" s="24"/>
      <c r="B13368" s="25"/>
      <c r="C13368" s="24"/>
      <c r="D13368" s="26"/>
      <c r="E13368" s="24"/>
      <c r="F13368" s="24"/>
      <c r="G13368" s="24"/>
      <c r="H13368" s="24"/>
      <c r="I13368" s="24"/>
      <c r="J13368" s="24"/>
      <c r="K13368" s="24"/>
      <c r="L13368" s="24"/>
      <c r="M13368" s="24"/>
      <c r="N13368" s="24"/>
      <c r="O13368" s="24"/>
      <c r="P13368" s="24"/>
      <c r="Q13368" s="24"/>
      <c r="R13368" s="24"/>
      <c r="S13368" s="24"/>
      <c r="T13368" s="24"/>
      <c r="U13368" s="24"/>
      <c r="V13368" s="24"/>
      <c r="W13368" s="24"/>
      <c r="X13368" s="24"/>
      <c r="Y13368" s="24"/>
      <c r="Z13368" s="24"/>
      <c r="AA13368" s="24"/>
    </row>
    <row r="13369">
      <c r="A13369" s="24"/>
      <c r="B13369" s="25"/>
      <c r="C13369" s="24"/>
      <c r="D13369" s="26"/>
      <c r="E13369" s="24"/>
      <c r="F13369" s="24"/>
      <c r="G13369" s="24"/>
      <c r="H13369" s="24"/>
      <c r="I13369" s="24"/>
      <c r="J13369" s="24"/>
      <c r="K13369" s="24"/>
      <c r="L13369" s="24"/>
      <c r="M13369" s="24"/>
      <c r="N13369" s="24"/>
      <c r="O13369" s="24"/>
      <c r="P13369" s="24"/>
      <c r="Q13369" s="24"/>
      <c r="R13369" s="24"/>
      <c r="S13369" s="24"/>
      <c r="T13369" s="24"/>
      <c r="U13369" s="24"/>
      <c r="V13369" s="24"/>
      <c r="W13369" s="24"/>
      <c r="X13369" s="24"/>
      <c r="Y13369" s="24"/>
      <c r="Z13369" s="24"/>
      <c r="AA13369" s="24"/>
    </row>
    <row r="13370">
      <c r="A13370" s="24"/>
      <c r="B13370" s="25"/>
      <c r="C13370" s="24"/>
      <c r="D13370" s="26"/>
      <c r="E13370" s="24"/>
      <c r="F13370" s="24"/>
      <c r="G13370" s="24"/>
      <c r="H13370" s="24"/>
      <c r="I13370" s="24"/>
      <c r="J13370" s="24"/>
      <c r="K13370" s="24"/>
      <c r="L13370" s="24"/>
      <c r="M13370" s="24"/>
      <c r="N13370" s="24"/>
      <c r="O13370" s="24"/>
      <c r="P13370" s="24"/>
      <c r="Q13370" s="24"/>
      <c r="R13370" s="24"/>
      <c r="S13370" s="24"/>
      <c r="T13370" s="24"/>
      <c r="U13370" s="24"/>
      <c r="V13370" s="24"/>
      <c r="W13370" s="24"/>
      <c r="X13370" s="24"/>
      <c r="Y13370" s="24"/>
      <c r="Z13370" s="24"/>
      <c r="AA13370" s="24"/>
    </row>
    <row r="13371">
      <c r="A13371" s="24"/>
      <c r="B13371" s="25"/>
      <c r="C13371" s="24"/>
      <c r="D13371" s="26"/>
      <c r="E13371" s="24"/>
      <c r="F13371" s="24"/>
      <c r="G13371" s="24"/>
      <c r="H13371" s="24"/>
      <c r="I13371" s="24"/>
      <c r="J13371" s="24"/>
      <c r="K13371" s="24"/>
      <c r="L13371" s="24"/>
      <c r="M13371" s="24"/>
      <c r="N13371" s="24"/>
      <c r="O13371" s="24"/>
      <c r="P13371" s="24"/>
      <c r="Q13371" s="24"/>
      <c r="R13371" s="24"/>
      <c r="S13371" s="24"/>
      <c r="T13371" s="24"/>
      <c r="U13371" s="24"/>
      <c r="V13371" s="24"/>
      <c r="W13371" s="24"/>
      <c r="X13371" s="24"/>
      <c r="Y13371" s="24"/>
      <c r="Z13371" s="24"/>
      <c r="AA13371" s="24"/>
    </row>
    <row r="13372">
      <c r="A13372" s="24"/>
      <c r="B13372" s="25"/>
      <c r="C13372" s="24"/>
      <c r="D13372" s="26"/>
      <c r="E13372" s="24"/>
      <c r="F13372" s="24"/>
      <c r="G13372" s="24"/>
      <c r="H13372" s="24"/>
      <c r="I13372" s="24"/>
      <c r="J13372" s="24"/>
      <c r="K13372" s="24"/>
      <c r="L13372" s="24"/>
      <c r="M13372" s="24"/>
      <c r="N13372" s="24"/>
      <c r="O13372" s="24"/>
      <c r="P13372" s="24"/>
      <c r="Q13372" s="24"/>
      <c r="R13372" s="24"/>
      <c r="S13372" s="24"/>
      <c r="T13372" s="24"/>
      <c r="U13372" s="24"/>
      <c r="V13372" s="24"/>
      <c r="W13372" s="24"/>
      <c r="X13372" s="24"/>
      <c r="Y13372" s="24"/>
      <c r="Z13372" s="24"/>
      <c r="AA13372" s="24"/>
    </row>
    <row r="13373">
      <c r="A13373" s="24"/>
      <c r="B13373" s="25"/>
      <c r="C13373" s="24"/>
      <c r="D13373" s="26"/>
      <c r="E13373" s="24"/>
      <c r="F13373" s="24"/>
      <c r="G13373" s="24"/>
      <c r="H13373" s="24"/>
      <c r="I13373" s="24"/>
      <c r="J13373" s="24"/>
      <c r="K13373" s="24"/>
      <c r="L13373" s="24"/>
      <c r="M13373" s="24"/>
      <c r="N13373" s="24"/>
      <c r="O13373" s="24"/>
      <c r="P13373" s="24"/>
      <c r="Q13373" s="24"/>
      <c r="R13373" s="24"/>
      <c r="S13373" s="24"/>
      <c r="T13373" s="24"/>
      <c r="U13373" s="24"/>
      <c r="V13373" s="24"/>
      <c r="W13373" s="24"/>
      <c r="X13373" s="24"/>
      <c r="Y13373" s="24"/>
      <c r="Z13373" s="24"/>
      <c r="AA13373" s="24"/>
    </row>
    <row r="13374">
      <c r="A13374" s="24"/>
      <c r="B13374" s="25"/>
      <c r="C13374" s="24"/>
      <c r="D13374" s="26"/>
      <c r="E13374" s="24"/>
      <c r="F13374" s="24"/>
      <c r="G13374" s="24"/>
      <c r="H13374" s="24"/>
      <c r="I13374" s="24"/>
      <c r="J13374" s="24"/>
      <c r="K13374" s="24"/>
      <c r="L13374" s="24"/>
      <c r="M13374" s="24"/>
      <c r="N13374" s="24"/>
      <c r="O13374" s="24"/>
      <c r="P13374" s="24"/>
      <c r="Q13374" s="24"/>
      <c r="R13374" s="24"/>
      <c r="S13374" s="24"/>
      <c r="T13374" s="24"/>
      <c r="U13374" s="24"/>
      <c r="V13374" s="24"/>
      <c r="W13374" s="24"/>
      <c r="X13374" s="24"/>
      <c r="Y13374" s="24"/>
      <c r="Z13374" s="24"/>
      <c r="AA13374" s="24"/>
    </row>
    <row r="13375">
      <c r="A13375" s="24"/>
      <c r="B13375" s="25"/>
      <c r="C13375" s="24"/>
      <c r="D13375" s="26"/>
      <c r="E13375" s="24"/>
      <c r="F13375" s="24"/>
      <c r="G13375" s="24"/>
      <c r="H13375" s="24"/>
      <c r="I13375" s="24"/>
      <c r="J13375" s="24"/>
      <c r="K13375" s="24"/>
      <c r="L13375" s="24"/>
      <c r="M13375" s="24"/>
      <c r="N13375" s="24"/>
      <c r="O13375" s="24"/>
      <c r="P13375" s="24"/>
      <c r="Q13375" s="24"/>
      <c r="R13375" s="24"/>
      <c r="S13375" s="24"/>
      <c r="T13375" s="24"/>
      <c r="U13375" s="24"/>
      <c r="V13375" s="24"/>
      <c r="W13375" s="24"/>
      <c r="X13375" s="24"/>
      <c r="Y13375" s="24"/>
      <c r="Z13375" s="24"/>
      <c r="AA13375" s="24"/>
    </row>
    <row r="13376">
      <c r="A13376" s="24"/>
      <c r="B13376" s="25"/>
      <c r="C13376" s="24"/>
      <c r="D13376" s="26"/>
      <c r="E13376" s="24"/>
      <c r="F13376" s="24"/>
      <c r="G13376" s="24"/>
      <c r="H13376" s="24"/>
      <c r="I13376" s="24"/>
      <c r="J13376" s="24"/>
      <c r="K13376" s="24"/>
      <c r="L13376" s="24"/>
      <c r="M13376" s="24"/>
      <c r="N13376" s="24"/>
      <c r="O13376" s="24"/>
      <c r="P13376" s="24"/>
      <c r="Q13376" s="24"/>
      <c r="R13376" s="24"/>
      <c r="S13376" s="24"/>
      <c r="T13376" s="24"/>
      <c r="U13376" s="24"/>
      <c r="V13376" s="24"/>
      <c r="W13376" s="24"/>
      <c r="X13376" s="24"/>
      <c r="Y13376" s="24"/>
      <c r="Z13376" s="24"/>
      <c r="AA13376" s="24"/>
    </row>
    <row r="13377">
      <c r="A13377" s="24"/>
      <c r="B13377" s="25"/>
      <c r="C13377" s="24"/>
      <c r="D13377" s="26"/>
      <c r="E13377" s="24"/>
      <c r="F13377" s="24"/>
      <c r="G13377" s="24"/>
      <c r="H13377" s="24"/>
      <c r="I13377" s="24"/>
      <c r="J13377" s="24"/>
      <c r="K13377" s="24"/>
      <c r="L13377" s="24"/>
      <c r="M13377" s="24"/>
      <c r="N13377" s="24"/>
      <c r="O13377" s="24"/>
      <c r="P13377" s="24"/>
      <c r="Q13377" s="24"/>
      <c r="R13377" s="24"/>
      <c r="S13377" s="24"/>
      <c r="T13377" s="24"/>
      <c r="U13377" s="24"/>
      <c r="V13377" s="24"/>
      <c r="W13377" s="24"/>
      <c r="X13377" s="24"/>
      <c r="Y13377" s="24"/>
      <c r="Z13377" s="24"/>
      <c r="AA13377" s="24"/>
    </row>
    <row r="13378">
      <c r="A13378" s="24"/>
      <c r="B13378" s="25"/>
      <c r="C13378" s="24"/>
      <c r="D13378" s="26"/>
      <c r="E13378" s="24"/>
      <c r="F13378" s="24"/>
      <c r="G13378" s="24"/>
      <c r="H13378" s="24"/>
      <c r="I13378" s="24"/>
      <c r="J13378" s="24"/>
      <c r="K13378" s="24"/>
      <c r="L13378" s="24"/>
      <c r="M13378" s="24"/>
      <c r="N13378" s="24"/>
      <c r="O13378" s="24"/>
      <c r="P13378" s="24"/>
      <c r="Q13378" s="24"/>
      <c r="R13378" s="24"/>
      <c r="S13378" s="24"/>
      <c r="T13378" s="24"/>
      <c r="U13378" s="24"/>
      <c r="V13378" s="24"/>
      <c r="W13378" s="24"/>
      <c r="X13378" s="24"/>
      <c r="Y13378" s="24"/>
      <c r="Z13378" s="24"/>
      <c r="AA13378" s="24"/>
    </row>
    <row r="13379">
      <c r="A13379" s="24"/>
      <c r="B13379" s="25"/>
      <c r="C13379" s="24"/>
      <c r="D13379" s="26"/>
      <c r="E13379" s="24"/>
      <c r="F13379" s="24"/>
      <c r="G13379" s="24"/>
      <c r="H13379" s="24"/>
      <c r="I13379" s="24"/>
      <c r="J13379" s="24"/>
      <c r="K13379" s="24"/>
      <c r="L13379" s="24"/>
      <c r="M13379" s="24"/>
      <c r="N13379" s="24"/>
      <c r="O13379" s="24"/>
      <c r="P13379" s="24"/>
      <c r="Q13379" s="24"/>
      <c r="R13379" s="24"/>
      <c r="S13379" s="24"/>
      <c r="T13379" s="24"/>
      <c r="U13379" s="24"/>
      <c r="V13379" s="24"/>
      <c r="W13379" s="24"/>
      <c r="X13379" s="24"/>
      <c r="Y13379" s="24"/>
      <c r="Z13379" s="24"/>
      <c r="AA13379" s="24"/>
    </row>
    <row r="13380">
      <c r="A13380" s="24"/>
      <c r="B13380" s="25"/>
      <c r="C13380" s="24"/>
      <c r="D13380" s="26"/>
      <c r="E13380" s="24"/>
      <c r="F13380" s="24"/>
      <c r="G13380" s="24"/>
      <c r="H13380" s="24"/>
      <c r="I13380" s="24"/>
      <c r="J13380" s="24"/>
      <c r="K13380" s="24"/>
      <c r="L13380" s="24"/>
      <c r="M13380" s="24"/>
      <c r="N13380" s="24"/>
      <c r="O13380" s="24"/>
      <c r="P13380" s="24"/>
      <c r="Q13380" s="24"/>
      <c r="R13380" s="24"/>
      <c r="S13380" s="24"/>
      <c r="T13380" s="24"/>
      <c r="U13380" s="24"/>
      <c r="V13380" s="24"/>
      <c r="W13380" s="24"/>
      <c r="X13380" s="24"/>
      <c r="Y13380" s="24"/>
      <c r="Z13380" s="24"/>
      <c r="AA13380" s="24"/>
    </row>
    <row r="13381">
      <c r="A13381" s="24"/>
      <c r="B13381" s="25"/>
      <c r="C13381" s="24"/>
      <c r="D13381" s="26"/>
      <c r="E13381" s="24"/>
      <c r="F13381" s="24"/>
      <c r="G13381" s="24"/>
      <c r="H13381" s="24"/>
      <c r="I13381" s="24"/>
      <c r="J13381" s="24"/>
      <c r="K13381" s="24"/>
      <c r="L13381" s="24"/>
      <c r="M13381" s="24"/>
      <c r="N13381" s="24"/>
      <c r="O13381" s="24"/>
      <c r="P13381" s="24"/>
      <c r="Q13381" s="24"/>
      <c r="R13381" s="24"/>
      <c r="S13381" s="24"/>
      <c r="T13381" s="24"/>
      <c r="U13381" s="24"/>
      <c r="V13381" s="24"/>
      <c r="W13381" s="24"/>
      <c r="X13381" s="24"/>
      <c r="Y13381" s="24"/>
      <c r="Z13381" s="24"/>
      <c r="AA13381" s="24"/>
    </row>
    <row r="13382">
      <c r="A13382" s="24"/>
      <c r="B13382" s="25"/>
      <c r="C13382" s="24"/>
      <c r="D13382" s="26"/>
      <c r="E13382" s="24"/>
      <c r="F13382" s="24"/>
      <c r="G13382" s="24"/>
      <c r="H13382" s="24"/>
      <c r="I13382" s="24"/>
      <c r="J13382" s="24"/>
      <c r="K13382" s="24"/>
      <c r="L13382" s="24"/>
      <c r="M13382" s="24"/>
      <c r="N13382" s="24"/>
      <c r="O13382" s="24"/>
      <c r="P13382" s="24"/>
      <c r="Q13382" s="24"/>
      <c r="R13382" s="24"/>
      <c r="S13382" s="24"/>
      <c r="T13382" s="24"/>
      <c r="U13382" s="24"/>
      <c r="V13382" s="24"/>
      <c r="W13382" s="24"/>
      <c r="X13382" s="24"/>
      <c r="Y13382" s="24"/>
      <c r="Z13382" s="24"/>
      <c r="AA13382" s="24"/>
    </row>
    <row r="13383">
      <c r="A13383" s="24"/>
      <c r="B13383" s="25"/>
      <c r="C13383" s="24"/>
      <c r="D13383" s="26"/>
      <c r="E13383" s="24"/>
      <c r="F13383" s="24"/>
      <c r="G13383" s="24"/>
      <c r="H13383" s="24"/>
      <c r="I13383" s="24"/>
      <c r="J13383" s="24"/>
      <c r="K13383" s="24"/>
      <c r="L13383" s="24"/>
      <c r="M13383" s="24"/>
      <c r="N13383" s="24"/>
      <c r="O13383" s="24"/>
      <c r="P13383" s="24"/>
      <c r="Q13383" s="24"/>
      <c r="R13383" s="24"/>
      <c r="S13383" s="24"/>
      <c r="T13383" s="24"/>
      <c r="U13383" s="24"/>
      <c r="V13383" s="24"/>
      <c r="W13383" s="24"/>
      <c r="X13383" s="24"/>
      <c r="Y13383" s="24"/>
      <c r="Z13383" s="24"/>
      <c r="AA13383" s="24"/>
    </row>
    <row r="13384">
      <c r="A13384" s="24"/>
      <c r="B13384" s="25"/>
      <c r="C13384" s="24"/>
      <c r="D13384" s="26"/>
      <c r="E13384" s="24"/>
      <c r="F13384" s="24"/>
      <c r="G13384" s="24"/>
      <c r="H13384" s="24"/>
      <c r="I13384" s="24"/>
      <c r="J13384" s="24"/>
      <c r="K13384" s="24"/>
      <c r="L13384" s="24"/>
      <c r="M13384" s="24"/>
      <c r="N13384" s="24"/>
      <c r="O13384" s="24"/>
      <c r="P13384" s="24"/>
      <c r="Q13384" s="24"/>
      <c r="R13384" s="24"/>
      <c r="S13384" s="24"/>
      <c r="T13384" s="24"/>
      <c r="U13384" s="24"/>
      <c r="V13384" s="24"/>
      <c r="W13384" s="24"/>
      <c r="X13384" s="24"/>
      <c r="Y13384" s="24"/>
      <c r="Z13384" s="24"/>
      <c r="AA13384" s="24"/>
    </row>
    <row r="13385">
      <c r="A13385" s="24"/>
      <c r="B13385" s="25"/>
      <c r="C13385" s="24"/>
      <c r="D13385" s="26"/>
      <c r="E13385" s="24"/>
      <c r="F13385" s="24"/>
      <c r="G13385" s="24"/>
      <c r="H13385" s="24"/>
      <c r="I13385" s="24"/>
      <c r="J13385" s="24"/>
      <c r="K13385" s="24"/>
      <c r="L13385" s="24"/>
      <c r="M13385" s="24"/>
      <c r="N13385" s="24"/>
      <c r="O13385" s="24"/>
      <c r="P13385" s="24"/>
      <c r="Q13385" s="24"/>
      <c r="R13385" s="24"/>
      <c r="S13385" s="24"/>
      <c r="T13385" s="24"/>
      <c r="U13385" s="24"/>
      <c r="V13385" s="24"/>
      <c r="W13385" s="24"/>
      <c r="X13385" s="24"/>
      <c r="Y13385" s="24"/>
      <c r="Z13385" s="24"/>
      <c r="AA13385" s="24"/>
    </row>
    <row r="13386">
      <c r="A13386" s="24"/>
      <c r="B13386" s="25"/>
      <c r="C13386" s="24"/>
      <c r="D13386" s="26"/>
      <c r="E13386" s="24"/>
      <c r="F13386" s="24"/>
      <c r="G13386" s="24"/>
      <c r="H13386" s="24"/>
      <c r="I13386" s="24"/>
      <c r="J13386" s="24"/>
      <c r="K13386" s="24"/>
      <c r="L13386" s="24"/>
      <c r="M13386" s="24"/>
      <c r="N13386" s="24"/>
      <c r="O13386" s="24"/>
      <c r="P13386" s="24"/>
      <c r="Q13386" s="24"/>
      <c r="R13386" s="24"/>
      <c r="S13386" s="24"/>
      <c r="T13386" s="24"/>
      <c r="U13386" s="24"/>
      <c r="V13386" s="24"/>
      <c r="W13386" s="24"/>
      <c r="X13386" s="24"/>
      <c r="Y13386" s="24"/>
      <c r="Z13386" s="24"/>
      <c r="AA13386" s="24"/>
    </row>
    <row r="13387">
      <c r="A13387" s="24"/>
      <c r="B13387" s="25"/>
      <c r="C13387" s="24"/>
      <c r="D13387" s="26"/>
      <c r="E13387" s="24"/>
      <c r="F13387" s="24"/>
      <c r="G13387" s="24"/>
      <c r="H13387" s="24"/>
      <c r="I13387" s="24"/>
      <c r="J13387" s="24"/>
      <c r="K13387" s="24"/>
      <c r="L13387" s="24"/>
      <c r="M13387" s="24"/>
      <c r="N13387" s="24"/>
      <c r="O13387" s="24"/>
      <c r="P13387" s="24"/>
      <c r="Q13387" s="24"/>
      <c r="R13387" s="24"/>
      <c r="S13387" s="24"/>
      <c r="T13387" s="24"/>
      <c r="U13387" s="24"/>
      <c r="V13387" s="24"/>
      <c r="W13387" s="24"/>
      <c r="X13387" s="24"/>
      <c r="Y13387" s="24"/>
      <c r="Z13387" s="24"/>
      <c r="AA13387" s="24"/>
    </row>
    <row r="13388">
      <c r="A13388" s="24"/>
      <c r="B13388" s="25"/>
      <c r="C13388" s="24"/>
      <c r="D13388" s="26"/>
      <c r="E13388" s="24"/>
      <c r="F13388" s="24"/>
      <c r="G13388" s="24"/>
      <c r="H13388" s="24"/>
      <c r="I13388" s="24"/>
      <c r="J13388" s="24"/>
      <c r="K13388" s="24"/>
      <c r="L13388" s="24"/>
      <c r="M13388" s="24"/>
      <c r="N13388" s="24"/>
      <c r="O13388" s="24"/>
      <c r="P13388" s="24"/>
      <c r="Q13388" s="24"/>
      <c r="R13388" s="24"/>
      <c r="S13388" s="24"/>
      <c r="T13388" s="24"/>
      <c r="U13388" s="24"/>
      <c r="V13388" s="24"/>
      <c r="W13388" s="24"/>
      <c r="X13388" s="24"/>
      <c r="Y13388" s="24"/>
      <c r="Z13388" s="24"/>
      <c r="AA13388" s="24"/>
    </row>
    <row r="13389">
      <c r="A13389" s="24"/>
      <c r="B13389" s="25"/>
      <c r="C13389" s="24"/>
      <c r="D13389" s="26"/>
      <c r="E13389" s="24"/>
      <c r="F13389" s="24"/>
      <c r="G13389" s="24"/>
      <c r="H13389" s="24"/>
      <c r="I13389" s="24"/>
      <c r="J13389" s="24"/>
      <c r="K13389" s="24"/>
      <c r="L13389" s="24"/>
      <c r="M13389" s="24"/>
      <c r="N13389" s="24"/>
      <c r="O13389" s="24"/>
      <c r="P13389" s="24"/>
      <c r="Q13389" s="24"/>
      <c r="R13389" s="24"/>
      <c r="S13389" s="24"/>
      <c r="T13389" s="24"/>
      <c r="U13389" s="24"/>
      <c r="V13389" s="24"/>
      <c r="W13389" s="24"/>
      <c r="X13389" s="24"/>
      <c r="Y13389" s="24"/>
      <c r="Z13389" s="24"/>
      <c r="AA13389" s="24"/>
    </row>
    <row r="13390">
      <c r="A13390" s="24"/>
      <c r="B13390" s="25"/>
      <c r="C13390" s="24"/>
      <c r="D13390" s="26"/>
      <c r="E13390" s="24"/>
      <c r="F13390" s="24"/>
      <c r="G13390" s="24"/>
      <c r="H13390" s="24"/>
      <c r="I13390" s="24"/>
      <c r="J13390" s="24"/>
      <c r="K13390" s="24"/>
      <c r="L13390" s="24"/>
      <c r="M13390" s="24"/>
      <c r="N13390" s="24"/>
      <c r="O13390" s="24"/>
      <c r="P13390" s="24"/>
      <c r="Q13390" s="24"/>
      <c r="R13390" s="24"/>
      <c r="S13390" s="24"/>
      <c r="T13390" s="24"/>
      <c r="U13390" s="24"/>
      <c r="V13390" s="24"/>
      <c r="W13390" s="24"/>
      <c r="X13390" s="24"/>
      <c r="Y13390" s="24"/>
      <c r="Z13390" s="24"/>
      <c r="AA13390" s="24"/>
    </row>
    <row r="13391">
      <c r="A13391" s="24"/>
      <c r="B13391" s="25"/>
      <c r="C13391" s="24"/>
      <c r="D13391" s="26"/>
      <c r="E13391" s="24"/>
      <c r="F13391" s="24"/>
      <c r="G13391" s="24"/>
      <c r="H13391" s="24"/>
      <c r="I13391" s="24"/>
      <c r="J13391" s="24"/>
      <c r="K13391" s="24"/>
      <c r="L13391" s="24"/>
      <c r="M13391" s="24"/>
      <c r="N13391" s="24"/>
      <c r="O13391" s="24"/>
      <c r="P13391" s="24"/>
      <c r="Q13391" s="24"/>
      <c r="R13391" s="24"/>
      <c r="S13391" s="24"/>
      <c r="T13391" s="24"/>
      <c r="U13391" s="24"/>
      <c r="V13391" s="24"/>
      <c r="W13391" s="24"/>
      <c r="X13391" s="24"/>
      <c r="Y13391" s="24"/>
      <c r="Z13391" s="24"/>
      <c r="AA13391" s="24"/>
    </row>
    <row r="13392">
      <c r="A13392" s="24"/>
      <c r="B13392" s="25"/>
      <c r="C13392" s="24"/>
      <c r="D13392" s="26"/>
      <c r="E13392" s="24"/>
      <c r="F13392" s="24"/>
      <c r="G13392" s="24"/>
      <c r="H13392" s="24"/>
      <c r="I13392" s="24"/>
      <c r="J13392" s="24"/>
      <c r="K13392" s="24"/>
      <c r="L13392" s="24"/>
      <c r="M13392" s="24"/>
      <c r="N13392" s="24"/>
      <c r="O13392" s="24"/>
      <c r="P13392" s="24"/>
      <c r="Q13392" s="24"/>
      <c r="R13392" s="24"/>
      <c r="S13392" s="24"/>
      <c r="T13392" s="24"/>
      <c r="U13392" s="24"/>
      <c r="V13392" s="24"/>
      <c r="W13392" s="24"/>
      <c r="X13392" s="24"/>
      <c r="Y13392" s="24"/>
      <c r="Z13392" s="24"/>
      <c r="AA13392" s="24"/>
    </row>
    <row r="13393">
      <c r="A13393" s="24"/>
      <c r="B13393" s="25"/>
      <c r="C13393" s="24"/>
      <c r="D13393" s="26"/>
      <c r="E13393" s="24"/>
      <c r="F13393" s="24"/>
      <c r="G13393" s="24"/>
      <c r="H13393" s="24"/>
      <c r="I13393" s="24"/>
      <c r="J13393" s="24"/>
      <c r="K13393" s="24"/>
      <c r="L13393" s="24"/>
      <c r="M13393" s="24"/>
      <c r="N13393" s="24"/>
      <c r="O13393" s="24"/>
      <c r="P13393" s="24"/>
      <c r="Q13393" s="24"/>
      <c r="R13393" s="24"/>
      <c r="S13393" s="24"/>
      <c r="T13393" s="24"/>
      <c r="U13393" s="24"/>
      <c r="V13393" s="24"/>
      <c r="W13393" s="24"/>
      <c r="X13393" s="24"/>
      <c r="Y13393" s="24"/>
      <c r="Z13393" s="24"/>
      <c r="AA13393" s="24"/>
    </row>
    <row r="13394">
      <c r="A13394" s="24"/>
      <c r="B13394" s="25"/>
      <c r="C13394" s="24"/>
      <c r="D13394" s="26"/>
      <c r="E13394" s="24"/>
      <c r="F13394" s="24"/>
      <c r="G13394" s="24"/>
      <c r="H13394" s="24"/>
      <c r="I13394" s="24"/>
      <c r="J13394" s="24"/>
      <c r="K13394" s="24"/>
      <c r="L13394" s="24"/>
      <c r="M13394" s="24"/>
      <c r="N13394" s="24"/>
      <c r="O13394" s="24"/>
      <c r="P13394" s="24"/>
      <c r="Q13394" s="24"/>
      <c r="R13394" s="24"/>
      <c r="S13394" s="24"/>
      <c r="T13394" s="24"/>
      <c r="U13394" s="24"/>
      <c r="V13394" s="24"/>
      <c r="W13394" s="24"/>
      <c r="X13394" s="24"/>
      <c r="Y13394" s="24"/>
      <c r="Z13394" s="24"/>
      <c r="AA13394" s="24"/>
    </row>
    <row r="13395">
      <c r="A13395" s="24"/>
      <c r="B13395" s="25"/>
      <c r="C13395" s="24"/>
      <c r="D13395" s="26"/>
      <c r="E13395" s="24"/>
      <c r="F13395" s="24"/>
      <c r="G13395" s="24"/>
      <c r="H13395" s="24"/>
      <c r="I13395" s="24"/>
      <c r="J13395" s="24"/>
      <c r="K13395" s="24"/>
      <c r="L13395" s="24"/>
      <c r="M13395" s="24"/>
      <c r="N13395" s="24"/>
      <c r="O13395" s="24"/>
      <c r="P13395" s="24"/>
      <c r="Q13395" s="24"/>
      <c r="R13395" s="24"/>
      <c r="S13395" s="24"/>
      <c r="T13395" s="24"/>
      <c r="U13395" s="24"/>
      <c r="V13395" s="24"/>
      <c r="W13395" s="24"/>
      <c r="X13395" s="24"/>
      <c r="Y13395" s="24"/>
      <c r="Z13395" s="24"/>
      <c r="AA13395" s="24"/>
    </row>
    <row r="13396">
      <c r="A13396" s="24"/>
      <c r="B13396" s="25"/>
      <c r="C13396" s="24"/>
      <c r="D13396" s="26"/>
      <c r="E13396" s="24"/>
      <c r="F13396" s="24"/>
      <c r="G13396" s="24"/>
      <c r="H13396" s="24"/>
      <c r="I13396" s="24"/>
      <c r="J13396" s="24"/>
      <c r="K13396" s="24"/>
      <c r="L13396" s="24"/>
      <c r="M13396" s="24"/>
      <c r="N13396" s="24"/>
      <c r="O13396" s="24"/>
      <c r="P13396" s="24"/>
      <c r="Q13396" s="24"/>
      <c r="R13396" s="24"/>
      <c r="S13396" s="24"/>
      <c r="T13396" s="24"/>
      <c r="U13396" s="24"/>
      <c r="V13396" s="24"/>
      <c r="W13396" s="24"/>
      <c r="X13396" s="24"/>
      <c r="Y13396" s="24"/>
      <c r="Z13396" s="24"/>
      <c r="AA13396" s="24"/>
    </row>
    <row r="13397">
      <c r="A13397" s="24"/>
      <c r="B13397" s="25"/>
      <c r="C13397" s="24"/>
      <c r="D13397" s="26"/>
      <c r="E13397" s="24"/>
      <c r="F13397" s="24"/>
      <c r="G13397" s="24"/>
      <c r="H13397" s="24"/>
      <c r="I13397" s="24"/>
      <c r="J13397" s="24"/>
      <c r="K13397" s="24"/>
      <c r="L13397" s="24"/>
      <c r="M13397" s="24"/>
      <c r="N13397" s="24"/>
      <c r="O13397" s="24"/>
      <c r="P13397" s="24"/>
      <c r="Q13397" s="24"/>
      <c r="R13397" s="24"/>
      <c r="S13397" s="24"/>
      <c r="T13397" s="24"/>
      <c r="U13397" s="24"/>
      <c r="V13397" s="24"/>
      <c r="W13397" s="24"/>
      <c r="X13397" s="24"/>
      <c r="Y13397" s="24"/>
      <c r="Z13397" s="24"/>
      <c r="AA13397" s="24"/>
    </row>
    <row r="13398">
      <c r="A13398" s="24"/>
      <c r="B13398" s="25"/>
      <c r="C13398" s="24"/>
      <c r="D13398" s="26"/>
      <c r="E13398" s="24"/>
      <c r="F13398" s="24"/>
      <c r="G13398" s="24"/>
      <c r="H13398" s="24"/>
      <c r="I13398" s="24"/>
      <c r="J13398" s="24"/>
      <c r="K13398" s="24"/>
      <c r="L13398" s="24"/>
      <c r="M13398" s="24"/>
      <c r="N13398" s="24"/>
      <c r="O13398" s="24"/>
      <c r="P13398" s="24"/>
      <c r="Q13398" s="24"/>
      <c r="R13398" s="24"/>
      <c r="S13398" s="24"/>
      <c r="T13398" s="24"/>
      <c r="U13398" s="24"/>
      <c r="V13398" s="24"/>
      <c r="W13398" s="24"/>
      <c r="X13398" s="24"/>
      <c r="Y13398" s="24"/>
      <c r="Z13398" s="24"/>
      <c r="AA13398" s="24"/>
    </row>
    <row r="13399">
      <c r="A13399" s="24"/>
      <c r="B13399" s="25"/>
      <c r="C13399" s="24"/>
      <c r="D13399" s="26"/>
      <c r="E13399" s="24"/>
      <c r="F13399" s="24"/>
      <c r="G13399" s="24"/>
      <c r="H13399" s="24"/>
      <c r="I13399" s="24"/>
      <c r="J13399" s="24"/>
      <c r="K13399" s="24"/>
      <c r="L13399" s="24"/>
      <c r="M13399" s="24"/>
      <c r="N13399" s="24"/>
      <c r="O13399" s="24"/>
      <c r="P13399" s="24"/>
      <c r="Q13399" s="24"/>
      <c r="R13399" s="24"/>
      <c r="S13399" s="24"/>
      <c r="T13399" s="24"/>
      <c r="U13399" s="24"/>
      <c r="V13399" s="24"/>
      <c r="W13399" s="24"/>
      <c r="X13399" s="24"/>
      <c r="Y13399" s="24"/>
      <c r="Z13399" s="24"/>
      <c r="AA13399" s="24"/>
    </row>
    <row r="13400">
      <c r="A13400" s="24"/>
      <c r="B13400" s="25"/>
      <c r="C13400" s="24"/>
      <c r="D13400" s="26"/>
      <c r="E13400" s="24"/>
      <c r="F13400" s="24"/>
      <c r="G13400" s="24"/>
      <c r="H13400" s="24"/>
      <c r="I13400" s="24"/>
      <c r="J13400" s="24"/>
      <c r="K13400" s="24"/>
      <c r="L13400" s="24"/>
      <c r="M13400" s="24"/>
      <c r="N13400" s="24"/>
      <c r="O13400" s="24"/>
      <c r="P13400" s="24"/>
      <c r="Q13400" s="24"/>
      <c r="R13400" s="24"/>
      <c r="S13400" s="24"/>
      <c r="T13400" s="24"/>
      <c r="U13400" s="24"/>
      <c r="V13400" s="24"/>
      <c r="W13400" s="24"/>
      <c r="X13400" s="24"/>
      <c r="Y13400" s="24"/>
      <c r="Z13400" s="24"/>
      <c r="AA13400" s="24"/>
    </row>
    <row r="13401">
      <c r="A13401" s="24"/>
      <c r="B13401" s="25"/>
      <c r="C13401" s="24"/>
      <c r="D13401" s="26"/>
      <c r="E13401" s="24"/>
      <c r="F13401" s="24"/>
      <c r="G13401" s="24"/>
      <c r="H13401" s="24"/>
      <c r="I13401" s="24"/>
      <c r="J13401" s="24"/>
      <c r="K13401" s="24"/>
      <c r="L13401" s="24"/>
      <c r="M13401" s="24"/>
      <c r="N13401" s="24"/>
      <c r="O13401" s="24"/>
      <c r="P13401" s="24"/>
      <c r="Q13401" s="24"/>
      <c r="R13401" s="24"/>
      <c r="S13401" s="24"/>
      <c r="T13401" s="24"/>
      <c r="U13401" s="24"/>
      <c r="V13401" s="24"/>
      <c r="W13401" s="24"/>
      <c r="X13401" s="24"/>
      <c r="Y13401" s="24"/>
      <c r="Z13401" s="24"/>
      <c r="AA13401" s="24"/>
    </row>
    <row r="13402">
      <c r="A13402" s="24"/>
      <c r="B13402" s="25"/>
      <c r="C13402" s="24"/>
      <c r="D13402" s="26"/>
      <c r="E13402" s="24"/>
      <c r="F13402" s="24"/>
      <c r="G13402" s="24"/>
      <c r="H13402" s="24"/>
      <c r="I13402" s="24"/>
      <c r="J13402" s="24"/>
      <c r="K13402" s="24"/>
      <c r="L13402" s="24"/>
      <c r="M13402" s="24"/>
      <c r="N13402" s="24"/>
      <c r="O13402" s="24"/>
      <c r="P13402" s="24"/>
      <c r="Q13402" s="24"/>
      <c r="R13402" s="24"/>
      <c r="S13402" s="24"/>
      <c r="T13402" s="24"/>
      <c r="U13402" s="24"/>
      <c r="V13402" s="24"/>
      <c r="W13402" s="24"/>
      <c r="X13402" s="24"/>
      <c r="Y13402" s="24"/>
      <c r="Z13402" s="24"/>
      <c r="AA13402" s="24"/>
    </row>
    <row r="13403">
      <c r="A13403" s="24"/>
      <c r="B13403" s="25"/>
      <c r="C13403" s="24"/>
      <c r="D13403" s="26"/>
      <c r="E13403" s="24"/>
      <c r="F13403" s="24"/>
      <c r="G13403" s="24"/>
      <c r="H13403" s="24"/>
      <c r="I13403" s="24"/>
      <c r="J13403" s="24"/>
      <c r="K13403" s="24"/>
      <c r="L13403" s="24"/>
      <c r="M13403" s="24"/>
      <c r="N13403" s="24"/>
      <c r="O13403" s="24"/>
      <c r="P13403" s="24"/>
      <c r="Q13403" s="24"/>
      <c r="R13403" s="24"/>
      <c r="S13403" s="24"/>
      <c r="T13403" s="24"/>
      <c r="U13403" s="24"/>
      <c r="V13403" s="24"/>
      <c r="W13403" s="24"/>
      <c r="X13403" s="24"/>
      <c r="Y13403" s="24"/>
      <c r="Z13403" s="24"/>
      <c r="AA13403" s="24"/>
    </row>
    <row r="13404">
      <c r="A13404" s="24"/>
      <c r="B13404" s="25"/>
      <c r="C13404" s="24"/>
      <c r="D13404" s="26"/>
      <c r="E13404" s="24"/>
      <c r="F13404" s="24"/>
      <c r="G13404" s="24"/>
      <c r="H13404" s="24"/>
      <c r="I13404" s="24"/>
      <c r="J13404" s="24"/>
      <c r="K13404" s="24"/>
      <c r="L13404" s="24"/>
      <c r="M13404" s="24"/>
      <c r="N13404" s="24"/>
      <c r="O13404" s="24"/>
      <c r="P13404" s="24"/>
      <c r="Q13404" s="24"/>
      <c r="R13404" s="24"/>
      <c r="S13404" s="24"/>
      <c r="T13404" s="24"/>
      <c r="U13404" s="24"/>
      <c r="V13404" s="24"/>
      <c r="W13404" s="24"/>
      <c r="X13404" s="24"/>
      <c r="Y13404" s="24"/>
      <c r="Z13404" s="24"/>
      <c r="AA13404" s="24"/>
    </row>
    <row r="13405">
      <c r="A13405" s="24"/>
      <c r="B13405" s="25"/>
      <c r="C13405" s="24"/>
      <c r="D13405" s="26"/>
      <c r="E13405" s="24"/>
      <c r="F13405" s="24"/>
      <c r="G13405" s="24"/>
      <c r="H13405" s="24"/>
      <c r="I13405" s="24"/>
      <c r="J13405" s="24"/>
      <c r="K13405" s="24"/>
      <c r="L13405" s="24"/>
      <c r="M13405" s="24"/>
      <c r="N13405" s="24"/>
      <c r="O13405" s="24"/>
      <c r="P13405" s="24"/>
      <c r="Q13405" s="24"/>
      <c r="R13405" s="24"/>
      <c r="S13405" s="24"/>
      <c r="T13405" s="24"/>
      <c r="U13405" s="24"/>
      <c r="V13405" s="24"/>
      <c r="W13405" s="24"/>
      <c r="X13405" s="24"/>
      <c r="Y13405" s="24"/>
      <c r="Z13405" s="24"/>
      <c r="AA13405" s="24"/>
    </row>
    <row r="13406">
      <c r="A13406" s="24"/>
      <c r="B13406" s="25"/>
      <c r="C13406" s="24"/>
      <c r="D13406" s="26"/>
      <c r="E13406" s="24"/>
      <c r="F13406" s="24"/>
      <c r="G13406" s="24"/>
      <c r="H13406" s="24"/>
      <c r="I13406" s="24"/>
      <c r="J13406" s="24"/>
      <c r="K13406" s="24"/>
      <c r="L13406" s="24"/>
      <c r="M13406" s="24"/>
      <c r="N13406" s="24"/>
      <c r="O13406" s="24"/>
      <c r="P13406" s="24"/>
      <c r="Q13406" s="24"/>
      <c r="R13406" s="24"/>
      <c r="S13406" s="24"/>
      <c r="T13406" s="24"/>
      <c r="U13406" s="24"/>
      <c r="V13406" s="24"/>
      <c r="W13406" s="24"/>
      <c r="X13406" s="24"/>
      <c r="Y13406" s="24"/>
      <c r="Z13406" s="24"/>
      <c r="AA13406" s="24"/>
    </row>
    <row r="13407">
      <c r="A13407" s="24"/>
      <c r="B13407" s="25"/>
      <c r="C13407" s="24"/>
      <c r="D13407" s="26"/>
      <c r="E13407" s="24"/>
      <c r="F13407" s="24"/>
      <c r="G13407" s="24"/>
      <c r="H13407" s="24"/>
      <c r="I13407" s="24"/>
      <c r="J13407" s="24"/>
      <c r="K13407" s="24"/>
      <c r="L13407" s="24"/>
      <c r="M13407" s="24"/>
      <c r="N13407" s="24"/>
      <c r="O13407" s="24"/>
      <c r="P13407" s="24"/>
      <c r="Q13407" s="24"/>
      <c r="R13407" s="24"/>
      <c r="S13407" s="24"/>
      <c r="T13407" s="24"/>
      <c r="U13407" s="24"/>
      <c r="V13407" s="24"/>
      <c r="W13407" s="24"/>
      <c r="X13407" s="24"/>
      <c r="Y13407" s="24"/>
      <c r="Z13407" s="24"/>
      <c r="AA13407" s="24"/>
    </row>
    <row r="13408">
      <c r="A13408" s="24"/>
      <c r="B13408" s="25"/>
      <c r="C13408" s="24"/>
      <c r="D13408" s="26"/>
      <c r="E13408" s="24"/>
      <c r="F13408" s="24"/>
      <c r="G13408" s="24"/>
      <c r="H13408" s="24"/>
      <c r="I13408" s="24"/>
      <c r="J13408" s="24"/>
      <c r="K13408" s="24"/>
      <c r="L13408" s="24"/>
      <c r="M13408" s="24"/>
      <c r="N13408" s="24"/>
      <c r="O13408" s="24"/>
      <c r="P13408" s="24"/>
      <c r="Q13408" s="24"/>
      <c r="R13408" s="24"/>
      <c r="S13408" s="24"/>
      <c r="T13408" s="24"/>
      <c r="U13408" s="24"/>
      <c r="V13408" s="24"/>
      <c r="W13408" s="24"/>
      <c r="X13408" s="24"/>
      <c r="Y13408" s="24"/>
      <c r="Z13408" s="24"/>
      <c r="AA13408" s="24"/>
    </row>
    <row r="13409">
      <c r="A13409" s="24"/>
      <c r="B13409" s="25"/>
      <c r="C13409" s="24"/>
      <c r="D13409" s="26"/>
      <c r="E13409" s="24"/>
      <c r="F13409" s="24"/>
      <c r="G13409" s="24"/>
      <c r="H13409" s="24"/>
      <c r="I13409" s="24"/>
      <c r="J13409" s="24"/>
      <c r="K13409" s="24"/>
      <c r="L13409" s="24"/>
      <c r="M13409" s="24"/>
      <c r="N13409" s="24"/>
      <c r="O13409" s="24"/>
      <c r="P13409" s="24"/>
      <c r="Q13409" s="24"/>
      <c r="R13409" s="24"/>
      <c r="S13409" s="24"/>
      <c r="T13409" s="24"/>
      <c r="U13409" s="24"/>
      <c r="V13409" s="24"/>
      <c r="W13409" s="24"/>
      <c r="X13409" s="24"/>
      <c r="Y13409" s="24"/>
      <c r="Z13409" s="24"/>
      <c r="AA13409" s="24"/>
    </row>
    <row r="13410">
      <c r="A13410" s="24"/>
      <c r="B13410" s="25"/>
      <c r="C13410" s="24"/>
      <c r="D13410" s="26"/>
      <c r="E13410" s="24"/>
      <c r="F13410" s="24"/>
      <c r="G13410" s="24"/>
      <c r="H13410" s="24"/>
      <c r="I13410" s="24"/>
      <c r="J13410" s="24"/>
      <c r="K13410" s="24"/>
      <c r="L13410" s="24"/>
      <c r="M13410" s="24"/>
      <c r="N13410" s="24"/>
      <c r="O13410" s="24"/>
      <c r="P13410" s="24"/>
      <c r="Q13410" s="24"/>
      <c r="R13410" s="24"/>
      <c r="S13410" s="24"/>
      <c r="T13410" s="24"/>
      <c r="U13410" s="24"/>
      <c r="V13410" s="24"/>
      <c r="W13410" s="24"/>
      <c r="X13410" s="24"/>
      <c r="Y13410" s="24"/>
      <c r="Z13410" s="24"/>
      <c r="AA13410" s="24"/>
    </row>
    <row r="13411">
      <c r="A13411" s="24"/>
      <c r="B13411" s="25"/>
      <c r="C13411" s="24"/>
      <c r="D13411" s="26"/>
      <c r="E13411" s="24"/>
      <c r="F13411" s="24"/>
      <c r="G13411" s="24"/>
      <c r="H13411" s="24"/>
      <c r="I13411" s="24"/>
      <c r="J13411" s="24"/>
      <c r="K13411" s="24"/>
      <c r="L13411" s="24"/>
      <c r="M13411" s="24"/>
      <c r="N13411" s="24"/>
      <c r="O13411" s="24"/>
      <c r="P13411" s="24"/>
      <c r="Q13411" s="24"/>
      <c r="R13411" s="24"/>
      <c r="S13411" s="24"/>
      <c r="T13411" s="24"/>
      <c r="U13411" s="24"/>
      <c r="V13411" s="24"/>
      <c r="W13411" s="24"/>
      <c r="X13411" s="24"/>
      <c r="Y13411" s="24"/>
      <c r="Z13411" s="24"/>
      <c r="AA13411" s="24"/>
    </row>
    <row r="13412">
      <c r="A13412" s="24"/>
      <c r="B13412" s="25"/>
      <c r="C13412" s="24"/>
      <c r="D13412" s="26"/>
      <c r="E13412" s="24"/>
      <c r="F13412" s="24"/>
      <c r="G13412" s="24"/>
      <c r="H13412" s="24"/>
      <c r="I13412" s="24"/>
      <c r="J13412" s="24"/>
      <c r="K13412" s="24"/>
      <c r="L13412" s="24"/>
      <c r="M13412" s="24"/>
      <c r="N13412" s="24"/>
      <c r="O13412" s="24"/>
      <c r="P13412" s="24"/>
      <c r="Q13412" s="24"/>
      <c r="R13412" s="24"/>
      <c r="S13412" s="24"/>
      <c r="T13412" s="24"/>
      <c r="U13412" s="24"/>
      <c r="V13412" s="24"/>
      <c r="W13412" s="24"/>
      <c r="X13412" s="24"/>
      <c r="Y13412" s="24"/>
      <c r="Z13412" s="24"/>
      <c r="AA13412" s="24"/>
    </row>
    <row r="13413">
      <c r="A13413" s="24"/>
      <c r="B13413" s="25"/>
      <c r="C13413" s="24"/>
      <c r="D13413" s="26"/>
      <c r="E13413" s="24"/>
      <c r="F13413" s="24"/>
      <c r="G13413" s="24"/>
      <c r="H13413" s="24"/>
      <c r="I13413" s="24"/>
      <c r="J13413" s="24"/>
      <c r="K13413" s="24"/>
      <c r="L13413" s="24"/>
      <c r="M13413" s="24"/>
      <c r="N13413" s="24"/>
      <c r="O13413" s="24"/>
      <c r="P13413" s="24"/>
      <c r="Q13413" s="24"/>
      <c r="R13413" s="24"/>
      <c r="S13413" s="24"/>
      <c r="T13413" s="24"/>
      <c r="U13413" s="24"/>
      <c r="V13413" s="24"/>
      <c r="W13413" s="24"/>
      <c r="X13413" s="24"/>
      <c r="Y13413" s="24"/>
      <c r="Z13413" s="24"/>
      <c r="AA13413" s="24"/>
    </row>
    <row r="13414">
      <c r="A13414" s="24"/>
      <c r="B13414" s="25"/>
      <c r="C13414" s="24"/>
      <c r="D13414" s="26"/>
      <c r="E13414" s="24"/>
      <c r="F13414" s="24"/>
      <c r="G13414" s="24"/>
      <c r="H13414" s="24"/>
      <c r="I13414" s="24"/>
      <c r="J13414" s="24"/>
      <c r="K13414" s="24"/>
      <c r="L13414" s="24"/>
      <c r="M13414" s="24"/>
      <c r="N13414" s="24"/>
      <c r="O13414" s="24"/>
      <c r="P13414" s="24"/>
      <c r="Q13414" s="24"/>
      <c r="R13414" s="24"/>
      <c r="S13414" s="24"/>
      <c r="T13414" s="24"/>
      <c r="U13414" s="24"/>
      <c r="V13414" s="24"/>
      <c r="W13414" s="24"/>
      <c r="X13414" s="24"/>
      <c r="Y13414" s="24"/>
      <c r="Z13414" s="24"/>
      <c r="AA13414" s="24"/>
    </row>
    <row r="13415">
      <c r="A13415" s="24"/>
      <c r="B13415" s="25"/>
      <c r="C13415" s="24"/>
      <c r="D13415" s="26"/>
      <c r="E13415" s="24"/>
      <c r="F13415" s="24"/>
      <c r="G13415" s="24"/>
      <c r="H13415" s="24"/>
      <c r="I13415" s="24"/>
      <c r="J13415" s="24"/>
      <c r="K13415" s="24"/>
      <c r="L13415" s="24"/>
      <c r="M13415" s="24"/>
      <c r="N13415" s="24"/>
      <c r="O13415" s="24"/>
      <c r="P13415" s="24"/>
      <c r="Q13415" s="24"/>
      <c r="R13415" s="24"/>
      <c r="S13415" s="24"/>
      <c r="T13415" s="24"/>
      <c r="U13415" s="24"/>
      <c r="V13415" s="24"/>
      <c r="W13415" s="24"/>
      <c r="X13415" s="24"/>
      <c r="Y13415" s="24"/>
      <c r="Z13415" s="24"/>
      <c r="AA13415" s="24"/>
    </row>
    <row r="13416">
      <c r="A13416" s="24"/>
      <c r="B13416" s="25"/>
      <c r="C13416" s="24"/>
      <c r="D13416" s="26"/>
      <c r="E13416" s="24"/>
      <c r="F13416" s="24"/>
      <c r="G13416" s="24"/>
      <c r="H13416" s="24"/>
      <c r="I13416" s="24"/>
      <c r="J13416" s="24"/>
      <c r="K13416" s="24"/>
      <c r="L13416" s="24"/>
      <c r="M13416" s="24"/>
      <c r="N13416" s="24"/>
      <c r="O13416" s="24"/>
      <c r="P13416" s="24"/>
      <c r="Q13416" s="24"/>
      <c r="R13416" s="24"/>
      <c r="S13416" s="24"/>
      <c r="T13416" s="24"/>
      <c r="U13416" s="24"/>
      <c r="V13416" s="24"/>
      <c r="W13416" s="24"/>
      <c r="X13416" s="24"/>
      <c r="Y13416" s="24"/>
      <c r="Z13416" s="24"/>
      <c r="AA13416" s="24"/>
    </row>
    <row r="13417">
      <c r="A13417" s="24"/>
      <c r="B13417" s="25"/>
      <c r="C13417" s="24"/>
      <c r="D13417" s="26"/>
      <c r="E13417" s="24"/>
      <c r="F13417" s="24"/>
      <c r="G13417" s="24"/>
      <c r="H13417" s="24"/>
      <c r="I13417" s="24"/>
      <c r="J13417" s="24"/>
      <c r="K13417" s="24"/>
      <c r="L13417" s="24"/>
      <c r="M13417" s="24"/>
      <c r="N13417" s="24"/>
      <c r="O13417" s="24"/>
      <c r="P13417" s="24"/>
      <c r="Q13417" s="24"/>
      <c r="R13417" s="24"/>
      <c r="S13417" s="24"/>
      <c r="T13417" s="24"/>
      <c r="U13417" s="24"/>
      <c r="V13417" s="24"/>
      <c r="W13417" s="24"/>
      <c r="X13417" s="24"/>
      <c r="Y13417" s="24"/>
      <c r="Z13417" s="24"/>
      <c r="AA13417" s="24"/>
    </row>
    <row r="13418">
      <c r="A13418" s="24"/>
      <c r="B13418" s="25"/>
      <c r="C13418" s="24"/>
      <c r="D13418" s="26"/>
      <c r="E13418" s="24"/>
      <c r="F13418" s="24"/>
      <c r="G13418" s="24"/>
      <c r="H13418" s="24"/>
      <c r="I13418" s="24"/>
      <c r="J13418" s="24"/>
      <c r="K13418" s="24"/>
      <c r="L13418" s="24"/>
      <c r="M13418" s="24"/>
      <c r="N13418" s="24"/>
      <c r="O13418" s="24"/>
      <c r="P13418" s="24"/>
      <c r="Q13418" s="24"/>
      <c r="R13418" s="24"/>
      <c r="S13418" s="24"/>
      <c r="T13418" s="24"/>
      <c r="U13418" s="24"/>
      <c r="V13418" s="24"/>
      <c r="W13418" s="24"/>
      <c r="X13418" s="24"/>
      <c r="Y13418" s="24"/>
      <c r="Z13418" s="24"/>
      <c r="AA13418" s="24"/>
    </row>
    <row r="13419">
      <c r="A13419" s="24"/>
      <c r="B13419" s="25"/>
      <c r="C13419" s="24"/>
      <c r="D13419" s="26"/>
      <c r="E13419" s="24"/>
      <c r="F13419" s="24"/>
      <c r="G13419" s="24"/>
      <c r="H13419" s="24"/>
      <c r="I13419" s="24"/>
      <c r="J13419" s="24"/>
      <c r="K13419" s="24"/>
      <c r="L13419" s="24"/>
      <c r="M13419" s="24"/>
      <c r="N13419" s="24"/>
      <c r="O13419" s="24"/>
      <c r="P13419" s="24"/>
      <c r="Q13419" s="24"/>
      <c r="R13419" s="24"/>
      <c r="S13419" s="24"/>
      <c r="T13419" s="24"/>
      <c r="U13419" s="24"/>
      <c r="V13419" s="24"/>
      <c r="W13419" s="24"/>
      <c r="X13419" s="24"/>
      <c r="Y13419" s="24"/>
      <c r="Z13419" s="24"/>
      <c r="AA13419" s="24"/>
    </row>
    <row r="13420">
      <c r="A13420" s="24"/>
      <c r="B13420" s="25"/>
      <c r="C13420" s="24"/>
      <c r="D13420" s="26"/>
      <c r="E13420" s="24"/>
      <c r="F13420" s="24"/>
      <c r="G13420" s="24"/>
      <c r="H13420" s="24"/>
      <c r="I13420" s="24"/>
      <c r="J13420" s="24"/>
      <c r="K13420" s="24"/>
      <c r="L13420" s="24"/>
      <c r="M13420" s="24"/>
      <c r="N13420" s="24"/>
      <c r="O13420" s="24"/>
      <c r="P13420" s="24"/>
      <c r="Q13420" s="24"/>
      <c r="R13420" s="24"/>
      <c r="S13420" s="24"/>
      <c r="T13420" s="24"/>
      <c r="U13420" s="24"/>
      <c r="V13420" s="24"/>
      <c r="W13420" s="24"/>
      <c r="X13420" s="24"/>
      <c r="Y13420" s="24"/>
      <c r="Z13420" s="24"/>
      <c r="AA13420" s="24"/>
    </row>
    <row r="13421">
      <c r="A13421" s="24"/>
      <c r="B13421" s="25"/>
      <c r="C13421" s="24"/>
      <c r="D13421" s="26"/>
      <c r="E13421" s="24"/>
      <c r="F13421" s="24"/>
      <c r="G13421" s="24"/>
      <c r="H13421" s="24"/>
      <c r="I13421" s="24"/>
      <c r="J13421" s="24"/>
      <c r="K13421" s="24"/>
      <c r="L13421" s="24"/>
      <c r="M13421" s="24"/>
      <c r="N13421" s="24"/>
      <c r="O13421" s="24"/>
      <c r="P13421" s="24"/>
      <c r="Q13421" s="24"/>
      <c r="R13421" s="24"/>
      <c r="S13421" s="24"/>
      <c r="T13421" s="24"/>
      <c r="U13421" s="24"/>
      <c r="V13421" s="24"/>
      <c r="W13421" s="24"/>
      <c r="X13421" s="24"/>
      <c r="Y13421" s="24"/>
      <c r="Z13421" s="24"/>
      <c r="AA13421" s="24"/>
    </row>
    <row r="13422">
      <c r="A13422" s="24"/>
      <c r="B13422" s="25"/>
      <c r="C13422" s="24"/>
      <c r="D13422" s="26"/>
      <c r="E13422" s="24"/>
      <c r="F13422" s="24"/>
      <c r="G13422" s="24"/>
      <c r="H13422" s="24"/>
      <c r="I13422" s="24"/>
      <c r="J13422" s="24"/>
      <c r="K13422" s="24"/>
      <c r="L13422" s="24"/>
      <c r="M13422" s="24"/>
      <c r="N13422" s="24"/>
      <c r="O13422" s="24"/>
      <c r="P13422" s="24"/>
      <c r="Q13422" s="24"/>
      <c r="R13422" s="24"/>
      <c r="S13422" s="24"/>
      <c r="T13422" s="24"/>
      <c r="U13422" s="24"/>
      <c r="V13422" s="24"/>
      <c r="W13422" s="24"/>
      <c r="X13422" s="24"/>
      <c r="Y13422" s="24"/>
      <c r="Z13422" s="24"/>
      <c r="AA13422" s="24"/>
    </row>
    <row r="13423">
      <c r="A13423" s="24"/>
      <c r="B13423" s="25"/>
      <c r="C13423" s="24"/>
      <c r="D13423" s="26"/>
      <c r="E13423" s="24"/>
      <c r="F13423" s="24"/>
      <c r="G13423" s="24"/>
      <c r="H13423" s="24"/>
      <c r="I13423" s="24"/>
      <c r="J13423" s="24"/>
      <c r="K13423" s="24"/>
      <c r="L13423" s="24"/>
      <c r="M13423" s="24"/>
      <c r="N13423" s="24"/>
      <c r="O13423" s="24"/>
      <c r="P13423" s="24"/>
      <c r="Q13423" s="24"/>
      <c r="R13423" s="24"/>
      <c r="S13423" s="24"/>
      <c r="T13423" s="24"/>
      <c r="U13423" s="24"/>
      <c r="V13423" s="24"/>
      <c r="W13423" s="24"/>
      <c r="X13423" s="24"/>
      <c r="Y13423" s="24"/>
      <c r="Z13423" s="24"/>
      <c r="AA13423" s="24"/>
    </row>
    <row r="13424">
      <c r="A13424" s="24"/>
      <c r="B13424" s="25"/>
      <c r="C13424" s="24"/>
      <c r="D13424" s="26"/>
      <c r="E13424" s="24"/>
      <c r="F13424" s="24"/>
      <c r="G13424" s="24"/>
      <c r="H13424" s="24"/>
      <c r="I13424" s="24"/>
      <c r="J13424" s="24"/>
      <c r="K13424" s="24"/>
      <c r="L13424" s="24"/>
      <c r="M13424" s="24"/>
      <c r="N13424" s="24"/>
      <c r="O13424" s="24"/>
      <c r="P13424" s="24"/>
      <c r="Q13424" s="24"/>
      <c r="R13424" s="24"/>
      <c r="S13424" s="24"/>
      <c r="T13424" s="24"/>
      <c r="U13424" s="24"/>
      <c r="V13424" s="24"/>
      <c r="W13424" s="24"/>
      <c r="X13424" s="24"/>
      <c r="Y13424" s="24"/>
      <c r="Z13424" s="24"/>
      <c r="AA13424" s="24"/>
    </row>
    <row r="13425">
      <c r="A13425" s="24"/>
      <c r="B13425" s="25"/>
      <c r="C13425" s="24"/>
      <c r="D13425" s="26"/>
      <c r="E13425" s="24"/>
      <c r="F13425" s="24"/>
      <c r="G13425" s="24"/>
      <c r="H13425" s="24"/>
      <c r="I13425" s="24"/>
      <c r="J13425" s="24"/>
      <c r="K13425" s="24"/>
      <c r="L13425" s="24"/>
      <c r="M13425" s="24"/>
      <c r="N13425" s="24"/>
      <c r="O13425" s="24"/>
      <c r="P13425" s="24"/>
      <c r="Q13425" s="24"/>
      <c r="R13425" s="24"/>
      <c r="S13425" s="24"/>
      <c r="T13425" s="24"/>
      <c r="U13425" s="24"/>
      <c r="V13425" s="24"/>
      <c r="W13425" s="24"/>
      <c r="X13425" s="24"/>
      <c r="Y13425" s="24"/>
      <c r="Z13425" s="24"/>
      <c r="AA13425" s="24"/>
    </row>
    <row r="13426">
      <c r="A13426" s="24"/>
      <c r="B13426" s="25"/>
      <c r="C13426" s="24"/>
      <c r="D13426" s="26"/>
      <c r="E13426" s="24"/>
      <c r="F13426" s="24"/>
      <c r="G13426" s="24"/>
      <c r="H13426" s="24"/>
      <c r="I13426" s="24"/>
      <c r="J13426" s="24"/>
      <c r="K13426" s="24"/>
      <c r="L13426" s="24"/>
      <c r="M13426" s="24"/>
      <c r="N13426" s="24"/>
      <c r="O13426" s="24"/>
      <c r="P13426" s="24"/>
      <c r="Q13426" s="24"/>
      <c r="R13426" s="24"/>
      <c r="S13426" s="24"/>
      <c r="T13426" s="24"/>
      <c r="U13426" s="24"/>
      <c r="V13426" s="24"/>
      <c r="W13426" s="24"/>
      <c r="X13426" s="24"/>
      <c r="Y13426" s="24"/>
      <c r="Z13426" s="24"/>
      <c r="AA13426" s="24"/>
    </row>
    <row r="13427">
      <c r="A13427" s="24"/>
      <c r="B13427" s="25"/>
      <c r="C13427" s="24"/>
      <c r="D13427" s="26"/>
      <c r="E13427" s="24"/>
      <c r="F13427" s="24"/>
      <c r="G13427" s="24"/>
      <c r="H13427" s="24"/>
      <c r="I13427" s="24"/>
      <c r="J13427" s="24"/>
      <c r="K13427" s="24"/>
      <c r="L13427" s="24"/>
      <c r="M13427" s="24"/>
      <c r="N13427" s="24"/>
      <c r="O13427" s="24"/>
      <c r="P13427" s="24"/>
      <c r="Q13427" s="24"/>
      <c r="R13427" s="24"/>
      <c r="S13427" s="24"/>
      <c r="T13427" s="24"/>
      <c r="U13427" s="24"/>
      <c r="V13427" s="24"/>
      <c r="W13427" s="24"/>
      <c r="X13427" s="24"/>
      <c r="Y13427" s="24"/>
      <c r="Z13427" s="24"/>
      <c r="AA13427" s="24"/>
    </row>
    <row r="13428">
      <c r="A13428" s="24"/>
      <c r="B13428" s="25"/>
      <c r="C13428" s="24"/>
      <c r="D13428" s="26"/>
      <c r="E13428" s="24"/>
      <c r="F13428" s="24"/>
      <c r="G13428" s="24"/>
      <c r="H13428" s="24"/>
      <c r="I13428" s="24"/>
      <c r="J13428" s="24"/>
      <c r="K13428" s="24"/>
      <c r="L13428" s="24"/>
      <c r="M13428" s="24"/>
      <c r="N13428" s="24"/>
      <c r="O13428" s="24"/>
      <c r="P13428" s="24"/>
      <c r="Q13428" s="24"/>
      <c r="R13428" s="24"/>
      <c r="S13428" s="24"/>
      <c r="T13428" s="24"/>
      <c r="U13428" s="24"/>
      <c r="V13428" s="24"/>
      <c r="W13428" s="24"/>
      <c r="X13428" s="24"/>
      <c r="Y13428" s="24"/>
      <c r="Z13428" s="24"/>
      <c r="AA13428" s="24"/>
    </row>
    <row r="13429">
      <c r="A13429" s="24"/>
      <c r="B13429" s="25"/>
      <c r="C13429" s="24"/>
      <c r="D13429" s="26"/>
      <c r="E13429" s="24"/>
      <c r="F13429" s="24"/>
      <c r="G13429" s="24"/>
      <c r="H13429" s="24"/>
      <c r="I13429" s="24"/>
      <c r="J13429" s="24"/>
      <c r="K13429" s="24"/>
      <c r="L13429" s="24"/>
      <c r="M13429" s="24"/>
      <c r="N13429" s="24"/>
      <c r="O13429" s="24"/>
      <c r="P13429" s="24"/>
      <c r="Q13429" s="24"/>
      <c r="R13429" s="24"/>
      <c r="S13429" s="24"/>
      <c r="T13429" s="24"/>
      <c r="U13429" s="24"/>
      <c r="V13429" s="24"/>
      <c r="W13429" s="24"/>
      <c r="X13429" s="24"/>
      <c r="Y13429" s="24"/>
      <c r="Z13429" s="24"/>
      <c r="AA13429" s="24"/>
    </row>
    <row r="13430">
      <c r="A13430" s="24"/>
      <c r="B13430" s="25"/>
      <c r="C13430" s="24"/>
      <c r="D13430" s="26"/>
      <c r="E13430" s="24"/>
      <c r="F13430" s="24"/>
      <c r="G13430" s="24"/>
      <c r="H13430" s="24"/>
      <c r="I13430" s="24"/>
      <c r="J13430" s="24"/>
      <c r="K13430" s="24"/>
      <c r="L13430" s="24"/>
      <c r="M13430" s="24"/>
      <c r="N13430" s="24"/>
      <c r="O13430" s="24"/>
      <c r="P13430" s="24"/>
      <c r="Q13430" s="24"/>
      <c r="R13430" s="24"/>
      <c r="S13430" s="24"/>
      <c r="T13430" s="24"/>
      <c r="U13430" s="24"/>
      <c r="V13430" s="24"/>
      <c r="W13430" s="24"/>
      <c r="X13430" s="24"/>
      <c r="Y13430" s="24"/>
      <c r="Z13430" s="24"/>
      <c r="AA13430" s="24"/>
    </row>
    <row r="13431">
      <c r="A13431" s="24"/>
      <c r="B13431" s="25"/>
      <c r="C13431" s="24"/>
      <c r="D13431" s="26"/>
      <c r="E13431" s="24"/>
      <c r="F13431" s="24"/>
      <c r="G13431" s="24"/>
      <c r="H13431" s="24"/>
      <c r="I13431" s="24"/>
      <c r="J13431" s="24"/>
      <c r="K13431" s="24"/>
      <c r="L13431" s="24"/>
      <c r="M13431" s="24"/>
      <c r="N13431" s="24"/>
      <c r="O13431" s="24"/>
      <c r="P13431" s="24"/>
      <c r="Q13431" s="24"/>
      <c r="R13431" s="24"/>
      <c r="S13431" s="24"/>
      <c r="T13431" s="24"/>
      <c r="U13431" s="24"/>
      <c r="V13431" s="24"/>
      <c r="W13431" s="24"/>
      <c r="X13431" s="24"/>
      <c r="Y13431" s="24"/>
      <c r="Z13431" s="24"/>
      <c r="AA13431" s="24"/>
    </row>
    <row r="13432">
      <c r="A13432" s="24"/>
      <c r="B13432" s="25"/>
      <c r="C13432" s="24"/>
      <c r="D13432" s="26"/>
      <c r="E13432" s="24"/>
      <c r="F13432" s="24"/>
      <c r="G13432" s="24"/>
      <c r="H13432" s="24"/>
      <c r="I13432" s="24"/>
      <c r="J13432" s="24"/>
      <c r="K13432" s="24"/>
      <c r="L13432" s="24"/>
      <c r="M13432" s="24"/>
      <c r="N13432" s="24"/>
      <c r="O13432" s="24"/>
      <c r="P13432" s="24"/>
      <c r="Q13432" s="24"/>
      <c r="R13432" s="24"/>
      <c r="S13432" s="24"/>
      <c r="T13432" s="24"/>
      <c r="U13432" s="24"/>
      <c r="V13432" s="24"/>
      <c r="W13432" s="24"/>
      <c r="X13432" s="24"/>
      <c r="Y13432" s="24"/>
      <c r="Z13432" s="24"/>
      <c r="AA13432" s="24"/>
    </row>
    <row r="13433">
      <c r="A13433" s="24"/>
      <c r="B13433" s="25"/>
      <c r="C13433" s="24"/>
      <c r="D13433" s="26"/>
      <c r="E13433" s="24"/>
      <c r="F13433" s="24"/>
      <c r="G13433" s="24"/>
      <c r="H13433" s="24"/>
      <c r="I13433" s="24"/>
      <c r="J13433" s="24"/>
      <c r="K13433" s="24"/>
      <c r="L13433" s="24"/>
      <c r="M13433" s="24"/>
      <c r="N13433" s="24"/>
      <c r="O13433" s="24"/>
      <c r="P13433" s="24"/>
      <c r="Q13433" s="24"/>
      <c r="R13433" s="24"/>
      <c r="S13433" s="24"/>
      <c r="T13433" s="24"/>
      <c r="U13433" s="24"/>
      <c r="V13433" s="24"/>
      <c r="W13433" s="24"/>
      <c r="X13433" s="24"/>
      <c r="Y13433" s="24"/>
      <c r="Z13433" s="24"/>
      <c r="AA13433" s="24"/>
    </row>
    <row r="13434">
      <c r="A13434" s="24"/>
      <c r="B13434" s="25"/>
      <c r="C13434" s="24"/>
      <c r="D13434" s="26"/>
      <c r="E13434" s="24"/>
      <c r="F13434" s="24"/>
      <c r="G13434" s="24"/>
      <c r="H13434" s="24"/>
      <c r="I13434" s="24"/>
      <c r="J13434" s="24"/>
      <c r="K13434" s="24"/>
      <c r="L13434" s="24"/>
      <c r="M13434" s="24"/>
      <c r="N13434" s="24"/>
      <c r="O13434" s="24"/>
      <c r="P13434" s="24"/>
      <c r="Q13434" s="24"/>
      <c r="R13434" s="24"/>
      <c r="S13434" s="24"/>
      <c r="T13434" s="24"/>
      <c r="U13434" s="24"/>
      <c r="V13434" s="24"/>
      <c r="W13434" s="24"/>
      <c r="X13434" s="24"/>
      <c r="Y13434" s="24"/>
      <c r="Z13434" s="24"/>
      <c r="AA13434" s="24"/>
    </row>
    <row r="13435">
      <c r="A13435" s="24"/>
      <c r="B13435" s="25"/>
      <c r="C13435" s="24"/>
      <c r="D13435" s="26"/>
      <c r="E13435" s="24"/>
      <c r="F13435" s="24"/>
      <c r="G13435" s="24"/>
      <c r="H13435" s="24"/>
      <c r="I13435" s="24"/>
      <c r="J13435" s="24"/>
      <c r="K13435" s="24"/>
      <c r="L13435" s="24"/>
      <c r="M13435" s="24"/>
      <c r="N13435" s="24"/>
      <c r="O13435" s="24"/>
      <c r="P13435" s="24"/>
      <c r="Q13435" s="24"/>
      <c r="R13435" s="24"/>
      <c r="S13435" s="24"/>
      <c r="T13435" s="24"/>
      <c r="U13435" s="24"/>
      <c r="V13435" s="24"/>
      <c r="W13435" s="24"/>
      <c r="X13435" s="24"/>
      <c r="Y13435" s="24"/>
      <c r="Z13435" s="24"/>
      <c r="AA13435" s="24"/>
    </row>
    <row r="13436">
      <c r="A13436" s="24"/>
      <c r="B13436" s="25"/>
      <c r="C13436" s="24"/>
      <c r="D13436" s="26"/>
      <c r="E13436" s="24"/>
      <c r="F13436" s="24"/>
      <c r="G13436" s="24"/>
      <c r="H13436" s="24"/>
      <c r="I13436" s="24"/>
      <c r="J13436" s="24"/>
      <c r="K13436" s="24"/>
      <c r="L13436" s="24"/>
      <c r="M13436" s="24"/>
      <c r="N13436" s="24"/>
      <c r="O13436" s="24"/>
      <c r="P13436" s="24"/>
      <c r="Q13436" s="24"/>
      <c r="R13436" s="24"/>
      <c r="S13436" s="24"/>
      <c r="T13436" s="24"/>
      <c r="U13436" s="24"/>
      <c r="V13436" s="24"/>
      <c r="W13436" s="24"/>
      <c r="X13436" s="24"/>
      <c r="Y13436" s="24"/>
      <c r="Z13436" s="24"/>
      <c r="AA13436" s="24"/>
    </row>
    <row r="13437">
      <c r="A13437" s="24"/>
      <c r="B13437" s="25"/>
      <c r="C13437" s="24"/>
      <c r="D13437" s="26"/>
      <c r="E13437" s="24"/>
      <c r="F13437" s="24"/>
      <c r="G13437" s="24"/>
      <c r="H13437" s="24"/>
      <c r="I13437" s="24"/>
      <c r="J13437" s="24"/>
      <c r="K13437" s="24"/>
      <c r="L13437" s="24"/>
      <c r="M13437" s="24"/>
      <c r="N13437" s="24"/>
      <c r="O13437" s="24"/>
      <c r="P13437" s="24"/>
      <c r="Q13437" s="24"/>
      <c r="R13437" s="24"/>
      <c r="S13437" s="24"/>
      <c r="T13437" s="24"/>
      <c r="U13437" s="24"/>
      <c r="V13437" s="24"/>
      <c r="W13437" s="24"/>
      <c r="X13437" s="24"/>
      <c r="Y13437" s="24"/>
      <c r="Z13437" s="24"/>
      <c r="AA13437" s="24"/>
    </row>
    <row r="13438">
      <c r="A13438" s="24"/>
      <c r="B13438" s="25"/>
      <c r="C13438" s="24"/>
      <c r="D13438" s="26"/>
      <c r="E13438" s="24"/>
      <c r="F13438" s="24"/>
      <c r="G13438" s="24"/>
      <c r="H13438" s="24"/>
      <c r="I13438" s="24"/>
      <c r="J13438" s="24"/>
      <c r="K13438" s="24"/>
      <c r="L13438" s="24"/>
      <c r="M13438" s="24"/>
      <c r="N13438" s="24"/>
      <c r="O13438" s="24"/>
      <c r="P13438" s="24"/>
      <c r="Q13438" s="24"/>
      <c r="R13438" s="24"/>
      <c r="S13438" s="24"/>
      <c r="T13438" s="24"/>
      <c r="U13438" s="24"/>
      <c r="V13438" s="24"/>
      <c r="W13438" s="24"/>
      <c r="X13438" s="24"/>
      <c r="Y13438" s="24"/>
      <c r="Z13438" s="24"/>
      <c r="AA13438" s="24"/>
    </row>
    <row r="13439">
      <c r="A13439" s="24"/>
      <c r="B13439" s="25"/>
      <c r="C13439" s="24"/>
      <c r="D13439" s="26"/>
      <c r="E13439" s="24"/>
      <c r="F13439" s="24"/>
      <c r="G13439" s="24"/>
      <c r="H13439" s="24"/>
      <c r="I13439" s="24"/>
      <c r="J13439" s="24"/>
      <c r="K13439" s="24"/>
      <c r="L13439" s="24"/>
      <c r="M13439" s="24"/>
      <c r="N13439" s="24"/>
      <c r="O13439" s="24"/>
      <c r="P13439" s="24"/>
      <c r="Q13439" s="24"/>
      <c r="R13439" s="24"/>
      <c r="S13439" s="24"/>
      <c r="T13439" s="24"/>
      <c r="U13439" s="24"/>
      <c r="V13439" s="24"/>
      <c r="W13439" s="24"/>
      <c r="X13439" s="24"/>
      <c r="Y13439" s="24"/>
      <c r="Z13439" s="24"/>
      <c r="AA13439" s="24"/>
    </row>
    <row r="13440">
      <c r="A13440" s="24"/>
      <c r="B13440" s="25"/>
      <c r="C13440" s="24"/>
      <c r="D13440" s="26"/>
      <c r="E13440" s="24"/>
      <c r="F13440" s="24"/>
      <c r="G13440" s="24"/>
      <c r="H13440" s="24"/>
      <c r="I13440" s="24"/>
      <c r="J13440" s="24"/>
      <c r="K13440" s="24"/>
      <c r="L13440" s="24"/>
      <c r="M13440" s="24"/>
      <c r="N13440" s="24"/>
      <c r="O13440" s="24"/>
      <c r="P13440" s="24"/>
      <c r="Q13440" s="24"/>
      <c r="R13440" s="24"/>
      <c r="S13440" s="24"/>
      <c r="T13440" s="24"/>
      <c r="U13440" s="24"/>
      <c r="V13440" s="24"/>
      <c r="W13440" s="24"/>
      <c r="X13440" s="24"/>
      <c r="Y13440" s="24"/>
      <c r="Z13440" s="24"/>
      <c r="AA13440" s="24"/>
    </row>
    <row r="13441">
      <c r="A13441" s="24"/>
      <c r="B13441" s="25"/>
      <c r="C13441" s="24"/>
      <c r="D13441" s="26"/>
      <c r="E13441" s="24"/>
      <c r="F13441" s="24"/>
      <c r="G13441" s="24"/>
      <c r="H13441" s="24"/>
      <c r="I13441" s="24"/>
      <c r="J13441" s="24"/>
      <c r="K13441" s="24"/>
      <c r="L13441" s="24"/>
      <c r="M13441" s="24"/>
      <c r="N13441" s="24"/>
      <c r="O13441" s="24"/>
      <c r="P13441" s="24"/>
      <c r="Q13441" s="24"/>
      <c r="R13441" s="24"/>
      <c r="S13441" s="24"/>
      <c r="T13441" s="24"/>
      <c r="U13441" s="24"/>
      <c r="V13441" s="24"/>
      <c r="W13441" s="24"/>
      <c r="X13441" s="24"/>
      <c r="Y13441" s="24"/>
      <c r="Z13441" s="24"/>
      <c r="AA13441" s="24"/>
    </row>
    <row r="13442">
      <c r="A13442" s="24"/>
      <c r="B13442" s="25"/>
      <c r="C13442" s="24"/>
      <c r="D13442" s="26"/>
      <c r="E13442" s="24"/>
      <c r="F13442" s="24"/>
      <c r="G13442" s="24"/>
      <c r="H13442" s="24"/>
      <c r="I13442" s="24"/>
      <c r="J13442" s="24"/>
      <c r="K13442" s="24"/>
      <c r="L13442" s="24"/>
      <c r="M13442" s="24"/>
      <c r="N13442" s="24"/>
      <c r="O13442" s="24"/>
      <c r="P13442" s="24"/>
      <c r="Q13442" s="24"/>
      <c r="R13442" s="24"/>
      <c r="S13442" s="24"/>
      <c r="T13442" s="24"/>
      <c r="U13442" s="24"/>
      <c r="V13442" s="24"/>
      <c r="W13442" s="24"/>
      <c r="X13442" s="24"/>
      <c r="Y13442" s="24"/>
      <c r="Z13442" s="24"/>
      <c r="AA13442" s="24"/>
    </row>
    <row r="13443">
      <c r="A13443" s="24"/>
      <c r="B13443" s="25"/>
      <c r="C13443" s="24"/>
      <c r="D13443" s="26"/>
      <c r="E13443" s="24"/>
      <c r="F13443" s="24"/>
      <c r="G13443" s="24"/>
      <c r="H13443" s="24"/>
      <c r="I13443" s="24"/>
      <c r="J13443" s="24"/>
      <c r="K13443" s="24"/>
      <c r="L13443" s="24"/>
      <c r="M13443" s="24"/>
      <c r="N13443" s="24"/>
      <c r="O13443" s="24"/>
      <c r="P13443" s="24"/>
      <c r="Q13443" s="24"/>
      <c r="R13443" s="24"/>
      <c r="S13443" s="24"/>
      <c r="T13443" s="24"/>
      <c r="U13443" s="24"/>
      <c r="V13443" s="24"/>
      <c r="W13443" s="24"/>
      <c r="X13443" s="24"/>
      <c r="Y13443" s="24"/>
      <c r="Z13443" s="24"/>
      <c r="AA13443" s="24"/>
    </row>
    <row r="13444">
      <c r="A13444" s="24"/>
      <c r="B13444" s="25"/>
      <c r="C13444" s="24"/>
      <c r="D13444" s="26"/>
      <c r="E13444" s="24"/>
      <c r="F13444" s="24"/>
      <c r="G13444" s="24"/>
      <c r="H13444" s="24"/>
      <c r="I13444" s="24"/>
      <c r="J13444" s="24"/>
      <c r="K13444" s="24"/>
      <c r="L13444" s="24"/>
      <c r="M13444" s="24"/>
      <c r="N13444" s="24"/>
      <c r="O13444" s="24"/>
      <c r="P13444" s="24"/>
      <c r="Q13444" s="24"/>
      <c r="R13444" s="24"/>
      <c r="S13444" s="24"/>
      <c r="T13444" s="24"/>
      <c r="U13444" s="24"/>
      <c r="V13444" s="24"/>
      <c r="W13444" s="24"/>
      <c r="X13444" s="24"/>
      <c r="Y13444" s="24"/>
      <c r="Z13444" s="24"/>
      <c r="AA13444" s="24"/>
    </row>
    <row r="13445">
      <c r="A13445" s="24"/>
      <c r="B13445" s="25"/>
      <c r="C13445" s="24"/>
      <c r="D13445" s="26"/>
      <c r="E13445" s="24"/>
      <c r="F13445" s="24"/>
      <c r="G13445" s="24"/>
      <c r="H13445" s="24"/>
      <c r="I13445" s="24"/>
      <c r="J13445" s="24"/>
      <c r="K13445" s="24"/>
      <c r="L13445" s="24"/>
      <c r="M13445" s="24"/>
      <c r="N13445" s="24"/>
      <c r="O13445" s="24"/>
      <c r="P13445" s="24"/>
      <c r="Q13445" s="24"/>
      <c r="R13445" s="24"/>
      <c r="S13445" s="24"/>
      <c r="T13445" s="24"/>
      <c r="U13445" s="24"/>
      <c r="V13445" s="24"/>
      <c r="W13445" s="24"/>
      <c r="X13445" s="24"/>
      <c r="Y13445" s="24"/>
      <c r="Z13445" s="24"/>
      <c r="AA13445" s="24"/>
    </row>
    <row r="13446">
      <c r="A13446" s="24"/>
      <c r="B13446" s="25"/>
      <c r="C13446" s="24"/>
      <c r="D13446" s="26"/>
      <c r="E13446" s="24"/>
      <c r="F13446" s="24"/>
      <c r="G13446" s="24"/>
      <c r="H13446" s="24"/>
      <c r="I13446" s="24"/>
      <c r="J13446" s="24"/>
      <c r="K13446" s="24"/>
      <c r="L13446" s="24"/>
      <c r="M13446" s="24"/>
      <c r="N13446" s="24"/>
      <c r="O13446" s="24"/>
      <c r="P13446" s="24"/>
      <c r="Q13446" s="24"/>
      <c r="R13446" s="24"/>
      <c r="S13446" s="24"/>
      <c r="T13446" s="24"/>
      <c r="U13446" s="24"/>
      <c r="V13446" s="24"/>
      <c r="W13446" s="24"/>
      <c r="X13446" s="24"/>
      <c r="Y13446" s="24"/>
      <c r="Z13446" s="24"/>
      <c r="AA13446" s="24"/>
    </row>
    <row r="13447">
      <c r="A13447" s="24"/>
      <c r="B13447" s="25"/>
      <c r="C13447" s="24"/>
      <c r="D13447" s="26"/>
      <c r="E13447" s="24"/>
      <c r="F13447" s="24"/>
      <c r="G13447" s="24"/>
      <c r="H13447" s="24"/>
      <c r="I13447" s="24"/>
      <c r="J13447" s="24"/>
      <c r="K13447" s="24"/>
      <c r="L13447" s="24"/>
      <c r="M13447" s="24"/>
      <c r="N13447" s="24"/>
      <c r="O13447" s="24"/>
      <c r="P13447" s="24"/>
      <c r="Q13447" s="24"/>
      <c r="R13447" s="24"/>
      <c r="S13447" s="24"/>
      <c r="T13447" s="24"/>
      <c r="U13447" s="24"/>
      <c r="V13447" s="24"/>
      <c r="W13447" s="24"/>
      <c r="X13447" s="24"/>
      <c r="Y13447" s="24"/>
      <c r="Z13447" s="24"/>
      <c r="AA13447" s="24"/>
    </row>
    <row r="13448">
      <c r="A13448" s="24"/>
      <c r="B13448" s="25"/>
      <c r="C13448" s="24"/>
      <c r="D13448" s="26"/>
      <c r="E13448" s="24"/>
      <c r="F13448" s="24"/>
      <c r="G13448" s="24"/>
      <c r="H13448" s="24"/>
      <c r="I13448" s="24"/>
      <c r="J13448" s="24"/>
      <c r="K13448" s="24"/>
      <c r="L13448" s="24"/>
      <c r="M13448" s="24"/>
      <c r="N13448" s="24"/>
      <c r="O13448" s="24"/>
      <c r="P13448" s="24"/>
      <c r="Q13448" s="24"/>
      <c r="R13448" s="24"/>
      <c r="S13448" s="24"/>
      <c r="T13448" s="24"/>
      <c r="U13448" s="24"/>
      <c r="V13448" s="24"/>
      <c r="W13448" s="24"/>
      <c r="X13448" s="24"/>
      <c r="Y13448" s="24"/>
      <c r="Z13448" s="24"/>
      <c r="AA13448" s="24"/>
    </row>
    <row r="13449">
      <c r="A13449" s="24"/>
      <c r="B13449" s="25"/>
      <c r="C13449" s="24"/>
      <c r="D13449" s="26"/>
      <c r="E13449" s="24"/>
      <c r="F13449" s="24"/>
      <c r="G13449" s="24"/>
      <c r="H13449" s="24"/>
      <c r="I13449" s="24"/>
      <c r="J13449" s="24"/>
      <c r="K13449" s="24"/>
      <c r="L13449" s="24"/>
      <c r="M13449" s="24"/>
      <c r="N13449" s="24"/>
      <c r="O13449" s="24"/>
      <c r="P13449" s="24"/>
      <c r="Q13449" s="24"/>
      <c r="R13449" s="24"/>
      <c r="S13449" s="24"/>
      <c r="T13449" s="24"/>
      <c r="U13449" s="24"/>
      <c r="V13449" s="24"/>
      <c r="W13449" s="24"/>
      <c r="X13449" s="24"/>
      <c r="Y13449" s="24"/>
      <c r="Z13449" s="24"/>
      <c r="AA13449" s="24"/>
    </row>
    <row r="13450">
      <c r="A13450" s="24"/>
      <c r="B13450" s="25"/>
      <c r="C13450" s="24"/>
      <c r="D13450" s="26"/>
      <c r="E13450" s="24"/>
      <c r="F13450" s="24"/>
      <c r="G13450" s="24"/>
      <c r="H13450" s="24"/>
      <c r="I13450" s="24"/>
      <c r="J13450" s="24"/>
      <c r="K13450" s="24"/>
      <c r="L13450" s="24"/>
      <c r="M13450" s="24"/>
      <c r="N13450" s="24"/>
      <c r="O13450" s="24"/>
      <c r="P13450" s="24"/>
      <c r="Q13450" s="24"/>
      <c r="R13450" s="24"/>
      <c r="S13450" s="24"/>
      <c r="T13450" s="24"/>
      <c r="U13450" s="24"/>
      <c r="V13450" s="24"/>
      <c r="W13450" s="24"/>
      <c r="X13450" s="24"/>
      <c r="Y13450" s="24"/>
      <c r="Z13450" s="24"/>
      <c r="AA13450" s="24"/>
    </row>
    <row r="13451">
      <c r="A13451" s="24"/>
      <c r="B13451" s="25"/>
      <c r="C13451" s="24"/>
      <c r="D13451" s="26"/>
      <c r="E13451" s="24"/>
      <c r="F13451" s="24"/>
      <c r="G13451" s="24"/>
      <c r="H13451" s="24"/>
      <c r="I13451" s="24"/>
      <c r="J13451" s="24"/>
      <c r="K13451" s="24"/>
      <c r="L13451" s="24"/>
      <c r="M13451" s="24"/>
      <c r="N13451" s="24"/>
      <c r="O13451" s="24"/>
      <c r="P13451" s="24"/>
      <c r="Q13451" s="24"/>
      <c r="R13451" s="24"/>
      <c r="S13451" s="24"/>
      <c r="T13451" s="24"/>
      <c r="U13451" s="24"/>
      <c r="V13451" s="24"/>
      <c r="W13451" s="24"/>
      <c r="X13451" s="24"/>
      <c r="Y13451" s="24"/>
      <c r="Z13451" s="24"/>
      <c r="AA13451" s="24"/>
    </row>
    <row r="13452">
      <c r="A13452" s="24"/>
      <c r="B13452" s="25"/>
      <c r="C13452" s="24"/>
      <c r="D13452" s="26"/>
      <c r="E13452" s="24"/>
      <c r="F13452" s="24"/>
      <c r="G13452" s="24"/>
      <c r="H13452" s="24"/>
      <c r="I13452" s="24"/>
      <c r="J13452" s="24"/>
      <c r="K13452" s="24"/>
      <c r="L13452" s="24"/>
      <c r="M13452" s="24"/>
      <c r="N13452" s="24"/>
      <c r="O13452" s="24"/>
      <c r="P13452" s="24"/>
      <c r="Q13452" s="24"/>
      <c r="R13452" s="24"/>
      <c r="S13452" s="24"/>
      <c r="T13452" s="24"/>
      <c r="U13452" s="24"/>
      <c r="V13452" s="24"/>
      <c r="W13452" s="24"/>
      <c r="X13452" s="24"/>
      <c r="Y13452" s="24"/>
      <c r="Z13452" s="24"/>
      <c r="AA13452" s="24"/>
    </row>
    <row r="13453">
      <c r="A13453" s="24"/>
      <c r="B13453" s="25"/>
      <c r="C13453" s="24"/>
      <c r="D13453" s="26"/>
      <c r="E13453" s="24"/>
      <c r="F13453" s="24"/>
      <c r="G13453" s="24"/>
      <c r="H13453" s="24"/>
      <c r="I13453" s="24"/>
      <c r="J13453" s="24"/>
      <c r="K13453" s="24"/>
      <c r="L13453" s="24"/>
      <c r="M13453" s="24"/>
      <c r="N13453" s="24"/>
      <c r="O13453" s="24"/>
      <c r="P13453" s="24"/>
      <c r="Q13453" s="24"/>
      <c r="R13453" s="24"/>
      <c r="S13453" s="24"/>
      <c r="T13453" s="24"/>
      <c r="U13453" s="24"/>
      <c r="V13453" s="24"/>
      <c r="W13453" s="24"/>
      <c r="X13453" s="24"/>
      <c r="Y13453" s="24"/>
      <c r="Z13453" s="24"/>
      <c r="AA13453" s="24"/>
    </row>
    <row r="13454">
      <c r="A13454" s="24"/>
      <c r="B13454" s="25"/>
      <c r="C13454" s="24"/>
      <c r="D13454" s="26"/>
      <c r="E13454" s="24"/>
      <c r="F13454" s="24"/>
      <c r="G13454" s="24"/>
      <c r="H13454" s="24"/>
      <c r="I13454" s="24"/>
      <c r="J13454" s="24"/>
      <c r="K13454" s="24"/>
      <c r="L13454" s="24"/>
      <c r="M13454" s="24"/>
      <c r="N13454" s="24"/>
      <c r="O13454" s="24"/>
      <c r="P13454" s="24"/>
      <c r="Q13454" s="24"/>
      <c r="R13454" s="24"/>
      <c r="S13454" s="24"/>
      <c r="T13454" s="24"/>
      <c r="U13454" s="24"/>
      <c r="V13454" s="24"/>
      <c r="W13454" s="24"/>
      <c r="X13454" s="24"/>
      <c r="Y13454" s="24"/>
      <c r="Z13454" s="24"/>
      <c r="AA13454" s="24"/>
    </row>
    <row r="13455">
      <c r="A13455" s="24"/>
      <c r="B13455" s="25"/>
      <c r="C13455" s="24"/>
      <c r="D13455" s="26"/>
      <c r="E13455" s="24"/>
      <c r="F13455" s="24"/>
      <c r="G13455" s="24"/>
      <c r="H13455" s="24"/>
      <c r="I13455" s="24"/>
      <c r="J13455" s="24"/>
      <c r="K13455" s="24"/>
      <c r="L13455" s="24"/>
      <c r="M13455" s="24"/>
      <c r="N13455" s="24"/>
      <c r="O13455" s="24"/>
      <c r="P13455" s="24"/>
      <c r="Q13455" s="24"/>
      <c r="R13455" s="24"/>
      <c r="S13455" s="24"/>
      <c r="T13455" s="24"/>
      <c r="U13455" s="24"/>
      <c r="V13455" s="24"/>
      <c r="W13455" s="24"/>
      <c r="X13455" s="24"/>
      <c r="Y13455" s="24"/>
      <c r="Z13455" s="24"/>
      <c r="AA13455" s="24"/>
    </row>
    <row r="13456">
      <c r="A13456" s="24"/>
      <c r="B13456" s="25"/>
      <c r="C13456" s="24"/>
      <c r="D13456" s="26"/>
      <c r="E13456" s="24"/>
      <c r="F13456" s="24"/>
      <c r="G13456" s="24"/>
      <c r="H13456" s="24"/>
      <c r="I13456" s="24"/>
      <c r="J13456" s="24"/>
      <c r="K13456" s="24"/>
      <c r="L13456" s="24"/>
      <c r="M13456" s="24"/>
      <c r="N13456" s="24"/>
      <c r="O13456" s="24"/>
      <c r="P13456" s="24"/>
      <c r="Q13456" s="24"/>
      <c r="R13456" s="24"/>
      <c r="S13456" s="24"/>
      <c r="T13456" s="24"/>
      <c r="U13456" s="24"/>
      <c r="V13456" s="24"/>
      <c r="W13456" s="24"/>
      <c r="X13456" s="24"/>
      <c r="Y13456" s="24"/>
      <c r="Z13456" s="24"/>
      <c r="AA13456" s="24"/>
    </row>
    <row r="13457">
      <c r="A13457" s="24"/>
      <c r="B13457" s="25"/>
      <c r="C13457" s="24"/>
      <c r="D13457" s="26"/>
      <c r="E13457" s="24"/>
      <c r="F13457" s="24"/>
      <c r="G13457" s="24"/>
      <c r="H13457" s="24"/>
      <c r="I13457" s="24"/>
      <c r="J13457" s="24"/>
      <c r="K13457" s="24"/>
      <c r="L13457" s="24"/>
      <c r="M13457" s="24"/>
      <c r="N13457" s="24"/>
      <c r="O13457" s="24"/>
      <c r="P13457" s="24"/>
      <c r="Q13457" s="24"/>
      <c r="R13457" s="24"/>
      <c r="S13457" s="24"/>
      <c r="T13457" s="24"/>
      <c r="U13457" s="24"/>
      <c r="V13457" s="24"/>
      <c r="W13457" s="24"/>
      <c r="X13457" s="24"/>
      <c r="Y13457" s="24"/>
      <c r="Z13457" s="24"/>
      <c r="AA13457" s="24"/>
    </row>
    <row r="13458">
      <c r="A13458" s="24"/>
      <c r="B13458" s="25"/>
      <c r="C13458" s="24"/>
      <c r="D13458" s="26"/>
      <c r="E13458" s="24"/>
      <c r="F13458" s="24"/>
      <c r="G13458" s="24"/>
      <c r="H13458" s="24"/>
      <c r="I13458" s="24"/>
      <c r="J13458" s="24"/>
      <c r="K13458" s="24"/>
      <c r="L13458" s="24"/>
      <c r="M13458" s="24"/>
      <c r="N13458" s="24"/>
      <c r="O13458" s="24"/>
      <c r="P13458" s="24"/>
      <c r="Q13458" s="24"/>
      <c r="R13458" s="24"/>
      <c r="S13458" s="24"/>
      <c r="T13458" s="24"/>
      <c r="U13458" s="24"/>
      <c r="V13458" s="24"/>
      <c r="W13458" s="24"/>
      <c r="X13458" s="24"/>
      <c r="Y13458" s="24"/>
      <c r="Z13458" s="24"/>
      <c r="AA13458" s="24"/>
    </row>
    <row r="13459">
      <c r="A13459" s="24"/>
      <c r="B13459" s="25"/>
      <c r="C13459" s="24"/>
      <c r="D13459" s="26"/>
      <c r="E13459" s="24"/>
      <c r="F13459" s="24"/>
      <c r="G13459" s="24"/>
      <c r="H13459" s="24"/>
      <c r="I13459" s="24"/>
      <c r="J13459" s="24"/>
      <c r="K13459" s="24"/>
      <c r="L13459" s="24"/>
      <c r="M13459" s="24"/>
      <c r="N13459" s="24"/>
      <c r="O13459" s="24"/>
      <c r="P13459" s="24"/>
      <c r="Q13459" s="24"/>
      <c r="R13459" s="24"/>
      <c r="S13459" s="24"/>
      <c r="T13459" s="24"/>
      <c r="U13459" s="24"/>
      <c r="V13459" s="24"/>
      <c r="W13459" s="24"/>
      <c r="X13459" s="24"/>
      <c r="Y13459" s="24"/>
      <c r="Z13459" s="24"/>
      <c r="AA13459" s="24"/>
    </row>
    <row r="13460">
      <c r="A13460" s="24"/>
      <c r="B13460" s="25"/>
      <c r="C13460" s="24"/>
      <c r="D13460" s="26"/>
      <c r="E13460" s="24"/>
      <c r="F13460" s="24"/>
      <c r="G13460" s="24"/>
      <c r="H13460" s="24"/>
      <c r="I13460" s="24"/>
      <c r="J13460" s="24"/>
      <c r="K13460" s="24"/>
      <c r="L13460" s="24"/>
      <c r="M13460" s="24"/>
      <c r="N13460" s="24"/>
      <c r="O13460" s="24"/>
      <c r="P13460" s="24"/>
      <c r="Q13460" s="24"/>
      <c r="R13460" s="24"/>
      <c r="S13460" s="24"/>
      <c r="T13460" s="24"/>
      <c r="U13460" s="24"/>
      <c r="V13460" s="24"/>
      <c r="W13460" s="24"/>
      <c r="X13460" s="24"/>
      <c r="Y13460" s="24"/>
      <c r="Z13460" s="24"/>
      <c r="AA13460" s="24"/>
    </row>
    <row r="13461">
      <c r="A13461" s="24"/>
      <c r="B13461" s="25"/>
      <c r="C13461" s="24"/>
      <c r="D13461" s="26"/>
      <c r="E13461" s="24"/>
      <c r="F13461" s="24"/>
      <c r="G13461" s="24"/>
      <c r="H13461" s="24"/>
      <c r="I13461" s="24"/>
      <c r="J13461" s="24"/>
      <c r="K13461" s="24"/>
      <c r="L13461" s="24"/>
      <c r="M13461" s="24"/>
      <c r="N13461" s="24"/>
      <c r="O13461" s="24"/>
      <c r="P13461" s="24"/>
      <c r="Q13461" s="24"/>
      <c r="R13461" s="24"/>
      <c r="S13461" s="24"/>
      <c r="T13461" s="24"/>
      <c r="U13461" s="24"/>
      <c r="V13461" s="24"/>
      <c r="W13461" s="24"/>
      <c r="X13461" s="24"/>
      <c r="Y13461" s="24"/>
      <c r="Z13461" s="24"/>
      <c r="AA13461" s="24"/>
    </row>
    <row r="13462">
      <c r="A13462" s="24"/>
      <c r="B13462" s="25"/>
      <c r="C13462" s="24"/>
      <c r="D13462" s="26"/>
      <c r="E13462" s="24"/>
      <c r="F13462" s="24"/>
      <c r="G13462" s="24"/>
      <c r="H13462" s="24"/>
      <c r="I13462" s="24"/>
      <c r="J13462" s="24"/>
      <c r="K13462" s="24"/>
      <c r="L13462" s="24"/>
      <c r="M13462" s="24"/>
      <c r="N13462" s="24"/>
      <c r="O13462" s="24"/>
      <c r="P13462" s="24"/>
      <c r="Q13462" s="24"/>
      <c r="R13462" s="24"/>
      <c r="S13462" s="24"/>
      <c r="T13462" s="24"/>
      <c r="U13462" s="24"/>
      <c r="V13462" s="24"/>
      <c r="W13462" s="24"/>
      <c r="X13462" s="24"/>
      <c r="Y13462" s="24"/>
      <c r="Z13462" s="24"/>
      <c r="AA13462" s="24"/>
    </row>
    <row r="13463">
      <c r="A13463" s="24"/>
      <c r="B13463" s="25"/>
      <c r="C13463" s="24"/>
      <c r="D13463" s="26"/>
      <c r="E13463" s="24"/>
      <c r="F13463" s="24"/>
      <c r="G13463" s="24"/>
      <c r="H13463" s="24"/>
      <c r="I13463" s="24"/>
      <c r="J13463" s="24"/>
      <c r="K13463" s="24"/>
      <c r="L13463" s="24"/>
      <c r="M13463" s="24"/>
      <c r="N13463" s="24"/>
      <c r="O13463" s="24"/>
      <c r="P13463" s="24"/>
      <c r="Q13463" s="24"/>
      <c r="R13463" s="24"/>
      <c r="S13463" s="24"/>
      <c r="T13463" s="24"/>
      <c r="U13463" s="24"/>
      <c r="V13463" s="24"/>
      <c r="W13463" s="24"/>
      <c r="X13463" s="24"/>
      <c r="Y13463" s="24"/>
      <c r="Z13463" s="24"/>
      <c r="AA13463" s="24"/>
    </row>
    <row r="13464">
      <c r="A13464" s="24"/>
      <c r="B13464" s="25"/>
      <c r="C13464" s="24"/>
      <c r="D13464" s="26"/>
      <c r="E13464" s="24"/>
      <c r="F13464" s="24"/>
      <c r="G13464" s="24"/>
      <c r="H13464" s="24"/>
      <c r="I13464" s="24"/>
      <c r="J13464" s="24"/>
      <c r="K13464" s="24"/>
      <c r="L13464" s="24"/>
      <c r="M13464" s="24"/>
      <c r="N13464" s="24"/>
      <c r="O13464" s="24"/>
      <c r="P13464" s="24"/>
      <c r="Q13464" s="24"/>
      <c r="R13464" s="24"/>
      <c r="S13464" s="24"/>
      <c r="T13464" s="24"/>
      <c r="U13464" s="24"/>
      <c r="V13464" s="24"/>
      <c r="W13464" s="24"/>
      <c r="X13464" s="24"/>
      <c r="Y13464" s="24"/>
      <c r="Z13464" s="24"/>
      <c r="AA13464" s="24"/>
    </row>
    <row r="13465">
      <c r="A13465" s="24"/>
      <c r="B13465" s="25"/>
      <c r="C13465" s="24"/>
      <c r="D13465" s="26"/>
      <c r="E13465" s="24"/>
      <c r="F13465" s="24"/>
      <c r="G13465" s="24"/>
      <c r="H13465" s="24"/>
      <c r="I13465" s="24"/>
      <c r="J13465" s="24"/>
      <c r="K13465" s="24"/>
      <c r="L13465" s="24"/>
      <c r="M13465" s="24"/>
      <c r="N13465" s="24"/>
      <c r="O13465" s="24"/>
      <c r="P13465" s="24"/>
      <c r="Q13465" s="24"/>
      <c r="R13465" s="24"/>
      <c r="S13465" s="24"/>
      <c r="T13465" s="24"/>
      <c r="U13465" s="24"/>
      <c r="V13465" s="24"/>
      <c r="W13465" s="24"/>
      <c r="X13465" s="24"/>
      <c r="Y13465" s="24"/>
      <c r="Z13465" s="24"/>
      <c r="AA13465" s="24"/>
    </row>
    <row r="13466">
      <c r="A13466" s="24"/>
      <c r="B13466" s="25"/>
      <c r="C13466" s="24"/>
      <c r="D13466" s="26"/>
      <c r="E13466" s="24"/>
      <c r="F13466" s="24"/>
      <c r="G13466" s="24"/>
      <c r="H13466" s="24"/>
      <c r="I13466" s="24"/>
      <c r="J13466" s="24"/>
      <c r="K13466" s="24"/>
      <c r="L13466" s="24"/>
      <c r="M13466" s="24"/>
      <c r="N13466" s="24"/>
      <c r="O13466" s="24"/>
      <c r="P13466" s="24"/>
      <c r="Q13466" s="24"/>
      <c r="R13466" s="24"/>
      <c r="S13466" s="24"/>
      <c r="T13466" s="24"/>
      <c r="U13466" s="24"/>
      <c r="V13466" s="24"/>
      <c r="W13466" s="24"/>
      <c r="X13466" s="24"/>
      <c r="Y13466" s="24"/>
      <c r="Z13466" s="24"/>
      <c r="AA13466" s="24"/>
    </row>
    <row r="13467">
      <c r="A13467" s="24"/>
      <c r="B13467" s="25"/>
      <c r="C13467" s="24"/>
      <c r="D13467" s="26"/>
      <c r="E13467" s="24"/>
      <c r="F13467" s="24"/>
      <c r="G13467" s="24"/>
      <c r="H13467" s="24"/>
      <c r="I13467" s="24"/>
      <c r="J13467" s="24"/>
      <c r="K13467" s="24"/>
      <c r="L13467" s="24"/>
      <c r="M13467" s="24"/>
      <c r="N13467" s="24"/>
      <c r="O13467" s="24"/>
      <c r="P13467" s="24"/>
      <c r="Q13467" s="24"/>
      <c r="R13467" s="24"/>
      <c r="S13467" s="24"/>
      <c r="T13467" s="24"/>
      <c r="U13467" s="24"/>
      <c r="V13467" s="24"/>
      <c r="W13467" s="24"/>
      <c r="X13467" s="24"/>
      <c r="Y13467" s="24"/>
      <c r="Z13467" s="24"/>
      <c r="AA13467" s="24"/>
    </row>
    <row r="13468">
      <c r="A13468" s="24"/>
      <c r="B13468" s="25"/>
      <c r="C13468" s="24"/>
      <c r="D13468" s="26"/>
      <c r="E13468" s="24"/>
      <c r="F13468" s="24"/>
      <c r="G13468" s="24"/>
      <c r="H13468" s="24"/>
      <c r="I13468" s="24"/>
      <c r="J13468" s="24"/>
      <c r="K13468" s="24"/>
      <c r="L13468" s="24"/>
      <c r="M13468" s="24"/>
      <c r="N13468" s="24"/>
      <c r="O13468" s="24"/>
      <c r="P13468" s="24"/>
      <c r="Q13468" s="24"/>
      <c r="R13468" s="24"/>
      <c r="S13468" s="24"/>
      <c r="T13468" s="24"/>
      <c r="U13468" s="24"/>
      <c r="V13468" s="24"/>
      <c r="W13468" s="24"/>
      <c r="X13468" s="24"/>
      <c r="Y13468" s="24"/>
      <c r="Z13468" s="24"/>
      <c r="AA13468" s="24"/>
    </row>
    <row r="13469">
      <c r="A13469" s="24"/>
      <c r="B13469" s="25"/>
      <c r="C13469" s="24"/>
      <c r="D13469" s="26"/>
      <c r="E13469" s="24"/>
      <c r="F13469" s="24"/>
      <c r="G13469" s="24"/>
      <c r="H13469" s="24"/>
      <c r="I13469" s="24"/>
      <c r="J13469" s="24"/>
      <c r="K13469" s="24"/>
      <c r="L13469" s="24"/>
      <c r="M13469" s="24"/>
      <c r="N13469" s="24"/>
      <c r="O13469" s="24"/>
      <c r="P13469" s="24"/>
      <c r="Q13469" s="24"/>
      <c r="R13469" s="24"/>
      <c r="S13469" s="24"/>
      <c r="T13469" s="24"/>
      <c r="U13469" s="24"/>
      <c r="V13469" s="24"/>
      <c r="W13469" s="24"/>
      <c r="X13469" s="24"/>
      <c r="Y13469" s="24"/>
      <c r="Z13469" s="24"/>
      <c r="AA13469" s="24"/>
    </row>
    <row r="13470">
      <c r="A13470" s="24"/>
      <c r="B13470" s="25"/>
      <c r="C13470" s="24"/>
      <c r="D13470" s="26"/>
      <c r="E13470" s="24"/>
      <c r="F13470" s="24"/>
      <c r="G13470" s="24"/>
      <c r="H13470" s="24"/>
      <c r="I13470" s="24"/>
      <c r="J13470" s="24"/>
      <c r="K13470" s="24"/>
      <c r="L13470" s="24"/>
      <c r="M13470" s="24"/>
      <c r="N13470" s="24"/>
      <c r="O13470" s="24"/>
      <c r="P13470" s="24"/>
      <c r="Q13470" s="24"/>
      <c r="R13470" s="24"/>
      <c r="S13470" s="24"/>
      <c r="T13470" s="24"/>
      <c r="U13470" s="24"/>
      <c r="V13470" s="24"/>
      <c r="W13470" s="24"/>
      <c r="X13470" s="24"/>
      <c r="Y13470" s="24"/>
      <c r="Z13470" s="24"/>
      <c r="AA13470" s="24"/>
    </row>
    <row r="13471">
      <c r="A13471" s="24"/>
      <c r="B13471" s="25"/>
      <c r="C13471" s="24"/>
      <c r="D13471" s="26"/>
      <c r="E13471" s="24"/>
      <c r="F13471" s="24"/>
      <c r="G13471" s="24"/>
      <c r="H13471" s="24"/>
      <c r="I13471" s="24"/>
      <c r="J13471" s="24"/>
      <c r="K13471" s="24"/>
      <c r="L13471" s="24"/>
      <c r="M13471" s="24"/>
      <c r="N13471" s="24"/>
      <c r="O13471" s="24"/>
      <c r="P13471" s="24"/>
      <c r="Q13471" s="24"/>
      <c r="R13471" s="24"/>
      <c r="S13471" s="24"/>
      <c r="T13471" s="24"/>
      <c r="U13471" s="24"/>
      <c r="V13471" s="24"/>
      <c r="W13471" s="24"/>
      <c r="X13471" s="24"/>
      <c r="Y13471" s="24"/>
      <c r="Z13471" s="24"/>
      <c r="AA13471" s="24"/>
    </row>
    <row r="13472">
      <c r="A13472" s="24"/>
      <c r="B13472" s="25"/>
      <c r="C13472" s="24"/>
      <c r="D13472" s="26"/>
      <c r="E13472" s="24"/>
      <c r="F13472" s="24"/>
      <c r="G13472" s="24"/>
      <c r="H13472" s="24"/>
      <c r="I13472" s="24"/>
      <c r="J13472" s="24"/>
      <c r="K13472" s="24"/>
      <c r="L13472" s="24"/>
      <c r="M13472" s="24"/>
      <c r="N13472" s="24"/>
      <c r="O13472" s="24"/>
      <c r="P13472" s="24"/>
      <c r="Q13472" s="24"/>
      <c r="R13472" s="24"/>
      <c r="S13472" s="24"/>
      <c r="T13472" s="24"/>
      <c r="U13472" s="24"/>
      <c r="V13472" s="24"/>
      <c r="W13472" s="24"/>
      <c r="X13472" s="24"/>
      <c r="Y13472" s="24"/>
      <c r="Z13472" s="24"/>
      <c r="AA13472" s="24"/>
    </row>
    <row r="13473">
      <c r="A13473" s="24"/>
      <c r="B13473" s="25"/>
      <c r="C13473" s="24"/>
      <c r="D13473" s="26"/>
      <c r="E13473" s="24"/>
      <c r="F13473" s="24"/>
      <c r="G13473" s="24"/>
      <c r="H13473" s="24"/>
      <c r="I13473" s="24"/>
      <c r="J13473" s="24"/>
      <c r="K13473" s="24"/>
      <c r="L13473" s="24"/>
      <c r="M13473" s="24"/>
      <c r="N13473" s="24"/>
      <c r="O13473" s="24"/>
      <c r="P13473" s="24"/>
      <c r="Q13473" s="24"/>
      <c r="R13473" s="24"/>
      <c r="S13473" s="24"/>
      <c r="T13473" s="24"/>
      <c r="U13473" s="24"/>
      <c r="V13473" s="24"/>
      <c r="W13473" s="24"/>
      <c r="X13473" s="24"/>
      <c r="Y13473" s="24"/>
      <c r="Z13473" s="24"/>
      <c r="AA13473" s="24"/>
    </row>
    <row r="13474">
      <c r="A13474" s="24"/>
      <c r="B13474" s="25"/>
      <c r="C13474" s="24"/>
      <c r="D13474" s="26"/>
      <c r="E13474" s="24"/>
      <c r="F13474" s="24"/>
      <c r="G13474" s="24"/>
      <c r="H13474" s="24"/>
      <c r="I13474" s="24"/>
      <c r="J13474" s="24"/>
      <c r="K13474" s="24"/>
      <c r="L13474" s="24"/>
      <c r="M13474" s="24"/>
      <c r="N13474" s="24"/>
      <c r="O13474" s="24"/>
      <c r="P13474" s="24"/>
      <c r="Q13474" s="24"/>
      <c r="R13474" s="24"/>
      <c r="S13474" s="24"/>
      <c r="T13474" s="24"/>
      <c r="U13474" s="24"/>
      <c r="V13474" s="24"/>
      <c r="W13474" s="24"/>
      <c r="X13474" s="24"/>
      <c r="Y13474" s="24"/>
      <c r="Z13474" s="24"/>
      <c r="AA13474" s="24"/>
    </row>
    <row r="13475">
      <c r="A13475" s="24"/>
      <c r="B13475" s="25"/>
      <c r="C13475" s="24"/>
      <c r="D13475" s="26"/>
      <c r="E13475" s="24"/>
      <c r="F13475" s="24"/>
      <c r="G13475" s="24"/>
      <c r="H13475" s="24"/>
      <c r="I13475" s="24"/>
      <c r="J13475" s="24"/>
      <c r="K13475" s="24"/>
      <c r="L13475" s="24"/>
      <c r="M13475" s="24"/>
      <c r="N13475" s="24"/>
      <c r="O13475" s="24"/>
      <c r="P13475" s="24"/>
      <c r="Q13475" s="24"/>
      <c r="R13475" s="24"/>
      <c r="S13475" s="24"/>
      <c r="T13475" s="24"/>
      <c r="U13475" s="24"/>
      <c r="V13475" s="24"/>
      <c r="W13475" s="24"/>
      <c r="X13475" s="24"/>
      <c r="Y13475" s="24"/>
      <c r="Z13475" s="24"/>
      <c r="AA13475" s="24"/>
    </row>
    <row r="13476">
      <c r="A13476" s="24"/>
      <c r="B13476" s="25"/>
      <c r="C13476" s="24"/>
      <c r="D13476" s="26"/>
      <c r="E13476" s="24"/>
      <c r="F13476" s="24"/>
      <c r="G13476" s="24"/>
      <c r="H13476" s="24"/>
      <c r="I13476" s="24"/>
      <c r="J13476" s="24"/>
      <c r="K13476" s="24"/>
      <c r="L13476" s="24"/>
      <c r="M13476" s="24"/>
      <c r="N13476" s="24"/>
      <c r="O13476" s="24"/>
      <c r="P13476" s="24"/>
      <c r="Q13476" s="24"/>
      <c r="R13476" s="24"/>
      <c r="S13476" s="24"/>
      <c r="T13476" s="24"/>
      <c r="U13476" s="24"/>
      <c r="V13476" s="24"/>
      <c r="W13476" s="24"/>
      <c r="X13476" s="24"/>
      <c r="Y13476" s="24"/>
      <c r="Z13476" s="24"/>
      <c r="AA13476" s="24"/>
    </row>
    <row r="13477">
      <c r="A13477" s="24"/>
      <c r="B13477" s="25"/>
      <c r="C13477" s="24"/>
      <c r="D13477" s="26"/>
      <c r="E13477" s="24"/>
      <c r="F13477" s="24"/>
      <c r="G13477" s="24"/>
      <c r="H13477" s="24"/>
      <c r="I13477" s="24"/>
      <c r="J13477" s="24"/>
      <c r="K13477" s="24"/>
      <c r="L13477" s="24"/>
      <c r="M13477" s="24"/>
      <c r="N13477" s="24"/>
      <c r="O13477" s="24"/>
      <c r="P13477" s="24"/>
      <c r="Q13477" s="24"/>
      <c r="R13477" s="24"/>
      <c r="S13477" s="24"/>
      <c r="T13477" s="24"/>
      <c r="U13477" s="24"/>
      <c r="V13477" s="24"/>
      <c r="W13477" s="24"/>
      <c r="X13477" s="24"/>
      <c r="Y13477" s="24"/>
      <c r="Z13477" s="24"/>
      <c r="AA13477" s="24"/>
    </row>
    <row r="13478">
      <c r="A13478" s="24"/>
      <c r="B13478" s="25"/>
      <c r="C13478" s="24"/>
      <c r="D13478" s="26"/>
      <c r="E13478" s="24"/>
      <c r="F13478" s="24"/>
      <c r="G13478" s="24"/>
      <c r="H13478" s="24"/>
      <c r="I13478" s="24"/>
      <c r="J13478" s="24"/>
      <c r="K13478" s="24"/>
      <c r="L13478" s="24"/>
      <c r="M13478" s="24"/>
      <c r="N13478" s="24"/>
      <c r="O13478" s="24"/>
      <c r="P13478" s="24"/>
      <c r="Q13478" s="24"/>
      <c r="R13478" s="24"/>
      <c r="S13478" s="24"/>
      <c r="T13478" s="24"/>
      <c r="U13478" s="24"/>
      <c r="V13478" s="24"/>
      <c r="W13478" s="24"/>
      <c r="X13478" s="24"/>
      <c r="Y13478" s="24"/>
      <c r="Z13478" s="24"/>
      <c r="AA13478" s="24"/>
    </row>
    <row r="13479">
      <c r="A13479" s="24"/>
      <c r="B13479" s="25"/>
      <c r="C13479" s="24"/>
      <c r="D13479" s="26"/>
      <c r="E13479" s="24"/>
      <c r="F13479" s="24"/>
      <c r="G13479" s="24"/>
      <c r="H13479" s="24"/>
      <c r="I13479" s="24"/>
      <c r="J13479" s="24"/>
      <c r="K13479" s="24"/>
      <c r="L13479" s="24"/>
      <c r="M13479" s="24"/>
      <c r="N13479" s="24"/>
      <c r="O13479" s="24"/>
      <c r="P13479" s="24"/>
      <c r="Q13479" s="24"/>
      <c r="R13479" s="24"/>
      <c r="S13479" s="24"/>
      <c r="T13479" s="24"/>
      <c r="U13479" s="24"/>
      <c r="V13479" s="24"/>
      <c r="W13479" s="24"/>
      <c r="X13479" s="24"/>
      <c r="Y13479" s="24"/>
      <c r="Z13479" s="24"/>
      <c r="AA13479" s="24"/>
    </row>
    <row r="13480">
      <c r="A13480" s="24"/>
      <c r="B13480" s="25"/>
      <c r="C13480" s="24"/>
      <c r="D13480" s="26"/>
      <c r="E13480" s="24"/>
      <c r="F13480" s="24"/>
      <c r="G13480" s="24"/>
      <c r="H13480" s="24"/>
      <c r="I13480" s="24"/>
      <c r="J13480" s="24"/>
      <c r="K13480" s="24"/>
      <c r="L13480" s="24"/>
      <c r="M13480" s="24"/>
      <c r="N13480" s="24"/>
      <c r="O13480" s="24"/>
      <c r="P13480" s="24"/>
      <c r="Q13480" s="24"/>
      <c r="R13480" s="24"/>
      <c r="S13480" s="24"/>
      <c r="T13480" s="24"/>
      <c r="U13480" s="24"/>
      <c r="V13480" s="24"/>
      <c r="W13480" s="24"/>
      <c r="X13480" s="24"/>
      <c r="Y13480" s="24"/>
      <c r="Z13480" s="24"/>
      <c r="AA13480" s="24"/>
    </row>
    <row r="13481">
      <c r="A13481" s="24"/>
      <c r="B13481" s="25"/>
      <c r="C13481" s="24"/>
      <c r="D13481" s="26"/>
      <c r="E13481" s="24"/>
      <c r="F13481" s="24"/>
      <c r="G13481" s="24"/>
      <c r="H13481" s="24"/>
      <c r="I13481" s="24"/>
      <c r="J13481" s="24"/>
      <c r="K13481" s="24"/>
      <c r="L13481" s="24"/>
      <c r="M13481" s="24"/>
      <c r="N13481" s="24"/>
      <c r="O13481" s="24"/>
      <c r="P13481" s="24"/>
      <c r="Q13481" s="24"/>
      <c r="R13481" s="24"/>
      <c r="S13481" s="24"/>
      <c r="T13481" s="24"/>
      <c r="U13481" s="24"/>
      <c r="V13481" s="24"/>
      <c r="W13481" s="24"/>
      <c r="X13481" s="24"/>
      <c r="Y13481" s="24"/>
      <c r="Z13481" s="24"/>
      <c r="AA13481" s="24"/>
    </row>
    <row r="13482">
      <c r="A13482" s="24"/>
      <c r="B13482" s="25"/>
      <c r="C13482" s="24"/>
      <c r="D13482" s="26"/>
      <c r="E13482" s="24"/>
      <c r="F13482" s="24"/>
      <c r="G13482" s="24"/>
      <c r="H13482" s="24"/>
      <c r="I13482" s="24"/>
      <c r="J13482" s="24"/>
      <c r="K13482" s="24"/>
      <c r="L13482" s="24"/>
      <c r="M13482" s="24"/>
      <c r="N13482" s="24"/>
      <c r="O13482" s="24"/>
      <c r="P13482" s="24"/>
      <c r="Q13482" s="24"/>
      <c r="R13482" s="24"/>
      <c r="S13482" s="24"/>
      <c r="T13482" s="24"/>
      <c r="U13482" s="24"/>
      <c r="V13482" s="24"/>
      <c r="W13482" s="24"/>
      <c r="X13482" s="24"/>
      <c r="Y13482" s="24"/>
      <c r="Z13482" s="24"/>
      <c r="AA13482" s="24"/>
    </row>
    <row r="13483">
      <c r="A13483" s="24"/>
      <c r="B13483" s="25"/>
      <c r="C13483" s="24"/>
      <c r="D13483" s="26"/>
      <c r="E13483" s="24"/>
      <c r="F13483" s="24"/>
      <c r="G13483" s="24"/>
      <c r="H13483" s="24"/>
      <c r="I13483" s="24"/>
      <c r="J13483" s="24"/>
      <c r="K13483" s="24"/>
      <c r="L13483" s="24"/>
      <c r="M13483" s="24"/>
      <c r="N13483" s="24"/>
      <c r="O13483" s="24"/>
      <c r="P13483" s="24"/>
      <c r="Q13483" s="24"/>
      <c r="R13483" s="24"/>
      <c r="S13483" s="24"/>
      <c r="T13483" s="24"/>
      <c r="U13483" s="24"/>
      <c r="V13483" s="24"/>
      <c r="W13483" s="24"/>
      <c r="X13483" s="24"/>
      <c r="Y13483" s="24"/>
      <c r="Z13483" s="24"/>
      <c r="AA13483" s="24"/>
    </row>
    <row r="13484">
      <c r="A13484" s="24"/>
      <c r="B13484" s="25"/>
      <c r="C13484" s="24"/>
      <c r="D13484" s="26"/>
      <c r="E13484" s="24"/>
      <c r="F13484" s="24"/>
      <c r="G13484" s="24"/>
      <c r="H13484" s="24"/>
      <c r="I13484" s="24"/>
      <c r="J13484" s="24"/>
      <c r="K13484" s="24"/>
      <c r="L13484" s="24"/>
      <c r="M13484" s="24"/>
      <c r="N13484" s="24"/>
      <c r="O13484" s="24"/>
      <c r="P13484" s="24"/>
      <c r="Q13484" s="24"/>
      <c r="R13484" s="24"/>
      <c r="S13484" s="24"/>
      <c r="T13484" s="24"/>
      <c r="U13484" s="24"/>
      <c r="V13484" s="24"/>
      <c r="W13484" s="24"/>
      <c r="X13484" s="24"/>
      <c r="Y13484" s="24"/>
      <c r="Z13484" s="24"/>
      <c r="AA13484" s="24"/>
    </row>
    <row r="13485">
      <c r="A13485" s="24"/>
      <c r="B13485" s="25"/>
      <c r="C13485" s="24"/>
      <c r="D13485" s="26"/>
      <c r="E13485" s="24"/>
      <c r="F13485" s="24"/>
      <c r="G13485" s="24"/>
      <c r="H13485" s="24"/>
      <c r="I13485" s="24"/>
      <c r="J13485" s="24"/>
      <c r="K13485" s="24"/>
      <c r="L13485" s="24"/>
      <c r="M13485" s="24"/>
      <c r="N13485" s="24"/>
      <c r="O13485" s="24"/>
      <c r="P13485" s="24"/>
      <c r="Q13485" s="24"/>
      <c r="R13485" s="24"/>
      <c r="S13485" s="24"/>
      <c r="T13485" s="24"/>
      <c r="U13485" s="24"/>
      <c r="V13485" s="24"/>
      <c r="W13485" s="24"/>
      <c r="X13485" s="24"/>
      <c r="Y13485" s="24"/>
      <c r="Z13485" s="24"/>
      <c r="AA13485" s="24"/>
    </row>
    <row r="13486">
      <c r="A13486" s="24"/>
      <c r="B13486" s="25"/>
      <c r="C13486" s="24"/>
      <c r="D13486" s="26"/>
      <c r="E13486" s="24"/>
      <c r="F13486" s="24"/>
      <c r="G13486" s="24"/>
      <c r="H13486" s="24"/>
      <c r="I13486" s="24"/>
      <c r="J13486" s="24"/>
      <c r="K13486" s="24"/>
      <c r="L13486" s="24"/>
      <c r="M13486" s="24"/>
      <c r="N13486" s="24"/>
      <c r="O13486" s="24"/>
      <c r="P13486" s="24"/>
      <c r="Q13486" s="24"/>
      <c r="R13486" s="24"/>
      <c r="S13486" s="24"/>
      <c r="T13486" s="24"/>
      <c r="U13486" s="24"/>
      <c r="V13486" s="24"/>
      <c r="W13486" s="24"/>
      <c r="X13486" s="24"/>
      <c r="Y13486" s="24"/>
      <c r="Z13486" s="24"/>
      <c r="AA13486" s="24"/>
    </row>
    <row r="13487">
      <c r="A13487" s="24"/>
      <c r="B13487" s="25"/>
      <c r="C13487" s="24"/>
      <c r="D13487" s="26"/>
      <c r="E13487" s="24"/>
      <c r="F13487" s="24"/>
      <c r="G13487" s="24"/>
      <c r="H13487" s="24"/>
      <c r="I13487" s="24"/>
      <c r="J13487" s="24"/>
      <c r="K13487" s="24"/>
      <c r="L13487" s="24"/>
      <c r="M13487" s="24"/>
      <c r="N13487" s="24"/>
      <c r="O13487" s="24"/>
      <c r="P13487" s="24"/>
      <c r="Q13487" s="24"/>
      <c r="R13487" s="24"/>
      <c r="S13487" s="24"/>
      <c r="T13487" s="24"/>
      <c r="U13487" s="24"/>
      <c r="V13487" s="24"/>
      <c r="W13487" s="24"/>
      <c r="X13487" s="24"/>
      <c r="Y13487" s="24"/>
      <c r="Z13487" s="24"/>
      <c r="AA13487" s="24"/>
    </row>
    <row r="13488">
      <c r="A13488" s="24"/>
      <c r="B13488" s="25"/>
      <c r="C13488" s="24"/>
      <c r="D13488" s="26"/>
      <c r="E13488" s="24"/>
      <c r="F13488" s="24"/>
      <c r="G13488" s="24"/>
      <c r="H13488" s="24"/>
      <c r="I13488" s="24"/>
      <c r="J13488" s="24"/>
      <c r="K13488" s="24"/>
      <c r="L13488" s="24"/>
      <c r="M13488" s="24"/>
      <c r="N13488" s="24"/>
      <c r="O13488" s="24"/>
      <c r="P13488" s="24"/>
      <c r="Q13488" s="24"/>
      <c r="R13488" s="24"/>
      <c r="S13488" s="24"/>
      <c r="T13488" s="24"/>
      <c r="U13488" s="24"/>
      <c r="V13488" s="24"/>
      <c r="W13488" s="24"/>
      <c r="X13488" s="24"/>
      <c r="Y13488" s="24"/>
      <c r="Z13488" s="24"/>
      <c r="AA13488" s="24"/>
    </row>
    <row r="13489">
      <c r="A13489" s="24"/>
      <c r="B13489" s="25"/>
      <c r="C13489" s="24"/>
      <c r="D13489" s="26"/>
      <c r="E13489" s="24"/>
      <c r="F13489" s="24"/>
      <c r="G13489" s="24"/>
      <c r="H13489" s="24"/>
      <c r="I13489" s="24"/>
      <c r="J13489" s="24"/>
      <c r="K13489" s="24"/>
      <c r="L13489" s="24"/>
      <c r="M13489" s="24"/>
      <c r="N13489" s="24"/>
      <c r="O13489" s="24"/>
      <c r="P13489" s="24"/>
      <c r="Q13489" s="24"/>
      <c r="R13489" s="24"/>
      <c r="S13489" s="24"/>
      <c r="T13489" s="24"/>
      <c r="U13489" s="24"/>
      <c r="V13489" s="24"/>
      <c r="W13489" s="24"/>
      <c r="X13489" s="24"/>
      <c r="Y13489" s="24"/>
      <c r="Z13489" s="24"/>
      <c r="AA13489" s="24"/>
    </row>
    <row r="13490">
      <c r="A13490" s="24"/>
      <c r="B13490" s="25"/>
      <c r="C13490" s="24"/>
      <c r="D13490" s="26"/>
      <c r="E13490" s="24"/>
      <c r="F13490" s="24"/>
      <c r="G13490" s="24"/>
      <c r="H13490" s="24"/>
      <c r="I13490" s="24"/>
      <c r="J13490" s="24"/>
      <c r="K13490" s="24"/>
      <c r="L13490" s="24"/>
      <c r="M13490" s="24"/>
      <c r="N13490" s="24"/>
      <c r="O13490" s="24"/>
      <c r="P13490" s="24"/>
      <c r="Q13490" s="24"/>
      <c r="R13490" s="24"/>
      <c r="S13490" s="24"/>
      <c r="T13490" s="24"/>
      <c r="U13490" s="24"/>
      <c r="V13490" s="24"/>
      <c r="W13490" s="24"/>
      <c r="X13490" s="24"/>
      <c r="Y13490" s="24"/>
      <c r="Z13490" s="24"/>
      <c r="AA13490" s="24"/>
    </row>
    <row r="13491">
      <c r="A13491" s="24"/>
      <c r="B13491" s="25"/>
      <c r="C13491" s="24"/>
      <c r="D13491" s="26"/>
      <c r="E13491" s="24"/>
      <c r="F13491" s="24"/>
      <c r="G13491" s="24"/>
      <c r="H13491" s="24"/>
      <c r="I13491" s="24"/>
      <c r="J13491" s="24"/>
      <c r="K13491" s="24"/>
      <c r="L13491" s="24"/>
      <c r="M13491" s="24"/>
      <c r="N13491" s="24"/>
      <c r="O13491" s="24"/>
      <c r="P13491" s="24"/>
      <c r="Q13491" s="24"/>
      <c r="R13491" s="24"/>
      <c r="S13491" s="24"/>
      <c r="T13491" s="24"/>
      <c r="U13491" s="24"/>
      <c r="V13491" s="24"/>
      <c r="W13491" s="24"/>
      <c r="X13491" s="24"/>
      <c r="Y13491" s="24"/>
      <c r="Z13491" s="24"/>
      <c r="AA13491" s="24"/>
    </row>
    <row r="13492">
      <c r="A13492" s="24"/>
      <c r="B13492" s="25"/>
      <c r="C13492" s="24"/>
      <c r="D13492" s="26"/>
      <c r="E13492" s="24"/>
      <c r="F13492" s="24"/>
      <c r="G13492" s="24"/>
      <c r="H13492" s="24"/>
      <c r="I13492" s="24"/>
      <c r="J13492" s="24"/>
      <c r="K13492" s="24"/>
      <c r="L13492" s="24"/>
      <c r="M13492" s="24"/>
      <c r="N13492" s="24"/>
      <c r="O13492" s="24"/>
      <c r="P13492" s="24"/>
      <c r="Q13492" s="24"/>
      <c r="R13492" s="24"/>
      <c r="S13492" s="24"/>
      <c r="T13492" s="24"/>
      <c r="U13492" s="24"/>
      <c r="V13492" s="24"/>
      <c r="W13492" s="24"/>
      <c r="X13492" s="24"/>
      <c r="Y13492" s="24"/>
      <c r="Z13492" s="24"/>
      <c r="AA13492" s="24"/>
    </row>
    <row r="13493">
      <c r="A13493" s="24"/>
      <c r="B13493" s="25"/>
      <c r="C13493" s="24"/>
      <c r="D13493" s="26"/>
      <c r="E13493" s="24"/>
      <c r="F13493" s="24"/>
      <c r="G13493" s="24"/>
      <c r="H13493" s="24"/>
      <c r="I13493" s="24"/>
      <c r="J13493" s="24"/>
      <c r="K13493" s="24"/>
      <c r="L13493" s="24"/>
      <c r="M13493" s="24"/>
      <c r="N13493" s="24"/>
      <c r="O13493" s="24"/>
      <c r="P13493" s="24"/>
      <c r="Q13493" s="24"/>
      <c r="R13493" s="24"/>
      <c r="S13493" s="24"/>
      <c r="T13493" s="24"/>
      <c r="U13493" s="24"/>
      <c r="V13493" s="24"/>
      <c r="W13493" s="24"/>
      <c r="X13493" s="24"/>
      <c r="Y13493" s="24"/>
      <c r="Z13493" s="24"/>
      <c r="AA13493" s="24"/>
    </row>
    <row r="13494">
      <c r="A13494" s="24"/>
      <c r="B13494" s="25"/>
      <c r="C13494" s="24"/>
      <c r="D13494" s="26"/>
      <c r="E13494" s="24"/>
      <c r="F13494" s="24"/>
      <c r="G13494" s="24"/>
      <c r="H13494" s="24"/>
      <c r="I13494" s="24"/>
      <c r="J13494" s="24"/>
      <c r="K13494" s="24"/>
      <c r="L13494" s="24"/>
      <c r="M13494" s="24"/>
      <c r="N13494" s="24"/>
      <c r="O13494" s="24"/>
      <c r="P13494" s="24"/>
      <c r="Q13494" s="24"/>
      <c r="R13494" s="24"/>
      <c r="S13494" s="24"/>
      <c r="T13494" s="24"/>
      <c r="U13494" s="24"/>
      <c r="V13494" s="24"/>
      <c r="W13494" s="24"/>
      <c r="X13494" s="24"/>
      <c r="Y13494" s="24"/>
      <c r="Z13494" s="24"/>
      <c r="AA13494" s="24"/>
    </row>
    <row r="13495">
      <c r="A13495" s="24"/>
      <c r="B13495" s="25"/>
      <c r="C13495" s="24"/>
      <c r="D13495" s="26"/>
      <c r="E13495" s="24"/>
      <c r="F13495" s="24"/>
      <c r="G13495" s="24"/>
      <c r="H13495" s="24"/>
      <c r="I13495" s="24"/>
      <c r="J13495" s="24"/>
      <c r="K13495" s="24"/>
      <c r="L13495" s="24"/>
      <c r="M13495" s="24"/>
      <c r="N13495" s="24"/>
      <c r="O13495" s="24"/>
      <c r="P13495" s="24"/>
      <c r="Q13495" s="24"/>
      <c r="R13495" s="24"/>
      <c r="S13495" s="24"/>
      <c r="T13495" s="24"/>
      <c r="U13495" s="24"/>
      <c r="V13495" s="24"/>
      <c r="W13495" s="24"/>
      <c r="X13495" s="24"/>
      <c r="Y13495" s="24"/>
      <c r="Z13495" s="24"/>
      <c r="AA13495" s="24"/>
    </row>
    <row r="13496">
      <c r="A13496" s="24"/>
      <c r="B13496" s="25"/>
      <c r="C13496" s="24"/>
      <c r="D13496" s="26"/>
      <c r="E13496" s="24"/>
      <c r="F13496" s="24"/>
      <c r="G13496" s="24"/>
      <c r="H13496" s="24"/>
      <c r="I13496" s="24"/>
      <c r="J13496" s="24"/>
      <c r="K13496" s="24"/>
      <c r="L13496" s="24"/>
      <c r="M13496" s="24"/>
      <c r="N13496" s="24"/>
      <c r="O13496" s="24"/>
      <c r="P13496" s="24"/>
      <c r="Q13496" s="24"/>
      <c r="R13496" s="24"/>
      <c r="S13496" s="24"/>
      <c r="T13496" s="24"/>
      <c r="U13496" s="24"/>
      <c r="V13496" s="24"/>
      <c r="W13496" s="24"/>
      <c r="X13496" s="24"/>
      <c r="Y13496" s="24"/>
      <c r="Z13496" s="24"/>
      <c r="AA13496" s="24"/>
    </row>
    <row r="13497">
      <c r="A13497" s="24"/>
      <c r="B13497" s="25"/>
      <c r="C13497" s="24"/>
      <c r="D13497" s="26"/>
      <c r="E13497" s="24"/>
      <c r="F13497" s="24"/>
      <c r="G13497" s="24"/>
      <c r="H13497" s="24"/>
      <c r="I13497" s="24"/>
      <c r="J13497" s="24"/>
      <c r="K13497" s="24"/>
      <c r="L13497" s="24"/>
      <c r="M13497" s="24"/>
      <c r="N13497" s="24"/>
      <c r="O13497" s="24"/>
      <c r="P13497" s="24"/>
      <c r="Q13497" s="24"/>
      <c r="R13497" s="24"/>
      <c r="S13497" s="24"/>
      <c r="T13497" s="24"/>
      <c r="U13497" s="24"/>
      <c r="V13497" s="24"/>
      <c r="W13497" s="24"/>
      <c r="X13497" s="24"/>
      <c r="Y13497" s="24"/>
      <c r="Z13497" s="24"/>
      <c r="AA13497" s="24"/>
    </row>
    <row r="13498">
      <c r="A13498" s="24"/>
      <c r="B13498" s="25"/>
      <c r="C13498" s="24"/>
      <c r="D13498" s="26"/>
      <c r="E13498" s="24"/>
      <c r="F13498" s="24"/>
      <c r="G13498" s="24"/>
      <c r="H13498" s="24"/>
      <c r="I13498" s="24"/>
      <c r="J13498" s="24"/>
      <c r="K13498" s="24"/>
      <c r="L13498" s="24"/>
      <c r="M13498" s="24"/>
      <c r="N13498" s="24"/>
      <c r="O13498" s="24"/>
      <c r="P13498" s="24"/>
      <c r="Q13498" s="24"/>
      <c r="R13498" s="24"/>
      <c r="S13498" s="24"/>
      <c r="T13498" s="24"/>
      <c r="U13498" s="24"/>
      <c r="V13498" s="24"/>
      <c r="W13498" s="24"/>
      <c r="X13498" s="24"/>
      <c r="Y13498" s="24"/>
      <c r="Z13498" s="24"/>
      <c r="AA13498" s="24"/>
    </row>
    <row r="13499">
      <c r="A13499" s="24"/>
      <c r="B13499" s="25"/>
      <c r="C13499" s="24"/>
      <c r="D13499" s="26"/>
      <c r="E13499" s="24"/>
      <c r="F13499" s="24"/>
      <c r="G13499" s="24"/>
      <c r="H13499" s="24"/>
      <c r="I13499" s="24"/>
      <c r="J13499" s="24"/>
      <c r="K13499" s="24"/>
      <c r="L13499" s="24"/>
      <c r="M13499" s="24"/>
      <c r="N13499" s="24"/>
      <c r="O13499" s="24"/>
      <c r="P13499" s="24"/>
      <c r="Q13499" s="24"/>
      <c r="R13499" s="24"/>
      <c r="S13499" s="24"/>
      <c r="T13499" s="24"/>
      <c r="U13499" s="24"/>
      <c r="V13499" s="24"/>
      <c r="W13499" s="24"/>
      <c r="X13499" s="24"/>
      <c r="Y13499" s="24"/>
      <c r="Z13499" s="24"/>
      <c r="AA13499" s="24"/>
    </row>
    <row r="13500">
      <c r="A13500" s="24"/>
      <c r="B13500" s="25"/>
      <c r="C13500" s="24"/>
      <c r="D13500" s="26"/>
      <c r="E13500" s="24"/>
      <c r="F13500" s="24"/>
      <c r="G13500" s="24"/>
      <c r="H13500" s="24"/>
      <c r="I13500" s="24"/>
      <c r="J13500" s="24"/>
      <c r="K13500" s="24"/>
      <c r="L13500" s="24"/>
      <c r="M13500" s="24"/>
      <c r="N13500" s="24"/>
      <c r="O13500" s="24"/>
      <c r="P13500" s="24"/>
      <c r="Q13500" s="24"/>
      <c r="R13500" s="24"/>
      <c r="S13500" s="24"/>
      <c r="T13500" s="24"/>
      <c r="U13500" s="24"/>
      <c r="V13500" s="24"/>
      <c r="W13500" s="24"/>
      <c r="X13500" s="24"/>
      <c r="Y13500" s="24"/>
      <c r="Z13500" s="24"/>
      <c r="AA13500" s="24"/>
    </row>
    <row r="13501">
      <c r="A13501" s="24"/>
      <c r="B13501" s="25"/>
      <c r="C13501" s="24"/>
      <c r="D13501" s="26"/>
      <c r="E13501" s="24"/>
      <c r="F13501" s="24"/>
      <c r="G13501" s="24"/>
      <c r="H13501" s="24"/>
      <c r="I13501" s="24"/>
      <c r="J13501" s="24"/>
      <c r="K13501" s="24"/>
      <c r="L13501" s="24"/>
      <c r="M13501" s="24"/>
      <c r="N13501" s="24"/>
      <c r="O13501" s="24"/>
      <c r="P13501" s="24"/>
      <c r="Q13501" s="24"/>
      <c r="R13501" s="24"/>
      <c r="S13501" s="24"/>
      <c r="T13501" s="24"/>
      <c r="U13501" s="24"/>
      <c r="V13501" s="24"/>
      <c r="W13501" s="24"/>
      <c r="X13501" s="24"/>
      <c r="Y13501" s="24"/>
      <c r="Z13501" s="24"/>
      <c r="AA13501" s="24"/>
    </row>
    <row r="13502">
      <c r="A13502" s="24"/>
      <c r="B13502" s="25"/>
      <c r="C13502" s="24"/>
      <c r="D13502" s="26"/>
      <c r="E13502" s="24"/>
      <c r="F13502" s="24"/>
      <c r="G13502" s="24"/>
      <c r="H13502" s="24"/>
      <c r="I13502" s="24"/>
      <c r="J13502" s="24"/>
      <c r="K13502" s="24"/>
      <c r="L13502" s="24"/>
      <c r="M13502" s="24"/>
      <c r="N13502" s="24"/>
      <c r="O13502" s="24"/>
      <c r="P13502" s="24"/>
      <c r="Q13502" s="24"/>
      <c r="R13502" s="24"/>
      <c r="S13502" s="24"/>
      <c r="T13502" s="24"/>
      <c r="U13502" s="24"/>
      <c r="V13502" s="24"/>
      <c r="W13502" s="24"/>
      <c r="X13502" s="24"/>
      <c r="Y13502" s="24"/>
      <c r="Z13502" s="24"/>
      <c r="AA13502" s="24"/>
    </row>
    <row r="13503">
      <c r="A13503" s="24"/>
      <c r="B13503" s="25"/>
      <c r="C13503" s="24"/>
      <c r="D13503" s="26"/>
      <c r="E13503" s="24"/>
      <c r="F13503" s="24"/>
      <c r="G13503" s="24"/>
      <c r="H13503" s="24"/>
      <c r="I13503" s="24"/>
      <c r="J13503" s="24"/>
      <c r="K13503" s="24"/>
      <c r="L13503" s="24"/>
      <c r="M13503" s="24"/>
      <c r="N13503" s="24"/>
      <c r="O13503" s="24"/>
      <c r="P13503" s="24"/>
      <c r="Q13503" s="24"/>
      <c r="R13503" s="24"/>
      <c r="S13503" s="24"/>
      <c r="T13503" s="24"/>
      <c r="U13503" s="24"/>
      <c r="V13503" s="24"/>
      <c r="W13503" s="24"/>
      <c r="X13503" s="24"/>
      <c r="Y13503" s="24"/>
      <c r="Z13503" s="24"/>
      <c r="AA13503" s="24"/>
    </row>
    <row r="13504">
      <c r="A13504" s="24"/>
      <c r="B13504" s="25"/>
      <c r="C13504" s="24"/>
      <c r="D13504" s="26"/>
      <c r="E13504" s="24"/>
      <c r="F13504" s="24"/>
      <c r="G13504" s="24"/>
      <c r="H13504" s="24"/>
      <c r="I13504" s="24"/>
      <c r="J13504" s="24"/>
      <c r="K13504" s="24"/>
      <c r="L13504" s="24"/>
      <c r="M13504" s="24"/>
      <c r="N13504" s="24"/>
      <c r="O13504" s="24"/>
      <c r="P13504" s="24"/>
      <c r="Q13504" s="24"/>
      <c r="R13504" s="24"/>
      <c r="S13504" s="24"/>
      <c r="T13504" s="24"/>
      <c r="U13504" s="24"/>
      <c r="V13504" s="24"/>
      <c r="W13504" s="24"/>
      <c r="X13504" s="24"/>
      <c r="Y13504" s="24"/>
      <c r="Z13504" s="24"/>
      <c r="AA13504" s="24"/>
    </row>
    <row r="13505">
      <c r="A13505" s="24"/>
      <c r="B13505" s="25"/>
      <c r="C13505" s="24"/>
      <c r="D13505" s="26"/>
      <c r="E13505" s="24"/>
      <c r="F13505" s="24"/>
      <c r="G13505" s="24"/>
      <c r="H13505" s="24"/>
      <c r="I13505" s="24"/>
      <c r="J13505" s="24"/>
      <c r="K13505" s="24"/>
      <c r="L13505" s="24"/>
      <c r="M13505" s="24"/>
      <c r="N13505" s="24"/>
      <c r="O13505" s="24"/>
      <c r="P13505" s="24"/>
      <c r="Q13505" s="24"/>
      <c r="R13505" s="24"/>
      <c r="S13505" s="24"/>
      <c r="T13505" s="24"/>
      <c r="U13505" s="24"/>
      <c r="V13505" s="24"/>
      <c r="W13505" s="24"/>
      <c r="X13505" s="24"/>
      <c r="Y13505" s="24"/>
      <c r="Z13505" s="24"/>
      <c r="AA13505" s="24"/>
    </row>
    <row r="13506">
      <c r="A13506" s="24"/>
      <c r="B13506" s="25"/>
      <c r="C13506" s="24"/>
      <c r="D13506" s="26"/>
      <c r="E13506" s="24"/>
      <c r="F13506" s="24"/>
      <c r="G13506" s="24"/>
      <c r="H13506" s="24"/>
      <c r="I13506" s="24"/>
      <c r="J13506" s="24"/>
      <c r="K13506" s="24"/>
      <c r="L13506" s="24"/>
      <c r="M13506" s="24"/>
      <c r="N13506" s="24"/>
      <c r="O13506" s="24"/>
      <c r="P13506" s="24"/>
      <c r="Q13506" s="24"/>
      <c r="R13506" s="24"/>
      <c r="S13506" s="24"/>
      <c r="T13506" s="24"/>
      <c r="U13506" s="24"/>
      <c r="V13506" s="24"/>
      <c r="W13506" s="24"/>
      <c r="X13506" s="24"/>
      <c r="Y13506" s="24"/>
      <c r="Z13506" s="24"/>
      <c r="AA13506" s="24"/>
    </row>
    <row r="13507">
      <c r="A13507" s="24"/>
      <c r="B13507" s="25"/>
      <c r="C13507" s="24"/>
      <c r="D13507" s="26"/>
      <c r="E13507" s="24"/>
      <c r="F13507" s="24"/>
      <c r="G13507" s="24"/>
      <c r="H13507" s="24"/>
      <c r="I13507" s="24"/>
      <c r="J13507" s="24"/>
      <c r="K13507" s="24"/>
      <c r="L13507" s="24"/>
      <c r="M13507" s="24"/>
      <c r="N13507" s="24"/>
      <c r="O13507" s="24"/>
      <c r="P13507" s="24"/>
      <c r="Q13507" s="24"/>
      <c r="R13507" s="24"/>
      <c r="S13507" s="24"/>
      <c r="T13507" s="24"/>
      <c r="U13507" s="24"/>
      <c r="V13507" s="24"/>
      <c r="W13507" s="24"/>
      <c r="X13507" s="24"/>
      <c r="Y13507" s="24"/>
      <c r="Z13507" s="24"/>
      <c r="AA13507" s="24"/>
    </row>
    <row r="13508">
      <c r="A13508" s="24"/>
      <c r="B13508" s="25"/>
      <c r="C13508" s="24"/>
      <c r="D13508" s="26"/>
      <c r="E13508" s="24"/>
      <c r="F13508" s="24"/>
      <c r="G13508" s="24"/>
      <c r="H13508" s="24"/>
      <c r="I13508" s="24"/>
      <c r="J13508" s="24"/>
      <c r="K13508" s="24"/>
      <c r="L13508" s="24"/>
      <c r="M13508" s="24"/>
      <c r="N13508" s="24"/>
      <c r="O13508" s="24"/>
      <c r="P13508" s="24"/>
      <c r="Q13508" s="24"/>
      <c r="R13508" s="24"/>
      <c r="S13508" s="24"/>
      <c r="T13508" s="24"/>
      <c r="U13508" s="24"/>
      <c r="V13508" s="24"/>
      <c r="W13508" s="24"/>
      <c r="X13508" s="24"/>
      <c r="Y13508" s="24"/>
      <c r="Z13508" s="24"/>
      <c r="AA13508" s="24"/>
    </row>
    <row r="13509">
      <c r="A13509" s="24"/>
      <c r="B13509" s="25"/>
      <c r="C13509" s="24"/>
      <c r="D13509" s="26"/>
      <c r="E13509" s="24"/>
      <c r="F13509" s="24"/>
      <c r="G13509" s="24"/>
      <c r="H13509" s="24"/>
      <c r="I13509" s="24"/>
      <c r="J13509" s="24"/>
      <c r="K13509" s="24"/>
      <c r="L13509" s="24"/>
      <c r="M13509" s="24"/>
      <c r="N13509" s="24"/>
      <c r="O13509" s="24"/>
      <c r="P13509" s="24"/>
      <c r="Q13509" s="24"/>
      <c r="R13509" s="24"/>
      <c r="S13509" s="24"/>
      <c r="T13509" s="24"/>
      <c r="U13509" s="24"/>
      <c r="V13509" s="24"/>
      <c r="W13509" s="24"/>
      <c r="X13509" s="24"/>
      <c r="Y13509" s="24"/>
      <c r="Z13509" s="24"/>
      <c r="AA13509" s="24"/>
    </row>
    <row r="13510">
      <c r="A13510" s="24"/>
      <c r="B13510" s="25"/>
      <c r="C13510" s="24"/>
      <c r="D13510" s="26"/>
      <c r="E13510" s="24"/>
      <c r="F13510" s="24"/>
      <c r="G13510" s="24"/>
      <c r="H13510" s="24"/>
      <c r="I13510" s="24"/>
      <c r="J13510" s="24"/>
      <c r="K13510" s="24"/>
      <c r="L13510" s="24"/>
      <c r="M13510" s="24"/>
      <c r="N13510" s="24"/>
      <c r="O13510" s="24"/>
      <c r="P13510" s="24"/>
      <c r="Q13510" s="24"/>
      <c r="R13510" s="24"/>
      <c r="S13510" s="24"/>
      <c r="T13510" s="24"/>
      <c r="U13510" s="24"/>
      <c r="V13510" s="24"/>
      <c r="W13510" s="24"/>
      <c r="X13510" s="24"/>
      <c r="Y13510" s="24"/>
      <c r="Z13510" s="24"/>
      <c r="AA13510" s="24"/>
    </row>
    <row r="13511">
      <c r="A13511" s="24"/>
      <c r="B13511" s="25"/>
      <c r="C13511" s="24"/>
      <c r="D13511" s="26"/>
      <c r="E13511" s="24"/>
      <c r="F13511" s="24"/>
      <c r="G13511" s="24"/>
      <c r="H13511" s="24"/>
      <c r="I13511" s="24"/>
      <c r="J13511" s="24"/>
      <c r="K13511" s="24"/>
      <c r="L13511" s="24"/>
      <c r="M13511" s="24"/>
      <c r="N13511" s="24"/>
      <c r="O13511" s="24"/>
      <c r="P13511" s="24"/>
      <c r="Q13511" s="24"/>
      <c r="R13511" s="24"/>
      <c r="S13511" s="24"/>
      <c r="T13511" s="24"/>
      <c r="U13511" s="24"/>
      <c r="V13511" s="24"/>
      <c r="W13511" s="24"/>
      <c r="X13511" s="24"/>
      <c r="Y13511" s="24"/>
      <c r="Z13511" s="24"/>
      <c r="AA13511" s="24"/>
    </row>
    <row r="13512">
      <c r="A13512" s="24"/>
      <c r="B13512" s="25"/>
      <c r="C13512" s="24"/>
      <c r="D13512" s="26"/>
      <c r="E13512" s="24"/>
      <c r="F13512" s="24"/>
      <c r="G13512" s="24"/>
      <c r="H13512" s="24"/>
      <c r="I13512" s="24"/>
      <c r="J13512" s="24"/>
      <c r="K13512" s="24"/>
      <c r="L13512" s="24"/>
      <c r="M13512" s="24"/>
      <c r="N13512" s="24"/>
      <c r="O13512" s="24"/>
      <c r="P13512" s="24"/>
      <c r="Q13512" s="24"/>
      <c r="R13512" s="24"/>
      <c r="S13512" s="24"/>
      <c r="T13512" s="24"/>
      <c r="U13512" s="24"/>
      <c r="V13512" s="24"/>
      <c r="W13512" s="24"/>
      <c r="X13512" s="24"/>
      <c r="Y13512" s="24"/>
      <c r="Z13512" s="24"/>
      <c r="AA13512" s="24"/>
    </row>
    <row r="13513">
      <c r="A13513" s="24"/>
      <c r="B13513" s="25"/>
      <c r="C13513" s="24"/>
      <c r="D13513" s="26"/>
      <c r="E13513" s="24"/>
      <c r="F13513" s="24"/>
      <c r="G13513" s="24"/>
      <c r="H13513" s="24"/>
      <c r="I13513" s="24"/>
      <c r="J13513" s="24"/>
      <c r="K13513" s="24"/>
      <c r="L13513" s="24"/>
      <c r="M13513" s="24"/>
      <c r="N13513" s="24"/>
      <c r="O13513" s="24"/>
      <c r="P13513" s="24"/>
      <c r="Q13513" s="24"/>
      <c r="R13513" s="24"/>
      <c r="S13513" s="24"/>
      <c r="T13513" s="24"/>
      <c r="U13513" s="24"/>
      <c r="V13513" s="24"/>
      <c r="W13513" s="24"/>
      <c r="X13513" s="24"/>
      <c r="Y13513" s="24"/>
      <c r="Z13513" s="24"/>
      <c r="AA13513" s="24"/>
    </row>
    <row r="13514">
      <c r="A13514" s="24"/>
      <c r="B13514" s="25"/>
      <c r="C13514" s="24"/>
      <c r="D13514" s="26"/>
      <c r="E13514" s="24"/>
      <c r="F13514" s="24"/>
      <c r="G13514" s="24"/>
      <c r="H13514" s="24"/>
      <c r="I13514" s="24"/>
      <c r="J13514" s="24"/>
      <c r="K13514" s="24"/>
      <c r="L13514" s="24"/>
      <c r="M13514" s="24"/>
      <c r="N13514" s="24"/>
      <c r="O13514" s="24"/>
      <c r="P13514" s="24"/>
      <c r="Q13514" s="24"/>
      <c r="R13514" s="24"/>
      <c r="S13514" s="24"/>
      <c r="T13514" s="24"/>
      <c r="U13514" s="24"/>
      <c r="V13514" s="24"/>
      <c r="W13514" s="24"/>
      <c r="X13514" s="24"/>
      <c r="Y13514" s="24"/>
      <c r="Z13514" s="24"/>
      <c r="AA13514" s="24"/>
    </row>
    <row r="13515">
      <c r="A13515" s="24"/>
      <c r="B13515" s="25"/>
      <c r="C13515" s="24"/>
      <c r="D13515" s="26"/>
      <c r="E13515" s="24"/>
      <c r="F13515" s="24"/>
      <c r="G13515" s="24"/>
      <c r="H13515" s="24"/>
      <c r="I13515" s="24"/>
      <c r="J13515" s="24"/>
      <c r="K13515" s="24"/>
      <c r="L13515" s="24"/>
      <c r="M13515" s="24"/>
      <c r="N13515" s="24"/>
      <c r="O13515" s="24"/>
      <c r="P13515" s="24"/>
      <c r="Q13515" s="24"/>
      <c r="R13515" s="24"/>
      <c r="S13515" s="24"/>
      <c r="T13515" s="24"/>
      <c r="U13515" s="24"/>
      <c r="V13515" s="24"/>
      <c r="W13515" s="24"/>
      <c r="X13515" s="24"/>
      <c r="Y13515" s="24"/>
      <c r="Z13515" s="24"/>
      <c r="AA13515" s="24"/>
    </row>
    <row r="13516">
      <c r="A13516" s="24"/>
      <c r="B13516" s="25"/>
      <c r="C13516" s="24"/>
      <c r="D13516" s="26"/>
      <c r="E13516" s="24"/>
      <c r="F13516" s="24"/>
      <c r="G13516" s="24"/>
      <c r="H13516" s="24"/>
      <c r="I13516" s="24"/>
      <c r="J13516" s="24"/>
      <c r="K13516" s="24"/>
      <c r="L13516" s="24"/>
      <c r="M13516" s="24"/>
      <c r="N13516" s="24"/>
      <c r="O13516" s="24"/>
      <c r="P13516" s="24"/>
      <c r="Q13516" s="24"/>
      <c r="R13516" s="24"/>
      <c r="S13516" s="24"/>
      <c r="T13516" s="24"/>
      <c r="U13516" s="24"/>
      <c r="V13516" s="24"/>
      <c r="W13516" s="24"/>
      <c r="X13516" s="24"/>
      <c r="Y13516" s="24"/>
      <c r="Z13516" s="24"/>
      <c r="AA13516" s="24"/>
    </row>
    <row r="13517">
      <c r="A13517" s="24"/>
      <c r="B13517" s="25"/>
      <c r="C13517" s="24"/>
      <c r="D13517" s="26"/>
      <c r="E13517" s="24"/>
      <c r="F13517" s="24"/>
      <c r="G13517" s="24"/>
      <c r="H13517" s="24"/>
      <c r="I13517" s="24"/>
      <c r="J13517" s="24"/>
      <c r="K13517" s="24"/>
      <c r="L13517" s="24"/>
      <c r="M13517" s="24"/>
      <c r="N13517" s="24"/>
      <c r="O13517" s="24"/>
      <c r="P13517" s="24"/>
      <c r="Q13517" s="24"/>
      <c r="R13517" s="24"/>
      <c r="S13517" s="24"/>
      <c r="T13517" s="24"/>
      <c r="U13517" s="24"/>
      <c r="V13517" s="24"/>
      <c r="W13517" s="24"/>
      <c r="X13517" s="24"/>
      <c r="Y13517" s="24"/>
      <c r="Z13517" s="24"/>
      <c r="AA13517" s="24"/>
    </row>
    <row r="13518">
      <c r="A13518" s="24"/>
      <c r="B13518" s="25"/>
      <c r="C13518" s="24"/>
      <c r="D13518" s="26"/>
      <c r="E13518" s="24"/>
      <c r="F13518" s="24"/>
      <c r="G13518" s="24"/>
      <c r="H13518" s="24"/>
      <c r="I13518" s="24"/>
      <c r="J13518" s="24"/>
      <c r="K13518" s="24"/>
      <c r="L13518" s="24"/>
      <c r="M13518" s="24"/>
      <c r="N13518" s="24"/>
      <c r="O13518" s="24"/>
      <c r="P13518" s="24"/>
      <c r="Q13518" s="24"/>
      <c r="R13518" s="24"/>
      <c r="S13518" s="24"/>
      <c r="T13518" s="24"/>
      <c r="U13518" s="24"/>
      <c r="V13518" s="24"/>
      <c r="W13518" s="24"/>
      <c r="X13518" s="24"/>
      <c r="Y13518" s="24"/>
      <c r="Z13518" s="24"/>
      <c r="AA13518" s="24"/>
    </row>
    <row r="13519">
      <c r="A13519" s="24"/>
      <c r="B13519" s="25"/>
      <c r="C13519" s="24"/>
      <c r="D13519" s="26"/>
      <c r="E13519" s="24"/>
      <c r="F13519" s="24"/>
      <c r="G13519" s="24"/>
      <c r="H13519" s="24"/>
      <c r="I13519" s="24"/>
      <c r="J13519" s="24"/>
      <c r="K13519" s="24"/>
      <c r="L13519" s="24"/>
      <c r="M13519" s="24"/>
      <c r="N13519" s="24"/>
      <c r="O13519" s="24"/>
      <c r="P13519" s="24"/>
      <c r="Q13519" s="24"/>
      <c r="R13519" s="24"/>
      <c r="S13519" s="24"/>
      <c r="T13519" s="24"/>
      <c r="U13519" s="24"/>
      <c r="V13519" s="24"/>
      <c r="W13519" s="24"/>
      <c r="X13519" s="24"/>
      <c r="Y13519" s="24"/>
      <c r="Z13519" s="24"/>
      <c r="AA13519" s="24"/>
    </row>
    <row r="13520">
      <c r="A13520" s="24"/>
      <c r="B13520" s="25"/>
      <c r="C13520" s="24"/>
      <c r="D13520" s="26"/>
      <c r="E13520" s="24"/>
      <c r="F13520" s="24"/>
      <c r="G13520" s="24"/>
      <c r="H13520" s="24"/>
      <c r="I13520" s="24"/>
      <c r="J13520" s="24"/>
      <c r="K13520" s="24"/>
      <c r="L13520" s="24"/>
      <c r="M13520" s="24"/>
      <c r="N13520" s="24"/>
      <c r="O13520" s="24"/>
      <c r="P13520" s="24"/>
      <c r="Q13520" s="24"/>
      <c r="R13520" s="24"/>
      <c r="S13520" s="24"/>
      <c r="T13520" s="24"/>
      <c r="U13520" s="24"/>
      <c r="V13520" s="24"/>
      <c r="W13520" s="24"/>
      <c r="X13520" s="24"/>
      <c r="Y13520" s="24"/>
      <c r="Z13520" s="24"/>
      <c r="AA13520" s="24"/>
    </row>
    <row r="13521">
      <c r="A13521" s="24"/>
      <c r="B13521" s="25"/>
      <c r="C13521" s="24"/>
      <c r="D13521" s="26"/>
      <c r="E13521" s="24"/>
      <c r="F13521" s="24"/>
      <c r="G13521" s="24"/>
      <c r="H13521" s="24"/>
      <c r="I13521" s="24"/>
      <c r="J13521" s="24"/>
      <c r="K13521" s="24"/>
      <c r="L13521" s="24"/>
      <c r="M13521" s="24"/>
      <c r="N13521" s="24"/>
      <c r="O13521" s="24"/>
      <c r="P13521" s="24"/>
      <c r="Q13521" s="24"/>
      <c r="R13521" s="24"/>
      <c r="S13521" s="24"/>
      <c r="T13521" s="24"/>
      <c r="U13521" s="24"/>
      <c r="V13521" s="24"/>
      <c r="W13521" s="24"/>
      <c r="X13521" s="24"/>
      <c r="Y13521" s="24"/>
      <c r="Z13521" s="24"/>
      <c r="AA13521" s="24"/>
    </row>
    <row r="13522">
      <c r="A13522" s="24"/>
      <c r="B13522" s="25"/>
      <c r="C13522" s="24"/>
      <c r="D13522" s="26"/>
      <c r="E13522" s="24"/>
      <c r="F13522" s="24"/>
      <c r="G13522" s="24"/>
      <c r="H13522" s="24"/>
      <c r="I13522" s="24"/>
      <c r="J13522" s="24"/>
      <c r="K13522" s="24"/>
      <c r="L13522" s="24"/>
      <c r="M13522" s="24"/>
      <c r="N13522" s="24"/>
      <c r="O13522" s="24"/>
      <c r="P13522" s="24"/>
      <c r="Q13522" s="24"/>
      <c r="R13522" s="24"/>
      <c r="S13522" s="24"/>
      <c r="T13522" s="24"/>
      <c r="U13522" s="24"/>
      <c r="V13522" s="24"/>
      <c r="W13522" s="24"/>
      <c r="X13522" s="24"/>
      <c r="Y13522" s="24"/>
      <c r="Z13522" s="24"/>
      <c r="AA13522" s="24"/>
    </row>
    <row r="13523">
      <c r="A13523" s="24"/>
      <c r="B13523" s="25"/>
      <c r="C13523" s="24"/>
      <c r="D13523" s="26"/>
      <c r="E13523" s="24"/>
      <c r="F13523" s="24"/>
      <c r="G13523" s="24"/>
      <c r="H13523" s="24"/>
      <c r="I13523" s="24"/>
      <c r="J13523" s="24"/>
      <c r="K13523" s="24"/>
      <c r="L13523" s="24"/>
      <c r="M13523" s="24"/>
      <c r="N13523" s="24"/>
      <c r="O13523" s="24"/>
      <c r="P13523" s="24"/>
      <c r="Q13523" s="24"/>
      <c r="R13523" s="24"/>
      <c r="S13523" s="24"/>
      <c r="T13523" s="24"/>
      <c r="U13523" s="24"/>
      <c r="V13523" s="24"/>
      <c r="W13523" s="24"/>
      <c r="X13523" s="24"/>
      <c r="Y13523" s="24"/>
      <c r="Z13523" s="24"/>
      <c r="AA13523" s="24"/>
    </row>
    <row r="13524">
      <c r="A13524" s="24"/>
      <c r="B13524" s="25"/>
      <c r="C13524" s="24"/>
      <c r="D13524" s="26"/>
      <c r="E13524" s="24"/>
      <c r="F13524" s="24"/>
      <c r="G13524" s="24"/>
      <c r="H13524" s="24"/>
      <c r="I13524" s="24"/>
      <c r="J13524" s="24"/>
      <c r="K13524" s="24"/>
      <c r="L13524" s="24"/>
      <c r="M13524" s="24"/>
      <c r="N13524" s="24"/>
      <c r="O13524" s="24"/>
      <c r="P13524" s="24"/>
      <c r="Q13524" s="24"/>
      <c r="R13524" s="24"/>
      <c r="S13524" s="24"/>
      <c r="T13524" s="24"/>
      <c r="U13524" s="24"/>
      <c r="V13524" s="24"/>
      <c r="W13524" s="24"/>
      <c r="X13524" s="24"/>
      <c r="Y13524" s="24"/>
      <c r="Z13524" s="24"/>
      <c r="AA13524" s="24"/>
    </row>
    <row r="13525">
      <c r="A13525" s="24"/>
      <c r="B13525" s="25"/>
      <c r="C13525" s="24"/>
      <c r="D13525" s="26"/>
      <c r="E13525" s="24"/>
      <c r="F13525" s="24"/>
      <c r="G13525" s="24"/>
      <c r="H13525" s="24"/>
      <c r="I13525" s="24"/>
      <c r="J13525" s="24"/>
      <c r="K13525" s="24"/>
      <c r="L13525" s="24"/>
      <c r="M13525" s="24"/>
      <c r="N13525" s="24"/>
      <c r="O13525" s="24"/>
      <c r="P13525" s="24"/>
      <c r="Q13525" s="24"/>
      <c r="R13525" s="24"/>
      <c r="S13525" s="24"/>
      <c r="T13525" s="24"/>
      <c r="U13525" s="24"/>
      <c r="V13525" s="24"/>
      <c r="W13525" s="24"/>
      <c r="X13525" s="24"/>
      <c r="Y13525" s="24"/>
      <c r="Z13525" s="24"/>
      <c r="AA13525" s="24"/>
    </row>
    <row r="13526">
      <c r="A13526" s="24"/>
      <c r="B13526" s="25"/>
      <c r="C13526" s="24"/>
      <c r="D13526" s="26"/>
      <c r="E13526" s="24"/>
      <c r="F13526" s="24"/>
      <c r="G13526" s="24"/>
      <c r="H13526" s="24"/>
      <c r="I13526" s="24"/>
      <c r="J13526" s="24"/>
      <c r="K13526" s="24"/>
      <c r="L13526" s="24"/>
      <c r="M13526" s="24"/>
      <c r="N13526" s="24"/>
      <c r="O13526" s="24"/>
      <c r="P13526" s="24"/>
      <c r="Q13526" s="24"/>
      <c r="R13526" s="24"/>
      <c r="S13526" s="24"/>
      <c r="T13526" s="24"/>
      <c r="U13526" s="24"/>
      <c r="V13526" s="24"/>
      <c r="W13526" s="24"/>
      <c r="X13526" s="24"/>
      <c r="Y13526" s="24"/>
      <c r="Z13526" s="24"/>
      <c r="AA13526" s="24"/>
    </row>
    <row r="13527">
      <c r="A13527" s="24"/>
      <c r="B13527" s="25"/>
      <c r="C13527" s="24"/>
      <c r="D13527" s="26"/>
      <c r="E13527" s="24"/>
      <c r="F13527" s="24"/>
      <c r="G13527" s="24"/>
      <c r="H13527" s="24"/>
      <c r="I13527" s="24"/>
      <c r="J13527" s="24"/>
      <c r="K13527" s="24"/>
      <c r="L13527" s="24"/>
      <c r="M13527" s="24"/>
      <c r="N13527" s="24"/>
      <c r="O13527" s="24"/>
      <c r="P13527" s="24"/>
      <c r="Q13527" s="24"/>
      <c r="R13527" s="24"/>
      <c r="S13527" s="24"/>
      <c r="T13527" s="24"/>
      <c r="U13527" s="24"/>
      <c r="V13527" s="24"/>
      <c r="W13527" s="24"/>
      <c r="X13527" s="24"/>
      <c r="Y13527" s="24"/>
      <c r="Z13527" s="24"/>
      <c r="AA13527" s="24"/>
    </row>
    <row r="13528">
      <c r="A13528" s="24"/>
      <c r="B13528" s="25"/>
      <c r="C13528" s="24"/>
      <c r="D13528" s="26"/>
      <c r="E13528" s="24"/>
      <c r="F13528" s="24"/>
      <c r="G13528" s="24"/>
      <c r="H13528" s="24"/>
      <c r="I13528" s="24"/>
      <c r="J13528" s="24"/>
      <c r="K13528" s="24"/>
      <c r="L13528" s="24"/>
      <c r="M13528" s="24"/>
      <c r="N13528" s="24"/>
      <c r="O13528" s="24"/>
      <c r="P13528" s="24"/>
      <c r="Q13528" s="24"/>
      <c r="R13528" s="24"/>
      <c r="S13528" s="24"/>
      <c r="T13528" s="24"/>
      <c r="U13528" s="24"/>
      <c r="V13528" s="24"/>
      <c r="W13528" s="24"/>
      <c r="X13528" s="24"/>
      <c r="Y13528" s="24"/>
      <c r="Z13528" s="24"/>
      <c r="AA13528" s="24"/>
    </row>
    <row r="13529">
      <c r="A13529" s="24"/>
      <c r="B13529" s="25"/>
      <c r="C13529" s="24"/>
      <c r="D13529" s="26"/>
      <c r="E13529" s="24"/>
      <c r="F13529" s="24"/>
      <c r="G13529" s="24"/>
      <c r="H13529" s="24"/>
      <c r="I13529" s="24"/>
      <c r="J13529" s="24"/>
      <c r="K13529" s="24"/>
      <c r="L13529" s="24"/>
      <c r="M13529" s="24"/>
      <c r="N13529" s="24"/>
      <c r="O13529" s="24"/>
      <c r="P13529" s="24"/>
      <c r="Q13529" s="24"/>
      <c r="R13529" s="24"/>
      <c r="S13529" s="24"/>
      <c r="T13529" s="24"/>
      <c r="U13529" s="24"/>
      <c r="V13529" s="24"/>
      <c r="W13529" s="24"/>
      <c r="X13529" s="24"/>
      <c r="Y13529" s="24"/>
      <c r="Z13529" s="24"/>
      <c r="AA13529" s="24"/>
    </row>
    <row r="13530">
      <c r="A13530" s="24"/>
      <c r="B13530" s="25"/>
      <c r="C13530" s="24"/>
      <c r="D13530" s="26"/>
      <c r="E13530" s="24"/>
      <c r="F13530" s="24"/>
      <c r="G13530" s="24"/>
      <c r="H13530" s="24"/>
      <c r="I13530" s="24"/>
      <c r="J13530" s="24"/>
      <c r="K13530" s="24"/>
      <c r="L13530" s="24"/>
      <c r="M13530" s="24"/>
      <c r="N13530" s="24"/>
      <c r="O13530" s="24"/>
      <c r="P13530" s="24"/>
      <c r="Q13530" s="24"/>
      <c r="R13530" s="24"/>
      <c r="S13530" s="24"/>
      <c r="T13530" s="24"/>
      <c r="U13530" s="24"/>
      <c r="V13530" s="24"/>
      <c r="W13530" s="24"/>
      <c r="X13530" s="24"/>
      <c r="Y13530" s="24"/>
      <c r="Z13530" s="24"/>
      <c r="AA13530" s="24"/>
    </row>
    <row r="13531">
      <c r="A13531" s="24"/>
      <c r="B13531" s="25"/>
      <c r="C13531" s="24"/>
      <c r="D13531" s="26"/>
      <c r="E13531" s="24"/>
      <c r="F13531" s="24"/>
      <c r="G13531" s="24"/>
      <c r="H13531" s="24"/>
      <c r="I13531" s="24"/>
      <c r="J13531" s="24"/>
      <c r="K13531" s="24"/>
      <c r="L13531" s="24"/>
      <c r="M13531" s="24"/>
      <c r="N13531" s="24"/>
      <c r="O13531" s="24"/>
      <c r="P13531" s="24"/>
      <c r="Q13531" s="24"/>
      <c r="R13531" s="24"/>
      <c r="S13531" s="24"/>
      <c r="T13531" s="24"/>
      <c r="U13531" s="24"/>
      <c r="V13531" s="24"/>
      <c r="W13531" s="24"/>
      <c r="X13531" s="24"/>
      <c r="Y13531" s="24"/>
      <c r="Z13531" s="24"/>
      <c r="AA13531" s="24"/>
    </row>
    <row r="13532">
      <c r="A13532" s="24"/>
      <c r="B13532" s="25"/>
      <c r="C13532" s="24"/>
      <c r="D13532" s="26"/>
      <c r="E13532" s="24"/>
      <c r="F13532" s="24"/>
      <c r="G13532" s="24"/>
      <c r="H13532" s="24"/>
      <c r="I13532" s="24"/>
      <c r="J13532" s="24"/>
      <c r="K13532" s="24"/>
      <c r="L13532" s="24"/>
      <c r="M13532" s="24"/>
      <c r="N13532" s="24"/>
      <c r="O13532" s="24"/>
      <c r="P13532" s="24"/>
      <c r="Q13532" s="24"/>
      <c r="R13532" s="24"/>
      <c r="S13532" s="24"/>
      <c r="T13532" s="24"/>
      <c r="U13532" s="24"/>
      <c r="V13532" s="24"/>
      <c r="W13532" s="24"/>
      <c r="X13532" s="24"/>
      <c r="Y13532" s="24"/>
      <c r="Z13532" s="24"/>
      <c r="AA13532" s="24"/>
    </row>
    <row r="13533">
      <c r="A13533" s="24"/>
      <c r="B13533" s="25"/>
      <c r="C13533" s="24"/>
      <c r="D13533" s="26"/>
      <c r="E13533" s="24"/>
      <c r="F13533" s="24"/>
      <c r="G13533" s="24"/>
      <c r="H13533" s="24"/>
      <c r="I13533" s="24"/>
      <c r="J13533" s="24"/>
      <c r="K13533" s="24"/>
      <c r="L13533" s="24"/>
      <c r="M13533" s="24"/>
      <c r="N13533" s="24"/>
      <c r="O13533" s="24"/>
      <c r="P13533" s="24"/>
      <c r="Q13533" s="24"/>
      <c r="R13533" s="24"/>
      <c r="S13533" s="24"/>
      <c r="T13533" s="24"/>
      <c r="U13533" s="24"/>
      <c r="V13533" s="24"/>
      <c r="W13533" s="24"/>
      <c r="X13533" s="24"/>
      <c r="Y13533" s="24"/>
      <c r="Z13533" s="24"/>
      <c r="AA13533" s="24"/>
    </row>
    <row r="13534">
      <c r="A13534" s="24"/>
      <c r="B13534" s="25"/>
      <c r="C13534" s="24"/>
      <c r="D13534" s="26"/>
      <c r="E13534" s="24"/>
      <c r="F13534" s="24"/>
      <c r="G13534" s="24"/>
      <c r="H13534" s="24"/>
      <c r="I13534" s="24"/>
      <c r="J13534" s="24"/>
      <c r="K13534" s="24"/>
      <c r="L13534" s="24"/>
      <c r="M13534" s="24"/>
      <c r="N13534" s="24"/>
      <c r="O13534" s="24"/>
      <c r="P13534" s="24"/>
      <c r="Q13534" s="24"/>
      <c r="R13534" s="24"/>
      <c r="S13534" s="24"/>
      <c r="T13534" s="24"/>
      <c r="U13534" s="24"/>
      <c r="V13534" s="24"/>
      <c r="W13534" s="24"/>
      <c r="X13534" s="24"/>
      <c r="Y13534" s="24"/>
      <c r="Z13534" s="24"/>
      <c r="AA13534" s="24"/>
    </row>
    <row r="13535">
      <c r="A13535" s="24"/>
      <c r="B13535" s="25"/>
      <c r="C13535" s="24"/>
      <c r="D13535" s="26"/>
      <c r="E13535" s="24"/>
      <c r="F13535" s="24"/>
      <c r="G13535" s="24"/>
      <c r="H13535" s="24"/>
      <c r="I13535" s="24"/>
      <c r="J13535" s="24"/>
      <c r="K13535" s="24"/>
      <c r="L13535" s="24"/>
      <c r="M13535" s="24"/>
      <c r="N13535" s="24"/>
      <c r="O13535" s="24"/>
      <c r="P13535" s="24"/>
      <c r="Q13535" s="24"/>
      <c r="R13535" s="24"/>
      <c r="S13535" s="24"/>
      <c r="T13535" s="24"/>
      <c r="U13535" s="24"/>
      <c r="V13535" s="24"/>
      <c r="W13535" s="24"/>
      <c r="X13535" s="24"/>
      <c r="Y13535" s="24"/>
      <c r="Z13535" s="24"/>
      <c r="AA13535" s="24"/>
    </row>
    <row r="13536">
      <c r="A13536" s="24"/>
      <c r="B13536" s="25"/>
      <c r="C13536" s="24"/>
      <c r="D13536" s="26"/>
      <c r="E13536" s="24"/>
      <c r="F13536" s="24"/>
      <c r="G13536" s="24"/>
      <c r="H13536" s="24"/>
      <c r="I13536" s="24"/>
      <c r="J13536" s="24"/>
      <c r="K13536" s="24"/>
      <c r="L13536" s="24"/>
      <c r="M13536" s="24"/>
      <c r="N13536" s="24"/>
      <c r="O13536" s="24"/>
      <c r="P13536" s="24"/>
      <c r="Q13536" s="24"/>
      <c r="R13536" s="24"/>
      <c r="S13536" s="24"/>
      <c r="T13536" s="24"/>
      <c r="U13536" s="24"/>
      <c r="V13536" s="24"/>
      <c r="W13536" s="24"/>
      <c r="X13536" s="24"/>
      <c r="Y13536" s="24"/>
      <c r="Z13536" s="24"/>
      <c r="AA13536" s="24"/>
    </row>
    <row r="13537">
      <c r="A13537" s="24"/>
      <c r="B13537" s="25"/>
      <c r="C13537" s="24"/>
      <c r="D13537" s="26"/>
      <c r="E13537" s="24"/>
      <c r="F13537" s="24"/>
      <c r="G13537" s="24"/>
      <c r="H13537" s="24"/>
      <c r="I13537" s="24"/>
      <c r="J13537" s="24"/>
      <c r="K13537" s="24"/>
      <c r="L13537" s="24"/>
      <c r="M13537" s="24"/>
      <c r="N13537" s="24"/>
      <c r="O13537" s="24"/>
      <c r="P13537" s="24"/>
      <c r="Q13537" s="24"/>
      <c r="R13537" s="24"/>
      <c r="S13537" s="24"/>
      <c r="T13537" s="24"/>
      <c r="U13537" s="24"/>
      <c r="V13537" s="24"/>
      <c r="W13537" s="24"/>
      <c r="X13537" s="24"/>
      <c r="Y13537" s="24"/>
      <c r="Z13537" s="24"/>
      <c r="AA13537" s="24"/>
    </row>
    <row r="13538">
      <c r="A13538" s="24"/>
      <c r="B13538" s="25"/>
      <c r="C13538" s="24"/>
      <c r="D13538" s="26"/>
      <c r="E13538" s="24"/>
      <c r="F13538" s="24"/>
      <c r="G13538" s="24"/>
      <c r="H13538" s="24"/>
      <c r="I13538" s="24"/>
      <c r="J13538" s="24"/>
      <c r="K13538" s="24"/>
      <c r="L13538" s="24"/>
      <c r="M13538" s="24"/>
      <c r="N13538" s="24"/>
      <c r="O13538" s="24"/>
      <c r="P13538" s="24"/>
      <c r="Q13538" s="24"/>
      <c r="R13538" s="24"/>
      <c r="S13538" s="24"/>
      <c r="T13538" s="24"/>
      <c r="U13538" s="24"/>
      <c r="V13538" s="24"/>
      <c r="W13538" s="24"/>
      <c r="X13538" s="24"/>
      <c r="Y13538" s="24"/>
      <c r="Z13538" s="24"/>
      <c r="AA13538" s="24"/>
    </row>
    <row r="13539">
      <c r="A13539" s="24"/>
      <c r="B13539" s="25"/>
      <c r="C13539" s="24"/>
      <c r="D13539" s="26"/>
      <c r="E13539" s="24"/>
      <c r="F13539" s="24"/>
      <c r="G13539" s="24"/>
      <c r="H13539" s="24"/>
      <c r="I13539" s="24"/>
      <c r="J13539" s="24"/>
      <c r="K13539" s="24"/>
      <c r="L13539" s="24"/>
      <c r="M13539" s="24"/>
      <c r="N13539" s="24"/>
      <c r="O13539" s="24"/>
      <c r="P13539" s="24"/>
      <c r="Q13539" s="24"/>
      <c r="R13539" s="24"/>
      <c r="S13539" s="24"/>
      <c r="T13539" s="24"/>
      <c r="U13539" s="24"/>
      <c r="V13539" s="24"/>
      <c r="W13539" s="24"/>
      <c r="X13539" s="24"/>
      <c r="Y13539" s="24"/>
      <c r="Z13539" s="24"/>
      <c r="AA13539" s="24"/>
    </row>
    <row r="13540">
      <c r="A13540" s="24"/>
      <c r="B13540" s="25"/>
      <c r="C13540" s="24"/>
      <c r="D13540" s="26"/>
      <c r="E13540" s="24"/>
      <c r="F13540" s="24"/>
      <c r="G13540" s="24"/>
      <c r="H13540" s="24"/>
      <c r="I13540" s="24"/>
      <c r="J13540" s="24"/>
      <c r="K13540" s="24"/>
      <c r="L13540" s="24"/>
      <c r="M13540" s="24"/>
      <c r="N13540" s="24"/>
      <c r="O13540" s="24"/>
      <c r="P13540" s="24"/>
      <c r="Q13540" s="24"/>
      <c r="R13540" s="24"/>
      <c r="S13540" s="24"/>
      <c r="T13540" s="24"/>
      <c r="U13540" s="24"/>
      <c r="V13540" s="24"/>
      <c r="W13540" s="24"/>
      <c r="X13540" s="24"/>
      <c r="Y13540" s="24"/>
      <c r="Z13540" s="24"/>
      <c r="AA13540" s="24"/>
    </row>
    <row r="13541">
      <c r="A13541" s="24"/>
      <c r="B13541" s="25"/>
      <c r="C13541" s="24"/>
      <c r="D13541" s="26"/>
      <c r="E13541" s="24"/>
      <c r="F13541" s="24"/>
      <c r="G13541" s="24"/>
      <c r="H13541" s="24"/>
      <c r="I13541" s="24"/>
      <c r="J13541" s="24"/>
      <c r="K13541" s="24"/>
      <c r="L13541" s="24"/>
      <c r="M13541" s="24"/>
      <c r="N13541" s="24"/>
      <c r="O13541" s="24"/>
      <c r="P13541" s="24"/>
      <c r="Q13541" s="24"/>
      <c r="R13541" s="24"/>
      <c r="S13541" s="24"/>
      <c r="T13541" s="24"/>
      <c r="U13541" s="24"/>
      <c r="V13541" s="24"/>
      <c r="W13541" s="24"/>
      <c r="X13541" s="24"/>
      <c r="Y13541" s="24"/>
      <c r="Z13541" s="24"/>
      <c r="AA13541" s="24"/>
    </row>
    <row r="13542">
      <c r="A13542" s="24"/>
      <c r="B13542" s="25"/>
      <c r="C13542" s="24"/>
      <c r="D13542" s="26"/>
      <c r="E13542" s="24"/>
      <c r="F13542" s="24"/>
      <c r="G13542" s="24"/>
      <c r="H13542" s="24"/>
      <c r="I13542" s="24"/>
      <c r="J13542" s="24"/>
      <c r="K13542" s="24"/>
      <c r="L13542" s="24"/>
      <c r="M13542" s="24"/>
      <c r="N13542" s="24"/>
      <c r="O13542" s="24"/>
      <c r="P13542" s="24"/>
      <c r="Q13542" s="24"/>
      <c r="R13542" s="24"/>
      <c r="S13542" s="24"/>
      <c r="T13542" s="24"/>
      <c r="U13542" s="24"/>
      <c r="V13542" s="24"/>
      <c r="W13542" s="24"/>
      <c r="X13542" s="24"/>
      <c r="Y13542" s="24"/>
      <c r="Z13542" s="24"/>
      <c r="AA13542" s="24"/>
    </row>
    <row r="13543">
      <c r="A13543" s="24"/>
      <c r="B13543" s="25"/>
      <c r="C13543" s="24"/>
      <c r="D13543" s="26"/>
      <c r="E13543" s="24"/>
      <c r="F13543" s="24"/>
      <c r="G13543" s="24"/>
      <c r="H13543" s="24"/>
      <c r="I13543" s="24"/>
      <c r="J13543" s="24"/>
      <c r="K13543" s="24"/>
      <c r="L13543" s="24"/>
      <c r="M13543" s="24"/>
      <c r="N13543" s="24"/>
      <c r="O13543" s="24"/>
      <c r="P13543" s="24"/>
      <c r="Q13543" s="24"/>
      <c r="R13543" s="24"/>
      <c r="S13543" s="24"/>
      <c r="T13543" s="24"/>
      <c r="U13543" s="24"/>
      <c r="V13543" s="24"/>
      <c r="W13543" s="24"/>
      <c r="X13543" s="24"/>
      <c r="Y13543" s="24"/>
      <c r="Z13543" s="24"/>
      <c r="AA13543" s="24"/>
    </row>
    <row r="13544">
      <c r="A13544" s="24"/>
      <c r="B13544" s="25"/>
      <c r="C13544" s="24"/>
      <c r="D13544" s="26"/>
      <c r="E13544" s="24"/>
      <c r="F13544" s="24"/>
      <c r="G13544" s="24"/>
      <c r="H13544" s="24"/>
      <c r="I13544" s="24"/>
      <c r="J13544" s="24"/>
      <c r="K13544" s="24"/>
      <c r="L13544" s="24"/>
      <c r="M13544" s="24"/>
      <c r="N13544" s="24"/>
      <c r="O13544" s="24"/>
      <c r="P13544" s="24"/>
      <c r="Q13544" s="24"/>
      <c r="R13544" s="24"/>
      <c r="S13544" s="24"/>
      <c r="T13544" s="24"/>
      <c r="U13544" s="24"/>
      <c r="V13544" s="24"/>
      <c r="W13544" s="24"/>
      <c r="X13544" s="24"/>
      <c r="Y13544" s="24"/>
      <c r="Z13544" s="24"/>
      <c r="AA13544" s="24"/>
    </row>
    <row r="13545">
      <c r="A13545" s="24"/>
      <c r="B13545" s="25"/>
      <c r="C13545" s="24"/>
      <c r="D13545" s="26"/>
      <c r="E13545" s="24"/>
      <c r="F13545" s="24"/>
      <c r="G13545" s="24"/>
      <c r="H13545" s="24"/>
      <c r="I13545" s="24"/>
      <c r="J13545" s="24"/>
      <c r="K13545" s="24"/>
      <c r="L13545" s="24"/>
      <c r="M13545" s="24"/>
      <c r="N13545" s="24"/>
      <c r="O13545" s="24"/>
      <c r="P13545" s="24"/>
      <c r="Q13545" s="24"/>
      <c r="R13545" s="24"/>
      <c r="S13545" s="24"/>
      <c r="T13545" s="24"/>
      <c r="U13545" s="24"/>
      <c r="V13545" s="24"/>
      <c r="W13545" s="24"/>
      <c r="X13545" s="24"/>
      <c r="Y13545" s="24"/>
      <c r="Z13545" s="24"/>
      <c r="AA13545" s="24"/>
    </row>
    <row r="13546">
      <c r="A13546" s="24"/>
      <c r="B13546" s="25"/>
      <c r="C13546" s="24"/>
      <c r="D13546" s="26"/>
      <c r="E13546" s="24"/>
      <c r="F13546" s="24"/>
      <c r="G13546" s="24"/>
      <c r="H13546" s="24"/>
      <c r="I13546" s="24"/>
      <c r="J13546" s="24"/>
      <c r="K13546" s="24"/>
      <c r="L13546" s="24"/>
      <c r="M13546" s="24"/>
      <c r="N13546" s="24"/>
      <c r="O13546" s="24"/>
      <c r="P13546" s="24"/>
      <c r="Q13546" s="24"/>
      <c r="R13546" s="24"/>
      <c r="S13546" s="24"/>
      <c r="T13546" s="24"/>
      <c r="U13546" s="24"/>
      <c r="V13546" s="24"/>
      <c r="W13546" s="24"/>
      <c r="X13546" s="24"/>
      <c r="Y13546" s="24"/>
      <c r="Z13546" s="24"/>
      <c r="AA13546" s="24"/>
    </row>
    <row r="13547">
      <c r="A13547" s="24"/>
      <c r="B13547" s="25"/>
      <c r="C13547" s="24"/>
      <c r="D13547" s="26"/>
      <c r="E13547" s="24"/>
      <c r="F13547" s="24"/>
      <c r="G13547" s="24"/>
      <c r="H13547" s="24"/>
      <c r="I13547" s="24"/>
      <c r="J13547" s="24"/>
      <c r="K13547" s="24"/>
      <c r="L13547" s="24"/>
      <c r="M13547" s="24"/>
      <c r="N13547" s="24"/>
      <c r="O13547" s="24"/>
      <c r="P13547" s="24"/>
      <c r="Q13547" s="24"/>
      <c r="R13547" s="24"/>
      <c r="S13547" s="24"/>
      <c r="T13547" s="24"/>
      <c r="U13547" s="24"/>
      <c r="V13547" s="24"/>
      <c r="W13547" s="24"/>
      <c r="X13547" s="24"/>
      <c r="Y13547" s="24"/>
      <c r="Z13547" s="24"/>
      <c r="AA13547" s="24"/>
    </row>
    <row r="13548">
      <c r="A13548" s="24"/>
      <c r="B13548" s="25"/>
      <c r="C13548" s="24"/>
      <c r="D13548" s="26"/>
      <c r="E13548" s="24"/>
      <c r="F13548" s="24"/>
      <c r="G13548" s="24"/>
      <c r="H13548" s="24"/>
      <c r="I13548" s="24"/>
      <c r="J13548" s="24"/>
      <c r="K13548" s="24"/>
      <c r="L13548" s="24"/>
      <c r="M13548" s="24"/>
      <c r="N13548" s="24"/>
      <c r="O13548" s="24"/>
      <c r="P13548" s="24"/>
      <c r="Q13548" s="24"/>
      <c r="R13548" s="24"/>
      <c r="S13548" s="24"/>
      <c r="T13548" s="24"/>
      <c r="U13548" s="24"/>
      <c r="V13548" s="24"/>
      <c r="W13548" s="24"/>
      <c r="X13548" s="24"/>
      <c r="Y13548" s="24"/>
      <c r="Z13548" s="24"/>
      <c r="AA13548" s="24"/>
    </row>
    <row r="13549">
      <c r="A13549" s="24"/>
      <c r="B13549" s="25"/>
      <c r="C13549" s="24"/>
      <c r="D13549" s="26"/>
      <c r="E13549" s="24"/>
      <c r="F13549" s="24"/>
      <c r="G13549" s="24"/>
      <c r="H13549" s="24"/>
      <c r="I13549" s="24"/>
      <c r="J13549" s="24"/>
      <c r="K13549" s="24"/>
      <c r="L13549" s="24"/>
      <c r="M13549" s="24"/>
      <c r="N13549" s="24"/>
      <c r="O13549" s="24"/>
      <c r="P13549" s="24"/>
      <c r="Q13549" s="24"/>
      <c r="R13549" s="24"/>
      <c r="S13549" s="24"/>
      <c r="T13549" s="24"/>
      <c r="U13549" s="24"/>
      <c r="V13549" s="24"/>
      <c r="W13549" s="24"/>
      <c r="X13549" s="24"/>
      <c r="Y13549" s="24"/>
      <c r="Z13549" s="24"/>
      <c r="AA13549" s="24"/>
    </row>
    <row r="13550">
      <c r="A13550" s="24"/>
      <c r="B13550" s="25"/>
      <c r="C13550" s="24"/>
      <c r="D13550" s="26"/>
      <c r="E13550" s="24"/>
      <c r="F13550" s="24"/>
      <c r="G13550" s="24"/>
      <c r="H13550" s="24"/>
      <c r="I13550" s="24"/>
      <c r="J13550" s="24"/>
      <c r="K13550" s="24"/>
      <c r="L13550" s="24"/>
      <c r="M13550" s="24"/>
      <c r="N13550" s="24"/>
      <c r="O13550" s="24"/>
      <c r="P13550" s="24"/>
      <c r="Q13550" s="24"/>
      <c r="R13550" s="24"/>
      <c r="S13550" s="24"/>
      <c r="T13550" s="24"/>
      <c r="U13550" s="24"/>
      <c r="V13550" s="24"/>
      <c r="W13550" s="24"/>
      <c r="X13550" s="24"/>
      <c r="Y13550" s="24"/>
      <c r="Z13550" s="24"/>
      <c r="AA13550" s="24"/>
    </row>
    <row r="13551">
      <c r="A13551" s="24"/>
      <c r="B13551" s="25"/>
      <c r="C13551" s="24"/>
      <c r="D13551" s="26"/>
      <c r="E13551" s="24"/>
      <c r="F13551" s="24"/>
      <c r="G13551" s="24"/>
      <c r="H13551" s="24"/>
      <c r="I13551" s="24"/>
      <c r="J13551" s="24"/>
      <c r="K13551" s="24"/>
      <c r="L13551" s="24"/>
      <c r="M13551" s="24"/>
      <c r="N13551" s="24"/>
      <c r="O13551" s="24"/>
      <c r="P13551" s="24"/>
      <c r="Q13551" s="24"/>
      <c r="R13551" s="24"/>
      <c r="S13551" s="24"/>
      <c r="T13551" s="24"/>
      <c r="U13551" s="24"/>
      <c r="V13551" s="24"/>
      <c r="W13551" s="24"/>
      <c r="X13551" s="24"/>
      <c r="Y13551" s="24"/>
      <c r="Z13551" s="24"/>
      <c r="AA13551" s="24"/>
    </row>
    <row r="13552">
      <c r="A13552" s="24"/>
      <c r="B13552" s="25"/>
      <c r="C13552" s="24"/>
      <c r="D13552" s="26"/>
      <c r="E13552" s="24"/>
      <c r="F13552" s="24"/>
      <c r="G13552" s="24"/>
      <c r="H13552" s="24"/>
      <c r="I13552" s="24"/>
      <c r="J13552" s="24"/>
      <c r="K13552" s="24"/>
      <c r="L13552" s="24"/>
      <c r="M13552" s="24"/>
      <c r="N13552" s="24"/>
      <c r="O13552" s="24"/>
      <c r="P13552" s="24"/>
      <c r="Q13552" s="24"/>
      <c r="R13552" s="24"/>
      <c r="S13552" s="24"/>
      <c r="T13552" s="24"/>
      <c r="U13552" s="24"/>
      <c r="V13552" s="24"/>
      <c r="W13552" s="24"/>
      <c r="X13552" s="24"/>
      <c r="Y13552" s="24"/>
      <c r="Z13552" s="24"/>
      <c r="AA13552" s="24"/>
    </row>
    <row r="13553">
      <c r="A13553" s="24"/>
      <c r="B13553" s="25"/>
      <c r="C13553" s="24"/>
      <c r="D13553" s="26"/>
      <c r="E13553" s="24"/>
      <c r="F13553" s="24"/>
      <c r="G13553" s="24"/>
      <c r="H13553" s="24"/>
      <c r="I13553" s="24"/>
      <c r="J13553" s="24"/>
      <c r="K13553" s="24"/>
      <c r="L13553" s="24"/>
      <c r="M13553" s="24"/>
      <c r="N13553" s="24"/>
      <c r="O13553" s="24"/>
      <c r="P13553" s="24"/>
      <c r="Q13553" s="24"/>
      <c r="R13553" s="24"/>
      <c r="S13553" s="24"/>
      <c r="T13553" s="24"/>
      <c r="U13553" s="24"/>
      <c r="V13553" s="24"/>
      <c r="W13553" s="24"/>
      <c r="X13553" s="24"/>
      <c r="Y13553" s="24"/>
      <c r="Z13553" s="24"/>
      <c r="AA13553" s="24"/>
    </row>
    <row r="13554">
      <c r="A13554" s="24"/>
      <c r="B13554" s="25"/>
      <c r="C13554" s="24"/>
      <c r="D13554" s="26"/>
      <c r="E13554" s="24"/>
      <c r="F13554" s="24"/>
      <c r="G13554" s="24"/>
      <c r="H13554" s="24"/>
      <c r="I13554" s="24"/>
      <c r="J13554" s="24"/>
      <c r="K13554" s="24"/>
      <c r="L13554" s="24"/>
      <c r="M13554" s="24"/>
      <c r="N13554" s="24"/>
      <c r="O13554" s="24"/>
      <c r="P13554" s="24"/>
      <c r="Q13554" s="24"/>
      <c r="R13554" s="24"/>
      <c r="S13554" s="24"/>
      <c r="T13554" s="24"/>
      <c r="U13554" s="24"/>
      <c r="V13554" s="24"/>
      <c r="W13554" s="24"/>
      <c r="X13554" s="24"/>
      <c r="Y13554" s="24"/>
      <c r="Z13554" s="24"/>
      <c r="AA13554" s="24"/>
    </row>
    <row r="13555">
      <c r="A13555" s="24"/>
      <c r="B13555" s="25"/>
      <c r="C13555" s="24"/>
      <c r="D13555" s="26"/>
      <c r="E13555" s="24"/>
      <c r="F13555" s="24"/>
      <c r="G13555" s="24"/>
      <c r="H13555" s="24"/>
      <c r="I13555" s="24"/>
      <c r="J13555" s="24"/>
      <c r="K13555" s="24"/>
      <c r="L13555" s="24"/>
      <c r="M13555" s="24"/>
      <c r="N13555" s="24"/>
      <c r="O13555" s="24"/>
      <c r="P13555" s="24"/>
      <c r="Q13555" s="24"/>
      <c r="R13555" s="24"/>
      <c r="S13555" s="24"/>
      <c r="T13555" s="24"/>
      <c r="U13555" s="24"/>
      <c r="V13555" s="24"/>
      <c r="W13555" s="24"/>
      <c r="X13555" s="24"/>
      <c r="Y13555" s="24"/>
      <c r="Z13555" s="24"/>
      <c r="AA13555" s="24"/>
    </row>
    <row r="13556">
      <c r="A13556" s="24"/>
      <c r="B13556" s="25"/>
      <c r="C13556" s="24"/>
      <c r="D13556" s="26"/>
      <c r="E13556" s="24"/>
      <c r="F13556" s="24"/>
      <c r="G13556" s="24"/>
      <c r="H13556" s="24"/>
      <c r="I13556" s="24"/>
      <c r="J13556" s="24"/>
      <c r="K13556" s="24"/>
      <c r="L13556" s="24"/>
      <c r="M13556" s="24"/>
      <c r="N13556" s="24"/>
      <c r="O13556" s="24"/>
      <c r="P13556" s="24"/>
      <c r="Q13556" s="24"/>
      <c r="R13556" s="24"/>
      <c r="S13556" s="24"/>
      <c r="T13556" s="24"/>
      <c r="U13556" s="24"/>
      <c r="V13556" s="24"/>
      <c r="W13556" s="24"/>
      <c r="X13556" s="24"/>
      <c r="Y13556" s="24"/>
      <c r="Z13556" s="24"/>
      <c r="AA13556" s="24"/>
    </row>
    <row r="13557">
      <c r="A13557" s="24"/>
      <c r="B13557" s="25"/>
      <c r="C13557" s="24"/>
      <c r="D13557" s="26"/>
      <c r="E13557" s="24"/>
      <c r="F13557" s="24"/>
      <c r="G13557" s="24"/>
      <c r="H13557" s="24"/>
      <c r="I13557" s="24"/>
      <c r="J13557" s="24"/>
      <c r="K13557" s="24"/>
      <c r="L13557" s="24"/>
      <c r="M13557" s="24"/>
      <c r="N13557" s="24"/>
      <c r="O13557" s="24"/>
      <c r="P13557" s="24"/>
      <c r="Q13557" s="24"/>
      <c r="R13557" s="24"/>
      <c r="S13557" s="24"/>
      <c r="T13557" s="24"/>
      <c r="U13557" s="24"/>
      <c r="V13557" s="24"/>
      <c r="W13557" s="24"/>
      <c r="X13557" s="24"/>
      <c r="Y13557" s="24"/>
      <c r="Z13557" s="24"/>
      <c r="AA13557" s="24"/>
    </row>
    <row r="13558">
      <c r="A13558" s="24"/>
      <c r="B13558" s="25"/>
      <c r="C13558" s="24"/>
      <c r="D13558" s="26"/>
      <c r="E13558" s="24"/>
      <c r="F13558" s="24"/>
      <c r="G13558" s="24"/>
      <c r="H13558" s="24"/>
      <c r="I13558" s="24"/>
      <c r="J13558" s="24"/>
      <c r="K13558" s="24"/>
      <c r="L13558" s="24"/>
      <c r="M13558" s="24"/>
      <c r="N13558" s="24"/>
      <c r="O13558" s="24"/>
      <c r="P13558" s="24"/>
      <c r="Q13558" s="24"/>
      <c r="R13558" s="24"/>
      <c r="S13558" s="24"/>
      <c r="T13558" s="24"/>
      <c r="U13558" s="24"/>
      <c r="V13558" s="24"/>
      <c r="W13558" s="24"/>
      <c r="X13558" s="24"/>
      <c r="Y13558" s="24"/>
      <c r="Z13558" s="24"/>
      <c r="AA13558" s="24"/>
    </row>
    <row r="13559">
      <c r="A13559" s="24"/>
      <c r="B13559" s="25"/>
      <c r="C13559" s="24"/>
      <c r="D13559" s="26"/>
      <c r="E13559" s="24"/>
      <c r="F13559" s="24"/>
      <c r="G13559" s="24"/>
      <c r="H13559" s="24"/>
      <c r="I13559" s="24"/>
      <c r="J13559" s="24"/>
      <c r="K13559" s="24"/>
      <c r="L13559" s="24"/>
      <c r="M13559" s="24"/>
      <c r="N13559" s="24"/>
      <c r="O13559" s="24"/>
      <c r="P13559" s="24"/>
      <c r="Q13559" s="24"/>
      <c r="R13559" s="24"/>
      <c r="S13559" s="24"/>
      <c r="T13559" s="24"/>
      <c r="U13559" s="24"/>
      <c r="V13559" s="24"/>
      <c r="W13559" s="24"/>
      <c r="X13559" s="24"/>
      <c r="Y13559" s="24"/>
      <c r="Z13559" s="24"/>
      <c r="AA13559" s="24"/>
    </row>
    <row r="13560">
      <c r="A13560" s="24"/>
      <c r="B13560" s="25"/>
      <c r="C13560" s="24"/>
      <c r="D13560" s="26"/>
      <c r="E13560" s="24"/>
      <c r="F13560" s="24"/>
      <c r="G13560" s="24"/>
      <c r="H13560" s="24"/>
      <c r="I13560" s="24"/>
      <c r="J13560" s="24"/>
      <c r="K13560" s="24"/>
      <c r="L13560" s="24"/>
      <c r="M13560" s="24"/>
      <c r="N13560" s="24"/>
      <c r="O13560" s="24"/>
      <c r="P13560" s="24"/>
      <c r="Q13560" s="24"/>
      <c r="R13560" s="24"/>
      <c r="S13560" s="24"/>
      <c r="T13560" s="24"/>
      <c r="U13560" s="24"/>
      <c r="V13560" s="24"/>
      <c r="W13560" s="24"/>
      <c r="X13560" s="24"/>
      <c r="Y13560" s="24"/>
      <c r="Z13560" s="24"/>
      <c r="AA13560" s="24"/>
    </row>
    <row r="13561">
      <c r="A13561" s="24"/>
      <c r="B13561" s="25"/>
      <c r="C13561" s="24"/>
      <c r="D13561" s="26"/>
      <c r="E13561" s="24"/>
      <c r="F13561" s="24"/>
      <c r="G13561" s="24"/>
      <c r="H13561" s="24"/>
      <c r="I13561" s="24"/>
      <c r="J13561" s="24"/>
      <c r="K13561" s="24"/>
      <c r="L13561" s="24"/>
      <c r="M13561" s="24"/>
      <c r="N13561" s="24"/>
      <c r="O13561" s="24"/>
      <c r="P13561" s="24"/>
      <c r="Q13561" s="24"/>
      <c r="R13561" s="24"/>
      <c r="S13561" s="24"/>
      <c r="T13561" s="24"/>
      <c r="U13561" s="24"/>
      <c r="V13561" s="24"/>
      <c r="W13561" s="24"/>
      <c r="X13561" s="24"/>
      <c r="Y13561" s="24"/>
      <c r="Z13561" s="24"/>
      <c r="AA13561" s="24"/>
    </row>
    <row r="13562">
      <c r="A13562" s="24"/>
      <c r="B13562" s="25"/>
      <c r="C13562" s="24"/>
      <c r="D13562" s="26"/>
      <c r="E13562" s="24"/>
      <c r="F13562" s="24"/>
      <c r="G13562" s="24"/>
      <c r="H13562" s="24"/>
      <c r="I13562" s="24"/>
      <c r="J13562" s="24"/>
      <c r="K13562" s="24"/>
      <c r="L13562" s="24"/>
      <c r="M13562" s="24"/>
      <c r="N13562" s="24"/>
      <c r="O13562" s="24"/>
      <c r="P13562" s="24"/>
      <c r="Q13562" s="24"/>
      <c r="R13562" s="24"/>
      <c r="S13562" s="24"/>
      <c r="T13562" s="24"/>
      <c r="U13562" s="24"/>
      <c r="V13562" s="24"/>
      <c r="W13562" s="24"/>
      <c r="X13562" s="24"/>
      <c r="Y13562" s="24"/>
      <c r="Z13562" s="24"/>
      <c r="AA13562" s="24"/>
    </row>
    <row r="13563">
      <c r="A13563" s="24"/>
      <c r="B13563" s="25"/>
      <c r="C13563" s="24"/>
      <c r="D13563" s="26"/>
      <c r="E13563" s="24"/>
      <c r="F13563" s="24"/>
      <c r="G13563" s="24"/>
      <c r="H13563" s="24"/>
      <c r="I13563" s="24"/>
      <c r="J13563" s="24"/>
      <c r="K13563" s="24"/>
      <c r="L13563" s="24"/>
      <c r="M13563" s="24"/>
      <c r="N13563" s="24"/>
      <c r="O13563" s="24"/>
      <c r="P13563" s="24"/>
      <c r="Q13563" s="24"/>
      <c r="R13563" s="24"/>
      <c r="S13563" s="24"/>
      <c r="T13563" s="24"/>
      <c r="U13563" s="24"/>
      <c r="V13563" s="24"/>
      <c r="W13563" s="24"/>
      <c r="X13563" s="24"/>
      <c r="Y13563" s="24"/>
      <c r="Z13563" s="24"/>
      <c r="AA13563" s="24"/>
    </row>
    <row r="13564">
      <c r="A13564" s="24"/>
      <c r="B13564" s="25"/>
      <c r="C13564" s="24"/>
      <c r="D13564" s="26"/>
      <c r="E13564" s="24"/>
      <c r="F13564" s="24"/>
      <c r="G13564" s="24"/>
      <c r="H13564" s="24"/>
      <c r="I13564" s="24"/>
      <c r="J13564" s="24"/>
      <c r="K13564" s="24"/>
      <c r="L13564" s="24"/>
      <c r="M13564" s="24"/>
      <c r="N13564" s="24"/>
      <c r="O13564" s="24"/>
      <c r="P13564" s="24"/>
      <c r="Q13564" s="24"/>
      <c r="R13564" s="24"/>
      <c r="S13564" s="24"/>
      <c r="T13564" s="24"/>
      <c r="U13564" s="24"/>
      <c r="V13564" s="24"/>
      <c r="W13564" s="24"/>
      <c r="X13564" s="24"/>
      <c r="Y13564" s="24"/>
      <c r="Z13564" s="24"/>
      <c r="AA13564" s="24"/>
    </row>
    <row r="13565">
      <c r="A13565" s="24"/>
      <c r="B13565" s="25"/>
      <c r="C13565" s="24"/>
      <c r="D13565" s="26"/>
      <c r="E13565" s="24"/>
      <c r="F13565" s="24"/>
      <c r="G13565" s="24"/>
      <c r="H13565" s="24"/>
      <c r="I13565" s="24"/>
      <c r="J13565" s="24"/>
      <c r="K13565" s="24"/>
      <c r="L13565" s="24"/>
      <c r="M13565" s="24"/>
      <c r="N13565" s="24"/>
      <c r="O13565" s="24"/>
      <c r="P13565" s="24"/>
      <c r="Q13565" s="24"/>
      <c r="R13565" s="24"/>
      <c r="S13565" s="24"/>
      <c r="T13565" s="24"/>
      <c r="U13565" s="24"/>
      <c r="V13565" s="24"/>
      <c r="W13565" s="24"/>
      <c r="X13565" s="24"/>
      <c r="Y13565" s="24"/>
      <c r="Z13565" s="24"/>
      <c r="AA13565" s="24"/>
    </row>
    <row r="13566">
      <c r="A13566" s="24"/>
      <c r="B13566" s="25"/>
      <c r="C13566" s="24"/>
      <c r="D13566" s="26"/>
      <c r="E13566" s="24"/>
      <c r="F13566" s="24"/>
      <c r="G13566" s="24"/>
      <c r="H13566" s="24"/>
      <c r="I13566" s="24"/>
      <c r="J13566" s="24"/>
      <c r="K13566" s="24"/>
      <c r="L13566" s="24"/>
      <c r="M13566" s="24"/>
      <c r="N13566" s="24"/>
      <c r="O13566" s="24"/>
      <c r="P13566" s="24"/>
      <c r="Q13566" s="24"/>
      <c r="R13566" s="24"/>
      <c r="S13566" s="24"/>
      <c r="T13566" s="24"/>
      <c r="U13566" s="24"/>
      <c r="V13566" s="24"/>
      <c r="W13566" s="24"/>
      <c r="X13566" s="24"/>
      <c r="Y13566" s="24"/>
      <c r="Z13566" s="24"/>
      <c r="AA13566" s="24"/>
    </row>
    <row r="13567">
      <c r="A13567" s="24"/>
      <c r="B13567" s="25"/>
      <c r="C13567" s="24"/>
      <c r="D13567" s="26"/>
      <c r="E13567" s="24"/>
      <c r="F13567" s="24"/>
      <c r="G13567" s="24"/>
      <c r="H13567" s="24"/>
      <c r="I13567" s="24"/>
      <c r="J13567" s="24"/>
      <c r="K13567" s="24"/>
      <c r="L13567" s="24"/>
      <c r="M13567" s="24"/>
      <c r="N13567" s="24"/>
      <c r="O13567" s="24"/>
      <c r="P13567" s="24"/>
      <c r="Q13567" s="24"/>
      <c r="R13567" s="24"/>
      <c r="S13567" s="24"/>
      <c r="T13567" s="24"/>
      <c r="U13567" s="24"/>
      <c r="V13567" s="24"/>
      <c r="W13567" s="24"/>
      <c r="X13567" s="24"/>
      <c r="Y13567" s="24"/>
      <c r="Z13567" s="24"/>
      <c r="AA13567" s="24"/>
    </row>
    <row r="13568">
      <c r="A13568" s="24"/>
      <c r="B13568" s="25"/>
      <c r="C13568" s="24"/>
      <c r="D13568" s="26"/>
      <c r="E13568" s="24"/>
      <c r="F13568" s="24"/>
      <c r="G13568" s="24"/>
      <c r="H13568" s="24"/>
      <c r="I13568" s="24"/>
      <c r="J13568" s="24"/>
      <c r="K13568" s="24"/>
      <c r="L13568" s="24"/>
      <c r="M13568" s="24"/>
      <c r="N13568" s="24"/>
      <c r="O13568" s="24"/>
      <c r="P13568" s="24"/>
      <c r="Q13568" s="24"/>
      <c r="R13568" s="24"/>
      <c r="S13568" s="24"/>
      <c r="T13568" s="24"/>
      <c r="U13568" s="24"/>
      <c r="V13568" s="24"/>
      <c r="W13568" s="24"/>
      <c r="X13568" s="24"/>
      <c r="Y13568" s="24"/>
      <c r="Z13568" s="24"/>
      <c r="AA13568" s="24"/>
    </row>
    <row r="13569">
      <c r="A13569" s="24"/>
      <c r="B13569" s="25"/>
      <c r="C13569" s="24"/>
      <c r="D13569" s="26"/>
      <c r="E13569" s="24"/>
      <c r="F13569" s="24"/>
      <c r="G13569" s="24"/>
      <c r="H13569" s="24"/>
      <c r="I13569" s="24"/>
      <c r="J13569" s="24"/>
      <c r="K13569" s="24"/>
      <c r="L13569" s="24"/>
      <c r="M13569" s="24"/>
      <c r="N13569" s="24"/>
      <c r="O13569" s="24"/>
      <c r="P13569" s="24"/>
      <c r="Q13569" s="24"/>
      <c r="R13569" s="24"/>
      <c r="S13569" s="24"/>
      <c r="T13569" s="24"/>
      <c r="U13569" s="24"/>
      <c r="V13569" s="24"/>
      <c r="W13569" s="24"/>
      <c r="X13569" s="24"/>
      <c r="Y13569" s="24"/>
      <c r="Z13569" s="24"/>
      <c r="AA13569" s="24"/>
    </row>
    <row r="13570">
      <c r="A13570" s="24"/>
      <c r="B13570" s="25"/>
      <c r="C13570" s="24"/>
      <c r="D13570" s="26"/>
      <c r="E13570" s="24"/>
      <c r="F13570" s="24"/>
      <c r="G13570" s="24"/>
      <c r="H13570" s="24"/>
      <c r="I13570" s="24"/>
      <c r="J13570" s="24"/>
      <c r="K13570" s="24"/>
      <c r="L13570" s="24"/>
      <c r="M13570" s="24"/>
      <c r="N13570" s="24"/>
      <c r="O13570" s="24"/>
      <c r="P13570" s="24"/>
      <c r="Q13570" s="24"/>
      <c r="R13570" s="24"/>
      <c r="S13570" s="24"/>
      <c r="T13570" s="24"/>
      <c r="U13570" s="24"/>
      <c r="V13570" s="24"/>
      <c r="W13570" s="24"/>
      <c r="X13570" s="24"/>
      <c r="Y13570" s="24"/>
      <c r="Z13570" s="24"/>
      <c r="AA13570" s="24"/>
    </row>
    <row r="13571">
      <c r="A13571" s="24"/>
      <c r="B13571" s="25"/>
      <c r="C13571" s="24"/>
      <c r="D13571" s="26"/>
      <c r="E13571" s="24"/>
      <c r="F13571" s="24"/>
      <c r="G13571" s="24"/>
      <c r="H13571" s="24"/>
      <c r="I13571" s="24"/>
      <c r="J13571" s="24"/>
      <c r="K13571" s="24"/>
      <c r="L13571" s="24"/>
      <c r="M13571" s="24"/>
      <c r="N13571" s="24"/>
      <c r="O13571" s="24"/>
      <c r="P13571" s="24"/>
      <c r="Q13571" s="24"/>
      <c r="R13571" s="24"/>
      <c r="S13571" s="24"/>
      <c r="T13571" s="24"/>
      <c r="U13571" s="24"/>
      <c r="V13571" s="24"/>
      <c r="W13571" s="24"/>
      <c r="X13571" s="24"/>
      <c r="Y13571" s="24"/>
      <c r="Z13571" s="24"/>
      <c r="AA13571" s="24"/>
    </row>
    <row r="13572">
      <c r="A13572" s="24"/>
      <c r="B13572" s="25"/>
      <c r="C13572" s="24"/>
      <c r="D13572" s="26"/>
      <c r="E13572" s="24"/>
      <c r="F13572" s="24"/>
      <c r="G13572" s="24"/>
      <c r="H13572" s="24"/>
      <c r="I13572" s="24"/>
      <c r="J13572" s="24"/>
      <c r="K13572" s="24"/>
      <c r="L13572" s="24"/>
      <c r="M13572" s="24"/>
      <c r="N13572" s="24"/>
      <c r="O13572" s="24"/>
      <c r="P13572" s="24"/>
      <c r="Q13572" s="24"/>
      <c r="R13572" s="24"/>
      <c r="S13572" s="24"/>
      <c r="T13572" s="24"/>
      <c r="U13572" s="24"/>
      <c r="V13572" s="24"/>
      <c r="W13572" s="24"/>
      <c r="X13572" s="24"/>
      <c r="Y13572" s="24"/>
      <c r="Z13572" s="24"/>
      <c r="AA13572" s="24"/>
    </row>
    <row r="13573">
      <c r="A13573" s="24"/>
      <c r="B13573" s="25"/>
      <c r="C13573" s="24"/>
      <c r="D13573" s="26"/>
      <c r="E13573" s="24"/>
      <c r="F13573" s="24"/>
      <c r="G13573" s="24"/>
      <c r="H13573" s="24"/>
      <c r="I13573" s="24"/>
      <c r="J13573" s="24"/>
      <c r="K13573" s="24"/>
      <c r="L13573" s="24"/>
      <c r="M13573" s="24"/>
      <c r="N13573" s="24"/>
      <c r="O13573" s="24"/>
      <c r="P13573" s="24"/>
      <c r="Q13573" s="24"/>
      <c r="R13573" s="24"/>
      <c r="S13573" s="24"/>
      <c r="T13573" s="24"/>
      <c r="U13573" s="24"/>
      <c r="V13573" s="24"/>
      <c r="W13573" s="24"/>
      <c r="X13573" s="24"/>
      <c r="Y13573" s="24"/>
      <c r="Z13573" s="24"/>
      <c r="AA13573" s="24"/>
    </row>
    <row r="13574">
      <c r="A13574" s="24"/>
      <c r="B13574" s="25"/>
      <c r="C13574" s="24"/>
      <c r="D13574" s="26"/>
      <c r="E13574" s="24"/>
      <c r="F13574" s="24"/>
      <c r="G13574" s="24"/>
      <c r="H13574" s="24"/>
      <c r="I13574" s="24"/>
      <c r="J13574" s="24"/>
      <c r="K13574" s="24"/>
      <c r="L13574" s="24"/>
      <c r="M13574" s="24"/>
      <c r="N13574" s="24"/>
      <c r="O13574" s="24"/>
      <c r="P13574" s="24"/>
      <c r="Q13574" s="24"/>
      <c r="R13574" s="24"/>
      <c r="S13574" s="24"/>
      <c r="T13574" s="24"/>
      <c r="U13574" s="24"/>
      <c r="V13574" s="24"/>
      <c r="W13574" s="24"/>
      <c r="X13574" s="24"/>
      <c r="Y13574" s="24"/>
      <c r="Z13574" s="24"/>
      <c r="AA13574" s="24"/>
    </row>
    <row r="13575">
      <c r="A13575" s="24"/>
      <c r="B13575" s="25"/>
      <c r="C13575" s="24"/>
      <c r="D13575" s="26"/>
      <c r="E13575" s="24"/>
      <c r="F13575" s="24"/>
      <c r="G13575" s="24"/>
      <c r="H13575" s="24"/>
      <c r="I13575" s="24"/>
      <c r="J13575" s="24"/>
      <c r="K13575" s="24"/>
      <c r="L13575" s="24"/>
      <c r="M13575" s="24"/>
      <c r="N13575" s="24"/>
      <c r="O13575" s="24"/>
      <c r="P13575" s="24"/>
      <c r="Q13575" s="24"/>
      <c r="R13575" s="24"/>
      <c r="S13575" s="24"/>
      <c r="T13575" s="24"/>
      <c r="U13575" s="24"/>
      <c r="V13575" s="24"/>
      <c r="W13575" s="24"/>
      <c r="X13575" s="24"/>
      <c r="Y13575" s="24"/>
      <c r="Z13575" s="24"/>
      <c r="AA13575" s="24"/>
    </row>
    <row r="13576">
      <c r="A13576" s="24"/>
      <c r="B13576" s="25"/>
      <c r="C13576" s="24"/>
      <c r="D13576" s="26"/>
      <c r="E13576" s="24"/>
      <c r="F13576" s="24"/>
      <c r="G13576" s="24"/>
      <c r="H13576" s="24"/>
      <c r="I13576" s="24"/>
      <c r="J13576" s="24"/>
      <c r="K13576" s="24"/>
      <c r="L13576" s="24"/>
      <c r="M13576" s="24"/>
      <c r="N13576" s="24"/>
      <c r="O13576" s="24"/>
      <c r="P13576" s="24"/>
      <c r="Q13576" s="24"/>
      <c r="R13576" s="24"/>
      <c r="S13576" s="24"/>
      <c r="T13576" s="24"/>
      <c r="U13576" s="24"/>
      <c r="V13576" s="24"/>
      <c r="W13576" s="24"/>
      <c r="X13576" s="24"/>
      <c r="Y13576" s="24"/>
      <c r="Z13576" s="24"/>
      <c r="AA13576" s="24"/>
    </row>
    <row r="13577">
      <c r="A13577" s="24"/>
      <c r="B13577" s="25"/>
      <c r="C13577" s="24"/>
      <c r="D13577" s="26"/>
      <c r="E13577" s="24"/>
      <c r="F13577" s="24"/>
      <c r="G13577" s="24"/>
      <c r="H13577" s="24"/>
      <c r="I13577" s="24"/>
      <c r="J13577" s="24"/>
      <c r="K13577" s="24"/>
      <c r="L13577" s="24"/>
      <c r="M13577" s="24"/>
      <c r="N13577" s="24"/>
      <c r="O13577" s="24"/>
      <c r="P13577" s="24"/>
      <c r="Q13577" s="24"/>
      <c r="R13577" s="24"/>
      <c r="S13577" s="24"/>
      <c r="T13577" s="24"/>
      <c r="U13577" s="24"/>
      <c r="V13577" s="24"/>
      <c r="W13577" s="24"/>
      <c r="X13577" s="24"/>
      <c r="Y13577" s="24"/>
      <c r="Z13577" s="24"/>
      <c r="AA13577" s="24"/>
    </row>
    <row r="13578">
      <c r="A13578" s="24"/>
      <c r="B13578" s="25"/>
      <c r="C13578" s="24"/>
      <c r="D13578" s="26"/>
      <c r="E13578" s="24"/>
      <c r="F13578" s="24"/>
      <c r="G13578" s="24"/>
      <c r="H13578" s="24"/>
      <c r="I13578" s="24"/>
      <c r="J13578" s="24"/>
      <c r="K13578" s="24"/>
      <c r="L13578" s="24"/>
      <c r="M13578" s="24"/>
      <c r="N13578" s="24"/>
      <c r="O13578" s="24"/>
      <c r="P13578" s="24"/>
      <c r="Q13578" s="24"/>
      <c r="R13578" s="24"/>
      <c r="S13578" s="24"/>
      <c r="T13578" s="24"/>
      <c r="U13578" s="24"/>
      <c r="V13578" s="24"/>
      <c r="W13578" s="24"/>
      <c r="X13578" s="24"/>
      <c r="Y13578" s="24"/>
      <c r="Z13578" s="24"/>
      <c r="AA13578" s="24"/>
    </row>
    <row r="13579">
      <c r="A13579" s="24"/>
      <c r="B13579" s="25"/>
      <c r="C13579" s="24"/>
      <c r="D13579" s="26"/>
      <c r="E13579" s="24"/>
      <c r="F13579" s="24"/>
      <c r="G13579" s="24"/>
      <c r="H13579" s="24"/>
      <c r="I13579" s="24"/>
      <c r="J13579" s="24"/>
      <c r="K13579" s="24"/>
      <c r="L13579" s="24"/>
      <c r="M13579" s="24"/>
      <c r="N13579" s="24"/>
      <c r="O13579" s="24"/>
      <c r="P13579" s="24"/>
      <c r="Q13579" s="24"/>
      <c r="R13579" s="24"/>
      <c r="S13579" s="24"/>
      <c r="T13579" s="24"/>
      <c r="U13579" s="24"/>
      <c r="V13579" s="24"/>
      <c r="W13579" s="24"/>
      <c r="X13579" s="24"/>
      <c r="Y13579" s="24"/>
      <c r="Z13579" s="24"/>
      <c r="AA13579" s="24"/>
    </row>
    <row r="13580">
      <c r="A13580" s="24"/>
      <c r="B13580" s="25"/>
      <c r="C13580" s="24"/>
      <c r="D13580" s="26"/>
      <c r="E13580" s="24"/>
      <c r="F13580" s="24"/>
      <c r="G13580" s="24"/>
      <c r="H13580" s="24"/>
      <c r="I13580" s="24"/>
      <c r="J13580" s="24"/>
      <c r="K13580" s="24"/>
      <c r="L13580" s="24"/>
      <c r="M13580" s="24"/>
      <c r="N13580" s="24"/>
      <c r="O13580" s="24"/>
      <c r="P13580" s="24"/>
      <c r="Q13580" s="24"/>
      <c r="R13580" s="24"/>
      <c r="S13580" s="24"/>
      <c r="T13580" s="24"/>
      <c r="U13580" s="24"/>
      <c r="V13580" s="24"/>
      <c r="W13580" s="24"/>
      <c r="X13580" s="24"/>
      <c r="Y13580" s="24"/>
      <c r="Z13580" s="24"/>
      <c r="AA13580" s="24"/>
    </row>
    <row r="13581">
      <c r="A13581" s="24"/>
      <c r="B13581" s="25"/>
      <c r="C13581" s="24"/>
      <c r="D13581" s="26"/>
      <c r="E13581" s="24"/>
      <c r="F13581" s="24"/>
      <c r="G13581" s="24"/>
      <c r="H13581" s="24"/>
      <c r="I13581" s="24"/>
      <c r="J13581" s="24"/>
      <c r="K13581" s="24"/>
      <c r="L13581" s="24"/>
      <c r="M13581" s="24"/>
      <c r="N13581" s="24"/>
      <c r="O13581" s="24"/>
      <c r="P13581" s="24"/>
      <c r="Q13581" s="24"/>
      <c r="R13581" s="24"/>
      <c r="S13581" s="24"/>
      <c r="T13581" s="24"/>
      <c r="U13581" s="24"/>
      <c r="V13581" s="24"/>
      <c r="W13581" s="24"/>
      <c r="X13581" s="24"/>
      <c r="Y13581" s="24"/>
      <c r="Z13581" s="24"/>
      <c r="AA13581" s="24"/>
    </row>
    <row r="13582">
      <c r="A13582" s="24"/>
      <c r="B13582" s="25"/>
      <c r="C13582" s="24"/>
      <c r="D13582" s="26"/>
      <c r="E13582" s="24"/>
      <c r="F13582" s="24"/>
      <c r="G13582" s="24"/>
      <c r="H13582" s="24"/>
      <c r="I13582" s="24"/>
      <c r="J13582" s="24"/>
      <c r="K13582" s="24"/>
      <c r="L13582" s="24"/>
      <c r="M13582" s="24"/>
      <c r="N13582" s="24"/>
      <c r="O13582" s="24"/>
      <c r="P13582" s="24"/>
      <c r="Q13582" s="24"/>
      <c r="R13582" s="24"/>
      <c r="S13582" s="24"/>
      <c r="T13582" s="24"/>
      <c r="U13582" s="24"/>
      <c r="V13582" s="24"/>
      <c r="W13582" s="24"/>
      <c r="X13582" s="24"/>
      <c r="Y13582" s="24"/>
      <c r="Z13582" s="24"/>
      <c r="AA13582" s="24"/>
    </row>
    <row r="13583">
      <c r="A13583" s="24"/>
      <c r="B13583" s="25"/>
      <c r="C13583" s="24"/>
      <c r="D13583" s="26"/>
      <c r="E13583" s="24"/>
      <c r="F13583" s="24"/>
      <c r="G13583" s="24"/>
      <c r="H13583" s="24"/>
      <c r="I13583" s="24"/>
      <c r="J13583" s="24"/>
      <c r="K13583" s="24"/>
      <c r="L13583" s="24"/>
      <c r="M13583" s="24"/>
      <c r="N13583" s="24"/>
      <c r="O13583" s="24"/>
      <c r="P13583" s="24"/>
      <c r="Q13583" s="24"/>
      <c r="R13583" s="24"/>
      <c r="S13583" s="24"/>
      <c r="T13583" s="24"/>
      <c r="U13583" s="24"/>
      <c r="V13583" s="24"/>
      <c r="W13583" s="24"/>
      <c r="X13583" s="24"/>
      <c r="Y13583" s="24"/>
      <c r="Z13583" s="24"/>
      <c r="AA13583" s="24"/>
    </row>
    <row r="13584">
      <c r="A13584" s="24"/>
      <c r="B13584" s="25"/>
      <c r="C13584" s="24"/>
      <c r="D13584" s="26"/>
      <c r="E13584" s="24"/>
      <c r="F13584" s="24"/>
      <c r="G13584" s="24"/>
      <c r="H13584" s="24"/>
      <c r="I13584" s="24"/>
      <c r="J13584" s="24"/>
      <c r="K13584" s="24"/>
      <c r="L13584" s="24"/>
      <c r="M13584" s="24"/>
      <c r="N13584" s="24"/>
      <c r="O13584" s="24"/>
      <c r="P13584" s="24"/>
      <c r="Q13584" s="24"/>
      <c r="R13584" s="24"/>
      <c r="S13584" s="24"/>
      <c r="T13584" s="24"/>
      <c r="U13584" s="24"/>
      <c r="V13584" s="24"/>
      <c r="W13584" s="24"/>
      <c r="X13584" s="24"/>
      <c r="Y13584" s="24"/>
      <c r="Z13584" s="24"/>
      <c r="AA13584" s="24"/>
    </row>
    <row r="13585">
      <c r="A13585" s="24"/>
      <c r="B13585" s="25"/>
      <c r="C13585" s="24"/>
      <c r="D13585" s="26"/>
      <c r="E13585" s="24"/>
      <c r="F13585" s="24"/>
      <c r="G13585" s="24"/>
      <c r="H13585" s="24"/>
      <c r="I13585" s="24"/>
      <c r="J13585" s="24"/>
      <c r="K13585" s="24"/>
      <c r="L13585" s="24"/>
      <c r="M13585" s="24"/>
      <c r="N13585" s="24"/>
      <c r="O13585" s="24"/>
      <c r="P13585" s="24"/>
      <c r="Q13585" s="24"/>
      <c r="R13585" s="24"/>
      <c r="S13585" s="24"/>
      <c r="T13585" s="24"/>
      <c r="U13585" s="24"/>
      <c r="V13585" s="24"/>
      <c r="W13585" s="24"/>
      <c r="X13585" s="24"/>
      <c r="Y13585" s="24"/>
      <c r="Z13585" s="24"/>
      <c r="AA13585" s="24"/>
    </row>
    <row r="13586">
      <c r="A13586" s="24"/>
      <c r="B13586" s="25"/>
      <c r="C13586" s="24"/>
      <c r="D13586" s="26"/>
      <c r="E13586" s="24"/>
      <c r="F13586" s="24"/>
      <c r="G13586" s="24"/>
      <c r="H13586" s="24"/>
      <c r="I13586" s="24"/>
      <c r="J13586" s="24"/>
      <c r="K13586" s="24"/>
      <c r="L13586" s="24"/>
      <c r="M13586" s="24"/>
      <c r="N13586" s="24"/>
      <c r="O13586" s="24"/>
      <c r="P13586" s="24"/>
      <c r="Q13586" s="24"/>
      <c r="R13586" s="24"/>
      <c r="S13586" s="24"/>
      <c r="T13586" s="24"/>
      <c r="U13586" s="24"/>
      <c r="V13586" s="24"/>
      <c r="W13586" s="24"/>
      <c r="X13586" s="24"/>
      <c r="Y13586" s="24"/>
      <c r="Z13586" s="24"/>
      <c r="AA13586" s="24"/>
    </row>
    <row r="13587">
      <c r="A13587" s="24"/>
      <c r="B13587" s="25"/>
      <c r="C13587" s="24"/>
      <c r="D13587" s="26"/>
      <c r="E13587" s="24"/>
      <c r="F13587" s="24"/>
      <c r="G13587" s="24"/>
      <c r="H13587" s="24"/>
      <c r="I13587" s="24"/>
      <c r="J13587" s="24"/>
      <c r="K13587" s="24"/>
      <c r="L13587" s="24"/>
      <c r="M13587" s="24"/>
      <c r="N13587" s="24"/>
      <c r="O13587" s="24"/>
      <c r="P13587" s="24"/>
      <c r="Q13587" s="24"/>
      <c r="R13587" s="24"/>
      <c r="S13587" s="24"/>
      <c r="T13587" s="24"/>
      <c r="U13587" s="24"/>
      <c r="V13587" s="24"/>
      <c r="W13587" s="24"/>
      <c r="X13587" s="24"/>
      <c r="Y13587" s="24"/>
      <c r="Z13587" s="24"/>
      <c r="AA13587" s="24"/>
    </row>
    <row r="13588">
      <c r="A13588" s="24"/>
      <c r="B13588" s="25"/>
      <c r="C13588" s="24"/>
      <c r="D13588" s="26"/>
      <c r="E13588" s="24"/>
      <c r="F13588" s="24"/>
      <c r="G13588" s="24"/>
      <c r="H13588" s="24"/>
      <c r="I13588" s="24"/>
      <c r="J13588" s="24"/>
      <c r="K13588" s="24"/>
      <c r="L13588" s="24"/>
      <c r="M13588" s="24"/>
      <c r="N13588" s="24"/>
      <c r="O13588" s="24"/>
      <c r="P13588" s="24"/>
      <c r="Q13588" s="24"/>
      <c r="R13588" s="24"/>
      <c r="S13588" s="24"/>
      <c r="T13588" s="24"/>
      <c r="U13588" s="24"/>
      <c r="V13588" s="24"/>
      <c r="W13588" s="24"/>
      <c r="X13588" s="24"/>
      <c r="Y13588" s="24"/>
      <c r="Z13588" s="24"/>
      <c r="AA13588" s="24"/>
    </row>
    <row r="13589">
      <c r="A13589" s="24"/>
      <c r="B13589" s="25"/>
      <c r="C13589" s="24"/>
      <c r="D13589" s="26"/>
      <c r="E13589" s="24"/>
      <c r="F13589" s="24"/>
      <c r="G13589" s="24"/>
      <c r="H13589" s="24"/>
      <c r="I13589" s="24"/>
      <c r="J13589" s="24"/>
      <c r="K13589" s="24"/>
      <c r="L13589" s="24"/>
      <c r="M13589" s="24"/>
      <c r="N13589" s="24"/>
      <c r="O13589" s="24"/>
      <c r="P13589" s="24"/>
      <c r="Q13589" s="24"/>
      <c r="R13589" s="24"/>
      <c r="S13589" s="24"/>
      <c r="T13589" s="24"/>
      <c r="U13589" s="24"/>
      <c r="V13589" s="24"/>
      <c r="W13589" s="24"/>
      <c r="X13589" s="24"/>
      <c r="Y13589" s="24"/>
      <c r="Z13589" s="24"/>
      <c r="AA13589" s="24"/>
    </row>
    <row r="13590">
      <c r="A13590" s="24"/>
      <c r="B13590" s="25"/>
      <c r="C13590" s="24"/>
      <c r="D13590" s="26"/>
      <c r="E13590" s="24"/>
      <c r="F13590" s="24"/>
      <c r="G13590" s="24"/>
      <c r="H13590" s="24"/>
      <c r="I13590" s="24"/>
      <c r="J13590" s="24"/>
      <c r="K13590" s="24"/>
      <c r="L13590" s="24"/>
      <c r="M13590" s="24"/>
      <c r="N13590" s="24"/>
      <c r="O13590" s="24"/>
      <c r="P13590" s="24"/>
      <c r="Q13590" s="24"/>
      <c r="R13590" s="24"/>
      <c r="S13590" s="24"/>
      <c r="T13590" s="24"/>
      <c r="U13590" s="24"/>
      <c r="V13590" s="24"/>
      <c r="W13590" s="24"/>
      <c r="X13590" s="24"/>
      <c r="Y13590" s="24"/>
      <c r="Z13590" s="24"/>
      <c r="AA13590" s="24"/>
    </row>
    <row r="13591">
      <c r="A13591" s="24"/>
      <c r="B13591" s="25"/>
      <c r="C13591" s="24"/>
      <c r="D13591" s="26"/>
      <c r="E13591" s="24"/>
      <c r="F13591" s="24"/>
      <c r="G13591" s="24"/>
      <c r="H13591" s="24"/>
      <c r="I13591" s="24"/>
      <c r="J13591" s="24"/>
      <c r="K13591" s="24"/>
      <c r="L13591" s="24"/>
      <c r="M13591" s="24"/>
      <c r="N13591" s="24"/>
      <c r="O13591" s="24"/>
      <c r="P13591" s="24"/>
      <c r="Q13591" s="24"/>
      <c r="R13591" s="24"/>
      <c r="S13591" s="24"/>
      <c r="T13591" s="24"/>
      <c r="U13591" s="24"/>
      <c r="V13591" s="24"/>
      <c r="W13591" s="24"/>
      <c r="X13591" s="24"/>
      <c r="Y13591" s="24"/>
      <c r="Z13591" s="24"/>
      <c r="AA13591" s="24"/>
    </row>
    <row r="13592">
      <c r="A13592" s="24"/>
      <c r="B13592" s="25"/>
      <c r="C13592" s="24"/>
      <c r="D13592" s="26"/>
      <c r="E13592" s="24"/>
      <c r="F13592" s="24"/>
      <c r="G13592" s="24"/>
      <c r="H13592" s="24"/>
      <c r="I13592" s="24"/>
      <c r="J13592" s="24"/>
      <c r="K13592" s="24"/>
      <c r="L13592" s="24"/>
      <c r="M13592" s="24"/>
      <c r="N13592" s="24"/>
      <c r="O13592" s="24"/>
      <c r="P13592" s="24"/>
      <c r="Q13592" s="24"/>
      <c r="R13592" s="24"/>
      <c r="S13592" s="24"/>
      <c r="T13592" s="24"/>
      <c r="U13592" s="24"/>
      <c r="V13592" s="24"/>
      <c r="W13592" s="24"/>
      <c r="X13592" s="24"/>
      <c r="Y13592" s="24"/>
      <c r="Z13592" s="24"/>
      <c r="AA13592" s="24"/>
    </row>
    <row r="13593">
      <c r="A13593" s="24"/>
      <c r="B13593" s="25"/>
      <c r="C13593" s="24"/>
      <c r="D13593" s="26"/>
      <c r="E13593" s="24"/>
      <c r="F13593" s="24"/>
      <c r="G13593" s="24"/>
      <c r="H13593" s="24"/>
      <c r="I13593" s="24"/>
      <c r="J13593" s="24"/>
      <c r="K13593" s="24"/>
      <c r="L13593" s="24"/>
      <c r="M13593" s="24"/>
      <c r="N13593" s="24"/>
      <c r="O13593" s="24"/>
      <c r="P13593" s="24"/>
      <c r="Q13593" s="24"/>
      <c r="R13593" s="24"/>
      <c r="S13593" s="24"/>
      <c r="T13593" s="24"/>
      <c r="U13593" s="24"/>
      <c r="V13593" s="24"/>
      <c r="W13593" s="24"/>
      <c r="X13593" s="24"/>
      <c r="Y13593" s="24"/>
      <c r="Z13593" s="24"/>
      <c r="AA13593" s="24"/>
    </row>
    <row r="13594">
      <c r="A13594" s="24"/>
      <c r="B13594" s="25"/>
      <c r="C13594" s="24"/>
      <c r="D13594" s="26"/>
      <c r="E13594" s="24"/>
      <c r="F13594" s="24"/>
      <c r="G13594" s="24"/>
      <c r="H13594" s="24"/>
      <c r="I13594" s="24"/>
      <c r="J13594" s="24"/>
      <c r="K13594" s="24"/>
      <c r="L13594" s="24"/>
      <c r="M13594" s="24"/>
      <c r="N13594" s="24"/>
      <c r="O13594" s="24"/>
      <c r="P13594" s="24"/>
      <c r="Q13594" s="24"/>
      <c r="R13594" s="24"/>
      <c r="S13594" s="24"/>
      <c r="T13594" s="24"/>
      <c r="U13594" s="24"/>
      <c r="V13594" s="24"/>
      <c r="W13594" s="24"/>
      <c r="X13594" s="24"/>
      <c r="Y13594" s="24"/>
      <c r="Z13594" s="24"/>
      <c r="AA13594" s="24"/>
    </row>
    <row r="13595">
      <c r="A13595" s="24"/>
      <c r="B13595" s="25"/>
      <c r="C13595" s="24"/>
      <c r="D13595" s="26"/>
      <c r="E13595" s="24"/>
      <c r="F13595" s="24"/>
      <c r="G13595" s="24"/>
      <c r="H13595" s="24"/>
      <c r="I13595" s="24"/>
      <c r="J13595" s="24"/>
      <c r="K13595" s="24"/>
      <c r="L13595" s="24"/>
      <c r="M13595" s="24"/>
      <c r="N13595" s="24"/>
      <c r="O13595" s="24"/>
      <c r="P13595" s="24"/>
      <c r="Q13595" s="24"/>
      <c r="R13595" s="24"/>
      <c r="S13595" s="24"/>
      <c r="T13595" s="24"/>
      <c r="U13595" s="24"/>
      <c r="V13595" s="24"/>
      <c r="W13595" s="24"/>
      <c r="X13595" s="24"/>
      <c r="Y13595" s="24"/>
      <c r="Z13595" s="24"/>
      <c r="AA13595" s="24"/>
    </row>
    <row r="13596">
      <c r="A13596" s="24"/>
      <c r="B13596" s="25"/>
      <c r="C13596" s="24"/>
      <c r="D13596" s="26"/>
      <c r="E13596" s="24"/>
      <c r="F13596" s="24"/>
      <c r="G13596" s="24"/>
      <c r="H13596" s="24"/>
      <c r="I13596" s="24"/>
      <c r="J13596" s="24"/>
      <c r="K13596" s="24"/>
      <c r="L13596" s="24"/>
      <c r="M13596" s="24"/>
      <c r="N13596" s="24"/>
      <c r="O13596" s="24"/>
      <c r="P13596" s="24"/>
      <c r="Q13596" s="24"/>
      <c r="R13596" s="24"/>
      <c r="S13596" s="24"/>
      <c r="T13596" s="24"/>
      <c r="U13596" s="24"/>
      <c r="V13596" s="24"/>
      <c r="W13596" s="24"/>
      <c r="X13596" s="24"/>
      <c r="Y13596" s="24"/>
      <c r="Z13596" s="24"/>
      <c r="AA13596" s="24"/>
    </row>
    <row r="13597">
      <c r="A13597" s="24"/>
      <c r="B13597" s="25"/>
      <c r="C13597" s="24"/>
      <c r="D13597" s="26"/>
      <c r="E13597" s="24"/>
      <c r="F13597" s="24"/>
      <c r="G13597" s="24"/>
      <c r="H13597" s="24"/>
      <c r="I13597" s="24"/>
      <c r="J13597" s="24"/>
      <c r="K13597" s="24"/>
      <c r="L13597" s="24"/>
      <c r="M13597" s="24"/>
      <c r="N13597" s="24"/>
      <c r="O13597" s="24"/>
      <c r="P13597" s="24"/>
      <c r="Q13597" s="24"/>
      <c r="R13597" s="24"/>
      <c r="S13597" s="24"/>
      <c r="T13597" s="24"/>
      <c r="U13597" s="24"/>
      <c r="V13597" s="24"/>
      <c r="W13597" s="24"/>
      <c r="X13597" s="24"/>
      <c r="Y13597" s="24"/>
      <c r="Z13597" s="24"/>
      <c r="AA13597" s="24"/>
    </row>
    <row r="13598">
      <c r="A13598" s="24"/>
      <c r="B13598" s="25"/>
      <c r="C13598" s="24"/>
      <c r="D13598" s="26"/>
      <c r="E13598" s="24"/>
      <c r="F13598" s="24"/>
      <c r="G13598" s="24"/>
      <c r="H13598" s="24"/>
      <c r="I13598" s="24"/>
      <c r="J13598" s="24"/>
      <c r="K13598" s="24"/>
      <c r="L13598" s="24"/>
      <c r="M13598" s="24"/>
      <c r="N13598" s="24"/>
      <c r="O13598" s="24"/>
      <c r="P13598" s="24"/>
      <c r="Q13598" s="24"/>
      <c r="R13598" s="24"/>
      <c r="S13598" s="24"/>
      <c r="T13598" s="24"/>
      <c r="U13598" s="24"/>
      <c r="V13598" s="24"/>
      <c r="W13598" s="24"/>
      <c r="X13598" s="24"/>
      <c r="Y13598" s="24"/>
      <c r="Z13598" s="24"/>
      <c r="AA13598" s="24"/>
    </row>
    <row r="13599">
      <c r="A13599" s="24"/>
      <c r="B13599" s="25"/>
      <c r="C13599" s="24"/>
      <c r="D13599" s="26"/>
      <c r="E13599" s="24"/>
      <c r="F13599" s="24"/>
      <c r="G13599" s="24"/>
      <c r="H13599" s="24"/>
      <c r="I13599" s="24"/>
      <c r="J13599" s="24"/>
      <c r="K13599" s="24"/>
      <c r="L13599" s="24"/>
      <c r="M13599" s="24"/>
      <c r="N13599" s="24"/>
      <c r="O13599" s="24"/>
      <c r="P13599" s="24"/>
      <c r="Q13599" s="24"/>
      <c r="R13599" s="24"/>
      <c r="S13599" s="24"/>
      <c r="T13599" s="24"/>
      <c r="U13599" s="24"/>
      <c r="V13599" s="24"/>
      <c r="W13599" s="24"/>
      <c r="X13599" s="24"/>
      <c r="Y13599" s="24"/>
      <c r="Z13599" s="24"/>
      <c r="AA13599" s="24"/>
    </row>
    <row r="13600">
      <c r="A13600" s="24"/>
      <c r="B13600" s="25"/>
      <c r="C13600" s="24"/>
      <c r="D13600" s="26"/>
      <c r="E13600" s="24"/>
      <c r="F13600" s="24"/>
      <c r="G13600" s="24"/>
      <c r="H13600" s="24"/>
      <c r="I13600" s="24"/>
      <c r="J13600" s="24"/>
      <c r="K13600" s="24"/>
      <c r="L13600" s="24"/>
      <c r="M13600" s="24"/>
      <c r="N13600" s="24"/>
      <c r="O13600" s="24"/>
      <c r="P13600" s="24"/>
      <c r="Q13600" s="24"/>
      <c r="R13600" s="24"/>
      <c r="S13600" s="24"/>
      <c r="T13600" s="24"/>
      <c r="U13600" s="24"/>
      <c r="V13600" s="24"/>
      <c r="W13600" s="24"/>
      <c r="X13600" s="24"/>
      <c r="Y13600" s="24"/>
      <c r="Z13600" s="24"/>
      <c r="AA13600" s="24"/>
    </row>
    <row r="13601">
      <c r="A13601" s="24"/>
      <c r="B13601" s="25"/>
      <c r="C13601" s="24"/>
      <c r="D13601" s="26"/>
      <c r="E13601" s="24"/>
      <c r="F13601" s="24"/>
      <c r="G13601" s="24"/>
      <c r="H13601" s="24"/>
      <c r="I13601" s="24"/>
      <c r="J13601" s="24"/>
      <c r="K13601" s="24"/>
      <c r="L13601" s="24"/>
      <c r="M13601" s="24"/>
      <c r="N13601" s="24"/>
      <c r="O13601" s="24"/>
      <c r="P13601" s="24"/>
      <c r="Q13601" s="24"/>
      <c r="R13601" s="24"/>
      <c r="S13601" s="24"/>
      <c r="T13601" s="24"/>
      <c r="U13601" s="24"/>
      <c r="V13601" s="24"/>
      <c r="W13601" s="24"/>
      <c r="X13601" s="24"/>
      <c r="Y13601" s="24"/>
      <c r="Z13601" s="24"/>
      <c r="AA13601" s="24"/>
    </row>
    <row r="13602">
      <c r="A13602" s="24"/>
      <c r="B13602" s="25"/>
      <c r="C13602" s="24"/>
      <c r="D13602" s="26"/>
      <c r="E13602" s="24"/>
      <c r="F13602" s="24"/>
      <c r="G13602" s="24"/>
      <c r="H13602" s="24"/>
      <c r="I13602" s="24"/>
      <c r="J13602" s="24"/>
      <c r="K13602" s="24"/>
      <c r="L13602" s="24"/>
      <c r="M13602" s="24"/>
      <c r="N13602" s="24"/>
      <c r="O13602" s="24"/>
      <c r="P13602" s="24"/>
      <c r="Q13602" s="24"/>
      <c r="R13602" s="24"/>
      <c r="S13602" s="24"/>
      <c r="T13602" s="24"/>
      <c r="U13602" s="24"/>
      <c r="V13602" s="24"/>
      <c r="W13602" s="24"/>
      <c r="X13602" s="24"/>
      <c r="Y13602" s="24"/>
      <c r="Z13602" s="24"/>
      <c r="AA13602" s="24"/>
    </row>
    <row r="13603">
      <c r="A13603" s="24"/>
      <c r="B13603" s="25"/>
      <c r="C13603" s="24"/>
      <c r="D13603" s="26"/>
      <c r="E13603" s="24"/>
      <c r="F13603" s="24"/>
      <c r="G13603" s="24"/>
      <c r="H13603" s="24"/>
      <c r="I13603" s="24"/>
      <c r="J13603" s="24"/>
      <c r="K13603" s="24"/>
      <c r="L13603" s="24"/>
      <c r="M13603" s="24"/>
      <c r="N13603" s="24"/>
      <c r="O13603" s="24"/>
      <c r="P13603" s="24"/>
      <c r="Q13603" s="24"/>
      <c r="R13603" s="24"/>
      <c r="S13603" s="24"/>
      <c r="T13603" s="24"/>
      <c r="U13603" s="24"/>
      <c r="V13603" s="24"/>
      <c r="W13603" s="24"/>
      <c r="X13603" s="24"/>
      <c r="Y13603" s="24"/>
      <c r="Z13603" s="24"/>
      <c r="AA13603" s="24"/>
    </row>
    <row r="13604">
      <c r="A13604" s="24"/>
      <c r="B13604" s="25"/>
      <c r="C13604" s="24"/>
      <c r="D13604" s="26"/>
      <c r="E13604" s="24"/>
      <c r="F13604" s="24"/>
      <c r="G13604" s="24"/>
      <c r="H13604" s="24"/>
      <c r="I13604" s="24"/>
      <c r="J13604" s="24"/>
      <c r="K13604" s="24"/>
      <c r="L13604" s="24"/>
      <c r="M13604" s="24"/>
      <c r="N13604" s="24"/>
      <c r="O13604" s="24"/>
      <c r="P13604" s="24"/>
      <c r="Q13604" s="24"/>
      <c r="R13604" s="24"/>
      <c r="S13604" s="24"/>
      <c r="T13604" s="24"/>
      <c r="U13604" s="24"/>
      <c r="V13604" s="24"/>
      <c r="W13604" s="24"/>
      <c r="X13604" s="24"/>
      <c r="Y13604" s="24"/>
      <c r="Z13604" s="24"/>
      <c r="AA13604" s="24"/>
    </row>
    <row r="13605">
      <c r="A13605" s="24"/>
      <c r="B13605" s="25"/>
      <c r="C13605" s="24"/>
      <c r="D13605" s="26"/>
      <c r="E13605" s="24"/>
      <c r="F13605" s="24"/>
      <c r="G13605" s="24"/>
      <c r="H13605" s="24"/>
      <c r="I13605" s="24"/>
      <c r="J13605" s="24"/>
      <c r="K13605" s="24"/>
      <c r="L13605" s="24"/>
      <c r="M13605" s="24"/>
      <c r="N13605" s="24"/>
      <c r="O13605" s="24"/>
      <c r="P13605" s="24"/>
      <c r="Q13605" s="24"/>
      <c r="R13605" s="24"/>
      <c r="S13605" s="24"/>
      <c r="T13605" s="24"/>
      <c r="U13605" s="24"/>
      <c r="V13605" s="24"/>
      <c r="W13605" s="24"/>
      <c r="X13605" s="24"/>
      <c r="Y13605" s="24"/>
      <c r="Z13605" s="24"/>
      <c r="AA13605" s="24"/>
    </row>
    <row r="13606">
      <c r="A13606" s="24"/>
      <c r="B13606" s="25"/>
      <c r="C13606" s="24"/>
      <c r="D13606" s="26"/>
      <c r="E13606" s="24"/>
      <c r="F13606" s="24"/>
      <c r="G13606" s="24"/>
      <c r="H13606" s="24"/>
      <c r="I13606" s="24"/>
      <c r="J13606" s="24"/>
      <c r="K13606" s="24"/>
      <c r="L13606" s="24"/>
      <c r="M13606" s="24"/>
      <c r="N13606" s="24"/>
      <c r="O13606" s="24"/>
      <c r="P13606" s="24"/>
      <c r="Q13606" s="24"/>
      <c r="R13606" s="24"/>
      <c r="S13606" s="24"/>
      <c r="T13606" s="24"/>
      <c r="U13606" s="24"/>
      <c r="V13606" s="24"/>
      <c r="W13606" s="24"/>
      <c r="X13606" s="24"/>
      <c r="Y13606" s="24"/>
      <c r="Z13606" s="24"/>
      <c r="AA13606" s="24"/>
    </row>
    <row r="13607">
      <c r="A13607" s="24"/>
      <c r="B13607" s="25"/>
      <c r="C13607" s="24"/>
      <c r="D13607" s="26"/>
      <c r="E13607" s="24"/>
      <c r="F13607" s="24"/>
      <c r="G13607" s="24"/>
      <c r="H13607" s="24"/>
      <c r="I13607" s="24"/>
      <c r="J13607" s="24"/>
      <c r="K13607" s="24"/>
      <c r="L13607" s="24"/>
      <c r="M13607" s="24"/>
      <c r="N13607" s="24"/>
      <c r="O13607" s="24"/>
      <c r="P13607" s="24"/>
      <c r="Q13607" s="24"/>
      <c r="R13607" s="24"/>
      <c r="S13607" s="24"/>
      <c r="T13607" s="24"/>
      <c r="U13607" s="24"/>
      <c r="V13607" s="24"/>
      <c r="W13607" s="24"/>
      <c r="X13607" s="24"/>
      <c r="Y13607" s="24"/>
      <c r="Z13607" s="24"/>
      <c r="AA13607" s="24"/>
    </row>
    <row r="13608">
      <c r="A13608" s="24"/>
      <c r="B13608" s="25"/>
      <c r="C13608" s="24"/>
      <c r="D13608" s="26"/>
      <c r="E13608" s="24"/>
      <c r="F13608" s="24"/>
      <c r="G13608" s="24"/>
      <c r="H13608" s="24"/>
      <c r="I13608" s="24"/>
      <c r="J13608" s="24"/>
      <c r="K13608" s="24"/>
      <c r="L13608" s="24"/>
      <c r="M13608" s="24"/>
      <c r="N13608" s="24"/>
      <c r="O13608" s="24"/>
      <c r="P13608" s="24"/>
      <c r="Q13608" s="24"/>
      <c r="R13608" s="24"/>
      <c r="S13608" s="24"/>
      <c r="T13608" s="24"/>
      <c r="U13608" s="24"/>
      <c r="V13608" s="24"/>
      <c r="W13608" s="24"/>
      <c r="X13608" s="24"/>
      <c r="Y13608" s="24"/>
      <c r="Z13608" s="24"/>
      <c r="AA13608" s="24"/>
    </row>
    <row r="13609">
      <c r="A13609" s="24"/>
      <c r="B13609" s="25"/>
      <c r="C13609" s="24"/>
      <c r="D13609" s="26"/>
      <c r="E13609" s="24"/>
      <c r="F13609" s="24"/>
      <c r="G13609" s="24"/>
      <c r="H13609" s="24"/>
      <c r="I13609" s="24"/>
      <c r="J13609" s="24"/>
      <c r="K13609" s="24"/>
      <c r="L13609" s="24"/>
      <c r="M13609" s="24"/>
      <c r="N13609" s="24"/>
      <c r="O13609" s="24"/>
      <c r="P13609" s="24"/>
      <c r="Q13609" s="24"/>
      <c r="R13609" s="24"/>
      <c r="S13609" s="24"/>
      <c r="T13609" s="24"/>
      <c r="U13609" s="24"/>
      <c r="V13609" s="24"/>
      <c r="W13609" s="24"/>
      <c r="X13609" s="24"/>
      <c r="Y13609" s="24"/>
      <c r="Z13609" s="24"/>
      <c r="AA13609" s="24"/>
    </row>
    <row r="13610">
      <c r="A13610" s="24"/>
      <c r="B13610" s="25"/>
      <c r="C13610" s="24"/>
      <c r="D13610" s="26"/>
      <c r="E13610" s="24"/>
      <c r="F13610" s="24"/>
      <c r="G13610" s="24"/>
      <c r="H13610" s="24"/>
      <c r="I13610" s="24"/>
      <c r="J13610" s="24"/>
      <c r="K13610" s="24"/>
      <c r="L13610" s="24"/>
      <c r="M13610" s="24"/>
      <c r="N13610" s="24"/>
      <c r="O13610" s="24"/>
      <c r="P13610" s="24"/>
      <c r="Q13610" s="24"/>
      <c r="R13610" s="24"/>
      <c r="S13610" s="24"/>
      <c r="T13610" s="24"/>
      <c r="U13610" s="24"/>
      <c r="V13610" s="24"/>
      <c r="W13610" s="24"/>
      <c r="X13610" s="24"/>
      <c r="Y13610" s="24"/>
      <c r="Z13610" s="24"/>
      <c r="AA13610" s="24"/>
    </row>
    <row r="13611">
      <c r="A13611" s="24"/>
      <c r="B13611" s="25"/>
      <c r="C13611" s="24"/>
      <c r="D13611" s="26"/>
      <c r="E13611" s="24"/>
      <c r="F13611" s="24"/>
      <c r="G13611" s="24"/>
      <c r="H13611" s="24"/>
      <c r="I13611" s="24"/>
      <c r="J13611" s="24"/>
      <c r="K13611" s="24"/>
      <c r="L13611" s="24"/>
      <c r="M13611" s="24"/>
      <c r="N13611" s="24"/>
      <c r="O13611" s="24"/>
      <c r="P13611" s="24"/>
      <c r="Q13611" s="24"/>
      <c r="R13611" s="24"/>
      <c r="S13611" s="24"/>
      <c r="T13611" s="24"/>
      <c r="U13611" s="24"/>
      <c r="V13611" s="24"/>
      <c r="W13611" s="24"/>
      <c r="X13611" s="24"/>
      <c r="Y13611" s="24"/>
      <c r="Z13611" s="24"/>
      <c r="AA13611" s="24"/>
    </row>
    <row r="13612">
      <c r="A13612" s="24"/>
      <c r="B13612" s="25"/>
      <c r="C13612" s="24"/>
      <c r="D13612" s="26"/>
      <c r="E13612" s="24"/>
      <c r="F13612" s="24"/>
      <c r="G13612" s="24"/>
      <c r="H13612" s="24"/>
      <c r="I13612" s="24"/>
      <c r="J13612" s="24"/>
      <c r="K13612" s="24"/>
      <c r="L13612" s="24"/>
      <c r="M13612" s="24"/>
      <c r="N13612" s="24"/>
      <c r="O13612" s="24"/>
      <c r="P13612" s="24"/>
      <c r="Q13612" s="24"/>
      <c r="R13612" s="24"/>
      <c r="S13612" s="24"/>
      <c r="T13612" s="24"/>
      <c r="U13612" s="24"/>
      <c r="V13612" s="24"/>
      <c r="W13612" s="24"/>
      <c r="X13612" s="24"/>
      <c r="Y13612" s="24"/>
      <c r="Z13612" s="24"/>
      <c r="AA13612" s="24"/>
    </row>
    <row r="13613">
      <c r="A13613" s="24"/>
      <c r="B13613" s="25"/>
      <c r="C13613" s="24"/>
      <c r="D13613" s="26"/>
      <c r="E13613" s="24"/>
      <c r="F13613" s="24"/>
      <c r="G13613" s="24"/>
      <c r="H13613" s="24"/>
      <c r="I13613" s="24"/>
      <c r="J13613" s="24"/>
      <c r="K13613" s="24"/>
      <c r="L13613" s="24"/>
      <c r="M13613" s="24"/>
      <c r="N13613" s="24"/>
      <c r="O13613" s="24"/>
      <c r="P13613" s="24"/>
      <c r="Q13613" s="24"/>
      <c r="R13613" s="24"/>
      <c r="S13613" s="24"/>
      <c r="T13613" s="24"/>
      <c r="U13613" s="24"/>
      <c r="V13613" s="24"/>
      <c r="W13613" s="24"/>
      <c r="X13613" s="24"/>
      <c r="Y13613" s="24"/>
      <c r="Z13613" s="24"/>
      <c r="AA13613" s="24"/>
    </row>
    <row r="13614">
      <c r="A13614" s="24"/>
      <c r="B13614" s="25"/>
      <c r="C13614" s="24"/>
      <c r="D13614" s="26"/>
      <c r="E13614" s="24"/>
      <c r="F13614" s="24"/>
      <c r="G13614" s="24"/>
      <c r="H13614" s="24"/>
      <c r="I13614" s="24"/>
      <c r="J13614" s="24"/>
      <c r="K13614" s="24"/>
      <c r="L13614" s="24"/>
      <c r="M13614" s="24"/>
      <c r="N13614" s="24"/>
      <c r="O13614" s="24"/>
      <c r="P13614" s="24"/>
      <c r="Q13614" s="24"/>
      <c r="R13614" s="24"/>
      <c r="S13614" s="24"/>
      <c r="T13614" s="24"/>
      <c r="U13614" s="24"/>
      <c r="V13614" s="24"/>
      <c r="W13614" s="24"/>
      <c r="X13614" s="24"/>
      <c r="Y13614" s="24"/>
      <c r="Z13614" s="24"/>
      <c r="AA13614" s="24"/>
    </row>
    <row r="13615">
      <c r="A13615" s="24"/>
      <c r="B13615" s="25"/>
      <c r="C13615" s="24"/>
      <c r="D13615" s="26"/>
      <c r="E13615" s="24"/>
      <c r="F13615" s="24"/>
      <c r="G13615" s="24"/>
      <c r="H13615" s="24"/>
      <c r="I13615" s="24"/>
      <c r="J13615" s="24"/>
      <c r="K13615" s="24"/>
      <c r="L13615" s="24"/>
      <c r="M13615" s="24"/>
      <c r="N13615" s="24"/>
      <c r="O13615" s="24"/>
      <c r="P13615" s="24"/>
      <c r="Q13615" s="24"/>
      <c r="R13615" s="24"/>
      <c r="S13615" s="24"/>
      <c r="T13615" s="24"/>
      <c r="U13615" s="24"/>
      <c r="V13615" s="24"/>
      <c r="W13615" s="24"/>
      <c r="X13615" s="24"/>
      <c r="Y13615" s="24"/>
      <c r="Z13615" s="24"/>
      <c r="AA13615" s="24"/>
    </row>
    <row r="13616">
      <c r="A13616" s="24"/>
      <c r="B13616" s="25"/>
      <c r="C13616" s="24"/>
      <c r="D13616" s="26"/>
      <c r="E13616" s="24"/>
      <c r="F13616" s="24"/>
      <c r="G13616" s="24"/>
      <c r="H13616" s="24"/>
      <c r="I13616" s="24"/>
      <c r="J13616" s="24"/>
      <c r="K13616" s="24"/>
      <c r="L13616" s="24"/>
      <c r="M13616" s="24"/>
      <c r="N13616" s="24"/>
      <c r="O13616" s="24"/>
      <c r="P13616" s="24"/>
      <c r="Q13616" s="24"/>
      <c r="R13616" s="24"/>
      <c r="S13616" s="24"/>
      <c r="T13616" s="24"/>
      <c r="U13616" s="24"/>
      <c r="V13616" s="24"/>
      <c r="W13616" s="24"/>
      <c r="X13616" s="24"/>
      <c r="Y13616" s="24"/>
      <c r="Z13616" s="24"/>
      <c r="AA13616" s="24"/>
    </row>
    <row r="13617">
      <c r="A13617" s="24"/>
      <c r="B13617" s="25"/>
      <c r="C13617" s="24"/>
      <c r="D13617" s="26"/>
      <c r="E13617" s="24"/>
      <c r="F13617" s="24"/>
      <c r="G13617" s="24"/>
      <c r="H13617" s="24"/>
      <c r="I13617" s="24"/>
      <c r="J13617" s="24"/>
      <c r="K13617" s="24"/>
      <c r="L13617" s="24"/>
      <c r="M13617" s="24"/>
      <c r="N13617" s="24"/>
      <c r="O13617" s="24"/>
      <c r="P13617" s="24"/>
      <c r="Q13617" s="24"/>
      <c r="R13617" s="24"/>
      <c r="S13617" s="24"/>
      <c r="T13617" s="24"/>
      <c r="U13617" s="24"/>
      <c r="V13617" s="24"/>
      <c r="W13617" s="24"/>
      <c r="X13617" s="24"/>
      <c r="Y13617" s="24"/>
      <c r="Z13617" s="24"/>
      <c r="AA13617" s="24"/>
    </row>
    <row r="13618">
      <c r="A13618" s="24"/>
      <c r="B13618" s="25"/>
      <c r="C13618" s="24"/>
      <c r="D13618" s="26"/>
      <c r="E13618" s="24"/>
      <c r="F13618" s="24"/>
      <c r="G13618" s="24"/>
      <c r="H13618" s="24"/>
      <c r="I13618" s="24"/>
      <c r="J13618" s="24"/>
      <c r="K13618" s="24"/>
      <c r="L13618" s="24"/>
      <c r="M13618" s="24"/>
      <c r="N13618" s="24"/>
      <c r="O13618" s="24"/>
      <c r="P13618" s="24"/>
      <c r="Q13618" s="24"/>
      <c r="R13618" s="24"/>
      <c r="S13618" s="24"/>
      <c r="T13618" s="24"/>
      <c r="U13618" s="24"/>
      <c r="V13618" s="24"/>
      <c r="W13618" s="24"/>
      <c r="X13618" s="24"/>
      <c r="Y13618" s="24"/>
      <c r="Z13618" s="24"/>
      <c r="AA13618" s="24"/>
    </row>
    <row r="13619">
      <c r="A13619" s="24"/>
      <c r="B13619" s="25"/>
      <c r="C13619" s="24"/>
      <c r="D13619" s="26"/>
      <c r="E13619" s="24"/>
      <c r="F13619" s="24"/>
      <c r="G13619" s="24"/>
      <c r="H13619" s="24"/>
      <c r="I13619" s="24"/>
      <c r="J13619" s="24"/>
      <c r="K13619" s="24"/>
      <c r="L13619" s="24"/>
      <c r="M13619" s="24"/>
      <c r="N13619" s="24"/>
      <c r="O13619" s="24"/>
      <c r="P13619" s="24"/>
      <c r="Q13619" s="24"/>
      <c r="R13619" s="24"/>
      <c r="S13619" s="24"/>
      <c r="T13619" s="24"/>
      <c r="U13619" s="24"/>
      <c r="V13619" s="24"/>
      <c r="W13619" s="24"/>
      <c r="X13619" s="24"/>
      <c r="Y13619" s="24"/>
      <c r="Z13619" s="24"/>
      <c r="AA13619" s="24"/>
    </row>
    <row r="13620">
      <c r="A13620" s="24"/>
      <c r="B13620" s="25"/>
      <c r="C13620" s="24"/>
      <c r="D13620" s="26"/>
      <c r="E13620" s="24"/>
      <c r="F13620" s="24"/>
      <c r="G13620" s="24"/>
      <c r="H13620" s="24"/>
      <c r="I13620" s="24"/>
      <c r="J13620" s="24"/>
      <c r="K13620" s="24"/>
      <c r="L13620" s="24"/>
      <c r="M13620" s="24"/>
      <c r="N13620" s="24"/>
      <c r="O13620" s="24"/>
      <c r="P13620" s="24"/>
      <c r="Q13620" s="24"/>
      <c r="R13620" s="24"/>
      <c r="S13620" s="24"/>
      <c r="T13620" s="24"/>
      <c r="U13620" s="24"/>
      <c r="V13620" s="24"/>
      <c r="W13620" s="24"/>
      <c r="X13620" s="24"/>
      <c r="Y13620" s="24"/>
      <c r="Z13620" s="24"/>
      <c r="AA13620" s="24"/>
    </row>
    <row r="13621">
      <c r="A13621" s="24"/>
      <c r="B13621" s="25"/>
      <c r="C13621" s="24"/>
      <c r="D13621" s="26"/>
      <c r="E13621" s="24"/>
      <c r="F13621" s="24"/>
      <c r="G13621" s="24"/>
      <c r="H13621" s="24"/>
      <c r="I13621" s="24"/>
      <c r="J13621" s="24"/>
      <c r="K13621" s="24"/>
      <c r="L13621" s="24"/>
      <c r="M13621" s="24"/>
      <c r="N13621" s="24"/>
      <c r="O13621" s="24"/>
      <c r="P13621" s="24"/>
      <c r="Q13621" s="24"/>
      <c r="R13621" s="24"/>
      <c r="S13621" s="24"/>
      <c r="T13621" s="24"/>
      <c r="U13621" s="24"/>
      <c r="V13621" s="24"/>
      <c r="W13621" s="24"/>
      <c r="X13621" s="24"/>
      <c r="Y13621" s="24"/>
      <c r="Z13621" s="24"/>
      <c r="AA13621" s="24"/>
    </row>
    <row r="13622">
      <c r="A13622" s="24"/>
      <c r="B13622" s="25"/>
      <c r="C13622" s="24"/>
      <c r="D13622" s="26"/>
      <c r="E13622" s="24"/>
      <c r="F13622" s="24"/>
      <c r="G13622" s="24"/>
      <c r="H13622" s="24"/>
      <c r="I13622" s="24"/>
      <c r="J13622" s="24"/>
      <c r="K13622" s="24"/>
      <c r="L13622" s="24"/>
      <c r="M13622" s="24"/>
      <c r="N13622" s="24"/>
      <c r="O13622" s="24"/>
      <c r="P13622" s="24"/>
      <c r="Q13622" s="24"/>
      <c r="R13622" s="24"/>
      <c r="S13622" s="24"/>
      <c r="T13622" s="24"/>
      <c r="U13622" s="24"/>
      <c r="V13622" s="24"/>
      <c r="W13622" s="24"/>
      <c r="X13622" s="24"/>
      <c r="Y13622" s="24"/>
      <c r="Z13622" s="24"/>
      <c r="AA13622" s="24"/>
    </row>
    <row r="13623">
      <c r="A13623" s="24"/>
      <c r="B13623" s="25"/>
      <c r="C13623" s="24"/>
      <c r="D13623" s="26"/>
      <c r="E13623" s="24"/>
      <c r="F13623" s="24"/>
      <c r="G13623" s="24"/>
      <c r="H13623" s="24"/>
      <c r="I13623" s="24"/>
      <c r="J13623" s="24"/>
      <c r="K13623" s="24"/>
      <c r="L13623" s="24"/>
      <c r="M13623" s="24"/>
      <c r="N13623" s="24"/>
      <c r="O13623" s="24"/>
      <c r="P13623" s="24"/>
      <c r="Q13623" s="24"/>
      <c r="R13623" s="24"/>
      <c r="S13623" s="24"/>
      <c r="T13623" s="24"/>
      <c r="U13623" s="24"/>
      <c r="V13623" s="24"/>
      <c r="W13623" s="24"/>
      <c r="X13623" s="24"/>
      <c r="Y13623" s="24"/>
      <c r="Z13623" s="24"/>
      <c r="AA13623" s="24"/>
    </row>
    <row r="13624">
      <c r="A13624" s="24"/>
      <c r="B13624" s="25"/>
      <c r="C13624" s="24"/>
      <c r="D13624" s="26"/>
      <c r="E13624" s="24"/>
      <c r="F13624" s="24"/>
      <c r="G13624" s="24"/>
      <c r="H13624" s="24"/>
      <c r="I13624" s="24"/>
      <c r="J13624" s="24"/>
      <c r="K13624" s="24"/>
      <c r="L13624" s="24"/>
      <c r="M13624" s="24"/>
      <c r="N13624" s="24"/>
      <c r="O13624" s="24"/>
      <c r="P13624" s="24"/>
      <c r="Q13624" s="24"/>
      <c r="R13624" s="24"/>
      <c r="S13624" s="24"/>
      <c r="T13624" s="24"/>
      <c r="U13624" s="24"/>
      <c r="V13624" s="24"/>
      <c r="W13624" s="24"/>
      <c r="X13624" s="24"/>
      <c r="Y13624" s="24"/>
      <c r="Z13624" s="24"/>
      <c r="AA13624" s="24"/>
    </row>
    <row r="13625">
      <c r="A13625" s="24"/>
      <c r="B13625" s="25"/>
      <c r="C13625" s="24"/>
      <c r="D13625" s="26"/>
      <c r="E13625" s="24"/>
      <c r="F13625" s="24"/>
      <c r="G13625" s="24"/>
      <c r="H13625" s="24"/>
      <c r="I13625" s="24"/>
      <c r="J13625" s="24"/>
      <c r="K13625" s="24"/>
      <c r="L13625" s="24"/>
      <c r="M13625" s="24"/>
      <c r="N13625" s="24"/>
      <c r="O13625" s="24"/>
      <c r="P13625" s="24"/>
      <c r="Q13625" s="24"/>
      <c r="R13625" s="24"/>
      <c r="S13625" s="24"/>
      <c r="T13625" s="24"/>
      <c r="U13625" s="24"/>
      <c r="V13625" s="24"/>
      <c r="W13625" s="24"/>
      <c r="X13625" s="24"/>
      <c r="Y13625" s="24"/>
      <c r="Z13625" s="24"/>
      <c r="AA13625" s="24"/>
    </row>
    <row r="13626">
      <c r="A13626" s="24"/>
      <c r="B13626" s="25"/>
      <c r="C13626" s="24"/>
      <c r="D13626" s="26"/>
      <c r="E13626" s="24"/>
      <c r="F13626" s="24"/>
      <c r="G13626" s="24"/>
      <c r="H13626" s="24"/>
      <c r="I13626" s="24"/>
      <c r="J13626" s="24"/>
      <c r="K13626" s="24"/>
      <c r="L13626" s="24"/>
      <c r="M13626" s="24"/>
      <c r="N13626" s="24"/>
      <c r="O13626" s="24"/>
      <c r="P13626" s="24"/>
      <c r="Q13626" s="24"/>
      <c r="R13626" s="24"/>
      <c r="S13626" s="24"/>
      <c r="T13626" s="24"/>
      <c r="U13626" s="24"/>
      <c r="V13626" s="24"/>
      <c r="W13626" s="24"/>
      <c r="X13626" s="24"/>
      <c r="Y13626" s="24"/>
      <c r="Z13626" s="24"/>
      <c r="AA13626" s="24"/>
    </row>
    <row r="13627">
      <c r="A13627" s="24"/>
      <c r="B13627" s="25"/>
      <c r="C13627" s="24"/>
      <c r="D13627" s="26"/>
      <c r="E13627" s="24"/>
      <c r="F13627" s="24"/>
      <c r="G13627" s="24"/>
      <c r="H13627" s="24"/>
      <c r="I13627" s="24"/>
      <c r="J13627" s="24"/>
      <c r="K13627" s="24"/>
      <c r="L13627" s="24"/>
      <c r="M13627" s="24"/>
      <c r="N13627" s="24"/>
      <c r="O13627" s="24"/>
      <c r="P13627" s="24"/>
      <c r="Q13627" s="24"/>
      <c r="R13627" s="24"/>
      <c r="S13627" s="24"/>
      <c r="T13627" s="24"/>
      <c r="U13627" s="24"/>
      <c r="V13627" s="24"/>
      <c r="W13627" s="24"/>
      <c r="X13627" s="24"/>
      <c r="Y13627" s="24"/>
      <c r="Z13627" s="24"/>
      <c r="AA13627" s="24"/>
    </row>
    <row r="13628">
      <c r="A13628" s="24"/>
      <c r="B13628" s="25"/>
      <c r="C13628" s="24"/>
      <c r="D13628" s="26"/>
      <c r="E13628" s="24"/>
      <c r="F13628" s="24"/>
      <c r="G13628" s="24"/>
      <c r="H13628" s="24"/>
      <c r="I13628" s="24"/>
      <c r="J13628" s="24"/>
      <c r="K13628" s="24"/>
      <c r="L13628" s="24"/>
      <c r="M13628" s="24"/>
      <c r="N13628" s="24"/>
      <c r="O13628" s="24"/>
      <c r="P13628" s="24"/>
      <c r="Q13628" s="24"/>
      <c r="R13628" s="24"/>
      <c r="S13628" s="24"/>
      <c r="T13628" s="24"/>
      <c r="U13628" s="24"/>
      <c r="V13628" s="24"/>
      <c r="W13628" s="24"/>
      <c r="X13628" s="24"/>
      <c r="Y13628" s="24"/>
      <c r="Z13628" s="24"/>
      <c r="AA13628" s="24"/>
    </row>
    <row r="13629">
      <c r="A13629" s="24"/>
      <c r="B13629" s="25"/>
      <c r="C13629" s="24"/>
      <c r="D13629" s="26"/>
      <c r="E13629" s="24"/>
      <c r="F13629" s="24"/>
      <c r="G13629" s="24"/>
      <c r="H13629" s="24"/>
      <c r="I13629" s="24"/>
      <c r="J13629" s="24"/>
      <c r="K13629" s="24"/>
      <c r="L13629" s="24"/>
      <c r="M13629" s="24"/>
      <c r="N13629" s="24"/>
      <c r="O13629" s="24"/>
      <c r="P13629" s="24"/>
      <c r="Q13629" s="24"/>
      <c r="R13629" s="24"/>
      <c r="S13629" s="24"/>
      <c r="T13629" s="24"/>
      <c r="U13629" s="24"/>
      <c r="V13629" s="24"/>
      <c r="W13629" s="24"/>
      <c r="X13629" s="24"/>
      <c r="Y13629" s="24"/>
      <c r="Z13629" s="24"/>
      <c r="AA13629" s="24"/>
    </row>
    <row r="13630">
      <c r="A13630" s="24"/>
      <c r="B13630" s="25"/>
      <c r="C13630" s="24"/>
      <c r="D13630" s="26"/>
      <c r="E13630" s="24"/>
      <c r="F13630" s="24"/>
      <c r="G13630" s="24"/>
      <c r="H13630" s="24"/>
      <c r="I13630" s="24"/>
      <c r="J13630" s="24"/>
      <c r="K13630" s="24"/>
      <c r="L13630" s="24"/>
      <c r="M13630" s="24"/>
      <c r="N13630" s="24"/>
      <c r="O13630" s="24"/>
      <c r="P13630" s="24"/>
      <c r="Q13630" s="24"/>
      <c r="R13630" s="24"/>
      <c r="S13630" s="24"/>
      <c r="T13630" s="24"/>
      <c r="U13630" s="24"/>
      <c r="V13630" s="24"/>
      <c r="W13630" s="24"/>
      <c r="X13630" s="24"/>
      <c r="Y13630" s="24"/>
      <c r="Z13630" s="24"/>
      <c r="AA13630" s="24"/>
    </row>
    <row r="13631">
      <c r="A13631" s="24"/>
      <c r="B13631" s="25"/>
      <c r="C13631" s="24"/>
      <c r="D13631" s="26"/>
      <c r="E13631" s="24"/>
      <c r="F13631" s="24"/>
      <c r="G13631" s="24"/>
      <c r="H13631" s="24"/>
      <c r="I13631" s="24"/>
      <c r="J13631" s="24"/>
      <c r="K13631" s="24"/>
      <c r="L13631" s="24"/>
      <c r="M13631" s="24"/>
      <c r="N13631" s="24"/>
      <c r="O13631" s="24"/>
      <c r="P13631" s="24"/>
      <c r="Q13631" s="24"/>
      <c r="R13631" s="24"/>
      <c r="S13631" s="24"/>
      <c r="T13631" s="24"/>
      <c r="U13631" s="24"/>
      <c r="V13631" s="24"/>
      <c r="W13631" s="24"/>
      <c r="X13631" s="24"/>
      <c r="Y13631" s="24"/>
      <c r="Z13631" s="24"/>
      <c r="AA13631" s="24"/>
    </row>
    <row r="13632">
      <c r="A13632" s="24"/>
      <c r="B13632" s="25"/>
      <c r="C13632" s="24"/>
      <c r="D13632" s="26"/>
      <c r="E13632" s="24"/>
      <c r="F13632" s="24"/>
      <c r="G13632" s="24"/>
      <c r="H13632" s="24"/>
      <c r="I13632" s="24"/>
      <c r="J13632" s="24"/>
      <c r="K13632" s="24"/>
      <c r="L13632" s="24"/>
      <c r="M13632" s="24"/>
      <c r="N13632" s="24"/>
      <c r="O13632" s="24"/>
      <c r="P13632" s="24"/>
      <c r="Q13632" s="24"/>
      <c r="R13632" s="24"/>
      <c r="S13632" s="24"/>
      <c r="T13632" s="24"/>
      <c r="U13632" s="24"/>
      <c r="V13632" s="24"/>
      <c r="W13632" s="24"/>
      <c r="X13632" s="24"/>
      <c r="Y13632" s="24"/>
      <c r="Z13632" s="24"/>
      <c r="AA13632" s="24"/>
    </row>
    <row r="13633">
      <c r="A13633" s="24"/>
      <c r="B13633" s="25"/>
      <c r="C13633" s="24"/>
      <c r="D13633" s="26"/>
      <c r="E13633" s="24"/>
      <c r="F13633" s="24"/>
      <c r="G13633" s="24"/>
      <c r="H13633" s="24"/>
      <c r="I13633" s="24"/>
      <c r="J13633" s="24"/>
      <c r="K13633" s="24"/>
      <c r="L13633" s="24"/>
      <c r="M13633" s="24"/>
      <c r="N13633" s="24"/>
      <c r="O13633" s="24"/>
      <c r="P13633" s="24"/>
      <c r="Q13633" s="24"/>
      <c r="R13633" s="24"/>
      <c r="S13633" s="24"/>
      <c r="T13633" s="24"/>
      <c r="U13633" s="24"/>
      <c r="V13633" s="24"/>
      <c r="W13633" s="24"/>
      <c r="X13633" s="24"/>
      <c r="Y13633" s="24"/>
      <c r="Z13633" s="24"/>
      <c r="AA13633" s="24"/>
    </row>
    <row r="13634">
      <c r="A13634" s="24"/>
      <c r="B13634" s="25"/>
      <c r="C13634" s="24"/>
      <c r="D13634" s="26"/>
      <c r="E13634" s="24"/>
      <c r="F13634" s="24"/>
      <c r="G13634" s="24"/>
      <c r="H13634" s="24"/>
      <c r="I13634" s="24"/>
      <c r="J13634" s="24"/>
      <c r="K13634" s="24"/>
      <c r="L13634" s="24"/>
      <c r="M13634" s="24"/>
      <c r="N13634" s="24"/>
      <c r="O13634" s="24"/>
      <c r="P13634" s="24"/>
      <c r="Q13634" s="24"/>
      <c r="R13634" s="24"/>
      <c r="S13634" s="24"/>
      <c r="T13634" s="24"/>
      <c r="U13634" s="24"/>
      <c r="V13634" s="24"/>
      <c r="W13634" s="24"/>
      <c r="X13634" s="24"/>
      <c r="Y13634" s="24"/>
      <c r="Z13634" s="24"/>
      <c r="AA13634" s="24"/>
    </row>
    <row r="13635">
      <c r="A13635" s="24"/>
      <c r="B13635" s="25"/>
      <c r="C13635" s="24"/>
      <c r="D13635" s="26"/>
      <c r="E13635" s="24"/>
      <c r="F13635" s="24"/>
      <c r="G13635" s="24"/>
      <c r="H13635" s="24"/>
      <c r="I13635" s="24"/>
      <c r="J13635" s="24"/>
      <c r="K13635" s="24"/>
      <c r="L13635" s="24"/>
      <c r="M13635" s="24"/>
      <c r="N13635" s="24"/>
      <c r="O13635" s="24"/>
      <c r="P13635" s="24"/>
      <c r="Q13635" s="24"/>
      <c r="R13635" s="24"/>
      <c r="S13635" s="24"/>
      <c r="T13635" s="24"/>
      <c r="U13635" s="24"/>
      <c r="V13635" s="24"/>
      <c r="W13635" s="24"/>
      <c r="X13635" s="24"/>
      <c r="Y13635" s="24"/>
      <c r="Z13635" s="24"/>
      <c r="AA13635" s="24"/>
    </row>
    <row r="13636">
      <c r="A13636" s="24"/>
      <c r="B13636" s="25"/>
      <c r="C13636" s="24"/>
      <c r="D13636" s="26"/>
      <c r="E13636" s="24"/>
      <c r="F13636" s="24"/>
      <c r="G13636" s="24"/>
      <c r="H13636" s="24"/>
      <c r="I13636" s="24"/>
      <c r="J13636" s="24"/>
      <c r="K13636" s="24"/>
      <c r="L13636" s="24"/>
      <c r="M13636" s="24"/>
      <c r="N13636" s="24"/>
      <c r="O13636" s="24"/>
      <c r="P13636" s="24"/>
      <c r="Q13636" s="24"/>
      <c r="R13636" s="24"/>
      <c r="S13636" s="24"/>
      <c r="T13636" s="24"/>
      <c r="U13636" s="24"/>
      <c r="V13636" s="24"/>
      <c r="W13636" s="24"/>
      <c r="X13636" s="24"/>
      <c r="Y13636" s="24"/>
      <c r="Z13636" s="24"/>
      <c r="AA13636" s="24"/>
    </row>
    <row r="13637">
      <c r="A13637" s="24"/>
      <c r="B13637" s="25"/>
      <c r="C13637" s="24"/>
      <c r="D13637" s="26"/>
      <c r="E13637" s="24"/>
      <c r="F13637" s="24"/>
      <c r="G13637" s="24"/>
      <c r="H13637" s="24"/>
      <c r="I13637" s="24"/>
      <c r="J13637" s="24"/>
      <c r="K13637" s="24"/>
      <c r="L13637" s="24"/>
      <c r="M13637" s="24"/>
      <c r="N13637" s="24"/>
      <c r="O13637" s="24"/>
      <c r="P13637" s="24"/>
      <c r="Q13637" s="24"/>
      <c r="R13637" s="24"/>
      <c r="S13637" s="24"/>
      <c r="T13637" s="24"/>
      <c r="U13637" s="24"/>
      <c r="V13637" s="24"/>
      <c r="W13637" s="24"/>
      <c r="X13637" s="24"/>
      <c r="Y13637" s="24"/>
      <c r="Z13637" s="24"/>
      <c r="AA13637" s="24"/>
    </row>
    <row r="13638">
      <c r="A13638" s="24"/>
      <c r="B13638" s="25"/>
      <c r="C13638" s="24"/>
      <c r="D13638" s="26"/>
      <c r="E13638" s="24"/>
      <c r="F13638" s="24"/>
      <c r="G13638" s="24"/>
      <c r="H13638" s="24"/>
      <c r="I13638" s="24"/>
      <c r="J13638" s="24"/>
      <c r="K13638" s="24"/>
      <c r="L13638" s="24"/>
      <c r="M13638" s="24"/>
      <c r="N13638" s="24"/>
      <c r="O13638" s="24"/>
      <c r="P13638" s="24"/>
      <c r="Q13638" s="24"/>
      <c r="R13638" s="24"/>
      <c r="S13638" s="24"/>
      <c r="T13638" s="24"/>
      <c r="U13638" s="24"/>
      <c r="V13638" s="24"/>
      <c r="W13638" s="24"/>
      <c r="X13638" s="24"/>
      <c r="Y13638" s="24"/>
      <c r="Z13638" s="24"/>
      <c r="AA13638" s="24"/>
    </row>
    <row r="13639">
      <c r="A13639" s="24"/>
      <c r="B13639" s="25"/>
      <c r="C13639" s="24"/>
      <c r="D13639" s="26"/>
      <c r="E13639" s="24"/>
      <c r="F13639" s="24"/>
      <c r="G13639" s="24"/>
      <c r="H13639" s="24"/>
      <c r="I13639" s="24"/>
      <c r="J13639" s="24"/>
      <c r="K13639" s="24"/>
      <c r="L13639" s="24"/>
      <c r="M13639" s="24"/>
      <c r="N13639" s="24"/>
      <c r="O13639" s="24"/>
      <c r="P13639" s="24"/>
      <c r="Q13639" s="24"/>
      <c r="R13639" s="24"/>
      <c r="S13639" s="24"/>
      <c r="T13639" s="24"/>
      <c r="U13639" s="24"/>
      <c r="V13639" s="24"/>
      <c r="W13639" s="24"/>
      <c r="X13639" s="24"/>
      <c r="Y13639" s="24"/>
      <c r="Z13639" s="24"/>
      <c r="AA13639" s="24"/>
    </row>
    <row r="13640">
      <c r="A13640" s="24"/>
      <c r="B13640" s="25"/>
      <c r="C13640" s="24"/>
      <c r="D13640" s="26"/>
      <c r="E13640" s="24"/>
      <c r="F13640" s="24"/>
      <c r="G13640" s="24"/>
      <c r="H13640" s="24"/>
      <c r="I13640" s="24"/>
      <c r="J13640" s="24"/>
      <c r="K13640" s="24"/>
      <c r="L13640" s="24"/>
      <c r="M13640" s="24"/>
      <c r="N13640" s="24"/>
      <c r="O13640" s="24"/>
      <c r="P13640" s="24"/>
      <c r="Q13640" s="24"/>
      <c r="R13640" s="24"/>
      <c r="S13640" s="24"/>
      <c r="T13640" s="24"/>
      <c r="U13640" s="24"/>
      <c r="V13640" s="24"/>
      <c r="W13640" s="24"/>
      <c r="X13640" s="24"/>
      <c r="Y13640" s="24"/>
      <c r="Z13640" s="24"/>
      <c r="AA13640" s="24"/>
    </row>
    <row r="13641">
      <c r="A13641" s="24"/>
      <c r="B13641" s="25"/>
      <c r="C13641" s="24"/>
      <c r="D13641" s="26"/>
      <c r="E13641" s="24"/>
      <c r="F13641" s="24"/>
      <c r="G13641" s="24"/>
      <c r="H13641" s="24"/>
      <c r="I13641" s="24"/>
      <c r="J13641" s="24"/>
      <c r="K13641" s="24"/>
      <c r="L13641" s="24"/>
      <c r="M13641" s="24"/>
      <c r="N13641" s="24"/>
      <c r="O13641" s="24"/>
      <c r="P13641" s="24"/>
      <c r="Q13641" s="24"/>
      <c r="R13641" s="24"/>
      <c r="S13641" s="24"/>
      <c r="T13641" s="24"/>
      <c r="U13641" s="24"/>
      <c r="V13641" s="24"/>
      <c r="W13641" s="24"/>
      <c r="X13641" s="24"/>
      <c r="Y13641" s="24"/>
      <c r="Z13641" s="24"/>
      <c r="AA13641" s="24"/>
    </row>
    <row r="13642">
      <c r="A13642" s="24"/>
      <c r="B13642" s="25"/>
      <c r="C13642" s="24"/>
      <c r="D13642" s="26"/>
      <c r="E13642" s="24"/>
      <c r="F13642" s="24"/>
      <c r="G13642" s="24"/>
      <c r="H13642" s="24"/>
      <c r="I13642" s="24"/>
      <c r="J13642" s="24"/>
      <c r="K13642" s="24"/>
      <c r="L13642" s="24"/>
      <c r="M13642" s="24"/>
      <c r="N13642" s="24"/>
      <c r="O13642" s="24"/>
      <c r="P13642" s="24"/>
      <c r="Q13642" s="24"/>
      <c r="R13642" s="24"/>
      <c r="S13642" s="24"/>
      <c r="T13642" s="24"/>
      <c r="U13642" s="24"/>
      <c r="V13642" s="24"/>
      <c r="W13642" s="24"/>
      <c r="X13642" s="24"/>
      <c r="Y13642" s="24"/>
      <c r="Z13642" s="24"/>
      <c r="AA13642" s="24"/>
    </row>
    <row r="13643">
      <c r="A13643" s="24"/>
      <c r="B13643" s="25"/>
      <c r="C13643" s="24"/>
      <c r="D13643" s="26"/>
      <c r="E13643" s="24"/>
      <c r="F13643" s="24"/>
      <c r="G13643" s="24"/>
      <c r="H13643" s="24"/>
      <c r="I13643" s="24"/>
      <c r="J13643" s="24"/>
      <c r="K13643" s="24"/>
      <c r="L13643" s="24"/>
      <c r="M13643" s="24"/>
      <c r="N13643" s="24"/>
      <c r="O13643" s="24"/>
      <c r="P13643" s="24"/>
      <c r="Q13643" s="24"/>
      <c r="R13643" s="24"/>
      <c r="S13643" s="24"/>
      <c r="T13643" s="24"/>
      <c r="U13643" s="24"/>
      <c r="V13643" s="24"/>
      <c r="W13643" s="24"/>
      <c r="X13643" s="24"/>
      <c r="Y13643" s="24"/>
      <c r="Z13643" s="24"/>
      <c r="AA13643" s="24"/>
    </row>
    <row r="13644">
      <c r="A13644" s="24"/>
      <c r="B13644" s="25"/>
      <c r="C13644" s="24"/>
      <c r="D13644" s="26"/>
      <c r="E13644" s="24"/>
      <c r="F13644" s="24"/>
      <c r="G13644" s="24"/>
      <c r="H13644" s="24"/>
      <c r="I13644" s="24"/>
      <c r="J13644" s="24"/>
      <c r="K13644" s="24"/>
      <c r="L13644" s="24"/>
      <c r="M13644" s="24"/>
      <c r="N13644" s="24"/>
      <c r="O13644" s="24"/>
      <c r="P13644" s="24"/>
      <c r="Q13644" s="24"/>
      <c r="R13644" s="24"/>
      <c r="S13644" s="24"/>
      <c r="T13644" s="24"/>
      <c r="U13644" s="24"/>
      <c r="V13644" s="24"/>
      <c r="W13644" s="24"/>
      <c r="X13644" s="24"/>
      <c r="Y13644" s="24"/>
      <c r="Z13644" s="24"/>
      <c r="AA13644" s="24"/>
    </row>
    <row r="13645">
      <c r="A13645" s="24"/>
      <c r="B13645" s="25"/>
      <c r="C13645" s="24"/>
      <c r="D13645" s="26"/>
      <c r="E13645" s="24"/>
      <c r="F13645" s="24"/>
      <c r="G13645" s="24"/>
      <c r="H13645" s="24"/>
      <c r="I13645" s="24"/>
      <c r="J13645" s="24"/>
      <c r="K13645" s="24"/>
      <c r="L13645" s="24"/>
      <c r="M13645" s="24"/>
      <c r="N13645" s="24"/>
      <c r="O13645" s="24"/>
      <c r="P13645" s="24"/>
      <c r="Q13645" s="24"/>
      <c r="R13645" s="24"/>
      <c r="S13645" s="24"/>
      <c r="T13645" s="24"/>
      <c r="U13645" s="24"/>
      <c r="V13645" s="24"/>
      <c r="W13645" s="24"/>
      <c r="X13645" s="24"/>
      <c r="Y13645" s="24"/>
      <c r="Z13645" s="24"/>
      <c r="AA13645" s="24"/>
    </row>
    <row r="13646">
      <c r="A13646" s="24"/>
      <c r="B13646" s="25"/>
      <c r="C13646" s="24"/>
      <c r="D13646" s="26"/>
      <c r="E13646" s="24"/>
      <c r="F13646" s="24"/>
      <c r="G13646" s="24"/>
      <c r="H13646" s="24"/>
      <c r="I13646" s="24"/>
      <c r="J13646" s="24"/>
      <c r="K13646" s="24"/>
      <c r="L13646" s="24"/>
      <c r="M13646" s="24"/>
      <c r="N13646" s="24"/>
      <c r="O13646" s="24"/>
      <c r="P13646" s="24"/>
      <c r="Q13646" s="24"/>
      <c r="R13646" s="24"/>
      <c r="S13646" s="24"/>
      <c r="T13646" s="24"/>
      <c r="U13646" s="24"/>
      <c r="V13646" s="24"/>
      <c r="W13646" s="24"/>
      <c r="X13646" s="24"/>
      <c r="Y13646" s="24"/>
      <c r="Z13646" s="24"/>
      <c r="AA13646" s="24"/>
    </row>
    <row r="13647">
      <c r="A13647" s="24"/>
      <c r="B13647" s="25"/>
      <c r="C13647" s="24"/>
      <c r="D13647" s="26"/>
      <c r="E13647" s="24"/>
      <c r="F13647" s="24"/>
      <c r="G13647" s="24"/>
      <c r="H13647" s="24"/>
      <c r="I13647" s="24"/>
      <c r="J13647" s="24"/>
      <c r="K13647" s="24"/>
      <c r="L13647" s="24"/>
      <c r="M13647" s="24"/>
      <c r="N13647" s="24"/>
      <c r="O13647" s="24"/>
      <c r="P13647" s="24"/>
      <c r="Q13647" s="24"/>
      <c r="R13647" s="24"/>
      <c r="S13647" s="24"/>
      <c r="T13647" s="24"/>
      <c r="U13647" s="24"/>
      <c r="V13647" s="24"/>
      <c r="W13647" s="24"/>
      <c r="X13647" s="24"/>
      <c r="Y13647" s="24"/>
      <c r="Z13647" s="24"/>
      <c r="AA13647" s="24"/>
    </row>
    <row r="13648">
      <c r="A13648" s="24"/>
      <c r="B13648" s="25"/>
      <c r="C13648" s="24"/>
      <c r="D13648" s="26"/>
      <c r="E13648" s="24"/>
      <c r="F13648" s="24"/>
      <c r="G13648" s="24"/>
      <c r="H13648" s="24"/>
      <c r="I13648" s="24"/>
      <c r="J13648" s="24"/>
      <c r="K13648" s="24"/>
      <c r="L13648" s="24"/>
      <c r="M13648" s="24"/>
      <c r="N13648" s="24"/>
      <c r="O13648" s="24"/>
      <c r="P13648" s="24"/>
      <c r="Q13648" s="24"/>
      <c r="R13648" s="24"/>
      <c r="S13648" s="24"/>
      <c r="T13648" s="24"/>
      <c r="U13648" s="24"/>
      <c r="V13648" s="24"/>
      <c r="W13648" s="24"/>
      <c r="X13648" s="24"/>
      <c r="Y13648" s="24"/>
      <c r="Z13648" s="24"/>
      <c r="AA13648" s="24"/>
    </row>
    <row r="13649">
      <c r="A13649" s="24"/>
      <c r="B13649" s="25"/>
      <c r="C13649" s="24"/>
      <c r="D13649" s="26"/>
      <c r="E13649" s="24"/>
      <c r="F13649" s="24"/>
      <c r="G13649" s="24"/>
      <c r="H13649" s="24"/>
      <c r="I13649" s="24"/>
      <c r="J13649" s="24"/>
      <c r="K13649" s="24"/>
      <c r="L13649" s="24"/>
      <c r="M13649" s="24"/>
      <c r="N13649" s="24"/>
      <c r="O13649" s="24"/>
      <c r="P13649" s="24"/>
      <c r="Q13649" s="24"/>
      <c r="R13649" s="24"/>
      <c r="S13649" s="24"/>
      <c r="T13649" s="24"/>
      <c r="U13649" s="24"/>
      <c r="V13649" s="24"/>
      <c r="W13649" s="24"/>
      <c r="X13649" s="24"/>
      <c r="Y13649" s="24"/>
      <c r="Z13649" s="24"/>
      <c r="AA13649" s="24"/>
    </row>
    <row r="13650">
      <c r="A13650" s="24"/>
      <c r="B13650" s="25"/>
      <c r="C13650" s="24"/>
      <c r="D13650" s="26"/>
      <c r="E13650" s="24"/>
      <c r="F13650" s="24"/>
      <c r="G13650" s="24"/>
      <c r="H13650" s="24"/>
      <c r="I13650" s="24"/>
      <c r="J13650" s="24"/>
      <c r="K13650" s="24"/>
      <c r="L13650" s="24"/>
      <c r="M13650" s="24"/>
      <c r="N13650" s="24"/>
      <c r="O13650" s="24"/>
      <c r="P13650" s="24"/>
      <c r="Q13650" s="24"/>
      <c r="R13650" s="24"/>
      <c r="S13650" s="24"/>
      <c r="T13650" s="24"/>
      <c r="U13650" s="24"/>
      <c r="V13650" s="24"/>
      <c r="W13650" s="24"/>
      <c r="X13650" s="24"/>
      <c r="Y13650" s="24"/>
      <c r="Z13650" s="24"/>
      <c r="AA13650" s="24"/>
    </row>
    <row r="13651">
      <c r="A13651" s="24"/>
      <c r="B13651" s="25"/>
      <c r="C13651" s="24"/>
      <c r="D13651" s="26"/>
      <c r="E13651" s="24"/>
      <c r="F13651" s="24"/>
      <c r="G13651" s="24"/>
      <c r="H13651" s="24"/>
      <c r="I13651" s="24"/>
      <c r="J13651" s="24"/>
      <c r="K13651" s="24"/>
      <c r="L13651" s="24"/>
      <c r="M13651" s="24"/>
      <c r="N13651" s="24"/>
      <c r="O13651" s="24"/>
      <c r="P13651" s="24"/>
      <c r="Q13651" s="24"/>
      <c r="R13651" s="24"/>
      <c r="S13651" s="24"/>
      <c r="T13651" s="24"/>
      <c r="U13651" s="24"/>
      <c r="V13651" s="24"/>
      <c r="W13651" s="24"/>
      <c r="X13651" s="24"/>
      <c r="Y13651" s="24"/>
      <c r="Z13651" s="24"/>
      <c r="AA13651" s="24"/>
    </row>
    <row r="13652">
      <c r="A13652" s="24"/>
      <c r="B13652" s="25"/>
      <c r="C13652" s="24"/>
      <c r="D13652" s="26"/>
      <c r="E13652" s="24"/>
      <c r="F13652" s="24"/>
      <c r="G13652" s="24"/>
      <c r="H13652" s="24"/>
      <c r="I13652" s="24"/>
      <c r="J13652" s="24"/>
      <c r="K13652" s="24"/>
      <c r="L13652" s="24"/>
      <c r="M13652" s="24"/>
      <c r="N13652" s="24"/>
      <c r="O13652" s="24"/>
      <c r="P13652" s="24"/>
      <c r="Q13652" s="24"/>
      <c r="R13652" s="24"/>
      <c r="S13652" s="24"/>
      <c r="T13652" s="24"/>
      <c r="U13652" s="24"/>
      <c r="V13652" s="24"/>
      <c r="W13652" s="24"/>
      <c r="X13652" s="24"/>
      <c r="Y13652" s="24"/>
      <c r="Z13652" s="24"/>
      <c r="AA13652" s="24"/>
    </row>
    <row r="13653">
      <c r="A13653" s="24"/>
      <c r="B13653" s="25"/>
      <c r="C13653" s="24"/>
      <c r="D13653" s="26"/>
      <c r="E13653" s="24"/>
      <c r="F13653" s="24"/>
      <c r="G13653" s="24"/>
      <c r="H13653" s="24"/>
      <c r="I13653" s="24"/>
      <c r="J13653" s="24"/>
      <c r="K13653" s="24"/>
      <c r="L13653" s="24"/>
      <c r="M13653" s="24"/>
      <c r="N13653" s="24"/>
      <c r="O13653" s="24"/>
      <c r="P13653" s="24"/>
      <c r="Q13653" s="24"/>
      <c r="R13653" s="24"/>
      <c r="S13653" s="24"/>
      <c r="T13653" s="24"/>
      <c r="U13653" s="24"/>
      <c r="V13653" s="24"/>
      <c r="W13653" s="24"/>
      <c r="X13653" s="24"/>
      <c r="Y13653" s="24"/>
      <c r="Z13653" s="24"/>
      <c r="AA13653" s="24"/>
    </row>
    <row r="13654">
      <c r="A13654" s="24"/>
      <c r="B13654" s="25"/>
      <c r="C13654" s="24"/>
      <c r="D13654" s="26"/>
      <c r="E13654" s="24"/>
      <c r="F13654" s="24"/>
      <c r="G13654" s="24"/>
      <c r="H13654" s="24"/>
      <c r="I13654" s="24"/>
      <c r="J13654" s="24"/>
      <c r="K13654" s="24"/>
      <c r="L13654" s="24"/>
      <c r="M13654" s="24"/>
      <c r="N13654" s="24"/>
      <c r="O13654" s="24"/>
      <c r="P13654" s="24"/>
      <c r="Q13654" s="24"/>
      <c r="R13654" s="24"/>
      <c r="S13654" s="24"/>
      <c r="T13654" s="24"/>
      <c r="U13654" s="24"/>
      <c r="V13654" s="24"/>
      <c r="W13654" s="24"/>
      <c r="X13654" s="24"/>
      <c r="Y13654" s="24"/>
      <c r="Z13654" s="24"/>
      <c r="AA13654" s="24"/>
    </row>
    <row r="13655">
      <c r="A13655" s="24"/>
      <c r="B13655" s="25"/>
      <c r="C13655" s="24"/>
      <c r="D13655" s="26"/>
      <c r="E13655" s="24"/>
      <c r="F13655" s="24"/>
      <c r="G13655" s="24"/>
      <c r="H13655" s="24"/>
      <c r="I13655" s="24"/>
      <c r="J13655" s="24"/>
      <c r="K13655" s="24"/>
      <c r="L13655" s="24"/>
      <c r="M13655" s="24"/>
      <c r="N13655" s="24"/>
      <c r="O13655" s="24"/>
      <c r="P13655" s="24"/>
      <c r="Q13655" s="24"/>
      <c r="R13655" s="24"/>
      <c r="S13655" s="24"/>
      <c r="T13655" s="24"/>
      <c r="U13655" s="24"/>
      <c r="V13655" s="24"/>
      <c r="W13655" s="24"/>
      <c r="X13655" s="24"/>
      <c r="Y13655" s="24"/>
      <c r="Z13655" s="24"/>
      <c r="AA13655" s="24"/>
    </row>
    <row r="13656">
      <c r="A13656" s="24"/>
      <c r="B13656" s="25"/>
      <c r="C13656" s="24"/>
      <c r="D13656" s="26"/>
      <c r="E13656" s="24"/>
      <c r="F13656" s="24"/>
      <c r="G13656" s="24"/>
      <c r="H13656" s="24"/>
      <c r="I13656" s="24"/>
      <c r="J13656" s="24"/>
      <c r="K13656" s="24"/>
      <c r="L13656" s="24"/>
      <c r="M13656" s="24"/>
      <c r="N13656" s="24"/>
      <c r="O13656" s="24"/>
      <c r="P13656" s="24"/>
      <c r="Q13656" s="24"/>
      <c r="R13656" s="24"/>
      <c r="S13656" s="24"/>
      <c r="T13656" s="24"/>
      <c r="U13656" s="24"/>
      <c r="V13656" s="24"/>
      <c r="W13656" s="24"/>
      <c r="X13656" s="24"/>
      <c r="Y13656" s="24"/>
      <c r="Z13656" s="24"/>
      <c r="AA13656" s="24"/>
    </row>
    <row r="13657">
      <c r="A13657" s="24"/>
      <c r="B13657" s="25"/>
      <c r="C13657" s="24"/>
      <c r="D13657" s="26"/>
      <c r="E13657" s="24"/>
      <c r="F13657" s="24"/>
      <c r="G13657" s="24"/>
      <c r="H13657" s="24"/>
      <c r="I13657" s="24"/>
      <c r="J13657" s="24"/>
      <c r="K13657" s="24"/>
      <c r="L13657" s="24"/>
      <c r="M13657" s="24"/>
      <c r="N13657" s="24"/>
      <c r="O13657" s="24"/>
      <c r="P13657" s="24"/>
      <c r="Q13657" s="24"/>
      <c r="R13657" s="24"/>
      <c r="S13657" s="24"/>
      <c r="T13657" s="24"/>
      <c r="U13657" s="24"/>
      <c r="V13657" s="24"/>
      <c r="W13657" s="24"/>
      <c r="X13657" s="24"/>
      <c r="Y13657" s="24"/>
      <c r="Z13657" s="24"/>
      <c r="AA13657" s="24"/>
    </row>
    <row r="13658">
      <c r="A13658" s="24"/>
      <c r="B13658" s="25"/>
      <c r="C13658" s="24"/>
      <c r="D13658" s="26"/>
      <c r="E13658" s="24"/>
      <c r="F13658" s="24"/>
      <c r="G13658" s="24"/>
      <c r="H13658" s="24"/>
      <c r="I13658" s="24"/>
      <c r="J13658" s="24"/>
      <c r="K13658" s="24"/>
      <c r="L13658" s="24"/>
      <c r="M13658" s="24"/>
      <c r="N13658" s="24"/>
      <c r="O13658" s="24"/>
      <c r="P13658" s="24"/>
      <c r="Q13658" s="24"/>
      <c r="R13658" s="24"/>
      <c r="S13658" s="24"/>
      <c r="T13658" s="24"/>
      <c r="U13658" s="24"/>
      <c r="V13658" s="24"/>
      <c r="W13658" s="24"/>
      <c r="X13658" s="24"/>
      <c r="Y13658" s="24"/>
      <c r="Z13658" s="24"/>
      <c r="AA13658" s="24"/>
    </row>
    <row r="13659">
      <c r="A13659" s="24"/>
      <c r="B13659" s="25"/>
      <c r="C13659" s="24"/>
      <c r="D13659" s="26"/>
      <c r="E13659" s="24"/>
      <c r="F13659" s="24"/>
      <c r="G13659" s="24"/>
      <c r="H13659" s="24"/>
      <c r="I13659" s="24"/>
      <c r="J13659" s="24"/>
      <c r="K13659" s="24"/>
      <c r="L13659" s="24"/>
      <c r="M13659" s="24"/>
      <c r="N13659" s="24"/>
      <c r="O13659" s="24"/>
      <c r="P13659" s="24"/>
      <c r="Q13659" s="24"/>
      <c r="R13659" s="24"/>
      <c r="S13659" s="24"/>
      <c r="T13659" s="24"/>
      <c r="U13659" s="24"/>
      <c r="V13659" s="24"/>
      <c r="W13659" s="24"/>
      <c r="X13659" s="24"/>
      <c r="Y13659" s="24"/>
      <c r="Z13659" s="24"/>
      <c r="AA13659" s="24"/>
    </row>
    <row r="13660">
      <c r="A13660" s="24"/>
      <c r="B13660" s="25"/>
      <c r="C13660" s="24"/>
      <c r="D13660" s="26"/>
      <c r="E13660" s="24"/>
      <c r="F13660" s="24"/>
      <c r="G13660" s="24"/>
      <c r="H13660" s="24"/>
      <c r="I13660" s="24"/>
      <c r="J13660" s="24"/>
      <c r="K13660" s="24"/>
      <c r="L13660" s="24"/>
      <c r="M13660" s="24"/>
      <c r="N13660" s="24"/>
      <c r="O13660" s="24"/>
      <c r="P13660" s="24"/>
      <c r="Q13660" s="24"/>
      <c r="R13660" s="24"/>
      <c r="S13660" s="24"/>
      <c r="T13660" s="24"/>
      <c r="U13660" s="24"/>
      <c r="V13660" s="24"/>
      <c r="W13660" s="24"/>
      <c r="X13660" s="24"/>
      <c r="Y13660" s="24"/>
      <c r="Z13660" s="24"/>
      <c r="AA13660" s="24"/>
    </row>
    <row r="13661">
      <c r="A13661" s="24"/>
      <c r="B13661" s="25"/>
      <c r="C13661" s="24"/>
      <c r="D13661" s="26"/>
      <c r="E13661" s="24"/>
      <c r="F13661" s="24"/>
      <c r="G13661" s="24"/>
      <c r="H13661" s="24"/>
      <c r="I13661" s="24"/>
      <c r="J13661" s="24"/>
      <c r="K13661" s="24"/>
      <c r="L13661" s="24"/>
      <c r="M13661" s="24"/>
      <c r="N13661" s="24"/>
      <c r="O13661" s="24"/>
      <c r="P13661" s="24"/>
      <c r="Q13661" s="24"/>
      <c r="R13661" s="24"/>
      <c r="S13661" s="24"/>
      <c r="T13661" s="24"/>
      <c r="U13661" s="24"/>
      <c r="V13661" s="24"/>
      <c r="W13661" s="24"/>
      <c r="X13661" s="24"/>
      <c r="Y13661" s="24"/>
      <c r="Z13661" s="24"/>
      <c r="AA13661" s="24"/>
    </row>
    <row r="13662">
      <c r="A13662" s="24"/>
      <c r="B13662" s="25"/>
      <c r="C13662" s="24"/>
      <c r="D13662" s="26"/>
      <c r="E13662" s="24"/>
      <c r="F13662" s="24"/>
      <c r="G13662" s="24"/>
      <c r="H13662" s="24"/>
      <c r="I13662" s="24"/>
      <c r="J13662" s="24"/>
      <c r="K13662" s="24"/>
      <c r="L13662" s="24"/>
      <c r="M13662" s="24"/>
      <c r="N13662" s="24"/>
      <c r="O13662" s="24"/>
      <c r="P13662" s="24"/>
      <c r="Q13662" s="24"/>
      <c r="R13662" s="24"/>
      <c r="S13662" s="24"/>
      <c r="T13662" s="24"/>
      <c r="U13662" s="24"/>
      <c r="V13662" s="24"/>
      <c r="W13662" s="24"/>
      <c r="X13662" s="24"/>
      <c r="Y13662" s="24"/>
      <c r="Z13662" s="24"/>
      <c r="AA13662" s="24"/>
    </row>
    <row r="13663">
      <c r="A13663" s="24"/>
      <c r="B13663" s="25"/>
      <c r="C13663" s="24"/>
      <c r="D13663" s="26"/>
      <c r="E13663" s="24"/>
      <c r="F13663" s="24"/>
      <c r="G13663" s="24"/>
      <c r="H13663" s="24"/>
      <c r="I13663" s="24"/>
      <c r="J13663" s="24"/>
      <c r="K13663" s="24"/>
      <c r="L13663" s="24"/>
      <c r="M13663" s="24"/>
      <c r="N13663" s="24"/>
      <c r="O13663" s="24"/>
      <c r="P13663" s="24"/>
      <c r="Q13663" s="24"/>
      <c r="R13663" s="24"/>
      <c r="S13663" s="24"/>
      <c r="T13663" s="24"/>
      <c r="U13663" s="24"/>
      <c r="V13663" s="24"/>
      <c r="W13663" s="24"/>
      <c r="X13663" s="24"/>
      <c r="Y13663" s="24"/>
      <c r="Z13663" s="24"/>
      <c r="AA13663" s="24"/>
    </row>
    <row r="13664">
      <c r="A13664" s="24"/>
      <c r="B13664" s="25"/>
      <c r="C13664" s="24"/>
      <c r="D13664" s="26"/>
      <c r="E13664" s="24"/>
      <c r="F13664" s="24"/>
      <c r="G13664" s="24"/>
      <c r="H13664" s="24"/>
      <c r="I13664" s="24"/>
      <c r="J13664" s="24"/>
      <c r="K13664" s="24"/>
      <c r="L13664" s="24"/>
      <c r="M13664" s="24"/>
      <c r="N13664" s="24"/>
      <c r="O13664" s="24"/>
      <c r="P13664" s="24"/>
      <c r="Q13664" s="24"/>
      <c r="R13664" s="24"/>
      <c r="S13664" s="24"/>
      <c r="T13664" s="24"/>
      <c r="U13664" s="24"/>
      <c r="V13664" s="24"/>
      <c r="W13664" s="24"/>
      <c r="X13664" s="24"/>
      <c r="Y13664" s="24"/>
      <c r="Z13664" s="24"/>
      <c r="AA13664" s="24"/>
    </row>
    <row r="13665">
      <c r="A13665" s="24"/>
      <c r="B13665" s="25"/>
      <c r="C13665" s="24"/>
      <c r="D13665" s="26"/>
      <c r="E13665" s="24"/>
      <c r="F13665" s="24"/>
      <c r="G13665" s="24"/>
      <c r="H13665" s="24"/>
      <c r="I13665" s="24"/>
      <c r="J13665" s="24"/>
      <c r="K13665" s="24"/>
      <c r="L13665" s="24"/>
      <c r="M13665" s="24"/>
      <c r="N13665" s="24"/>
      <c r="O13665" s="24"/>
      <c r="P13665" s="24"/>
      <c r="Q13665" s="24"/>
      <c r="R13665" s="24"/>
      <c r="S13665" s="24"/>
      <c r="T13665" s="24"/>
      <c r="U13665" s="24"/>
      <c r="V13665" s="24"/>
      <c r="W13665" s="24"/>
      <c r="X13665" s="24"/>
      <c r="Y13665" s="24"/>
      <c r="Z13665" s="24"/>
      <c r="AA13665" s="24"/>
    </row>
    <row r="13666">
      <c r="A13666" s="24"/>
      <c r="B13666" s="25"/>
      <c r="C13666" s="24"/>
      <c r="D13666" s="26"/>
      <c r="E13666" s="24"/>
      <c r="F13666" s="24"/>
      <c r="G13666" s="24"/>
      <c r="H13666" s="24"/>
      <c r="I13666" s="24"/>
      <c r="J13666" s="24"/>
      <c r="K13666" s="24"/>
      <c r="L13666" s="24"/>
      <c r="M13666" s="24"/>
      <c r="N13666" s="24"/>
      <c r="O13666" s="24"/>
      <c r="P13666" s="24"/>
      <c r="Q13666" s="24"/>
      <c r="R13666" s="24"/>
      <c r="S13666" s="24"/>
      <c r="T13666" s="24"/>
      <c r="U13666" s="24"/>
      <c r="V13666" s="24"/>
      <c r="W13666" s="24"/>
      <c r="X13666" s="24"/>
      <c r="Y13666" s="24"/>
      <c r="Z13666" s="24"/>
      <c r="AA13666" s="24"/>
    </row>
    <row r="13667">
      <c r="A13667" s="24"/>
      <c r="B13667" s="25"/>
      <c r="C13667" s="24"/>
      <c r="D13667" s="26"/>
      <c r="E13667" s="24"/>
      <c r="F13667" s="24"/>
      <c r="G13667" s="24"/>
      <c r="H13667" s="24"/>
      <c r="I13667" s="24"/>
      <c r="J13667" s="24"/>
      <c r="K13667" s="24"/>
      <c r="L13667" s="24"/>
      <c r="M13667" s="24"/>
      <c r="N13667" s="24"/>
      <c r="O13667" s="24"/>
      <c r="P13667" s="24"/>
      <c r="Q13667" s="24"/>
      <c r="R13667" s="24"/>
      <c r="S13667" s="24"/>
      <c r="T13667" s="24"/>
      <c r="U13667" s="24"/>
      <c r="V13667" s="24"/>
      <c r="W13667" s="24"/>
      <c r="X13667" s="24"/>
      <c r="Y13667" s="24"/>
      <c r="Z13667" s="24"/>
      <c r="AA13667" s="24"/>
    </row>
    <row r="13668">
      <c r="A13668" s="24"/>
      <c r="B13668" s="25"/>
      <c r="C13668" s="24"/>
      <c r="D13668" s="26"/>
      <c r="E13668" s="24"/>
      <c r="F13668" s="24"/>
      <c r="G13668" s="24"/>
      <c r="H13668" s="24"/>
      <c r="I13668" s="24"/>
      <c r="J13668" s="24"/>
      <c r="K13668" s="24"/>
      <c r="L13668" s="24"/>
      <c r="M13668" s="24"/>
      <c r="N13668" s="24"/>
      <c r="O13668" s="24"/>
      <c r="P13668" s="24"/>
      <c r="Q13668" s="24"/>
      <c r="R13668" s="24"/>
      <c r="S13668" s="24"/>
      <c r="T13668" s="24"/>
      <c r="U13668" s="24"/>
      <c r="V13668" s="24"/>
      <c r="W13668" s="24"/>
      <c r="X13668" s="24"/>
      <c r="Y13668" s="24"/>
      <c r="Z13668" s="24"/>
      <c r="AA13668" s="24"/>
    </row>
    <row r="13669">
      <c r="A13669" s="24"/>
      <c r="B13669" s="25"/>
      <c r="C13669" s="24"/>
      <c r="D13669" s="26"/>
      <c r="E13669" s="24"/>
      <c r="F13669" s="24"/>
      <c r="G13669" s="24"/>
      <c r="H13669" s="24"/>
      <c r="I13669" s="24"/>
      <c r="J13669" s="24"/>
      <c r="K13669" s="24"/>
      <c r="L13669" s="24"/>
      <c r="M13669" s="24"/>
      <c r="N13669" s="24"/>
      <c r="O13669" s="24"/>
      <c r="P13669" s="24"/>
      <c r="Q13669" s="24"/>
      <c r="R13669" s="24"/>
      <c r="S13669" s="24"/>
      <c r="T13669" s="24"/>
      <c r="U13669" s="24"/>
      <c r="V13669" s="24"/>
      <c r="W13669" s="24"/>
      <c r="X13669" s="24"/>
      <c r="Y13669" s="24"/>
      <c r="Z13669" s="24"/>
      <c r="AA13669" s="24"/>
    </row>
    <row r="13670">
      <c r="A13670" s="24"/>
      <c r="B13670" s="25"/>
      <c r="C13670" s="24"/>
      <c r="D13670" s="26"/>
      <c r="E13670" s="24"/>
      <c r="F13670" s="24"/>
      <c r="G13670" s="24"/>
      <c r="H13670" s="24"/>
      <c r="I13670" s="24"/>
      <c r="J13670" s="24"/>
      <c r="K13670" s="24"/>
      <c r="L13670" s="24"/>
      <c r="M13670" s="24"/>
      <c r="N13670" s="24"/>
      <c r="O13670" s="24"/>
      <c r="P13670" s="24"/>
      <c r="Q13670" s="24"/>
      <c r="R13670" s="24"/>
      <c r="S13670" s="24"/>
      <c r="T13670" s="24"/>
      <c r="U13670" s="24"/>
      <c r="V13670" s="24"/>
      <c r="W13670" s="24"/>
      <c r="X13670" s="24"/>
      <c r="Y13670" s="24"/>
      <c r="Z13670" s="24"/>
      <c r="AA13670" s="24"/>
    </row>
    <row r="13671">
      <c r="A13671" s="24"/>
      <c r="B13671" s="25"/>
      <c r="C13671" s="24"/>
      <c r="D13671" s="26"/>
      <c r="E13671" s="24"/>
      <c r="F13671" s="24"/>
      <c r="G13671" s="24"/>
      <c r="H13671" s="24"/>
      <c r="I13671" s="24"/>
      <c r="J13671" s="24"/>
      <c r="K13671" s="24"/>
      <c r="L13671" s="24"/>
      <c r="M13671" s="24"/>
      <c r="N13671" s="24"/>
      <c r="O13671" s="24"/>
      <c r="P13671" s="24"/>
      <c r="Q13671" s="24"/>
      <c r="R13671" s="24"/>
      <c r="S13671" s="24"/>
      <c r="T13671" s="24"/>
      <c r="U13671" s="24"/>
      <c r="V13671" s="24"/>
      <c r="W13671" s="24"/>
      <c r="X13671" s="24"/>
      <c r="Y13671" s="24"/>
      <c r="Z13671" s="24"/>
      <c r="AA13671" s="24"/>
    </row>
    <row r="13672">
      <c r="A13672" s="24"/>
      <c r="B13672" s="25"/>
      <c r="C13672" s="24"/>
      <c r="D13672" s="26"/>
      <c r="E13672" s="24"/>
      <c r="F13672" s="24"/>
      <c r="G13672" s="24"/>
      <c r="H13672" s="24"/>
      <c r="I13672" s="24"/>
      <c r="J13672" s="24"/>
      <c r="K13672" s="24"/>
      <c r="L13672" s="24"/>
      <c r="M13672" s="24"/>
      <c r="N13672" s="24"/>
      <c r="O13672" s="24"/>
      <c r="P13672" s="24"/>
      <c r="Q13672" s="24"/>
      <c r="R13672" s="24"/>
      <c r="S13672" s="24"/>
      <c r="T13672" s="24"/>
      <c r="U13672" s="24"/>
      <c r="V13672" s="24"/>
      <c r="W13672" s="24"/>
      <c r="X13672" s="24"/>
      <c r="Y13672" s="24"/>
      <c r="Z13672" s="24"/>
      <c r="AA13672" s="24"/>
    </row>
    <row r="13673">
      <c r="A13673" s="24"/>
      <c r="B13673" s="25"/>
      <c r="C13673" s="24"/>
      <c r="D13673" s="26"/>
      <c r="E13673" s="24"/>
      <c r="F13673" s="24"/>
      <c r="G13673" s="24"/>
      <c r="H13673" s="24"/>
      <c r="I13673" s="24"/>
      <c r="J13673" s="24"/>
      <c r="K13673" s="24"/>
      <c r="L13673" s="24"/>
      <c r="M13673" s="24"/>
      <c r="N13673" s="24"/>
      <c r="O13673" s="24"/>
      <c r="P13673" s="24"/>
      <c r="Q13673" s="24"/>
      <c r="R13673" s="24"/>
      <c r="S13673" s="24"/>
      <c r="T13673" s="24"/>
      <c r="U13673" s="24"/>
      <c r="V13673" s="24"/>
      <c r="W13673" s="24"/>
      <c r="X13673" s="24"/>
      <c r="Y13673" s="24"/>
      <c r="Z13673" s="24"/>
      <c r="AA13673" s="24"/>
    </row>
    <row r="13674">
      <c r="A13674" s="24"/>
      <c r="B13674" s="25"/>
      <c r="C13674" s="24"/>
      <c r="D13674" s="26"/>
      <c r="E13674" s="24"/>
      <c r="F13674" s="24"/>
      <c r="G13674" s="24"/>
      <c r="H13674" s="24"/>
      <c r="I13674" s="24"/>
      <c r="J13674" s="24"/>
      <c r="K13674" s="24"/>
      <c r="L13674" s="24"/>
      <c r="M13674" s="24"/>
      <c r="N13674" s="24"/>
      <c r="O13674" s="24"/>
      <c r="P13674" s="24"/>
      <c r="Q13674" s="24"/>
      <c r="R13674" s="24"/>
      <c r="S13674" s="24"/>
      <c r="T13674" s="24"/>
      <c r="U13674" s="24"/>
      <c r="V13674" s="24"/>
      <c r="W13674" s="24"/>
      <c r="X13674" s="24"/>
      <c r="Y13674" s="24"/>
      <c r="Z13674" s="24"/>
      <c r="AA13674" s="24"/>
    </row>
    <row r="13675">
      <c r="A13675" s="24"/>
      <c r="B13675" s="25"/>
      <c r="C13675" s="24"/>
      <c r="D13675" s="26"/>
      <c r="E13675" s="24"/>
      <c r="F13675" s="24"/>
      <c r="G13675" s="24"/>
      <c r="H13675" s="24"/>
      <c r="I13675" s="24"/>
      <c r="J13675" s="24"/>
      <c r="K13675" s="24"/>
      <c r="L13675" s="24"/>
      <c r="M13675" s="24"/>
      <c r="N13675" s="24"/>
      <c r="O13675" s="24"/>
      <c r="P13675" s="24"/>
      <c r="Q13675" s="24"/>
      <c r="R13675" s="24"/>
      <c r="S13675" s="24"/>
      <c r="T13675" s="24"/>
      <c r="U13675" s="24"/>
      <c r="V13675" s="24"/>
      <c r="W13675" s="24"/>
      <c r="X13675" s="24"/>
      <c r="Y13675" s="24"/>
      <c r="Z13675" s="24"/>
      <c r="AA13675" s="24"/>
    </row>
    <row r="13676">
      <c r="A13676" s="24"/>
      <c r="B13676" s="25"/>
      <c r="C13676" s="24"/>
      <c r="D13676" s="26"/>
      <c r="E13676" s="24"/>
      <c r="F13676" s="24"/>
      <c r="G13676" s="24"/>
      <c r="H13676" s="24"/>
      <c r="I13676" s="24"/>
      <c r="J13676" s="24"/>
      <c r="K13676" s="24"/>
      <c r="L13676" s="24"/>
      <c r="M13676" s="24"/>
      <c r="N13676" s="24"/>
      <c r="O13676" s="24"/>
      <c r="P13676" s="24"/>
      <c r="Q13676" s="24"/>
      <c r="R13676" s="24"/>
      <c r="S13676" s="24"/>
      <c r="T13676" s="24"/>
      <c r="U13676" s="24"/>
      <c r="V13676" s="24"/>
      <c r="W13676" s="24"/>
      <c r="X13676" s="24"/>
      <c r="Y13676" s="24"/>
      <c r="Z13676" s="24"/>
      <c r="AA13676" s="24"/>
    </row>
    <row r="13677">
      <c r="A13677" s="24"/>
      <c r="B13677" s="25"/>
      <c r="C13677" s="24"/>
      <c r="D13677" s="26"/>
      <c r="E13677" s="24"/>
      <c r="F13677" s="24"/>
      <c r="G13677" s="24"/>
      <c r="H13677" s="24"/>
      <c r="I13677" s="24"/>
      <c r="J13677" s="24"/>
      <c r="K13677" s="24"/>
      <c r="L13677" s="24"/>
      <c r="M13677" s="24"/>
      <c r="N13677" s="24"/>
      <c r="O13677" s="24"/>
      <c r="P13677" s="24"/>
      <c r="Q13677" s="24"/>
      <c r="R13677" s="24"/>
      <c r="S13677" s="24"/>
      <c r="T13677" s="24"/>
      <c r="U13677" s="24"/>
      <c r="V13677" s="24"/>
      <c r="W13677" s="24"/>
      <c r="X13677" s="24"/>
      <c r="Y13677" s="24"/>
      <c r="Z13677" s="24"/>
      <c r="AA13677" s="24"/>
    </row>
    <row r="13678">
      <c r="A13678" s="24"/>
      <c r="B13678" s="25"/>
      <c r="C13678" s="24"/>
      <c r="D13678" s="26"/>
      <c r="E13678" s="24"/>
      <c r="F13678" s="24"/>
      <c r="G13678" s="24"/>
      <c r="H13678" s="24"/>
      <c r="I13678" s="24"/>
      <c r="J13678" s="24"/>
      <c r="K13678" s="24"/>
      <c r="L13678" s="24"/>
      <c r="M13678" s="24"/>
      <c r="N13678" s="24"/>
      <c r="O13678" s="24"/>
      <c r="P13678" s="24"/>
      <c r="Q13678" s="24"/>
      <c r="R13678" s="24"/>
      <c r="S13678" s="24"/>
      <c r="T13678" s="24"/>
      <c r="U13678" s="24"/>
      <c r="V13678" s="24"/>
      <c r="W13678" s="24"/>
      <c r="X13678" s="24"/>
      <c r="Y13678" s="24"/>
      <c r="Z13678" s="24"/>
      <c r="AA13678" s="24"/>
    </row>
    <row r="13679">
      <c r="A13679" s="24"/>
      <c r="B13679" s="25"/>
      <c r="C13679" s="24"/>
      <c r="D13679" s="26"/>
      <c r="E13679" s="24"/>
      <c r="F13679" s="24"/>
      <c r="G13679" s="24"/>
      <c r="H13679" s="24"/>
      <c r="I13679" s="24"/>
      <c r="J13679" s="24"/>
      <c r="K13679" s="24"/>
      <c r="L13679" s="24"/>
      <c r="M13679" s="24"/>
      <c r="N13679" s="24"/>
      <c r="O13679" s="24"/>
      <c r="P13679" s="24"/>
      <c r="Q13679" s="24"/>
      <c r="R13679" s="24"/>
      <c r="S13679" s="24"/>
      <c r="T13679" s="24"/>
      <c r="U13679" s="24"/>
      <c r="V13679" s="24"/>
      <c r="W13679" s="24"/>
      <c r="X13679" s="24"/>
      <c r="Y13679" s="24"/>
      <c r="Z13679" s="24"/>
      <c r="AA13679" s="24"/>
    </row>
    <row r="13680">
      <c r="A13680" s="24"/>
      <c r="B13680" s="25"/>
      <c r="C13680" s="24"/>
      <c r="D13680" s="26"/>
      <c r="E13680" s="24"/>
      <c r="F13680" s="24"/>
      <c r="G13680" s="24"/>
      <c r="H13680" s="24"/>
      <c r="I13680" s="24"/>
      <c r="J13680" s="24"/>
      <c r="K13680" s="24"/>
      <c r="L13680" s="24"/>
      <c r="M13680" s="24"/>
      <c r="N13680" s="24"/>
      <c r="O13680" s="24"/>
      <c r="P13680" s="24"/>
      <c r="Q13680" s="24"/>
      <c r="R13680" s="24"/>
      <c r="S13680" s="24"/>
      <c r="T13680" s="24"/>
      <c r="U13680" s="24"/>
      <c r="V13680" s="24"/>
      <c r="W13680" s="24"/>
      <c r="X13680" s="24"/>
      <c r="Y13680" s="24"/>
      <c r="Z13680" s="24"/>
      <c r="AA13680" s="24"/>
    </row>
    <row r="13681">
      <c r="A13681" s="24"/>
      <c r="B13681" s="25"/>
      <c r="C13681" s="24"/>
      <c r="D13681" s="26"/>
      <c r="E13681" s="24"/>
      <c r="F13681" s="24"/>
      <c r="G13681" s="24"/>
      <c r="H13681" s="24"/>
      <c r="I13681" s="24"/>
      <c r="J13681" s="24"/>
      <c r="K13681" s="24"/>
      <c r="L13681" s="24"/>
      <c r="M13681" s="24"/>
      <c r="N13681" s="24"/>
      <c r="O13681" s="24"/>
      <c r="P13681" s="24"/>
      <c r="Q13681" s="24"/>
      <c r="R13681" s="24"/>
      <c r="S13681" s="24"/>
      <c r="T13681" s="24"/>
      <c r="U13681" s="24"/>
      <c r="V13681" s="24"/>
      <c r="W13681" s="24"/>
      <c r="X13681" s="24"/>
      <c r="Y13681" s="24"/>
      <c r="Z13681" s="24"/>
      <c r="AA13681" s="24"/>
    </row>
    <row r="13682">
      <c r="A13682" s="24"/>
      <c r="B13682" s="25"/>
      <c r="C13682" s="24"/>
      <c r="D13682" s="26"/>
      <c r="E13682" s="24"/>
      <c r="F13682" s="24"/>
      <c r="G13682" s="24"/>
      <c r="H13682" s="24"/>
      <c r="I13682" s="24"/>
      <c r="J13682" s="24"/>
      <c r="K13682" s="24"/>
      <c r="L13682" s="24"/>
      <c r="M13682" s="24"/>
      <c r="N13682" s="24"/>
      <c r="O13682" s="24"/>
      <c r="P13682" s="24"/>
      <c r="Q13682" s="24"/>
      <c r="R13682" s="24"/>
      <c r="S13682" s="24"/>
      <c r="T13682" s="24"/>
      <c r="U13682" s="24"/>
      <c r="V13682" s="24"/>
      <c r="W13682" s="24"/>
      <c r="X13682" s="24"/>
      <c r="Y13682" s="24"/>
      <c r="Z13682" s="24"/>
      <c r="AA13682" s="24"/>
    </row>
    <row r="13683">
      <c r="A13683" s="24"/>
      <c r="B13683" s="25"/>
      <c r="C13683" s="24"/>
      <c r="D13683" s="26"/>
      <c r="E13683" s="24"/>
      <c r="F13683" s="24"/>
      <c r="G13683" s="24"/>
      <c r="H13683" s="24"/>
      <c r="I13683" s="24"/>
      <c r="J13683" s="24"/>
      <c r="K13683" s="24"/>
      <c r="L13683" s="24"/>
      <c r="M13683" s="24"/>
      <c r="N13683" s="24"/>
      <c r="O13683" s="24"/>
      <c r="P13683" s="24"/>
      <c r="Q13683" s="24"/>
      <c r="R13683" s="24"/>
      <c r="S13683" s="24"/>
      <c r="T13683" s="24"/>
      <c r="U13683" s="24"/>
      <c r="V13683" s="24"/>
      <c r="W13683" s="24"/>
      <c r="X13683" s="24"/>
      <c r="Y13683" s="24"/>
      <c r="Z13683" s="24"/>
      <c r="AA13683" s="24"/>
    </row>
    <row r="13684">
      <c r="A13684" s="24"/>
      <c r="B13684" s="25"/>
      <c r="C13684" s="24"/>
      <c r="D13684" s="26"/>
      <c r="E13684" s="24"/>
      <c r="F13684" s="24"/>
      <c r="G13684" s="24"/>
      <c r="H13684" s="24"/>
      <c r="I13684" s="24"/>
      <c r="J13684" s="24"/>
      <c r="K13684" s="24"/>
      <c r="L13684" s="24"/>
      <c r="M13684" s="24"/>
      <c r="N13684" s="24"/>
      <c r="O13684" s="24"/>
      <c r="P13684" s="24"/>
      <c r="Q13684" s="24"/>
      <c r="R13684" s="24"/>
      <c r="S13684" s="24"/>
      <c r="T13684" s="24"/>
      <c r="U13684" s="24"/>
      <c r="V13684" s="24"/>
      <c r="W13684" s="24"/>
      <c r="X13684" s="24"/>
      <c r="Y13684" s="24"/>
      <c r="Z13684" s="24"/>
      <c r="AA13684" s="24"/>
    </row>
    <row r="13685">
      <c r="A13685" s="24"/>
      <c r="B13685" s="25"/>
      <c r="C13685" s="24"/>
      <c r="D13685" s="26"/>
      <c r="E13685" s="24"/>
      <c r="F13685" s="24"/>
      <c r="G13685" s="24"/>
      <c r="H13685" s="24"/>
      <c r="I13685" s="24"/>
      <c r="J13685" s="24"/>
      <c r="K13685" s="24"/>
      <c r="L13685" s="24"/>
      <c r="M13685" s="24"/>
      <c r="N13685" s="24"/>
      <c r="O13685" s="24"/>
      <c r="P13685" s="24"/>
      <c r="Q13685" s="24"/>
      <c r="R13685" s="24"/>
      <c r="S13685" s="24"/>
      <c r="T13685" s="24"/>
      <c r="U13685" s="24"/>
      <c r="V13685" s="24"/>
      <c r="W13685" s="24"/>
      <c r="X13685" s="24"/>
      <c r="Y13685" s="24"/>
      <c r="Z13685" s="24"/>
      <c r="AA13685" s="24"/>
    </row>
    <row r="13686">
      <c r="A13686" s="24"/>
      <c r="B13686" s="25"/>
      <c r="C13686" s="24"/>
      <c r="D13686" s="26"/>
      <c r="E13686" s="24"/>
      <c r="F13686" s="24"/>
      <c r="G13686" s="24"/>
      <c r="H13686" s="24"/>
      <c r="I13686" s="24"/>
      <c r="J13686" s="24"/>
      <c r="K13686" s="24"/>
      <c r="L13686" s="24"/>
      <c r="M13686" s="24"/>
      <c r="N13686" s="24"/>
      <c r="O13686" s="24"/>
      <c r="P13686" s="24"/>
      <c r="Q13686" s="24"/>
      <c r="R13686" s="24"/>
      <c r="S13686" s="24"/>
      <c r="T13686" s="24"/>
      <c r="U13686" s="24"/>
      <c r="V13686" s="24"/>
      <c r="W13686" s="24"/>
      <c r="X13686" s="24"/>
      <c r="Y13686" s="24"/>
      <c r="Z13686" s="24"/>
      <c r="AA13686" s="24"/>
    </row>
    <row r="13687">
      <c r="A13687" s="24"/>
      <c r="B13687" s="25"/>
      <c r="C13687" s="24"/>
      <c r="D13687" s="26"/>
      <c r="E13687" s="24"/>
      <c r="F13687" s="24"/>
      <c r="G13687" s="24"/>
      <c r="H13687" s="24"/>
      <c r="I13687" s="24"/>
      <c r="J13687" s="24"/>
      <c r="K13687" s="24"/>
      <c r="L13687" s="24"/>
      <c r="M13687" s="24"/>
      <c r="N13687" s="24"/>
      <c r="O13687" s="24"/>
      <c r="P13687" s="24"/>
      <c r="Q13687" s="24"/>
      <c r="R13687" s="24"/>
      <c r="S13687" s="24"/>
      <c r="T13687" s="24"/>
      <c r="U13687" s="24"/>
      <c r="V13687" s="24"/>
      <c r="W13687" s="24"/>
      <c r="X13687" s="24"/>
      <c r="Y13687" s="24"/>
      <c r="Z13687" s="24"/>
      <c r="AA13687" s="24"/>
    </row>
    <row r="13688">
      <c r="A13688" s="24"/>
      <c r="B13688" s="25"/>
      <c r="C13688" s="24"/>
      <c r="D13688" s="26"/>
      <c r="E13688" s="24"/>
      <c r="F13688" s="24"/>
      <c r="G13688" s="24"/>
      <c r="H13688" s="24"/>
      <c r="I13688" s="24"/>
      <c r="J13688" s="24"/>
      <c r="K13688" s="24"/>
      <c r="L13688" s="24"/>
      <c r="M13688" s="24"/>
      <c r="N13688" s="24"/>
      <c r="O13688" s="24"/>
      <c r="P13688" s="24"/>
      <c r="Q13688" s="24"/>
      <c r="R13688" s="24"/>
      <c r="S13688" s="24"/>
      <c r="T13688" s="24"/>
      <c r="U13688" s="24"/>
      <c r="V13688" s="24"/>
      <c r="W13688" s="24"/>
      <c r="X13688" s="24"/>
      <c r="Y13688" s="24"/>
      <c r="Z13688" s="24"/>
      <c r="AA13688" s="24"/>
    </row>
    <row r="13689">
      <c r="A13689" s="24"/>
      <c r="B13689" s="25"/>
      <c r="C13689" s="24"/>
      <c r="D13689" s="26"/>
      <c r="E13689" s="24"/>
      <c r="F13689" s="24"/>
      <c r="G13689" s="24"/>
      <c r="H13689" s="24"/>
      <c r="I13689" s="24"/>
      <c r="J13689" s="24"/>
      <c r="K13689" s="24"/>
      <c r="L13689" s="24"/>
      <c r="M13689" s="24"/>
      <c r="N13689" s="24"/>
      <c r="O13689" s="24"/>
      <c r="P13689" s="24"/>
      <c r="Q13689" s="24"/>
      <c r="R13689" s="24"/>
      <c r="S13689" s="24"/>
      <c r="T13689" s="24"/>
      <c r="U13689" s="24"/>
      <c r="V13689" s="24"/>
      <c r="W13689" s="24"/>
      <c r="X13689" s="24"/>
      <c r="Y13689" s="24"/>
      <c r="Z13689" s="24"/>
      <c r="AA13689" s="24"/>
    </row>
    <row r="13690">
      <c r="A13690" s="24"/>
      <c r="B13690" s="25"/>
      <c r="C13690" s="24"/>
      <c r="D13690" s="26"/>
      <c r="E13690" s="24"/>
      <c r="F13690" s="24"/>
      <c r="G13690" s="24"/>
      <c r="H13690" s="24"/>
      <c r="I13690" s="24"/>
      <c r="J13690" s="24"/>
      <c r="K13690" s="24"/>
      <c r="L13690" s="24"/>
      <c r="M13690" s="24"/>
      <c r="N13690" s="24"/>
      <c r="O13690" s="24"/>
      <c r="P13690" s="24"/>
      <c r="Q13690" s="24"/>
      <c r="R13690" s="24"/>
      <c r="S13690" s="24"/>
      <c r="T13690" s="24"/>
      <c r="U13690" s="24"/>
      <c r="V13690" s="24"/>
      <c r="W13690" s="24"/>
      <c r="X13690" s="24"/>
      <c r="Y13690" s="24"/>
      <c r="Z13690" s="24"/>
      <c r="AA13690" s="24"/>
    </row>
    <row r="13691">
      <c r="A13691" s="24"/>
      <c r="B13691" s="25"/>
      <c r="C13691" s="24"/>
      <c r="D13691" s="26"/>
      <c r="E13691" s="24"/>
      <c r="F13691" s="24"/>
      <c r="G13691" s="24"/>
      <c r="H13691" s="24"/>
      <c r="I13691" s="24"/>
      <c r="J13691" s="24"/>
      <c r="K13691" s="24"/>
      <c r="L13691" s="24"/>
      <c r="M13691" s="24"/>
      <c r="N13691" s="24"/>
      <c r="O13691" s="24"/>
      <c r="P13691" s="24"/>
      <c r="Q13691" s="24"/>
      <c r="R13691" s="24"/>
      <c r="S13691" s="24"/>
      <c r="T13691" s="24"/>
      <c r="U13691" s="24"/>
      <c r="V13691" s="24"/>
      <c r="W13691" s="24"/>
      <c r="X13691" s="24"/>
      <c r="Y13691" s="24"/>
      <c r="Z13691" s="24"/>
      <c r="AA13691" s="24"/>
    </row>
    <row r="13692">
      <c r="A13692" s="24"/>
      <c r="B13692" s="25"/>
      <c r="C13692" s="24"/>
      <c r="D13692" s="26"/>
      <c r="E13692" s="24"/>
      <c r="F13692" s="24"/>
      <c r="G13692" s="24"/>
      <c r="H13692" s="24"/>
      <c r="I13692" s="24"/>
      <c r="J13692" s="24"/>
      <c r="K13692" s="24"/>
      <c r="L13692" s="24"/>
      <c r="M13692" s="24"/>
      <c r="N13692" s="24"/>
      <c r="O13692" s="24"/>
      <c r="P13692" s="24"/>
      <c r="Q13692" s="24"/>
      <c r="R13692" s="24"/>
      <c r="S13692" s="24"/>
      <c r="T13692" s="24"/>
      <c r="U13692" s="24"/>
      <c r="V13692" s="24"/>
      <c r="W13692" s="24"/>
      <c r="X13692" s="24"/>
      <c r="Y13692" s="24"/>
      <c r="Z13692" s="24"/>
      <c r="AA13692" s="24"/>
    </row>
    <row r="13693">
      <c r="A13693" s="24"/>
      <c r="B13693" s="25"/>
      <c r="C13693" s="24"/>
      <c r="D13693" s="26"/>
      <c r="E13693" s="24"/>
      <c r="F13693" s="24"/>
      <c r="G13693" s="24"/>
      <c r="H13693" s="24"/>
      <c r="I13693" s="24"/>
      <c r="J13693" s="24"/>
      <c r="K13693" s="24"/>
      <c r="L13693" s="24"/>
      <c r="M13693" s="24"/>
      <c r="N13693" s="24"/>
      <c r="O13693" s="24"/>
      <c r="P13693" s="24"/>
      <c r="Q13693" s="24"/>
      <c r="R13693" s="24"/>
      <c r="S13693" s="24"/>
      <c r="T13693" s="24"/>
      <c r="U13693" s="24"/>
      <c r="V13693" s="24"/>
      <c r="W13693" s="24"/>
      <c r="X13693" s="24"/>
      <c r="Y13693" s="24"/>
      <c r="Z13693" s="24"/>
      <c r="AA13693" s="24"/>
    </row>
    <row r="13694">
      <c r="A13694" s="24"/>
      <c r="B13694" s="25"/>
      <c r="C13694" s="24"/>
      <c r="D13694" s="26"/>
      <c r="E13694" s="24"/>
      <c r="F13694" s="24"/>
      <c r="G13694" s="24"/>
      <c r="H13694" s="24"/>
      <c r="I13694" s="24"/>
      <c r="J13694" s="24"/>
      <c r="K13694" s="24"/>
      <c r="L13694" s="24"/>
      <c r="M13694" s="24"/>
      <c r="N13694" s="24"/>
      <c r="O13694" s="24"/>
      <c r="P13694" s="24"/>
      <c r="Q13694" s="24"/>
      <c r="R13694" s="24"/>
      <c r="S13694" s="24"/>
      <c r="T13694" s="24"/>
      <c r="U13694" s="24"/>
      <c r="V13694" s="24"/>
      <c r="W13694" s="24"/>
      <c r="X13694" s="24"/>
      <c r="Y13694" s="24"/>
      <c r="Z13694" s="24"/>
      <c r="AA13694" s="24"/>
    </row>
    <row r="13695">
      <c r="A13695" s="24"/>
      <c r="B13695" s="25"/>
      <c r="C13695" s="24"/>
      <c r="D13695" s="26"/>
      <c r="E13695" s="24"/>
      <c r="F13695" s="24"/>
      <c r="G13695" s="24"/>
      <c r="H13695" s="24"/>
      <c r="I13695" s="24"/>
      <c r="J13695" s="24"/>
      <c r="K13695" s="24"/>
      <c r="L13695" s="24"/>
      <c r="M13695" s="24"/>
      <c r="N13695" s="24"/>
      <c r="O13695" s="24"/>
      <c r="P13695" s="24"/>
      <c r="Q13695" s="24"/>
      <c r="R13695" s="24"/>
      <c r="S13695" s="24"/>
      <c r="T13695" s="24"/>
      <c r="U13695" s="24"/>
      <c r="V13695" s="24"/>
      <c r="W13695" s="24"/>
      <c r="X13695" s="24"/>
      <c r="Y13695" s="24"/>
      <c r="Z13695" s="24"/>
      <c r="AA13695" s="24"/>
    </row>
    <row r="13696">
      <c r="A13696" s="24"/>
      <c r="B13696" s="25"/>
      <c r="C13696" s="24"/>
      <c r="D13696" s="26"/>
      <c r="E13696" s="24"/>
      <c r="F13696" s="24"/>
      <c r="G13696" s="24"/>
      <c r="H13696" s="24"/>
      <c r="I13696" s="24"/>
      <c r="J13696" s="24"/>
      <c r="K13696" s="24"/>
      <c r="L13696" s="24"/>
      <c r="M13696" s="24"/>
      <c r="N13696" s="24"/>
      <c r="O13696" s="24"/>
      <c r="P13696" s="24"/>
      <c r="Q13696" s="24"/>
      <c r="R13696" s="24"/>
      <c r="S13696" s="24"/>
      <c r="T13696" s="24"/>
      <c r="U13696" s="24"/>
      <c r="V13696" s="24"/>
      <c r="W13696" s="24"/>
      <c r="X13696" s="24"/>
      <c r="Y13696" s="24"/>
      <c r="Z13696" s="24"/>
      <c r="AA13696" s="24"/>
    </row>
    <row r="13697">
      <c r="A13697" s="24"/>
      <c r="B13697" s="25"/>
      <c r="C13697" s="24"/>
      <c r="D13697" s="26"/>
      <c r="E13697" s="24"/>
      <c r="F13697" s="24"/>
      <c r="G13697" s="24"/>
      <c r="H13697" s="24"/>
      <c r="I13697" s="24"/>
      <c r="J13697" s="24"/>
      <c r="K13697" s="24"/>
      <c r="L13697" s="24"/>
      <c r="M13697" s="24"/>
      <c r="N13697" s="24"/>
      <c r="O13697" s="24"/>
      <c r="P13697" s="24"/>
      <c r="Q13697" s="24"/>
      <c r="R13697" s="24"/>
      <c r="S13697" s="24"/>
      <c r="T13697" s="24"/>
      <c r="U13697" s="24"/>
      <c r="V13697" s="24"/>
      <c r="W13697" s="24"/>
      <c r="X13697" s="24"/>
      <c r="Y13697" s="24"/>
      <c r="Z13697" s="24"/>
      <c r="AA13697" s="24"/>
    </row>
    <row r="13698">
      <c r="A13698" s="24"/>
      <c r="B13698" s="25"/>
      <c r="C13698" s="24"/>
      <c r="D13698" s="26"/>
      <c r="E13698" s="24"/>
      <c r="F13698" s="24"/>
      <c r="G13698" s="24"/>
      <c r="H13698" s="24"/>
      <c r="I13698" s="24"/>
      <c r="J13698" s="24"/>
      <c r="K13698" s="24"/>
      <c r="L13698" s="24"/>
      <c r="M13698" s="24"/>
      <c r="N13698" s="24"/>
      <c r="O13698" s="24"/>
      <c r="P13698" s="24"/>
      <c r="Q13698" s="24"/>
      <c r="R13698" s="24"/>
      <c r="S13698" s="24"/>
      <c r="T13698" s="24"/>
      <c r="U13698" s="24"/>
      <c r="V13698" s="24"/>
      <c r="W13698" s="24"/>
      <c r="X13698" s="24"/>
      <c r="Y13698" s="24"/>
      <c r="Z13698" s="24"/>
      <c r="AA13698" s="24"/>
    </row>
    <row r="13699">
      <c r="A13699" s="24"/>
      <c r="B13699" s="25"/>
      <c r="C13699" s="24"/>
      <c r="D13699" s="26"/>
      <c r="E13699" s="24"/>
      <c r="F13699" s="24"/>
      <c r="G13699" s="24"/>
      <c r="H13699" s="24"/>
      <c r="I13699" s="24"/>
      <c r="J13699" s="24"/>
      <c r="K13699" s="24"/>
      <c r="L13699" s="24"/>
      <c r="M13699" s="24"/>
      <c r="N13699" s="24"/>
      <c r="O13699" s="24"/>
      <c r="P13699" s="24"/>
      <c r="Q13699" s="24"/>
      <c r="R13699" s="24"/>
      <c r="S13699" s="24"/>
      <c r="T13699" s="24"/>
      <c r="U13699" s="24"/>
      <c r="V13699" s="24"/>
      <c r="W13699" s="24"/>
      <c r="X13699" s="24"/>
      <c r="Y13699" s="24"/>
      <c r="Z13699" s="24"/>
      <c r="AA13699" s="24"/>
    </row>
    <row r="13700">
      <c r="A13700" s="24"/>
      <c r="B13700" s="25"/>
      <c r="C13700" s="24"/>
      <c r="D13700" s="26"/>
      <c r="E13700" s="24"/>
      <c r="F13700" s="24"/>
      <c r="G13700" s="24"/>
      <c r="H13700" s="24"/>
      <c r="I13700" s="24"/>
      <c r="J13700" s="24"/>
      <c r="K13700" s="24"/>
      <c r="L13700" s="24"/>
      <c r="M13700" s="24"/>
      <c r="N13700" s="24"/>
      <c r="O13700" s="24"/>
      <c r="P13700" s="24"/>
      <c r="Q13700" s="24"/>
      <c r="R13700" s="24"/>
      <c r="S13700" s="24"/>
      <c r="T13700" s="24"/>
      <c r="U13700" s="24"/>
      <c r="V13700" s="24"/>
      <c r="W13700" s="24"/>
      <c r="X13700" s="24"/>
      <c r="Y13700" s="24"/>
      <c r="Z13700" s="24"/>
      <c r="AA13700" s="24"/>
    </row>
    <row r="13701">
      <c r="A13701" s="24"/>
      <c r="B13701" s="25"/>
      <c r="C13701" s="24"/>
      <c r="D13701" s="26"/>
      <c r="E13701" s="24"/>
      <c r="F13701" s="24"/>
      <c r="G13701" s="24"/>
      <c r="H13701" s="24"/>
      <c r="I13701" s="24"/>
      <c r="J13701" s="24"/>
      <c r="K13701" s="24"/>
      <c r="L13701" s="24"/>
      <c r="M13701" s="24"/>
      <c r="N13701" s="24"/>
      <c r="O13701" s="24"/>
      <c r="P13701" s="24"/>
      <c r="Q13701" s="24"/>
      <c r="R13701" s="24"/>
      <c r="S13701" s="24"/>
      <c r="T13701" s="24"/>
      <c r="U13701" s="24"/>
      <c r="V13701" s="24"/>
      <c r="W13701" s="24"/>
      <c r="X13701" s="24"/>
      <c r="Y13701" s="24"/>
      <c r="Z13701" s="24"/>
      <c r="AA13701" s="24"/>
    </row>
    <row r="13702">
      <c r="A13702" s="24"/>
      <c r="B13702" s="25"/>
      <c r="C13702" s="24"/>
      <c r="D13702" s="26"/>
      <c r="E13702" s="24"/>
      <c r="F13702" s="24"/>
      <c r="G13702" s="24"/>
      <c r="H13702" s="24"/>
      <c r="I13702" s="24"/>
      <c r="J13702" s="24"/>
      <c r="K13702" s="24"/>
      <c r="L13702" s="24"/>
      <c r="M13702" s="24"/>
      <c r="N13702" s="24"/>
      <c r="O13702" s="24"/>
      <c r="P13702" s="24"/>
      <c r="Q13702" s="24"/>
      <c r="R13702" s="24"/>
      <c r="S13702" s="24"/>
      <c r="T13702" s="24"/>
      <c r="U13702" s="24"/>
      <c r="V13702" s="24"/>
      <c r="W13702" s="24"/>
      <c r="X13702" s="24"/>
      <c r="Y13702" s="24"/>
      <c r="Z13702" s="24"/>
      <c r="AA13702" s="24"/>
    </row>
    <row r="13703">
      <c r="A13703" s="24"/>
      <c r="B13703" s="25"/>
      <c r="C13703" s="24"/>
      <c r="D13703" s="26"/>
      <c r="E13703" s="24"/>
      <c r="F13703" s="24"/>
      <c r="G13703" s="24"/>
      <c r="H13703" s="24"/>
      <c r="I13703" s="24"/>
      <c r="J13703" s="24"/>
      <c r="K13703" s="24"/>
      <c r="L13703" s="24"/>
      <c r="M13703" s="24"/>
      <c r="N13703" s="24"/>
      <c r="O13703" s="24"/>
      <c r="P13703" s="24"/>
      <c r="Q13703" s="24"/>
      <c r="R13703" s="24"/>
      <c r="S13703" s="24"/>
      <c r="T13703" s="24"/>
      <c r="U13703" s="24"/>
      <c r="V13703" s="24"/>
      <c r="W13703" s="24"/>
      <c r="X13703" s="24"/>
      <c r="Y13703" s="24"/>
      <c r="Z13703" s="24"/>
      <c r="AA13703" s="24"/>
    </row>
    <row r="13704">
      <c r="A13704" s="24"/>
      <c r="B13704" s="25"/>
      <c r="C13704" s="24"/>
      <c r="D13704" s="26"/>
      <c r="E13704" s="24"/>
      <c r="F13704" s="24"/>
      <c r="G13704" s="24"/>
      <c r="H13704" s="24"/>
      <c r="I13704" s="24"/>
      <c r="J13704" s="24"/>
      <c r="K13704" s="24"/>
      <c r="L13704" s="24"/>
      <c r="M13704" s="24"/>
      <c r="N13704" s="24"/>
      <c r="O13704" s="24"/>
      <c r="P13704" s="24"/>
      <c r="Q13704" s="24"/>
      <c r="R13704" s="24"/>
      <c r="S13704" s="24"/>
      <c r="T13704" s="24"/>
      <c r="U13704" s="24"/>
      <c r="V13704" s="24"/>
      <c r="W13704" s="24"/>
      <c r="X13704" s="24"/>
      <c r="Y13704" s="24"/>
      <c r="Z13704" s="24"/>
      <c r="AA13704" s="24"/>
    </row>
    <row r="13705">
      <c r="A13705" s="24"/>
      <c r="B13705" s="25"/>
      <c r="C13705" s="24"/>
      <c r="D13705" s="26"/>
      <c r="E13705" s="24"/>
      <c r="F13705" s="24"/>
      <c r="G13705" s="24"/>
      <c r="H13705" s="24"/>
      <c r="I13705" s="24"/>
      <c r="J13705" s="24"/>
      <c r="K13705" s="24"/>
      <c r="L13705" s="24"/>
      <c r="M13705" s="24"/>
      <c r="N13705" s="24"/>
      <c r="O13705" s="24"/>
      <c r="P13705" s="24"/>
      <c r="Q13705" s="24"/>
      <c r="R13705" s="24"/>
      <c r="S13705" s="24"/>
      <c r="T13705" s="24"/>
      <c r="U13705" s="24"/>
      <c r="V13705" s="24"/>
      <c r="W13705" s="24"/>
      <c r="X13705" s="24"/>
      <c r="Y13705" s="24"/>
      <c r="Z13705" s="24"/>
      <c r="AA13705" s="24"/>
    </row>
    <row r="13706">
      <c r="A13706" s="24"/>
      <c r="B13706" s="25"/>
      <c r="C13706" s="24"/>
      <c r="D13706" s="26"/>
      <c r="E13706" s="24"/>
      <c r="F13706" s="24"/>
      <c r="G13706" s="24"/>
      <c r="H13706" s="24"/>
      <c r="I13706" s="24"/>
      <c r="J13706" s="24"/>
      <c r="K13706" s="24"/>
      <c r="L13706" s="24"/>
      <c r="M13706" s="24"/>
      <c r="N13706" s="24"/>
      <c r="O13706" s="24"/>
      <c r="P13706" s="24"/>
      <c r="Q13706" s="24"/>
      <c r="R13706" s="24"/>
      <c r="S13706" s="24"/>
      <c r="T13706" s="24"/>
      <c r="U13706" s="24"/>
      <c r="V13706" s="24"/>
      <c r="W13706" s="24"/>
      <c r="X13706" s="24"/>
      <c r="Y13706" s="24"/>
      <c r="Z13706" s="24"/>
      <c r="AA13706" s="24"/>
    </row>
    <row r="13707">
      <c r="A13707" s="24"/>
      <c r="B13707" s="25"/>
      <c r="C13707" s="24"/>
      <c r="D13707" s="26"/>
      <c r="E13707" s="24"/>
      <c r="F13707" s="24"/>
      <c r="G13707" s="24"/>
      <c r="H13707" s="24"/>
      <c r="I13707" s="24"/>
      <c r="J13707" s="24"/>
      <c r="K13707" s="24"/>
      <c r="L13707" s="24"/>
      <c r="M13707" s="24"/>
      <c r="N13707" s="24"/>
      <c r="O13707" s="24"/>
      <c r="P13707" s="24"/>
      <c r="Q13707" s="24"/>
      <c r="R13707" s="24"/>
      <c r="S13707" s="24"/>
      <c r="T13707" s="24"/>
      <c r="U13707" s="24"/>
      <c r="V13707" s="24"/>
      <c r="W13707" s="24"/>
      <c r="X13707" s="24"/>
      <c r="Y13707" s="24"/>
      <c r="Z13707" s="24"/>
      <c r="AA13707" s="24"/>
    </row>
    <row r="13708">
      <c r="A13708" s="24"/>
      <c r="B13708" s="25"/>
      <c r="C13708" s="24"/>
      <c r="D13708" s="26"/>
      <c r="E13708" s="24"/>
      <c r="F13708" s="24"/>
      <c r="G13708" s="24"/>
      <c r="H13708" s="24"/>
      <c r="I13708" s="24"/>
      <c r="J13708" s="24"/>
      <c r="K13708" s="24"/>
      <c r="L13708" s="24"/>
      <c r="M13708" s="24"/>
      <c r="N13708" s="24"/>
      <c r="O13708" s="24"/>
      <c r="P13708" s="24"/>
      <c r="Q13708" s="24"/>
      <c r="R13708" s="24"/>
      <c r="S13708" s="24"/>
      <c r="T13708" s="24"/>
      <c r="U13708" s="24"/>
      <c r="V13708" s="24"/>
      <c r="W13708" s="24"/>
      <c r="X13708" s="24"/>
      <c r="Y13708" s="24"/>
      <c r="Z13708" s="24"/>
      <c r="AA13708" s="24"/>
    </row>
    <row r="13709">
      <c r="A13709" s="24"/>
      <c r="B13709" s="25"/>
      <c r="C13709" s="24"/>
      <c r="D13709" s="26"/>
      <c r="E13709" s="24"/>
      <c r="F13709" s="24"/>
      <c r="G13709" s="24"/>
      <c r="H13709" s="24"/>
      <c r="I13709" s="24"/>
      <c r="J13709" s="24"/>
      <c r="K13709" s="24"/>
      <c r="L13709" s="24"/>
      <c r="M13709" s="24"/>
      <c r="N13709" s="24"/>
      <c r="O13709" s="24"/>
      <c r="P13709" s="24"/>
      <c r="Q13709" s="24"/>
      <c r="R13709" s="24"/>
      <c r="S13709" s="24"/>
      <c r="T13709" s="24"/>
      <c r="U13709" s="24"/>
      <c r="V13709" s="24"/>
      <c r="W13709" s="24"/>
      <c r="X13709" s="24"/>
      <c r="Y13709" s="24"/>
      <c r="Z13709" s="24"/>
      <c r="AA13709" s="24"/>
    </row>
    <row r="13710">
      <c r="A13710" s="24"/>
      <c r="B13710" s="25"/>
      <c r="C13710" s="24"/>
      <c r="D13710" s="26"/>
      <c r="E13710" s="24"/>
      <c r="F13710" s="24"/>
      <c r="G13710" s="24"/>
      <c r="H13710" s="24"/>
      <c r="I13710" s="24"/>
      <c r="J13710" s="24"/>
      <c r="K13710" s="24"/>
      <c r="L13710" s="24"/>
      <c r="M13710" s="24"/>
      <c r="N13710" s="24"/>
      <c r="O13710" s="24"/>
      <c r="P13710" s="24"/>
      <c r="Q13710" s="24"/>
      <c r="R13710" s="24"/>
      <c r="S13710" s="24"/>
      <c r="T13710" s="24"/>
      <c r="U13710" s="24"/>
      <c r="V13710" s="24"/>
      <c r="W13710" s="24"/>
      <c r="X13710" s="24"/>
      <c r="Y13710" s="24"/>
      <c r="Z13710" s="24"/>
      <c r="AA13710" s="24"/>
    </row>
    <row r="13711">
      <c r="A13711" s="24"/>
      <c r="B13711" s="25"/>
      <c r="C13711" s="24"/>
      <c r="D13711" s="26"/>
      <c r="E13711" s="24"/>
      <c r="F13711" s="24"/>
      <c r="G13711" s="24"/>
      <c r="H13711" s="24"/>
      <c r="I13711" s="24"/>
      <c r="J13711" s="24"/>
      <c r="K13711" s="24"/>
      <c r="L13711" s="24"/>
      <c r="M13711" s="24"/>
      <c r="N13711" s="24"/>
      <c r="O13711" s="24"/>
      <c r="P13711" s="24"/>
      <c r="Q13711" s="24"/>
      <c r="R13711" s="24"/>
      <c r="S13711" s="24"/>
      <c r="T13711" s="24"/>
      <c r="U13711" s="24"/>
      <c r="V13711" s="24"/>
      <c r="W13711" s="24"/>
      <c r="X13711" s="24"/>
      <c r="Y13711" s="24"/>
      <c r="Z13711" s="24"/>
      <c r="AA13711" s="24"/>
    </row>
    <row r="13712">
      <c r="A13712" s="24"/>
      <c r="B13712" s="25"/>
      <c r="C13712" s="24"/>
      <c r="D13712" s="26"/>
      <c r="E13712" s="24"/>
      <c r="F13712" s="24"/>
      <c r="G13712" s="24"/>
      <c r="H13712" s="24"/>
      <c r="I13712" s="24"/>
      <c r="J13712" s="24"/>
      <c r="K13712" s="24"/>
      <c r="L13712" s="24"/>
      <c r="M13712" s="24"/>
      <c r="N13712" s="24"/>
      <c r="O13712" s="24"/>
      <c r="P13712" s="24"/>
      <c r="Q13712" s="24"/>
      <c r="R13712" s="24"/>
      <c r="S13712" s="24"/>
      <c r="T13712" s="24"/>
      <c r="U13712" s="24"/>
      <c r="V13712" s="24"/>
      <c r="W13712" s="24"/>
      <c r="X13712" s="24"/>
      <c r="Y13712" s="24"/>
      <c r="Z13712" s="24"/>
      <c r="AA13712" s="24"/>
    </row>
    <row r="13713">
      <c r="A13713" s="24"/>
      <c r="B13713" s="25"/>
      <c r="C13713" s="24"/>
      <c r="D13713" s="26"/>
      <c r="E13713" s="24"/>
      <c r="F13713" s="24"/>
      <c r="G13713" s="24"/>
      <c r="H13713" s="24"/>
      <c r="I13713" s="24"/>
      <c r="J13713" s="24"/>
      <c r="K13713" s="24"/>
      <c r="L13713" s="24"/>
      <c r="M13713" s="24"/>
      <c r="N13713" s="24"/>
      <c r="O13713" s="24"/>
      <c r="P13713" s="24"/>
      <c r="Q13713" s="24"/>
      <c r="R13713" s="24"/>
      <c r="S13713" s="24"/>
      <c r="T13713" s="24"/>
      <c r="U13713" s="24"/>
      <c r="V13713" s="24"/>
      <c r="W13713" s="24"/>
      <c r="X13713" s="24"/>
      <c r="Y13713" s="24"/>
      <c r="Z13713" s="24"/>
      <c r="AA13713" s="24"/>
    </row>
    <row r="13714">
      <c r="A13714" s="24"/>
      <c r="B13714" s="25"/>
      <c r="C13714" s="24"/>
      <c r="D13714" s="26"/>
      <c r="E13714" s="24"/>
      <c r="F13714" s="24"/>
      <c r="G13714" s="24"/>
      <c r="H13714" s="24"/>
      <c r="I13714" s="24"/>
      <c r="J13714" s="24"/>
      <c r="K13714" s="24"/>
      <c r="L13714" s="24"/>
      <c r="M13714" s="24"/>
      <c r="N13714" s="24"/>
      <c r="O13714" s="24"/>
      <c r="P13714" s="24"/>
      <c r="Q13714" s="24"/>
      <c r="R13714" s="24"/>
      <c r="S13714" s="24"/>
      <c r="T13714" s="24"/>
      <c r="U13714" s="24"/>
      <c r="V13714" s="24"/>
      <c r="W13714" s="24"/>
      <c r="X13714" s="24"/>
      <c r="Y13714" s="24"/>
      <c r="Z13714" s="24"/>
      <c r="AA13714" s="24"/>
    </row>
    <row r="13715">
      <c r="A13715" s="24"/>
      <c r="B13715" s="25"/>
      <c r="C13715" s="24"/>
      <c r="D13715" s="26"/>
      <c r="E13715" s="24"/>
      <c r="F13715" s="24"/>
      <c r="G13715" s="24"/>
      <c r="H13715" s="24"/>
      <c r="I13715" s="24"/>
      <c r="J13715" s="24"/>
      <c r="K13715" s="24"/>
      <c r="L13715" s="24"/>
      <c r="M13715" s="24"/>
      <c r="N13715" s="24"/>
      <c r="O13715" s="24"/>
      <c r="P13715" s="24"/>
      <c r="Q13715" s="24"/>
      <c r="R13715" s="24"/>
      <c r="S13715" s="24"/>
      <c r="T13715" s="24"/>
      <c r="U13715" s="24"/>
      <c r="V13715" s="24"/>
      <c r="W13715" s="24"/>
      <c r="X13715" s="24"/>
      <c r="Y13715" s="24"/>
      <c r="Z13715" s="24"/>
      <c r="AA13715" s="24"/>
    </row>
    <row r="13716">
      <c r="A13716" s="24"/>
      <c r="B13716" s="25"/>
      <c r="C13716" s="24"/>
      <c r="D13716" s="26"/>
      <c r="E13716" s="24"/>
      <c r="F13716" s="24"/>
      <c r="G13716" s="24"/>
      <c r="H13716" s="24"/>
      <c r="I13716" s="24"/>
      <c r="J13716" s="24"/>
      <c r="K13716" s="24"/>
      <c r="L13716" s="24"/>
      <c r="M13716" s="24"/>
      <c r="N13716" s="24"/>
      <c r="O13716" s="24"/>
      <c r="P13716" s="24"/>
      <c r="Q13716" s="24"/>
      <c r="R13716" s="24"/>
      <c r="S13716" s="24"/>
      <c r="T13716" s="24"/>
      <c r="U13716" s="24"/>
      <c r="V13716" s="24"/>
      <c r="W13716" s="24"/>
      <c r="X13716" s="24"/>
      <c r="Y13716" s="24"/>
      <c r="Z13716" s="24"/>
      <c r="AA13716" s="24"/>
    </row>
    <row r="13717">
      <c r="A13717" s="24"/>
      <c r="B13717" s="25"/>
      <c r="C13717" s="24"/>
      <c r="D13717" s="26"/>
      <c r="E13717" s="24"/>
      <c r="F13717" s="24"/>
      <c r="G13717" s="24"/>
      <c r="H13717" s="24"/>
      <c r="I13717" s="24"/>
      <c r="J13717" s="24"/>
      <c r="K13717" s="24"/>
      <c r="L13717" s="24"/>
      <c r="M13717" s="24"/>
      <c r="N13717" s="24"/>
      <c r="O13717" s="24"/>
      <c r="P13717" s="24"/>
      <c r="Q13717" s="24"/>
      <c r="R13717" s="24"/>
      <c r="S13717" s="24"/>
      <c r="T13717" s="24"/>
      <c r="U13717" s="24"/>
      <c r="V13717" s="24"/>
      <c r="W13717" s="24"/>
      <c r="X13717" s="24"/>
      <c r="Y13717" s="24"/>
      <c r="Z13717" s="24"/>
      <c r="AA13717" s="24"/>
    </row>
    <row r="13718">
      <c r="A13718" s="24"/>
      <c r="B13718" s="25"/>
      <c r="C13718" s="24"/>
      <c r="D13718" s="26"/>
      <c r="E13718" s="24"/>
      <c r="F13718" s="24"/>
      <c r="G13718" s="24"/>
      <c r="H13718" s="24"/>
      <c r="I13718" s="24"/>
      <c r="J13718" s="24"/>
      <c r="K13718" s="24"/>
      <c r="L13718" s="24"/>
      <c r="M13718" s="24"/>
      <c r="N13718" s="24"/>
      <c r="O13718" s="24"/>
      <c r="P13718" s="24"/>
      <c r="Q13718" s="24"/>
      <c r="R13718" s="24"/>
      <c r="S13718" s="24"/>
      <c r="T13718" s="24"/>
      <c r="U13718" s="24"/>
      <c r="V13718" s="24"/>
      <c r="W13718" s="24"/>
      <c r="X13718" s="24"/>
      <c r="Y13718" s="24"/>
      <c r="Z13718" s="24"/>
      <c r="AA13718" s="24"/>
    </row>
    <row r="13719">
      <c r="A13719" s="24"/>
      <c r="B13719" s="25"/>
      <c r="C13719" s="24"/>
      <c r="D13719" s="26"/>
      <c r="E13719" s="24"/>
      <c r="F13719" s="24"/>
      <c r="G13719" s="24"/>
      <c r="H13719" s="24"/>
      <c r="I13719" s="24"/>
      <c r="J13719" s="24"/>
      <c r="K13719" s="24"/>
      <c r="L13719" s="24"/>
      <c r="M13719" s="24"/>
      <c r="N13719" s="24"/>
      <c r="O13719" s="24"/>
      <c r="P13719" s="24"/>
      <c r="Q13719" s="24"/>
      <c r="R13719" s="24"/>
      <c r="S13719" s="24"/>
      <c r="T13719" s="24"/>
      <c r="U13719" s="24"/>
      <c r="V13719" s="24"/>
      <c r="W13719" s="24"/>
      <c r="X13719" s="24"/>
      <c r="Y13719" s="24"/>
      <c r="Z13719" s="24"/>
      <c r="AA13719" s="24"/>
    </row>
    <row r="13720">
      <c r="A13720" s="24"/>
      <c r="B13720" s="25"/>
      <c r="C13720" s="24"/>
      <c r="D13720" s="26"/>
      <c r="E13720" s="24"/>
      <c r="F13720" s="24"/>
      <c r="G13720" s="24"/>
      <c r="H13720" s="24"/>
      <c r="I13720" s="24"/>
      <c r="J13720" s="24"/>
      <c r="K13720" s="24"/>
      <c r="L13720" s="24"/>
      <c r="M13720" s="24"/>
      <c r="N13720" s="24"/>
      <c r="O13720" s="24"/>
      <c r="P13720" s="24"/>
      <c r="Q13720" s="24"/>
      <c r="R13720" s="24"/>
      <c r="S13720" s="24"/>
      <c r="T13720" s="24"/>
      <c r="U13720" s="24"/>
      <c r="V13720" s="24"/>
      <c r="W13720" s="24"/>
      <c r="X13720" s="24"/>
      <c r="Y13720" s="24"/>
      <c r="Z13720" s="24"/>
      <c r="AA13720" s="24"/>
    </row>
    <row r="13721">
      <c r="A13721" s="24"/>
      <c r="B13721" s="25"/>
      <c r="C13721" s="24"/>
      <c r="D13721" s="26"/>
      <c r="E13721" s="24"/>
      <c r="F13721" s="24"/>
      <c r="G13721" s="24"/>
      <c r="H13721" s="24"/>
      <c r="I13721" s="24"/>
      <c r="J13721" s="24"/>
      <c r="K13721" s="24"/>
      <c r="L13721" s="24"/>
      <c r="M13721" s="24"/>
      <c r="N13721" s="24"/>
      <c r="O13721" s="24"/>
      <c r="P13721" s="24"/>
      <c r="Q13721" s="24"/>
      <c r="R13721" s="24"/>
      <c r="S13721" s="24"/>
      <c r="T13721" s="24"/>
      <c r="U13721" s="24"/>
      <c r="V13721" s="24"/>
      <c r="W13721" s="24"/>
      <c r="X13721" s="24"/>
      <c r="Y13721" s="24"/>
      <c r="Z13721" s="24"/>
      <c r="AA13721" s="24"/>
    </row>
    <row r="13722">
      <c r="A13722" s="24"/>
      <c r="B13722" s="25"/>
      <c r="C13722" s="24"/>
      <c r="D13722" s="26"/>
      <c r="E13722" s="24"/>
      <c r="F13722" s="24"/>
      <c r="G13722" s="24"/>
      <c r="H13722" s="24"/>
      <c r="I13722" s="24"/>
      <c r="J13722" s="24"/>
      <c r="K13722" s="24"/>
      <c r="L13722" s="24"/>
      <c r="M13722" s="24"/>
      <c r="N13722" s="24"/>
      <c r="O13722" s="24"/>
      <c r="P13722" s="24"/>
      <c r="Q13722" s="24"/>
      <c r="R13722" s="24"/>
      <c r="S13722" s="24"/>
      <c r="T13722" s="24"/>
      <c r="U13722" s="24"/>
      <c r="V13722" s="24"/>
      <c r="W13722" s="24"/>
      <c r="X13722" s="24"/>
      <c r="Y13722" s="24"/>
      <c r="Z13722" s="24"/>
      <c r="AA13722" s="24"/>
    </row>
    <row r="13723">
      <c r="A13723" s="24"/>
      <c r="B13723" s="25"/>
      <c r="C13723" s="24"/>
      <c r="D13723" s="26"/>
      <c r="E13723" s="24"/>
      <c r="F13723" s="24"/>
      <c r="G13723" s="24"/>
      <c r="H13723" s="24"/>
      <c r="I13723" s="24"/>
      <c r="J13723" s="24"/>
      <c r="K13723" s="24"/>
      <c r="L13723" s="24"/>
      <c r="M13723" s="24"/>
      <c r="N13723" s="24"/>
      <c r="O13723" s="24"/>
      <c r="P13723" s="24"/>
      <c r="Q13723" s="24"/>
      <c r="R13723" s="24"/>
      <c r="S13723" s="24"/>
      <c r="T13723" s="24"/>
      <c r="U13723" s="24"/>
      <c r="V13723" s="24"/>
      <c r="W13723" s="24"/>
      <c r="X13723" s="24"/>
      <c r="Y13723" s="24"/>
      <c r="Z13723" s="24"/>
      <c r="AA13723" s="24"/>
    </row>
    <row r="13724">
      <c r="A13724" s="24"/>
      <c r="B13724" s="25"/>
      <c r="C13724" s="24"/>
      <c r="D13724" s="26"/>
      <c r="E13724" s="24"/>
      <c r="F13724" s="24"/>
      <c r="G13724" s="24"/>
      <c r="H13724" s="24"/>
      <c r="I13724" s="24"/>
      <c r="J13724" s="24"/>
      <c r="K13724" s="24"/>
      <c r="L13724" s="24"/>
      <c r="M13724" s="24"/>
      <c r="N13724" s="24"/>
      <c r="O13724" s="24"/>
      <c r="P13724" s="24"/>
      <c r="Q13724" s="24"/>
      <c r="R13724" s="24"/>
      <c r="S13724" s="24"/>
      <c r="T13724" s="24"/>
      <c r="U13724" s="24"/>
      <c r="V13724" s="24"/>
      <c r="W13724" s="24"/>
      <c r="X13724" s="24"/>
      <c r="Y13724" s="24"/>
      <c r="Z13724" s="24"/>
      <c r="AA13724" s="24"/>
    </row>
    <row r="13725">
      <c r="A13725" s="24"/>
      <c r="B13725" s="25"/>
      <c r="C13725" s="24"/>
      <c r="D13725" s="26"/>
      <c r="E13725" s="24"/>
      <c r="F13725" s="24"/>
      <c r="G13725" s="24"/>
      <c r="H13725" s="24"/>
      <c r="I13725" s="24"/>
      <c r="J13725" s="24"/>
      <c r="K13725" s="24"/>
      <c r="L13725" s="24"/>
      <c r="M13725" s="24"/>
      <c r="N13725" s="24"/>
      <c r="O13725" s="24"/>
      <c r="P13725" s="24"/>
      <c r="Q13725" s="24"/>
      <c r="R13725" s="24"/>
      <c r="S13725" s="24"/>
      <c r="T13725" s="24"/>
      <c r="U13725" s="24"/>
      <c r="V13725" s="24"/>
      <c r="W13725" s="24"/>
      <c r="X13725" s="24"/>
      <c r="Y13725" s="24"/>
      <c r="Z13725" s="24"/>
      <c r="AA13725" s="24"/>
    </row>
    <row r="13726">
      <c r="A13726" s="24"/>
      <c r="B13726" s="25"/>
      <c r="C13726" s="24"/>
      <c r="D13726" s="26"/>
      <c r="E13726" s="24"/>
      <c r="F13726" s="24"/>
      <c r="G13726" s="24"/>
      <c r="H13726" s="24"/>
      <c r="I13726" s="24"/>
      <c r="J13726" s="24"/>
      <c r="K13726" s="24"/>
      <c r="L13726" s="24"/>
      <c r="M13726" s="24"/>
      <c r="N13726" s="24"/>
      <c r="O13726" s="24"/>
      <c r="P13726" s="24"/>
      <c r="Q13726" s="24"/>
      <c r="R13726" s="24"/>
      <c r="S13726" s="24"/>
      <c r="T13726" s="24"/>
      <c r="U13726" s="24"/>
      <c r="V13726" s="24"/>
      <c r="W13726" s="24"/>
      <c r="X13726" s="24"/>
      <c r="Y13726" s="24"/>
      <c r="Z13726" s="24"/>
      <c r="AA13726" s="24"/>
    </row>
    <row r="13727">
      <c r="A13727" s="24"/>
      <c r="B13727" s="25"/>
      <c r="C13727" s="24"/>
      <c r="D13727" s="26"/>
      <c r="E13727" s="24"/>
      <c r="F13727" s="24"/>
      <c r="G13727" s="24"/>
      <c r="H13727" s="24"/>
      <c r="I13727" s="24"/>
      <c r="J13727" s="24"/>
      <c r="K13727" s="24"/>
      <c r="L13727" s="24"/>
      <c r="M13727" s="24"/>
      <c r="N13727" s="24"/>
      <c r="O13727" s="24"/>
      <c r="P13727" s="24"/>
      <c r="Q13727" s="24"/>
      <c r="R13727" s="24"/>
      <c r="S13727" s="24"/>
      <c r="T13727" s="24"/>
      <c r="U13727" s="24"/>
      <c r="V13727" s="24"/>
      <c r="W13727" s="24"/>
      <c r="X13727" s="24"/>
      <c r="Y13727" s="24"/>
      <c r="Z13727" s="24"/>
      <c r="AA13727" s="24"/>
    </row>
    <row r="13728">
      <c r="A13728" s="24"/>
      <c r="B13728" s="25"/>
      <c r="C13728" s="24"/>
      <c r="D13728" s="26"/>
      <c r="E13728" s="24"/>
      <c r="F13728" s="24"/>
      <c r="G13728" s="24"/>
      <c r="H13728" s="24"/>
      <c r="I13728" s="24"/>
      <c r="J13728" s="24"/>
      <c r="K13728" s="24"/>
      <c r="L13728" s="24"/>
      <c r="M13728" s="24"/>
      <c r="N13728" s="24"/>
      <c r="O13728" s="24"/>
      <c r="P13728" s="24"/>
      <c r="Q13728" s="24"/>
      <c r="R13728" s="24"/>
      <c r="S13728" s="24"/>
      <c r="T13728" s="24"/>
      <c r="U13728" s="24"/>
      <c r="V13728" s="24"/>
      <c r="W13728" s="24"/>
      <c r="X13728" s="24"/>
      <c r="Y13728" s="24"/>
      <c r="Z13728" s="24"/>
      <c r="AA13728" s="24"/>
    </row>
    <row r="13729">
      <c r="A13729" s="24"/>
      <c r="B13729" s="25"/>
      <c r="C13729" s="24"/>
      <c r="D13729" s="26"/>
      <c r="E13729" s="24"/>
      <c r="F13729" s="24"/>
      <c r="G13729" s="24"/>
      <c r="H13729" s="24"/>
      <c r="I13729" s="24"/>
      <c r="J13729" s="24"/>
      <c r="K13729" s="24"/>
      <c r="L13729" s="24"/>
      <c r="M13729" s="24"/>
      <c r="N13729" s="24"/>
      <c r="O13729" s="24"/>
      <c r="P13729" s="24"/>
      <c r="Q13729" s="24"/>
      <c r="R13729" s="24"/>
      <c r="S13729" s="24"/>
      <c r="T13729" s="24"/>
      <c r="U13729" s="24"/>
      <c r="V13729" s="24"/>
      <c r="W13729" s="24"/>
      <c r="X13729" s="24"/>
      <c r="Y13729" s="24"/>
      <c r="Z13729" s="24"/>
      <c r="AA13729" s="24"/>
    </row>
    <row r="13730">
      <c r="A13730" s="24"/>
      <c r="B13730" s="25"/>
      <c r="C13730" s="24"/>
      <c r="D13730" s="26"/>
      <c r="E13730" s="24"/>
      <c r="F13730" s="24"/>
      <c r="G13730" s="24"/>
      <c r="H13730" s="24"/>
      <c r="I13730" s="24"/>
      <c r="J13730" s="24"/>
      <c r="K13730" s="24"/>
      <c r="L13730" s="24"/>
      <c r="M13730" s="24"/>
      <c r="N13730" s="24"/>
      <c r="O13730" s="24"/>
      <c r="P13730" s="24"/>
      <c r="Q13730" s="24"/>
      <c r="R13730" s="24"/>
      <c r="S13730" s="24"/>
      <c r="T13730" s="24"/>
      <c r="U13730" s="24"/>
      <c r="V13730" s="24"/>
      <c r="W13730" s="24"/>
      <c r="X13730" s="24"/>
      <c r="Y13730" s="24"/>
      <c r="Z13730" s="24"/>
      <c r="AA13730" s="24"/>
    </row>
    <row r="13731">
      <c r="A13731" s="24"/>
      <c r="B13731" s="25"/>
      <c r="C13731" s="24"/>
      <c r="D13731" s="26"/>
      <c r="E13731" s="24"/>
      <c r="F13731" s="24"/>
      <c r="G13731" s="24"/>
      <c r="H13731" s="24"/>
      <c r="I13731" s="24"/>
      <c r="J13731" s="24"/>
      <c r="K13731" s="24"/>
      <c r="L13731" s="24"/>
      <c r="M13731" s="24"/>
      <c r="N13731" s="24"/>
      <c r="O13731" s="24"/>
      <c r="P13731" s="24"/>
      <c r="Q13731" s="24"/>
      <c r="R13731" s="24"/>
      <c r="S13731" s="24"/>
      <c r="T13731" s="24"/>
      <c r="U13731" s="24"/>
      <c r="V13731" s="24"/>
      <c r="W13731" s="24"/>
      <c r="X13731" s="24"/>
      <c r="Y13731" s="24"/>
      <c r="Z13731" s="24"/>
      <c r="AA13731" s="24"/>
    </row>
    <row r="13732">
      <c r="A13732" s="24"/>
      <c r="B13732" s="25"/>
      <c r="C13732" s="24"/>
      <c r="D13732" s="26"/>
      <c r="E13732" s="24"/>
      <c r="F13732" s="24"/>
      <c r="G13732" s="24"/>
      <c r="H13732" s="24"/>
      <c r="I13732" s="24"/>
      <c r="J13732" s="24"/>
      <c r="K13732" s="24"/>
      <c r="L13732" s="24"/>
      <c r="M13732" s="24"/>
      <c r="N13732" s="24"/>
      <c r="O13732" s="24"/>
      <c r="P13732" s="24"/>
      <c r="Q13732" s="24"/>
      <c r="R13732" s="24"/>
      <c r="S13732" s="24"/>
      <c r="T13732" s="24"/>
      <c r="U13732" s="24"/>
      <c r="V13732" s="24"/>
      <c r="W13732" s="24"/>
      <c r="X13732" s="24"/>
      <c r="Y13732" s="24"/>
      <c r="Z13732" s="24"/>
      <c r="AA13732" s="24"/>
    </row>
    <row r="13733">
      <c r="A13733" s="24"/>
      <c r="B13733" s="25"/>
      <c r="C13733" s="24"/>
      <c r="D13733" s="26"/>
      <c r="E13733" s="24"/>
      <c r="F13733" s="24"/>
      <c r="G13733" s="24"/>
      <c r="H13733" s="24"/>
      <c r="I13733" s="24"/>
      <c r="J13733" s="24"/>
      <c r="K13733" s="24"/>
      <c r="L13733" s="24"/>
      <c r="M13733" s="24"/>
      <c r="N13733" s="24"/>
      <c r="O13733" s="24"/>
      <c r="P13733" s="24"/>
      <c r="Q13733" s="24"/>
      <c r="R13733" s="24"/>
      <c r="S13733" s="24"/>
      <c r="T13733" s="24"/>
      <c r="U13733" s="24"/>
      <c r="V13733" s="24"/>
      <c r="W13733" s="24"/>
      <c r="X13733" s="24"/>
      <c r="Y13733" s="24"/>
      <c r="Z13733" s="24"/>
      <c r="AA13733" s="24"/>
    </row>
    <row r="13734">
      <c r="A13734" s="24"/>
      <c r="B13734" s="25"/>
      <c r="C13734" s="24"/>
      <c r="D13734" s="26"/>
      <c r="E13734" s="24"/>
      <c r="F13734" s="24"/>
      <c r="G13734" s="24"/>
      <c r="H13734" s="24"/>
      <c r="I13734" s="24"/>
      <c r="J13734" s="24"/>
      <c r="K13734" s="24"/>
      <c r="L13734" s="24"/>
      <c r="M13734" s="24"/>
      <c r="N13734" s="24"/>
      <c r="O13734" s="24"/>
      <c r="P13734" s="24"/>
      <c r="Q13734" s="24"/>
      <c r="R13734" s="24"/>
      <c r="S13734" s="24"/>
      <c r="T13734" s="24"/>
      <c r="U13734" s="24"/>
      <c r="V13734" s="24"/>
      <c r="W13734" s="24"/>
      <c r="X13734" s="24"/>
      <c r="Y13734" s="24"/>
      <c r="Z13734" s="24"/>
      <c r="AA13734" s="24"/>
    </row>
    <row r="13735">
      <c r="A13735" s="24"/>
      <c r="B13735" s="25"/>
      <c r="C13735" s="24"/>
      <c r="D13735" s="26"/>
      <c r="E13735" s="24"/>
      <c r="F13735" s="24"/>
      <c r="G13735" s="24"/>
      <c r="H13735" s="24"/>
      <c r="I13735" s="24"/>
      <c r="J13735" s="24"/>
      <c r="K13735" s="24"/>
      <c r="L13735" s="24"/>
      <c r="M13735" s="24"/>
      <c r="N13735" s="24"/>
      <c r="O13735" s="24"/>
      <c r="P13735" s="24"/>
      <c r="Q13735" s="24"/>
      <c r="R13735" s="24"/>
      <c r="S13735" s="24"/>
      <c r="T13735" s="24"/>
      <c r="U13735" s="24"/>
      <c r="V13735" s="24"/>
      <c r="W13735" s="24"/>
      <c r="X13735" s="24"/>
      <c r="Y13735" s="24"/>
      <c r="Z13735" s="24"/>
      <c r="AA13735" s="24"/>
    </row>
    <row r="13736">
      <c r="A13736" s="24"/>
      <c r="B13736" s="25"/>
      <c r="C13736" s="24"/>
      <c r="D13736" s="26"/>
      <c r="E13736" s="24"/>
      <c r="F13736" s="24"/>
      <c r="G13736" s="24"/>
      <c r="H13736" s="24"/>
      <c r="I13736" s="24"/>
      <c r="J13736" s="24"/>
      <c r="K13736" s="24"/>
      <c r="L13736" s="24"/>
      <c r="M13736" s="24"/>
      <c r="N13736" s="24"/>
      <c r="O13736" s="24"/>
      <c r="P13736" s="24"/>
      <c r="Q13736" s="24"/>
      <c r="R13736" s="24"/>
      <c r="S13736" s="24"/>
      <c r="T13736" s="24"/>
      <c r="U13736" s="24"/>
      <c r="V13736" s="24"/>
      <c r="W13736" s="24"/>
      <c r="X13736" s="24"/>
      <c r="Y13736" s="24"/>
      <c r="Z13736" s="24"/>
      <c r="AA13736" s="24"/>
    </row>
    <row r="13737">
      <c r="A13737" s="24"/>
      <c r="B13737" s="25"/>
      <c r="C13737" s="24"/>
      <c r="D13737" s="26"/>
      <c r="E13737" s="24"/>
      <c r="F13737" s="24"/>
      <c r="G13737" s="24"/>
      <c r="H13737" s="24"/>
      <c r="I13737" s="24"/>
      <c r="J13737" s="24"/>
      <c r="K13737" s="24"/>
      <c r="L13737" s="24"/>
      <c r="M13737" s="24"/>
      <c r="N13737" s="24"/>
      <c r="O13737" s="24"/>
      <c r="P13737" s="24"/>
      <c r="Q13737" s="24"/>
      <c r="R13737" s="24"/>
      <c r="S13737" s="24"/>
      <c r="T13737" s="24"/>
      <c r="U13737" s="24"/>
      <c r="V13737" s="24"/>
      <c r="W13737" s="24"/>
      <c r="X13737" s="24"/>
      <c r="Y13737" s="24"/>
      <c r="Z13737" s="24"/>
      <c r="AA13737" s="24"/>
    </row>
    <row r="13738">
      <c r="A13738" s="24"/>
      <c r="B13738" s="25"/>
      <c r="C13738" s="24"/>
      <c r="D13738" s="26"/>
      <c r="E13738" s="24"/>
      <c r="F13738" s="24"/>
      <c r="G13738" s="24"/>
      <c r="H13738" s="24"/>
      <c r="I13738" s="24"/>
      <c r="J13738" s="24"/>
      <c r="K13738" s="24"/>
      <c r="L13738" s="24"/>
      <c r="M13738" s="24"/>
      <c r="N13738" s="24"/>
      <c r="O13738" s="24"/>
      <c r="P13738" s="24"/>
      <c r="Q13738" s="24"/>
      <c r="R13738" s="24"/>
      <c r="S13738" s="24"/>
      <c r="T13738" s="24"/>
      <c r="U13738" s="24"/>
      <c r="V13738" s="24"/>
      <c r="W13738" s="24"/>
      <c r="X13738" s="24"/>
      <c r="Y13738" s="24"/>
      <c r="Z13738" s="24"/>
      <c r="AA13738" s="24"/>
    </row>
    <row r="13739">
      <c r="A13739" s="24"/>
      <c r="B13739" s="25"/>
      <c r="C13739" s="24"/>
      <c r="D13739" s="26"/>
      <c r="E13739" s="24"/>
      <c r="F13739" s="24"/>
      <c r="G13739" s="24"/>
      <c r="H13739" s="24"/>
      <c r="I13739" s="24"/>
      <c r="J13739" s="24"/>
      <c r="K13739" s="24"/>
      <c r="L13739" s="24"/>
      <c r="M13739" s="24"/>
      <c r="N13739" s="24"/>
      <c r="O13739" s="24"/>
      <c r="P13739" s="24"/>
      <c r="Q13739" s="24"/>
      <c r="R13739" s="24"/>
      <c r="S13739" s="24"/>
      <c r="T13739" s="24"/>
      <c r="U13739" s="24"/>
      <c r="V13739" s="24"/>
      <c r="W13739" s="24"/>
      <c r="X13739" s="24"/>
      <c r="Y13739" s="24"/>
      <c r="Z13739" s="24"/>
      <c r="AA13739" s="24"/>
    </row>
    <row r="13740">
      <c r="A13740" s="24"/>
      <c r="B13740" s="25"/>
      <c r="C13740" s="24"/>
      <c r="D13740" s="26"/>
      <c r="E13740" s="24"/>
      <c r="F13740" s="24"/>
      <c r="G13740" s="24"/>
      <c r="H13740" s="24"/>
      <c r="I13740" s="24"/>
      <c r="J13740" s="24"/>
      <c r="K13740" s="24"/>
      <c r="L13740" s="24"/>
      <c r="M13740" s="24"/>
      <c r="N13740" s="24"/>
      <c r="O13740" s="24"/>
      <c r="P13740" s="24"/>
      <c r="Q13740" s="24"/>
      <c r="R13740" s="24"/>
      <c r="S13740" s="24"/>
      <c r="T13740" s="24"/>
      <c r="U13740" s="24"/>
      <c r="V13740" s="24"/>
      <c r="W13740" s="24"/>
      <c r="X13740" s="24"/>
      <c r="Y13740" s="24"/>
      <c r="Z13740" s="24"/>
      <c r="AA13740" s="24"/>
    </row>
    <row r="13741">
      <c r="A13741" s="24"/>
      <c r="B13741" s="25"/>
      <c r="C13741" s="24"/>
      <c r="D13741" s="26"/>
      <c r="E13741" s="24"/>
      <c r="F13741" s="24"/>
      <c r="G13741" s="24"/>
      <c r="H13741" s="24"/>
      <c r="I13741" s="24"/>
      <c r="J13741" s="24"/>
      <c r="K13741" s="24"/>
      <c r="L13741" s="24"/>
      <c r="M13741" s="24"/>
      <c r="N13741" s="24"/>
      <c r="O13741" s="24"/>
      <c r="P13741" s="24"/>
      <c r="Q13741" s="24"/>
      <c r="R13741" s="24"/>
      <c r="S13741" s="24"/>
      <c r="T13741" s="24"/>
      <c r="U13741" s="24"/>
      <c r="V13741" s="24"/>
      <c r="W13741" s="24"/>
      <c r="X13741" s="24"/>
      <c r="Y13741" s="24"/>
      <c r="Z13741" s="24"/>
      <c r="AA13741" s="24"/>
    </row>
    <row r="13742">
      <c r="A13742" s="24"/>
      <c r="B13742" s="25"/>
      <c r="C13742" s="24"/>
      <c r="D13742" s="26"/>
      <c r="E13742" s="24"/>
      <c r="F13742" s="24"/>
      <c r="G13742" s="24"/>
      <c r="H13742" s="24"/>
      <c r="I13742" s="24"/>
      <c r="J13742" s="24"/>
      <c r="K13742" s="24"/>
      <c r="L13742" s="24"/>
      <c r="M13742" s="24"/>
      <c r="N13742" s="24"/>
      <c r="O13742" s="24"/>
      <c r="P13742" s="24"/>
      <c r="Q13742" s="24"/>
      <c r="R13742" s="24"/>
      <c r="S13742" s="24"/>
      <c r="T13742" s="24"/>
      <c r="U13742" s="24"/>
      <c r="V13742" s="24"/>
      <c r="W13742" s="24"/>
      <c r="X13742" s="24"/>
      <c r="Y13742" s="24"/>
      <c r="Z13742" s="24"/>
      <c r="AA13742" s="24"/>
    </row>
    <row r="13743">
      <c r="A13743" s="24"/>
      <c r="B13743" s="25"/>
      <c r="C13743" s="24"/>
      <c r="D13743" s="26"/>
      <c r="E13743" s="24"/>
      <c r="F13743" s="24"/>
      <c r="G13743" s="24"/>
      <c r="H13743" s="24"/>
      <c r="I13743" s="24"/>
      <c r="J13743" s="24"/>
      <c r="K13743" s="24"/>
      <c r="L13743" s="24"/>
      <c r="M13743" s="24"/>
      <c r="N13743" s="24"/>
      <c r="O13743" s="24"/>
      <c r="P13743" s="24"/>
      <c r="Q13743" s="24"/>
      <c r="R13743" s="24"/>
      <c r="S13743" s="24"/>
      <c r="T13743" s="24"/>
      <c r="U13743" s="24"/>
      <c r="V13743" s="24"/>
      <c r="W13743" s="24"/>
      <c r="X13743" s="24"/>
      <c r="Y13743" s="24"/>
      <c r="Z13743" s="24"/>
      <c r="AA13743" s="24"/>
    </row>
    <row r="13744">
      <c r="A13744" s="24"/>
      <c r="B13744" s="25"/>
      <c r="C13744" s="24"/>
      <c r="D13744" s="26"/>
      <c r="E13744" s="24"/>
      <c r="F13744" s="24"/>
      <c r="G13744" s="24"/>
      <c r="H13744" s="24"/>
      <c r="I13744" s="24"/>
      <c r="J13744" s="24"/>
      <c r="K13744" s="24"/>
      <c r="L13744" s="24"/>
      <c r="M13744" s="24"/>
      <c r="N13744" s="24"/>
      <c r="O13744" s="24"/>
      <c r="P13744" s="24"/>
      <c r="Q13744" s="24"/>
      <c r="R13744" s="24"/>
      <c r="S13744" s="24"/>
      <c r="T13744" s="24"/>
      <c r="U13744" s="24"/>
      <c r="V13744" s="24"/>
      <c r="W13744" s="24"/>
      <c r="X13744" s="24"/>
      <c r="Y13744" s="24"/>
      <c r="Z13744" s="24"/>
      <c r="AA13744" s="24"/>
    </row>
    <row r="13745">
      <c r="A13745" s="24"/>
      <c r="B13745" s="25"/>
      <c r="C13745" s="24"/>
      <c r="D13745" s="26"/>
      <c r="E13745" s="24"/>
      <c r="F13745" s="24"/>
      <c r="G13745" s="24"/>
      <c r="H13745" s="24"/>
      <c r="I13745" s="24"/>
      <c r="J13745" s="24"/>
      <c r="K13745" s="24"/>
      <c r="L13745" s="24"/>
      <c r="M13745" s="24"/>
      <c r="N13745" s="24"/>
      <c r="O13745" s="24"/>
      <c r="P13745" s="24"/>
      <c r="Q13745" s="24"/>
      <c r="R13745" s="24"/>
      <c r="S13745" s="24"/>
      <c r="T13745" s="24"/>
      <c r="U13745" s="24"/>
      <c r="V13745" s="24"/>
      <c r="W13745" s="24"/>
      <c r="X13745" s="24"/>
      <c r="Y13745" s="24"/>
      <c r="Z13745" s="24"/>
      <c r="AA13745" s="24"/>
    </row>
    <row r="13746">
      <c r="A13746" s="24"/>
      <c r="B13746" s="25"/>
      <c r="C13746" s="24"/>
      <c r="D13746" s="26"/>
      <c r="E13746" s="24"/>
      <c r="F13746" s="24"/>
      <c r="G13746" s="24"/>
      <c r="H13746" s="24"/>
      <c r="I13746" s="24"/>
      <c r="J13746" s="24"/>
      <c r="K13746" s="24"/>
      <c r="L13746" s="24"/>
      <c r="M13746" s="24"/>
      <c r="N13746" s="24"/>
      <c r="O13746" s="24"/>
      <c r="P13746" s="24"/>
      <c r="Q13746" s="24"/>
      <c r="R13746" s="24"/>
      <c r="S13746" s="24"/>
      <c r="T13746" s="24"/>
      <c r="U13746" s="24"/>
      <c r="V13746" s="24"/>
      <c r="W13746" s="24"/>
      <c r="X13746" s="24"/>
      <c r="Y13746" s="24"/>
      <c r="Z13746" s="24"/>
      <c r="AA13746" s="24"/>
    </row>
    <row r="13747">
      <c r="A13747" s="24"/>
      <c r="B13747" s="25"/>
      <c r="C13747" s="24"/>
      <c r="D13747" s="26"/>
      <c r="E13747" s="24"/>
      <c r="F13747" s="24"/>
      <c r="G13747" s="24"/>
      <c r="H13747" s="24"/>
      <c r="I13747" s="24"/>
      <c r="J13747" s="24"/>
      <c r="K13747" s="24"/>
      <c r="L13747" s="24"/>
      <c r="M13747" s="24"/>
      <c r="N13747" s="24"/>
      <c r="O13747" s="24"/>
      <c r="P13747" s="24"/>
      <c r="Q13747" s="24"/>
      <c r="R13747" s="24"/>
      <c r="S13747" s="24"/>
      <c r="T13747" s="24"/>
      <c r="U13747" s="24"/>
      <c r="V13747" s="24"/>
      <c r="W13747" s="24"/>
      <c r="X13747" s="24"/>
      <c r="Y13747" s="24"/>
      <c r="Z13747" s="24"/>
      <c r="AA13747" s="24"/>
    </row>
    <row r="13748">
      <c r="A13748" s="24"/>
      <c r="B13748" s="25"/>
      <c r="C13748" s="24"/>
      <c r="D13748" s="26"/>
      <c r="E13748" s="24"/>
      <c r="F13748" s="24"/>
      <c r="G13748" s="24"/>
      <c r="H13748" s="24"/>
      <c r="I13748" s="24"/>
      <c r="J13748" s="24"/>
      <c r="K13748" s="24"/>
      <c r="L13748" s="24"/>
      <c r="M13748" s="24"/>
      <c r="N13748" s="24"/>
      <c r="O13748" s="24"/>
      <c r="P13748" s="24"/>
      <c r="Q13748" s="24"/>
      <c r="R13748" s="24"/>
      <c r="S13748" s="24"/>
      <c r="T13748" s="24"/>
      <c r="U13748" s="24"/>
      <c r="V13748" s="24"/>
      <c r="W13748" s="24"/>
      <c r="X13748" s="24"/>
      <c r="Y13748" s="24"/>
      <c r="Z13748" s="24"/>
      <c r="AA13748" s="24"/>
    </row>
    <row r="13749">
      <c r="A13749" s="24"/>
      <c r="B13749" s="25"/>
      <c r="C13749" s="24"/>
      <c r="D13749" s="26"/>
      <c r="E13749" s="24"/>
      <c r="F13749" s="24"/>
      <c r="G13749" s="24"/>
      <c r="H13749" s="24"/>
      <c r="I13749" s="24"/>
      <c r="J13749" s="24"/>
      <c r="K13749" s="24"/>
      <c r="L13749" s="24"/>
      <c r="M13749" s="24"/>
      <c r="N13749" s="24"/>
      <c r="O13749" s="24"/>
      <c r="P13749" s="24"/>
      <c r="Q13749" s="24"/>
      <c r="R13749" s="24"/>
      <c r="S13749" s="24"/>
      <c r="T13749" s="24"/>
      <c r="U13749" s="24"/>
      <c r="V13749" s="24"/>
      <c r="W13749" s="24"/>
      <c r="X13749" s="24"/>
      <c r="Y13749" s="24"/>
      <c r="Z13749" s="24"/>
      <c r="AA13749" s="24"/>
    </row>
    <row r="13750">
      <c r="A13750" s="24"/>
      <c r="B13750" s="25"/>
      <c r="C13750" s="24"/>
      <c r="D13750" s="26"/>
      <c r="E13750" s="24"/>
      <c r="F13750" s="24"/>
      <c r="G13750" s="24"/>
      <c r="H13750" s="24"/>
      <c r="I13750" s="24"/>
      <c r="J13750" s="24"/>
      <c r="K13750" s="24"/>
      <c r="L13750" s="24"/>
      <c r="M13750" s="24"/>
      <c r="N13750" s="24"/>
      <c r="O13750" s="24"/>
      <c r="P13750" s="24"/>
      <c r="Q13750" s="24"/>
      <c r="R13750" s="24"/>
      <c r="S13750" s="24"/>
      <c r="T13750" s="24"/>
      <c r="U13750" s="24"/>
      <c r="V13750" s="24"/>
      <c r="W13750" s="24"/>
      <c r="X13750" s="24"/>
      <c r="Y13750" s="24"/>
      <c r="Z13750" s="24"/>
      <c r="AA13750" s="24"/>
    </row>
    <row r="13751">
      <c r="A13751" s="24"/>
      <c r="B13751" s="25"/>
      <c r="C13751" s="24"/>
      <c r="D13751" s="26"/>
      <c r="E13751" s="24"/>
      <c r="F13751" s="24"/>
      <c r="G13751" s="24"/>
      <c r="H13751" s="24"/>
      <c r="I13751" s="24"/>
      <c r="J13751" s="24"/>
      <c r="K13751" s="24"/>
      <c r="L13751" s="24"/>
      <c r="M13751" s="24"/>
      <c r="N13751" s="24"/>
      <c r="O13751" s="24"/>
      <c r="P13751" s="24"/>
      <c r="Q13751" s="24"/>
      <c r="R13751" s="24"/>
      <c r="S13751" s="24"/>
      <c r="T13751" s="24"/>
      <c r="U13751" s="24"/>
      <c r="V13751" s="24"/>
      <c r="W13751" s="24"/>
      <c r="X13751" s="24"/>
      <c r="Y13751" s="24"/>
      <c r="Z13751" s="24"/>
      <c r="AA13751" s="24"/>
    </row>
    <row r="13752">
      <c r="A13752" s="24"/>
      <c r="B13752" s="25"/>
      <c r="C13752" s="24"/>
      <c r="D13752" s="26"/>
      <c r="E13752" s="24"/>
      <c r="F13752" s="24"/>
      <c r="G13752" s="24"/>
      <c r="H13752" s="24"/>
      <c r="I13752" s="24"/>
      <c r="J13752" s="24"/>
      <c r="K13752" s="24"/>
      <c r="L13752" s="24"/>
      <c r="M13752" s="24"/>
      <c r="N13752" s="24"/>
      <c r="O13752" s="24"/>
      <c r="P13752" s="24"/>
      <c r="Q13752" s="24"/>
      <c r="R13752" s="24"/>
      <c r="S13752" s="24"/>
      <c r="T13752" s="24"/>
      <c r="U13752" s="24"/>
      <c r="V13752" s="24"/>
      <c r="W13752" s="24"/>
      <c r="X13752" s="24"/>
      <c r="Y13752" s="24"/>
      <c r="Z13752" s="24"/>
      <c r="AA13752" s="24"/>
    </row>
    <row r="13753">
      <c r="A13753" s="24"/>
      <c r="B13753" s="25"/>
      <c r="C13753" s="24"/>
      <c r="D13753" s="26"/>
      <c r="E13753" s="24"/>
      <c r="F13753" s="24"/>
      <c r="G13753" s="24"/>
      <c r="H13753" s="24"/>
      <c r="I13753" s="24"/>
      <c r="J13753" s="24"/>
      <c r="K13753" s="24"/>
      <c r="L13753" s="24"/>
      <c r="M13753" s="24"/>
      <c r="N13753" s="24"/>
      <c r="O13753" s="24"/>
      <c r="P13753" s="24"/>
      <c r="Q13753" s="24"/>
      <c r="R13753" s="24"/>
      <c r="S13753" s="24"/>
      <c r="T13753" s="24"/>
      <c r="U13753" s="24"/>
      <c r="V13753" s="24"/>
      <c r="W13753" s="24"/>
      <c r="X13753" s="24"/>
      <c r="Y13753" s="24"/>
      <c r="Z13753" s="24"/>
      <c r="AA13753" s="24"/>
    </row>
    <row r="13754">
      <c r="A13754" s="24"/>
      <c r="B13754" s="25"/>
      <c r="C13754" s="24"/>
      <c r="D13754" s="26"/>
      <c r="E13754" s="24"/>
      <c r="F13754" s="24"/>
      <c r="G13754" s="24"/>
      <c r="H13754" s="24"/>
      <c r="I13754" s="24"/>
      <c r="J13754" s="24"/>
      <c r="K13754" s="24"/>
      <c r="L13754" s="24"/>
      <c r="M13754" s="24"/>
      <c r="N13754" s="24"/>
      <c r="O13754" s="24"/>
      <c r="P13754" s="24"/>
      <c r="Q13754" s="24"/>
      <c r="R13754" s="24"/>
      <c r="S13754" s="24"/>
      <c r="T13754" s="24"/>
      <c r="U13754" s="24"/>
      <c r="V13754" s="24"/>
      <c r="W13754" s="24"/>
      <c r="X13754" s="24"/>
      <c r="Y13754" s="24"/>
      <c r="Z13754" s="24"/>
      <c r="AA13754" s="24"/>
    </row>
    <row r="13755">
      <c r="A13755" s="24"/>
      <c r="B13755" s="25"/>
      <c r="C13755" s="24"/>
      <c r="D13755" s="26"/>
      <c r="E13755" s="24"/>
      <c r="F13755" s="24"/>
      <c r="G13755" s="24"/>
      <c r="H13755" s="24"/>
      <c r="I13755" s="24"/>
      <c r="J13755" s="24"/>
      <c r="K13755" s="24"/>
      <c r="L13755" s="24"/>
      <c r="M13755" s="24"/>
      <c r="N13755" s="24"/>
      <c r="O13755" s="24"/>
      <c r="P13755" s="24"/>
      <c r="Q13755" s="24"/>
      <c r="R13755" s="24"/>
      <c r="S13755" s="24"/>
      <c r="T13755" s="24"/>
      <c r="U13755" s="24"/>
      <c r="V13755" s="24"/>
      <c r="W13755" s="24"/>
      <c r="X13755" s="24"/>
      <c r="Y13755" s="24"/>
      <c r="Z13755" s="24"/>
      <c r="AA13755" s="24"/>
    </row>
    <row r="13756">
      <c r="A13756" s="24"/>
      <c r="B13756" s="25"/>
      <c r="C13756" s="24"/>
      <c r="D13756" s="26"/>
      <c r="E13756" s="24"/>
      <c r="F13756" s="24"/>
      <c r="G13756" s="24"/>
      <c r="H13756" s="24"/>
      <c r="I13756" s="24"/>
      <c r="J13756" s="24"/>
      <c r="K13756" s="24"/>
      <c r="L13756" s="24"/>
      <c r="M13756" s="24"/>
      <c r="N13756" s="24"/>
      <c r="O13756" s="24"/>
      <c r="P13756" s="24"/>
      <c r="Q13756" s="24"/>
      <c r="R13756" s="24"/>
      <c r="S13756" s="24"/>
      <c r="T13756" s="24"/>
      <c r="U13756" s="24"/>
      <c r="V13756" s="24"/>
      <c r="W13756" s="24"/>
      <c r="X13756" s="24"/>
      <c r="Y13756" s="24"/>
      <c r="Z13756" s="24"/>
      <c r="AA13756" s="24"/>
    </row>
    <row r="13757">
      <c r="A13757" s="24"/>
      <c r="B13757" s="25"/>
      <c r="C13757" s="24"/>
      <c r="D13757" s="26"/>
      <c r="E13757" s="24"/>
      <c r="F13757" s="24"/>
      <c r="G13757" s="24"/>
      <c r="H13757" s="24"/>
      <c r="I13757" s="24"/>
      <c r="J13757" s="24"/>
      <c r="K13757" s="24"/>
      <c r="L13757" s="24"/>
      <c r="M13757" s="24"/>
      <c r="N13757" s="24"/>
      <c r="O13757" s="24"/>
      <c r="P13757" s="24"/>
      <c r="Q13757" s="24"/>
      <c r="R13757" s="24"/>
      <c r="S13757" s="24"/>
      <c r="T13757" s="24"/>
      <c r="U13757" s="24"/>
      <c r="V13757" s="24"/>
      <c r="W13757" s="24"/>
      <c r="X13757" s="24"/>
      <c r="Y13757" s="24"/>
      <c r="Z13757" s="24"/>
      <c r="AA13757" s="24"/>
    </row>
    <row r="13758">
      <c r="A13758" s="24"/>
      <c r="B13758" s="25"/>
      <c r="C13758" s="24"/>
      <c r="D13758" s="26"/>
      <c r="E13758" s="24"/>
      <c r="F13758" s="24"/>
      <c r="G13758" s="24"/>
      <c r="H13758" s="24"/>
      <c r="I13758" s="24"/>
      <c r="J13758" s="24"/>
      <c r="K13758" s="24"/>
      <c r="L13758" s="24"/>
      <c r="M13758" s="24"/>
      <c r="N13758" s="24"/>
      <c r="O13758" s="24"/>
      <c r="P13758" s="24"/>
      <c r="Q13758" s="24"/>
      <c r="R13758" s="24"/>
      <c r="S13758" s="24"/>
      <c r="T13758" s="24"/>
      <c r="U13758" s="24"/>
      <c r="V13758" s="24"/>
      <c r="W13758" s="24"/>
      <c r="X13758" s="24"/>
      <c r="Y13758" s="24"/>
      <c r="Z13758" s="24"/>
      <c r="AA13758" s="24"/>
    </row>
    <row r="13759">
      <c r="A13759" s="24"/>
      <c r="B13759" s="25"/>
      <c r="C13759" s="24"/>
      <c r="D13759" s="26"/>
      <c r="E13759" s="24"/>
      <c r="F13759" s="24"/>
      <c r="G13759" s="24"/>
      <c r="H13759" s="24"/>
      <c r="I13759" s="24"/>
      <c r="J13759" s="24"/>
      <c r="K13759" s="24"/>
      <c r="L13759" s="24"/>
      <c r="M13759" s="24"/>
      <c r="N13759" s="24"/>
      <c r="O13759" s="24"/>
      <c r="P13759" s="24"/>
      <c r="Q13759" s="24"/>
      <c r="R13759" s="24"/>
      <c r="S13759" s="24"/>
      <c r="T13759" s="24"/>
      <c r="U13759" s="24"/>
      <c r="V13759" s="24"/>
      <c r="W13759" s="24"/>
      <c r="X13759" s="24"/>
      <c r="Y13759" s="24"/>
      <c r="Z13759" s="24"/>
      <c r="AA13759" s="24"/>
    </row>
    <row r="13760">
      <c r="A13760" s="24"/>
      <c r="B13760" s="25"/>
      <c r="C13760" s="24"/>
      <c r="D13760" s="26"/>
      <c r="E13760" s="24"/>
      <c r="F13760" s="24"/>
      <c r="G13760" s="24"/>
      <c r="H13760" s="24"/>
      <c r="I13760" s="24"/>
      <c r="J13760" s="24"/>
      <c r="K13760" s="24"/>
      <c r="L13760" s="24"/>
      <c r="M13760" s="24"/>
      <c r="N13760" s="24"/>
      <c r="O13760" s="24"/>
      <c r="P13760" s="24"/>
      <c r="Q13760" s="24"/>
      <c r="R13760" s="24"/>
      <c r="S13760" s="24"/>
      <c r="T13760" s="24"/>
      <c r="U13760" s="24"/>
      <c r="V13760" s="24"/>
      <c r="W13760" s="24"/>
      <c r="X13760" s="24"/>
      <c r="Y13760" s="24"/>
      <c r="Z13760" s="24"/>
      <c r="AA13760" s="24"/>
    </row>
    <row r="13761">
      <c r="A13761" s="24"/>
      <c r="B13761" s="25"/>
      <c r="C13761" s="24"/>
      <c r="D13761" s="26"/>
      <c r="E13761" s="24"/>
      <c r="F13761" s="24"/>
      <c r="G13761" s="24"/>
      <c r="H13761" s="24"/>
      <c r="I13761" s="24"/>
      <c r="J13761" s="24"/>
      <c r="K13761" s="24"/>
      <c r="L13761" s="24"/>
      <c r="M13761" s="24"/>
      <c r="N13761" s="24"/>
      <c r="O13761" s="24"/>
      <c r="P13761" s="24"/>
      <c r="Q13761" s="24"/>
      <c r="R13761" s="24"/>
      <c r="S13761" s="24"/>
      <c r="T13761" s="24"/>
      <c r="U13761" s="24"/>
      <c r="V13761" s="24"/>
      <c r="W13761" s="24"/>
      <c r="X13761" s="24"/>
      <c r="Y13761" s="24"/>
      <c r="Z13761" s="24"/>
      <c r="AA13761" s="24"/>
    </row>
    <row r="13762">
      <c r="A13762" s="24"/>
      <c r="B13762" s="25"/>
      <c r="C13762" s="24"/>
      <c r="D13762" s="26"/>
      <c r="E13762" s="24"/>
      <c r="F13762" s="24"/>
      <c r="G13762" s="24"/>
      <c r="H13762" s="24"/>
      <c r="I13762" s="24"/>
      <c r="J13762" s="24"/>
      <c r="K13762" s="24"/>
      <c r="L13762" s="24"/>
      <c r="M13762" s="24"/>
      <c r="N13762" s="24"/>
      <c r="O13762" s="24"/>
      <c r="P13762" s="24"/>
      <c r="Q13762" s="24"/>
      <c r="R13762" s="24"/>
      <c r="S13762" s="24"/>
      <c r="T13762" s="24"/>
      <c r="U13762" s="24"/>
      <c r="V13762" s="24"/>
      <c r="W13762" s="24"/>
      <c r="X13762" s="24"/>
      <c r="Y13762" s="24"/>
      <c r="Z13762" s="24"/>
      <c r="AA13762" s="24"/>
    </row>
    <row r="13763">
      <c r="A13763" s="24"/>
      <c r="B13763" s="25"/>
      <c r="C13763" s="24"/>
      <c r="D13763" s="26"/>
      <c r="E13763" s="24"/>
      <c r="F13763" s="24"/>
      <c r="G13763" s="24"/>
      <c r="H13763" s="24"/>
      <c r="I13763" s="24"/>
      <c r="J13763" s="24"/>
      <c r="K13763" s="24"/>
      <c r="L13763" s="24"/>
      <c r="M13763" s="24"/>
      <c r="N13763" s="24"/>
      <c r="O13763" s="24"/>
      <c r="P13763" s="24"/>
      <c r="Q13763" s="24"/>
      <c r="R13763" s="24"/>
      <c r="S13763" s="24"/>
      <c r="T13763" s="24"/>
      <c r="U13763" s="24"/>
      <c r="V13763" s="24"/>
      <c r="W13763" s="24"/>
      <c r="X13763" s="24"/>
      <c r="Y13763" s="24"/>
      <c r="Z13763" s="24"/>
      <c r="AA13763" s="24"/>
    </row>
    <row r="13764">
      <c r="A13764" s="24"/>
      <c r="B13764" s="25"/>
      <c r="C13764" s="24"/>
      <c r="D13764" s="26"/>
      <c r="E13764" s="24"/>
      <c r="F13764" s="24"/>
      <c r="G13764" s="24"/>
      <c r="H13764" s="24"/>
      <c r="I13764" s="24"/>
      <c r="J13764" s="24"/>
      <c r="K13764" s="24"/>
      <c r="L13764" s="24"/>
      <c r="M13764" s="24"/>
      <c r="N13764" s="24"/>
      <c r="O13764" s="24"/>
      <c r="P13764" s="24"/>
      <c r="Q13764" s="24"/>
      <c r="R13764" s="24"/>
      <c r="S13764" s="24"/>
      <c r="T13764" s="24"/>
      <c r="U13764" s="24"/>
      <c r="V13764" s="24"/>
      <c r="W13764" s="24"/>
      <c r="X13764" s="24"/>
      <c r="Y13764" s="24"/>
      <c r="Z13764" s="24"/>
      <c r="AA13764" s="24"/>
    </row>
    <row r="13765">
      <c r="A13765" s="24"/>
      <c r="B13765" s="25"/>
      <c r="C13765" s="24"/>
      <c r="D13765" s="26"/>
      <c r="E13765" s="24"/>
      <c r="F13765" s="24"/>
      <c r="G13765" s="24"/>
      <c r="H13765" s="24"/>
      <c r="I13765" s="24"/>
      <c r="J13765" s="24"/>
      <c r="K13765" s="24"/>
      <c r="L13765" s="24"/>
      <c r="M13765" s="24"/>
      <c r="N13765" s="24"/>
      <c r="O13765" s="24"/>
      <c r="P13765" s="24"/>
      <c r="Q13765" s="24"/>
      <c r="R13765" s="24"/>
      <c r="S13765" s="24"/>
      <c r="T13765" s="24"/>
      <c r="U13765" s="24"/>
      <c r="V13765" s="24"/>
      <c r="W13765" s="24"/>
      <c r="X13765" s="24"/>
      <c r="Y13765" s="24"/>
      <c r="Z13765" s="24"/>
      <c r="AA13765" s="24"/>
    </row>
    <row r="13766">
      <c r="A13766" s="24"/>
      <c r="B13766" s="25"/>
      <c r="C13766" s="24"/>
      <c r="D13766" s="26"/>
      <c r="E13766" s="24"/>
      <c r="F13766" s="24"/>
      <c r="G13766" s="24"/>
      <c r="H13766" s="24"/>
      <c r="I13766" s="24"/>
      <c r="J13766" s="24"/>
      <c r="K13766" s="24"/>
      <c r="L13766" s="24"/>
      <c r="M13766" s="24"/>
      <c r="N13766" s="24"/>
      <c r="O13766" s="24"/>
      <c r="P13766" s="24"/>
      <c r="Q13766" s="24"/>
      <c r="R13766" s="24"/>
      <c r="S13766" s="24"/>
      <c r="T13766" s="24"/>
      <c r="U13766" s="24"/>
      <c r="V13766" s="24"/>
      <c r="W13766" s="24"/>
      <c r="X13766" s="24"/>
      <c r="Y13766" s="24"/>
      <c r="Z13766" s="24"/>
      <c r="AA13766" s="24"/>
    </row>
    <row r="13767">
      <c r="A13767" s="24"/>
      <c r="B13767" s="25"/>
      <c r="C13767" s="24"/>
      <c r="D13767" s="26"/>
      <c r="E13767" s="24"/>
      <c r="F13767" s="24"/>
      <c r="G13767" s="24"/>
      <c r="H13767" s="24"/>
      <c r="I13767" s="24"/>
      <c r="J13767" s="24"/>
      <c r="K13767" s="24"/>
      <c r="L13767" s="24"/>
      <c r="M13767" s="24"/>
      <c r="N13767" s="24"/>
      <c r="O13767" s="24"/>
      <c r="P13767" s="24"/>
      <c r="Q13767" s="24"/>
      <c r="R13767" s="24"/>
      <c r="S13767" s="24"/>
      <c r="T13767" s="24"/>
      <c r="U13767" s="24"/>
      <c r="V13767" s="24"/>
      <c r="W13767" s="24"/>
      <c r="X13767" s="24"/>
      <c r="Y13767" s="24"/>
      <c r="Z13767" s="24"/>
      <c r="AA13767" s="24"/>
    </row>
    <row r="13768">
      <c r="A13768" s="24"/>
      <c r="B13768" s="25"/>
      <c r="C13768" s="24"/>
      <c r="D13768" s="26"/>
      <c r="E13768" s="24"/>
      <c r="F13768" s="24"/>
      <c r="G13768" s="24"/>
      <c r="H13768" s="24"/>
      <c r="I13768" s="24"/>
      <c r="J13768" s="24"/>
      <c r="K13768" s="24"/>
      <c r="L13768" s="24"/>
      <c r="M13768" s="24"/>
      <c r="N13768" s="24"/>
      <c r="O13768" s="24"/>
      <c r="P13768" s="24"/>
      <c r="Q13768" s="24"/>
      <c r="R13768" s="24"/>
      <c r="S13768" s="24"/>
      <c r="T13768" s="24"/>
      <c r="U13768" s="24"/>
      <c r="V13768" s="24"/>
      <c r="W13768" s="24"/>
      <c r="X13768" s="24"/>
      <c r="Y13768" s="24"/>
      <c r="Z13768" s="24"/>
      <c r="AA13768" s="24"/>
    </row>
    <row r="13769">
      <c r="A13769" s="24"/>
      <c r="B13769" s="25"/>
      <c r="C13769" s="24"/>
      <c r="D13769" s="26"/>
      <c r="E13769" s="24"/>
      <c r="F13769" s="24"/>
      <c r="G13769" s="24"/>
      <c r="H13769" s="24"/>
      <c r="I13769" s="24"/>
      <c r="J13769" s="24"/>
      <c r="K13769" s="24"/>
      <c r="L13769" s="24"/>
      <c r="M13769" s="24"/>
      <c r="N13769" s="24"/>
      <c r="O13769" s="24"/>
      <c r="P13769" s="24"/>
      <c r="Q13769" s="24"/>
      <c r="R13769" s="24"/>
      <c r="S13769" s="24"/>
      <c r="T13769" s="24"/>
      <c r="U13769" s="24"/>
      <c r="V13769" s="24"/>
      <c r="W13769" s="24"/>
      <c r="X13769" s="24"/>
      <c r="Y13769" s="24"/>
      <c r="Z13769" s="24"/>
      <c r="AA13769" s="24"/>
    </row>
    <row r="13770">
      <c r="A13770" s="24"/>
      <c r="B13770" s="25"/>
      <c r="C13770" s="24"/>
      <c r="D13770" s="26"/>
      <c r="E13770" s="24"/>
      <c r="F13770" s="24"/>
      <c r="G13770" s="24"/>
      <c r="H13770" s="24"/>
      <c r="I13770" s="24"/>
      <c r="J13770" s="24"/>
      <c r="K13770" s="24"/>
      <c r="L13770" s="24"/>
      <c r="M13770" s="24"/>
      <c r="N13770" s="24"/>
      <c r="O13770" s="24"/>
      <c r="P13770" s="24"/>
      <c r="Q13770" s="24"/>
      <c r="R13770" s="24"/>
      <c r="S13770" s="24"/>
      <c r="T13770" s="24"/>
      <c r="U13770" s="24"/>
      <c r="V13770" s="24"/>
      <c r="W13770" s="24"/>
      <c r="X13770" s="24"/>
      <c r="Y13770" s="24"/>
      <c r="Z13770" s="24"/>
      <c r="AA13770" s="24"/>
    </row>
    <row r="13771">
      <c r="A13771" s="24"/>
      <c r="B13771" s="25"/>
      <c r="C13771" s="24"/>
      <c r="D13771" s="26"/>
      <c r="E13771" s="24"/>
      <c r="F13771" s="24"/>
      <c r="G13771" s="24"/>
      <c r="H13771" s="24"/>
      <c r="I13771" s="24"/>
      <c r="J13771" s="24"/>
      <c r="K13771" s="24"/>
      <c r="L13771" s="24"/>
      <c r="M13771" s="24"/>
      <c r="N13771" s="24"/>
      <c r="O13771" s="24"/>
      <c r="P13771" s="24"/>
      <c r="Q13771" s="24"/>
      <c r="R13771" s="24"/>
      <c r="S13771" s="24"/>
      <c r="T13771" s="24"/>
      <c r="U13771" s="24"/>
      <c r="V13771" s="24"/>
      <c r="W13771" s="24"/>
      <c r="X13771" s="24"/>
      <c r="Y13771" s="24"/>
      <c r="Z13771" s="24"/>
      <c r="AA13771" s="24"/>
    </row>
    <row r="13772">
      <c r="A13772" s="24"/>
      <c r="B13772" s="25"/>
      <c r="C13772" s="24"/>
      <c r="D13772" s="26"/>
      <c r="E13772" s="24"/>
      <c r="F13772" s="24"/>
      <c r="G13772" s="24"/>
      <c r="H13772" s="24"/>
      <c r="I13772" s="24"/>
      <c r="J13772" s="24"/>
      <c r="K13772" s="24"/>
      <c r="L13772" s="24"/>
      <c r="M13772" s="24"/>
      <c r="N13772" s="24"/>
      <c r="O13772" s="24"/>
      <c r="P13772" s="24"/>
      <c r="Q13772" s="24"/>
      <c r="R13772" s="24"/>
      <c r="S13772" s="24"/>
      <c r="T13772" s="24"/>
      <c r="U13772" s="24"/>
      <c r="V13772" s="24"/>
      <c r="W13772" s="24"/>
      <c r="X13772" s="24"/>
      <c r="Y13772" s="24"/>
      <c r="Z13772" s="24"/>
      <c r="AA13772" s="24"/>
    </row>
    <row r="13773">
      <c r="A13773" s="24"/>
      <c r="B13773" s="25"/>
      <c r="C13773" s="24"/>
      <c r="D13773" s="26"/>
      <c r="E13773" s="24"/>
      <c r="F13773" s="24"/>
      <c r="G13773" s="24"/>
      <c r="H13773" s="24"/>
      <c r="I13773" s="24"/>
      <c r="J13773" s="24"/>
      <c r="K13773" s="24"/>
      <c r="L13773" s="24"/>
      <c r="M13773" s="24"/>
      <c r="N13773" s="24"/>
      <c r="O13773" s="24"/>
      <c r="P13773" s="24"/>
      <c r="Q13773" s="24"/>
      <c r="R13773" s="24"/>
      <c r="S13773" s="24"/>
      <c r="T13773" s="24"/>
      <c r="U13773" s="24"/>
      <c r="V13773" s="24"/>
      <c r="W13773" s="24"/>
      <c r="X13773" s="24"/>
      <c r="Y13773" s="24"/>
      <c r="Z13773" s="24"/>
      <c r="AA13773" s="24"/>
    </row>
    <row r="13774">
      <c r="A13774" s="24"/>
      <c r="B13774" s="25"/>
      <c r="C13774" s="24"/>
      <c r="D13774" s="26"/>
      <c r="E13774" s="24"/>
      <c r="F13774" s="24"/>
      <c r="G13774" s="24"/>
      <c r="H13774" s="24"/>
      <c r="I13774" s="24"/>
      <c r="J13774" s="24"/>
      <c r="K13774" s="24"/>
      <c r="L13774" s="24"/>
      <c r="M13774" s="24"/>
      <c r="N13774" s="24"/>
      <c r="O13774" s="24"/>
      <c r="P13774" s="24"/>
      <c r="Q13774" s="24"/>
      <c r="R13774" s="24"/>
      <c r="S13774" s="24"/>
      <c r="T13774" s="24"/>
      <c r="U13774" s="24"/>
      <c r="V13774" s="24"/>
      <c r="W13774" s="24"/>
      <c r="X13774" s="24"/>
      <c r="Y13774" s="24"/>
      <c r="Z13774" s="24"/>
      <c r="AA13774" s="24"/>
    </row>
    <row r="13775">
      <c r="A13775" s="24"/>
      <c r="B13775" s="25"/>
      <c r="C13775" s="24"/>
      <c r="D13775" s="26"/>
      <c r="E13775" s="24"/>
      <c r="F13775" s="24"/>
      <c r="G13775" s="24"/>
      <c r="H13775" s="24"/>
      <c r="I13775" s="24"/>
      <c r="J13775" s="24"/>
      <c r="K13775" s="24"/>
      <c r="L13775" s="24"/>
      <c r="M13775" s="24"/>
      <c r="N13775" s="24"/>
      <c r="O13775" s="24"/>
      <c r="P13775" s="24"/>
      <c r="Q13775" s="24"/>
      <c r="R13775" s="24"/>
      <c r="S13775" s="24"/>
      <c r="T13775" s="24"/>
      <c r="U13775" s="24"/>
      <c r="V13775" s="24"/>
      <c r="W13775" s="24"/>
      <c r="X13775" s="24"/>
      <c r="Y13775" s="24"/>
      <c r="Z13775" s="24"/>
      <c r="AA13775" s="24"/>
    </row>
    <row r="13776">
      <c r="A13776" s="24"/>
      <c r="B13776" s="25"/>
      <c r="C13776" s="24"/>
      <c r="D13776" s="26"/>
      <c r="E13776" s="24"/>
      <c r="F13776" s="24"/>
      <c r="G13776" s="24"/>
      <c r="H13776" s="24"/>
      <c r="I13776" s="24"/>
      <c r="J13776" s="24"/>
      <c r="K13776" s="24"/>
      <c r="L13776" s="24"/>
      <c r="M13776" s="24"/>
      <c r="N13776" s="24"/>
      <c r="O13776" s="24"/>
      <c r="P13776" s="24"/>
      <c r="Q13776" s="24"/>
      <c r="R13776" s="24"/>
      <c r="S13776" s="24"/>
      <c r="T13776" s="24"/>
      <c r="U13776" s="24"/>
      <c r="V13776" s="24"/>
      <c r="W13776" s="24"/>
      <c r="X13776" s="24"/>
      <c r="Y13776" s="24"/>
      <c r="Z13776" s="24"/>
      <c r="AA13776" s="24"/>
    </row>
    <row r="13777">
      <c r="A13777" s="24"/>
      <c r="B13777" s="25"/>
      <c r="C13777" s="24"/>
      <c r="D13777" s="26"/>
      <c r="E13777" s="24"/>
      <c r="F13777" s="24"/>
      <c r="G13777" s="24"/>
      <c r="H13777" s="24"/>
      <c r="I13777" s="24"/>
      <c r="J13777" s="24"/>
      <c r="K13777" s="24"/>
      <c r="L13777" s="24"/>
      <c r="M13777" s="24"/>
      <c r="N13777" s="24"/>
      <c r="O13777" s="24"/>
      <c r="P13777" s="24"/>
      <c r="Q13777" s="24"/>
      <c r="R13777" s="24"/>
      <c r="S13777" s="24"/>
      <c r="T13777" s="24"/>
      <c r="U13777" s="24"/>
      <c r="V13777" s="24"/>
      <c r="W13777" s="24"/>
      <c r="X13777" s="24"/>
      <c r="Y13777" s="24"/>
      <c r="Z13777" s="24"/>
      <c r="AA13777" s="24"/>
    </row>
    <row r="13778">
      <c r="A13778" s="24"/>
      <c r="B13778" s="25"/>
      <c r="C13778" s="24"/>
      <c r="D13778" s="26"/>
      <c r="E13778" s="24"/>
      <c r="F13778" s="24"/>
      <c r="G13778" s="24"/>
      <c r="H13778" s="24"/>
      <c r="I13778" s="24"/>
      <c r="J13778" s="24"/>
      <c r="K13778" s="24"/>
      <c r="L13778" s="24"/>
      <c r="M13778" s="24"/>
      <c r="N13778" s="24"/>
      <c r="O13778" s="24"/>
      <c r="P13778" s="24"/>
      <c r="Q13778" s="24"/>
      <c r="R13778" s="24"/>
      <c r="S13778" s="24"/>
      <c r="T13778" s="24"/>
      <c r="U13778" s="24"/>
      <c r="V13778" s="24"/>
      <c r="W13778" s="24"/>
      <c r="X13778" s="24"/>
      <c r="Y13778" s="24"/>
      <c r="Z13778" s="24"/>
      <c r="AA13778" s="24"/>
    </row>
    <row r="13779">
      <c r="A13779" s="24"/>
      <c r="B13779" s="25"/>
      <c r="C13779" s="24"/>
      <c r="D13779" s="26"/>
      <c r="E13779" s="24"/>
      <c r="F13779" s="24"/>
      <c r="G13779" s="24"/>
      <c r="H13779" s="24"/>
      <c r="I13779" s="24"/>
      <c r="J13779" s="24"/>
      <c r="K13779" s="24"/>
      <c r="L13779" s="24"/>
      <c r="M13779" s="24"/>
      <c r="N13779" s="24"/>
      <c r="O13779" s="24"/>
      <c r="P13779" s="24"/>
      <c r="Q13779" s="24"/>
      <c r="R13779" s="24"/>
      <c r="S13779" s="24"/>
      <c r="T13779" s="24"/>
      <c r="U13779" s="24"/>
      <c r="V13779" s="24"/>
      <c r="W13779" s="24"/>
      <c r="X13779" s="24"/>
      <c r="Y13779" s="24"/>
      <c r="Z13779" s="24"/>
      <c r="AA13779" s="24"/>
    </row>
    <row r="13780">
      <c r="A13780" s="24"/>
      <c r="B13780" s="25"/>
      <c r="C13780" s="24"/>
      <c r="D13780" s="26"/>
      <c r="E13780" s="24"/>
      <c r="F13780" s="24"/>
      <c r="G13780" s="24"/>
      <c r="H13780" s="24"/>
      <c r="I13780" s="24"/>
      <c r="J13780" s="24"/>
      <c r="K13780" s="24"/>
      <c r="L13780" s="24"/>
      <c r="M13780" s="24"/>
      <c r="N13780" s="24"/>
      <c r="O13780" s="24"/>
      <c r="P13780" s="24"/>
      <c r="Q13780" s="24"/>
      <c r="R13780" s="24"/>
      <c r="S13780" s="24"/>
      <c r="T13780" s="24"/>
      <c r="U13780" s="24"/>
      <c r="V13780" s="24"/>
      <c r="W13780" s="24"/>
      <c r="X13780" s="24"/>
      <c r="Y13780" s="24"/>
      <c r="Z13780" s="24"/>
      <c r="AA13780" s="24"/>
    </row>
    <row r="13781">
      <c r="A13781" s="24"/>
      <c r="B13781" s="25"/>
      <c r="C13781" s="24"/>
      <c r="D13781" s="26"/>
      <c r="E13781" s="24"/>
      <c r="F13781" s="24"/>
      <c r="G13781" s="24"/>
      <c r="H13781" s="24"/>
      <c r="I13781" s="24"/>
      <c r="J13781" s="24"/>
      <c r="K13781" s="24"/>
      <c r="L13781" s="24"/>
      <c r="M13781" s="24"/>
      <c r="N13781" s="24"/>
      <c r="O13781" s="24"/>
      <c r="P13781" s="24"/>
      <c r="Q13781" s="24"/>
      <c r="R13781" s="24"/>
      <c r="S13781" s="24"/>
      <c r="T13781" s="24"/>
      <c r="U13781" s="24"/>
      <c r="V13781" s="24"/>
      <c r="W13781" s="24"/>
      <c r="X13781" s="24"/>
      <c r="Y13781" s="24"/>
      <c r="Z13781" s="24"/>
      <c r="AA13781" s="24"/>
    </row>
    <row r="13782">
      <c r="A13782" s="24"/>
      <c r="B13782" s="25"/>
      <c r="C13782" s="24"/>
      <c r="D13782" s="26"/>
      <c r="E13782" s="24"/>
      <c r="F13782" s="24"/>
      <c r="G13782" s="24"/>
      <c r="H13782" s="24"/>
      <c r="I13782" s="24"/>
      <c r="J13782" s="24"/>
      <c r="K13782" s="24"/>
      <c r="L13782" s="24"/>
      <c r="M13782" s="24"/>
      <c r="N13782" s="24"/>
      <c r="O13782" s="24"/>
      <c r="P13782" s="24"/>
      <c r="Q13782" s="24"/>
      <c r="R13782" s="24"/>
      <c r="S13782" s="24"/>
      <c r="T13782" s="24"/>
      <c r="U13782" s="24"/>
      <c r="V13782" s="24"/>
      <c r="W13782" s="24"/>
      <c r="X13782" s="24"/>
      <c r="Y13782" s="24"/>
      <c r="Z13782" s="24"/>
      <c r="AA13782" s="24"/>
    </row>
    <row r="13783">
      <c r="A13783" s="24"/>
      <c r="B13783" s="25"/>
      <c r="C13783" s="24"/>
      <c r="D13783" s="26"/>
      <c r="E13783" s="24"/>
      <c r="F13783" s="24"/>
      <c r="G13783" s="24"/>
      <c r="H13783" s="24"/>
      <c r="I13783" s="24"/>
      <c r="J13783" s="24"/>
      <c r="K13783" s="24"/>
      <c r="L13783" s="24"/>
      <c r="M13783" s="24"/>
      <c r="N13783" s="24"/>
      <c r="O13783" s="24"/>
      <c r="P13783" s="24"/>
      <c r="Q13783" s="24"/>
      <c r="R13783" s="24"/>
      <c r="S13783" s="24"/>
      <c r="T13783" s="24"/>
      <c r="U13783" s="24"/>
      <c r="V13783" s="24"/>
      <c r="W13783" s="24"/>
      <c r="X13783" s="24"/>
      <c r="Y13783" s="24"/>
      <c r="Z13783" s="24"/>
      <c r="AA13783" s="24"/>
    </row>
    <row r="13784">
      <c r="A13784" s="24"/>
      <c r="B13784" s="25"/>
      <c r="C13784" s="24"/>
      <c r="D13784" s="26"/>
      <c r="E13784" s="24"/>
      <c r="F13784" s="24"/>
      <c r="G13784" s="24"/>
      <c r="H13784" s="24"/>
      <c r="I13784" s="24"/>
      <c r="J13784" s="24"/>
      <c r="K13784" s="24"/>
      <c r="L13784" s="24"/>
      <c r="M13784" s="24"/>
      <c r="N13784" s="24"/>
      <c r="O13784" s="24"/>
      <c r="P13784" s="24"/>
      <c r="Q13784" s="24"/>
      <c r="R13784" s="24"/>
      <c r="S13784" s="24"/>
      <c r="T13784" s="24"/>
      <c r="U13784" s="24"/>
      <c r="V13784" s="24"/>
      <c r="W13784" s="24"/>
      <c r="X13784" s="24"/>
      <c r="Y13784" s="24"/>
      <c r="Z13784" s="24"/>
      <c r="AA13784" s="24"/>
    </row>
    <row r="13785">
      <c r="A13785" s="24"/>
      <c r="B13785" s="25"/>
      <c r="C13785" s="24"/>
      <c r="D13785" s="26"/>
      <c r="E13785" s="24"/>
      <c r="F13785" s="24"/>
      <c r="G13785" s="24"/>
      <c r="H13785" s="24"/>
      <c r="I13785" s="24"/>
      <c r="J13785" s="24"/>
      <c r="K13785" s="24"/>
      <c r="L13785" s="24"/>
      <c r="M13785" s="24"/>
      <c r="N13785" s="24"/>
      <c r="O13785" s="24"/>
      <c r="P13785" s="24"/>
      <c r="Q13785" s="24"/>
      <c r="R13785" s="24"/>
      <c r="S13785" s="24"/>
      <c r="T13785" s="24"/>
      <c r="U13785" s="24"/>
      <c r="V13785" s="24"/>
      <c r="W13785" s="24"/>
      <c r="X13785" s="24"/>
      <c r="Y13785" s="24"/>
      <c r="Z13785" s="24"/>
      <c r="AA13785" s="24"/>
    </row>
    <row r="13786">
      <c r="A13786" s="24"/>
      <c r="B13786" s="25"/>
      <c r="C13786" s="24"/>
      <c r="D13786" s="26"/>
      <c r="E13786" s="24"/>
      <c r="F13786" s="24"/>
      <c r="G13786" s="24"/>
      <c r="H13786" s="24"/>
      <c r="I13786" s="24"/>
      <c r="J13786" s="24"/>
      <c r="K13786" s="24"/>
      <c r="L13786" s="24"/>
      <c r="M13786" s="24"/>
      <c r="N13786" s="24"/>
      <c r="O13786" s="24"/>
      <c r="P13786" s="24"/>
      <c r="Q13786" s="24"/>
      <c r="R13786" s="24"/>
      <c r="S13786" s="24"/>
      <c r="T13786" s="24"/>
      <c r="U13786" s="24"/>
      <c r="V13786" s="24"/>
      <c r="W13786" s="24"/>
      <c r="X13786" s="24"/>
      <c r="Y13786" s="24"/>
      <c r="Z13786" s="24"/>
      <c r="AA13786" s="24"/>
    </row>
    <row r="13787">
      <c r="A13787" s="24"/>
      <c r="B13787" s="25"/>
      <c r="C13787" s="24"/>
      <c r="D13787" s="26"/>
      <c r="E13787" s="24"/>
      <c r="F13787" s="24"/>
      <c r="G13787" s="24"/>
      <c r="H13787" s="24"/>
      <c r="I13787" s="24"/>
      <c r="J13787" s="24"/>
      <c r="K13787" s="24"/>
      <c r="L13787" s="24"/>
      <c r="M13787" s="24"/>
      <c r="N13787" s="24"/>
      <c r="O13787" s="24"/>
      <c r="P13787" s="24"/>
      <c r="Q13787" s="24"/>
      <c r="R13787" s="24"/>
      <c r="S13787" s="24"/>
      <c r="T13787" s="24"/>
      <c r="U13787" s="24"/>
      <c r="V13787" s="24"/>
      <c r="W13787" s="24"/>
      <c r="X13787" s="24"/>
      <c r="Y13787" s="24"/>
      <c r="Z13787" s="24"/>
      <c r="AA13787" s="24"/>
    </row>
    <row r="13788">
      <c r="A13788" s="24"/>
      <c r="B13788" s="25"/>
      <c r="C13788" s="24"/>
      <c r="D13788" s="26"/>
      <c r="E13788" s="24"/>
      <c r="F13788" s="24"/>
      <c r="G13788" s="24"/>
      <c r="H13788" s="24"/>
      <c r="I13788" s="24"/>
      <c r="J13788" s="24"/>
      <c r="K13788" s="24"/>
      <c r="L13788" s="24"/>
      <c r="M13788" s="24"/>
      <c r="N13788" s="24"/>
      <c r="O13788" s="24"/>
      <c r="P13788" s="24"/>
      <c r="Q13788" s="24"/>
      <c r="R13788" s="24"/>
      <c r="S13788" s="24"/>
      <c r="T13788" s="24"/>
      <c r="U13788" s="24"/>
      <c r="V13788" s="24"/>
      <c r="W13788" s="24"/>
      <c r="X13788" s="24"/>
      <c r="Y13788" s="24"/>
      <c r="Z13788" s="24"/>
      <c r="AA13788" s="24"/>
    </row>
    <row r="13789">
      <c r="A13789" s="24"/>
      <c r="B13789" s="25"/>
      <c r="C13789" s="24"/>
      <c r="D13789" s="26"/>
      <c r="E13789" s="24"/>
      <c r="F13789" s="24"/>
      <c r="G13789" s="24"/>
      <c r="H13789" s="24"/>
      <c r="I13789" s="24"/>
      <c r="J13789" s="24"/>
      <c r="K13789" s="24"/>
      <c r="L13789" s="24"/>
      <c r="M13789" s="24"/>
      <c r="N13789" s="24"/>
      <c r="O13789" s="24"/>
      <c r="P13789" s="24"/>
      <c r="Q13789" s="24"/>
      <c r="R13789" s="24"/>
      <c r="S13789" s="24"/>
      <c r="T13789" s="24"/>
      <c r="U13789" s="24"/>
      <c r="V13789" s="24"/>
      <c r="W13789" s="24"/>
      <c r="X13789" s="24"/>
      <c r="Y13789" s="24"/>
      <c r="Z13789" s="24"/>
      <c r="AA13789" s="24"/>
    </row>
    <row r="13790">
      <c r="A13790" s="24"/>
      <c r="B13790" s="25"/>
      <c r="C13790" s="24"/>
      <c r="D13790" s="26"/>
      <c r="E13790" s="24"/>
      <c r="F13790" s="24"/>
      <c r="G13790" s="24"/>
      <c r="H13790" s="24"/>
      <c r="I13790" s="24"/>
      <c r="J13790" s="24"/>
      <c r="K13790" s="24"/>
      <c r="L13790" s="24"/>
      <c r="M13790" s="24"/>
      <c r="N13790" s="24"/>
      <c r="O13790" s="24"/>
      <c r="P13790" s="24"/>
      <c r="Q13790" s="24"/>
      <c r="R13790" s="24"/>
      <c r="S13790" s="24"/>
      <c r="T13790" s="24"/>
      <c r="U13790" s="24"/>
      <c r="V13790" s="24"/>
      <c r="W13790" s="24"/>
      <c r="X13790" s="24"/>
      <c r="Y13790" s="24"/>
      <c r="Z13790" s="24"/>
      <c r="AA13790" s="24"/>
    </row>
    <row r="13791">
      <c r="A13791" s="24"/>
      <c r="B13791" s="25"/>
      <c r="C13791" s="24"/>
      <c r="D13791" s="26"/>
      <c r="E13791" s="24"/>
      <c r="F13791" s="24"/>
      <c r="G13791" s="24"/>
      <c r="H13791" s="24"/>
      <c r="I13791" s="24"/>
      <c r="J13791" s="24"/>
      <c r="K13791" s="24"/>
      <c r="L13791" s="24"/>
      <c r="M13791" s="24"/>
      <c r="N13791" s="24"/>
      <c r="O13791" s="24"/>
      <c r="P13791" s="24"/>
      <c r="Q13791" s="24"/>
      <c r="R13791" s="24"/>
      <c r="S13791" s="24"/>
      <c r="T13791" s="24"/>
      <c r="U13791" s="24"/>
      <c r="V13791" s="24"/>
      <c r="W13791" s="24"/>
      <c r="X13791" s="24"/>
      <c r="Y13791" s="24"/>
      <c r="Z13791" s="24"/>
      <c r="AA13791" s="24"/>
    </row>
    <row r="13792">
      <c r="A13792" s="24"/>
      <c r="B13792" s="25"/>
      <c r="C13792" s="24"/>
      <c r="D13792" s="26"/>
      <c r="E13792" s="24"/>
      <c r="F13792" s="24"/>
      <c r="G13792" s="24"/>
      <c r="H13792" s="24"/>
      <c r="I13792" s="24"/>
      <c r="J13792" s="24"/>
      <c r="K13792" s="24"/>
      <c r="L13792" s="24"/>
      <c r="M13792" s="24"/>
      <c r="N13792" s="24"/>
      <c r="O13792" s="24"/>
      <c r="P13792" s="24"/>
      <c r="Q13792" s="24"/>
      <c r="R13792" s="24"/>
      <c r="S13792" s="24"/>
      <c r="T13792" s="24"/>
      <c r="U13792" s="24"/>
      <c r="V13792" s="24"/>
      <c r="W13792" s="24"/>
      <c r="X13792" s="24"/>
      <c r="Y13792" s="24"/>
      <c r="Z13792" s="24"/>
      <c r="AA13792" s="24"/>
    </row>
    <row r="13793">
      <c r="A13793" s="24"/>
      <c r="B13793" s="25"/>
      <c r="C13793" s="24"/>
      <c r="D13793" s="26"/>
      <c r="E13793" s="24"/>
      <c r="F13793" s="24"/>
      <c r="G13793" s="24"/>
      <c r="H13793" s="24"/>
      <c r="I13793" s="24"/>
      <c r="J13793" s="24"/>
      <c r="K13793" s="24"/>
      <c r="L13793" s="24"/>
      <c r="M13793" s="24"/>
      <c r="N13793" s="24"/>
      <c r="O13793" s="24"/>
      <c r="P13793" s="24"/>
      <c r="Q13793" s="24"/>
      <c r="R13793" s="24"/>
      <c r="S13793" s="24"/>
      <c r="T13793" s="24"/>
      <c r="U13793" s="24"/>
      <c r="V13793" s="24"/>
      <c r="W13793" s="24"/>
      <c r="X13793" s="24"/>
      <c r="Y13793" s="24"/>
      <c r="Z13793" s="24"/>
      <c r="AA13793" s="24"/>
    </row>
    <row r="13794">
      <c r="A13794" s="24"/>
      <c r="B13794" s="25"/>
      <c r="C13794" s="24"/>
      <c r="D13794" s="26"/>
      <c r="E13794" s="24"/>
      <c r="F13794" s="24"/>
      <c r="G13794" s="24"/>
      <c r="H13794" s="24"/>
      <c r="I13794" s="24"/>
      <c r="J13794" s="24"/>
      <c r="K13794" s="24"/>
      <c r="L13794" s="24"/>
      <c r="M13794" s="24"/>
      <c r="N13794" s="24"/>
      <c r="O13794" s="24"/>
      <c r="P13794" s="24"/>
      <c r="Q13794" s="24"/>
      <c r="R13794" s="24"/>
      <c r="S13794" s="24"/>
      <c r="T13794" s="24"/>
      <c r="U13794" s="24"/>
      <c r="V13794" s="24"/>
      <c r="W13794" s="24"/>
      <c r="X13794" s="24"/>
      <c r="Y13794" s="24"/>
      <c r="Z13794" s="24"/>
      <c r="AA13794" s="24"/>
    </row>
    <row r="13795">
      <c r="A13795" s="24"/>
      <c r="B13795" s="25"/>
      <c r="C13795" s="24"/>
      <c r="D13795" s="26"/>
      <c r="E13795" s="24"/>
      <c r="F13795" s="24"/>
      <c r="G13795" s="24"/>
      <c r="H13795" s="24"/>
      <c r="I13795" s="24"/>
      <c r="J13795" s="24"/>
      <c r="K13795" s="24"/>
      <c r="L13795" s="24"/>
      <c r="M13795" s="24"/>
      <c r="N13795" s="24"/>
      <c r="O13795" s="24"/>
      <c r="P13795" s="24"/>
      <c r="Q13795" s="24"/>
      <c r="R13795" s="24"/>
      <c r="S13795" s="24"/>
      <c r="T13795" s="24"/>
      <c r="U13795" s="24"/>
      <c r="V13795" s="24"/>
      <c r="W13795" s="24"/>
      <c r="X13795" s="24"/>
      <c r="Y13795" s="24"/>
      <c r="Z13795" s="24"/>
      <c r="AA13795" s="24"/>
    </row>
    <row r="13796">
      <c r="A13796" s="24"/>
      <c r="B13796" s="25"/>
      <c r="C13796" s="24"/>
      <c r="D13796" s="26"/>
      <c r="E13796" s="24"/>
      <c r="F13796" s="24"/>
      <c r="G13796" s="24"/>
      <c r="H13796" s="24"/>
      <c r="I13796" s="24"/>
      <c r="J13796" s="24"/>
      <c r="K13796" s="24"/>
      <c r="L13796" s="24"/>
      <c r="M13796" s="24"/>
      <c r="N13796" s="24"/>
      <c r="O13796" s="24"/>
      <c r="P13796" s="24"/>
      <c r="Q13796" s="24"/>
      <c r="R13796" s="24"/>
      <c r="S13796" s="24"/>
      <c r="T13796" s="24"/>
      <c r="U13796" s="24"/>
      <c r="V13796" s="24"/>
      <c r="W13796" s="24"/>
      <c r="X13796" s="24"/>
      <c r="Y13796" s="24"/>
      <c r="Z13796" s="24"/>
      <c r="AA13796" s="24"/>
    </row>
    <row r="13797">
      <c r="A13797" s="24"/>
      <c r="B13797" s="25"/>
      <c r="C13797" s="24"/>
      <c r="D13797" s="26"/>
      <c r="E13797" s="24"/>
      <c r="F13797" s="24"/>
      <c r="G13797" s="24"/>
      <c r="H13797" s="24"/>
      <c r="I13797" s="24"/>
      <c r="J13797" s="24"/>
      <c r="K13797" s="24"/>
      <c r="L13797" s="24"/>
      <c r="M13797" s="24"/>
      <c r="N13797" s="24"/>
      <c r="O13797" s="24"/>
      <c r="P13797" s="24"/>
      <c r="Q13797" s="24"/>
      <c r="R13797" s="24"/>
      <c r="S13797" s="24"/>
      <c r="T13797" s="24"/>
      <c r="U13797" s="24"/>
      <c r="V13797" s="24"/>
      <c r="W13797" s="24"/>
      <c r="X13797" s="24"/>
      <c r="Y13797" s="24"/>
      <c r="Z13797" s="24"/>
      <c r="AA13797" s="24"/>
    </row>
    <row r="13798">
      <c r="A13798" s="24"/>
      <c r="B13798" s="25"/>
      <c r="C13798" s="24"/>
      <c r="D13798" s="26"/>
      <c r="E13798" s="24"/>
      <c r="F13798" s="24"/>
      <c r="G13798" s="24"/>
      <c r="H13798" s="24"/>
      <c r="I13798" s="24"/>
      <c r="J13798" s="24"/>
      <c r="K13798" s="24"/>
      <c r="L13798" s="24"/>
      <c r="M13798" s="24"/>
      <c r="N13798" s="24"/>
      <c r="O13798" s="24"/>
      <c r="P13798" s="24"/>
      <c r="Q13798" s="24"/>
      <c r="R13798" s="24"/>
      <c r="S13798" s="24"/>
      <c r="T13798" s="24"/>
      <c r="U13798" s="24"/>
      <c r="V13798" s="24"/>
      <c r="W13798" s="24"/>
      <c r="X13798" s="24"/>
      <c r="Y13798" s="24"/>
      <c r="Z13798" s="24"/>
      <c r="AA13798" s="24"/>
    </row>
    <row r="13799">
      <c r="A13799" s="24"/>
      <c r="B13799" s="25"/>
      <c r="C13799" s="24"/>
      <c r="D13799" s="26"/>
      <c r="E13799" s="24"/>
      <c r="F13799" s="24"/>
      <c r="G13799" s="24"/>
      <c r="H13799" s="24"/>
      <c r="I13799" s="24"/>
      <c r="J13799" s="24"/>
      <c r="K13799" s="24"/>
      <c r="L13799" s="24"/>
      <c r="M13799" s="24"/>
      <c r="N13799" s="24"/>
      <c r="O13799" s="24"/>
      <c r="P13799" s="24"/>
      <c r="Q13799" s="24"/>
      <c r="R13799" s="24"/>
      <c r="S13799" s="24"/>
      <c r="T13799" s="24"/>
      <c r="U13799" s="24"/>
      <c r="V13799" s="24"/>
      <c r="W13799" s="24"/>
      <c r="X13799" s="24"/>
      <c r="Y13799" s="24"/>
      <c r="Z13799" s="24"/>
      <c r="AA13799" s="24"/>
    </row>
    <row r="13800">
      <c r="A13800" s="24"/>
      <c r="B13800" s="25"/>
      <c r="C13800" s="24"/>
      <c r="D13800" s="26"/>
      <c r="E13800" s="24"/>
      <c r="F13800" s="24"/>
      <c r="G13800" s="24"/>
      <c r="H13800" s="24"/>
      <c r="I13800" s="24"/>
      <c r="J13800" s="24"/>
      <c r="K13800" s="24"/>
      <c r="L13800" s="24"/>
      <c r="M13800" s="24"/>
      <c r="N13800" s="24"/>
      <c r="O13800" s="24"/>
      <c r="P13800" s="24"/>
      <c r="Q13800" s="24"/>
      <c r="R13800" s="24"/>
      <c r="S13800" s="24"/>
      <c r="T13800" s="24"/>
      <c r="U13800" s="24"/>
      <c r="V13800" s="24"/>
      <c r="W13800" s="24"/>
      <c r="X13800" s="24"/>
      <c r="Y13800" s="24"/>
      <c r="Z13800" s="24"/>
      <c r="AA13800" s="24"/>
    </row>
    <row r="13801">
      <c r="A13801" s="24"/>
      <c r="B13801" s="25"/>
      <c r="C13801" s="24"/>
      <c r="D13801" s="26"/>
      <c r="E13801" s="24"/>
      <c r="F13801" s="24"/>
      <c r="G13801" s="24"/>
      <c r="H13801" s="24"/>
      <c r="I13801" s="24"/>
      <c r="J13801" s="24"/>
      <c r="K13801" s="24"/>
      <c r="L13801" s="24"/>
      <c r="M13801" s="24"/>
      <c r="N13801" s="24"/>
      <c r="O13801" s="24"/>
      <c r="P13801" s="24"/>
      <c r="Q13801" s="24"/>
      <c r="R13801" s="24"/>
      <c r="S13801" s="24"/>
      <c r="T13801" s="24"/>
      <c r="U13801" s="24"/>
      <c r="V13801" s="24"/>
      <c r="W13801" s="24"/>
      <c r="X13801" s="24"/>
      <c r="Y13801" s="24"/>
      <c r="Z13801" s="24"/>
      <c r="AA13801" s="24"/>
    </row>
    <row r="13802">
      <c r="A13802" s="24"/>
      <c r="B13802" s="25"/>
      <c r="C13802" s="24"/>
      <c r="D13802" s="26"/>
      <c r="E13802" s="24"/>
      <c r="F13802" s="24"/>
      <c r="G13802" s="24"/>
      <c r="H13802" s="24"/>
      <c r="I13802" s="24"/>
      <c r="J13802" s="24"/>
      <c r="K13802" s="24"/>
      <c r="L13802" s="24"/>
      <c r="M13802" s="24"/>
      <c r="N13802" s="24"/>
      <c r="O13802" s="24"/>
      <c r="P13802" s="24"/>
      <c r="Q13802" s="24"/>
      <c r="R13802" s="24"/>
      <c r="S13802" s="24"/>
      <c r="T13802" s="24"/>
      <c r="U13802" s="24"/>
      <c r="V13802" s="24"/>
      <c r="W13802" s="24"/>
      <c r="X13802" s="24"/>
      <c r="Y13802" s="24"/>
      <c r="Z13802" s="24"/>
      <c r="AA13802" s="24"/>
    </row>
    <row r="13803">
      <c r="A13803" s="24"/>
      <c r="B13803" s="25"/>
      <c r="C13803" s="24"/>
      <c r="D13803" s="26"/>
      <c r="E13803" s="24"/>
      <c r="F13803" s="24"/>
      <c r="G13803" s="24"/>
      <c r="H13803" s="24"/>
      <c r="I13803" s="24"/>
      <c r="J13803" s="24"/>
      <c r="K13803" s="24"/>
      <c r="L13803" s="24"/>
      <c r="M13803" s="24"/>
      <c r="N13803" s="24"/>
      <c r="O13803" s="24"/>
      <c r="P13803" s="24"/>
      <c r="Q13803" s="24"/>
      <c r="R13803" s="24"/>
      <c r="S13803" s="24"/>
      <c r="T13803" s="24"/>
      <c r="U13803" s="24"/>
      <c r="V13803" s="24"/>
      <c r="W13803" s="24"/>
      <c r="X13803" s="24"/>
      <c r="Y13803" s="24"/>
      <c r="Z13803" s="24"/>
      <c r="AA13803" s="24"/>
    </row>
    <row r="13804">
      <c r="A13804" s="24"/>
      <c r="B13804" s="25"/>
      <c r="C13804" s="24"/>
      <c r="D13804" s="26"/>
      <c r="E13804" s="24"/>
      <c r="F13804" s="24"/>
      <c r="G13804" s="24"/>
      <c r="H13804" s="24"/>
      <c r="I13804" s="24"/>
      <c r="J13804" s="24"/>
      <c r="K13804" s="24"/>
      <c r="L13804" s="24"/>
      <c r="M13804" s="24"/>
      <c r="N13804" s="24"/>
      <c r="O13804" s="24"/>
      <c r="P13804" s="24"/>
      <c r="Q13804" s="24"/>
      <c r="R13804" s="24"/>
      <c r="S13804" s="24"/>
      <c r="T13804" s="24"/>
      <c r="U13804" s="24"/>
      <c r="V13804" s="24"/>
      <c r="W13804" s="24"/>
      <c r="X13804" s="24"/>
      <c r="Y13804" s="24"/>
      <c r="Z13804" s="24"/>
      <c r="AA13804" s="24"/>
    </row>
    <row r="13805">
      <c r="A13805" s="24"/>
      <c r="B13805" s="25"/>
      <c r="C13805" s="24"/>
      <c r="D13805" s="26"/>
      <c r="E13805" s="24"/>
      <c r="F13805" s="24"/>
      <c r="G13805" s="24"/>
      <c r="H13805" s="24"/>
      <c r="I13805" s="24"/>
      <c r="J13805" s="24"/>
      <c r="K13805" s="24"/>
      <c r="L13805" s="24"/>
      <c r="M13805" s="24"/>
      <c r="N13805" s="24"/>
      <c r="O13805" s="24"/>
      <c r="P13805" s="24"/>
      <c r="Q13805" s="24"/>
      <c r="R13805" s="24"/>
      <c r="S13805" s="24"/>
      <c r="T13805" s="24"/>
      <c r="U13805" s="24"/>
      <c r="V13805" s="24"/>
      <c r="W13805" s="24"/>
      <c r="X13805" s="24"/>
      <c r="Y13805" s="24"/>
      <c r="Z13805" s="24"/>
      <c r="AA13805" s="24"/>
    </row>
    <row r="13806">
      <c r="A13806" s="24"/>
      <c r="B13806" s="25"/>
      <c r="C13806" s="24"/>
      <c r="D13806" s="26"/>
      <c r="E13806" s="24"/>
      <c r="F13806" s="24"/>
      <c r="G13806" s="24"/>
      <c r="H13806" s="24"/>
      <c r="I13806" s="24"/>
      <c r="J13806" s="24"/>
      <c r="K13806" s="24"/>
      <c r="L13806" s="24"/>
      <c r="M13806" s="24"/>
      <c r="N13806" s="24"/>
      <c r="O13806" s="24"/>
      <c r="P13806" s="24"/>
      <c r="Q13806" s="24"/>
      <c r="R13806" s="24"/>
      <c r="S13806" s="24"/>
      <c r="T13806" s="24"/>
      <c r="U13806" s="24"/>
      <c r="V13806" s="24"/>
      <c r="W13806" s="24"/>
      <c r="X13806" s="24"/>
      <c r="Y13806" s="24"/>
      <c r="Z13806" s="24"/>
      <c r="AA13806" s="24"/>
    </row>
    <row r="13807">
      <c r="A13807" s="24"/>
      <c r="B13807" s="25"/>
      <c r="C13807" s="24"/>
      <c r="D13807" s="26"/>
      <c r="E13807" s="24"/>
      <c r="F13807" s="24"/>
      <c r="G13807" s="24"/>
      <c r="H13807" s="24"/>
      <c r="I13807" s="24"/>
      <c r="J13807" s="24"/>
      <c r="K13807" s="24"/>
      <c r="L13807" s="24"/>
      <c r="M13807" s="24"/>
      <c r="N13807" s="24"/>
      <c r="O13807" s="24"/>
      <c r="P13807" s="24"/>
      <c r="Q13807" s="24"/>
      <c r="R13807" s="24"/>
      <c r="S13807" s="24"/>
      <c r="T13807" s="24"/>
      <c r="U13807" s="24"/>
      <c r="V13807" s="24"/>
      <c r="W13807" s="24"/>
      <c r="X13807" s="24"/>
      <c r="Y13807" s="24"/>
      <c r="Z13807" s="24"/>
      <c r="AA13807" s="24"/>
    </row>
    <row r="13808">
      <c r="A13808" s="24"/>
      <c r="B13808" s="25"/>
      <c r="C13808" s="24"/>
      <c r="D13808" s="26"/>
      <c r="E13808" s="24"/>
      <c r="F13808" s="24"/>
      <c r="G13808" s="24"/>
      <c r="H13808" s="24"/>
      <c r="I13808" s="24"/>
      <c r="J13808" s="24"/>
      <c r="K13808" s="24"/>
      <c r="L13808" s="24"/>
      <c r="M13808" s="24"/>
      <c r="N13808" s="24"/>
      <c r="O13808" s="24"/>
      <c r="P13808" s="24"/>
      <c r="Q13808" s="24"/>
      <c r="R13808" s="24"/>
      <c r="S13808" s="24"/>
      <c r="T13808" s="24"/>
      <c r="U13808" s="24"/>
      <c r="V13808" s="24"/>
      <c r="W13808" s="24"/>
      <c r="X13808" s="24"/>
      <c r="Y13808" s="24"/>
      <c r="Z13808" s="24"/>
      <c r="AA13808" s="24"/>
    </row>
    <row r="13809">
      <c r="A13809" s="24"/>
      <c r="B13809" s="25"/>
      <c r="C13809" s="24"/>
      <c r="D13809" s="26"/>
      <c r="E13809" s="24"/>
      <c r="F13809" s="24"/>
      <c r="G13809" s="24"/>
      <c r="H13809" s="24"/>
      <c r="I13809" s="24"/>
      <c r="J13809" s="24"/>
      <c r="K13809" s="24"/>
      <c r="L13809" s="24"/>
      <c r="M13809" s="24"/>
      <c r="N13809" s="24"/>
      <c r="O13809" s="24"/>
      <c r="P13809" s="24"/>
      <c r="Q13809" s="24"/>
      <c r="R13809" s="24"/>
      <c r="S13809" s="24"/>
      <c r="T13809" s="24"/>
      <c r="U13809" s="24"/>
      <c r="V13809" s="24"/>
      <c r="W13809" s="24"/>
      <c r="X13809" s="24"/>
      <c r="Y13809" s="24"/>
      <c r="Z13809" s="24"/>
      <c r="AA13809" s="24"/>
    </row>
    <row r="13810">
      <c r="A13810" s="24"/>
      <c r="B13810" s="25"/>
      <c r="C13810" s="24"/>
      <c r="D13810" s="26"/>
      <c r="E13810" s="24"/>
      <c r="F13810" s="24"/>
      <c r="G13810" s="24"/>
      <c r="H13810" s="24"/>
      <c r="I13810" s="24"/>
      <c r="J13810" s="24"/>
      <c r="K13810" s="24"/>
      <c r="L13810" s="24"/>
      <c r="M13810" s="24"/>
      <c r="N13810" s="24"/>
      <c r="O13810" s="24"/>
      <c r="P13810" s="24"/>
      <c r="Q13810" s="24"/>
      <c r="R13810" s="24"/>
      <c r="S13810" s="24"/>
      <c r="T13810" s="24"/>
      <c r="U13810" s="24"/>
      <c r="V13810" s="24"/>
      <c r="W13810" s="24"/>
      <c r="X13810" s="24"/>
      <c r="Y13810" s="24"/>
      <c r="Z13810" s="24"/>
      <c r="AA13810" s="24"/>
    </row>
    <row r="13811">
      <c r="A13811" s="24"/>
      <c r="B13811" s="25"/>
      <c r="C13811" s="24"/>
      <c r="D13811" s="26"/>
      <c r="E13811" s="24"/>
      <c r="F13811" s="24"/>
      <c r="G13811" s="24"/>
      <c r="H13811" s="24"/>
      <c r="I13811" s="24"/>
      <c r="J13811" s="24"/>
      <c r="K13811" s="24"/>
      <c r="L13811" s="24"/>
      <c r="M13811" s="24"/>
      <c r="N13811" s="24"/>
      <c r="O13811" s="24"/>
      <c r="P13811" s="24"/>
      <c r="Q13811" s="24"/>
      <c r="R13811" s="24"/>
      <c r="S13811" s="24"/>
      <c r="T13811" s="24"/>
      <c r="U13811" s="24"/>
      <c r="V13811" s="24"/>
      <c r="W13811" s="24"/>
      <c r="X13811" s="24"/>
      <c r="Y13811" s="24"/>
      <c r="Z13811" s="24"/>
      <c r="AA13811" s="24"/>
    </row>
    <row r="13812">
      <c r="A13812" s="24"/>
      <c r="B13812" s="25"/>
      <c r="C13812" s="24"/>
      <c r="D13812" s="26"/>
      <c r="E13812" s="24"/>
      <c r="F13812" s="24"/>
      <c r="G13812" s="24"/>
      <c r="H13812" s="24"/>
      <c r="I13812" s="24"/>
      <c r="J13812" s="24"/>
      <c r="K13812" s="24"/>
      <c r="L13812" s="24"/>
      <c r="M13812" s="24"/>
      <c r="N13812" s="24"/>
      <c r="O13812" s="24"/>
      <c r="P13812" s="24"/>
      <c r="Q13812" s="24"/>
      <c r="R13812" s="24"/>
      <c r="S13812" s="24"/>
      <c r="T13812" s="24"/>
      <c r="U13812" s="24"/>
      <c r="V13812" s="24"/>
      <c r="W13812" s="24"/>
      <c r="X13812" s="24"/>
      <c r="Y13812" s="24"/>
      <c r="Z13812" s="24"/>
      <c r="AA13812" s="24"/>
    </row>
    <row r="13813">
      <c r="A13813" s="24"/>
      <c r="B13813" s="25"/>
      <c r="C13813" s="24"/>
      <c r="D13813" s="26"/>
      <c r="E13813" s="24"/>
      <c r="F13813" s="24"/>
      <c r="G13813" s="24"/>
      <c r="H13813" s="24"/>
      <c r="I13813" s="24"/>
      <c r="J13813" s="24"/>
      <c r="K13813" s="24"/>
      <c r="L13813" s="24"/>
      <c r="M13813" s="24"/>
      <c r="N13813" s="24"/>
      <c r="O13813" s="24"/>
      <c r="P13813" s="24"/>
      <c r="Q13813" s="24"/>
      <c r="R13813" s="24"/>
      <c r="S13813" s="24"/>
      <c r="T13813" s="24"/>
      <c r="U13813" s="24"/>
      <c r="V13813" s="24"/>
      <c r="W13813" s="24"/>
      <c r="X13813" s="24"/>
      <c r="Y13813" s="24"/>
      <c r="Z13813" s="24"/>
      <c r="AA13813" s="24"/>
    </row>
    <row r="13814">
      <c r="A13814" s="24"/>
      <c r="B13814" s="25"/>
      <c r="C13814" s="24"/>
      <c r="D13814" s="26"/>
      <c r="E13814" s="24"/>
      <c r="F13814" s="24"/>
      <c r="G13814" s="24"/>
      <c r="H13814" s="24"/>
      <c r="I13814" s="24"/>
      <c r="J13814" s="24"/>
      <c r="K13814" s="24"/>
      <c r="L13814" s="24"/>
      <c r="M13814" s="24"/>
      <c r="N13814" s="24"/>
      <c r="O13814" s="24"/>
      <c r="P13814" s="24"/>
      <c r="Q13814" s="24"/>
      <c r="R13814" s="24"/>
      <c r="S13814" s="24"/>
      <c r="T13814" s="24"/>
      <c r="U13814" s="24"/>
      <c r="V13814" s="24"/>
      <c r="W13814" s="24"/>
      <c r="X13814" s="24"/>
      <c r="Y13814" s="24"/>
      <c r="Z13814" s="24"/>
      <c r="AA13814" s="24"/>
    </row>
    <row r="13815">
      <c r="A13815" s="24"/>
      <c r="B13815" s="25"/>
      <c r="C13815" s="24"/>
      <c r="D13815" s="26"/>
      <c r="E13815" s="24"/>
      <c r="F13815" s="24"/>
      <c r="G13815" s="24"/>
      <c r="H13815" s="24"/>
      <c r="I13815" s="24"/>
      <c r="J13815" s="24"/>
      <c r="K13815" s="24"/>
      <c r="L13815" s="24"/>
      <c r="M13815" s="24"/>
      <c r="N13815" s="24"/>
      <c r="O13815" s="24"/>
      <c r="P13815" s="24"/>
      <c r="Q13815" s="24"/>
      <c r="R13815" s="24"/>
      <c r="S13815" s="24"/>
      <c r="T13815" s="24"/>
      <c r="U13815" s="24"/>
      <c r="V13815" s="24"/>
      <c r="W13815" s="24"/>
      <c r="X13815" s="24"/>
      <c r="Y13815" s="24"/>
      <c r="Z13815" s="24"/>
      <c r="AA13815" s="24"/>
    </row>
    <row r="13816">
      <c r="A13816" s="24"/>
      <c r="B13816" s="25"/>
      <c r="C13816" s="24"/>
      <c r="D13816" s="26"/>
      <c r="E13816" s="24"/>
      <c r="F13816" s="24"/>
      <c r="G13816" s="24"/>
      <c r="H13816" s="24"/>
      <c r="I13816" s="24"/>
      <c r="J13816" s="24"/>
      <c r="K13816" s="24"/>
      <c r="L13816" s="24"/>
      <c r="M13816" s="24"/>
      <c r="N13816" s="24"/>
      <c r="O13816" s="24"/>
      <c r="P13816" s="24"/>
      <c r="Q13816" s="24"/>
      <c r="R13816" s="24"/>
      <c r="S13816" s="24"/>
      <c r="T13816" s="24"/>
      <c r="U13816" s="24"/>
      <c r="V13816" s="24"/>
      <c r="W13816" s="24"/>
      <c r="X13816" s="24"/>
      <c r="Y13816" s="24"/>
      <c r="Z13816" s="24"/>
      <c r="AA13816" s="24"/>
    </row>
    <row r="13817">
      <c r="A13817" s="24"/>
      <c r="B13817" s="25"/>
      <c r="C13817" s="24"/>
      <c r="D13817" s="26"/>
      <c r="E13817" s="24"/>
      <c r="F13817" s="24"/>
      <c r="G13817" s="24"/>
      <c r="H13817" s="24"/>
      <c r="I13817" s="24"/>
      <c r="J13817" s="24"/>
      <c r="K13817" s="24"/>
      <c r="L13817" s="24"/>
      <c r="M13817" s="24"/>
      <c r="N13817" s="24"/>
      <c r="O13817" s="24"/>
      <c r="P13817" s="24"/>
      <c r="Q13817" s="24"/>
      <c r="R13817" s="24"/>
      <c r="S13817" s="24"/>
      <c r="T13817" s="24"/>
      <c r="U13817" s="24"/>
      <c r="V13817" s="24"/>
      <c r="W13817" s="24"/>
      <c r="X13817" s="24"/>
      <c r="Y13817" s="24"/>
      <c r="Z13817" s="24"/>
      <c r="AA13817" s="24"/>
    </row>
    <row r="13818">
      <c r="A13818" s="24"/>
      <c r="B13818" s="25"/>
      <c r="C13818" s="24"/>
      <c r="D13818" s="26"/>
      <c r="E13818" s="24"/>
      <c r="F13818" s="24"/>
      <c r="G13818" s="24"/>
      <c r="H13818" s="24"/>
      <c r="I13818" s="24"/>
      <c r="J13818" s="24"/>
      <c r="K13818" s="24"/>
      <c r="L13818" s="24"/>
      <c r="M13818" s="24"/>
      <c r="N13818" s="24"/>
      <c r="O13818" s="24"/>
      <c r="P13818" s="24"/>
      <c r="Q13818" s="24"/>
      <c r="R13818" s="24"/>
      <c r="S13818" s="24"/>
      <c r="T13818" s="24"/>
      <c r="U13818" s="24"/>
      <c r="V13818" s="24"/>
      <c r="W13818" s="24"/>
      <c r="X13818" s="24"/>
      <c r="Y13818" s="24"/>
      <c r="Z13818" s="24"/>
      <c r="AA13818" s="24"/>
    </row>
    <row r="13819">
      <c r="A13819" s="24"/>
      <c r="B13819" s="25"/>
      <c r="C13819" s="24"/>
      <c r="D13819" s="26"/>
      <c r="E13819" s="24"/>
      <c r="F13819" s="24"/>
      <c r="G13819" s="24"/>
      <c r="H13819" s="24"/>
      <c r="I13819" s="24"/>
      <c r="J13819" s="24"/>
      <c r="K13819" s="24"/>
      <c r="L13819" s="24"/>
      <c r="M13819" s="24"/>
      <c r="N13819" s="24"/>
      <c r="O13819" s="24"/>
      <c r="P13819" s="24"/>
      <c r="Q13819" s="24"/>
      <c r="R13819" s="24"/>
      <c r="S13819" s="24"/>
      <c r="T13819" s="24"/>
      <c r="U13819" s="24"/>
      <c r="V13819" s="24"/>
      <c r="W13819" s="24"/>
      <c r="X13819" s="24"/>
      <c r="Y13819" s="24"/>
      <c r="Z13819" s="24"/>
      <c r="AA13819" s="24"/>
    </row>
    <row r="13820">
      <c r="A13820" s="24"/>
      <c r="B13820" s="25"/>
      <c r="C13820" s="24"/>
      <c r="D13820" s="26"/>
      <c r="E13820" s="24"/>
      <c r="F13820" s="24"/>
      <c r="G13820" s="24"/>
      <c r="H13820" s="24"/>
      <c r="I13820" s="24"/>
      <c r="J13820" s="24"/>
      <c r="K13820" s="24"/>
      <c r="L13820" s="24"/>
      <c r="M13820" s="24"/>
      <c r="N13820" s="24"/>
      <c r="O13820" s="24"/>
      <c r="P13820" s="24"/>
      <c r="Q13820" s="24"/>
      <c r="R13820" s="24"/>
      <c r="S13820" s="24"/>
      <c r="T13820" s="24"/>
      <c r="U13820" s="24"/>
      <c r="V13820" s="24"/>
      <c r="W13820" s="24"/>
      <c r="X13820" s="24"/>
      <c r="Y13820" s="24"/>
      <c r="Z13820" s="24"/>
      <c r="AA13820" s="24"/>
    </row>
    <row r="13821">
      <c r="A13821" s="24"/>
      <c r="B13821" s="25"/>
      <c r="C13821" s="24"/>
      <c r="D13821" s="26"/>
      <c r="E13821" s="24"/>
      <c r="F13821" s="24"/>
      <c r="G13821" s="24"/>
      <c r="H13821" s="24"/>
      <c r="I13821" s="24"/>
      <c r="J13821" s="24"/>
      <c r="K13821" s="24"/>
      <c r="L13821" s="24"/>
      <c r="M13821" s="24"/>
      <c r="N13821" s="24"/>
      <c r="O13821" s="24"/>
      <c r="P13821" s="24"/>
      <c r="Q13821" s="24"/>
      <c r="R13821" s="24"/>
      <c r="S13821" s="24"/>
      <c r="T13821" s="24"/>
      <c r="U13821" s="24"/>
      <c r="V13821" s="24"/>
      <c r="W13821" s="24"/>
      <c r="X13821" s="24"/>
      <c r="Y13821" s="24"/>
      <c r="Z13821" s="24"/>
      <c r="AA13821" s="24"/>
    </row>
    <row r="13822">
      <c r="A13822" s="24"/>
      <c r="B13822" s="25"/>
      <c r="C13822" s="24"/>
      <c r="D13822" s="26"/>
      <c r="E13822" s="24"/>
      <c r="F13822" s="24"/>
      <c r="G13822" s="24"/>
      <c r="H13822" s="24"/>
      <c r="I13822" s="24"/>
      <c r="J13822" s="24"/>
      <c r="K13822" s="24"/>
      <c r="L13822" s="24"/>
      <c r="M13822" s="24"/>
      <c r="N13822" s="24"/>
      <c r="O13822" s="24"/>
      <c r="P13822" s="24"/>
      <c r="Q13822" s="24"/>
      <c r="R13822" s="24"/>
      <c r="S13822" s="24"/>
      <c r="T13822" s="24"/>
      <c r="U13822" s="24"/>
      <c r="V13822" s="24"/>
      <c r="W13822" s="24"/>
      <c r="X13822" s="24"/>
      <c r="Y13822" s="24"/>
      <c r="Z13822" s="24"/>
      <c r="AA13822" s="24"/>
    </row>
    <row r="13823">
      <c r="A13823" s="24"/>
      <c r="B13823" s="25"/>
      <c r="C13823" s="24"/>
      <c r="D13823" s="26"/>
      <c r="E13823" s="24"/>
      <c r="F13823" s="24"/>
      <c r="G13823" s="24"/>
      <c r="H13823" s="24"/>
      <c r="I13823" s="24"/>
      <c r="J13823" s="24"/>
      <c r="K13823" s="24"/>
      <c r="L13823" s="24"/>
      <c r="M13823" s="24"/>
      <c r="N13823" s="24"/>
      <c r="O13823" s="24"/>
      <c r="P13823" s="24"/>
      <c r="Q13823" s="24"/>
      <c r="R13823" s="24"/>
      <c r="S13823" s="24"/>
      <c r="T13823" s="24"/>
      <c r="U13823" s="24"/>
      <c r="V13823" s="24"/>
      <c r="W13823" s="24"/>
      <c r="X13823" s="24"/>
      <c r="Y13823" s="24"/>
      <c r="Z13823" s="24"/>
      <c r="AA13823" s="24"/>
    </row>
    <row r="13824">
      <c r="A13824" s="24"/>
      <c r="B13824" s="25"/>
      <c r="C13824" s="24"/>
      <c r="D13824" s="26"/>
      <c r="E13824" s="24"/>
      <c r="F13824" s="24"/>
      <c r="G13824" s="24"/>
      <c r="H13824" s="24"/>
      <c r="I13824" s="24"/>
      <c r="J13824" s="24"/>
      <c r="K13824" s="24"/>
      <c r="L13824" s="24"/>
      <c r="M13824" s="24"/>
      <c r="N13824" s="24"/>
      <c r="O13824" s="24"/>
      <c r="P13824" s="24"/>
      <c r="Q13824" s="24"/>
      <c r="R13824" s="24"/>
      <c r="S13824" s="24"/>
      <c r="T13824" s="24"/>
      <c r="U13824" s="24"/>
      <c r="V13824" s="24"/>
      <c r="W13824" s="24"/>
      <c r="X13824" s="24"/>
      <c r="Y13824" s="24"/>
      <c r="Z13824" s="24"/>
      <c r="AA13824" s="24"/>
    </row>
    <row r="13825">
      <c r="A13825" s="24"/>
      <c r="B13825" s="25"/>
      <c r="C13825" s="24"/>
      <c r="D13825" s="26"/>
      <c r="E13825" s="24"/>
      <c r="F13825" s="24"/>
      <c r="G13825" s="24"/>
      <c r="H13825" s="24"/>
      <c r="I13825" s="24"/>
      <c r="J13825" s="24"/>
      <c r="K13825" s="24"/>
      <c r="L13825" s="24"/>
      <c r="M13825" s="24"/>
      <c r="N13825" s="24"/>
      <c r="O13825" s="24"/>
      <c r="P13825" s="24"/>
      <c r="Q13825" s="24"/>
      <c r="R13825" s="24"/>
      <c r="S13825" s="24"/>
      <c r="T13825" s="24"/>
      <c r="U13825" s="24"/>
      <c r="V13825" s="24"/>
      <c r="W13825" s="24"/>
      <c r="X13825" s="24"/>
      <c r="Y13825" s="24"/>
      <c r="Z13825" s="24"/>
      <c r="AA13825" s="24"/>
    </row>
    <row r="13826">
      <c r="A13826" s="24"/>
      <c r="B13826" s="25"/>
      <c r="C13826" s="24"/>
      <c r="D13826" s="26"/>
      <c r="E13826" s="24"/>
      <c r="F13826" s="24"/>
      <c r="G13826" s="24"/>
      <c r="H13826" s="24"/>
      <c r="I13826" s="24"/>
      <c r="J13826" s="24"/>
      <c r="K13826" s="24"/>
      <c r="L13826" s="24"/>
      <c r="M13826" s="24"/>
      <c r="N13826" s="24"/>
      <c r="O13826" s="24"/>
      <c r="P13826" s="24"/>
      <c r="Q13826" s="24"/>
      <c r="R13826" s="24"/>
      <c r="S13826" s="24"/>
      <c r="T13826" s="24"/>
      <c r="U13826" s="24"/>
      <c r="V13826" s="24"/>
      <c r="W13826" s="24"/>
      <c r="X13826" s="24"/>
      <c r="Y13826" s="24"/>
      <c r="Z13826" s="24"/>
      <c r="AA13826" s="24"/>
    </row>
    <row r="13827">
      <c r="A13827" s="24"/>
      <c r="B13827" s="25"/>
      <c r="C13827" s="24"/>
      <c r="D13827" s="26"/>
      <c r="E13827" s="24"/>
      <c r="F13827" s="24"/>
      <c r="G13827" s="24"/>
      <c r="H13827" s="24"/>
      <c r="I13827" s="24"/>
      <c r="J13827" s="24"/>
      <c r="K13827" s="24"/>
      <c r="L13827" s="24"/>
      <c r="M13827" s="24"/>
      <c r="N13827" s="24"/>
      <c r="O13827" s="24"/>
      <c r="P13827" s="24"/>
      <c r="Q13827" s="24"/>
      <c r="R13827" s="24"/>
      <c r="S13827" s="24"/>
      <c r="T13827" s="24"/>
      <c r="U13827" s="24"/>
      <c r="V13827" s="24"/>
      <c r="W13827" s="24"/>
      <c r="X13827" s="24"/>
      <c r="Y13827" s="24"/>
      <c r="Z13827" s="24"/>
      <c r="AA13827" s="24"/>
    </row>
    <row r="13828">
      <c r="A13828" s="24"/>
      <c r="B13828" s="25"/>
      <c r="C13828" s="24"/>
      <c r="D13828" s="26"/>
      <c r="E13828" s="24"/>
      <c r="F13828" s="24"/>
      <c r="G13828" s="24"/>
      <c r="H13828" s="24"/>
      <c r="I13828" s="24"/>
      <c r="J13828" s="24"/>
      <c r="K13828" s="24"/>
      <c r="L13828" s="24"/>
      <c r="M13828" s="24"/>
      <c r="N13828" s="24"/>
      <c r="O13828" s="24"/>
      <c r="P13828" s="24"/>
      <c r="Q13828" s="24"/>
      <c r="R13828" s="24"/>
      <c r="S13828" s="24"/>
      <c r="T13828" s="24"/>
      <c r="U13828" s="24"/>
      <c r="V13828" s="24"/>
      <c r="W13828" s="24"/>
      <c r="X13828" s="24"/>
      <c r="Y13828" s="24"/>
      <c r="Z13828" s="24"/>
      <c r="AA13828" s="24"/>
    </row>
    <row r="13829">
      <c r="A13829" s="24"/>
      <c r="B13829" s="25"/>
      <c r="C13829" s="24"/>
      <c r="D13829" s="26"/>
      <c r="E13829" s="24"/>
      <c r="F13829" s="24"/>
      <c r="G13829" s="24"/>
      <c r="H13829" s="24"/>
      <c r="I13829" s="24"/>
      <c r="J13829" s="24"/>
      <c r="K13829" s="24"/>
      <c r="L13829" s="24"/>
      <c r="M13829" s="24"/>
      <c r="N13829" s="24"/>
      <c r="O13829" s="24"/>
      <c r="P13829" s="24"/>
      <c r="Q13829" s="24"/>
      <c r="R13829" s="24"/>
      <c r="S13829" s="24"/>
      <c r="T13829" s="24"/>
      <c r="U13829" s="24"/>
      <c r="V13829" s="24"/>
      <c r="W13829" s="24"/>
      <c r="X13829" s="24"/>
      <c r="Y13829" s="24"/>
      <c r="Z13829" s="24"/>
      <c r="AA13829" s="24"/>
    </row>
    <row r="13830">
      <c r="A13830" s="24"/>
      <c r="B13830" s="25"/>
      <c r="C13830" s="24"/>
      <c r="D13830" s="26"/>
      <c r="E13830" s="24"/>
      <c r="F13830" s="24"/>
      <c r="G13830" s="24"/>
      <c r="H13830" s="24"/>
      <c r="I13830" s="24"/>
      <c r="J13830" s="24"/>
      <c r="K13830" s="24"/>
      <c r="L13830" s="24"/>
      <c r="M13830" s="24"/>
      <c r="N13830" s="24"/>
      <c r="O13830" s="24"/>
      <c r="P13830" s="24"/>
      <c r="Q13830" s="24"/>
      <c r="R13830" s="24"/>
      <c r="S13830" s="24"/>
      <c r="T13830" s="24"/>
      <c r="U13830" s="24"/>
      <c r="V13830" s="24"/>
      <c r="W13830" s="24"/>
      <c r="X13830" s="24"/>
      <c r="Y13830" s="24"/>
      <c r="Z13830" s="24"/>
      <c r="AA13830" s="24"/>
    </row>
    <row r="13831">
      <c r="A13831" s="24"/>
      <c r="B13831" s="25"/>
      <c r="C13831" s="24"/>
      <c r="D13831" s="26"/>
      <c r="E13831" s="24"/>
      <c r="F13831" s="24"/>
      <c r="G13831" s="24"/>
      <c r="H13831" s="24"/>
      <c r="I13831" s="24"/>
      <c r="J13831" s="24"/>
      <c r="K13831" s="24"/>
      <c r="L13831" s="24"/>
      <c r="M13831" s="24"/>
      <c r="N13831" s="24"/>
      <c r="O13831" s="24"/>
      <c r="P13831" s="24"/>
      <c r="Q13831" s="24"/>
      <c r="R13831" s="24"/>
      <c r="S13831" s="24"/>
      <c r="T13831" s="24"/>
      <c r="U13831" s="24"/>
      <c r="V13831" s="24"/>
      <c r="W13831" s="24"/>
      <c r="X13831" s="24"/>
      <c r="Y13831" s="24"/>
      <c r="Z13831" s="24"/>
      <c r="AA13831" s="24"/>
    </row>
    <row r="13832">
      <c r="A13832" s="24"/>
      <c r="B13832" s="25"/>
      <c r="C13832" s="24"/>
      <c r="D13832" s="26"/>
      <c r="E13832" s="24"/>
      <c r="F13832" s="24"/>
      <c r="G13832" s="24"/>
      <c r="H13832" s="24"/>
      <c r="I13832" s="24"/>
      <c r="J13832" s="24"/>
      <c r="K13832" s="24"/>
      <c r="L13832" s="24"/>
      <c r="M13832" s="24"/>
      <c r="N13832" s="24"/>
      <c r="O13832" s="24"/>
      <c r="P13832" s="24"/>
      <c r="Q13832" s="24"/>
      <c r="R13832" s="24"/>
      <c r="S13832" s="24"/>
      <c r="T13832" s="24"/>
      <c r="U13832" s="24"/>
      <c r="V13832" s="24"/>
      <c r="W13832" s="24"/>
      <c r="X13832" s="24"/>
      <c r="Y13832" s="24"/>
      <c r="Z13832" s="24"/>
      <c r="AA13832" s="24"/>
    </row>
    <row r="13833">
      <c r="A13833" s="24"/>
      <c r="B13833" s="25"/>
      <c r="C13833" s="24"/>
      <c r="D13833" s="26"/>
      <c r="E13833" s="24"/>
      <c r="F13833" s="24"/>
      <c r="G13833" s="24"/>
      <c r="H13833" s="24"/>
      <c r="I13833" s="24"/>
      <c r="J13833" s="24"/>
      <c r="K13833" s="24"/>
      <c r="L13833" s="24"/>
      <c r="M13833" s="24"/>
      <c r="N13833" s="24"/>
      <c r="O13833" s="24"/>
      <c r="P13833" s="24"/>
      <c r="Q13833" s="24"/>
      <c r="R13833" s="24"/>
      <c r="S13833" s="24"/>
      <c r="T13833" s="24"/>
      <c r="U13833" s="24"/>
      <c r="V13833" s="24"/>
      <c r="W13833" s="24"/>
      <c r="X13833" s="24"/>
      <c r="Y13833" s="24"/>
      <c r="Z13833" s="24"/>
      <c r="AA13833" s="24"/>
    </row>
    <row r="13834">
      <c r="A13834" s="24"/>
      <c r="B13834" s="25"/>
      <c r="C13834" s="24"/>
      <c r="D13834" s="26"/>
      <c r="E13834" s="24"/>
      <c r="F13834" s="24"/>
      <c r="G13834" s="24"/>
      <c r="H13834" s="24"/>
      <c r="I13834" s="24"/>
      <c r="J13834" s="24"/>
      <c r="K13834" s="24"/>
      <c r="L13834" s="24"/>
      <c r="M13834" s="24"/>
      <c r="N13834" s="24"/>
      <c r="O13834" s="24"/>
      <c r="P13834" s="24"/>
      <c r="Q13834" s="24"/>
      <c r="R13834" s="24"/>
      <c r="S13834" s="24"/>
      <c r="T13834" s="24"/>
      <c r="U13834" s="24"/>
      <c r="V13834" s="24"/>
      <c r="W13834" s="24"/>
      <c r="X13834" s="24"/>
      <c r="Y13834" s="24"/>
      <c r="Z13834" s="24"/>
      <c r="AA13834" s="24"/>
    </row>
    <row r="13835">
      <c r="A13835" s="24"/>
      <c r="B13835" s="25"/>
      <c r="C13835" s="24"/>
      <c r="D13835" s="26"/>
      <c r="E13835" s="24"/>
      <c r="F13835" s="24"/>
      <c r="G13835" s="24"/>
      <c r="H13835" s="24"/>
      <c r="I13835" s="24"/>
      <c r="J13835" s="24"/>
      <c r="K13835" s="24"/>
      <c r="L13835" s="24"/>
      <c r="M13835" s="24"/>
      <c r="N13835" s="24"/>
      <c r="O13835" s="24"/>
      <c r="P13835" s="24"/>
      <c r="Q13835" s="24"/>
      <c r="R13835" s="24"/>
      <c r="S13835" s="24"/>
      <c r="T13835" s="24"/>
      <c r="U13835" s="24"/>
      <c r="V13835" s="24"/>
      <c r="W13835" s="24"/>
      <c r="X13835" s="24"/>
      <c r="Y13835" s="24"/>
      <c r="Z13835" s="24"/>
      <c r="AA13835" s="24"/>
    </row>
    <row r="13836">
      <c r="A13836" s="24"/>
      <c r="B13836" s="25"/>
      <c r="C13836" s="24"/>
      <c r="D13836" s="26"/>
      <c r="E13836" s="24"/>
      <c r="F13836" s="24"/>
      <c r="G13836" s="24"/>
      <c r="H13836" s="24"/>
      <c r="I13836" s="24"/>
      <c r="J13836" s="24"/>
      <c r="K13836" s="24"/>
      <c r="L13836" s="24"/>
      <c r="M13836" s="24"/>
      <c r="N13836" s="24"/>
      <c r="O13836" s="24"/>
      <c r="P13836" s="24"/>
      <c r="Q13836" s="24"/>
      <c r="R13836" s="24"/>
      <c r="S13836" s="24"/>
      <c r="T13836" s="24"/>
      <c r="U13836" s="24"/>
      <c r="V13836" s="24"/>
      <c r="W13836" s="24"/>
      <c r="X13836" s="24"/>
      <c r="Y13836" s="24"/>
      <c r="Z13836" s="24"/>
      <c r="AA13836" s="24"/>
    </row>
    <row r="13837">
      <c r="A13837" s="24"/>
      <c r="B13837" s="25"/>
      <c r="C13837" s="24"/>
      <c r="D13837" s="26"/>
      <c r="E13837" s="24"/>
      <c r="F13837" s="24"/>
      <c r="G13837" s="24"/>
      <c r="H13837" s="24"/>
      <c r="I13837" s="24"/>
      <c r="J13837" s="24"/>
      <c r="K13837" s="24"/>
      <c r="L13837" s="24"/>
      <c r="M13837" s="24"/>
      <c r="N13837" s="24"/>
      <c r="O13837" s="24"/>
      <c r="P13837" s="24"/>
      <c r="Q13837" s="24"/>
      <c r="R13837" s="24"/>
      <c r="S13837" s="24"/>
      <c r="T13837" s="24"/>
      <c r="U13837" s="24"/>
      <c r="V13837" s="24"/>
      <c r="W13837" s="24"/>
      <c r="X13837" s="24"/>
      <c r="Y13837" s="24"/>
      <c r="Z13837" s="24"/>
      <c r="AA13837" s="24"/>
    </row>
    <row r="13838">
      <c r="A13838" s="24"/>
      <c r="B13838" s="25"/>
      <c r="C13838" s="24"/>
      <c r="D13838" s="26"/>
      <c r="E13838" s="24"/>
      <c r="F13838" s="24"/>
      <c r="G13838" s="24"/>
      <c r="H13838" s="24"/>
      <c r="I13838" s="24"/>
      <c r="J13838" s="24"/>
      <c r="K13838" s="24"/>
      <c r="L13838" s="24"/>
      <c r="M13838" s="24"/>
      <c r="N13838" s="24"/>
      <c r="O13838" s="24"/>
      <c r="P13838" s="24"/>
      <c r="Q13838" s="24"/>
      <c r="R13838" s="24"/>
      <c r="S13838" s="24"/>
      <c r="T13838" s="24"/>
      <c r="U13838" s="24"/>
      <c r="V13838" s="24"/>
      <c r="W13838" s="24"/>
      <c r="X13838" s="24"/>
      <c r="Y13838" s="24"/>
      <c r="Z13838" s="24"/>
      <c r="AA13838" s="24"/>
    </row>
    <row r="13839">
      <c r="A13839" s="24"/>
      <c r="B13839" s="25"/>
      <c r="C13839" s="24"/>
      <c r="D13839" s="26"/>
      <c r="E13839" s="24"/>
      <c r="F13839" s="24"/>
      <c r="G13839" s="24"/>
      <c r="H13839" s="24"/>
      <c r="I13839" s="24"/>
      <c r="J13839" s="24"/>
      <c r="K13839" s="24"/>
      <c r="L13839" s="24"/>
      <c r="M13839" s="24"/>
      <c r="N13839" s="24"/>
      <c r="O13839" s="24"/>
      <c r="P13839" s="24"/>
      <c r="Q13839" s="24"/>
      <c r="R13839" s="24"/>
      <c r="S13839" s="24"/>
      <c r="T13839" s="24"/>
      <c r="U13839" s="24"/>
      <c r="V13839" s="24"/>
      <c r="W13839" s="24"/>
      <c r="X13839" s="24"/>
      <c r="Y13839" s="24"/>
      <c r="Z13839" s="24"/>
      <c r="AA13839" s="24"/>
    </row>
    <row r="13840">
      <c r="A13840" s="24"/>
      <c r="B13840" s="25"/>
      <c r="C13840" s="24"/>
      <c r="D13840" s="26"/>
      <c r="E13840" s="24"/>
      <c r="F13840" s="24"/>
      <c r="G13840" s="24"/>
      <c r="H13840" s="24"/>
      <c r="I13840" s="24"/>
      <c r="J13840" s="24"/>
      <c r="K13840" s="24"/>
      <c r="L13840" s="24"/>
      <c r="M13840" s="24"/>
      <c r="N13840" s="24"/>
      <c r="O13840" s="24"/>
      <c r="P13840" s="24"/>
      <c r="Q13840" s="24"/>
      <c r="R13840" s="24"/>
      <c r="S13840" s="24"/>
      <c r="T13840" s="24"/>
      <c r="U13840" s="24"/>
      <c r="V13840" s="24"/>
      <c r="W13840" s="24"/>
      <c r="X13840" s="24"/>
      <c r="Y13840" s="24"/>
      <c r="Z13840" s="24"/>
      <c r="AA13840" s="24"/>
    </row>
    <row r="13841">
      <c r="A13841" s="24"/>
      <c r="B13841" s="25"/>
      <c r="C13841" s="24"/>
      <c r="D13841" s="26"/>
      <c r="E13841" s="24"/>
      <c r="F13841" s="24"/>
      <c r="G13841" s="24"/>
      <c r="H13841" s="24"/>
      <c r="I13841" s="24"/>
      <c r="J13841" s="24"/>
      <c r="K13841" s="24"/>
      <c r="L13841" s="24"/>
      <c r="M13841" s="24"/>
      <c r="N13841" s="24"/>
      <c r="O13841" s="24"/>
      <c r="P13841" s="24"/>
      <c r="Q13841" s="24"/>
      <c r="R13841" s="24"/>
      <c r="S13841" s="24"/>
      <c r="T13841" s="24"/>
      <c r="U13841" s="24"/>
      <c r="V13841" s="24"/>
      <c r="W13841" s="24"/>
      <c r="X13841" s="24"/>
      <c r="Y13841" s="24"/>
      <c r="Z13841" s="24"/>
      <c r="AA13841" s="24"/>
    </row>
    <row r="13842">
      <c r="A13842" s="24"/>
      <c r="B13842" s="25"/>
      <c r="C13842" s="24"/>
      <c r="D13842" s="26"/>
      <c r="E13842" s="24"/>
      <c r="F13842" s="24"/>
      <c r="G13842" s="24"/>
      <c r="H13842" s="24"/>
      <c r="I13842" s="24"/>
      <c r="J13842" s="24"/>
      <c r="K13842" s="24"/>
      <c r="L13842" s="24"/>
      <c r="M13842" s="24"/>
      <c r="N13842" s="24"/>
      <c r="O13842" s="24"/>
      <c r="P13842" s="24"/>
      <c r="Q13842" s="24"/>
      <c r="R13842" s="24"/>
      <c r="S13842" s="24"/>
      <c r="T13842" s="24"/>
      <c r="U13842" s="24"/>
      <c r="V13842" s="24"/>
      <c r="W13842" s="24"/>
      <c r="X13842" s="24"/>
      <c r="Y13842" s="24"/>
      <c r="Z13842" s="24"/>
      <c r="AA13842" s="24"/>
    </row>
    <row r="13843">
      <c r="A13843" s="24"/>
      <c r="B13843" s="25"/>
      <c r="C13843" s="24"/>
      <c r="D13843" s="26"/>
      <c r="E13843" s="24"/>
      <c r="F13843" s="24"/>
      <c r="G13843" s="24"/>
      <c r="H13843" s="24"/>
      <c r="I13843" s="24"/>
      <c r="J13843" s="24"/>
      <c r="K13843" s="24"/>
      <c r="L13843" s="24"/>
      <c r="M13843" s="24"/>
      <c r="N13843" s="24"/>
      <c r="O13843" s="24"/>
      <c r="P13843" s="24"/>
      <c r="Q13843" s="24"/>
      <c r="R13843" s="24"/>
      <c r="S13843" s="24"/>
      <c r="T13843" s="24"/>
      <c r="U13843" s="24"/>
      <c r="V13843" s="24"/>
      <c r="W13843" s="24"/>
      <c r="X13843" s="24"/>
      <c r="Y13843" s="24"/>
      <c r="Z13843" s="24"/>
      <c r="AA13843" s="24"/>
    </row>
    <row r="13844">
      <c r="A13844" s="24"/>
      <c r="B13844" s="25"/>
      <c r="C13844" s="24"/>
      <c r="D13844" s="26"/>
      <c r="E13844" s="24"/>
      <c r="F13844" s="24"/>
      <c r="G13844" s="24"/>
      <c r="H13844" s="24"/>
      <c r="I13844" s="24"/>
      <c r="J13844" s="24"/>
      <c r="K13844" s="24"/>
      <c r="L13844" s="24"/>
      <c r="M13844" s="24"/>
      <c r="N13844" s="24"/>
      <c r="O13844" s="24"/>
      <c r="P13844" s="24"/>
      <c r="Q13844" s="24"/>
      <c r="R13844" s="24"/>
      <c r="S13844" s="24"/>
      <c r="T13844" s="24"/>
      <c r="U13844" s="24"/>
      <c r="V13844" s="24"/>
      <c r="W13844" s="24"/>
      <c r="X13844" s="24"/>
      <c r="Y13844" s="24"/>
      <c r="Z13844" s="24"/>
      <c r="AA13844" s="24"/>
    </row>
    <row r="13845">
      <c r="A13845" s="24"/>
      <c r="B13845" s="25"/>
      <c r="C13845" s="24"/>
      <c r="D13845" s="26"/>
      <c r="E13845" s="24"/>
      <c r="F13845" s="24"/>
      <c r="G13845" s="24"/>
      <c r="H13845" s="24"/>
      <c r="I13845" s="24"/>
      <c r="J13845" s="24"/>
      <c r="K13845" s="24"/>
      <c r="L13845" s="24"/>
      <c r="M13845" s="24"/>
      <c r="N13845" s="24"/>
      <c r="O13845" s="24"/>
      <c r="P13845" s="24"/>
      <c r="Q13845" s="24"/>
      <c r="R13845" s="24"/>
      <c r="S13845" s="24"/>
      <c r="T13845" s="24"/>
      <c r="U13845" s="24"/>
      <c r="V13845" s="24"/>
      <c r="W13845" s="24"/>
      <c r="X13845" s="24"/>
      <c r="Y13845" s="24"/>
      <c r="Z13845" s="24"/>
      <c r="AA13845" s="24"/>
    </row>
    <row r="13846">
      <c r="A13846" s="24"/>
      <c r="B13846" s="25"/>
      <c r="C13846" s="24"/>
      <c r="D13846" s="26"/>
      <c r="E13846" s="24"/>
      <c r="F13846" s="24"/>
      <c r="G13846" s="24"/>
      <c r="H13846" s="24"/>
      <c r="I13846" s="24"/>
      <c r="J13846" s="24"/>
      <c r="K13846" s="24"/>
      <c r="L13846" s="24"/>
      <c r="M13846" s="24"/>
      <c r="N13846" s="24"/>
      <c r="O13846" s="24"/>
      <c r="P13846" s="24"/>
      <c r="Q13846" s="24"/>
      <c r="R13846" s="24"/>
      <c r="S13846" s="24"/>
      <c r="T13846" s="24"/>
      <c r="U13846" s="24"/>
      <c r="V13846" s="24"/>
      <c r="W13846" s="24"/>
      <c r="X13846" s="24"/>
      <c r="Y13846" s="24"/>
      <c r="Z13846" s="24"/>
      <c r="AA13846" s="24"/>
    </row>
    <row r="13847">
      <c r="A13847" s="24"/>
      <c r="B13847" s="25"/>
      <c r="C13847" s="24"/>
      <c r="D13847" s="26"/>
      <c r="E13847" s="24"/>
      <c r="F13847" s="24"/>
      <c r="G13847" s="24"/>
      <c r="H13847" s="24"/>
      <c r="I13847" s="24"/>
      <c r="J13847" s="24"/>
      <c r="K13847" s="24"/>
      <c r="L13847" s="24"/>
      <c r="M13847" s="24"/>
      <c r="N13847" s="24"/>
      <c r="O13847" s="24"/>
      <c r="P13847" s="24"/>
      <c r="Q13847" s="24"/>
      <c r="R13847" s="24"/>
      <c r="S13847" s="24"/>
      <c r="T13847" s="24"/>
      <c r="U13847" s="24"/>
      <c r="V13847" s="24"/>
      <c r="W13847" s="24"/>
      <c r="X13847" s="24"/>
      <c r="Y13847" s="24"/>
      <c r="Z13847" s="24"/>
      <c r="AA13847" s="24"/>
    </row>
    <row r="13848">
      <c r="A13848" s="24"/>
      <c r="B13848" s="25"/>
      <c r="C13848" s="24"/>
      <c r="D13848" s="26"/>
      <c r="E13848" s="24"/>
      <c r="F13848" s="24"/>
      <c r="G13848" s="24"/>
      <c r="H13848" s="24"/>
      <c r="I13848" s="24"/>
      <c r="J13848" s="24"/>
      <c r="K13848" s="24"/>
      <c r="L13848" s="24"/>
      <c r="M13848" s="24"/>
      <c r="N13848" s="24"/>
      <c r="O13848" s="24"/>
      <c r="P13848" s="24"/>
      <c r="Q13848" s="24"/>
      <c r="R13848" s="24"/>
      <c r="S13848" s="24"/>
      <c r="T13848" s="24"/>
      <c r="U13848" s="24"/>
      <c r="V13848" s="24"/>
      <c r="W13848" s="24"/>
      <c r="X13848" s="24"/>
      <c r="Y13848" s="24"/>
      <c r="Z13848" s="24"/>
      <c r="AA13848" s="24"/>
    </row>
    <row r="13849">
      <c r="A13849" s="24"/>
      <c r="B13849" s="25"/>
      <c r="C13849" s="24"/>
      <c r="D13849" s="26"/>
      <c r="E13849" s="24"/>
      <c r="F13849" s="24"/>
      <c r="G13849" s="24"/>
      <c r="H13849" s="24"/>
      <c r="I13849" s="24"/>
      <c r="J13849" s="24"/>
      <c r="K13849" s="24"/>
      <c r="L13849" s="24"/>
      <c r="M13849" s="24"/>
      <c r="N13849" s="24"/>
      <c r="O13849" s="24"/>
      <c r="P13849" s="24"/>
      <c r="Q13849" s="24"/>
      <c r="R13849" s="24"/>
      <c r="S13849" s="24"/>
      <c r="T13849" s="24"/>
      <c r="U13849" s="24"/>
      <c r="V13849" s="24"/>
      <c r="W13849" s="24"/>
      <c r="X13849" s="24"/>
      <c r="Y13849" s="24"/>
      <c r="Z13849" s="24"/>
      <c r="AA13849" s="24"/>
    </row>
    <row r="13850">
      <c r="A13850" s="24"/>
      <c r="B13850" s="25"/>
      <c r="C13850" s="24"/>
      <c r="D13850" s="26"/>
      <c r="E13850" s="24"/>
      <c r="F13850" s="24"/>
      <c r="G13850" s="24"/>
      <c r="H13850" s="24"/>
      <c r="I13850" s="24"/>
      <c r="J13850" s="24"/>
      <c r="K13850" s="24"/>
      <c r="L13850" s="24"/>
      <c r="M13850" s="24"/>
      <c r="N13850" s="24"/>
      <c r="O13850" s="24"/>
      <c r="P13850" s="24"/>
      <c r="Q13850" s="24"/>
      <c r="R13850" s="24"/>
      <c r="S13850" s="24"/>
      <c r="T13850" s="24"/>
      <c r="U13850" s="24"/>
      <c r="V13850" s="24"/>
      <c r="W13850" s="24"/>
      <c r="X13850" s="24"/>
      <c r="Y13850" s="24"/>
      <c r="Z13850" s="24"/>
      <c r="AA13850" s="24"/>
    </row>
    <row r="13851">
      <c r="A13851" s="24"/>
      <c r="B13851" s="25"/>
      <c r="C13851" s="24"/>
      <c r="D13851" s="26"/>
      <c r="E13851" s="24"/>
      <c r="F13851" s="24"/>
      <c r="G13851" s="24"/>
      <c r="H13851" s="24"/>
      <c r="I13851" s="24"/>
      <c r="J13851" s="24"/>
      <c r="K13851" s="24"/>
      <c r="L13851" s="24"/>
      <c r="M13851" s="24"/>
      <c r="N13851" s="24"/>
      <c r="O13851" s="24"/>
      <c r="P13851" s="24"/>
      <c r="Q13851" s="24"/>
      <c r="R13851" s="24"/>
      <c r="S13851" s="24"/>
      <c r="T13851" s="24"/>
      <c r="U13851" s="24"/>
      <c r="V13851" s="24"/>
      <c r="W13851" s="24"/>
      <c r="X13851" s="24"/>
      <c r="Y13851" s="24"/>
      <c r="Z13851" s="24"/>
      <c r="AA13851" s="24"/>
    </row>
    <row r="13852">
      <c r="A13852" s="24"/>
      <c r="B13852" s="25"/>
      <c r="C13852" s="24"/>
      <c r="D13852" s="26"/>
      <c r="E13852" s="24"/>
      <c r="F13852" s="24"/>
      <c r="G13852" s="24"/>
      <c r="H13852" s="24"/>
      <c r="I13852" s="24"/>
      <c r="J13852" s="24"/>
      <c r="K13852" s="24"/>
      <c r="L13852" s="24"/>
      <c r="M13852" s="24"/>
      <c r="N13852" s="24"/>
      <c r="O13852" s="24"/>
      <c r="P13852" s="24"/>
      <c r="Q13852" s="24"/>
      <c r="R13852" s="24"/>
      <c r="S13852" s="24"/>
      <c r="T13852" s="24"/>
      <c r="U13852" s="24"/>
      <c r="V13852" s="24"/>
      <c r="W13852" s="24"/>
      <c r="X13852" s="24"/>
      <c r="Y13852" s="24"/>
      <c r="Z13852" s="24"/>
      <c r="AA13852" s="24"/>
    </row>
    <row r="13853">
      <c r="A13853" s="24"/>
      <c r="B13853" s="25"/>
      <c r="C13853" s="24"/>
      <c r="D13853" s="26"/>
      <c r="E13853" s="24"/>
      <c r="F13853" s="24"/>
      <c r="G13853" s="24"/>
      <c r="H13853" s="24"/>
      <c r="I13853" s="24"/>
      <c r="J13853" s="24"/>
      <c r="K13853" s="24"/>
      <c r="L13853" s="24"/>
      <c r="M13853" s="24"/>
      <c r="N13853" s="24"/>
      <c r="O13853" s="24"/>
      <c r="P13853" s="24"/>
      <c r="Q13853" s="24"/>
      <c r="R13853" s="24"/>
      <c r="S13853" s="24"/>
      <c r="T13853" s="24"/>
      <c r="U13853" s="24"/>
      <c r="V13853" s="24"/>
      <c r="W13853" s="24"/>
      <c r="X13853" s="24"/>
      <c r="Y13853" s="24"/>
      <c r="Z13853" s="24"/>
      <c r="AA13853" s="24"/>
    </row>
    <row r="13854">
      <c r="A13854" s="24"/>
      <c r="B13854" s="25"/>
      <c r="C13854" s="24"/>
      <c r="D13854" s="26"/>
      <c r="E13854" s="24"/>
      <c r="F13854" s="24"/>
      <c r="G13854" s="24"/>
      <c r="H13854" s="24"/>
      <c r="I13854" s="24"/>
      <c r="J13854" s="24"/>
      <c r="K13854" s="24"/>
      <c r="L13854" s="24"/>
      <c r="M13854" s="24"/>
      <c r="N13854" s="24"/>
      <c r="O13854" s="24"/>
      <c r="P13854" s="24"/>
      <c r="Q13854" s="24"/>
      <c r="R13854" s="24"/>
      <c r="S13854" s="24"/>
      <c r="T13854" s="24"/>
      <c r="U13854" s="24"/>
      <c r="V13854" s="24"/>
      <c r="W13854" s="24"/>
      <c r="X13854" s="24"/>
      <c r="Y13854" s="24"/>
      <c r="Z13854" s="24"/>
      <c r="AA13854" s="24"/>
    </row>
    <row r="13855">
      <c r="A13855" s="24"/>
      <c r="B13855" s="25"/>
      <c r="C13855" s="24"/>
      <c r="D13855" s="26"/>
      <c r="E13855" s="24"/>
      <c r="F13855" s="24"/>
      <c r="G13855" s="24"/>
      <c r="H13855" s="24"/>
      <c r="I13855" s="24"/>
      <c r="J13855" s="24"/>
      <c r="K13855" s="24"/>
      <c r="L13855" s="24"/>
      <c r="M13855" s="24"/>
      <c r="N13855" s="24"/>
      <c r="O13855" s="24"/>
      <c r="P13855" s="24"/>
      <c r="Q13855" s="24"/>
      <c r="R13855" s="24"/>
      <c r="S13855" s="24"/>
      <c r="T13855" s="24"/>
      <c r="U13855" s="24"/>
      <c r="V13855" s="24"/>
      <c r="W13855" s="24"/>
      <c r="X13855" s="24"/>
      <c r="Y13855" s="24"/>
      <c r="Z13855" s="24"/>
      <c r="AA13855" s="24"/>
    </row>
    <row r="13856">
      <c r="A13856" s="24"/>
      <c r="B13856" s="25"/>
      <c r="C13856" s="24"/>
      <c r="D13856" s="26"/>
      <c r="E13856" s="24"/>
      <c r="F13856" s="24"/>
      <c r="G13856" s="24"/>
      <c r="H13856" s="24"/>
      <c r="I13856" s="24"/>
      <c r="J13856" s="24"/>
      <c r="K13856" s="24"/>
      <c r="L13856" s="24"/>
      <c r="M13856" s="24"/>
      <c r="N13856" s="24"/>
      <c r="O13856" s="24"/>
      <c r="P13856" s="24"/>
      <c r="Q13856" s="24"/>
      <c r="R13856" s="24"/>
      <c r="S13856" s="24"/>
      <c r="T13856" s="24"/>
      <c r="U13856" s="24"/>
      <c r="V13856" s="24"/>
      <c r="W13856" s="24"/>
      <c r="X13856" s="24"/>
      <c r="Y13856" s="24"/>
      <c r="Z13856" s="24"/>
      <c r="AA13856" s="24"/>
    </row>
    <row r="13857">
      <c r="A13857" s="24"/>
      <c r="B13857" s="25"/>
      <c r="C13857" s="24"/>
      <c r="D13857" s="26"/>
      <c r="E13857" s="24"/>
      <c r="F13857" s="24"/>
      <c r="G13857" s="24"/>
      <c r="H13857" s="24"/>
      <c r="I13857" s="24"/>
      <c r="J13857" s="24"/>
      <c r="K13857" s="24"/>
      <c r="L13857" s="24"/>
      <c r="M13857" s="24"/>
      <c r="N13857" s="24"/>
      <c r="O13857" s="24"/>
      <c r="P13857" s="24"/>
      <c r="Q13857" s="24"/>
      <c r="R13857" s="24"/>
      <c r="S13857" s="24"/>
      <c r="T13857" s="24"/>
      <c r="U13857" s="24"/>
      <c r="V13857" s="24"/>
      <c r="W13857" s="24"/>
      <c r="X13857" s="24"/>
      <c r="Y13857" s="24"/>
      <c r="Z13857" s="24"/>
      <c r="AA13857" s="24"/>
    </row>
    <row r="13858">
      <c r="A13858" s="24"/>
      <c r="B13858" s="25"/>
      <c r="C13858" s="24"/>
      <c r="D13858" s="26"/>
      <c r="E13858" s="24"/>
      <c r="F13858" s="24"/>
      <c r="G13858" s="24"/>
      <c r="H13858" s="24"/>
      <c r="I13858" s="24"/>
      <c r="J13858" s="24"/>
      <c r="K13858" s="24"/>
      <c r="L13858" s="24"/>
      <c r="M13858" s="24"/>
      <c r="N13858" s="24"/>
      <c r="O13858" s="24"/>
      <c r="P13858" s="24"/>
      <c r="Q13858" s="24"/>
      <c r="R13858" s="24"/>
      <c r="S13858" s="24"/>
      <c r="T13858" s="24"/>
      <c r="U13858" s="24"/>
      <c r="V13858" s="24"/>
      <c r="W13858" s="24"/>
      <c r="X13858" s="24"/>
      <c r="Y13858" s="24"/>
      <c r="Z13858" s="24"/>
      <c r="AA13858" s="24"/>
    </row>
    <row r="13859">
      <c r="A13859" s="24"/>
      <c r="B13859" s="25"/>
      <c r="C13859" s="24"/>
      <c r="D13859" s="26"/>
      <c r="E13859" s="24"/>
      <c r="F13859" s="24"/>
      <c r="G13859" s="24"/>
      <c r="H13859" s="24"/>
      <c r="I13859" s="24"/>
      <c r="J13859" s="24"/>
      <c r="K13859" s="24"/>
      <c r="L13859" s="24"/>
      <c r="M13859" s="24"/>
      <c r="N13859" s="24"/>
      <c r="O13859" s="24"/>
      <c r="P13859" s="24"/>
      <c r="Q13859" s="24"/>
      <c r="R13859" s="24"/>
      <c r="S13859" s="24"/>
      <c r="T13859" s="24"/>
      <c r="U13859" s="24"/>
      <c r="V13859" s="24"/>
      <c r="W13859" s="24"/>
      <c r="X13859" s="24"/>
      <c r="Y13859" s="24"/>
      <c r="Z13859" s="24"/>
      <c r="AA13859" s="24"/>
    </row>
    <row r="13860">
      <c r="A13860" s="24"/>
      <c r="B13860" s="25"/>
      <c r="C13860" s="24"/>
      <c r="D13860" s="26"/>
      <c r="E13860" s="24"/>
      <c r="F13860" s="24"/>
      <c r="G13860" s="24"/>
      <c r="H13860" s="24"/>
      <c r="I13860" s="24"/>
      <c r="J13860" s="24"/>
      <c r="K13860" s="24"/>
      <c r="L13860" s="24"/>
      <c r="M13860" s="24"/>
      <c r="N13860" s="24"/>
      <c r="O13860" s="24"/>
      <c r="P13860" s="24"/>
      <c r="Q13860" s="24"/>
      <c r="R13860" s="24"/>
      <c r="S13860" s="24"/>
      <c r="T13860" s="24"/>
      <c r="U13860" s="24"/>
      <c r="V13860" s="24"/>
      <c r="W13860" s="24"/>
      <c r="X13860" s="24"/>
      <c r="Y13860" s="24"/>
      <c r="Z13860" s="24"/>
      <c r="AA13860" s="24"/>
    </row>
    <row r="13861">
      <c r="A13861" s="24"/>
      <c r="B13861" s="25"/>
      <c r="C13861" s="24"/>
      <c r="D13861" s="26"/>
      <c r="E13861" s="24"/>
      <c r="F13861" s="24"/>
      <c r="G13861" s="24"/>
      <c r="H13861" s="24"/>
      <c r="I13861" s="24"/>
      <c r="J13861" s="24"/>
      <c r="K13861" s="24"/>
      <c r="L13861" s="24"/>
      <c r="M13861" s="24"/>
      <c r="N13861" s="24"/>
      <c r="O13861" s="24"/>
      <c r="P13861" s="24"/>
      <c r="Q13861" s="24"/>
      <c r="R13861" s="24"/>
      <c r="S13861" s="24"/>
      <c r="T13861" s="24"/>
      <c r="U13861" s="24"/>
      <c r="V13861" s="24"/>
      <c r="W13861" s="24"/>
      <c r="X13861" s="24"/>
      <c r="Y13861" s="24"/>
      <c r="Z13861" s="24"/>
      <c r="AA13861" s="24"/>
    </row>
    <row r="13862">
      <c r="A13862" s="24"/>
      <c r="B13862" s="25"/>
      <c r="C13862" s="24"/>
      <c r="D13862" s="26"/>
      <c r="E13862" s="24"/>
      <c r="F13862" s="24"/>
      <c r="G13862" s="24"/>
      <c r="H13862" s="24"/>
      <c r="I13862" s="24"/>
      <c r="J13862" s="24"/>
      <c r="K13862" s="24"/>
      <c r="L13862" s="24"/>
      <c r="M13862" s="24"/>
      <c r="N13862" s="24"/>
      <c r="O13862" s="24"/>
      <c r="P13862" s="24"/>
      <c r="Q13862" s="24"/>
      <c r="R13862" s="24"/>
      <c r="S13862" s="24"/>
      <c r="T13862" s="24"/>
      <c r="U13862" s="24"/>
      <c r="V13862" s="24"/>
      <c r="W13862" s="24"/>
      <c r="X13862" s="24"/>
      <c r="Y13862" s="24"/>
      <c r="Z13862" s="24"/>
      <c r="AA13862" s="24"/>
    </row>
    <row r="13863">
      <c r="A13863" s="24"/>
      <c r="B13863" s="25"/>
      <c r="C13863" s="24"/>
      <c r="D13863" s="26"/>
      <c r="E13863" s="24"/>
      <c r="F13863" s="24"/>
      <c r="G13863" s="24"/>
      <c r="H13863" s="24"/>
      <c r="I13863" s="24"/>
      <c r="J13863" s="24"/>
      <c r="K13863" s="24"/>
      <c r="L13863" s="24"/>
      <c r="M13863" s="24"/>
      <c r="N13863" s="24"/>
      <c r="O13863" s="24"/>
      <c r="P13863" s="24"/>
      <c r="Q13863" s="24"/>
      <c r="R13863" s="24"/>
      <c r="S13863" s="24"/>
      <c r="T13863" s="24"/>
      <c r="U13863" s="24"/>
      <c r="V13863" s="24"/>
      <c r="W13863" s="24"/>
      <c r="X13863" s="24"/>
      <c r="Y13863" s="24"/>
      <c r="Z13863" s="24"/>
      <c r="AA13863" s="24"/>
    </row>
    <row r="13864">
      <c r="A13864" s="24"/>
      <c r="B13864" s="25"/>
      <c r="C13864" s="24"/>
      <c r="D13864" s="26"/>
      <c r="E13864" s="24"/>
      <c r="F13864" s="24"/>
      <c r="G13864" s="24"/>
      <c r="H13864" s="24"/>
      <c r="I13864" s="24"/>
      <c r="J13864" s="24"/>
      <c r="K13864" s="24"/>
      <c r="L13864" s="24"/>
      <c r="M13864" s="24"/>
      <c r="N13864" s="24"/>
      <c r="O13864" s="24"/>
      <c r="P13864" s="24"/>
      <c r="Q13864" s="24"/>
      <c r="R13864" s="24"/>
      <c r="S13864" s="24"/>
      <c r="T13864" s="24"/>
      <c r="U13864" s="24"/>
      <c r="V13864" s="24"/>
      <c r="W13864" s="24"/>
      <c r="X13864" s="24"/>
      <c r="Y13864" s="24"/>
      <c r="Z13864" s="24"/>
      <c r="AA13864" s="24"/>
    </row>
    <row r="13865">
      <c r="A13865" s="24"/>
      <c r="B13865" s="25"/>
      <c r="C13865" s="24"/>
      <c r="D13865" s="26"/>
      <c r="E13865" s="24"/>
      <c r="F13865" s="24"/>
      <c r="G13865" s="24"/>
      <c r="H13865" s="24"/>
      <c r="I13865" s="24"/>
      <c r="J13865" s="24"/>
      <c r="K13865" s="24"/>
      <c r="L13865" s="24"/>
      <c r="M13865" s="24"/>
      <c r="N13865" s="24"/>
      <c r="O13865" s="24"/>
      <c r="P13865" s="24"/>
      <c r="Q13865" s="24"/>
      <c r="R13865" s="24"/>
      <c r="S13865" s="24"/>
      <c r="T13865" s="24"/>
      <c r="U13865" s="24"/>
      <c r="V13865" s="24"/>
      <c r="W13865" s="24"/>
      <c r="X13865" s="24"/>
      <c r="Y13865" s="24"/>
      <c r="Z13865" s="24"/>
      <c r="AA13865" s="24"/>
    </row>
    <row r="13866">
      <c r="A13866" s="24"/>
      <c r="B13866" s="25"/>
      <c r="C13866" s="24"/>
      <c r="D13866" s="26"/>
      <c r="E13866" s="24"/>
      <c r="F13866" s="24"/>
      <c r="G13866" s="24"/>
      <c r="H13866" s="24"/>
      <c r="I13866" s="24"/>
      <c r="J13866" s="24"/>
      <c r="K13866" s="24"/>
      <c r="L13866" s="24"/>
      <c r="M13866" s="24"/>
      <c r="N13866" s="24"/>
      <c r="O13866" s="24"/>
      <c r="P13866" s="24"/>
      <c r="Q13866" s="24"/>
      <c r="R13866" s="24"/>
      <c r="S13866" s="24"/>
      <c r="T13866" s="24"/>
      <c r="U13866" s="24"/>
      <c r="V13866" s="24"/>
      <c r="W13866" s="24"/>
      <c r="X13866" s="24"/>
      <c r="Y13866" s="24"/>
      <c r="Z13866" s="24"/>
      <c r="AA13866" s="24"/>
    </row>
    <row r="13867">
      <c r="A13867" s="24"/>
      <c r="B13867" s="25"/>
      <c r="C13867" s="24"/>
      <c r="D13867" s="26"/>
      <c r="E13867" s="24"/>
      <c r="F13867" s="24"/>
      <c r="G13867" s="24"/>
      <c r="H13867" s="24"/>
      <c r="I13867" s="24"/>
      <c r="J13867" s="24"/>
      <c r="K13867" s="24"/>
      <c r="L13867" s="24"/>
      <c r="M13867" s="24"/>
      <c r="N13867" s="24"/>
      <c r="O13867" s="24"/>
      <c r="P13867" s="24"/>
      <c r="Q13867" s="24"/>
      <c r="R13867" s="24"/>
      <c r="S13867" s="24"/>
      <c r="T13867" s="24"/>
      <c r="U13867" s="24"/>
      <c r="V13867" s="24"/>
      <c r="W13867" s="24"/>
      <c r="X13867" s="24"/>
      <c r="Y13867" s="24"/>
      <c r="Z13867" s="24"/>
      <c r="AA13867" s="24"/>
    </row>
    <row r="13868">
      <c r="A13868" s="24"/>
      <c r="B13868" s="25"/>
      <c r="C13868" s="24"/>
      <c r="D13868" s="26"/>
      <c r="E13868" s="24"/>
      <c r="F13868" s="24"/>
      <c r="G13868" s="24"/>
      <c r="H13868" s="24"/>
      <c r="I13868" s="24"/>
      <c r="J13868" s="24"/>
      <c r="K13868" s="24"/>
      <c r="L13868" s="24"/>
      <c r="M13868" s="24"/>
      <c r="N13868" s="24"/>
      <c r="O13868" s="24"/>
      <c r="P13868" s="24"/>
      <c r="Q13868" s="24"/>
      <c r="R13868" s="24"/>
      <c r="S13868" s="24"/>
      <c r="T13868" s="24"/>
      <c r="U13868" s="24"/>
      <c r="V13868" s="24"/>
      <c r="W13868" s="24"/>
      <c r="X13868" s="24"/>
      <c r="Y13868" s="24"/>
      <c r="Z13868" s="24"/>
      <c r="AA13868" s="24"/>
    </row>
    <row r="13869">
      <c r="A13869" s="24"/>
      <c r="B13869" s="25"/>
      <c r="C13869" s="24"/>
      <c r="D13869" s="26"/>
      <c r="E13869" s="24"/>
      <c r="F13869" s="24"/>
      <c r="G13869" s="24"/>
      <c r="H13869" s="24"/>
      <c r="I13869" s="24"/>
      <c r="J13869" s="24"/>
      <c r="K13869" s="24"/>
      <c r="L13869" s="24"/>
      <c r="M13869" s="24"/>
      <c r="N13869" s="24"/>
      <c r="O13869" s="24"/>
      <c r="P13869" s="24"/>
      <c r="Q13869" s="24"/>
      <c r="R13869" s="24"/>
      <c r="S13869" s="24"/>
      <c r="T13869" s="24"/>
      <c r="U13869" s="24"/>
      <c r="V13869" s="24"/>
      <c r="W13869" s="24"/>
      <c r="X13869" s="24"/>
      <c r="Y13869" s="24"/>
      <c r="Z13869" s="24"/>
      <c r="AA13869" s="24"/>
    </row>
    <row r="13870">
      <c r="A13870" s="24"/>
      <c r="B13870" s="25"/>
      <c r="C13870" s="24"/>
      <c r="D13870" s="26"/>
      <c r="E13870" s="24"/>
      <c r="F13870" s="24"/>
      <c r="G13870" s="24"/>
      <c r="H13870" s="24"/>
      <c r="I13870" s="24"/>
      <c r="J13870" s="24"/>
      <c r="K13870" s="24"/>
      <c r="L13870" s="24"/>
      <c r="M13870" s="24"/>
      <c r="N13870" s="24"/>
      <c r="O13870" s="24"/>
      <c r="P13870" s="24"/>
      <c r="Q13870" s="24"/>
      <c r="R13870" s="24"/>
      <c r="S13870" s="24"/>
      <c r="T13870" s="24"/>
      <c r="U13870" s="24"/>
      <c r="V13870" s="24"/>
      <c r="W13870" s="24"/>
      <c r="X13870" s="24"/>
      <c r="Y13870" s="24"/>
      <c r="Z13870" s="24"/>
      <c r="AA13870" s="24"/>
    </row>
    <row r="13871">
      <c r="A13871" s="24"/>
      <c r="B13871" s="25"/>
      <c r="C13871" s="24"/>
      <c r="D13871" s="26"/>
      <c r="E13871" s="24"/>
      <c r="F13871" s="24"/>
      <c r="G13871" s="24"/>
      <c r="H13871" s="24"/>
      <c r="I13871" s="24"/>
      <c r="J13871" s="24"/>
      <c r="K13871" s="24"/>
      <c r="L13871" s="24"/>
      <c r="M13871" s="24"/>
      <c r="N13871" s="24"/>
      <c r="O13871" s="24"/>
      <c r="P13871" s="24"/>
      <c r="Q13871" s="24"/>
      <c r="R13871" s="24"/>
      <c r="S13871" s="24"/>
      <c r="T13871" s="24"/>
      <c r="U13871" s="24"/>
      <c r="V13871" s="24"/>
      <c r="W13871" s="24"/>
      <c r="X13871" s="24"/>
      <c r="Y13871" s="24"/>
      <c r="Z13871" s="24"/>
      <c r="AA13871" s="24"/>
    </row>
    <row r="13872">
      <c r="A13872" s="24"/>
      <c r="B13872" s="25"/>
      <c r="C13872" s="24"/>
      <c r="D13872" s="26"/>
      <c r="E13872" s="24"/>
      <c r="F13872" s="24"/>
      <c r="G13872" s="24"/>
      <c r="H13872" s="24"/>
      <c r="I13872" s="24"/>
      <c r="J13872" s="24"/>
      <c r="K13872" s="24"/>
      <c r="L13872" s="24"/>
      <c r="M13872" s="24"/>
      <c r="N13872" s="24"/>
      <c r="O13872" s="24"/>
      <c r="P13872" s="24"/>
      <c r="Q13872" s="24"/>
      <c r="R13872" s="24"/>
      <c r="S13872" s="24"/>
      <c r="T13872" s="24"/>
      <c r="U13872" s="24"/>
      <c r="V13872" s="24"/>
      <c r="W13872" s="24"/>
      <c r="X13872" s="24"/>
      <c r="Y13872" s="24"/>
      <c r="Z13872" s="24"/>
      <c r="AA13872" s="24"/>
    </row>
    <row r="13873">
      <c r="A13873" s="24"/>
      <c r="B13873" s="25"/>
      <c r="C13873" s="24"/>
      <c r="D13873" s="26"/>
      <c r="E13873" s="24"/>
      <c r="F13873" s="24"/>
      <c r="G13873" s="24"/>
      <c r="H13873" s="24"/>
      <c r="I13873" s="24"/>
      <c r="J13873" s="24"/>
      <c r="K13873" s="24"/>
      <c r="L13873" s="24"/>
      <c r="M13873" s="24"/>
      <c r="N13873" s="24"/>
      <c r="O13873" s="24"/>
      <c r="P13873" s="24"/>
      <c r="Q13873" s="24"/>
      <c r="R13873" s="24"/>
      <c r="S13873" s="24"/>
      <c r="T13873" s="24"/>
      <c r="U13873" s="24"/>
      <c r="V13873" s="24"/>
      <c r="W13873" s="24"/>
      <c r="X13873" s="24"/>
      <c r="Y13873" s="24"/>
      <c r="Z13873" s="24"/>
      <c r="AA13873" s="24"/>
    </row>
    <row r="13874">
      <c r="A13874" s="24"/>
      <c r="B13874" s="25"/>
      <c r="C13874" s="24"/>
      <c r="D13874" s="26"/>
      <c r="E13874" s="24"/>
      <c r="F13874" s="24"/>
      <c r="G13874" s="24"/>
      <c r="H13874" s="24"/>
      <c r="I13874" s="24"/>
      <c r="J13874" s="24"/>
      <c r="K13874" s="24"/>
      <c r="L13874" s="24"/>
      <c r="M13874" s="24"/>
      <c r="N13874" s="24"/>
      <c r="O13874" s="24"/>
      <c r="P13874" s="24"/>
      <c r="Q13874" s="24"/>
      <c r="R13874" s="24"/>
      <c r="S13874" s="24"/>
      <c r="T13874" s="24"/>
      <c r="U13874" s="24"/>
      <c r="V13874" s="24"/>
      <c r="W13874" s="24"/>
      <c r="X13874" s="24"/>
      <c r="Y13874" s="24"/>
      <c r="Z13874" s="24"/>
      <c r="AA13874" s="24"/>
    </row>
    <row r="13875">
      <c r="A13875" s="24"/>
      <c r="B13875" s="25"/>
      <c r="C13875" s="24"/>
      <c r="D13875" s="26"/>
      <c r="E13875" s="24"/>
      <c r="F13875" s="24"/>
      <c r="G13875" s="24"/>
      <c r="H13875" s="24"/>
      <c r="I13875" s="24"/>
      <c r="J13875" s="24"/>
      <c r="K13875" s="24"/>
      <c r="L13875" s="24"/>
      <c r="M13875" s="24"/>
      <c r="N13875" s="24"/>
      <c r="O13875" s="24"/>
      <c r="P13875" s="24"/>
      <c r="Q13875" s="24"/>
      <c r="R13875" s="24"/>
      <c r="S13875" s="24"/>
      <c r="T13875" s="24"/>
      <c r="U13875" s="24"/>
      <c r="V13875" s="24"/>
      <c r="W13875" s="24"/>
      <c r="X13875" s="24"/>
      <c r="Y13875" s="24"/>
      <c r="Z13875" s="24"/>
      <c r="AA13875" s="24"/>
    </row>
    <row r="13876">
      <c r="A13876" s="24"/>
      <c r="B13876" s="25"/>
      <c r="C13876" s="24"/>
      <c r="D13876" s="26"/>
      <c r="E13876" s="24"/>
      <c r="F13876" s="24"/>
      <c r="G13876" s="24"/>
      <c r="H13876" s="24"/>
      <c r="I13876" s="24"/>
      <c r="J13876" s="24"/>
      <c r="K13876" s="24"/>
      <c r="L13876" s="24"/>
      <c r="M13876" s="24"/>
      <c r="N13876" s="24"/>
      <c r="O13876" s="24"/>
      <c r="P13876" s="24"/>
      <c r="Q13876" s="24"/>
      <c r="R13876" s="24"/>
      <c r="S13876" s="24"/>
      <c r="T13876" s="24"/>
      <c r="U13876" s="24"/>
      <c r="V13876" s="24"/>
      <c r="W13876" s="24"/>
      <c r="X13876" s="24"/>
      <c r="Y13876" s="24"/>
      <c r="Z13876" s="24"/>
      <c r="AA13876" s="24"/>
    </row>
    <row r="13877">
      <c r="A13877" s="24"/>
      <c r="B13877" s="25"/>
      <c r="C13877" s="24"/>
      <c r="D13877" s="26"/>
      <c r="E13877" s="24"/>
      <c r="F13877" s="24"/>
      <c r="G13877" s="24"/>
      <c r="H13877" s="24"/>
      <c r="I13877" s="24"/>
      <c r="J13877" s="24"/>
      <c r="K13877" s="24"/>
      <c r="L13877" s="24"/>
      <c r="M13877" s="24"/>
      <c r="N13877" s="24"/>
      <c r="O13877" s="24"/>
      <c r="P13877" s="24"/>
      <c r="Q13877" s="24"/>
      <c r="R13877" s="24"/>
      <c r="S13877" s="24"/>
      <c r="T13877" s="24"/>
      <c r="U13877" s="24"/>
      <c r="V13877" s="24"/>
      <c r="W13877" s="24"/>
      <c r="X13877" s="24"/>
      <c r="Y13877" s="24"/>
      <c r="Z13877" s="24"/>
      <c r="AA13877" s="24"/>
    </row>
    <row r="13878">
      <c r="A13878" s="24"/>
      <c r="B13878" s="25"/>
      <c r="C13878" s="24"/>
      <c r="D13878" s="26"/>
      <c r="E13878" s="24"/>
      <c r="F13878" s="24"/>
      <c r="G13878" s="24"/>
      <c r="H13878" s="24"/>
      <c r="I13878" s="24"/>
      <c r="J13878" s="24"/>
      <c r="K13878" s="24"/>
      <c r="L13878" s="24"/>
      <c r="M13878" s="24"/>
      <c r="N13878" s="24"/>
      <c r="O13878" s="24"/>
      <c r="P13878" s="24"/>
      <c r="Q13878" s="24"/>
      <c r="R13878" s="24"/>
      <c r="S13878" s="24"/>
      <c r="T13878" s="24"/>
      <c r="U13878" s="24"/>
      <c r="V13878" s="24"/>
      <c r="W13878" s="24"/>
      <c r="X13878" s="24"/>
      <c r="Y13878" s="24"/>
      <c r="Z13878" s="24"/>
      <c r="AA13878" s="24"/>
    </row>
    <row r="13879">
      <c r="A13879" s="24"/>
      <c r="B13879" s="25"/>
      <c r="C13879" s="24"/>
      <c r="D13879" s="26"/>
      <c r="E13879" s="24"/>
      <c r="F13879" s="24"/>
      <c r="G13879" s="24"/>
      <c r="H13879" s="24"/>
      <c r="I13879" s="24"/>
      <c r="J13879" s="24"/>
      <c r="K13879" s="24"/>
      <c r="L13879" s="24"/>
      <c r="M13879" s="24"/>
      <c r="N13879" s="24"/>
      <c r="O13879" s="24"/>
      <c r="P13879" s="24"/>
      <c r="Q13879" s="24"/>
      <c r="R13879" s="24"/>
      <c r="S13879" s="24"/>
      <c r="T13879" s="24"/>
      <c r="U13879" s="24"/>
      <c r="V13879" s="24"/>
      <c r="W13879" s="24"/>
      <c r="X13879" s="24"/>
      <c r="Y13879" s="24"/>
      <c r="Z13879" s="24"/>
      <c r="AA13879" s="24"/>
    </row>
    <row r="13880">
      <c r="A13880" s="24"/>
      <c r="B13880" s="25"/>
      <c r="C13880" s="24"/>
      <c r="D13880" s="26"/>
      <c r="E13880" s="24"/>
      <c r="F13880" s="24"/>
      <c r="G13880" s="24"/>
      <c r="H13880" s="24"/>
      <c r="I13880" s="24"/>
      <c r="J13880" s="24"/>
      <c r="K13880" s="24"/>
      <c r="L13880" s="24"/>
      <c r="M13880" s="24"/>
      <c r="N13880" s="24"/>
      <c r="O13880" s="24"/>
      <c r="P13880" s="24"/>
      <c r="Q13880" s="24"/>
      <c r="R13880" s="24"/>
      <c r="S13880" s="24"/>
      <c r="T13880" s="24"/>
      <c r="U13880" s="24"/>
      <c r="V13880" s="24"/>
      <c r="W13880" s="24"/>
      <c r="X13880" s="24"/>
      <c r="Y13880" s="24"/>
      <c r="Z13880" s="24"/>
      <c r="AA13880" s="24"/>
    </row>
    <row r="13881">
      <c r="A13881" s="24"/>
      <c r="B13881" s="25"/>
      <c r="C13881" s="24"/>
      <c r="D13881" s="26"/>
      <c r="E13881" s="24"/>
      <c r="F13881" s="24"/>
      <c r="G13881" s="24"/>
      <c r="H13881" s="24"/>
      <c r="I13881" s="24"/>
      <c r="J13881" s="24"/>
      <c r="K13881" s="24"/>
      <c r="L13881" s="24"/>
      <c r="M13881" s="24"/>
      <c r="N13881" s="24"/>
      <c r="O13881" s="24"/>
      <c r="P13881" s="24"/>
      <c r="Q13881" s="24"/>
      <c r="R13881" s="24"/>
      <c r="S13881" s="24"/>
      <c r="T13881" s="24"/>
      <c r="U13881" s="24"/>
      <c r="V13881" s="24"/>
      <c r="W13881" s="24"/>
      <c r="X13881" s="24"/>
      <c r="Y13881" s="24"/>
      <c r="Z13881" s="24"/>
      <c r="AA13881" s="24"/>
    </row>
    <row r="13882">
      <c r="A13882" s="24"/>
      <c r="B13882" s="25"/>
      <c r="C13882" s="24"/>
      <c r="D13882" s="26"/>
      <c r="E13882" s="24"/>
      <c r="F13882" s="24"/>
      <c r="G13882" s="24"/>
      <c r="H13882" s="24"/>
      <c r="I13882" s="24"/>
      <c r="J13882" s="24"/>
      <c r="K13882" s="24"/>
      <c r="L13882" s="24"/>
      <c r="M13882" s="24"/>
      <c r="N13882" s="24"/>
      <c r="O13882" s="24"/>
      <c r="P13882" s="24"/>
      <c r="Q13882" s="24"/>
      <c r="R13882" s="24"/>
      <c r="S13882" s="24"/>
      <c r="T13882" s="24"/>
      <c r="U13882" s="24"/>
      <c r="V13882" s="24"/>
      <c r="W13882" s="24"/>
      <c r="X13882" s="24"/>
      <c r="Y13882" s="24"/>
      <c r="Z13882" s="24"/>
      <c r="AA13882" s="24"/>
    </row>
    <row r="13883">
      <c r="A13883" s="24"/>
      <c r="B13883" s="25"/>
      <c r="C13883" s="24"/>
      <c r="D13883" s="26"/>
      <c r="E13883" s="24"/>
      <c r="F13883" s="24"/>
      <c r="G13883" s="24"/>
      <c r="H13883" s="24"/>
      <c r="I13883" s="24"/>
      <c r="J13883" s="24"/>
      <c r="K13883" s="24"/>
      <c r="L13883" s="24"/>
      <c r="M13883" s="24"/>
      <c r="N13883" s="24"/>
      <c r="O13883" s="24"/>
      <c r="P13883" s="24"/>
      <c r="Q13883" s="24"/>
      <c r="R13883" s="24"/>
      <c r="S13883" s="24"/>
      <c r="T13883" s="24"/>
      <c r="U13883" s="24"/>
      <c r="V13883" s="24"/>
      <c r="W13883" s="24"/>
      <c r="X13883" s="24"/>
      <c r="Y13883" s="24"/>
      <c r="Z13883" s="24"/>
      <c r="AA13883" s="24"/>
    </row>
    <row r="13884">
      <c r="A13884" s="24"/>
      <c r="B13884" s="25"/>
      <c r="C13884" s="24"/>
      <c r="D13884" s="26"/>
      <c r="E13884" s="24"/>
      <c r="F13884" s="24"/>
      <c r="G13884" s="24"/>
      <c r="H13884" s="24"/>
      <c r="I13884" s="24"/>
      <c r="J13884" s="24"/>
      <c r="K13884" s="24"/>
      <c r="L13884" s="24"/>
      <c r="M13884" s="24"/>
      <c r="N13884" s="24"/>
      <c r="O13884" s="24"/>
      <c r="P13884" s="24"/>
      <c r="Q13884" s="24"/>
      <c r="R13884" s="24"/>
      <c r="S13884" s="24"/>
      <c r="T13884" s="24"/>
      <c r="U13884" s="24"/>
      <c r="V13884" s="24"/>
      <c r="W13884" s="24"/>
      <c r="X13884" s="24"/>
      <c r="Y13884" s="24"/>
      <c r="Z13884" s="24"/>
      <c r="AA13884" s="24"/>
    </row>
    <row r="13885">
      <c r="A13885" s="24"/>
      <c r="B13885" s="25"/>
      <c r="C13885" s="24"/>
      <c r="D13885" s="26"/>
      <c r="E13885" s="24"/>
      <c r="F13885" s="24"/>
      <c r="G13885" s="24"/>
      <c r="H13885" s="24"/>
      <c r="I13885" s="24"/>
      <c r="J13885" s="24"/>
      <c r="K13885" s="24"/>
      <c r="L13885" s="24"/>
      <c r="M13885" s="24"/>
      <c r="N13885" s="24"/>
      <c r="O13885" s="24"/>
      <c r="P13885" s="24"/>
      <c r="Q13885" s="24"/>
      <c r="R13885" s="24"/>
      <c r="S13885" s="24"/>
      <c r="T13885" s="24"/>
      <c r="U13885" s="24"/>
      <c r="V13885" s="24"/>
      <c r="W13885" s="24"/>
      <c r="X13885" s="24"/>
      <c r="Y13885" s="24"/>
      <c r="Z13885" s="24"/>
      <c r="AA13885" s="24"/>
    </row>
    <row r="13886">
      <c r="A13886" s="24"/>
      <c r="B13886" s="25"/>
      <c r="C13886" s="24"/>
      <c r="D13886" s="26"/>
      <c r="E13886" s="24"/>
      <c r="F13886" s="24"/>
      <c r="G13886" s="24"/>
      <c r="H13886" s="24"/>
      <c r="I13886" s="24"/>
      <c r="J13886" s="24"/>
      <c r="K13886" s="24"/>
      <c r="L13886" s="24"/>
      <c r="M13886" s="24"/>
      <c r="N13886" s="24"/>
      <c r="O13886" s="24"/>
      <c r="P13886" s="24"/>
      <c r="Q13886" s="24"/>
      <c r="R13886" s="24"/>
      <c r="S13886" s="24"/>
      <c r="T13886" s="24"/>
      <c r="U13886" s="24"/>
      <c r="V13886" s="24"/>
      <c r="W13886" s="24"/>
      <c r="X13886" s="24"/>
      <c r="Y13886" s="24"/>
      <c r="Z13886" s="24"/>
      <c r="AA13886" s="24"/>
    </row>
    <row r="13887">
      <c r="A13887" s="24"/>
      <c r="B13887" s="25"/>
      <c r="C13887" s="24"/>
      <c r="D13887" s="26"/>
      <c r="E13887" s="24"/>
      <c r="F13887" s="24"/>
      <c r="G13887" s="24"/>
      <c r="H13887" s="24"/>
      <c r="I13887" s="24"/>
      <c r="J13887" s="24"/>
      <c r="K13887" s="24"/>
      <c r="L13887" s="24"/>
      <c r="M13887" s="24"/>
      <c r="N13887" s="24"/>
      <c r="O13887" s="24"/>
      <c r="P13887" s="24"/>
      <c r="Q13887" s="24"/>
      <c r="R13887" s="24"/>
      <c r="S13887" s="24"/>
      <c r="T13887" s="24"/>
      <c r="U13887" s="24"/>
      <c r="V13887" s="24"/>
      <c r="W13887" s="24"/>
      <c r="X13887" s="24"/>
      <c r="Y13887" s="24"/>
      <c r="Z13887" s="24"/>
      <c r="AA13887" s="24"/>
    </row>
    <row r="13888">
      <c r="A13888" s="24"/>
      <c r="B13888" s="25"/>
      <c r="C13888" s="24"/>
      <c r="D13888" s="26"/>
      <c r="E13888" s="24"/>
      <c r="F13888" s="24"/>
      <c r="G13888" s="24"/>
      <c r="H13888" s="24"/>
      <c r="I13888" s="24"/>
      <c r="J13888" s="24"/>
      <c r="K13888" s="24"/>
      <c r="L13888" s="24"/>
      <c r="M13888" s="24"/>
      <c r="N13888" s="24"/>
      <c r="O13888" s="24"/>
      <c r="P13888" s="24"/>
      <c r="Q13888" s="24"/>
      <c r="R13888" s="24"/>
      <c r="S13888" s="24"/>
      <c r="T13888" s="24"/>
      <c r="U13888" s="24"/>
      <c r="V13888" s="24"/>
      <c r="W13888" s="24"/>
      <c r="X13888" s="24"/>
      <c r="Y13888" s="24"/>
      <c r="Z13888" s="24"/>
      <c r="AA13888" s="24"/>
    </row>
    <row r="13889">
      <c r="A13889" s="24"/>
      <c r="B13889" s="25"/>
      <c r="C13889" s="24"/>
      <c r="D13889" s="26"/>
      <c r="E13889" s="24"/>
      <c r="F13889" s="24"/>
      <c r="G13889" s="24"/>
      <c r="H13889" s="24"/>
      <c r="I13889" s="24"/>
      <c r="J13889" s="24"/>
      <c r="K13889" s="24"/>
      <c r="L13889" s="24"/>
      <c r="M13889" s="24"/>
      <c r="N13889" s="24"/>
      <c r="O13889" s="24"/>
      <c r="P13889" s="24"/>
      <c r="Q13889" s="24"/>
      <c r="R13889" s="24"/>
      <c r="S13889" s="24"/>
      <c r="T13889" s="24"/>
      <c r="U13889" s="24"/>
      <c r="V13889" s="24"/>
      <c r="W13889" s="24"/>
      <c r="X13889" s="24"/>
      <c r="Y13889" s="24"/>
      <c r="Z13889" s="24"/>
      <c r="AA13889" s="24"/>
    </row>
    <row r="13890">
      <c r="A13890" s="24"/>
      <c r="B13890" s="25"/>
      <c r="C13890" s="24"/>
      <c r="D13890" s="26"/>
      <c r="E13890" s="24"/>
      <c r="F13890" s="24"/>
      <c r="G13890" s="24"/>
      <c r="H13890" s="24"/>
      <c r="I13890" s="24"/>
      <c r="J13890" s="24"/>
      <c r="K13890" s="24"/>
      <c r="L13890" s="24"/>
      <c r="M13890" s="24"/>
      <c r="N13890" s="24"/>
      <c r="O13890" s="24"/>
      <c r="P13890" s="24"/>
      <c r="Q13890" s="24"/>
      <c r="R13890" s="24"/>
      <c r="S13890" s="24"/>
      <c r="T13890" s="24"/>
      <c r="U13890" s="24"/>
      <c r="V13890" s="24"/>
      <c r="W13890" s="24"/>
      <c r="X13890" s="24"/>
      <c r="Y13890" s="24"/>
      <c r="Z13890" s="24"/>
      <c r="AA13890" s="24"/>
    </row>
    <row r="13891">
      <c r="A13891" s="24"/>
      <c r="B13891" s="25"/>
      <c r="C13891" s="24"/>
      <c r="D13891" s="26"/>
      <c r="E13891" s="24"/>
      <c r="F13891" s="24"/>
      <c r="G13891" s="24"/>
      <c r="H13891" s="24"/>
      <c r="I13891" s="24"/>
      <c r="J13891" s="24"/>
      <c r="K13891" s="24"/>
      <c r="L13891" s="24"/>
      <c r="M13891" s="24"/>
      <c r="N13891" s="24"/>
      <c r="O13891" s="24"/>
      <c r="P13891" s="24"/>
      <c r="Q13891" s="24"/>
      <c r="R13891" s="24"/>
      <c r="S13891" s="24"/>
      <c r="T13891" s="24"/>
      <c r="U13891" s="24"/>
      <c r="V13891" s="24"/>
      <c r="W13891" s="24"/>
      <c r="X13891" s="24"/>
      <c r="Y13891" s="24"/>
      <c r="Z13891" s="24"/>
      <c r="AA13891" s="24"/>
    </row>
    <row r="13892">
      <c r="A13892" s="24"/>
      <c r="B13892" s="25"/>
      <c r="C13892" s="24"/>
      <c r="D13892" s="26"/>
      <c r="E13892" s="24"/>
      <c r="F13892" s="24"/>
      <c r="G13892" s="24"/>
      <c r="H13892" s="24"/>
      <c r="I13892" s="24"/>
      <c r="J13892" s="24"/>
      <c r="K13892" s="24"/>
      <c r="L13892" s="24"/>
      <c r="M13892" s="24"/>
      <c r="N13892" s="24"/>
      <c r="O13892" s="24"/>
      <c r="P13892" s="24"/>
      <c r="Q13892" s="24"/>
      <c r="R13892" s="24"/>
      <c r="S13892" s="24"/>
      <c r="T13892" s="24"/>
      <c r="U13892" s="24"/>
      <c r="V13892" s="24"/>
      <c r="W13892" s="24"/>
      <c r="X13892" s="24"/>
      <c r="Y13892" s="24"/>
      <c r="Z13892" s="24"/>
      <c r="AA13892" s="24"/>
    </row>
    <row r="13893">
      <c r="A13893" s="24"/>
      <c r="B13893" s="25"/>
      <c r="C13893" s="24"/>
      <c r="D13893" s="26"/>
      <c r="E13893" s="24"/>
      <c r="F13893" s="24"/>
      <c r="G13893" s="24"/>
      <c r="H13893" s="24"/>
      <c r="I13893" s="24"/>
      <c r="J13893" s="24"/>
      <c r="K13893" s="24"/>
      <c r="L13893" s="24"/>
      <c r="M13893" s="24"/>
      <c r="N13893" s="24"/>
      <c r="O13893" s="24"/>
      <c r="P13893" s="24"/>
      <c r="Q13893" s="24"/>
      <c r="R13893" s="24"/>
      <c r="S13893" s="24"/>
      <c r="T13893" s="24"/>
      <c r="U13893" s="24"/>
      <c r="V13893" s="24"/>
      <c r="W13893" s="24"/>
      <c r="X13893" s="24"/>
      <c r="Y13893" s="24"/>
      <c r="Z13893" s="24"/>
      <c r="AA13893" s="24"/>
    </row>
    <row r="13894">
      <c r="A13894" s="24"/>
      <c r="B13894" s="25"/>
      <c r="C13894" s="24"/>
      <c r="D13894" s="26"/>
      <c r="E13894" s="24"/>
      <c r="F13894" s="24"/>
      <c r="G13894" s="24"/>
      <c r="H13894" s="24"/>
      <c r="I13894" s="24"/>
      <c r="J13894" s="24"/>
      <c r="K13894" s="24"/>
      <c r="L13894" s="24"/>
      <c r="M13894" s="24"/>
      <c r="N13894" s="24"/>
      <c r="O13894" s="24"/>
      <c r="P13894" s="24"/>
      <c r="Q13894" s="24"/>
      <c r="R13894" s="24"/>
      <c r="S13894" s="24"/>
      <c r="T13894" s="24"/>
      <c r="U13894" s="24"/>
      <c r="V13894" s="24"/>
      <c r="W13894" s="24"/>
      <c r="X13894" s="24"/>
      <c r="Y13894" s="24"/>
      <c r="Z13894" s="24"/>
      <c r="AA13894" s="24"/>
    </row>
    <row r="13895">
      <c r="A13895" s="24"/>
      <c r="B13895" s="25"/>
      <c r="C13895" s="24"/>
      <c r="D13895" s="26"/>
      <c r="E13895" s="24"/>
      <c r="F13895" s="24"/>
      <c r="G13895" s="24"/>
      <c r="H13895" s="24"/>
      <c r="I13895" s="24"/>
      <c r="J13895" s="24"/>
      <c r="K13895" s="24"/>
      <c r="L13895" s="24"/>
      <c r="M13895" s="24"/>
      <c r="N13895" s="24"/>
      <c r="O13895" s="24"/>
      <c r="P13895" s="24"/>
      <c r="Q13895" s="24"/>
      <c r="R13895" s="24"/>
      <c r="S13895" s="24"/>
      <c r="T13895" s="24"/>
      <c r="U13895" s="24"/>
      <c r="V13895" s="24"/>
      <c r="W13895" s="24"/>
      <c r="X13895" s="24"/>
      <c r="Y13895" s="24"/>
      <c r="Z13895" s="24"/>
      <c r="AA13895" s="24"/>
    </row>
    <row r="13896">
      <c r="A13896" s="24"/>
      <c r="B13896" s="25"/>
      <c r="C13896" s="24"/>
      <c r="D13896" s="26"/>
      <c r="E13896" s="24"/>
      <c r="F13896" s="24"/>
      <c r="G13896" s="24"/>
      <c r="H13896" s="24"/>
      <c r="I13896" s="24"/>
      <c r="J13896" s="24"/>
      <c r="K13896" s="24"/>
      <c r="L13896" s="24"/>
      <c r="M13896" s="24"/>
      <c r="N13896" s="24"/>
      <c r="O13896" s="24"/>
      <c r="P13896" s="24"/>
      <c r="Q13896" s="24"/>
      <c r="R13896" s="24"/>
      <c r="S13896" s="24"/>
      <c r="T13896" s="24"/>
      <c r="U13896" s="24"/>
      <c r="V13896" s="24"/>
      <c r="W13896" s="24"/>
      <c r="X13896" s="24"/>
      <c r="Y13896" s="24"/>
      <c r="Z13896" s="24"/>
      <c r="AA13896" s="24"/>
    </row>
    <row r="13897">
      <c r="A13897" s="24"/>
      <c r="B13897" s="25"/>
      <c r="C13897" s="24"/>
      <c r="D13897" s="26"/>
      <c r="E13897" s="24"/>
      <c r="F13897" s="24"/>
      <c r="G13897" s="24"/>
      <c r="H13897" s="24"/>
      <c r="I13897" s="24"/>
      <c r="J13897" s="24"/>
      <c r="K13897" s="24"/>
      <c r="L13897" s="24"/>
      <c r="M13897" s="24"/>
      <c r="N13897" s="24"/>
      <c r="O13897" s="24"/>
      <c r="P13897" s="24"/>
      <c r="Q13897" s="24"/>
      <c r="R13897" s="24"/>
      <c r="S13897" s="24"/>
      <c r="T13897" s="24"/>
      <c r="U13897" s="24"/>
      <c r="V13897" s="24"/>
      <c r="W13897" s="24"/>
      <c r="X13897" s="24"/>
      <c r="Y13897" s="24"/>
      <c r="Z13897" s="24"/>
      <c r="AA13897" s="24"/>
    </row>
    <row r="13898">
      <c r="A13898" s="24"/>
      <c r="B13898" s="25"/>
      <c r="C13898" s="24"/>
      <c r="D13898" s="26"/>
      <c r="E13898" s="24"/>
      <c r="F13898" s="24"/>
      <c r="G13898" s="24"/>
      <c r="H13898" s="24"/>
      <c r="I13898" s="24"/>
      <c r="J13898" s="24"/>
      <c r="K13898" s="24"/>
      <c r="L13898" s="24"/>
      <c r="M13898" s="24"/>
      <c r="N13898" s="24"/>
      <c r="O13898" s="24"/>
      <c r="P13898" s="24"/>
      <c r="Q13898" s="24"/>
      <c r="R13898" s="24"/>
      <c r="S13898" s="24"/>
      <c r="T13898" s="24"/>
      <c r="U13898" s="24"/>
      <c r="V13898" s="24"/>
      <c r="W13898" s="24"/>
      <c r="X13898" s="24"/>
      <c r="Y13898" s="24"/>
      <c r="Z13898" s="24"/>
      <c r="AA13898" s="24"/>
    </row>
    <row r="13899">
      <c r="A13899" s="24"/>
      <c r="B13899" s="25"/>
      <c r="C13899" s="24"/>
      <c r="D13899" s="26"/>
      <c r="E13899" s="24"/>
      <c r="F13899" s="24"/>
      <c r="G13899" s="24"/>
      <c r="H13899" s="24"/>
      <c r="I13899" s="24"/>
      <c r="J13899" s="24"/>
      <c r="K13899" s="24"/>
      <c r="L13899" s="24"/>
      <c r="M13899" s="24"/>
      <c r="N13899" s="24"/>
      <c r="O13899" s="24"/>
      <c r="P13899" s="24"/>
      <c r="Q13899" s="24"/>
      <c r="R13899" s="24"/>
      <c r="S13899" s="24"/>
      <c r="T13899" s="24"/>
      <c r="U13899" s="24"/>
      <c r="V13899" s="24"/>
      <c r="W13899" s="24"/>
      <c r="X13899" s="24"/>
      <c r="Y13899" s="24"/>
      <c r="Z13899" s="24"/>
      <c r="AA13899" s="24"/>
    </row>
    <row r="13900">
      <c r="A13900" s="24"/>
      <c r="B13900" s="25"/>
      <c r="C13900" s="24"/>
      <c r="D13900" s="26"/>
      <c r="E13900" s="24"/>
      <c r="F13900" s="24"/>
      <c r="G13900" s="24"/>
      <c r="H13900" s="24"/>
      <c r="I13900" s="24"/>
      <c r="J13900" s="24"/>
      <c r="K13900" s="24"/>
      <c r="L13900" s="24"/>
      <c r="M13900" s="24"/>
      <c r="N13900" s="24"/>
      <c r="O13900" s="24"/>
      <c r="P13900" s="24"/>
      <c r="Q13900" s="24"/>
      <c r="R13900" s="24"/>
      <c r="S13900" s="24"/>
      <c r="T13900" s="24"/>
      <c r="U13900" s="24"/>
      <c r="V13900" s="24"/>
      <c r="W13900" s="24"/>
      <c r="X13900" s="24"/>
      <c r="Y13900" s="24"/>
      <c r="Z13900" s="24"/>
      <c r="AA13900" s="24"/>
    </row>
    <row r="13901">
      <c r="A13901" s="24"/>
      <c r="B13901" s="25"/>
      <c r="C13901" s="24"/>
      <c r="D13901" s="26"/>
      <c r="E13901" s="24"/>
      <c r="F13901" s="24"/>
      <c r="G13901" s="24"/>
      <c r="H13901" s="24"/>
      <c r="I13901" s="24"/>
      <c r="J13901" s="24"/>
      <c r="K13901" s="24"/>
      <c r="L13901" s="24"/>
      <c r="M13901" s="24"/>
      <c r="N13901" s="24"/>
      <c r="O13901" s="24"/>
      <c r="P13901" s="24"/>
      <c r="Q13901" s="24"/>
      <c r="R13901" s="24"/>
      <c r="S13901" s="24"/>
      <c r="T13901" s="24"/>
      <c r="U13901" s="24"/>
      <c r="V13901" s="24"/>
      <c r="W13901" s="24"/>
      <c r="X13901" s="24"/>
      <c r="Y13901" s="24"/>
      <c r="Z13901" s="24"/>
      <c r="AA13901" s="24"/>
    </row>
    <row r="13902">
      <c r="A13902" s="24"/>
      <c r="B13902" s="25"/>
      <c r="C13902" s="24"/>
      <c r="D13902" s="26"/>
      <c r="E13902" s="24"/>
      <c r="F13902" s="24"/>
      <c r="G13902" s="24"/>
      <c r="H13902" s="24"/>
      <c r="I13902" s="24"/>
      <c r="J13902" s="24"/>
      <c r="K13902" s="24"/>
      <c r="L13902" s="24"/>
      <c r="M13902" s="24"/>
      <c r="N13902" s="24"/>
      <c r="O13902" s="24"/>
      <c r="P13902" s="24"/>
      <c r="Q13902" s="24"/>
      <c r="R13902" s="24"/>
      <c r="S13902" s="24"/>
      <c r="T13902" s="24"/>
      <c r="U13902" s="24"/>
      <c r="V13902" s="24"/>
      <c r="W13902" s="24"/>
      <c r="X13902" s="24"/>
      <c r="Y13902" s="24"/>
      <c r="Z13902" s="24"/>
      <c r="AA13902" s="24"/>
    </row>
    <row r="13903">
      <c r="A13903" s="24"/>
      <c r="B13903" s="25"/>
      <c r="C13903" s="24"/>
      <c r="D13903" s="26"/>
      <c r="E13903" s="24"/>
      <c r="F13903" s="24"/>
      <c r="G13903" s="24"/>
      <c r="H13903" s="24"/>
      <c r="I13903" s="24"/>
      <c r="J13903" s="24"/>
      <c r="K13903" s="24"/>
      <c r="L13903" s="24"/>
      <c r="M13903" s="24"/>
      <c r="N13903" s="24"/>
      <c r="O13903" s="24"/>
      <c r="P13903" s="24"/>
      <c r="Q13903" s="24"/>
      <c r="R13903" s="24"/>
      <c r="S13903" s="24"/>
      <c r="T13903" s="24"/>
      <c r="U13903" s="24"/>
      <c r="V13903" s="24"/>
      <c r="W13903" s="24"/>
      <c r="X13903" s="24"/>
      <c r="Y13903" s="24"/>
      <c r="Z13903" s="24"/>
      <c r="AA13903" s="24"/>
    </row>
    <row r="13904">
      <c r="A13904" s="24"/>
      <c r="B13904" s="25"/>
      <c r="C13904" s="24"/>
      <c r="D13904" s="26"/>
      <c r="E13904" s="24"/>
      <c r="F13904" s="24"/>
      <c r="G13904" s="24"/>
      <c r="H13904" s="24"/>
      <c r="I13904" s="24"/>
      <c r="J13904" s="24"/>
      <c r="K13904" s="24"/>
      <c r="L13904" s="24"/>
      <c r="M13904" s="24"/>
      <c r="N13904" s="24"/>
      <c r="O13904" s="24"/>
      <c r="P13904" s="24"/>
      <c r="Q13904" s="24"/>
      <c r="R13904" s="24"/>
      <c r="S13904" s="24"/>
      <c r="T13904" s="24"/>
      <c r="U13904" s="24"/>
      <c r="V13904" s="24"/>
      <c r="W13904" s="24"/>
      <c r="X13904" s="24"/>
      <c r="Y13904" s="24"/>
      <c r="Z13904" s="24"/>
      <c r="AA13904" s="24"/>
    </row>
    <row r="13905">
      <c r="A13905" s="24"/>
      <c r="B13905" s="25"/>
      <c r="C13905" s="24"/>
      <c r="D13905" s="26"/>
      <c r="E13905" s="24"/>
      <c r="F13905" s="24"/>
      <c r="G13905" s="24"/>
      <c r="H13905" s="24"/>
      <c r="I13905" s="24"/>
      <c r="J13905" s="24"/>
      <c r="K13905" s="24"/>
      <c r="L13905" s="24"/>
      <c r="M13905" s="24"/>
      <c r="N13905" s="24"/>
      <c r="O13905" s="24"/>
      <c r="P13905" s="24"/>
      <c r="Q13905" s="24"/>
      <c r="R13905" s="24"/>
      <c r="S13905" s="24"/>
      <c r="T13905" s="24"/>
      <c r="U13905" s="24"/>
      <c r="V13905" s="24"/>
      <c r="W13905" s="24"/>
      <c r="X13905" s="24"/>
      <c r="Y13905" s="24"/>
      <c r="Z13905" s="24"/>
      <c r="AA13905" s="24"/>
    </row>
    <row r="13906">
      <c r="A13906" s="24"/>
      <c r="B13906" s="25"/>
      <c r="C13906" s="24"/>
      <c r="D13906" s="26"/>
      <c r="E13906" s="24"/>
      <c r="F13906" s="24"/>
      <c r="G13906" s="24"/>
      <c r="H13906" s="24"/>
      <c r="I13906" s="24"/>
      <c r="J13906" s="24"/>
      <c r="K13906" s="24"/>
      <c r="L13906" s="24"/>
      <c r="M13906" s="24"/>
      <c r="N13906" s="24"/>
      <c r="O13906" s="24"/>
      <c r="P13906" s="24"/>
      <c r="Q13906" s="24"/>
      <c r="R13906" s="24"/>
      <c r="S13906" s="24"/>
      <c r="T13906" s="24"/>
      <c r="U13906" s="24"/>
      <c r="V13906" s="24"/>
      <c r="W13906" s="24"/>
      <c r="X13906" s="24"/>
      <c r="Y13906" s="24"/>
      <c r="Z13906" s="24"/>
      <c r="AA13906" s="24"/>
    </row>
    <row r="13907">
      <c r="A13907" s="24"/>
      <c r="B13907" s="25"/>
      <c r="C13907" s="24"/>
      <c r="D13907" s="26"/>
      <c r="E13907" s="24"/>
      <c r="F13907" s="24"/>
      <c r="G13907" s="24"/>
      <c r="H13907" s="24"/>
      <c r="I13907" s="24"/>
      <c r="J13907" s="24"/>
      <c r="K13907" s="24"/>
      <c r="L13907" s="24"/>
      <c r="M13907" s="24"/>
      <c r="N13907" s="24"/>
      <c r="O13907" s="24"/>
      <c r="P13907" s="24"/>
      <c r="Q13907" s="24"/>
      <c r="R13907" s="24"/>
      <c r="S13907" s="24"/>
      <c r="T13907" s="24"/>
      <c r="U13907" s="24"/>
      <c r="V13907" s="24"/>
      <c r="W13907" s="24"/>
      <c r="X13907" s="24"/>
      <c r="Y13907" s="24"/>
      <c r="Z13907" s="24"/>
      <c r="AA13907" s="24"/>
    </row>
    <row r="13908">
      <c r="A13908" s="24"/>
      <c r="B13908" s="25"/>
      <c r="C13908" s="24"/>
      <c r="D13908" s="26"/>
      <c r="E13908" s="24"/>
      <c r="F13908" s="24"/>
      <c r="G13908" s="24"/>
      <c r="H13908" s="24"/>
      <c r="I13908" s="24"/>
      <c r="J13908" s="24"/>
      <c r="K13908" s="24"/>
      <c r="L13908" s="24"/>
      <c r="M13908" s="24"/>
      <c r="N13908" s="24"/>
      <c r="O13908" s="24"/>
      <c r="P13908" s="24"/>
      <c r="Q13908" s="24"/>
      <c r="R13908" s="24"/>
      <c r="S13908" s="24"/>
      <c r="T13908" s="24"/>
      <c r="U13908" s="24"/>
      <c r="V13908" s="24"/>
      <c r="W13908" s="24"/>
      <c r="X13908" s="24"/>
      <c r="Y13908" s="24"/>
      <c r="Z13908" s="24"/>
      <c r="AA13908" s="24"/>
    </row>
    <row r="13909">
      <c r="A13909" s="24"/>
      <c r="B13909" s="25"/>
      <c r="C13909" s="24"/>
      <c r="D13909" s="26"/>
      <c r="E13909" s="24"/>
      <c r="F13909" s="24"/>
      <c r="G13909" s="24"/>
      <c r="H13909" s="24"/>
      <c r="I13909" s="24"/>
      <c r="J13909" s="24"/>
      <c r="K13909" s="24"/>
      <c r="L13909" s="24"/>
      <c r="M13909" s="24"/>
      <c r="N13909" s="24"/>
      <c r="O13909" s="24"/>
      <c r="P13909" s="24"/>
      <c r="Q13909" s="24"/>
      <c r="R13909" s="24"/>
      <c r="S13909" s="24"/>
      <c r="T13909" s="24"/>
      <c r="U13909" s="24"/>
      <c r="V13909" s="24"/>
      <c r="W13909" s="24"/>
      <c r="X13909" s="24"/>
      <c r="Y13909" s="24"/>
      <c r="Z13909" s="24"/>
      <c r="AA13909" s="24"/>
    </row>
    <row r="13910">
      <c r="A13910" s="24"/>
      <c r="B13910" s="25"/>
      <c r="C13910" s="24"/>
      <c r="D13910" s="26"/>
      <c r="E13910" s="24"/>
      <c r="F13910" s="24"/>
      <c r="G13910" s="24"/>
      <c r="H13910" s="24"/>
      <c r="I13910" s="24"/>
      <c r="J13910" s="24"/>
      <c r="K13910" s="24"/>
      <c r="L13910" s="24"/>
      <c r="M13910" s="24"/>
      <c r="N13910" s="24"/>
      <c r="O13910" s="24"/>
      <c r="P13910" s="24"/>
      <c r="Q13910" s="24"/>
      <c r="R13910" s="24"/>
      <c r="S13910" s="24"/>
      <c r="T13910" s="24"/>
      <c r="U13910" s="24"/>
      <c r="V13910" s="24"/>
      <c r="W13910" s="24"/>
      <c r="X13910" s="24"/>
      <c r="Y13910" s="24"/>
      <c r="Z13910" s="24"/>
      <c r="AA13910" s="24"/>
    </row>
    <row r="13911">
      <c r="A13911" s="24"/>
      <c r="B13911" s="25"/>
      <c r="C13911" s="24"/>
      <c r="D13911" s="26"/>
      <c r="E13911" s="24"/>
      <c r="F13911" s="24"/>
      <c r="G13911" s="24"/>
      <c r="H13911" s="24"/>
      <c r="I13911" s="24"/>
      <c r="J13911" s="24"/>
      <c r="K13911" s="24"/>
      <c r="L13911" s="24"/>
      <c r="M13911" s="24"/>
      <c r="N13911" s="24"/>
      <c r="O13911" s="24"/>
      <c r="P13911" s="24"/>
      <c r="Q13911" s="24"/>
      <c r="R13911" s="24"/>
      <c r="S13911" s="24"/>
      <c r="T13911" s="24"/>
      <c r="U13911" s="24"/>
      <c r="V13911" s="24"/>
      <c r="W13911" s="24"/>
      <c r="X13911" s="24"/>
      <c r="Y13911" s="24"/>
      <c r="Z13911" s="24"/>
      <c r="AA13911" s="24"/>
    </row>
    <row r="13912">
      <c r="A13912" s="24"/>
      <c r="B13912" s="25"/>
      <c r="C13912" s="24"/>
      <c r="D13912" s="26"/>
      <c r="E13912" s="24"/>
      <c r="F13912" s="24"/>
      <c r="G13912" s="24"/>
      <c r="H13912" s="24"/>
      <c r="I13912" s="24"/>
      <c r="J13912" s="24"/>
      <c r="K13912" s="24"/>
      <c r="L13912" s="24"/>
      <c r="M13912" s="24"/>
      <c r="N13912" s="24"/>
      <c r="O13912" s="24"/>
      <c r="P13912" s="24"/>
      <c r="Q13912" s="24"/>
      <c r="R13912" s="24"/>
      <c r="S13912" s="24"/>
      <c r="T13912" s="24"/>
      <c r="U13912" s="24"/>
      <c r="V13912" s="24"/>
      <c r="W13912" s="24"/>
      <c r="X13912" s="24"/>
      <c r="Y13912" s="24"/>
      <c r="Z13912" s="24"/>
      <c r="AA13912" s="24"/>
    </row>
    <row r="13913">
      <c r="A13913" s="24"/>
      <c r="B13913" s="25"/>
      <c r="C13913" s="24"/>
      <c r="D13913" s="26"/>
      <c r="E13913" s="24"/>
      <c r="F13913" s="24"/>
      <c r="G13913" s="24"/>
      <c r="H13913" s="24"/>
      <c r="I13913" s="24"/>
      <c r="J13913" s="24"/>
      <c r="K13913" s="24"/>
      <c r="L13913" s="24"/>
      <c r="M13913" s="24"/>
      <c r="N13913" s="24"/>
      <c r="O13913" s="24"/>
      <c r="P13913" s="24"/>
      <c r="Q13913" s="24"/>
      <c r="R13913" s="24"/>
      <c r="S13913" s="24"/>
      <c r="T13913" s="24"/>
      <c r="U13913" s="24"/>
      <c r="V13913" s="24"/>
      <c r="W13913" s="24"/>
      <c r="X13913" s="24"/>
      <c r="Y13913" s="24"/>
      <c r="Z13913" s="24"/>
      <c r="AA13913" s="24"/>
    </row>
    <row r="13914">
      <c r="A13914" s="24"/>
      <c r="B13914" s="25"/>
      <c r="C13914" s="24"/>
      <c r="D13914" s="26"/>
      <c r="E13914" s="24"/>
      <c r="F13914" s="24"/>
      <c r="G13914" s="24"/>
      <c r="H13914" s="24"/>
      <c r="I13914" s="24"/>
      <c r="J13914" s="24"/>
      <c r="K13914" s="24"/>
      <c r="L13914" s="24"/>
      <c r="M13914" s="24"/>
      <c r="N13914" s="24"/>
      <c r="O13914" s="24"/>
      <c r="P13914" s="24"/>
      <c r="Q13914" s="24"/>
      <c r="R13914" s="24"/>
      <c r="S13914" s="24"/>
      <c r="T13914" s="24"/>
      <c r="U13914" s="24"/>
      <c r="V13914" s="24"/>
      <c r="W13914" s="24"/>
      <c r="X13914" s="24"/>
      <c r="Y13914" s="24"/>
      <c r="Z13914" s="24"/>
      <c r="AA13914" s="24"/>
    </row>
    <row r="13915">
      <c r="A13915" s="24"/>
      <c r="B13915" s="25"/>
      <c r="C13915" s="24"/>
      <c r="D13915" s="26"/>
      <c r="E13915" s="24"/>
      <c r="F13915" s="24"/>
      <c r="G13915" s="24"/>
      <c r="H13915" s="24"/>
      <c r="I13915" s="24"/>
      <c r="J13915" s="24"/>
      <c r="K13915" s="24"/>
      <c r="L13915" s="24"/>
      <c r="M13915" s="24"/>
      <c r="N13915" s="24"/>
      <c r="O13915" s="24"/>
      <c r="P13915" s="24"/>
      <c r="Q13915" s="24"/>
      <c r="R13915" s="24"/>
      <c r="S13915" s="24"/>
      <c r="T13915" s="24"/>
      <c r="U13915" s="24"/>
      <c r="V13915" s="24"/>
      <c r="W13915" s="24"/>
      <c r="X13915" s="24"/>
      <c r="Y13915" s="24"/>
      <c r="Z13915" s="24"/>
      <c r="AA13915" s="24"/>
    </row>
    <row r="13916">
      <c r="A13916" s="24"/>
      <c r="B13916" s="25"/>
      <c r="C13916" s="24"/>
      <c r="D13916" s="26"/>
      <c r="E13916" s="24"/>
      <c r="F13916" s="24"/>
      <c r="G13916" s="24"/>
      <c r="H13916" s="24"/>
      <c r="I13916" s="24"/>
      <c r="J13916" s="24"/>
      <c r="K13916" s="24"/>
      <c r="L13916" s="24"/>
      <c r="M13916" s="24"/>
      <c r="N13916" s="24"/>
      <c r="O13916" s="24"/>
      <c r="P13916" s="24"/>
      <c r="Q13916" s="24"/>
      <c r="R13916" s="24"/>
      <c r="S13916" s="24"/>
      <c r="T13916" s="24"/>
      <c r="U13916" s="24"/>
      <c r="V13916" s="24"/>
      <c r="W13916" s="24"/>
      <c r="X13916" s="24"/>
      <c r="Y13916" s="24"/>
      <c r="Z13916" s="24"/>
      <c r="AA13916" s="24"/>
    </row>
    <row r="13917">
      <c r="A13917" s="24"/>
      <c r="B13917" s="25"/>
      <c r="C13917" s="24"/>
      <c r="D13917" s="26"/>
      <c r="E13917" s="24"/>
      <c r="F13917" s="24"/>
      <c r="G13917" s="24"/>
      <c r="H13917" s="24"/>
      <c r="I13917" s="24"/>
      <c r="J13917" s="24"/>
      <c r="K13917" s="24"/>
      <c r="L13917" s="24"/>
      <c r="M13917" s="24"/>
      <c r="N13917" s="24"/>
      <c r="O13917" s="24"/>
      <c r="P13917" s="24"/>
      <c r="Q13917" s="24"/>
      <c r="R13917" s="24"/>
      <c r="S13917" s="24"/>
      <c r="T13917" s="24"/>
      <c r="U13917" s="24"/>
      <c r="V13917" s="24"/>
      <c r="W13917" s="24"/>
      <c r="X13917" s="24"/>
      <c r="Y13917" s="24"/>
      <c r="Z13917" s="24"/>
      <c r="AA13917" s="24"/>
    </row>
    <row r="13918">
      <c r="A13918" s="24"/>
      <c r="B13918" s="25"/>
      <c r="C13918" s="24"/>
      <c r="D13918" s="26"/>
      <c r="E13918" s="24"/>
      <c r="F13918" s="24"/>
      <c r="G13918" s="24"/>
      <c r="H13918" s="24"/>
      <c r="I13918" s="24"/>
      <c r="J13918" s="24"/>
      <c r="K13918" s="24"/>
      <c r="L13918" s="24"/>
      <c r="M13918" s="24"/>
      <c r="N13918" s="24"/>
      <c r="O13918" s="24"/>
      <c r="P13918" s="24"/>
      <c r="Q13918" s="24"/>
      <c r="R13918" s="24"/>
      <c r="S13918" s="24"/>
      <c r="T13918" s="24"/>
      <c r="U13918" s="24"/>
      <c r="V13918" s="24"/>
      <c r="W13918" s="24"/>
      <c r="X13918" s="24"/>
      <c r="Y13918" s="24"/>
      <c r="Z13918" s="24"/>
      <c r="AA13918" s="24"/>
    </row>
    <row r="13919">
      <c r="A13919" s="24"/>
      <c r="B13919" s="25"/>
      <c r="C13919" s="24"/>
      <c r="D13919" s="26"/>
      <c r="E13919" s="24"/>
      <c r="F13919" s="24"/>
      <c r="G13919" s="24"/>
      <c r="H13919" s="24"/>
      <c r="I13919" s="24"/>
      <c r="J13919" s="24"/>
      <c r="K13919" s="24"/>
      <c r="L13919" s="24"/>
      <c r="M13919" s="24"/>
      <c r="N13919" s="24"/>
      <c r="O13919" s="24"/>
      <c r="P13919" s="24"/>
      <c r="Q13919" s="24"/>
      <c r="R13919" s="24"/>
      <c r="S13919" s="24"/>
      <c r="T13919" s="24"/>
      <c r="U13919" s="24"/>
      <c r="V13919" s="24"/>
      <c r="W13919" s="24"/>
      <c r="X13919" s="24"/>
      <c r="Y13919" s="24"/>
      <c r="Z13919" s="24"/>
      <c r="AA13919" s="24"/>
    </row>
    <row r="13920">
      <c r="A13920" s="24"/>
      <c r="B13920" s="25"/>
      <c r="C13920" s="24"/>
      <c r="D13920" s="26"/>
      <c r="E13920" s="24"/>
      <c r="F13920" s="24"/>
      <c r="G13920" s="24"/>
      <c r="H13920" s="24"/>
      <c r="I13920" s="24"/>
      <c r="J13920" s="24"/>
      <c r="K13920" s="24"/>
      <c r="L13920" s="24"/>
      <c r="M13920" s="24"/>
      <c r="N13920" s="24"/>
      <c r="O13920" s="24"/>
      <c r="P13920" s="24"/>
      <c r="Q13920" s="24"/>
      <c r="R13920" s="24"/>
      <c r="S13920" s="24"/>
      <c r="T13920" s="24"/>
      <c r="U13920" s="24"/>
      <c r="V13920" s="24"/>
      <c r="W13920" s="24"/>
      <c r="X13920" s="24"/>
      <c r="Y13920" s="24"/>
      <c r="Z13920" s="24"/>
      <c r="AA13920" s="24"/>
    </row>
    <row r="13921">
      <c r="A13921" s="24"/>
      <c r="B13921" s="25"/>
      <c r="C13921" s="24"/>
      <c r="D13921" s="26"/>
      <c r="E13921" s="24"/>
      <c r="F13921" s="24"/>
      <c r="G13921" s="24"/>
      <c r="H13921" s="24"/>
      <c r="I13921" s="24"/>
      <c r="J13921" s="24"/>
      <c r="K13921" s="24"/>
      <c r="L13921" s="24"/>
      <c r="M13921" s="24"/>
      <c r="N13921" s="24"/>
      <c r="O13921" s="24"/>
      <c r="P13921" s="24"/>
      <c r="Q13921" s="24"/>
      <c r="R13921" s="24"/>
      <c r="S13921" s="24"/>
      <c r="T13921" s="24"/>
      <c r="U13921" s="24"/>
      <c r="V13921" s="24"/>
      <c r="W13921" s="24"/>
      <c r="X13921" s="24"/>
      <c r="Y13921" s="24"/>
      <c r="Z13921" s="24"/>
      <c r="AA13921" s="24"/>
    </row>
    <row r="13922">
      <c r="A13922" s="24"/>
      <c r="B13922" s="25"/>
      <c r="C13922" s="24"/>
      <c r="D13922" s="26"/>
      <c r="E13922" s="24"/>
      <c r="F13922" s="24"/>
      <c r="G13922" s="24"/>
      <c r="H13922" s="24"/>
      <c r="I13922" s="24"/>
      <c r="J13922" s="24"/>
      <c r="K13922" s="24"/>
      <c r="L13922" s="24"/>
      <c r="M13922" s="24"/>
      <c r="N13922" s="24"/>
      <c r="O13922" s="24"/>
      <c r="P13922" s="24"/>
      <c r="Q13922" s="24"/>
      <c r="R13922" s="24"/>
      <c r="S13922" s="24"/>
      <c r="T13922" s="24"/>
      <c r="U13922" s="24"/>
      <c r="V13922" s="24"/>
      <c r="W13922" s="24"/>
      <c r="X13922" s="24"/>
      <c r="Y13922" s="24"/>
      <c r="Z13922" s="24"/>
      <c r="AA13922" s="24"/>
    </row>
    <row r="13923">
      <c r="A13923" s="24"/>
      <c r="B13923" s="25"/>
      <c r="C13923" s="24"/>
      <c r="D13923" s="26"/>
      <c r="E13923" s="24"/>
      <c r="F13923" s="24"/>
      <c r="G13923" s="24"/>
      <c r="H13923" s="24"/>
      <c r="I13923" s="24"/>
      <c r="J13923" s="24"/>
      <c r="K13923" s="24"/>
      <c r="L13923" s="24"/>
      <c r="M13923" s="24"/>
      <c r="N13923" s="24"/>
      <c r="O13923" s="24"/>
      <c r="P13923" s="24"/>
      <c r="Q13923" s="24"/>
      <c r="R13923" s="24"/>
      <c r="S13923" s="24"/>
      <c r="T13923" s="24"/>
      <c r="U13923" s="24"/>
      <c r="V13923" s="24"/>
      <c r="W13923" s="24"/>
      <c r="X13923" s="24"/>
      <c r="Y13923" s="24"/>
      <c r="Z13923" s="24"/>
      <c r="AA13923" s="24"/>
    </row>
    <row r="13924">
      <c r="A13924" s="24"/>
      <c r="B13924" s="25"/>
      <c r="C13924" s="24"/>
      <c r="D13924" s="26"/>
      <c r="E13924" s="24"/>
      <c r="F13924" s="24"/>
      <c r="G13924" s="24"/>
      <c r="H13924" s="24"/>
      <c r="I13924" s="24"/>
      <c r="J13924" s="24"/>
      <c r="K13924" s="24"/>
      <c r="L13924" s="24"/>
      <c r="M13924" s="24"/>
      <c r="N13924" s="24"/>
      <c r="O13924" s="24"/>
      <c r="P13924" s="24"/>
      <c r="Q13924" s="24"/>
      <c r="R13924" s="24"/>
      <c r="S13924" s="24"/>
      <c r="T13924" s="24"/>
      <c r="U13924" s="24"/>
      <c r="V13924" s="24"/>
      <c r="W13924" s="24"/>
      <c r="X13924" s="24"/>
      <c r="Y13924" s="24"/>
      <c r="Z13924" s="24"/>
      <c r="AA13924" s="24"/>
    </row>
    <row r="13925">
      <c r="A13925" s="24"/>
      <c r="B13925" s="25"/>
      <c r="C13925" s="24"/>
      <c r="D13925" s="26"/>
      <c r="E13925" s="24"/>
      <c r="F13925" s="24"/>
      <c r="G13925" s="24"/>
      <c r="H13925" s="24"/>
      <c r="I13925" s="24"/>
      <c r="J13925" s="24"/>
      <c r="K13925" s="24"/>
      <c r="L13925" s="24"/>
      <c r="M13925" s="24"/>
      <c r="N13925" s="24"/>
      <c r="O13925" s="24"/>
      <c r="P13925" s="24"/>
      <c r="Q13925" s="24"/>
      <c r="R13925" s="24"/>
      <c r="S13925" s="24"/>
      <c r="T13925" s="24"/>
      <c r="U13925" s="24"/>
      <c r="V13925" s="24"/>
      <c r="W13925" s="24"/>
      <c r="X13925" s="24"/>
      <c r="Y13925" s="24"/>
      <c r="Z13925" s="24"/>
      <c r="AA13925" s="24"/>
    </row>
    <row r="13926">
      <c r="A13926" s="24"/>
      <c r="B13926" s="25"/>
      <c r="C13926" s="24"/>
      <c r="D13926" s="26"/>
      <c r="E13926" s="24"/>
      <c r="F13926" s="24"/>
      <c r="G13926" s="24"/>
      <c r="H13926" s="24"/>
      <c r="I13926" s="24"/>
      <c r="J13926" s="24"/>
      <c r="K13926" s="24"/>
      <c r="L13926" s="24"/>
      <c r="M13926" s="24"/>
      <c r="N13926" s="24"/>
      <c r="O13926" s="24"/>
      <c r="P13926" s="24"/>
      <c r="Q13926" s="24"/>
      <c r="R13926" s="24"/>
      <c r="S13926" s="24"/>
      <c r="T13926" s="24"/>
      <c r="U13926" s="24"/>
      <c r="V13926" s="24"/>
      <c r="W13926" s="24"/>
      <c r="X13926" s="24"/>
      <c r="Y13926" s="24"/>
      <c r="Z13926" s="24"/>
      <c r="AA13926" s="24"/>
    </row>
    <row r="13927">
      <c r="A13927" s="24"/>
      <c r="B13927" s="25"/>
      <c r="C13927" s="24"/>
      <c r="D13927" s="26"/>
      <c r="E13927" s="24"/>
      <c r="F13927" s="24"/>
      <c r="G13927" s="24"/>
      <c r="H13927" s="24"/>
      <c r="I13927" s="24"/>
      <c r="J13927" s="24"/>
      <c r="K13927" s="24"/>
      <c r="L13927" s="24"/>
      <c r="M13927" s="24"/>
      <c r="N13927" s="24"/>
      <c r="O13927" s="24"/>
      <c r="P13927" s="24"/>
      <c r="Q13927" s="24"/>
      <c r="R13927" s="24"/>
      <c r="S13927" s="24"/>
      <c r="T13927" s="24"/>
      <c r="U13927" s="24"/>
      <c r="V13927" s="24"/>
      <c r="W13927" s="24"/>
      <c r="X13927" s="24"/>
      <c r="Y13927" s="24"/>
      <c r="Z13927" s="24"/>
      <c r="AA13927" s="24"/>
    </row>
    <row r="13928">
      <c r="A13928" s="24"/>
      <c r="B13928" s="25"/>
      <c r="C13928" s="24"/>
      <c r="D13928" s="26"/>
      <c r="E13928" s="24"/>
      <c r="F13928" s="24"/>
      <c r="G13928" s="24"/>
      <c r="H13928" s="24"/>
      <c r="I13928" s="24"/>
      <c r="J13928" s="24"/>
      <c r="K13928" s="24"/>
      <c r="L13928" s="24"/>
      <c r="M13928" s="24"/>
      <c r="N13928" s="24"/>
      <c r="O13928" s="24"/>
      <c r="P13928" s="24"/>
      <c r="Q13928" s="24"/>
      <c r="R13928" s="24"/>
      <c r="S13928" s="24"/>
      <c r="T13928" s="24"/>
      <c r="U13928" s="24"/>
      <c r="V13928" s="24"/>
      <c r="W13928" s="24"/>
      <c r="X13928" s="24"/>
      <c r="Y13928" s="24"/>
      <c r="Z13928" s="24"/>
      <c r="AA13928" s="24"/>
    </row>
    <row r="13929">
      <c r="A13929" s="24"/>
      <c r="B13929" s="25"/>
      <c r="C13929" s="24"/>
      <c r="D13929" s="26"/>
      <c r="E13929" s="24"/>
      <c r="F13929" s="24"/>
      <c r="G13929" s="24"/>
      <c r="H13929" s="24"/>
      <c r="I13929" s="24"/>
      <c r="J13929" s="24"/>
      <c r="K13929" s="24"/>
      <c r="L13929" s="24"/>
      <c r="M13929" s="24"/>
      <c r="N13929" s="24"/>
      <c r="O13929" s="24"/>
      <c r="P13929" s="24"/>
      <c r="Q13929" s="24"/>
      <c r="R13929" s="24"/>
      <c r="S13929" s="24"/>
      <c r="T13929" s="24"/>
      <c r="U13929" s="24"/>
      <c r="V13929" s="24"/>
      <c r="W13929" s="24"/>
      <c r="X13929" s="24"/>
      <c r="Y13929" s="24"/>
      <c r="Z13929" s="24"/>
      <c r="AA13929" s="24"/>
    </row>
    <row r="13930">
      <c r="A13930" s="24"/>
      <c r="B13930" s="25"/>
      <c r="C13930" s="24"/>
      <c r="D13930" s="26"/>
      <c r="E13930" s="24"/>
      <c r="F13930" s="24"/>
      <c r="G13930" s="24"/>
      <c r="H13930" s="24"/>
      <c r="I13930" s="24"/>
      <c r="J13930" s="24"/>
      <c r="K13930" s="24"/>
      <c r="L13930" s="24"/>
      <c r="M13930" s="24"/>
      <c r="N13930" s="24"/>
      <c r="O13930" s="24"/>
      <c r="P13930" s="24"/>
      <c r="Q13930" s="24"/>
      <c r="R13930" s="24"/>
      <c r="S13930" s="24"/>
      <c r="T13930" s="24"/>
      <c r="U13930" s="24"/>
      <c r="V13930" s="24"/>
      <c r="W13930" s="24"/>
      <c r="X13930" s="24"/>
      <c r="Y13930" s="24"/>
      <c r="Z13930" s="24"/>
      <c r="AA13930" s="24"/>
    </row>
    <row r="13931">
      <c r="A13931" s="24"/>
      <c r="B13931" s="25"/>
      <c r="C13931" s="24"/>
      <c r="D13931" s="26"/>
      <c r="E13931" s="24"/>
      <c r="F13931" s="24"/>
      <c r="G13931" s="24"/>
      <c r="H13931" s="24"/>
      <c r="I13931" s="24"/>
      <c r="J13931" s="24"/>
      <c r="K13931" s="24"/>
      <c r="L13931" s="24"/>
      <c r="M13931" s="24"/>
      <c r="N13931" s="24"/>
      <c r="O13931" s="24"/>
      <c r="P13931" s="24"/>
      <c r="Q13931" s="24"/>
      <c r="R13931" s="24"/>
      <c r="S13931" s="24"/>
      <c r="T13931" s="24"/>
      <c r="U13931" s="24"/>
      <c r="V13931" s="24"/>
      <c r="W13931" s="24"/>
      <c r="X13931" s="24"/>
      <c r="Y13931" s="24"/>
      <c r="Z13931" s="24"/>
      <c r="AA13931" s="24"/>
    </row>
    <row r="13932">
      <c r="A13932" s="24"/>
      <c r="B13932" s="25"/>
      <c r="C13932" s="24"/>
      <c r="D13932" s="26"/>
      <c r="E13932" s="24"/>
      <c r="F13932" s="24"/>
      <c r="G13932" s="24"/>
      <c r="H13932" s="24"/>
      <c r="I13932" s="24"/>
      <c r="J13932" s="24"/>
      <c r="K13932" s="24"/>
      <c r="L13932" s="24"/>
      <c r="M13932" s="24"/>
      <c r="N13932" s="24"/>
      <c r="O13932" s="24"/>
      <c r="P13932" s="24"/>
      <c r="Q13932" s="24"/>
      <c r="R13932" s="24"/>
      <c r="S13932" s="24"/>
      <c r="T13932" s="24"/>
      <c r="U13932" s="24"/>
      <c r="V13932" s="24"/>
      <c r="W13932" s="24"/>
      <c r="X13932" s="24"/>
      <c r="Y13932" s="24"/>
      <c r="Z13932" s="24"/>
      <c r="AA13932" s="24"/>
    </row>
    <row r="13933">
      <c r="A13933" s="24"/>
      <c r="B13933" s="25"/>
      <c r="C13933" s="24"/>
      <c r="D13933" s="26"/>
      <c r="E13933" s="24"/>
      <c r="F13933" s="24"/>
      <c r="G13933" s="24"/>
      <c r="H13933" s="24"/>
      <c r="I13933" s="24"/>
      <c r="J13933" s="24"/>
      <c r="K13933" s="24"/>
      <c r="L13933" s="24"/>
      <c r="M13933" s="24"/>
      <c r="N13933" s="24"/>
      <c r="O13933" s="24"/>
      <c r="P13933" s="24"/>
      <c r="Q13933" s="24"/>
      <c r="R13933" s="24"/>
      <c r="S13933" s="24"/>
      <c r="T13933" s="24"/>
      <c r="U13933" s="24"/>
      <c r="V13933" s="24"/>
      <c r="W13933" s="24"/>
      <c r="X13933" s="24"/>
      <c r="Y13933" s="24"/>
      <c r="Z13933" s="24"/>
      <c r="AA13933" s="24"/>
    </row>
    <row r="13934">
      <c r="A13934" s="24"/>
      <c r="B13934" s="25"/>
      <c r="C13934" s="24"/>
      <c r="D13934" s="26"/>
      <c r="E13934" s="24"/>
      <c r="F13934" s="24"/>
      <c r="G13934" s="24"/>
      <c r="H13934" s="24"/>
      <c r="I13934" s="24"/>
      <c r="J13934" s="24"/>
      <c r="K13934" s="24"/>
      <c r="L13934" s="24"/>
      <c r="M13934" s="24"/>
      <c r="N13934" s="24"/>
      <c r="O13934" s="24"/>
      <c r="P13934" s="24"/>
      <c r="Q13934" s="24"/>
      <c r="R13934" s="24"/>
      <c r="S13934" s="24"/>
      <c r="T13934" s="24"/>
      <c r="U13934" s="24"/>
      <c r="V13934" s="24"/>
      <c r="W13934" s="24"/>
      <c r="X13934" s="24"/>
      <c r="Y13934" s="24"/>
      <c r="Z13934" s="24"/>
      <c r="AA13934" s="24"/>
    </row>
    <row r="13935">
      <c r="A13935" s="24"/>
      <c r="B13935" s="25"/>
      <c r="C13935" s="24"/>
      <c r="D13935" s="26"/>
      <c r="E13935" s="24"/>
      <c r="F13935" s="24"/>
      <c r="G13935" s="24"/>
      <c r="H13935" s="24"/>
      <c r="I13935" s="24"/>
      <c r="J13935" s="24"/>
      <c r="K13935" s="24"/>
      <c r="L13935" s="24"/>
      <c r="M13935" s="24"/>
      <c r="N13935" s="24"/>
      <c r="O13935" s="24"/>
      <c r="P13935" s="24"/>
      <c r="Q13935" s="24"/>
      <c r="R13935" s="24"/>
      <c r="S13935" s="24"/>
      <c r="T13935" s="24"/>
      <c r="U13935" s="24"/>
      <c r="V13935" s="24"/>
      <c r="W13935" s="24"/>
      <c r="X13935" s="24"/>
      <c r="Y13935" s="24"/>
      <c r="Z13935" s="24"/>
      <c r="AA13935" s="24"/>
    </row>
    <row r="13936">
      <c r="A13936" s="24"/>
      <c r="B13936" s="25"/>
      <c r="C13936" s="24"/>
      <c r="D13936" s="26"/>
      <c r="E13936" s="24"/>
      <c r="F13936" s="24"/>
      <c r="G13936" s="24"/>
      <c r="H13936" s="24"/>
      <c r="I13936" s="24"/>
      <c r="J13936" s="24"/>
      <c r="K13936" s="24"/>
      <c r="L13936" s="24"/>
      <c r="M13936" s="24"/>
      <c r="N13936" s="24"/>
      <c r="O13936" s="24"/>
      <c r="P13936" s="24"/>
      <c r="Q13936" s="24"/>
      <c r="R13936" s="24"/>
      <c r="S13936" s="24"/>
      <c r="T13936" s="24"/>
      <c r="U13936" s="24"/>
      <c r="V13936" s="24"/>
      <c r="W13936" s="24"/>
      <c r="X13936" s="24"/>
      <c r="Y13936" s="24"/>
      <c r="Z13936" s="24"/>
      <c r="AA13936" s="24"/>
    </row>
    <row r="13937">
      <c r="A13937" s="24"/>
      <c r="B13937" s="25"/>
      <c r="C13937" s="24"/>
      <c r="D13937" s="26"/>
      <c r="E13937" s="24"/>
      <c r="F13937" s="24"/>
      <c r="G13937" s="24"/>
      <c r="H13937" s="24"/>
      <c r="I13937" s="24"/>
      <c r="J13937" s="24"/>
      <c r="K13937" s="24"/>
      <c r="L13937" s="24"/>
      <c r="M13937" s="24"/>
      <c r="N13937" s="24"/>
      <c r="O13937" s="24"/>
      <c r="P13937" s="24"/>
      <c r="Q13937" s="24"/>
      <c r="R13937" s="24"/>
      <c r="S13937" s="24"/>
      <c r="T13937" s="24"/>
      <c r="U13937" s="24"/>
      <c r="V13937" s="24"/>
      <c r="W13937" s="24"/>
      <c r="X13937" s="24"/>
      <c r="Y13937" s="24"/>
      <c r="Z13937" s="24"/>
      <c r="AA13937" s="24"/>
    </row>
    <row r="13938">
      <c r="A13938" s="24"/>
      <c r="B13938" s="25"/>
      <c r="C13938" s="24"/>
      <c r="D13938" s="26"/>
      <c r="E13938" s="24"/>
      <c r="F13938" s="24"/>
      <c r="G13938" s="24"/>
      <c r="H13938" s="24"/>
      <c r="I13938" s="24"/>
      <c r="J13938" s="24"/>
      <c r="K13938" s="24"/>
      <c r="L13938" s="24"/>
      <c r="M13938" s="24"/>
      <c r="N13938" s="24"/>
      <c r="O13938" s="24"/>
      <c r="P13938" s="24"/>
      <c r="Q13938" s="24"/>
      <c r="R13938" s="24"/>
      <c r="S13938" s="24"/>
      <c r="T13938" s="24"/>
      <c r="U13938" s="24"/>
      <c r="V13938" s="24"/>
      <c r="W13938" s="24"/>
      <c r="X13938" s="24"/>
      <c r="Y13938" s="24"/>
      <c r="Z13938" s="24"/>
      <c r="AA13938" s="24"/>
    </row>
    <row r="13939">
      <c r="A13939" s="24"/>
      <c r="B13939" s="25"/>
      <c r="C13939" s="24"/>
      <c r="D13939" s="26"/>
      <c r="E13939" s="24"/>
      <c r="F13939" s="24"/>
      <c r="G13939" s="24"/>
      <c r="H13939" s="24"/>
      <c r="I13939" s="24"/>
      <c r="J13939" s="24"/>
      <c r="K13939" s="24"/>
      <c r="L13939" s="24"/>
      <c r="M13939" s="24"/>
      <c r="N13939" s="24"/>
      <c r="O13939" s="24"/>
      <c r="P13939" s="24"/>
      <c r="Q13939" s="24"/>
      <c r="R13939" s="24"/>
      <c r="S13939" s="24"/>
      <c r="T13939" s="24"/>
      <c r="U13939" s="24"/>
      <c r="V13939" s="24"/>
      <c r="W13939" s="24"/>
      <c r="X13939" s="24"/>
      <c r="Y13939" s="24"/>
      <c r="Z13939" s="24"/>
      <c r="AA13939" s="24"/>
    </row>
    <row r="13940">
      <c r="A13940" s="24"/>
      <c r="B13940" s="25"/>
      <c r="C13940" s="24"/>
      <c r="D13940" s="26"/>
      <c r="E13940" s="24"/>
      <c r="F13940" s="24"/>
      <c r="G13940" s="24"/>
      <c r="H13940" s="24"/>
      <c r="I13940" s="24"/>
      <c r="J13940" s="24"/>
      <c r="K13940" s="24"/>
      <c r="L13940" s="24"/>
      <c r="M13940" s="24"/>
      <c r="N13940" s="24"/>
      <c r="O13940" s="24"/>
      <c r="P13940" s="24"/>
      <c r="Q13940" s="24"/>
      <c r="R13940" s="24"/>
      <c r="S13940" s="24"/>
      <c r="T13940" s="24"/>
      <c r="U13940" s="24"/>
      <c r="V13940" s="24"/>
      <c r="W13940" s="24"/>
      <c r="X13940" s="24"/>
      <c r="Y13940" s="24"/>
      <c r="Z13940" s="24"/>
      <c r="AA13940" s="24"/>
    </row>
    <row r="13941">
      <c r="A13941" s="24"/>
      <c r="B13941" s="25"/>
      <c r="C13941" s="24"/>
      <c r="D13941" s="26"/>
      <c r="E13941" s="24"/>
      <c r="F13941" s="24"/>
      <c r="G13941" s="24"/>
      <c r="H13941" s="24"/>
      <c r="I13941" s="24"/>
      <c r="J13941" s="24"/>
      <c r="K13941" s="24"/>
      <c r="L13941" s="24"/>
      <c r="M13941" s="24"/>
      <c r="N13941" s="24"/>
      <c r="O13941" s="24"/>
      <c r="P13941" s="24"/>
      <c r="Q13941" s="24"/>
      <c r="R13941" s="24"/>
      <c r="S13941" s="24"/>
      <c r="T13941" s="24"/>
      <c r="U13941" s="24"/>
      <c r="V13941" s="24"/>
      <c r="W13941" s="24"/>
      <c r="X13941" s="24"/>
      <c r="Y13941" s="24"/>
      <c r="Z13941" s="24"/>
      <c r="AA13941" s="24"/>
    </row>
    <row r="13942">
      <c r="A13942" s="24"/>
      <c r="B13942" s="25"/>
      <c r="C13942" s="24"/>
      <c r="D13942" s="26"/>
      <c r="E13942" s="24"/>
      <c r="F13942" s="24"/>
      <c r="G13942" s="24"/>
      <c r="H13942" s="24"/>
      <c r="I13942" s="24"/>
      <c r="J13942" s="24"/>
      <c r="K13942" s="24"/>
      <c r="L13942" s="24"/>
      <c r="M13942" s="24"/>
      <c r="N13942" s="24"/>
      <c r="O13942" s="24"/>
      <c r="P13942" s="24"/>
      <c r="Q13942" s="24"/>
      <c r="R13942" s="24"/>
      <c r="S13942" s="24"/>
      <c r="T13942" s="24"/>
      <c r="U13942" s="24"/>
      <c r="V13942" s="24"/>
      <c r="W13942" s="24"/>
      <c r="X13942" s="24"/>
      <c r="Y13942" s="24"/>
      <c r="Z13942" s="24"/>
      <c r="AA13942" s="24"/>
    </row>
    <row r="13943">
      <c r="A13943" s="24"/>
      <c r="B13943" s="25"/>
      <c r="C13943" s="24"/>
      <c r="D13943" s="26"/>
      <c r="E13943" s="24"/>
      <c r="F13943" s="24"/>
      <c r="G13943" s="24"/>
      <c r="H13943" s="24"/>
      <c r="I13943" s="24"/>
      <c r="J13943" s="24"/>
      <c r="K13943" s="24"/>
      <c r="L13943" s="24"/>
      <c r="M13943" s="24"/>
      <c r="N13943" s="24"/>
      <c r="O13943" s="24"/>
      <c r="P13943" s="24"/>
      <c r="Q13943" s="24"/>
      <c r="R13943" s="24"/>
      <c r="S13943" s="24"/>
      <c r="T13943" s="24"/>
      <c r="U13943" s="24"/>
      <c r="V13943" s="24"/>
      <c r="W13943" s="24"/>
      <c r="X13943" s="24"/>
      <c r="Y13943" s="24"/>
      <c r="Z13943" s="24"/>
      <c r="AA13943" s="24"/>
    </row>
    <row r="13944">
      <c r="A13944" s="24"/>
      <c r="B13944" s="25"/>
      <c r="C13944" s="24"/>
      <c r="D13944" s="26"/>
      <c r="E13944" s="24"/>
      <c r="F13944" s="24"/>
      <c r="G13944" s="24"/>
      <c r="H13944" s="24"/>
      <c r="I13944" s="24"/>
      <c r="J13944" s="24"/>
      <c r="K13944" s="24"/>
      <c r="L13944" s="24"/>
      <c r="M13944" s="24"/>
      <c r="N13944" s="24"/>
      <c r="O13944" s="24"/>
      <c r="P13944" s="24"/>
      <c r="Q13944" s="24"/>
      <c r="R13944" s="24"/>
      <c r="S13944" s="24"/>
      <c r="T13944" s="24"/>
      <c r="U13944" s="24"/>
      <c r="V13944" s="24"/>
      <c r="W13944" s="24"/>
      <c r="X13944" s="24"/>
      <c r="Y13944" s="24"/>
      <c r="Z13944" s="24"/>
      <c r="AA13944" s="24"/>
    </row>
    <row r="13945">
      <c r="A13945" s="24"/>
      <c r="B13945" s="25"/>
      <c r="C13945" s="24"/>
      <c r="D13945" s="26"/>
      <c r="E13945" s="24"/>
      <c r="F13945" s="24"/>
      <c r="G13945" s="24"/>
      <c r="H13945" s="24"/>
      <c r="I13945" s="24"/>
      <c r="J13945" s="24"/>
      <c r="K13945" s="24"/>
      <c r="L13945" s="24"/>
      <c r="M13945" s="24"/>
      <c r="N13945" s="24"/>
      <c r="O13945" s="24"/>
      <c r="P13945" s="24"/>
      <c r="Q13945" s="24"/>
      <c r="R13945" s="24"/>
      <c r="S13945" s="24"/>
      <c r="T13945" s="24"/>
      <c r="U13945" s="24"/>
      <c r="V13945" s="24"/>
      <c r="W13945" s="24"/>
      <c r="X13945" s="24"/>
      <c r="Y13945" s="24"/>
      <c r="Z13945" s="24"/>
      <c r="AA13945" s="24"/>
    </row>
    <row r="13946">
      <c r="A13946" s="24"/>
      <c r="B13946" s="25"/>
      <c r="C13946" s="24"/>
      <c r="D13946" s="26"/>
      <c r="E13946" s="24"/>
      <c r="F13946" s="24"/>
      <c r="G13946" s="24"/>
      <c r="H13946" s="24"/>
      <c r="I13946" s="24"/>
      <c r="J13946" s="24"/>
      <c r="K13946" s="24"/>
      <c r="L13946" s="24"/>
      <c r="M13946" s="24"/>
      <c r="N13946" s="24"/>
      <c r="O13946" s="24"/>
      <c r="P13946" s="24"/>
      <c r="Q13946" s="24"/>
      <c r="R13946" s="24"/>
      <c r="S13946" s="24"/>
      <c r="T13946" s="24"/>
      <c r="U13946" s="24"/>
      <c r="V13946" s="24"/>
      <c r="W13946" s="24"/>
      <c r="X13946" s="24"/>
      <c r="Y13946" s="24"/>
      <c r="Z13946" s="24"/>
      <c r="AA13946" s="24"/>
    </row>
    <row r="13947">
      <c r="A13947" s="24"/>
      <c r="B13947" s="25"/>
      <c r="C13947" s="24"/>
      <c r="D13947" s="26"/>
      <c r="E13947" s="24"/>
      <c r="F13947" s="24"/>
      <c r="G13947" s="24"/>
      <c r="H13947" s="24"/>
      <c r="I13947" s="24"/>
      <c r="J13947" s="24"/>
      <c r="K13947" s="24"/>
      <c r="L13947" s="24"/>
      <c r="M13947" s="24"/>
      <c r="N13947" s="24"/>
      <c r="O13947" s="24"/>
      <c r="P13947" s="24"/>
      <c r="Q13947" s="24"/>
      <c r="R13947" s="24"/>
      <c r="S13947" s="24"/>
      <c r="T13947" s="24"/>
      <c r="U13947" s="24"/>
      <c r="V13947" s="24"/>
      <c r="W13947" s="24"/>
      <c r="X13947" s="24"/>
      <c r="Y13947" s="24"/>
      <c r="Z13947" s="24"/>
      <c r="AA13947" s="24"/>
    </row>
    <row r="13948">
      <c r="A13948" s="24"/>
      <c r="B13948" s="25"/>
      <c r="C13948" s="24"/>
      <c r="D13948" s="26"/>
      <c r="E13948" s="24"/>
      <c r="F13948" s="24"/>
      <c r="G13948" s="24"/>
      <c r="H13948" s="24"/>
      <c r="I13948" s="24"/>
      <c r="J13948" s="24"/>
      <c r="K13948" s="24"/>
      <c r="L13948" s="24"/>
      <c r="M13948" s="24"/>
      <c r="N13948" s="24"/>
      <c r="O13948" s="24"/>
      <c r="P13948" s="24"/>
      <c r="Q13948" s="24"/>
      <c r="R13948" s="24"/>
      <c r="S13948" s="24"/>
      <c r="T13948" s="24"/>
      <c r="U13948" s="24"/>
      <c r="V13948" s="24"/>
      <c r="W13948" s="24"/>
      <c r="X13948" s="24"/>
      <c r="Y13948" s="24"/>
      <c r="Z13948" s="24"/>
      <c r="AA13948" s="24"/>
    </row>
    <row r="13949">
      <c r="A13949" s="24"/>
      <c r="B13949" s="25"/>
      <c r="C13949" s="24"/>
      <c r="D13949" s="26"/>
      <c r="E13949" s="24"/>
      <c r="F13949" s="24"/>
      <c r="G13949" s="24"/>
      <c r="H13949" s="24"/>
      <c r="I13949" s="24"/>
      <c r="J13949" s="24"/>
      <c r="K13949" s="24"/>
      <c r="L13949" s="24"/>
      <c r="M13949" s="24"/>
      <c r="N13949" s="24"/>
      <c r="O13949" s="24"/>
      <c r="P13949" s="24"/>
      <c r="Q13949" s="24"/>
      <c r="R13949" s="24"/>
      <c r="S13949" s="24"/>
      <c r="T13949" s="24"/>
      <c r="U13949" s="24"/>
      <c r="V13949" s="24"/>
      <c r="W13949" s="24"/>
      <c r="X13949" s="24"/>
      <c r="Y13949" s="24"/>
      <c r="Z13949" s="24"/>
      <c r="AA13949" s="24"/>
    </row>
    <row r="13950">
      <c r="A13950" s="24"/>
      <c r="B13950" s="25"/>
      <c r="C13950" s="24"/>
      <c r="D13950" s="26"/>
      <c r="E13950" s="24"/>
      <c r="F13950" s="24"/>
      <c r="G13950" s="24"/>
      <c r="H13950" s="24"/>
      <c r="I13950" s="24"/>
      <c r="J13950" s="24"/>
      <c r="K13950" s="24"/>
      <c r="L13950" s="24"/>
      <c r="M13950" s="24"/>
      <c r="N13950" s="24"/>
      <c r="O13950" s="24"/>
      <c r="P13950" s="24"/>
      <c r="Q13950" s="24"/>
      <c r="R13950" s="24"/>
      <c r="S13950" s="24"/>
      <c r="T13950" s="24"/>
      <c r="U13950" s="24"/>
      <c r="V13950" s="24"/>
      <c r="W13950" s="24"/>
      <c r="X13950" s="24"/>
      <c r="Y13950" s="24"/>
      <c r="Z13950" s="24"/>
      <c r="AA13950" s="24"/>
    </row>
    <row r="13951">
      <c r="A13951" s="24"/>
      <c r="B13951" s="25"/>
      <c r="C13951" s="24"/>
      <c r="D13951" s="26"/>
      <c r="E13951" s="24"/>
      <c r="F13951" s="24"/>
      <c r="G13951" s="24"/>
      <c r="H13951" s="24"/>
      <c r="I13951" s="24"/>
      <c r="J13951" s="24"/>
      <c r="K13951" s="24"/>
      <c r="L13951" s="24"/>
      <c r="M13951" s="24"/>
      <c r="N13951" s="24"/>
      <c r="O13951" s="24"/>
      <c r="P13951" s="24"/>
      <c r="Q13951" s="24"/>
      <c r="R13951" s="24"/>
      <c r="S13951" s="24"/>
      <c r="T13951" s="24"/>
      <c r="U13951" s="24"/>
      <c r="V13951" s="24"/>
      <c r="W13951" s="24"/>
      <c r="X13951" s="24"/>
      <c r="Y13951" s="24"/>
      <c r="Z13951" s="24"/>
      <c r="AA13951" s="24"/>
    </row>
    <row r="13952">
      <c r="A13952" s="24"/>
      <c r="B13952" s="25"/>
      <c r="C13952" s="24"/>
      <c r="D13952" s="26"/>
      <c r="E13952" s="24"/>
      <c r="F13952" s="24"/>
      <c r="G13952" s="24"/>
      <c r="H13952" s="24"/>
      <c r="I13952" s="24"/>
      <c r="J13952" s="24"/>
      <c r="K13952" s="24"/>
      <c r="L13952" s="24"/>
      <c r="M13952" s="24"/>
      <c r="N13952" s="24"/>
      <c r="O13952" s="24"/>
      <c r="P13952" s="24"/>
      <c r="Q13952" s="24"/>
      <c r="R13952" s="24"/>
      <c r="S13952" s="24"/>
      <c r="T13952" s="24"/>
      <c r="U13952" s="24"/>
      <c r="V13952" s="24"/>
      <c r="W13952" s="24"/>
      <c r="X13952" s="24"/>
      <c r="Y13952" s="24"/>
      <c r="Z13952" s="24"/>
      <c r="AA13952" s="24"/>
    </row>
    <row r="13953">
      <c r="A13953" s="24"/>
      <c r="B13953" s="25"/>
      <c r="C13953" s="24"/>
      <c r="D13953" s="26"/>
      <c r="E13953" s="24"/>
      <c r="F13953" s="24"/>
      <c r="G13953" s="24"/>
      <c r="H13953" s="24"/>
      <c r="I13953" s="24"/>
      <c r="J13953" s="24"/>
      <c r="K13953" s="24"/>
      <c r="L13953" s="24"/>
      <c r="M13953" s="24"/>
      <c r="N13953" s="24"/>
      <c r="O13953" s="24"/>
      <c r="P13953" s="24"/>
      <c r="Q13953" s="24"/>
      <c r="R13953" s="24"/>
      <c r="S13953" s="24"/>
      <c r="T13953" s="24"/>
      <c r="U13953" s="24"/>
      <c r="V13953" s="24"/>
      <c r="W13953" s="24"/>
      <c r="X13953" s="24"/>
      <c r="Y13953" s="24"/>
      <c r="Z13953" s="24"/>
      <c r="AA13953" s="24"/>
    </row>
    <row r="13954">
      <c r="A13954" s="24"/>
      <c r="B13954" s="25"/>
      <c r="C13954" s="24"/>
      <c r="D13954" s="26"/>
      <c r="E13954" s="24"/>
      <c r="F13954" s="24"/>
      <c r="G13954" s="24"/>
      <c r="H13954" s="24"/>
      <c r="I13954" s="24"/>
      <c r="J13954" s="24"/>
      <c r="K13954" s="24"/>
      <c r="L13954" s="24"/>
      <c r="M13954" s="24"/>
      <c r="N13954" s="24"/>
      <c r="O13954" s="24"/>
      <c r="P13954" s="24"/>
      <c r="Q13954" s="24"/>
      <c r="R13954" s="24"/>
      <c r="S13954" s="24"/>
      <c r="T13954" s="24"/>
      <c r="U13954" s="24"/>
      <c r="V13954" s="24"/>
      <c r="W13954" s="24"/>
      <c r="X13954" s="24"/>
      <c r="Y13954" s="24"/>
      <c r="Z13954" s="24"/>
      <c r="AA13954" s="24"/>
    </row>
    <row r="13955">
      <c r="A13955" s="24"/>
      <c r="B13955" s="25"/>
      <c r="C13955" s="24"/>
      <c r="D13955" s="26"/>
      <c r="E13955" s="24"/>
      <c r="F13955" s="24"/>
      <c r="G13955" s="24"/>
      <c r="H13955" s="24"/>
      <c r="I13955" s="24"/>
      <c r="J13955" s="24"/>
      <c r="K13955" s="24"/>
      <c r="L13955" s="24"/>
      <c r="M13955" s="24"/>
      <c r="N13955" s="24"/>
      <c r="O13955" s="24"/>
      <c r="P13955" s="24"/>
      <c r="Q13955" s="24"/>
      <c r="R13955" s="24"/>
      <c r="S13955" s="24"/>
      <c r="T13955" s="24"/>
      <c r="U13955" s="24"/>
      <c r="V13955" s="24"/>
      <c r="W13955" s="24"/>
      <c r="X13955" s="24"/>
      <c r="Y13955" s="24"/>
      <c r="Z13955" s="24"/>
      <c r="AA13955" s="24"/>
    </row>
    <row r="13956">
      <c r="A13956" s="24"/>
      <c r="B13956" s="25"/>
      <c r="C13956" s="24"/>
      <c r="D13956" s="26"/>
      <c r="E13956" s="24"/>
      <c r="F13956" s="24"/>
      <c r="G13956" s="24"/>
      <c r="H13956" s="24"/>
      <c r="I13956" s="24"/>
      <c r="J13956" s="24"/>
      <c r="K13956" s="24"/>
      <c r="L13956" s="24"/>
      <c r="M13956" s="24"/>
      <c r="N13956" s="24"/>
      <c r="O13956" s="24"/>
      <c r="P13956" s="24"/>
      <c r="Q13956" s="24"/>
      <c r="R13956" s="24"/>
      <c r="S13956" s="24"/>
      <c r="T13956" s="24"/>
      <c r="U13956" s="24"/>
      <c r="V13956" s="24"/>
      <c r="W13956" s="24"/>
      <c r="X13956" s="24"/>
      <c r="Y13956" s="24"/>
      <c r="Z13956" s="24"/>
      <c r="AA13956" s="24"/>
    </row>
    <row r="13957">
      <c r="A13957" s="24"/>
      <c r="B13957" s="25"/>
      <c r="C13957" s="24"/>
      <c r="D13957" s="26"/>
      <c r="E13957" s="24"/>
      <c r="F13957" s="24"/>
      <c r="G13957" s="24"/>
      <c r="H13957" s="24"/>
      <c r="I13957" s="24"/>
      <c r="J13957" s="24"/>
      <c r="K13957" s="24"/>
      <c r="L13957" s="24"/>
      <c r="M13957" s="24"/>
      <c r="N13957" s="24"/>
      <c r="O13957" s="24"/>
      <c r="P13957" s="24"/>
      <c r="Q13957" s="24"/>
      <c r="R13957" s="24"/>
      <c r="S13957" s="24"/>
      <c r="T13957" s="24"/>
      <c r="U13957" s="24"/>
      <c r="V13957" s="24"/>
      <c r="W13957" s="24"/>
      <c r="X13957" s="24"/>
      <c r="Y13957" s="24"/>
      <c r="Z13957" s="24"/>
      <c r="AA13957" s="24"/>
    </row>
    <row r="13958">
      <c r="A13958" s="24"/>
      <c r="B13958" s="25"/>
      <c r="C13958" s="24"/>
      <c r="D13958" s="26"/>
      <c r="E13958" s="24"/>
      <c r="F13958" s="24"/>
      <c r="G13958" s="24"/>
      <c r="H13958" s="24"/>
      <c r="I13958" s="24"/>
      <c r="J13958" s="24"/>
      <c r="K13958" s="24"/>
      <c r="L13958" s="24"/>
      <c r="M13958" s="24"/>
      <c r="N13958" s="24"/>
      <c r="O13958" s="24"/>
      <c r="P13958" s="24"/>
      <c r="Q13958" s="24"/>
      <c r="R13958" s="24"/>
      <c r="S13958" s="24"/>
      <c r="T13958" s="24"/>
      <c r="U13958" s="24"/>
      <c r="V13958" s="24"/>
      <c r="W13958" s="24"/>
      <c r="X13958" s="24"/>
      <c r="Y13958" s="24"/>
      <c r="Z13958" s="24"/>
      <c r="AA13958" s="24"/>
    </row>
    <row r="13959">
      <c r="A13959" s="24"/>
      <c r="B13959" s="25"/>
      <c r="C13959" s="24"/>
      <c r="D13959" s="26"/>
      <c r="E13959" s="24"/>
      <c r="F13959" s="24"/>
      <c r="G13959" s="24"/>
      <c r="H13959" s="24"/>
      <c r="I13959" s="24"/>
      <c r="J13959" s="24"/>
      <c r="K13959" s="24"/>
      <c r="L13959" s="24"/>
      <c r="M13959" s="24"/>
      <c r="N13959" s="24"/>
      <c r="O13959" s="24"/>
      <c r="P13959" s="24"/>
      <c r="Q13959" s="24"/>
      <c r="R13959" s="24"/>
      <c r="S13959" s="24"/>
      <c r="T13959" s="24"/>
      <c r="U13959" s="24"/>
      <c r="V13959" s="24"/>
      <c r="W13959" s="24"/>
      <c r="X13959" s="24"/>
      <c r="Y13959" s="24"/>
      <c r="Z13959" s="24"/>
      <c r="AA13959" s="24"/>
    </row>
    <row r="13960">
      <c r="A13960" s="24"/>
      <c r="B13960" s="25"/>
      <c r="C13960" s="24"/>
      <c r="D13960" s="26"/>
      <c r="E13960" s="24"/>
      <c r="F13960" s="24"/>
      <c r="G13960" s="24"/>
      <c r="H13960" s="24"/>
      <c r="I13960" s="24"/>
      <c r="J13960" s="24"/>
      <c r="K13960" s="24"/>
      <c r="L13960" s="24"/>
      <c r="M13960" s="24"/>
      <c r="N13960" s="24"/>
      <c r="O13960" s="24"/>
      <c r="P13960" s="24"/>
      <c r="Q13960" s="24"/>
      <c r="R13960" s="24"/>
      <c r="S13960" s="24"/>
      <c r="T13960" s="24"/>
      <c r="U13960" s="24"/>
      <c r="V13960" s="24"/>
      <c r="W13960" s="24"/>
      <c r="X13960" s="24"/>
      <c r="Y13960" s="24"/>
      <c r="Z13960" s="24"/>
      <c r="AA13960" s="24"/>
    </row>
    <row r="13961">
      <c r="A13961" s="24"/>
      <c r="B13961" s="25"/>
      <c r="C13961" s="24"/>
      <c r="D13961" s="26"/>
      <c r="E13961" s="24"/>
      <c r="F13961" s="24"/>
      <c r="G13961" s="24"/>
      <c r="H13961" s="24"/>
      <c r="I13961" s="24"/>
      <c r="J13961" s="24"/>
      <c r="K13961" s="24"/>
      <c r="L13961" s="24"/>
      <c r="M13961" s="24"/>
      <c r="N13961" s="24"/>
      <c r="O13961" s="24"/>
      <c r="P13961" s="24"/>
      <c r="Q13961" s="24"/>
      <c r="R13961" s="24"/>
      <c r="S13961" s="24"/>
      <c r="T13961" s="24"/>
      <c r="U13961" s="24"/>
      <c r="V13961" s="24"/>
      <c r="W13961" s="24"/>
      <c r="X13961" s="24"/>
      <c r="Y13961" s="24"/>
      <c r="Z13961" s="24"/>
      <c r="AA13961" s="24"/>
    </row>
    <row r="13962">
      <c r="A13962" s="24"/>
      <c r="B13962" s="25"/>
      <c r="C13962" s="24"/>
      <c r="D13962" s="26"/>
      <c r="E13962" s="24"/>
      <c r="F13962" s="24"/>
      <c r="G13962" s="24"/>
      <c r="H13962" s="24"/>
      <c r="I13962" s="24"/>
      <c r="J13962" s="24"/>
      <c r="K13962" s="24"/>
      <c r="L13962" s="24"/>
      <c r="M13962" s="24"/>
      <c r="N13962" s="24"/>
      <c r="O13962" s="24"/>
      <c r="P13962" s="24"/>
      <c r="Q13962" s="24"/>
      <c r="R13962" s="24"/>
      <c r="S13962" s="24"/>
      <c r="T13962" s="24"/>
      <c r="U13962" s="24"/>
      <c r="V13962" s="24"/>
      <c r="W13962" s="24"/>
      <c r="X13962" s="24"/>
      <c r="Y13962" s="24"/>
      <c r="Z13962" s="24"/>
      <c r="AA13962" s="24"/>
    </row>
    <row r="13963">
      <c r="A13963" s="24"/>
      <c r="B13963" s="25"/>
      <c r="C13963" s="24"/>
      <c r="D13963" s="26"/>
      <c r="E13963" s="24"/>
      <c r="F13963" s="24"/>
      <c r="G13963" s="24"/>
      <c r="H13963" s="24"/>
      <c r="I13963" s="24"/>
      <c r="J13963" s="24"/>
      <c r="K13963" s="24"/>
      <c r="L13963" s="24"/>
      <c r="M13963" s="24"/>
      <c r="N13963" s="24"/>
      <c r="O13963" s="24"/>
      <c r="P13963" s="24"/>
      <c r="Q13963" s="24"/>
      <c r="R13963" s="24"/>
      <c r="S13963" s="24"/>
      <c r="T13963" s="24"/>
      <c r="U13963" s="24"/>
      <c r="V13963" s="24"/>
      <c r="W13963" s="24"/>
      <c r="X13963" s="24"/>
      <c r="Y13963" s="24"/>
      <c r="Z13963" s="24"/>
      <c r="AA13963" s="24"/>
    </row>
    <row r="13964">
      <c r="A13964" s="24"/>
      <c r="B13964" s="25"/>
      <c r="C13964" s="24"/>
      <c r="D13964" s="26"/>
      <c r="E13964" s="24"/>
      <c r="F13964" s="24"/>
      <c r="G13964" s="24"/>
      <c r="H13964" s="24"/>
      <c r="I13964" s="24"/>
      <c r="J13964" s="24"/>
      <c r="K13964" s="24"/>
      <c r="L13964" s="24"/>
      <c r="M13964" s="24"/>
      <c r="N13964" s="24"/>
      <c r="O13964" s="24"/>
      <c r="P13964" s="24"/>
      <c r="Q13964" s="24"/>
      <c r="R13964" s="24"/>
      <c r="S13964" s="24"/>
      <c r="T13964" s="24"/>
      <c r="U13964" s="24"/>
      <c r="V13964" s="24"/>
      <c r="W13964" s="24"/>
      <c r="X13964" s="24"/>
      <c r="Y13964" s="24"/>
      <c r="Z13964" s="24"/>
      <c r="AA13964" s="24"/>
    </row>
    <row r="13965">
      <c r="A13965" s="24"/>
      <c r="B13965" s="25"/>
      <c r="C13965" s="24"/>
      <c r="D13965" s="26"/>
      <c r="E13965" s="24"/>
      <c r="F13965" s="24"/>
      <c r="G13965" s="24"/>
      <c r="H13965" s="24"/>
      <c r="I13965" s="24"/>
      <c r="J13965" s="24"/>
      <c r="K13965" s="24"/>
      <c r="L13965" s="24"/>
      <c r="M13965" s="24"/>
      <c r="N13965" s="24"/>
      <c r="O13965" s="24"/>
      <c r="P13965" s="24"/>
      <c r="Q13965" s="24"/>
      <c r="R13965" s="24"/>
      <c r="S13965" s="24"/>
      <c r="T13965" s="24"/>
      <c r="U13965" s="24"/>
      <c r="V13965" s="24"/>
      <c r="W13965" s="24"/>
      <c r="X13965" s="24"/>
      <c r="Y13965" s="24"/>
      <c r="Z13965" s="24"/>
      <c r="AA13965" s="24"/>
    </row>
    <row r="13966">
      <c r="A13966" s="24"/>
      <c r="B13966" s="25"/>
      <c r="C13966" s="24"/>
      <c r="D13966" s="26"/>
      <c r="E13966" s="24"/>
      <c r="F13966" s="24"/>
      <c r="G13966" s="24"/>
      <c r="H13966" s="24"/>
      <c r="I13966" s="24"/>
      <c r="J13966" s="24"/>
      <c r="K13966" s="24"/>
      <c r="L13966" s="24"/>
      <c r="M13966" s="24"/>
      <c r="N13966" s="24"/>
      <c r="O13966" s="24"/>
      <c r="P13966" s="24"/>
      <c r="Q13966" s="24"/>
      <c r="R13966" s="24"/>
      <c r="S13966" s="24"/>
      <c r="T13966" s="24"/>
      <c r="U13966" s="24"/>
      <c r="V13966" s="24"/>
      <c r="W13966" s="24"/>
      <c r="X13966" s="24"/>
      <c r="Y13966" s="24"/>
      <c r="Z13966" s="24"/>
      <c r="AA13966" s="24"/>
    </row>
    <row r="13967">
      <c r="A13967" s="24"/>
      <c r="B13967" s="25"/>
      <c r="C13967" s="24"/>
      <c r="D13967" s="26"/>
      <c r="E13967" s="24"/>
      <c r="F13967" s="24"/>
      <c r="G13967" s="24"/>
      <c r="H13967" s="24"/>
      <c r="I13967" s="24"/>
      <c r="J13967" s="24"/>
      <c r="K13967" s="24"/>
      <c r="L13967" s="24"/>
      <c r="M13967" s="24"/>
      <c r="N13967" s="24"/>
      <c r="O13967" s="24"/>
      <c r="P13967" s="24"/>
      <c r="Q13967" s="24"/>
      <c r="R13967" s="24"/>
      <c r="S13967" s="24"/>
      <c r="T13967" s="24"/>
      <c r="U13967" s="24"/>
      <c r="V13967" s="24"/>
      <c r="W13967" s="24"/>
      <c r="X13967" s="24"/>
      <c r="Y13967" s="24"/>
      <c r="Z13967" s="24"/>
      <c r="AA13967" s="24"/>
    </row>
    <row r="13968">
      <c r="A13968" s="24"/>
      <c r="B13968" s="25"/>
      <c r="C13968" s="24"/>
      <c r="D13968" s="26"/>
      <c r="E13968" s="24"/>
      <c r="F13968" s="24"/>
      <c r="G13968" s="24"/>
      <c r="H13968" s="24"/>
      <c r="I13968" s="24"/>
      <c r="J13968" s="24"/>
      <c r="K13968" s="24"/>
      <c r="L13968" s="24"/>
      <c r="M13968" s="24"/>
      <c r="N13968" s="24"/>
      <c r="O13968" s="24"/>
      <c r="P13968" s="24"/>
      <c r="Q13968" s="24"/>
      <c r="R13968" s="24"/>
      <c r="S13968" s="24"/>
      <c r="T13968" s="24"/>
      <c r="U13968" s="24"/>
      <c r="V13968" s="24"/>
      <c r="W13968" s="24"/>
      <c r="X13968" s="24"/>
      <c r="Y13968" s="24"/>
      <c r="Z13968" s="24"/>
      <c r="AA13968" s="24"/>
    </row>
    <row r="13969">
      <c r="A13969" s="24"/>
      <c r="B13969" s="25"/>
      <c r="C13969" s="24"/>
      <c r="D13969" s="26"/>
      <c r="E13969" s="24"/>
      <c r="F13969" s="24"/>
      <c r="G13969" s="24"/>
      <c r="H13969" s="24"/>
      <c r="I13969" s="24"/>
      <c r="J13969" s="24"/>
      <c r="K13969" s="24"/>
      <c r="L13969" s="24"/>
      <c r="M13969" s="24"/>
      <c r="N13969" s="24"/>
      <c r="O13969" s="24"/>
      <c r="P13969" s="24"/>
      <c r="Q13969" s="24"/>
      <c r="R13969" s="24"/>
      <c r="S13969" s="24"/>
      <c r="T13969" s="24"/>
      <c r="U13969" s="24"/>
      <c r="V13969" s="24"/>
      <c r="W13969" s="24"/>
      <c r="X13969" s="24"/>
      <c r="Y13969" s="24"/>
      <c r="Z13969" s="24"/>
      <c r="AA13969" s="24"/>
    </row>
    <row r="13970">
      <c r="A13970" s="24"/>
      <c r="B13970" s="25"/>
      <c r="C13970" s="24"/>
      <c r="D13970" s="26"/>
      <c r="E13970" s="24"/>
      <c r="F13970" s="24"/>
      <c r="G13970" s="24"/>
      <c r="H13970" s="24"/>
      <c r="I13970" s="24"/>
      <c r="J13970" s="24"/>
      <c r="K13970" s="24"/>
      <c r="L13970" s="24"/>
      <c r="M13970" s="24"/>
      <c r="N13970" s="24"/>
      <c r="O13970" s="24"/>
      <c r="P13970" s="24"/>
      <c r="Q13970" s="24"/>
      <c r="R13970" s="24"/>
      <c r="S13970" s="24"/>
      <c r="T13970" s="24"/>
      <c r="U13970" s="24"/>
      <c r="V13970" s="24"/>
      <c r="W13970" s="24"/>
      <c r="X13970" s="24"/>
      <c r="Y13970" s="24"/>
      <c r="Z13970" s="24"/>
      <c r="AA13970" s="24"/>
    </row>
    <row r="13971">
      <c r="A13971" s="24"/>
      <c r="B13971" s="25"/>
      <c r="C13971" s="24"/>
      <c r="D13971" s="26"/>
      <c r="E13971" s="24"/>
      <c r="F13971" s="24"/>
      <c r="G13971" s="24"/>
      <c r="H13971" s="24"/>
      <c r="I13971" s="24"/>
      <c r="J13971" s="24"/>
      <c r="K13971" s="24"/>
      <c r="L13971" s="24"/>
      <c r="M13971" s="24"/>
      <c r="N13971" s="24"/>
      <c r="O13971" s="24"/>
      <c r="P13971" s="24"/>
      <c r="Q13971" s="24"/>
      <c r="R13971" s="24"/>
      <c r="S13971" s="24"/>
      <c r="T13971" s="24"/>
      <c r="U13971" s="24"/>
      <c r="V13971" s="24"/>
      <c r="W13971" s="24"/>
      <c r="X13971" s="24"/>
      <c r="Y13971" s="24"/>
      <c r="Z13971" s="24"/>
      <c r="AA13971" s="24"/>
    </row>
    <row r="13972">
      <c r="A13972" s="24"/>
      <c r="B13972" s="25"/>
      <c r="C13972" s="24"/>
      <c r="D13972" s="26"/>
      <c r="E13972" s="24"/>
      <c r="F13972" s="24"/>
      <c r="G13972" s="24"/>
      <c r="H13972" s="24"/>
      <c r="I13972" s="24"/>
      <c r="J13972" s="24"/>
      <c r="K13972" s="24"/>
      <c r="L13972" s="24"/>
      <c r="M13972" s="24"/>
      <c r="N13972" s="24"/>
      <c r="O13972" s="24"/>
      <c r="P13972" s="24"/>
      <c r="Q13972" s="24"/>
      <c r="R13972" s="24"/>
      <c r="S13972" s="24"/>
      <c r="T13972" s="24"/>
      <c r="U13972" s="24"/>
      <c r="V13972" s="24"/>
      <c r="W13972" s="24"/>
      <c r="X13972" s="24"/>
      <c r="Y13972" s="24"/>
      <c r="Z13972" s="24"/>
      <c r="AA13972" s="24"/>
    </row>
    <row r="13973">
      <c r="A13973" s="24"/>
      <c r="B13973" s="25"/>
      <c r="C13973" s="24"/>
      <c r="D13973" s="26"/>
      <c r="E13973" s="24"/>
      <c r="F13973" s="24"/>
      <c r="G13973" s="24"/>
      <c r="H13973" s="24"/>
      <c r="I13973" s="24"/>
      <c r="J13973" s="24"/>
      <c r="K13973" s="24"/>
      <c r="L13973" s="24"/>
      <c r="M13973" s="24"/>
      <c r="N13973" s="24"/>
      <c r="O13973" s="24"/>
      <c r="P13973" s="24"/>
      <c r="Q13973" s="24"/>
      <c r="R13973" s="24"/>
      <c r="S13973" s="24"/>
      <c r="T13973" s="24"/>
      <c r="U13973" s="24"/>
      <c r="V13973" s="24"/>
      <c r="W13973" s="24"/>
      <c r="X13973" s="24"/>
      <c r="Y13973" s="24"/>
      <c r="Z13973" s="24"/>
      <c r="AA13973" s="24"/>
    </row>
    <row r="13974">
      <c r="A13974" s="24"/>
      <c r="B13974" s="25"/>
      <c r="C13974" s="24"/>
      <c r="D13974" s="26"/>
      <c r="E13974" s="24"/>
      <c r="F13974" s="24"/>
      <c r="G13974" s="24"/>
      <c r="H13974" s="24"/>
      <c r="I13974" s="24"/>
      <c r="J13974" s="24"/>
      <c r="K13974" s="24"/>
      <c r="L13974" s="24"/>
      <c r="M13974" s="24"/>
      <c r="N13974" s="24"/>
      <c r="O13974" s="24"/>
      <c r="P13974" s="24"/>
      <c r="Q13974" s="24"/>
      <c r="R13974" s="24"/>
      <c r="S13974" s="24"/>
      <c r="T13974" s="24"/>
      <c r="U13974" s="24"/>
      <c r="V13974" s="24"/>
      <c r="W13974" s="24"/>
      <c r="X13974" s="24"/>
      <c r="Y13974" s="24"/>
      <c r="Z13974" s="24"/>
      <c r="AA13974" s="24"/>
    </row>
    <row r="13975">
      <c r="A13975" s="24"/>
      <c r="B13975" s="25"/>
      <c r="C13975" s="24"/>
      <c r="D13975" s="26"/>
      <c r="E13975" s="24"/>
      <c r="F13975" s="24"/>
      <c r="G13975" s="24"/>
      <c r="H13975" s="24"/>
      <c r="I13975" s="24"/>
      <c r="J13975" s="24"/>
      <c r="K13975" s="24"/>
      <c r="L13975" s="24"/>
      <c r="M13975" s="24"/>
      <c r="N13975" s="24"/>
      <c r="O13975" s="24"/>
      <c r="P13975" s="24"/>
      <c r="Q13975" s="24"/>
      <c r="R13975" s="24"/>
      <c r="S13975" s="24"/>
      <c r="T13975" s="24"/>
      <c r="U13975" s="24"/>
      <c r="V13975" s="24"/>
      <c r="W13975" s="24"/>
      <c r="X13975" s="24"/>
      <c r="Y13975" s="24"/>
      <c r="Z13975" s="24"/>
      <c r="AA13975" s="24"/>
    </row>
    <row r="13976">
      <c r="A13976" s="24"/>
      <c r="B13976" s="25"/>
      <c r="C13976" s="24"/>
      <c r="D13976" s="26"/>
      <c r="E13976" s="24"/>
      <c r="F13976" s="24"/>
      <c r="G13976" s="24"/>
      <c r="H13976" s="24"/>
      <c r="I13976" s="24"/>
      <c r="J13976" s="24"/>
      <c r="K13976" s="24"/>
      <c r="L13976" s="24"/>
      <c r="M13976" s="24"/>
      <c r="N13976" s="24"/>
      <c r="O13976" s="24"/>
      <c r="P13976" s="24"/>
      <c r="Q13976" s="24"/>
      <c r="R13976" s="24"/>
      <c r="S13976" s="24"/>
      <c r="T13976" s="24"/>
      <c r="U13976" s="24"/>
      <c r="V13976" s="24"/>
      <c r="W13976" s="24"/>
      <c r="X13976" s="24"/>
      <c r="Y13976" s="24"/>
      <c r="Z13976" s="24"/>
      <c r="AA13976" s="24"/>
    </row>
    <row r="13977">
      <c r="A13977" s="24"/>
      <c r="B13977" s="25"/>
      <c r="C13977" s="24"/>
      <c r="D13977" s="26"/>
      <c r="E13977" s="24"/>
      <c r="F13977" s="24"/>
      <c r="G13977" s="24"/>
      <c r="H13977" s="24"/>
      <c r="I13977" s="24"/>
      <c r="J13977" s="24"/>
      <c r="K13977" s="24"/>
      <c r="L13977" s="24"/>
      <c r="M13977" s="24"/>
      <c r="N13977" s="24"/>
      <c r="O13977" s="24"/>
      <c r="P13977" s="24"/>
      <c r="Q13977" s="24"/>
      <c r="R13977" s="24"/>
      <c r="S13977" s="24"/>
      <c r="T13977" s="24"/>
      <c r="U13977" s="24"/>
      <c r="V13977" s="24"/>
      <c r="W13977" s="24"/>
      <c r="X13977" s="24"/>
      <c r="Y13977" s="24"/>
      <c r="Z13977" s="24"/>
      <c r="AA13977" s="24"/>
    </row>
    <row r="13978">
      <c r="A13978" s="24"/>
      <c r="B13978" s="25"/>
      <c r="C13978" s="24"/>
      <c r="D13978" s="26"/>
      <c r="E13978" s="24"/>
      <c r="F13978" s="24"/>
      <c r="G13978" s="24"/>
      <c r="H13978" s="24"/>
      <c r="I13978" s="24"/>
      <c r="J13978" s="24"/>
      <c r="K13978" s="24"/>
      <c r="L13978" s="24"/>
      <c r="M13978" s="24"/>
      <c r="N13978" s="24"/>
      <c r="O13978" s="24"/>
      <c r="P13978" s="24"/>
      <c r="Q13978" s="24"/>
      <c r="R13978" s="24"/>
      <c r="S13978" s="24"/>
      <c r="T13978" s="24"/>
      <c r="U13978" s="24"/>
      <c r="V13978" s="24"/>
      <c r="W13978" s="24"/>
      <c r="X13978" s="24"/>
      <c r="Y13978" s="24"/>
      <c r="Z13978" s="24"/>
      <c r="AA13978" s="24"/>
    </row>
    <row r="13979">
      <c r="A13979" s="24"/>
      <c r="B13979" s="25"/>
      <c r="C13979" s="24"/>
      <c r="D13979" s="26"/>
      <c r="E13979" s="24"/>
      <c r="F13979" s="24"/>
      <c r="G13979" s="24"/>
      <c r="H13979" s="24"/>
      <c r="I13979" s="24"/>
      <c r="J13979" s="24"/>
      <c r="K13979" s="24"/>
      <c r="L13979" s="24"/>
      <c r="M13979" s="24"/>
      <c r="N13979" s="24"/>
      <c r="O13979" s="24"/>
      <c r="P13979" s="24"/>
      <c r="Q13979" s="24"/>
      <c r="R13979" s="24"/>
      <c r="S13979" s="24"/>
      <c r="T13979" s="24"/>
      <c r="U13979" s="24"/>
      <c r="V13979" s="24"/>
      <c r="W13979" s="24"/>
      <c r="X13979" s="24"/>
      <c r="Y13979" s="24"/>
      <c r="Z13979" s="24"/>
      <c r="AA13979" s="24"/>
    </row>
    <row r="13980">
      <c r="A13980" s="24"/>
      <c r="B13980" s="25"/>
      <c r="C13980" s="24"/>
      <c r="D13980" s="26"/>
      <c r="E13980" s="24"/>
      <c r="F13980" s="24"/>
      <c r="G13980" s="24"/>
      <c r="H13980" s="24"/>
      <c r="I13980" s="24"/>
      <c r="J13980" s="24"/>
      <c r="K13980" s="24"/>
      <c r="L13980" s="24"/>
      <c r="M13980" s="24"/>
      <c r="N13980" s="24"/>
      <c r="O13980" s="24"/>
      <c r="P13980" s="24"/>
      <c r="Q13980" s="24"/>
      <c r="R13980" s="24"/>
      <c r="S13980" s="24"/>
      <c r="T13980" s="24"/>
      <c r="U13980" s="24"/>
      <c r="V13980" s="24"/>
      <c r="W13980" s="24"/>
      <c r="X13980" s="24"/>
      <c r="Y13980" s="24"/>
      <c r="Z13980" s="24"/>
      <c r="AA13980" s="24"/>
    </row>
    <row r="13981">
      <c r="A13981" s="24"/>
      <c r="B13981" s="25"/>
      <c r="C13981" s="24"/>
      <c r="D13981" s="26"/>
      <c r="E13981" s="24"/>
      <c r="F13981" s="24"/>
      <c r="G13981" s="24"/>
      <c r="H13981" s="24"/>
      <c r="I13981" s="24"/>
      <c r="J13981" s="24"/>
      <c r="K13981" s="24"/>
      <c r="L13981" s="24"/>
      <c r="M13981" s="24"/>
      <c r="N13981" s="24"/>
      <c r="O13981" s="24"/>
      <c r="P13981" s="24"/>
      <c r="Q13981" s="24"/>
      <c r="R13981" s="24"/>
      <c r="S13981" s="24"/>
      <c r="T13981" s="24"/>
      <c r="U13981" s="24"/>
      <c r="V13981" s="24"/>
      <c r="W13981" s="24"/>
      <c r="X13981" s="24"/>
      <c r="Y13981" s="24"/>
      <c r="Z13981" s="24"/>
      <c r="AA13981" s="24"/>
    </row>
    <row r="13982">
      <c r="A13982" s="24"/>
      <c r="B13982" s="25"/>
      <c r="C13982" s="24"/>
      <c r="D13982" s="26"/>
      <c r="E13982" s="24"/>
      <c r="F13982" s="24"/>
      <c r="G13982" s="24"/>
      <c r="H13982" s="24"/>
      <c r="I13982" s="24"/>
      <c r="J13982" s="24"/>
      <c r="K13982" s="24"/>
      <c r="L13982" s="24"/>
      <c r="M13982" s="24"/>
      <c r="N13982" s="24"/>
      <c r="O13982" s="24"/>
      <c r="P13982" s="24"/>
      <c r="Q13982" s="24"/>
      <c r="R13982" s="24"/>
      <c r="S13982" s="24"/>
      <c r="T13982" s="24"/>
      <c r="U13982" s="24"/>
      <c r="V13982" s="24"/>
      <c r="W13982" s="24"/>
      <c r="X13982" s="24"/>
      <c r="Y13982" s="24"/>
      <c r="Z13982" s="24"/>
      <c r="AA13982" s="24"/>
    </row>
    <row r="13983">
      <c r="A13983" s="24"/>
      <c r="B13983" s="25"/>
      <c r="C13983" s="24"/>
      <c r="D13983" s="26"/>
      <c r="E13983" s="24"/>
      <c r="F13983" s="24"/>
      <c r="G13983" s="24"/>
      <c r="H13983" s="24"/>
      <c r="I13983" s="24"/>
      <c r="J13983" s="24"/>
      <c r="K13983" s="24"/>
      <c r="L13983" s="24"/>
      <c r="M13983" s="24"/>
      <c r="N13983" s="24"/>
      <c r="O13983" s="24"/>
      <c r="P13983" s="24"/>
      <c r="Q13983" s="24"/>
      <c r="R13983" s="24"/>
      <c r="S13983" s="24"/>
      <c r="T13983" s="24"/>
      <c r="U13983" s="24"/>
      <c r="V13983" s="24"/>
      <c r="W13983" s="24"/>
      <c r="X13983" s="24"/>
      <c r="Y13983" s="24"/>
      <c r="Z13983" s="24"/>
      <c r="AA13983" s="24"/>
    </row>
    <row r="13984">
      <c r="A13984" s="24"/>
      <c r="B13984" s="25"/>
      <c r="C13984" s="24"/>
      <c r="D13984" s="26"/>
      <c r="E13984" s="24"/>
      <c r="F13984" s="24"/>
      <c r="G13984" s="24"/>
      <c r="H13984" s="24"/>
      <c r="I13984" s="24"/>
      <c r="J13984" s="24"/>
      <c r="K13984" s="24"/>
      <c r="L13984" s="24"/>
      <c r="M13984" s="24"/>
      <c r="N13984" s="24"/>
      <c r="O13984" s="24"/>
      <c r="P13984" s="24"/>
      <c r="Q13984" s="24"/>
      <c r="R13984" s="24"/>
      <c r="S13984" s="24"/>
      <c r="T13984" s="24"/>
      <c r="U13984" s="24"/>
      <c r="V13984" s="24"/>
      <c r="W13984" s="24"/>
      <c r="X13984" s="24"/>
      <c r="Y13984" s="24"/>
      <c r="Z13984" s="24"/>
      <c r="AA13984" s="24"/>
    </row>
    <row r="13985">
      <c r="A13985" s="24"/>
      <c r="B13985" s="25"/>
      <c r="C13985" s="24"/>
      <c r="D13985" s="26"/>
      <c r="E13985" s="24"/>
      <c r="F13985" s="24"/>
      <c r="G13985" s="24"/>
      <c r="H13985" s="24"/>
      <c r="I13985" s="24"/>
      <c r="J13985" s="24"/>
      <c r="K13985" s="24"/>
      <c r="L13985" s="24"/>
      <c r="M13985" s="24"/>
      <c r="N13985" s="24"/>
      <c r="O13985" s="24"/>
      <c r="P13985" s="24"/>
      <c r="Q13985" s="24"/>
      <c r="R13985" s="24"/>
      <c r="S13985" s="24"/>
      <c r="T13985" s="24"/>
      <c r="U13985" s="24"/>
      <c r="V13985" s="24"/>
      <c r="W13985" s="24"/>
      <c r="X13985" s="24"/>
      <c r="Y13985" s="24"/>
      <c r="Z13985" s="24"/>
      <c r="AA13985" s="24"/>
    </row>
    <row r="13986">
      <c r="A13986" s="24"/>
      <c r="B13986" s="25"/>
      <c r="C13986" s="24"/>
      <c r="D13986" s="26"/>
      <c r="E13986" s="24"/>
      <c r="F13986" s="24"/>
      <c r="G13986" s="24"/>
      <c r="H13986" s="24"/>
      <c r="I13986" s="24"/>
      <c r="J13986" s="24"/>
      <c r="K13986" s="24"/>
      <c r="L13986" s="24"/>
      <c r="M13986" s="24"/>
      <c r="N13986" s="24"/>
      <c r="O13986" s="24"/>
      <c r="P13986" s="24"/>
      <c r="Q13986" s="24"/>
      <c r="R13986" s="24"/>
      <c r="S13986" s="24"/>
      <c r="T13986" s="24"/>
      <c r="U13986" s="24"/>
      <c r="V13986" s="24"/>
      <c r="W13986" s="24"/>
      <c r="X13986" s="24"/>
      <c r="Y13986" s="24"/>
      <c r="Z13986" s="24"/>
      <c r="AA13986" s="24"/>
    </row>
    <row r="13987">
      <c r="A13987" s="24"/>
      <c r="B13987" s="25"/>
      <c r="C13987" s="24"/>
      <c r="D13987" s="26"/>
      <c r="E13987" s="24"/>
      <c r="F13987" s="24"/>
      <c r="G13987" s="24"/>
      <c r="H13987" s="24"/>
      <c r="I13987" s="24"/>
      <c r="J13987" s="24"/>
      <c r="K13987" s="24"/>
      <c r="L13987" s="24"/>
      <c r="M13987" s="24"/>
      <c r="N13987" s="24"/>
      <c r="O13987" s="24"/>
      <c r="P13987" s="24"/>
      <c r="Q13987" s="24"/>
      <c r="R13987" s="24"/>
      <c r="S13987" s="24"/>
      <c r="T13987" s="24"/>
      <c r="U13987" s="24"/>
      <c r="V13987" s="24"/>
      <c r="W13987" s="24"/>
      <c r="X13987" s="24"/>
      <c r="Y13987" s="24"/>
      <c r="Z13987" s="24"/>
      <c r="AA13987" s="24"/>
    </row>
    <row r="13988">
      <c r="A13988" s="24"/>
      <c r="B13988" s="25"/>
      <c r="C13988" s="24"/>
      <c r="D13988" s="26"/>
      <c r="E13988" s="24"/>
      <c r="F13988" s="24"/>
      <c r="G13988" s="24"/>
      <c r="H13988" s="24"/>
      <c r="I13988" s="24"/>
      <c r="J13988" s="24"/>
      <c r="K13988" s="24"/>
      <c r="L13988" s="24"/>
      <c r="M13988" s="24"/>
      <c r="N13988" s="24"/>
      <c r="O13988" s="24"/>
      <c r="P13988" s="24"/>
      <c r="Q13988" s="24"/>
      <c r="R13988" s="24"/>
      <c r="S13988" s="24"/>
      <c r="T13988" s="24"/>
      <c r="U13988" s="24"/>
      <c r="V13988" s="24"/>
      <c r="W13988" s="24"/>
      <c r="X13988" s="24"/>
      <c r="Y13988" s="24"/>
      <c r="Z13988" s="24"/>
      <c r="AA13988" s="24"/>
    </row>
    <row r="13989">
      <c r="A13989" s="24"/>
      <c r="B13989" s="25"/>
      <c r="C13989" s="24"/>
      <c r="D13989" s="26"/>
      <c r="E13989" s="24"/>
      <c r="F13989" s="24"/>
      <c r="G13989" s="24"/>
      <c r="H13989" s="24"/>
      <c r="I13989" s="24"/>
      <c r="J13989" s="24"/>
      <c r="K13989" s="24"/>
      <c r="L13989" s="24"/>
      <c r="M13989" s="24"/>
      <c r="N13989" s="24"/>
      <c r="O13989" s="24"/>
      <c r="P13989" s="24"/>
      <c r="Q13989" s="24"/>
      <c r="R13989" s="24"/>
      <c r="S13989" s="24"/>
      <c r="T13989" s="24"/>
      <c r="U13989" s="24"/>
      <c r="V13989" s="24"/>
      <c r="W13989" s="24"/>
      <c r="X13989" s="24"/>
      <c r="Y13989" s="24"/>
      <c r="Z13989" s="24"/>
      <c r="AA13989" s="24"/>
    </row>
    <row r="13990">
      <c r="A13990" s="24"/>
      <c r="B13990" s="25"/>
      <c r="C13990" s="24"/>
      <c r="D13990" s="26"/>
      <c r="E13990" s="24"/>
      <c r="F13990" s="24"/>
      <c r="G13990" s="24"/>
      <c r="H13990" s="24"/>
      <c r="I13990" s="24"/>
      <c r="J13990" s="24"/>
      <c r="K13990" s="24"/>
      <c r="L13990" s="24"/>
      <c r="M13990" s="24"/>
      <c r="N13990" s="24"/>
      <c r="O13990" s="24"/>
      <c r="P13990" s="24"/>
      <c r="Q13990" s="24"/>
      <c r="R13990" s="24"/>
      <c r="S13990" s="24"/>
      <c r="T13990" s="24"/>
      <c r="U13990" s="24"/>
      <c r="V13990" s="24"/>
      <c r="W13990" s="24"/>
      <c r="X13990" s="24"/>
      <c r="Y13990" s="24"/>
      <c r="Z13990" s="24"/>
      <c r="AA13990" s="24"/>
    </row>
    <row r="13991">
      <c r="A13991" s="24"/>
      <c r="B13991" s="25"/>
      <c r="C13991" s="24"/>
      <c r="D13991" s="26"/>
      <c r="E13991" s="24"/>
      <c r="F13991" s="24"/>
      <c r="G13991" s="24"/>
      <c r="H13991" s="24"/>
      <c r="I13991" s="24"/>
      <c r="J13991" s="24"/>
      <c r="K13991" s="24"/>
      <c r="L13991" s="24"/>
      <c r="M13991" s="24"/>
      <c r="N13991" s="24"/>
      <c r="O13991" s="24"/>
      <c r="P13991" s="24"/>
      <c r="Q13991" s="24"/>
      <c r="R13991" s="24"/>
      <c r="S13991" s="24"/>
      <c r="T13991" s="24"/>
      <c r="U13991" s="24"/>
      <c r="V13991" s="24"/>
      <c r="W13991" s="24"/>
      <c r="X13991" s="24"/>
      <c r="Y13991" s="24"/>
      <c r="Z13991" s="24"/>
      <c r="AA13991" s="24"/>
    </row>
    <row r="13992">
      <c r="A13992" s="24"/>
      <c r="B13992" s="25"/>
      <c r="C13992" s="24"/>
      <c r="D13992" s="26"/>
      <c r="E13992" s="24"/>
      <c r="F13992" s="24"/>
      <c r="G13992" s="24"/>
      <c r="H13992" s="24"/>
      <c r="I13992" s="24"/>
      <c r="J13992" s="24"/>
      <c r="K13992" s="24"/>
      <c r="L13992" s="24"/>
      <c r="M13992" s="24"/>
      <c r="N13992" s="24"/>
      <c r="O13992" s="24"/>
      <c r="P13992" s="24"/>
      <c r="Q13992" s="24"/>
      <c r="R13992" s="24"/>
      <c r="S13992" s="24"/>
      <c r="T13992" s="24"/>
      <c r="U13992" s="24"/>
      <c r="V13992" s="24"/>
      <c r="W13992" s="24"/>
      <c r="X13992" s="24"/>
      <c r="Y13992" s="24"/>
      <c r="Z13992" s="24"/>
      <c r="AA13992" s="24"/>
    </row>
    <row r="13993">
      <c r="A13993" s="24"/>
      <c r="B13993" s="25"/>
      <c r="C13993" s="24"/>
      <c r="D13993" s="26"/>
      <c r="E13993" s="24"/>
      <c r="F13993" s="24"/>
      <c r="G13993" s="24"/>
      <c r="H13993" s="24"/>
      <c r="I13993" s="24"/>
      <c r="J13993" s="24"/>
      <c r="K13993" s="24"/>
      <c r="L13993" s="24"/>
      <c r="M13993" s="24"/>
      <c r="N13993" s="24"/>
      <c r="O13993" s="24"/>
      <c r="P13993" s="24"/>
      <c r="Q13993" s="24"/>
      <c r="R13993" s="24"/>
      <c r="S13993" s="24"/>
      <c r="T13993" s="24"/>
      <c r="U13993" s="24"/>
      <c r="V13993" s="24"/>
      <c r="W13993" s="24"/>
      <c r="X13993" s="24"/>
      <c r="Y13993" s="24"/>
      <c r="Z13993" s="24"/>
      <c r="AA13993" s="24"/>
    </row>
    <row r="13994">
      <c r="A13994" s="24"/>
      <c r="B13994" s="25"/>
      <c r="C13994" s="24"/>
      <c r="D13994" s="26"/>
      <c r="E13994" s="24"/>
      <c r="F13994" s="24"/>
      <c r="G13994" s="24"/>
      <c r="H13994" s="24"/>
      <c r="I13994" s="24"/>
      <c r="J13994" s="24"/>
      <c r="K13994" s="24"/>
      <c r="L13994" s="24"/>
      <c r="M13994" s="24"/>
      <c r="N13994" s="24"/>
      <c r="O13994" s="24"/>
      <c r="P13994" s="24"/>
      <c r="Q13994" s="24"/>
      <c r="R13994" s="24"/>
      <c r="S13994" s="24"/>
      <c r="T13994" s="24"/>
      <c r="U13994" s="24"/>
      <c r="V13994" s="24"/>
      <c r="W13994" s="24"/>
      <c r="X13994" s="24"/>
      <c r="Y13994" s="24"/>
      <c r="Z13994" s="24"/>
      <c r="AA13994" s="24"/>
    </row>
    <row r="13995">
      <c r="A13995" s="24"/>
      <c r="B13995" s="25"/>
      <c r="C13995" s="24"/>
      <c r="D13995" s="26"/>
      <c r="E13995" s="24"/>
      <c r="F13995" s="24"/>
      <c r="G13995" s="24"/>
      <c r="H13995" s="24"/>
      <c r="I13995" s="24"/>
      <c r="J13995" s="24"/>
      <c r="K13995" s="24"/>
      <c r="L13995" s="24"/>
      <c r="M13995" s="24"/>
      <c r="N13995" s="24"/>
      <c r="O13995" s="24"/>
      <c r="P13995" s="24"/>
      <c r="Q13995" s="24"/>
      <c r="R13995" s="24"/>
      <c r="S13995" s="24"/>
      <c r="T13995" s="24"/>
      <c r="U13995" s="24"/>
      <c r="V13995" s="24"/>
      <c r="W13995" s="24"/>
      <c r="X13995" s="24"/>
      <c r="Y13995" s="24"/>
      <c r="Z13995" s="24"/>
      <c r="AA13995" s="24"/>
    </row>
    <row r="13996">
      <c r="A13996" s="24"/>
      <c r="B13996" s="25"/>
      <c r="C13996" s="24"/>
      <c r="D13996" s="26"/>
      <c r="E13996" s="24"/>
      <c r="F13996" s="24"/>
      <c r="G13996" s="24"/>
      <c r="H13996" s="24"/>
      <c r="I13996" s="24"/>
      <c r="J13996" s="24"/>
      <c r="K13996" s="24"/>
      <c r="L13996" s="24"/>
      <c r="M13996" s="24"/>
      <c r="N13996" s="24"/>
      <c r="O13996" s="24"/>
      <c r="P13996" s="24"/>
      <c r="Q13996" s="24"/>
      <c r="R13996" s="24"/>
      <c r="S13996" s="24"/>
      <c r="T13996" s="24"/>
      <c r="U13996" s="24"/>
      <c r="V13996" s="24"/>
      <c r="W13996" s="24"/>
      <c r="X13996" s="24"/>
      <c r="Y13996" s="24"/>
      <c r="Z13996" s="24"/>
      <c r="AA13996" s="24"/>
    </row>
    <row r="13997">
      <c r="A13997" s="24"/>
      <c r="B13997" s="25"/>
      <c r="C13997" s="24"/>
      <c r="D13997" s="26"/>
      <c r="E13997" s="24"/>
      <c r="F13997" s="24"/>
      <c r="G13997" s="24"/>
      <c r="H13997" s="24"/>
      <c r="I13997" s="24"/>
      <c r="J13997" s="24"/>
      <c r="K13997" s="24"/>
      <c r="L13997" s="24"/>
      <c r="M13997" s="24"/>
      <c r="N13997" s="24"/>
      <c r="O13997" s="24"/>
      <c r="P13997" s="24"/>
      <c r="Q13997" s="24"/>
      <c r="R13997" s="24"/>
      <c r="S13997" s="24"/>
      <c r="T13997" s="24"/>
      <c r="U13997" s="24"/>
      <c r="V13997" s="24"/>
      <c r="W13997" s="24"/>
      <c r="X13997" s="24"/>
      <c r="Y13997" s="24"/>
      <c r="Z13997" s="24"/>
      <c r="AA13997" s="24"/>
    </row>
    <row r="13998">
      <c r="A13998" s="24"/>
      <c r="B13998" s="25"/>
      <c r="C13998" s="24"/>
      <c r="D13998" s="26"/>
      <c r="E13998" s="24"/>
      <c r="F13998" s="24"/>
      <c r="G13998" s="24"/>
      <c r="H13998" s="24"/>
      <c r="I13998" s="24"/>
      <c r="J13998" s="24"/>
      <c r="K13998" s="24"/>
      <c r="L13998" s="24"/>
      <c r="M13998" s="24"/>
      <c r="N13998" s="24"/>
      <c r="O13998" s="24"/>
      <c r="P13998" s="24"/>
      <c r="Q13998" s="24"/>
      <c r="R13998" s="24"/>
      <c r="S13998" s="24"/>
      <c r="T13998" s="24"/>
      <c r="U13998" s="24"/>
      <c r="V13998" s="24"/>
      <c r="W13998" s="24"/>
      <c r="X13998" s="24"/>
      <c r="Y13998" s="24"/>
      <c r="Z13998" s="24"/>
      <c r="AA13998" s="24"/>
    </row>
    <row r="13999">
      <c r="A13999" s="24"/>
      <c r="B13999" s="25"/>
      <c r="C13999" s="24"/>
      <c r="D13999" s="26"/>
      <c r="E13999" s="24"/>
      <c r="F13999" s="24"/>
      <c r="G13999" s="24"/>
      <c r="H13999" s="24"/>
      <c r="I13999" s="24"/>
      <c r="J13999" s="24"/>
      <c r="K13999" s="24"/>
      <c r="L13999" s="24"/>
      <c r="M13999" s="24"/>
      <c r="N13999" s="24"/>
      <c r="O13999" s="24"/>
      <c r="P13999" s="24"/>
      <c r="Q13999" s="24"/>
      <c r="R13999" s="24"/>
      <c r="S13999" s="24"/>
      <c r="T13999" s="24"/>
      <c r="U13999" s="24"/>
      <c r="V13999" s="24"/>
      <c r="W13999" s="24"/>
      <c r="X13999" s="24"/>
      <c r="Y13999" s="24"/>
      <c r="Z13999" s="24"/>
      <c r="AA13999" s="24"/>
    </row>
    <row r="14000">
      <c r="A14000" s="24"/>
      <c r="B14000" s="25"/>
      <c r="C14000" s="24"/>
      <c r="D14000" s="26"/>
      <c r="E14000" s="24"/>
      <c r="F14000" s="24"/>
      <c r="G14000" s="24"/>
      <c r="H14000" s="24"/>
      <c r="I14000" s="24"/>
      <c r="J14000" s="24"/>
      <c r="K14000" s="24"/>
      <c r="L14000" s="24"/>
      <c r="M14000" s="24"/>
      <c r="N14000" s="24"/>
      <c r="O14000" s="24"/>
      <c r="P14000" s="24"/>
      <c r="Q14000" s="24"/>
      <c r="R14000" s="24"/>
      <c r="S14000" s="24"/>
      <c r="T14000" s="24"/>
      <c r="U14000" s="24"/>
      <c r="V14000" s="24"/>
      <c r="W14000" s="24"/>
      <c r="X14000" s="24"/>
      <c r="Y14000" s="24"/>
      <c r="Z14000" s="24"/>
      <c r="AA14000" s="24"/>
    </row>
    <row r="14001">
      <c r="A14001" s="24"/>
      <c r="B14001" s="25"/>
      <c r="C14001" s="24"/>
      <c r="D14001" s="26"/>
      <c r="E14001" s="24"/>
      <c r="F14001" s="24"/>
      <c r="G14001" s="24"/>
      <c r="H14001" s="24"/>
      <c r="I14001" s="24"/>
      <c r="J14001" s="24"/>
      <c r="K14001" s="24"/>
      <c r="L14001" s="24"/>
      <c r="M14001" s="24"/>
      <c r="N14001" s="24"/>
      <c r="O14001" s="24"/>
      <c r="P14001" s="24"/>
      <c r="Q14001" s="24"/>
      <c r="R14001" s="24"/>
      <c r="S14001" s="24"/>
      <c r="T14001" s="24"/>
      <c r="U14001" s="24"/>
      <c r="V14001" s="24"/>
      <c r="W14001" s="24"/>
      <c r="X14001" s="24"/>
      <c r="Y14001" s="24"/>
      <c r="Z14001" s="24"/>
      <c r="AA14001" s="24"/>
    </row>
    <row r="14002">
      <c r="A14002" s="24"/>
      <c r="B14002" s="25"/>
      <c r="C14002" s="24"/>
      <c r="D14002" s="26"/>
      <c r="E14002" s="24"/>
      <c r="F14002" s="24"/>
      <c r="G14002" s="24"/>
      <c r="H14002" s="24"/>
      <c r="I14002" s="24"/>
      <c r="J14002" s="24"/>
      <c r="K14002" s="24"/>
      <c r="L14002" s="24"/>
      <c r="M14002" s="24"/>
      <c r="N14002" s="24"/>
      <c r="O14002" s="24"/>
      <c r="P14002" s="24"/>
      <c r="Q14002" s="24"/>
      <c r="R14002" s="24"/>
      <c r="S14002" s="24"/>
      <c r="T14002" s="24"/>
      <c r="U14002" s="24"/>
      <c r="V14002" s="24"/>
      <c r="W14002" s="24"/>
      <c r="X14002" s="24"/>
      <c r="Y14002" s="24"/>
      <c r="Z14002" s="24"/>
      <c r="AA14002" s="24"/>
    </row>
    <row r="14003">
      <c r="A14003" s="24"/>
      <c r="B14003" s="25"/>
      <c r="C14003" s="24"/>
      <c r="D14003" s="26"/>
      <c r="E14003" s="24"/>
      <c r="F14003" s="24"/>
      <c r="G14003" s="24"/>
      <c r="H14003" s="24"/>
      <c r="I14003" s="24"/>
      <c r="J14003" s="24"/>
      <c r="K14003" s="24"/>
      <c r="L14003" s="24"/>
      <c r="M14003" s="24"/>
      <c r="N14003" s="24"/>
      <c r="O14003" s="24"/>
      <c r="P14003" s="24"/>
      <c r="Q14003" s="24"/>
      <c r="R14003" s="24"/>
      <c r="S14003" s="24"/>
      <c r="T14003" s="24"/>
      <c r="U14003" s="24"/>
      <c r="V14003" s="24"/>
      <c r="W14003" s="24"/>
      <c r="X14003" s="24"/>
      <c r="Y14003" s="24"/>
      <c r="Z14003" s="24"/>
      <c r="AA14003" s="24"/>
    </row>
    <row r="14004">
      <c r="A14004" s="24"/>
      <c r="B14004" s="25"/>
      <c r="C14004" s="24"/>
      <c r="D14004" s="26"/>
      <c r="E14004" s="24"/>
      <c r="F14004" s="24"/>
      <c r="G14004" s="24"/>
      <c r="H14004" s="24"/>
      <c r="I14004" s="24"/>
      <c r="J14004" s="24"/>
      <c r="K14004" s="24"/>
      <c r="L14004" s="24"/>
      <c r="M14004" s="24"/>
      <c r="N14004" s="24"/>
      <c r="O14004" s="24"/>
      <c r="P14004" s="24"/>
      <c r="Q14004" s="24"/>
      <c r="R14004" s="24"/>
      <c r="S14004" s="24"/>
      <c r="T14004" s="24"/>
      <c r="U14004" s="24"/>
      <c r="V14004" s="24"/>
      <c r="W14004" s="24"/>
      <c r="X14004" s="24"/>
      <c r="Y14004" s="24"/>
      <c r="Z14004" s="24"/>
      <c r="AA14004" s="24"/>
    </row>
    <row r="14005">
      <c r="A14005" s="24"/>
      <c r="B14005" s="25"/>
      <c r="C14005" s="24"/>
      <c r="D14005" s="26"/>
      <c r="E14005" s="24"/>
      <c r="F14005" s="24"/>
      <c r="G14005" s="24"/>
      <c r="H14005" s="24"/>
      <c r="I14005" s="24"/>
      <c r="J14005" s="24"/>
      <c r="K14005" s="24"/>
      <c r="L14005" s="24"/>
      <c r="M14005" s="24"/>
      <c r="N14005" s="24"/>
      <c r="O14005" s="24"/>
      <c r="P14005" s="24"/>
      <c r="Q14005" s="24"/>
      <c r="R14005" s="24"/>
      <c r="S14005" s="24"/>
      <c r="T14005" s="24"/>
      <c r="U14005" s="24"/>
      <c r="V14005" s="24"/>
      <c r="W14005" s="24"/>
      <c r="X14005" s="24"/>
      <c r="Y14005" s="24"/>
      <c r="Z14005" s="24"/>
      <c r="AA14005" s="24"/>
    </row>
    <row r="14006">
      <c r="A14006" s="24"/>
      <c r="B14006" s="25"/>
      <c r="C14006" s="24"/>
      <c r="D14006" s="26"/>
      <c r="E14006" s="24"/>
      <c r="F14006" s="24"/>
      <c r="G14006" s="24"/>
      <c r="H14006" s="24"/>
      <c r="I14006" s="24"/>
      <c r="J14006" s="24"/>
      <c r="K14006" s="24"/>
      <c r="L14006" s="24"/>
      <c r="M14006" s="24"/>
      <c r="N14006" s="24"/>
      <c r="O14006" s="24"/>
      <c r="P14006" s="24"/>
      <c r="Q14006" s="24"/>
      <c r="R14006" s="24"/>
      <c r="S14006" s="24"/>
      <c r="T14006" s="24"/>
      <c r="U14006" s="24"/>
      <c r="V14006" s="24"/>
      <c r="W14006" s="24"/>
      <c r="X14006" s="24"/>
      <c r="Y14006" s="24"/>
      <c r="Z14006" s="24"/>
      <c r="AA14006" s="24"/>
    </row>
    <row r="14007">
      <c r="A14007" s="24"/>
      <c r="B14007" s="25"/>
      <c r="C14007" s="24"/>
      <c r="D14007" s="26"/>
      <c r="E14007" s="24"/>
      <c r="F14007" s="24"/>
      <c r="G14007" s="24"/>
      <c r="H14007" s="24"/>
      <c r="I14007" s="24"/>
      <c r="J14007" s="24"/>
      <c r="K14007" s="24"/>
      <c r="L14007" s="24"/>
      <c r="M14007" s="24"/>
      <c r="N14007" s="24"/>
      <c r="O14007" s="24"/>
      <c r="P14007" s="24"/>
      <c r="Q14007" s="24"/>
      <c r="R14007" s="24"/>
      <c r="S14007" s="24"/>
      <c r="T14007" s="24"/>
      <c r="U14007" s="24"/>
      <c r="V14007" s="24"/>
      <c r="W14007" s="24"/>
      <c r="X14007" s="24"/>
      <c r="Y14007" s="24"/>
      <c r="Z14007" s="24"/>
      <c r="AA14007" s="24"/>
    </row>
    <row r="14008">
      <c r="A14008" s="24"/>
      <c r="B14008" s="25"/>
      <c r="C14008" s="24"/>
      <c r="D14008" s="26"/>
      <c r="E14008" s="24"/>
      <c r="F14008" s="24"/>
      <c r="G14008" s="24"/>
      <c r="H14008" s="24"/>
      <c r="I14008" s="24"/>
      <c r="J14008" s="24"/>
      <c r="K14008" s="24"/>
      <c r="L14008" s="24"/>
      <c r="M14008" s="24"/>
      <c r="N14008" s="24"/>
      <c r="O14008" s="24"/>
      <c r="P14008" s="24"/>
      <c r="Q14008" s="24"/>
      <c r="R14008" s="24"/>
      <c r="S14008" s="24"/>
      <c r="T14008" s="24"/>
      <c r="U14008" s="24"/>
      <c r="V14008" s="24"/>
      <c r="W14008" s="24"/>
      <c r="X14008" s="24"/>
      <c r="Y14008" s="24"/>
      <c r="Z14008" s="24"/>
      <c r="AA14008" s="24"/>
    </row>
    <row r="14009">
      <c r="A14009" s="24"/>
      <c r="B14009" s="25"/>
      <c r="C14009" s="24"/>
      <c r="D14009" s="26"/>
      <c r="E14009" s="24"/>
      <c r="F14009" s="24"/>
      <c r="G14009" s="24"/>
      <c r="H14009" s="24"/>
      <c r="I14009" s="24"/>
      <c r="J14009" s="24"/>
      <c r="K14009" s="24"/>
      <c r="L14009" s="24"/>
      <c r="M14009" s="24"/>
      <c r="N14009" s="24"/>
      <c r="O14009" s="24"/>
      <c r="P14009" s="24"/>
      <c r="Q14009" s="24"/>
      <c r="R14009" s="24"/>
      <c r="S14009" s="24"/>
      <c r="T14009" s="24"/>
      <c r="U14009" s="24"/>
      <c r="V14009" s="24"/>
      <c r="W14009" s="24"/>
      <c r="X14009" s="24"/>
      <c r="Y14009" s="24"/>
      <c r="Z14009" s="24"/>
      <c r="AA14009" s="24"/>
    </row>
    <row r="14010">
      <c r="A14010" s="24"/>
      <c r="B14010" s="25"/>
      <c r="C14010" s="24"/>
      <c r="D14010" s="26"/>
      <c r="E14010" s="24"/>
      <c r="F14010" s="24"/>
      <c r="G14010" s="24"/>
      <c r="H14010" s="24"/>
      <c r="I14010" s="24"/>
      <c r="J14010" s="24"/>
      <c r="K14010" s="24"/>
      <c r="L14010" s="24"/>
      <c r="M14010" s="24"/>
      <c r="N14010" s="24"/>
      <c r="O14010" s="24"/>
      <c r="P14010" s="24"/>
      <c r="Q14010" s="24"/>
      <c r="R14010" s="24"/>
      <c r="S14010" s="24"/>
      <c r="T14010" s="24"/>
      <c r="U14010" s="24"/>
      <c r="V14010" s="24"/>
      <c r="W14010" s="24"/>
      <c r="X14010" s="24"/>
      <c r="Y14010" s="24"/>
      <c r="Z14010" s="24"/>
      <c r="AA14010" s="24"/>
    </row>
    <row r="14011">
      <c r="A14011" s="24"/>
      <c r="B14011" s="25"/>
      <c r="C14011" s="24"/>
      <c r="D14011" s="26"/>
      <c r="E14011" s="24"/>
      <c r="F14011" s="24"/>
      <c r="G14011" s="24"/>
      <c r="H14011" s="24"/>
      <c r="I14011" s="24"/>
      <c r="J14011" s="24"/>
      <c r="K14011" s="24"/>
      <c r="L14011" s="24"/>
      <c r="M14011" s="24"/>
      <c r="N14011" s="24"/>
      <c r="O14011" s="24"/>
      <c r="P14011" s="24"/>
      <c r="Q14011" s="24"/>
      <c r="R14011" s="24"/>
      <c r="S14011" s="24"/>
      <c r="T14011" s="24"/>
      <c r="U14011" s="24"/>
      <c r="V14011" s="24"/>
      <c r="W14011" s="24"/>
      <c r="X14011" s="24"/>
      <c r="Y14011" s="24"/>
      <c r="Z14011" s="24"/>
      <c r="AA14011" s="24"/>
    </row>
    <row r="14012">
      <c r="A14012" s="24"/>
      <c r="B14012" s="25"/>
      <c r="C14012" s="24"/>
      <c r="D14012" s="26"/>
      <c r="E14012" s="24"/>
      <c r="F14012" s="24"/>
      <c r="G14012" s="24"/>
      <c r="H14012" s="24"/>
      <c r="I14012" s="24"/>
      <c r="J14012" s="24"/>
      <c r="K14012" s="24"/>
      <c r="L14012" s="24"/>
      <c r="M14012" s="24"/>
      <c r="N14012" s="24"/>
      <c r="O14012" s="24"/>
      <c r="P14012" s="24"/>
      <c r="Q14012" s="24"/>
      <c r="R14012" s="24"/>
      <c r="S14012" s="24"/>
      <c r="T14012" s="24"/>
      <c r="U14012" s="24"/>
      <c r="V14012" s="24"/>
      <c r="W14012" s="24"/>
      <c r="X14012" s="24"/>
      <c r="Y14012" s="24"/>
      <c r="Z14012" s="24"/>
      <c r="AA14012" s="24"/>
    </row>
    <row r="14013">
      <c r="A14013" s="24"/>
      <c r="B14013" s="25"/>
      <c r="C14013" s="24"/>
      <c r="D14013" s="26"/>
      <c r="E14013" s="24"/>
      <c r="F14013" s="24"/>
      <c r="G14013" s="24"/>
      <c r="H14013" s="24"/>
      <c r="I14013" s="24"/>
      <c r="J14013" s="24"/>
      <c r="K14013" s="24"/>
      <c r="L14013" s="24"/>
      <c r="M14013" s="24"/>
      <c r="N14013" s="24"/>
      <c r="O14013" s="24"/>
      <c r="P14013" s="24"/>
      <c r="Q14013" s="24"/>
      <c r="R14013" s="24"/>
      <c r="S14013" s="24"/>
      <c r="T14013" s="24"/>
      <c r="U14013" s="24"/>
      <c r="V14013" s="24"/>
      <c r="W14013" s="24"/>
      <c r="X14013" s="24"/>
      <c r="Y14013" s="24"/>
      <c r="Z14013" s="24"/>
      <c r="AA14013" s="24"/>
    </row>
    <row r="14014">
      <c r="A14014" s="24"/>
      <c r="B14014" s="25"/>
      <c r="C14014" s="24"/>
      <c r="D14014" s="26"/>
      <c r="E14014" s="24"/>
      <c r="F14014" s="24"/>
      <c r="G14014" s="24"/>
      <c r="H14014" s="24"/>
      <c r="I14014" s="24"/>
      <c r="J14014" s="24"/>
      <c r="K14014" s="24"/>
      <c r="L14014" s="24"/>
      <c r="M14014" s="24"/>
      <c r="N14014" s="24"/>
      <c r="O14014" s="24"/>
      <c r="P14014" s="24"/>
      <c r="Q14014" s="24"/>
      <c r="R14014" s="24"/>
      <c r="S14014" s="24"/>
      <c r="T14014" s="24"/>
      <c r="U14014" s="24"/>
      <c r="V14014" s="24"/>
      <c r="W14014" s="24"/>
      <c r="X14014" s="24"/>
      <c r="Y14014" s="24"/>
      <c r="Z14014" s="24"/>
      <c r="AA14014" s="24"/>
    </row>
    <row r="14015">
      <c r="A14015" s="24"/>
      <c r="B14015" s="25"/>
      <c r="C14015" s="24"/>
      <c r="D14015" s="26"/>
      <c r="E14015" s="24"/>
      <c r="F14015" s="24"/>
      <c r="G14015" s="24"/>
      <c r="H14015" s="24"/>
      <c r="I14015" s="24"/>
      <c r="J14015" s="24"/>
      <c r="K14015" s="24"/>
      <c r="L14015" s="24"/>
      <c r="M14015" s="24"/>
      <c r="N14015" s="24"/>
      <c r="O14015" s="24"/>
      <c r="P14015" s="24"/>
      <c r="Q14015" s="24"/>
      <c r="R14015" s="24"/>
      <c r="S14015" s="24"/>
      <c r="T14015" s="24"/>
      <c r="U14015" s="24"/>
      <c r="V14015" s="24"/>
      <c r="W14015" s="24"/>
      <c r="X14015" s="24"/>
      <c r="Y14015" s="24"/>
      <c r="Z14015" s="24"/>
      <c r="AA14015" s="24"/>
    </row>
    <row r="14016">
      <c r="A14016" s="24"/>
      <c r="B14016" s="25"/>
      <c r="C14016" s="24"/>
      <c r="D14016" s="26"/>
      <c r="E14016" s="24"/>
      <c r="F14016" s="24"/>
      <c r="G14016" s="24"/>
      <c r="H14016" s="24"/>
      <c r="I14016" s="24"/>
      <c r="J14016" s="24"/>
      <c r="K14016" s="24"/>
      <c r="L14016" s="24"/>
      <c r="M14016" s="24"/>
      <c r="N14016" s="24"/>
      <c r="O14016" s="24"/>
      <c r="P14016" s="24"/>
      <c r="Q14016" s="24"/>
      <c r="R14016" s="24"/>
      <c r="S14016" s="24"/>
      <c r="T14016" s="24"/>
      <c r="U14016" s="24"/>
      <c r="V14016" s="24"/>
      <c r="W14016" s="24"/>
      <c r="X14016" s="24"/>
      <c r="Y14016" s="24"/>
      <c r="Z14016" s="24"/>
      <c r="AA14016" s="24"/>
    </row>
    <row r="14017">
      <c r="A14017" s="24"/>
      <c r="B14017" s="25"/>
      <c r="C14017" s="24"/>
      <c r="D14017" s="26"/>
      <c r="E14017" s="24"/>
      <c r="F14017" s="24"/>
      <c r="G14017" s="24"/>
      <c r="H14017" s="24"/>
      <c r="I14017" s="24"/>
      <c r="J14017" s="24"/>
      <c r="K14017" s="24"/>
      <c r="L14017" s="24"/>
      <c r="M14017" s="24"/>
      <c r="N14017" s="24"/>
      <c r="O14017" s="24"/>
      <c r="P14017" s="24"/>
      <c r="Q14017" s="24"/>
      <c r="R14017" s="24"/>
      <c r="S14017" s="24"/>
      <c r="T14017" s="24"/>
      <c r="U14017" s="24"/>
      <c r="V14017" s="24"/>
      <c r="W14017" s="24"/>
      <c r="X14017" s="24"/>
      <c r="Y14017" s="24"/>
      <c r="Z14017" s="24"/>
      <c r="AA14017" s="24"/>
    </row>
    <row r="14018">
      <c r="A14018" s="24"/>
      <c r="B14018" s="25"/>
      <c r="C14018" s="24"/>
      <c r="D14018" s="26"/>
      <c r="E14018" s="24"/>
      <c r="F14018" s="24"/>
      <c r="G14018" s="24"/>
      <c r="H14018" s="24"/>
      <c r="I14018" s="24"/>
      <c r="J14018" s="24"/>
      <c r="K14018" s="24"/>
      <c r="L14018" s="24"/>
      <c r="M14018" s="24"/>
      <c r="N14018" s="24"/>
      <c r="O14018" s="24"/>
      <c r="P14018" s="24"/>
      <c r="Q14018" s="24"/>
      <c r="R14018" s="24"/>
      <c r="S14018" s="24"/>
      <c r="T14018" s="24"/>
      <c r="U14018" s="24"/>
      <c r="V14018" s="24"/>
      <c r="W14018" s="24"/>
      <c r="X14018" s="24"/>
      <c r="Y14018" s="24"/>
      <c r="Z14018" s="24"/>
      <c r="AA14018" s="24"/>
    </row>
    <row r="14019">
      <c r="A14019" s="24"/>
      <c r="B14019" s="25"/>
      <c r="C14019" s="24"/>
      <c r="D14019" s="26"/>
      <c r="E14019" s="24"/>
      <c r="F14019" s="24"/>
      <c r="G14019" s="24"/>
      <c r="H14019" s="24"/>
      <c r="I14019" s="24"/>
      <c r="J14019" s="24"/>
      <c r="K14019" s="24"/>
      <c r="L14019" s="24"/>
      <c r="M14019" s="24"/>
      <c r="N14019" s="24"/>
      <c r="O14019" s="24"/>
      <c r="P14019" s="24"/>
      <c r="Q14019" s="24"/>
      <c r="R14019" s="24"/>
      <c r="S14019" s="24"/>
      <c r="T14019" s="24"/>
      <c r="U14019" s="24"/>
      <c r="V14019" s="24"/>
      <c r="W14019" s="24"/>
      <c r="X14019" s="24"/>
      <c r="Y14019" s="24"/>
      <c r="Z14019" s="24"/>
      <c r="AA14019" s="24"/>
    </row>
    <row r="14020">
      <c r="A14020" s="24"/>
      <c r="B14020" s="25"/>
      <c r="C14020" s="24"/>
      <c r="D14020" s="26"/>
      <c r="E14020" s="24"/>
      <c r="F14020" s="24"/>
      <c r="G14020" s="24"/>
      <c r="H14020" s="24"/>
      <c r="I14020" s="24"/>
      <c r="J14020" s="24"/>
      <c r="K14020" s="24"/>
      <c r="L14020" s="24"/>
      <c r="M14020" s="24"/>
      <c r="N14020" s="24"/>
      <c r="O14020" s="24"/>
      <c r="P14020" s="24"/>
      <c r="Q14020" s="24"/>
      <c r="R14020" s="24"/>
      <c r="S14020" s="24"/>
      <c r="T14020" s="24"/>
      <c r="U14020" s="24"/>
      <c r="V14020" s="24"/>
      <c r="W14020" s="24"/>
      <c r="X14020" s="24"/>
      <c r="Y14020" s="24"/>
      <c r="Z14020" s="24"/>
      <c r="AA14020" s="24"/>
    </row>
    <row r="14021">
      <c r="A14021" s="24"/>
      <c r="B14021" s="25"/>
      <c r="C14021" s="24"/>
      <c r="D14021" s="26"/>
      <c r="E14021" s="24"/>
      <c r="F14021" s="24"/>
      <c r="G14021" s="24"/>
      <c r="H14021" s="24"/>
      <c r="I14021" s="24"/>
      <c r="J14021" s="24"/>
      <c r="K14021" s="24"/>
      <c r="L14021" s="24"/>
      <c r="M14021" s="24"/>
      <c r="N14021" s="24"/>
      <c r="O14021" s="24"/>
      <c r="P14021" s="24"/>
      <c r="Q14021" s="24"/>
      <c r="R14021" s="24"/>
      <c r="S14021" s="24"/>
      <c r="T14021" s="24"/>
      <c r="U14021" s="24"/>
      <c r="V14021" s="24"/>
      <c r="W14021" s="24"/>
      <c r="X14021" s="24"/>
      <c r="Y14021" s="24"/>
      <c r="Z14021" s="24"/>
      <c r="AA14021" s="24"/>
    </row>
    <row r="14022">
      <c r="A14022" s="24"/>
      <c r="B14022" s="25"/>
      <c r="C14022" s="24"/>
      <c r="D14022" s="26"/>
      <c r="E14022" s="24"/>
      <c r="F14022" s="24"/>
      <c r="G14022" s="24"/>
      <c r="H14022" s="24"/>
      <c r="I14022" s="24"/>
      <c r="J14022" s="24"/>
      <c r="K14022" s="24"/>
      <c r="L14022" s="24"/>
      <c r="M14022" s="24"/>
      <c r="N14022" s="24"/>
      <c r="O14022" s="24"/>
      <c r="P14022" s="24"/>
      <c r="Q14022" s="24"/>
      <c r="R14022" s="24"/>
      <c r="S14022" s="24"/>
      <c r="T14022" s="24"/>
      <c r="U14022" s="24"/>
      <c r="V14022" s="24"/>
      <c r="W14022" s="24"/>
      <c r="X14022" s="24"/>
      <c r="Y14022" s="24"/>
      <c r="Z14022" s="24"/>
      <c r="AA14022" s="24"/>
    </row>
    <row r="14023">
      <c r="A14023" s="24"/>
      <c r="B14023" s="25"/>
      <c r="C14023" s="24"/>
      <c r="D14023" s="26"/>
      <c r="E14023" s="24"/>
      <c r="F14023" s="24"/>
      <c r="G14023" s="24"/>
      <c r="H14023" s="24"/>
      <c r="I14023" s="24"/>
      <c r="J14023" s="24"/>
      <c r="K14023" s="24"/>
      <c r="L14023" s="24"/>
      <c r="M14023" s="24"/>
      <c r="N14023" s="24"/>
      <c r="O14023" s="24"/>
      <c r="P14023" s="24"/>
      <c r="Q14023" s="24"/>
      <c r="R14023" s="24"/>
      <c r="S14023" s="24"/>
      <c r="T14023" s="24"/>
      <c r="U14023" s="24"/>
      <c r="V14023" s="24"/>
      <c r="W14023" s="24"/>
      <c r="X14023" s="24"/>
      <c r="Y14023" s="24"/>
      <c r="Z14023" s="24"/>
      <c r="AA14023" s="24"/>
    </row>
    <row r="14024">
      <c r="A14024" s="24"/>
      <c r="B14024" s="25"/>
      <c r="C14024" s="24"/>
      <c r="D14024" s="26"/>
      <c r="E14024" s="24"/>
      <c r="F14024" s="24"/>
      <c r="G14024" s="24"/>
      <c r="H14024" s="24"/>
      <c r="I14024" s="24"/>
      <c r="J14024" s="24"/>
      <c r="K14024" s="24"/>
      <c r="L14024" s="24"/>
      <c r="M14024" s="24"/>
      <c r="N14024" s="24"/>
      <c r="O14024" s="24"/>
      <c r="P14024" s="24"/>
      <c r="Q14024" s="24"/>
      <c r="R14024" s="24"/>
      <c r="S14024" s="24"/>
      <c r="T14024" s="24"/>
      <c r="U14024" s="24"/>
      <c r="V14024" s="24"/>
      <c r="W14024" s="24"/>
      <c r="X14024" s="24"/>
      <c r="Y14024" s="24"/>
      <c r="Z14024" s="24"/>
      <c r="AA14024" s="24"/>
    </row>
    <row r="14025">
      <c r="A14025" s="24"/>
      <c r="B14025" s="25"/>
      <c r="C14025" s="24"/>
      <c r="D14025" s="26"/>
      <c r="E14025" s="24"/>
      <c r="F14025" s="24"/>
      <c r="G14025" s="24"/>
      <c r="H14025" s="24"/>
      <c r="I14025" s="24"/>
      <c r="J14025" s="24"/>
      <c r="K14025" s="24"/>
      <c r="L14025" s="24"/>
      <c r="M14025" s="24"/>
      <c r="N14025" s="24"/>
      <c r="O14025" s="24"/>
      <c r="P14025" s="24"/>
      <c r="Q14025" s="24"/>
      <c r="R14025" s="24"/>
      <c r="S14025" s="24"/>
      <c r="T14025" s="24"/>
      <c r="U14025" s="24"/>
      <c r="V14025" s="24"/>
      <c r="W14025" s="24"/>
      <c r="X14025" s="24"/>
      <c r="Y14025" s="24"/>
      <c r="Z14025" s="24"/>
      <c r="AA14025" s="24"/>
    </row>
    <row r="14026">
      <c r="A14026" s="24"/>
      <c r="B14026" s="25"/>
      <c r="C14026" s="24"/>
      <c r="D14026" s="26"/>
      <c r="E14026" s="24"/>
      <c r="F14026" s="24"/>
      <c r="G14026" s="24"/>
      <c r="H14026" s="24"/>
      <c r="I14026" s="24"/>
      <c r="J14026" s="24"/>
      <c r="K14026" s="24"/>
      <c r="L14026" s="24"/>
      <c r="M14026" s="24"/>
      <c r="N14026" s="24"/>
      <c r="O14026" s="24"/>
      <c r="P14026" s="24"/>
      <c r="Q14026" s="24"/>
      <c r="R14026" s="24"/>
      <c r="S14026" s="24"/>
      <c r="T14026" s="24"/>
      <c r="U14026" s="24"/>
      <c r="V14026" s="24"/>
      <c r="W14026" s="24"/>
      <c r="X14026" s="24"/>
      <c r="Y14026" s="24"/>
      <c r="Z14026" s="24"/>
      <c r="AA14026" s="24"/>
    </row>
    <row r="14027">
      <c r="A14027" s="24"/>
      <c r="B14027" s="25"/>
      <c r="C14027" s="24"/>
      <c r="D14027" s="26"/>
      <c r="E14027" s="24"/>
      <c r="F14027" s="24"/>
      <c r="G14027" s="24"/>
      <c r="H14027" s="24"/>
      <c r="I14027" s="24"/>
      <c r="J14027" s="24"/>
      <c r="K14027" s="24"/>
      <c r="L14027" s="24"/>
      <c r="M14027" s="24"/>
      <c r="N14027" s="24"/>
      <c r="O14027" s="24"/>
      <c r="P14027" s="24"/>
      <c r="Q14027" s="24"/>
      <c r="R14027" s="24"/>
      <c r="S14027" s="24"/>
      <c r="T14027" s="24"/>
      <c r="U14027" s="24"/>
      <c r="V14027" s="24"/>
      <c r="W14027" s="24"/>
      <c r="X14027" s="24"/>
      <c r="Y14027" s="24"/>
      <c r="Z14027" s="24"/>
      <c r="AA14027" s="24"/>
    </row>
    <row r="14028">
      <c r="A14028" s="24"/>
      <c r="B14028" s="25"/>
      <c r="C14028" s="24"/>
      <c r="D14028" s="26"/>
      <c r="E14028" s="24"/>
      <c r="F14028" s="24"/>
      <c r="G14028" s="24"/>
      <c r="H14028" s="24"/>
      <c r="I14028" s="24"/>
      <c r="J14028" s="24"/>
      <c r="K14028" s="24"/>
      <c r="L14028" s="24"/>
      <c r="M14028" s="24"/>
      <c r="N14028" s="24"/>
      <c r="O14028" s="24"/>
      <c r="P14028" s="24"/>
      <c r="Q14028" s="24"/>
      <c r="R14028" s="24"/>
      <c r="S14028" s="24"/>
      <c r="T14028" s="24"/>
      <c r="U14028" s="24"/>
      <c r="V14028" s="24"/>
      <c r="W14028" s="24"/>
      <c r="X14028" s="24"/>
      <c r="Y14028" s="24"/>
      <c r="Z14028" s="24"/>
      <c r="AA14028" s="24"/>
    </row>
    <row r="14029">
      <c r="A14029" s="24"/>
      <c r="B14029" s="25"/>
      <c r="C14029" s="24"/>
      <c r="D14029" s="26"/>
      <c r="E14029" s="24"/>
      <c r="F14029" s="24"/>
      <c r="G14029" s="24"/>
      <c r="H14029" s="24"/>
      <c r="I14029" s="24"/>
      <c r="J14029" s="24"/>
      <c r="K14029" s="24"/>
      <c r="L14029" s="24"/>
      <c r="M14029" s="24"/>
      <c r="N14029" s="24"/>
      <c r="O14029" s="24"/>
      <c r="P14029" s="24"/>
      <c r="Q14029" s="24"/>
      <c r="R14029" s="24"/>
      <c r="S14029" s="24"/>
      <c r="T14029" s="24"/>
      <c r="U14029" s="24"/>
      <c r="V14029" s="24"/>
      <c r="W14029" s="24"/>
      <c r="X14029" s="24"/>
      <c r="Y14029" s="24"/>
      <c r="Z14029" s="24"/>
      <c r="AA14029" s="24"/>
    </row>
    <row r="14030">
      <c r="A14030" s="24"/>
      <c r="B14030" s="25"/>
      <c r="C14030" s="24"/>
      <c r="D14030" s="26"/>
      <c r="E14030" s="24"/>
      <c r="F14030" s="24"/>
      <c r="G14030" s="24"/>
      <c r="H14030" s="24"/>
      <c r="I14030" s="24"/>
      <c r="J14030" s="24"/>
      <c r="K14030" s="24"/>
      <c r="L14030" s="24"/>
      <c r="M14030" s="24"/>
      <c r="N14030" s="24"/>
      <c r="O14030" s="24"/>
      <c r="P14030" s="24"/>
      <c r="Q14030" s="24"/>
      <c r="R14030" s="24"/>
      <c r="S14030" s="24"/>
      <c r="T14030" s="24"/>
      <c r="U14030" s="24"/>
      <c r="V14030" s="24"/>
      <c r="W14030" s="24"/>
      <c r="X14030" s="24"/>
      <c r="Y14030" s="24"/>
      <c r="Z14030" s="24"/>
      <c r="AA14030" s="24"/>
    </row>
    <row r="14031">
      <c r="A14031" s="24"/>
      <c r="B14031" s="25"/>
      <c r="C14031" s="24"/>
      <c r="D14031" s="26"/>
      <c r="E14031" s="24"/>
      <c r="F14031" s="24"/>
      <c r="G14031" s="24"/>
      <c r="H14031" s="24"/>
      <c r="I14031" s="24"/>
      <c r="J14031" s="24"/>
      <c r="K14031" s="24"/>
      <c r="L14031" s="24"/>
      <c r="M14031" s="24"/>
      <c r="N14031" s="24"/>
      <c r="O14031" s="24"/>
      <c r="P14031" s="24"/>
      <c r="Q14031" s="24"/>
      <c r="R14031" s="24"/>
      <c r="S14031" s="24"/>
      <c r="T14031" s="24"/>
      <c r="U14031" s="24"/>
      <c r="V14031" s="24"/>
      <c r="W14031" s="24"/>
      <c r="X14031" s="24"/>
      <c r="Y14031" s="24"/>
      <c r="Z14031" s="24"/>
      <c r="AA14031" s="24"/>
    </row>
    <row r="14032">
      <c r="A14032" s="24"/>
      <c r="B14032" s="25"/>
      <c r="C14032" s="24"/>
      <c r="D14032" s="26"/>
      <c r="E14032" s="24"/>
      <c r="F14032" s="24"/>
      <c r="G14032" s="24"/>
      <c r="H14032" s="24"/>
      <c r="I14032" s="24"/>
      <c r="J14032" s="24"/>
      <c r="K14032" s="24"/>
      <c r="L14032" s="24"/>
      <c r="M14032" s="24"/>
      <c r="N14032" s="24"/>
      <c r="O14032" s="24"/>
      <c r="P14032" s="24"/>
      <c r="Q14032" s="24"/>
      <c r="R14032" s="24"/>
      <c r="S14032" s="24"/>
      <c r="T14032" s="24"/>
      <c r="U14032" s="24"/>
      <c r="V14032" s="24"/>
      <c r="W14032" s="24"/>
      <c r="X14032" s="24"/>
      <c r="Y14032" s="24"/>
      <c r="Z14032" s="24"/>
      <c r="AA14032" s="24"/>
    </row>
    <row r="14033">
      <c r="A14033" s="24"/>
      <c r="B14033" s="25"/>
      <c r="C14033" s="24"/>
      <c r="D14033" s="26"/>
      <c r="E14033" s="24"/>
      <c r="F14033" s="24"/>
      <c r="G14033" s="24"/>
      <c r="H14033" s="24"/>
      <c r="I14033" s="24"/>
      <c r="J14033" s="24"/>
      <c r="K14033" s="24"/>
      <c r="L14033" s="24"/>
      <c r="M14033" s="24"/>
      <c r="N14033" s="24"/>
      <c r="O14033" s="24"/>
      <c r="P14033" s="24"/>
      <c r="Q14033" s="24"/>
      <c r="R14033" s="24"/>
      <c r="S14033" s="24"/>
      <c r="T14033" s="24"/>
      <c r="U14033" s="24"/>
      <c r="V14033" s="24"/>
      <c r="W14033" s="24"/>
      <c r="X14033" s="24"/>
      <c r="Y14033" s="24"/>
      <c r="Z14033" s="24"/>
      <c r="AA14033" s="24"/>
    </row>
    <row r="14034">
      <c r="A14034" s="24"/>
      <c r="B14034" s="25"/>
      <c r="C14034" s="24"/>
      <c r="D14034" s="26"/>
      <c r="E14034" s="24"/>
      <c r="F14034" s="24"/>
      <c r="G14034" s="24"/>
      <c r="H14034" s="24"/>
      <c r="I14034" s="24"/>
      <c r="J14034" s="24"/>
      <c r="K14034" s="24"/>
      <c r="L14034" s="24"/>
      <c r="M14034" s="24"/>
      <c r="N14034" s="24"/>
      <c r="O14034" s="24"/>
      <c r="P14034" s="24"/>
      <c r="Q14034" s="24"/>
      <c r="R14034" s="24"/>
      <c r="S14034" s="24"/>
      <c r="T14034" s="24"/>
      <c r="U14034" s="24"/>
      <c r="V14034" s="24"/>
      <c r="W14034" s="24"/>
      <c r="X14034" s="24"/>
      <c r="Y14034" s="24"/>
      <c r="Z14034" s="24"/>
      <c r="AA14034" s="24"/>
    </row>
    <row r="14035">
      <c r="A14035" s="24"/>
      <c r="B14035" s="25"/>
      <c r="C14035" s="24"/>
      <c r="D14035" s="26"/>
      <c r="E14035" s="24"/>
      <c r="F14035" s="24"/>
      <c r="G14035" s="24"/>
      <c r="H14035" s="24"/>
      <c r="I14035" s="24"/>
      <c r="J14035" s="24"/>
      <c r="K14035" s="24"/>
      <c r="L14035" s="24"/>
      <c r="M14035" s="24"/>
      <c r="N14035" s="24"/>
      <c r="O14035" s="24"/>
      <c r="P14035" s="24"/>
      <c r="Q14035" s="24"/>
      <c r="R14035" s="24"/>
      <c r="S14035" s="24"/>
      <c r="T14035" s="24"/>
      <c r="U14035" s="24"/>
      <c r="V14035" s="24"/>
      <c r="W14035" s="24"/>
      <c r="X14035" s="24"/>
      <c r="Y14035" s="24"/>
      <c r="Z14035" s="24"/>
      <c r="AA14035" s="24"/>
    </row>
    <row r="14036">
      <c r="A14036" s="24"/>
      <c r="B14036" s="25"/>
      <c r="C14036" s="24"/>
      <c r="D14036" s="26"/>
      <c r="E14036" s="24"/>
      <c r="F14036" s="24"/>
      <c r="G14036" s="24"/>
      <c r="H14036" s="24"/>
      <c r="I14036" s="24"/>
      <c r="J14036" s="24"/>
      <c r="K14036" s="24"/>
      <c r="L14036" s="24"/>
      <c r="M14036" s="24"/>
      <c r="N14036" s="24"/>
      <c r="O14036" s="24"/>
      <c r="P14036" s="24"/>
      <c r="Q14036" s="24"/>
      <c r="R14036" s="24"/>
      <c r="S14036" s="24"/>
      <c r="T14036" s="24"/>
      <c r="U14036" s="24"/>
      <c r="V14036" s="24"/>
      <c r="W14036" s="24"/>
      <c r="X14036" s="24"/>
      <c r="Y14036" s="24"/>
      <c r="Z14036" s="24"/>
      <c r="AA14036" s="24"/>
    </row>
    <row r="14037">
      <c r="A14037" s="24"/>
      <c r="B14037" s="25"/>
      <c r="C14037" s="24"/>
      <c r="D14037" s="26"/>
      <c r="E14037" s="24"/>
      <c r="F14037" s="24"/>
      <c r="G14037" s="24"/>
      <c r="H14037" s="24"/>
      <c r="I14037" s="24"/>
      <c r="J14037" s="24"/>
      <c r="K14037" s="24"/>
      <c r="L14037" s="24"/>
      <c r="M14037" s="24"/>
      <c r="N14037" s="24"/>
      <c r="O14037" s="24"/>
      <c r="P14037" s="24"/>
      <c r="Q14037" s="24"/>
      <c r="R14037" s="24"/>
      <c r="S14037" s="24"/>
      <c r="T14037" s="24"/>
      <c r="U14037" s="24"/>
      <c r="V14037" s="24"/>
      <c r="W14037" s="24"/>
      <c r="X14037" s="24"/>
      <c r="Y14037" s="24"/>
      <c r="Z14037" s="24"/>
      <c r="AA14037" s="24"/>
    </row>
    <row r="14038">
      <c r="A14038" s="24"/>
      <c r="B14038" s="25"/>
      <c r="C14038" s="24"/>
      <c r="D14038" s="26"/>
      <c r="E14038" s="24"/>
      <c r="F14038" s="24"/>
      <c r="G14038" s="24"/>
      <c r="H14038" s="24"/>
      <c r="I14038" s="24"/>
      <c r="J14038" s="24"/>
      <c r="K14038" s="24"/>
      <c r="L14038" s="24"/>
      <c r="M14038" s="24"/>
      <c r="N14038" s="24"/>
      <c r="O14038" s="24"/>
      <c r="P14038" s="24"/>
      <c r="Q14038" s="24"/>
      <c r="R14038" s="24"/>
      <c r="S14038" s="24"/>
      <c r="T14038" s="24"/>
      <c r="U14038" s="24"/>
      <c r="V14038" s="24"/>
      <c r="W14038" s="24"/>
      <c r="X14038" s="24"/>
      <c r="Y14038" s="24"/>
      <c r="Z14038" s="24"/>
      <c r="AA14038" s="24"/>
    </row>
    <row r="14039">
      <c r="A14039" s="24"/>
      <c r="B14039" s="25"/>
      <c r="C14039" s="24"/>
      <c r="D14039" s="26"/>
      <c r="E14039" s="24"/>
      <c r="F14039" s="24"/>
      <c r="G14039" s="24"/>
      <c r="H14039" s="24"/>
      <c r="I14039" s="24"/>
      <c r="J14039" s="24"/>
      <c r="K14039" s="24"/>
      <c r="L14039" s="24"/>
      <c r="M14039" s="24"/>
      <c r="N14039" s="24"/>
      <c r="O14039" s="24"/>
      <c r="P14039" s="24"/>
      <c r="Q14039" s="24"/>
      <c r="R14039" s="24"/>
      <c r="S14039" s="24"/>
      <c r="T14039" s="24"/>
      <c r="U14039" s="24"/>
      <c r="V14039" s="24"/>
      <c r="W14039" s="24"/>
      <c r="X14039" s="24"/>
      <c r="Y14039" s="24"/>
      <c r="Z14039" s="24"/>
      <c r="AA14039" s="24"/>
    </row>
    <row r="14040">
      <c r="A14040" s="24"/>
      <c r="B14040" s="25"/>
      <c r="C14040" s="24"/>
      <c r="D14040" s="26"/>
      <c r="E14040" s="24"/>
      <c r="F14040" s="24"/>
      <c r="G14040" s="24"/>
      <c r="H14040" s="24"/>
      <c r="I14040" s="24"/>
      <c r="J14040" s="24"/>
      <c r="K14040" s="24"/>
      <c r="L14040" s="24"/>
      <c r="M14040" s="24"/>
      <c r="N14040" s="24"/>
      <c r="O14040" s="24"/>
      <c r="P14040" s="24"/>
      <c r="Q14040" s="24"/>
      <c r="R14040" s="24"/>
      <c r="S14040" s="24"/>
      <c r="T14040" s="24"/>
      <c r="U14040" s="24"/>
      <c r="V14040" s="24"/>
      <c r="W14040" s="24"/>
      <c r="X14040" s="24"/>
      <c r="Y14040" s="24"/>
      <c r="Z14040" s="24"/>
      <c r="AA14040" s="24"/>
    </row>
    <row r="14041">
      <c r="A14041" s="24"/>
      <c r="B14041" s="25"/>
      <c r="C14041" s="24"/>
      <c r="D14041" s="26"/>
      <c r="E14041" s="24"/>
      <c r="F14041" s="24"/>
      <c r="G14041" s="24"/>
      <c r="H14041" s="24"/>
      <c r="I14041" s="24"/>
      <c r="J14041" s="24"/>
      <c r="K14041" s="24"/>
      <c r="L14041" s="24"/>
      <c r="M14041" s="24"/>
      <c r="N14041" s="24"/>
      <c r="O14041" s="24"/>
      <c r="P14041" s="24"/>
      <c r="Q14041" s="24"/>
      <c r="R14041" s="24"/>
      <c r="S14041" s="24"/>
      <c r="T14041" s="24"/>
      <c r="U14041" s="24"/>
      <c r="V14041" s="24"/>
      <c r="W14041" s="24"/>
      <c r="X14041" s="24"/>
      <c r="Y14041" s="24"/>
      <c r="Z14041" s="24"/>
      <c r="AA14041" s="24"/>
    </row>
    <row r="14042">
      <c r="A14042" s="24"/>
      <c r="B14042" s="25"/>
      <c r="C14042" s="24"/>
      <c r="D14042" s="26"/>
      <c r="E14042" s="24"/>
      <c r="F14042" s="24"/>
      <c r="G14042" s="24"/>
      <c r="H14042" s="24"/>
      <c r="I14042" s="24"/>
      <c r="J14042" s="24"/>
      <c r="K14042" s="24"/>
      <c r="L14042" s="24"/>
      <c r="M14042" s="24"/>
      <c r="N14042" s="24"/>
      <c r="O14042" s="24"/>
      <c r="P14042" s="24"/>
      <c r="Q14042" s="24"/>
      <c r="R14042" s="24"/>
      <c r="S14042" s="24"/>
      <c r="T14042" s="24"/>
      <c r="U14042" s="24"/>
      <c r="V14042" s="24"/>
      <c r="W14042" s="24"/>
      <c r="X14042" s="24"/>
      <c r="Y14042" s="24"/>
      <c r="Z14042" s="24"/>
      <c r="AA14042" s="24"/>
    </row>
    <row r="14043">
      <c r="A14043" s="24"/>
      <c r="B14043" s="25"/>
      <c r="C14043" s="24"/>
      <c r="D14043" s="26"/>
      <c r="E14043" s="24"/>
      <c r="F14043" s="24"/>
      <c r="G14043" s="24"/>
      <c r="H14043" s="24"/>
      <c r="I14043" s="24"/>
      <c r="J14043" s="24"/>
      <c r="K14043" s="24"/>
      <c r="L14043" s="24"/>
      <c r="M14043" s="24"/>
      <c r="N14043" s="24"/>
      <c r="O14043" s="24"/>
      <c r="P14043" s="24"/>
      <c r="Q14043" s="24"/>
      <c r="R14043" s="24"/>
      <c r="S14043" s="24"/>
      <c r="T14043" s="24"/>
      <c r="U14043" s="24"/>
      <c r="V14043" s="24"/>
      <c r="W14043" s="24"/>
      <c r="X14043" s="24"/>
      <c r="Y14043" s="24"/>
      <c r="Z14043" s="24"/>
      <c r="AA14043" s="24"/>
    </row>
    <row r="14044">
      <c r="A14044" s="24"/>
      <c r="B14044" s="25"/>
      <c r="C14044" s="24"/>
      <c r="D14044" s="26"/>
      <c r="E14044" s="24"/>
      <c r="F14044" s="24"/>
      <c r="G14044" s="24"/>
      <c r="H14044" s="24"/>
      <c r="I14044" s="24"/>
      <c r="J14044" s="24"/>
      <c r="K14044" s="24"/>
      <c r="L14044" s="24"/>
      <c r="M14044" s="24"/>
      <c r="N14044" s="24"/>
      <c r="O14044" s="24"/>
      <c r="P14044" s="24"/>
      <c r="Q14044" s="24"/>
      <c r="R14044" s="24"/>
      <c r="S14044" s="24"/>
      <c r="T14044" s="24"/>
      <c r="U14044" s="24"/>
      <c r="V14044" s="24"/>
      <c r="W14044" s="24"/>
      <c r="X14044" s="24"/>
      <c r="Y14044" s="24"/>
      <c r="Z14044" s="24"/>
      <c r="AA14044" s="24"/>
    </row>
    <row r="14045">
      <c r="A14045" s="24"/>
      <c r="B14045" s="25"/>
      <c r="C14045" s="24"/>
      <c r="D14045" s="26"/>
      <c r="E14045" s="24"/>
      <c r="F14045" s="24"/>
      <c r="G14045" s="24"/>
      <c r="H14045" s="24"/>
      <c r="I14045" s="24"/>
      <c r="J14045" s="24"/>
      <c r="K14045" s="24"/>
      <c r="L14045" s="24"/>
      <c r="M14045" s="24"/>
      <c r="N14045" s="24"/>
      <c r="O14045" s="24"/>
      <c r="P14045" s="24"/>
      <c r="Q14045" s="24"/>
      <c r="R14045" s="24"/>
      <c r="S14045" s="24"/>
      <c r="T14045" s="24"/>
      <c r="U14045" s="24"/>
      <c r="V14045" s="24"/>
      <c r="W14045" s="24"/>
      <c r="X14045" s="24"/>
      <c r="Y14045" s="24"/>
      <c r="Z14045" s="24"/>
      <c r="AA14045" s="24"/>
    </row>
    <row r="14046">
      <c r="A14046" s="24"/>
      <c r="B14046" s="25"/>
      <c r="C14046" s="24"/>
      <c r="D14046" s="26"/>
      <c r="E14046" s="24"/>
      <c r="F14046" s="24"/>
      <c r="G14046" s="24"/>
      <c r="H14046" s="24"/>
      <c r="I14046" s="24"/>
      <c r="J14046" s="24"/>
      <c r="K14046" s="24"/>
      <c r="L14046" s="24"/>
      <c r="M14046" s="24"/>
      <c r="N14046" s="24"/>
      <c r="O14046" s="24"/>
      <c r="P14046" s="24"/>
      <c r="Q14046" s="24"/>
      <c r="R14046" s="24"/>
      <c r="S14046" s="24"/>
      <c r="T14046" s="24"/>
      <c r="U14046" s="24"/>
      <c r="V14046" s="24"/>
      <c r="W14046" s="24"/>
      <c r="X14046" s="24"/>
      <c r="Y14046" s="24"/>
      <c r="Z14046" s="24"/>
      <c r="AA14046" s="24"/>
    </row>
    <row r="14047">
      <c r="A14047" s="24"/>
      <c r="B14047" s="25"/>
      <c r="C14047" s="24"/>
      <c r="D14047" s="26"/>
      <c r="E14047" s="24"/>
      <c r="F14047" s="24"/>
      <c r="G14047" s="24"/>
      <c r="H14047" s="24"/>
      <c r="I14047" s="24"/>
      <c r="J14047" s="24"/>
      <c r="K14047" s="24"/>
      <c r="L14047" s="24"/>
      <c r="M14047" s="24"/>
      <c r="N14047" s="24"/>
      <c r="O14047" s="24"/>
      <c r="P14047" s="24"/>
      <c r="Q14047" s="24"/>
      <c r="R14047" s="24"/>
      <c r="S14047" s="24"/>
      <c r="T14047" s="24"/>
      <c r="U14047" s="24"/>
      <c r="V14047" s="24"/>
      <c r="W14047" s="24"/>
      <c r="X14047" s="24"/>
      <c r="Y14047" s="24"/>
      <c r="Z14047" s="24"/>
      <c r="AA14047" s="24"/>
    </row>
    <row r="14048">
      <c r="A14048" s="24"/>
      <c r="B14048" s="25"/>
      <c r="C14048" s="24"/>
      <c r="D14048" s="26"/>
      <c r="E14048" s="24"/>
      <c r="F14048" s="24"/>
      <c r="G14048" s="24"/>
      <c r="H14048" s="24"/>
      <c r="I14048" s="24"/>
      <c r="J14048" s="24"/>
      <c r="K14048" s="24"/>
      <c r="L14048" s="24"/>
      <c r="M14048" s="24"/>
      <c r="N14048" s="24"/>
      <c r="O14048" s="24"/>
      <c r="P14048" s="24"/>
      <c r="Q14048" s="24"/>
      <c r="R14048" s="24"/>
      <c r="S14048" s="24"/>
      <c r="T14048" s="24"/>
      <c r="U14048" s="24"/>
      <c r="V14048" s="24"/>
      <c r="W14048" s="24"/>
      <c r="X14048" s="24"/>
      <c r="Y14048" s="24"/>
      <c r="Z14048" s="24"/>
      <c r="AA14048" s="24"/>
    </row>
    <row r="14049">
      <c r="A14049" s="24"/>
      <c r="B14049" s="25"/>
      <c r="C14049" s="24"/>
      <c r="D14049" s="26"/>
      <c r="E14049" s="24"/>
      <c r="F14049" s="24"/>
      <c r="G14049" s="24"/>
      <c r="H14049" s="24"/>
      <c r="I14049" s="24"/>
      <c r="J14049" s="24"/>
      <c r="K14049" s="24"/>
      <c r="L14049" s="24"/>
      <c r="M14049" s="24"/>
      <c r="N14049" s="24"/>
      <c r="O14049" s="24"/>
      <c r="P14049" s="24"/>
      <c r="Q14049" s="24"/>
      <c r="R14049" s="24"/>
      <c r="S14049" s="24"/>
      <c r="T14049" s="24"/>
      <c r="U14049" s="24"/>
      <c r="V14049" s="24"/>
      <c r="W14049" s="24"/>
      <c r="X14049" s="24"/>
      <c r="Y14049" s="24"/>
      <c r="Z14049" s="24"/>
      <c r="AA14049" s="24"/>
    </row>
    <row r="14050">
      <c r="A14050" s="24"/>
      <c r="B14050" s="25"/>
      <c r="C14050" s="24"/>
      <c r="D14050" s="26"/>
      <c r="E14050" s="24"/>
      <c r="F14050" s="24"/>
      <c r="G14050" s="24"/>
      <c r="H14050" s="24"/>
      <c r="I14050" s="24"/>
      <c r="J14050" s="24"/>
      <c r="K14050" s="24"/>
      <c r="L14050" s="24"/>
      <c r="M14050" s="24"/>
      <c r="N14050" s="24"/>
      <c r="O14050" s="24"/>
      <c r="P14050" s="24"/>
      <c r="Q14050" s="24"/>
      <c r="R14050" s="24"/>
      <c r="S14050" s="24"/>
      <c r="T14050" s="24"/>
      <c r="U14050" s="24"/>
      <c r="V14050" s="24"/>
      <c r="W14050" s="24"/>
      <c r="X14050" s="24"/>
      <c r="Y14050" s="24"/>
      <c r="Z14050" s="24"/>
      <c r="AA14050" s="24"/>
    </row>
    <row r="14051">
      <c r="A14051" s="24"/>
      <c r="B14051" s="25"/>
      <c r="C14051" s="24"/>
      <c r="D14051" s="26"/>
      <c r="E14051" s="24"/>
      <c r="F14051" s="24"/>
      <c r="G14051" s="24"/>
      <c r="H14051" s="24"/>
      <c r="I14051" s="24"/>
      <c r="J14051" s="24"/>
      <c r="K14051" s="24"/>
      <c r="L14051" s="24"/>
      <c r="M14051" s="24"/>
      <c r="N14051" s="24"/>
      <c r="O14051" s="24"/>
      <c r="P14051" s="24"/>
      <c r="Q14051" s="24"/>
      <c r="R14051" s="24"/>
      <c r="S14051" s="24"/>
      <c r="T14051" s="24"/>
      <c r="U14051" s="24"/>
      <c r="V14051" s="24"/>
      <c r="W14051" s="24"/>
      <c r="X14051" s="24"/>
      <c r="Y14051" s="24"/>
      <c r="Z14051" s="24"/>
      <c r="AA14051" s="24"/>
    </row>
    <row r="14052">
      <c r="A14052" s="24"/>
      <c r="B14052" s="25"/>
      <c r="C14052" s="24"/>
      <c r="D14052" s="26"/>
      <c r="E14052" s="24"/>
      <c r="F14052" s="24"/>
      <c r="G14052" s="24"/>
      <c r="H14052" s="24"/>
      <c r="I14052" s="24"/>
      <c r="J14052" s="24"/>
      <c r="K14052" s="24"/>
      <c r="L14052" s="24"/>
      <c r="M14052" s="24"/>
      <c r="N14052" s="24"/>
      <c r="O14052" s="24"/>
      <c r="P14052" s="24"/>
      <c r="Q14052" s="24"/>
      <c r="R14052" s="24"/>
      <c r="S14052" s="24"/>
      <c r="T14052" s="24"/>
      <c r="U14052" s="24"/>
      <c r="V14052" s="24"/>
      <c r="W14052" s="24"/>
      <c r="X14052" s="24"/>
      <c r="Y14052" s="24"/>
      <c r="Z14052" s="24"/>
      <c r="AA14052" s="24"/>
    </row>
    <row r="14053">
      <c r="A14053" s="24"/>
      <c r="B14053" s="25"/>
      <c r="C14053" s="24"/>
      <c r="D14053" s="26"/>
      <c r="E14053" s="24"/>
      <c r="F14053" s="24"/>
      <c r="G14053" s="24"/>
      <c r="H14053" s="24"/>
      <c r="I14053" s="24"/>
      <c r="J14053" s="24"/>
      <c r="K14053" s="24"/>
      <c r="L14053" s="24"/>
      <c r="M14053" s="24"/>
      <c r="N14053" s="24"/>
      <c r="O14053" s="24"/>
      <c r="P14053" s="24"/>
      <c r="Q14053" s="24"/>
      <c r="R14053" s="24"/>
      <c r="S14053" s="24"/>
      <c r="T14053" s="24"/>
      <c r="U14053" s="24"/>
      <c r="V14053" s="24"/>
      <c r="W14053" s="24"/>
      <c r="X14053" s="24"/>
      <c r="Y14053" s="24"/>
      <c r="Z14053" s="24"/>
      <c r="AA14053" s="24"/>
    </row>
    <row r="14054">
      <c r="A14054" s="24"/>
      <c r="B14054" s="25"/>
      <c r="C14054" s="24"/>
      <c r="D14054" s="26"/>
      <c r="E14054" s="24"/>
      <c r="F14054" s="24"/>
      <c r="G14054" s="24"/>
      <c r="H14054" s="24"/>
      <c r="I14054" s="24"/>
      <c r="J14054" s="24"/>
      <c r="K14054" s="24"/>
      <c r="L14054" s="24"/>
      <c r="M14054" s="24"/>
      <c r="N14054" s="24"/>
      <c r="O14054" s="24"/>
      <c r="P14054" s="24"/>
      <c r="Q14054" s="24"/>
      <c r="R14054" s="24"/>
      <c r="S14054" s="24"/>
      <c r="T14054" s="24"/>
      <c r="U14054" s="24"/>
      <c r="V14054" s="24"/>
      <c r="W14054" s="24"/>
      <c r="X14054" s="24"/>
      <c r="Y14054" s="24"/>
      <c r="Z14054" s="24"/>
      <c r="AA14054" s="24"/>
    </row>
    <row r="14055">
      <c r="A14055" s="24"/>
      <c r="B14055" s="25"/>
      <c r="C14055" s="24"/>
      <c r="D14055" s="26"/>
      <c r="E14055" s="24"/>
      <c r="F14055" s="24"/>
      <c r="G14055" s="24"/>
      <c r="H14055" s="24"/>
      <c r="I14055" s="24"/>
      <c r="J14055" s="24"/>
      <c r="K14055" s="24"/>
      <c r="L14055" s="24"/>
      <c r="M14055" s="24"/>
      <c r="N14055" s="24"/>
      <c r="O14055" s="24"/>
      <c r="P14055" s="24"/>
      <c r="Q14055" s="24"/>
      <c r="R14055" s="24"/>
      <c r="S14055" s="24"/>
      <c r="T14055" s="24"/>
      <c r="U14055" s="24"/>
      <c r="V14055" s="24"/>
      <c r="W14055" s="24"/>
      <c r="X14055" s="24"/>
      <c r="Y14055" s="24"/>
      <c r="Z14055" s="24"/>
      <c r="AA14055" s="24"/>
    </row>
    <row r="14056">
      <c r="A14056" s="24"/>
      <c r="B14056" s="25"/>
      <c r="C14056" s="24"/>
      <c r="D14056" s="26"/>
      <c r="E14056" s="24"/>
      <c r="F14056" s="24"/>
      <c r="G14056" s="24"/>
      <c r="H14056" s="24"/>
      <c r="I14056" s="24"/>
      <c r="J14056" s="24"/>
      <c r="K14056" s="24"/>
      <c r="L14056" s="24"/>
      <c r="M14056" s="24"/>
      <c r="N14056" s="24"/>
      <c r="O14056" s="24"/>
      <c r="P14056" s="24"/>
      <c r="Q14056" s="24"/>
      <c r="R14056" s="24"/>
      <c r="S14056" s="24"/>
      <c r="T14056" s="24"/>
      <c r="U14056" s="24"/>
      <c r="V14056" s="24"/>
      <c r="W14056" s="24"/>
      <c r="X14056" s="24"/>
      <c r="Y14056" s="24"/>
      <c r="Z14056" s="24"/>
      <c r="AA14056" s="24"/>
    </row>
    <row r="14057">
      <c r="A14057" s="24"/>
      <c r="B14057" s="25"/>
      <c r="C14057" s="24"/>
      <c r="D14057" s="26"/>
      <c r="E14057" s="24"/>
      <c r="F14057" s="24"/>
      <c r="G14057" s="24"/>
      <c r="H14057" s="24"/>
      <c r="I14057" s="24"/>
      <c r="J14057" s="24"/>
      <c r="K14057" s="24"/>
      <c r="L14057" s="24"/>
      <c r="M14057" s="24"/>
      <c r="N14057" s="24"/>
      <c r="O14057" s="24"/>
      <c r="P14057" s="24"/>
      <c r="Q14057" s="24"/>
      <c r="R14057" s="24"/>
      <c r="S14057" s="24"/>
      <c r="T14057" s="24"/>
      <c r="U14057" s="24"/>
      <c r="V14057" s="24"/>
      <c r="W14057" s="24"/>
      <c r="X14057" s="24"/>
      <c r="Y14057" s="24"/>
      <c r="Z14057" s="24"/>
      <c r="AA14057" s="24"/>
    </row>
    <row r="14058">
      <c r="A14058" s="24"/>
      <c r="B14058" s="25"/>
      <c r="C14058" s="24"/>
      <c r="D14058" s="26"/>
      <c r="E14058" s="24"/>
      <c r="F14058" s="24"/>
      <c r="G14058" s="24"/>
      <c r="H14058" s="24"/>
      <c r="I14058" s="24"/>
      <c r="J14058" s="24"/>
      <c r="K14058" s="24"/>
      <c r="L14058" s="24"/>
      <c r="M14058" s="24"/>
      <c r="N14058" s="24"/>
      <c r="O14058" s="24"/>
      <c r="P14058" s="24"/>
      <c r="Q14058" s="24"/>
      <c r="R14058" s="24"/>
      <c r="S14058" s="24"/>
      <c r="T14058" s="24"/>
      <c r="U14058" s="24"/>
      <c r="V14058" s="24"/>
      <c r="W14058" s="24"/>
      <c r="X14058" s="24"/>
      <c r="Y14058" s="24"/>
      <c r="Z14058" s="24"/>
      <c r="AA14058" s="24"/>
    </row>
    <row r="14059">
      <c r="A14059" s="24"/>
      <c r="B14059" s="25"/>
      <c r="C14059" s="24"/>
      <c r="D14059" s="26"/>
      <c r="E14059" s="24"/>
      <c r="F14059" s="24"/>
      <c r="G14059" s="24"/>
      <c r="H14059" s="24"/>
      <c r="I14059" s="24"/>
      <c r="J14059" s="24"/>
      <c r="K14059" s="24"/>
      <c r="L14059" s="24"/>
      <c r="M14059" s="24"/>
      <c r="N14059" s="24"/>
      <c r="O14059" s="24"/>
      <c r="P14059" s="24"/>
      <c r="Q14059" s="24"/>
      <c r="R14059" s="24"/>
      <c r="S14059" s="24"/>
      <c r="T14059" s="24"/>
      <c r="U14059" s="24"/>
      <c r="V14059" s="24"/>
      <c r="W14059" s="24"/>
      <c r="X14059" s="24"/>
      <c r="Y14059" s="24"/>
      <c r="Z14059" s="24"/>
      <c r="AA14059" s="24"/>
    </row>
    <row r="14060">
      <c r="A14060" s="24"/>
      <c r="B14060" s="25"/>
      <c r="C14060" s="24"/>
      <c r="D14060" s="26"/>
      <c r="E14060" s="24"/>
      <c r="F14060" s="24"/>
      <c r="G14060" s="24"/>
      <c r="H14060" s="24"/>
      <c r="I14060" s="24"/>
      <c r="J14060" s="24"/>
      <c r="K14060" s="24"/>
      <c r="L14060" s="24"/>
      <c r="M14060" s="24"/>
      <c r="N14060" s="24"/>
      <c r="O14060" s="24"/>
      <c r="P14060" s="24"/>
      <c r="Q14060" s="24"/>
      <c r="R14060" s="24"/>
      <c r="S14060" s="24"/>
      <c r="T14060" s="24"/>
      <c r="U14060" s="24"/>
      <c r="V14060" s="24"/>
      <c r="W14060" s="24"/>
      <c r="X14060" s="24"/>
      <c r="Y14060" s="24"/>
      <c r="Z14060" s="24"/>
      <c r="AA14060" s="24"/>
    </row>
    <row r="14061">
      <c r="A14061" s="24"/>
      <c r="B14061" s="25"/>
      <c r="C14061" s="24"/>
      <c r="D14061" s="26"/>
      <c r="E14061" s="24"/>
      <c r="F14061" s="24"/>
      <c r="G14061" s="24"/>
      <c r="H14061" s="24"/>
      <c r="I14061" s="24"/>
      <c r="J14061" s="24"/>
      <c r="K14061" s="24"/>
      <c r="L14061" s="24"/>
      <c r="M14061" s="24"/>
      <c r="N14061" s="24"/>
      <c r="O14061" s="24"/>
      <c r="P14061" s="24"/>
      <c r="Q14061" s="24"/>
      <c r="R14061" s="24"/>
      <c r="S14061" s="24"/>
      <c r="T14061" s="24"/>
      <c r="U14061" s="24"/>
      <c r="V14061" s="24"/>
      <c r="W14061" s="24"/>
      <c r="X14061" s="24"/>
      <c r="Y14061" s="24"/>
      <c r="Z14061" s="24"/>
      <c r="AA14061" s="24"/>
    </row>
    <row r="14062">
      <c r="A14062" s="24"/>
      <c r="B14062" s="25"/>
      <c r="C14062" s="24"/>
      <c r="D14062" s="26"/>
      <c r="E14062" s="24"/>
      <c r="F14062" s="24"/>
      <c r="G14062" s="24"/>
      <c r="H14062" s="24"/>
      <c r="I14062" s="24"/>
      <c r="J14062" s="24"/>
      <c r="K14062" s="24"/>
      <c r="L14062" s="24"/>
      <c r="M14062" s="24"/>
      <c r="N14062" s="24"/>
      <c r="O14062" s="24"/>
      <c r="P14062" s="24"/>
      <c r="Q14062" s="24"/>
      <c r="R14062" s="24"/>
      <c r="S14062" s="24"/>
      <c r="T14062" s="24"/>
      <c r="U14062" s="24"/>
      <c r="V14062" s="24"/>
      <c r="W14062" s="24"/>
      <c r="X14062" s="24"/>
      <c r="Y14062" s="24"/>
      <c r="Z14062" s="24"/>
      <c r="AA14062" s="24"/>
    </row>
    <row r="14063">
      <c r="A14063" s="24"/>
      <c r="B14063" s="25"/>
      <c r="C14063" s="24"/>
      <c r="D14063" s="26"/>
      <c r="E14063" s="24"/>
      <c r="F14063" s="24"/>
      <c r="G14063" s="24"/>
      <c r="H14063" s="24"/>
      <c r="I14063" s="24"/>
      <c r="J14063" s="24"/>
      <c r="K14063" s="24"/>
      <c r="L14063" s="24"/>
      <c r="M14063" s="24"/>
      <c r="N14063" s="24"/>
      <c r="O14063" s="24"/>
      <c r="P14063" s="24"/>
      <c r="Q14063" s="24"/>
      <c r="R14063" s="24"/>
      <c r="S14063" s="24"/>
      <c r="T14063" s="24"/>
      <c r="U14063" s="24"/>
      <c r="V14063" s="24"/>
      <c r="W14063" s="24"/>
      <c r="X14063" s="24"/>
      <c r="Y14063" s="24"/>
      <c r="Z14063" s="24"/>
      <c r="AA14063" s="24"/>
    </row>
    <row r="14064">
      <c r="A14064" s="24"/>
      <c r="B14064" s="25"/>
      <c r="C14064" s="24"/>
      <c r="D14064" s="26"/>
      <c r="E14064" s="24"/>
      <c r="F14064" s="24"/>
      <c r="G14064" s="24"/>
      <c r="H14064" s="24"/>
      <c r="I14064" s="24"/>
      <c r="J14064" s="24"/>
      <c r="K14064" s="24"/>
      <c r="L14064" s="24"/>
      <c r="M14064" s="24"/>
      <c r="N14064" s="24"/>
      <c r="O14064" s="24"/>
      <c r="P14064" s="24"/>
      <c r="Q14064" s="24"/>
      <c r="R14064" s="24"/>
      <c r="S14064" s="24"/>
      <c r="T14064" s="24"/>
      <c r="U14064" s="24"/>
      <c r="V14064" s="24"/>
      <c r="W14064" s="24"/>
      <c r="X14064" s="24"/>
      <c r="Y14064" s="24"/>
      <c r="Z14064" s="24"/>
      <c r="AA14064" s="24"/>
    </row>
    <row r="14065">
      <c r="A14065" s="24"/>
      <c r="B14065" s="25"/>
      <c r="C14065" s="24"/>
      <c r="D14065" s="26"/>
      <c r="E14065" s="24"/>
      <c r="F14065" s="24"/>
      <c r="G14065" s="24"/>
      <c r="H14065" s="24"/>
      <c r="I14065" s="24"/>
      <c r="J14065" s="24"/>
      <c r="K14065" s="24"/>
      <c r="L14065" s="24"/>
      <c r="M14065" s="24"/>
      <c r="N14065" s="24"/>
      <c r="O14065" s="24"/>
      <c r="P14065" s="24"/>
      <c r="Q14065" s="24"/>
      <c r="R14065" s="24"/>
      <c r="S14065" s="24"/>
      <c r="T14065" s="24"/>
      <c r="U14065" s="24"/>
      <c r="V14065" s="24"/>
      <c r="W14065" s="24"/>
      <c r="X14065" s="24"/>
      <c r="Y14065" s="24"/>
      <c r="Z14065" s="24"/>
      <c r="AA14065" s="24"/>
    </row>
    <row r="14066">
      <c r="A14066" s="24"/>
      <c r="B14066" s="25"/>
      <c r="C14066" s="24"/>
      <c r="D14066" s="26"/>
      <c r="E14066" s="24"/>
      <c r="F14066" s="24"/>
      <c r="G14066" s="24"/>
      <c r="H14066" s="24"/>
      <c r="I14066" s="24"/>
      <c r="J14066" s="24"/>
      <c r="K14066" s="24"/>
      <c r="L14066" s="24"/>
      <c r="M14066" s="24"/>
      <c r="N14066" s="24"/>
      <c r="O14066" s="24"/>
      <c r="P14066" s="24"/>
      <c r="Q14066" s="24"/>
      <c r="R14066" s="24"/>
      <c r="S14066" s="24"/>
      <c r="T14066" s="24"/>
      <c r="U14066" s="24"/>
      <c r="V14066" s="24"/>
      <c r="W14066" s="24"/>
      <c r="X14066" s="24"/>
      <c r="Y14066" s="24"/>
      <c r="Z14066" s="24"/>
      <c r="AA14066" s="24"/>
    </row>
    <row r="14067">
      <c r="A14067" s="24"/>
      <c r="B14067" s="25"/>
      <c r="C14067" s="24"/>
      <c r="D14067" s="26"/>
      <c r="E14067" s="24"/>
      <c r="F14067" s="24"/>
      <c r="G14067" s="24"/>
      <c r="H14067" s="24"/>
      <c r="I14067" s="24"/>
      <c r="J14067" s="24"/>
      <c r="K14067" s="24"/>
      <c r="L14067" s="24"/>
      <c r="M14067" s="24"/>
      <c r="N14067" s="24"/>
      <c r="O14067" s="24"/>
      <c r="P14067" s="24"/>
      <c r="Q14067" s="24"/>
      <c r="R14067" s="24"/>
      <c r="S14067" s="24"/>
      <c r="T14067" s="24"/>
      <c r="U14067" s="24"/>
      <c r="V14067" s="24"/>
      <c r="W14067" s="24"/>
      <c r="X14067" s="24"/>
      <c r="Y14067" s="24"/>
      <c r="Z14067" s="24"/>
      <c r="AA14067" s="24"/>
    </row>
    <row r="14068">
      <c r="A14068" s="24"/>
      <c r="B14068" s="25"/>
      <c r="C14068" s="24"/>
      <c r="D14068" s="26"/>
      <c r="E14068" s="24"/>
      <c r="F14068" s="24"/>
      <c r="G14068" s="24"/>
      <c r="H14068" s="24"/>
      <c r="I14068" s="24"/>
      <c r="J14068" s="24"/>
      <c r="K14068" s="24"/>
      <c r="L14068" s="24"/>
      <c r="M14068" s="24"/>
      <c r="N14068" s="24"/>
      <c r="O14068" s="24"/>
      <c r="P14068" s="24"/>
      <c r="Q14068" s="24"/>
      <c r="R14068" s="24"/>
      <c r="S14068" s="24"/>
      <c r="T14068" s="24"/>
      <c r="U14068" s="24"/>
      <c r="V14068" s="24"/>
      <c r="W14068" s="24"/>
      <c r="X14068" s="24"/>
      <c r="Y14068" s="24"/>
      <c r="Z14068" s="24"/>
      <c r="AA14068" s="24"/>
    </row>
    <row r="14069">
      <c r="A14069" s="24"/>
      <c r="B14069" s="25"/>
      <c r="C14069" s="24"/>
      <c r="D14069" s="26"/>
      <c r="E14069" s="24"/>
      <c r="F14069" s="24"/>
      <c r="G14069" s="24"/>
      <c r="H14069" s="24"/>
      <c r="I14069" s="24"/>
      <c r="J14069" s="24"/>
      <c r="K14069" s="24"/>
      <c r="L14069" s="24"/>
      <c r="M14069" s="24"/>
      <c r="N14069" s="24"/>
      <c r="O14069" s="24"/>
      <c r="P14069" s="24"/>
      <c r="Q14069" s="24"/>
      <c r="R14069" s="24"/>
      <c r="S14069" s="24"/>
      <c r="T14069" s="24"/>
      <c r="U14069" s="24"/>
      <c r="V14069" s="24"/>
      <c r="W14069" s="24"/>
      <c r="X14069" s="24"/>
      <c r="Y14069" s="24"/>
      <c r="Z14069" s="24"/>
      <c r="AA14069" s="24"/>
    </row>
    <row r="14070">
      <c r="A14070" s="24"/>
      <c r="B14070" s="25"/>
      <c r="C14070" s="24"/>
      <c r="D14070" s="26"/>
      <c r="E14070" s="24"/>
      <c r="F14070" s="24"/>
      <c r="G14070" s="24"/>
      <c r="H14070" s="24"/>
      <c r="I14070" s="24"/>
      <c r="J14070" s="24"/>
      <c r="K14070" s="24"/>
      <c r="L14070" s="24"/>
      <c r="M14070" s="24"/>
      <c r="N14070" s="24"/>
      <c r="O14070" s="24"/>
      <c r="P14070" s="24"/>
      <c r="Q14070" s="24"/>
      <c r="R14070" s="24"/>
      <c r="S14070" s="24"/>
      <c r="T14070" s="24"/>
      <c r="U14070" s="24"/>
      <c r="V14070" s="24"/>
      <c r="W14070" s="24"/>
      <c r="X14070" s="24"/>
      <c r="Y14070" s="24"/>
      <c r="Z14070" s="24"/>
      <c r="AA14070" s="24"/>
    </row>
    <row r="14071">
      <c r="A14071" s="24"/>
      <c r="B14071" s="25"/>
      <c r="C14071" s="24"/>
      <c r="D14071" s="26"/>
      <c r="E14071" s="24"/>
      <c r="F14071" s="24"/>
      <c r="G14071" s="24"/>
      <c r="H14071" s="24"/>
      <c r="I14071" s="24"/>
      <c r="J14071" s="24"/>
      <c r="K14071" s="24"/>
      <c r="L14071" s="24"/>
      <c r="M14071" s="24"/>
      <c r="N14071" s="24"/>
      <c r="O14071" s="24"/>
      <c r="P14071" s="24"/>
      <c r="Q14071" s="24"/>
      <c r="R14071" s="24"/>
      <c r="S14071" s="24"/>
      <c r="T14071" s="24"/>
      <c r="U14071" s="24"/>
      <c r="V14071" s="24"/>
      <c r="W14071" s="24"/>
      <c r="X14071" s="24"/>
      <c r="Y14071" s="24"/>
      <c r="Z14071" s="24"/>
      <c r="AA14071" s="24"/>
    </row>
    <row r="14072">
      <c r="A14072" s="24"/>
      <c r="B14072" s="25"/>
      <c r="C14072" s="24"/>
      <c r="D14072" s="26"/>
      <c r="E14072" s="24"/>
      <c r="F14072" s="24"/>
      <c r="G14072" s="24"/>
      <c r="H14072" s="24"/>
      <c r="I14072" s="24"/>
      <c r="J14072" s="24"/>
      <c r="K14072" s="24"/>
      <c r="L14072" s="24"/>
      <c r="M14072" s="24"/>
      <c r="N14072" s="24"/>
      <c r="O14072" s="24"/>
      <c r="P14072" s="24"/>
      <c r="Q14072" s="24"/>
      <c r="R14072" s="24"/>
      <c r="S14072" s="24"/>
      <c r="T14072" s="24"/>
      <c r="U14072" s="24"/>
      <c r="V14072" s="24"/>
      <c r="W14072" s="24"/>
      <c r="X14072" s="24"/>
      <c r="Y14072" s="24"/>
      <c r="Z14072" s="24"/>
      <c r="AA14072" s="24"/>
    </row>
    <row r="14073">
      <c r="A14073" s="24"/>
      <c r="B14073" s="25"/>
      <c r="C14073" s="24"/>
      <c r="D14073" s="26"/>
      <c r="E14073" s="24"/>
      <c r="F14073" s="24"/>
      <c r="G14073" s="24"/>
      <c r="H14073" s="24"/>
      <c r="I14073" s="24"/>
      <c r="J14073" s="24"/>
      <c r="K14073" s="24"/>
      <c r="L14073" s="24"/>
      <c r="M14073" s="24"/>
      <c r="N14073" s="24"/>
      <c r="O14073" s="24"/>
      <c r="P14073" s="24"/>
      <c r="Q14073" s="24"/>
      <c r="R14073" s="24"/>
      <c r="S14073" s="24"/>
      <c r="T14073" s="24"/>
      <c r="U14073" s="24"/>
      <c r="V14073" s="24"/>
      <c r="W14073" s="24"/>
      <c r="X14073" s="24"/>
      <c r="Y14073" s="24"/>
      <c r="Z14073" s="24"/>
      <c r="AA14073" s="24"/>
    </row>
    <row r="14074">
      <c r="A14074" s="24"/>
      <c r="B14074" s="25"/>
      <c r="C14074" s="24"/>
      <c r="D14074" s="26"/>
      <c r="E14074" s="24"/>
      <c r="F14074" s="24"/>
      <c r="G14074" s="24"/>
      <c r="H14074" s="24"/>
      <c r="I14074" s="24"/>
      <c r="J14074" s="24"/>
      <c r="K14074" s="24"/>
      <c r="L14074" s="24"/>
      <c r="M14074" s="24"/>
      <c r="N14074" s="24"/>
      <c r="O14074" s="24"/>
      <c r="P14074" s="24"/>
      <c r="Q14074" s="24"/>
      <c r="R14074" s="24"/>
      <c r="S14074" s="24"/>
      <c r="T14074" s="24"/>
      <c r="U14074" s="24"/>
      <c r="V14074" s="24"/>
      <c r="W14074" s="24"/>
      <c r="X14074" s="24"/>
      <c r="Y14074" s="24"/>
      <c r="Z14074" s="24"/>
      <c r="AA14074" s="24"/>
    </row>
    <row r="14075">
      <c r="A14075" s="24"/>
      <c r="B14075" s="25"/>
      <c r="C14075" s="24"/>
      <c r="D14075" s="26"/>
      <c r="E14075" s="24"/>
      <c r="F14075" s="24"/>
      <c r="G14075" s="24"/>
      <c r="H14075" s="24"/>
      <c r="I14075" s="24"/>
      <c r="J14075" s="24"/>
      <c r="K14075" s="24"/>
      <c r="L14075" s="24"/>
      <c r="M14075" s="24"/>
      <c r="N14075" s="24"/>
      <c r="O14075" s="24"/>
      <c r="P14075" s="24"/>
      <c r="Q14075" s="24"/>
      <c r="R14075" s="24"/>
      <c r="S14075" s="24"/>
      <c r="T14075" s="24"/>
      <c r="U14075" s="24"/>
      <c r="V14075" s="24"/>
      <c r="W14075" s="24"/>
      <c r="X14075" s="24"/>
      <c r="Y14075" s="24"/>
      <c r="Z14075" s="24"/>
      <c r="AA14075" s="24"/>
    </row>
    <row r="14076">
      <c r="A14076" s="24"/>
      <c r="B14076" s="25"/>
      <c r="C14076" s="24"/>
      <c r="D14076" s="26"/>
      <c r="E14076" s="24"/>
      <c r="F14076" s="24"/>
      <c r="G14076" s="24"/>
      <c r="H14076" s="24"/>
      <c r="I14076" s="24"/>
      <c r="J14076" s="24"/>
      <c r="K14076" s="24"/>
      <c r="L14076" s="24"/>
      <c r="M14076" s="24"/>
      <c r="N14076" s="24"/>
      <c r="O14076" s="24"/>
      <c r="P14076" s="24"/>
      <c r="Q14076" s="24"/>
      <c r="R14076" s="24"/>
      <c r="S14076" s="24"/>
      <c r="T14076" s="24"/>
      <c r="U14076" s="24"/>
      <c r="V14076" s="24"/>
      <c r="W14076" s="24"/>
      <c r="X14076" s="24"/>
      <c r="Y14076" s="24"/>
      <c r="Z14076" s="24"/>
      <c r="AA14076" s="24"/>
    </row>
    <row r="14077">
      <c r="A14077" s="24"/>
      <c r="B14077" s="25"/>
      <c r="C14077" s="24"/>
      <c r="D14077" s="26"/>
      <c r="E14077" s="24"/>
      <c r="F14077" s="24"/>
      <c r="G14077" s="24"/>
      <c r="H14077" s="24"/>
      <c r="I14077" s="24"/>
      <c r="J14077" s="24"/>
      <c r="K14077" s="24"/>
      <c r="L14077" s="24"/>
      <c r="M14077" s="24"/>
      <c r="N14077" s="24"/>
      <c r="O14077" s="24"/>
      <c r="P14077" s="24"/>
      <c r="Q14077" s="24"/>
      <c r="R14077" s="24"/>
      <c r="S14077" s="24"/>
      <c r="T14077" s="24"/>
      <c r="U14077" s="24"/>
      <c r="V14077" s="24"/>
      <c r="W14077" s="24"/>
      <c r="X14077" s="24"/>
      <c r="Y14077" s="24"/>
      <c r="Z14077" s="24"/>
      <c r="AA14077" s="24"/>
    </row>
    <row r="14078">
      <c r="A14078" s="24"/>
      <c r="B14078" s="25"/>
      <c r="C14078" s="24"/>
      <c r="D14078" s="26"/>
      <c r="E14078" s="24"/>
      <c r="F14078" s="24"/>
      <c r="G14078" s="24"/>
      <c r="H14078" s="24"/>
      <c r="I14078" s="24"/>
      <c r="J14078" s="24"/>
      <c r="K14078" s="24"/>
      <c r="L14078" s="24"/>
      <c r="M14078" s="24"/>
      <c r="N14078" s="24"/>
      <c r="O14078" s="24"/>
      <c r="P14078" s="24"/>
      <c r="Q14078" s="24"/>
      <c r="R14078" s="24"/>
      <c r="S14078" s="24"/>
      <c r="T14078" s="24"/>
      <c r="U14078" s="24"/>
      <c r="V14078" s="24"/>
      <c r="W14078" s="24"/>
      <c r="X14078" s="24"/>
      <c r="Y14078" s="24"/>
      <c r="Z14078" s="24"/>
      <c r="AA14078" s="24"/>
    </row>
    <row r="14079">
      <c r="A14079" s="24"/>
      <c r="B14079" s="25"/>
      <c r="C14079" s="24"/>
      <c r="D14079" s="26"/>
      <c r="E14079" s="24"/>
      <c r="F14079" s="24"/>
      <c r="G14079" s="24"/>
      <c r="H14079" s="24"/>
      <c r="I14079" s="24"/>
      <c r="J14079" s="24"/>
      <c r="K14079" s="24"/>
      <c r="L14079" s="24"/>
      <c r="M14079" s="24"/>
      <c r="N14079" s="24"/>
      <c r="O14079" s="24"/>
      <c r="P14079" s="24"/>
      <c r="Q14079" s="24"/>
      <c r="R14079" s="24"/>
      <c r="S14079" s="24"/>
      <c r="T14079" s="24"/>
      <c r="U14079" s="24"/>
      <c r="V14079" s="24"/>
      <c r="W14079" s="24"/>
      <c r="X14079" s="24"/>
      <c r="Y14079" s="24"/>
      <c r="Z14079" s="24"/>
      <c r="AA14079" s="24"/>
    </row>
    <row r="14080">
      <c r="A14080" s="24"/>
      <c r="B14080" s="25"/>
      <c r="C14080" s="24"/>
      <c r="D14080" s="26"/>
      <c r="E14080" s="24"/>
      <c r="F14080" s="24"/>
      <c r="G14080" s="24"/>
      <c r="H14080" s="24"/>
      <c r="I14080" s="24"/>
      <c r="J14080" s="24"/>
      <c r="K14080" s="24"/>
      <c r="L14080" s="24"/>
      <c r="M14080" s="24"/>
      <c r="N14080" s="24"/>
      <c r="O14080" s="24"/>
      <c r="P14080" s="24"/>
      <c r="Q14080" s="24"/>
      <c r="R14080" s="24"/>
      <c r="S14080" s="24"/>
      <c r="T14080" s="24"/>
      <c r="U14080" s="24"/>
      <c r="V14080" s="24"/>
      <c r="W14080" s="24"/>
      <c r="X14080" s="24"/>
      <c r="Y14080" s="24"/>
      <c r="Z14080" s="24"/>
      <c r="AA14080" s="24"/>
    </row>
    <row r="14081">
      <c r="A14081" s="24"/>
      <c r="B14081" s="25"/>
      <c r="C14081" s="24"/>
      <c r="D14081" s="26"/>
      <c r="E14081" s="24"/>
      <c r="F14081" s="24"/>
      <c r="G14081" s="24"/>
      <c r="H14081" s="24"/>
      <c r="I14081" s="24"/>
      <c r="J14081" s="24"/>
      <c r="K14081" s="24"/>
      <c r="L14081" s="24"/>
      <c r="M14081" s="24"/>
      <c r="N14081" s="24"/>
      <c r="O14081" s="24"/>
      <c r="P14081" s="24"/>
      <c r="Q14081" s="24"/>
      <c r="R14081" s="24"/>
      <c r="S14081" s="24"/>
      <c r="T14081" s="24"/>
      <c r="U14081" s="24"/>
      <c r="V14081" s="24"/>
      <c r="W14081" s="24"/>
      <c r="X14081" s="24"/>
      <c r="Y14081" s="24"/>
      <c r="Z14081" s="24"/>
      <c r="AA14081" s="24"/>
    </row>
    <row r="14082">
      <c r="A14082" s="24"/>
      <c r="B14082" s="25"/>
      <c r="C14082" s="24"/>
      <c r="D14082" s="26"/>
      <c r="E14082" s="24"/>
      <c r="F14082" s="24"/>
      <c r="G14082" s="24"/>
      <c r="H14082" s="24"/>
      <c r="I14082" s="24"/>
      <c r="J14082" s="24"/>
      <c r="K14082" s="24"/>
      <c r="L14082" s="24"/>
      <c r="M14082" s="24"/>
      <c r="N14082" s="24"/>
      <c r="O14082" s="24"/>
      <c r="P14082" s="24"/>
      <c r="Q14082" s="24"/>
      <c r="R14082" s="24"/>
      <c r="S14082" s="24"/>
      <c r="T14082" s="24"/>
      <c r="U14082" s="24"/>
      <c r="V14082" s="24"/>
      <c r="W14082" s="24"/>
      <c r="X14082" s="24"/>
      <c r="Y14082" s="24"/>
      <c r="Z14082" s="24"/>
      <c r="AA14082" s="24"/>
    </row>
    <row r="14083">
      <c r="A14083" s="24"/>
      <c r="B14083" s="25"/>
      <c r="C14083" s="24"/>
      <c r="D14083" s="26"/>
      <c r="E14083" s="24"/>
      <c r="F14083" s="24"/>
      <c r="G14083" s="24"/>
      <c r="H14083" s="24"/>
      <c r="I14083" s="24"/>
      <c r="J14083" s="24"/>
      <c r="K14083" s="24"/>
      <c r="L14083" s="24"/>
      <c r="M14083" s="24"/>
      <c r="N14083" s="24"/>
      <c r="O14083" s="24"/>
      <c r="P14083" s="24"/>
      <c r="Q14083" s="24"/>
      <c r="R14083" s="24"/>
      <c r="S14083" s="24"/>
      <c r="T14083" s="24"/>
      <c r="U14083" s="24"/>
      <c r="V14083" s="24"/>
      <c r="W14083" s="24"/>
      <c r="X14083" s="24"/>
      <c r="Y14083" s="24"/>
      <c r="Z14083" s="24"/>
      <c r="AA14083" s="24"/>
    </row>
    <row r="14084">
      <c r="A14084" s="24"/>
      <c r="B14084" s="25"/>
      <c r="C14084" s="24"/>
      <c r="D14084" s="26"/>
      <c r="E14084" s="24"/>
      <c r="F14084" s="24"/>
      <c r="G14084" s="24"/>
      <c r="H14084" s="24"/>
      <c r="I14084" s="24"/>
      <c r="J14084" s="24"/>
      <c r="K14084" s="24"/>
      <c r="L14084" s="24"/>
      <c r="M14084" s="24"/>
      <c r="N14084" s="24"/>
      <c r="O14084" s="24"/>
      <c r="P14084" s="24"/>
      <c r="Q14084" s="24"/>
      <c r="R14084" s="24"/>
      <c r="S14084" s="24"/>
      <c r="T14084" s="24"/>
      <c r="U14084" s="24"/>
      <c r="V14084" s="24"/>
      <c r="W14084" s="24"/>
      <c r="X14084" s="24"/>
      <c r="Y14084" s="24"/>
      <c r="Z14084" s="24"/>
      <c r="AA14084" s="24"/>
    </row>
    <row r="14085">
      <c r="A14085" s="24"/>
      <c r="B14085" s="25"/>
      <c r="C14085" s="24"/>
      <c r="D14085" s="26"/>
      <c r="E14085" s="24"/>
      <c r="F14085" s="24"/>
      <c r="G14085" s="24"/>
      <c r="H14085" s="24"/>
      <c r="I14085" s="24"/>
      <c r="J14085" s="24"/>
      <c r="K14085" s="24"/>
      <c r="L14085" s="24"/>
      <c r="M14085" s="24"/>
      <c r="N14085" s="24"/>
      <c r="O14085" s="24"/>
      <c r="P14085" s="24"/>
      <c r="Q14085" s="24"/>
      <c r="R14085" s="24"/>
      <c r="S14085" s="24"/>
      <c r="T14085" s="24"/>
      <c r="U14085" s="24"/>
      <c r="V14085" s="24"/>
      <c r="W14085" s="24"/>
      <c r="X14085" s="24"/>
      <c r="Y14085" s="24"/>
      <c r="Z14085" s="24"/>
      <c r="AA14085" s="24"/>
    </row>
    <row r="14086">
      <c r="A14086" s="24"/>
      <c r="B14086" s="25"/>
      <c r="C14086" s="24"/>
      <c r="D14086" s="26"/>
      <c r="E14086" s="24"/>
      <c r="F14086" s="24"/>
      <c r="G14086" s="24"/>
      <c r="H14086" s="24"/>
      <c r="I14086" s="24"/>
      <c r="J14086" s="24"/>
      <c r="K14086" s="24"/>
      <c r="L14086" s="24"/>
      <c r="M14086" s="24"/>
      <c r="N14086" s="24"/>
      <c r="O14086" s="24"/>
      <c r="P14086" s="24"/>
      <c r="Q14086" s="24"/>
      <c r="R14086" s="24"/>
      <c r="S14086" s="24"/>
      <c r="T14086" s="24"/>
      <c r="U14086" s="24"/>
      <c r="V14086" s="24"/>
      <c r="W14086" s="24"/>
      <c r="X14086" s="24"/>
      <c r="Y14086" s="24"/>
      <c r="Z14086" s="24"/>
      <c r="AA14086" s="24"/>
    </row>
    <row r="14087">
      <c r="A14087" s="24"/>
      <c r="B14087" s="25"/>
      <c r="C14087" s="24"/>
      <c r="D14087" s="26"/>
      <c r="E14087" s="24"/>
      <c r="F14087" s="24"/>
      <c r="G14087" s="24"/>
      <c r="H14087" s="24"/>
      <c r="I14087" s="24"/>
      <c r="J14087" s="24"/>
      <c r="K14087" s="24"/>
      <c r="L14087" s="24"/>
      <c r="M14087" s="24"/>
      <c r="N14087" s="24"/>
      <c r="O14087" s="24"/>
      <c r="P14087" s="24"/>
      <c r="Q14087" s="24"/>
      <c r="R14087" s="24"/>
      <c r="S14087" s="24"/>
      <c r="T14087" s="24"/>
      <c r="U14087" s="24"/>
      <c r="V14087" s="24"/>
      <c r="W14087" s="24"/>
      <c r="X14087" s="24"/>
      <c r="Y14087" s="24"/>
      <c r="Z14087" s="24"/>
      <c r="AA14087" s="24"/>
    </row>
    <row r="14088">
      <c r="A14088" s="24"/>
      <c r="B14088" s="25"/>
      <c r="C14088" s="24"/>
      <c r="D14088" s="26"/>
      <c r="E14088" s="24"/>
      <c r="F14088" s="24"/>
      <c r="G14088" s="24"/>
      <c r="H14088" s="24"/>
      <c r="I14088" s="24"/>
      <c r="J14088" s="24"/>
      <c r="K14088" s="24"/>
      <c r="L14088" s="24"/>
      <c r="M14088" s="24"/>
      <c r="N14088" s="24"/>
      <c r="O14088" s="24"/>
      <c r="P14088" s="24"/>
      <c r="Q14088" s="24"/>
      <c r="R14088" s="24"/>
      <c r="S14088" s="24"/>
      <c r="T14088" s="24"/>
      <c r="U14088" s="24"/>
      <c r="V14088" s="24"/>
      <c r="W14088" s="24"/>
      <c r="X14088" s="24"/>
      <c r="Y14088" s="24"/>
      <c r="Z14088" s="24"/>
      <c r="AA14088" s="24"/>
    </row>
    <row r="14089">
      <c r="A14089" s="24"/>
      <c r="B14089" s="25"/>
      <c r="C14089" s="24"/>
      <c r="D14089" s="26"/>
      <c r="E14089" s="24"/>
      <c r="F14089" s="24"/>
      <c r="G14089" s="24"/>
      <c r="H14089" s="24"/>
      <c r="I14089" s="24"/>
      <c r="J14089" s="24"/>
      <c r="K14089" s="24"/>
      <c r="L14089" s="24"/>
      <c r="M14089" s="24"/>
      <c r="N14089" s="24"/>
      <c r="O14089" s="24"/>
      <c r="P14089" s="24"/>
      <c r="Q14089" s="24"/>
      <c r="R14089" s="24"/>
      <c r="S14089" s="24"/>
      <c r="T14089" s="24"/>
      <c r="U14089" s="24"/>
      <c r="V14089" s="24"/>
      <c r="W14089" s="24"/>
      <c r="X14089" s="24"/>
      <c r="Y14089" s="24"/>
      <c r="Z14089" s="24"/>
      <c r="AA14089" s="24"/>
    </row>
    <row r="14090">
      <c r="A14090" s="24"/>
      <c r="B14090" s="25"/>
      <c r="C14090" s="24"/>
      <c r="D14090" s="26"/>
      <c r="E14090" s="24"/>
      <c r="F14090" s="24"/>
      <c r="G14090" s="24"/>
      <c r="H14090" s="24"/>
      <c r="I14090" s="24"/>
      <c r="J14090" s="24"/>
      <c r="K14090" s="24"/>
      <c r="L14090" s="24"/>
      <c r="M14090" s="24"/>
      <c r="N14090" s="24"/>
      <c r="O14090" s="24"/>
      <c r="P14090" s="24"/>
      <c r="Q14090" s="24"/>
      <c r="R14090" s="24"/>
      <c r="S14090" s="24"/>
      <c r="T14090" s="24"/>
      <c r="U14090" s="24"/>
      <c r="V14090" s="24"/>
      <c r="W14090" s="24"/>
      <c r="X14090" s="24"/>
      <c r="Y14090" s="24"/>
      <c r="Z14090" s="24"/>
      <c r="AA14090" s="24"/>
    </row>
    <row r="14091">
      <c r="A14091" s="24"/>
      <c r="B14091" s="25"/>
      <c r="C14091" s="24"/>
      <c r="D14091" s="26"/>
      <c r="E14091" s="24"/>
      <c r="F14091" s="24"/>
      <c r="G14091" s="24"/>
      <c r="H14091" s="24"/>
      <c r="I14091" s="24"/>
      <c r="J14091" s="24"/>
      <c r="K14091" s="24"/>
      <c r="L14091" s="24"/>
      <c r="M14091" s="24"/>
      <c r="N14091" s="24"/>
      <c r="O14091" s="24"/>
      <c r="P14091" s="24"/>
      <c r="Q14091" s="24"/>
      <c r="R14091" s="24"/>
      <c r="S14091" s="24"/>
      <c r="T14091" s="24"/>
      <c r="U14091" s="24"/>
      <c r="V14091" s="24"/>
      <c r="W14091" s="24"/>
      <c r="X14091" s="24"/>
      <c r="Y14091" s="24"/>
      <c r="Z14091" s="24"/>
      <c r="AA14091" s="24"/>
    </row>
    <row r="14092">
      <c r="A14092" s="24"/>
      <c r="B14092" s="25"/>
      <c r="C14092" s="24"/>
      <c r="D14092" s="26"/>
      <c r="E14092" s="24"/>
      <c r="F14092" s="24"/>
      <c r="G14092" s="24"/>
      <c r="H14092" s="24"/>
      <c r="I14092" s="24"/>
      <c r="J14092" s="24"/>
      <c r="K14092" s="24"/>
      <c r="L14092" s="24"/>
      <c r="M14092" s="24"/>
      <c r="N14092" s="24"/>
      <c r="O14092" s="24"/>
      <c r="P14092" s="24"/>
      <c r="Q14092" s="24"/>
      <c r="R14092" s="24"/>
      <c r="S14092" s="24"/>
      <c r="T14092" s="24"/>
      <c r="U14092" s="24"/>
      <c r="V14092" s="24"/>
      <c r="W14092" s="24"/>
      <c r="X14092" s="24"/>
      <c r="Y14092" s="24"/>
      <c r="Z14092" s="24"/>
      <c r="AA14092" s="24"/>
    </row>
    <row r="14093">
      <c r="A14093" s="24"/>
      <c r="B14093" s="25"/>
      <c r="C14093" s="24"/>
      <c r="D14093" s="26"/>
      <c r="E14093" s="24"/>
      <c r="F14093" s="24"/>
      <c r="G14093" s="24"/>
      <c r="H14093" s="24"/>
      <c r="I14093" s="24"/>
      <c r="J14093" s="24"/>
      <c r="K14093" s="24"/>
      <c r="L14093" s="24"/>
      <c r="M14093" s="24"/>
      <c r="N14093" s="24"/>
      <c r="O14093" s="24"/>
      <c r="P14093" s="24"/>
      <c r="Q14093" s="24"/>
      <c r="R14093" s="24"/>
      <c r="S14093" s="24"/>
      <c r="T14093" s="24"/>
      <c r="U14093" s="24"/>
      <c r="V14093" s="24"/>
      <c r="W14093" s="24"/>
      <c r="X14093" s="24"/>
      <c r="Y14093" s="24"/>
      <c r="Z14093" s="24"/>
      <c r="AA14093" s="24"/>
    </row>
    <row r="14094">
      <c r="A14094" s="24"/>
      <c r="B14094" s="25"/>
      <c r="C14094" s="24"/>
      <c r="D14094" s="26"/>
      <c r="E14094" s="24"/>
      <c r="F14094" s="24"/>
      <c r="G14094" s="24"/>
      <c r="H14094" s="24"/>
      <c r="I14094" s="24"/>
      <c r="J14094" s="24"/>
      <c r="K14094" s="24"/>
      <c r="L14094" s="24"/>
      <c r="M14094" s="24"/>
      <c r="N14094" s="24"/>
      <c r="O14094" s="24"/>
      <c r="P14094" s="24"/>
      <c r="Q14094" s="24"/>
      <c r="R14094" s="24"/>
      <c r="S14094" s="24"/>
      <c r="T14094" s="24"/>
      <c r="U14094" s="24"/>
      <c r="V14094" s="24"/>
      <c r="W14094" s="24"/>
      <c r="X14094" s="24"/>
      <c r="Y14094" s="24"/>
      <c r="Z14094" s="24"/>
      <c r="AA14094" s="24"/>
    </row>
    <row r="14095">
      <c r="A14095" s="24"/>
      <c r="B14095" s="25"/>
      <c r="C14095" s="24"/>
      <c r="D14095" s="26"/>
      <c r="E14095" s="24"/>
      <c r="F14095" s="24"/>
      <c r="G14095" s="24"/>
      <c r="H14095" s="24"/>
      <c r="I14095" s="24"/>
      <c r="J14095" s="24"/>
      <c r="K14095" s="24"/>
      <c r="L14095" s="24"/>
      <c r="M14095" s="24"/>
      <c r="N14095" s="24"/>
      <c r="O14095" s="24"/>
      <c r="P14095" s="24"/>
      <c r="Q14095" s="24"/>
      <c r="R14095" s="24"/>
      <c r="S14095" s="24"/>
      <c r="T14095" s="24"/>
      <c r="U14095" s="24"/>
      <c r="V14095" s="24"/>
      <c r="W14095" s="24"/>
      <c r="X14095" s="24"/>
      <c r="Y14095" s="24"/>
      <c r="Z14095" s="24"/>
      <c r="AA14095" s="24"/>
    </row>
    <row r="14096">
      <c r="A14096" s="24"/>
      <c r="B14096" s="25"/>
      <c r="C14096" s="24"/>
      <c r="D14096" s="26"/>
      <c r="E14096" s="24"/>
      <c r="F14096" s="24"/>
      <c r="G14096" s="24"/>
      <c r="H14096" s="24"/>
      <c r="I14096" s="24"/>
      <c r="J14096" s="24"/>
      <c r="K14096" s="24"/>
      <c r="L14096" s="24"/>
      <c r="M14096" s="24"/>
      <c r="N14096" s="24"/>
      <c r="O14096" s="24"/>
      <c r="P14096" s="24"/>
      <c r="Q14096" s="24"/>
      <c r="R14096" s="24"/>
      <c r="S14096" s="24"/>
      <c r="T14096" s="24"/>
      <c r="U14096" s="24"/>
      <c r="V14096" s="24"/>
      <c r="W14096" s="24"/>
      <c r="X14096" s="24"/>
      <c r="Y14096" s="24"/>
      <c r="Z14096" s="24"/>
      <c r="AA14096" s="24"/>
    </row>
    <row r="14097">
      <c r="A14097" s="24"/>
      <c r="B14097" s="25"/>
      <c r="C14097" s="24"/>
      <c r="D14097" s="26"/>
      <c r="E14097" s="24"/>
      <c r="F14097" s="24"/>
      <c r="G14097" s="24"/>
      <c r="H14097" s="24"/>
      <c r="I14097" s="24"/>
      <c r="J14097" s="24"/>
      <c r="K14097" s="24"/>
      <c r="L14097" s="24"/>
      <c r="M14097" s="24"/>
      <c r="N14097" s="24"/>
      <c r="O14097" s="24"/>
      <c r="P14097" s="24"/>
      <c r="Q14097" s="24"/>
      <c r="R14097" s="24"/>
      <c r="S14097" s="24"/>
      <c r="T14097" s="24"/>
      <c r="U14097" s="24"/>
      <c r="V14097" s="24"/>
      <c r="W14097" s="24"/>
      <c r="X14097" s="24"/>
      <c r="Y14097" s="24"/>
      <c r="Z14097" s="24"/>
      <c r="AA14097" s="24"/>
    </row>
    <row r="14098">
      <c r="A14098" s="24"/>
      <c r="B14098" s="25"/>
      <c r="C14098" s="24"/>
      <c r="D14098" s="26"/>
      <c r="E14098" s="24"/>
      <c r="F14098" s="24"/>
      <c r="G14098" s="24"/>
      <c r="H14098" s="24"/>
      <c r="I14098" s="24"/>
      <c r="J14098" s="24"/>
      <c r="K14098" s="24"/>
      <c r="L14098" s="24"/>
      <c r="M14098" s="24"/>
      <c r="N14098" s="24"/>
      <c r="O14098" s="24"/>
      <c r="P14098" s="24"/>
      <c r="Q14098" s="24"/>
      <c r="R14098" s="24"/>
      <c r="S14098" s="24"/>
      <c r="T14098" s="24"/>
      <c r="U14098" s="24"/>
      <c r="V14098" s="24"/>
      <c r="W14098" s="24"/>
      <c r="X14098" s="24"/>
      <c r="Y14098" s="24"/>
      <c r="Z14098" s="24"/>
      <c r="AA14098" s="24"/>
    </row>
    <row r="14099">
      <c r="A14099" s="24"/>
      <c r="B14099" s="25"/>
      <c r="C14099" s="24"/>
      <c r="D14099" s="26"/>
      <c r="E14099" s="24"/>
      <c r="F14099" s="24"/>
      <c r="G14099" s="24"/>
      <c r="H14099" s="24"/>
      <c r="I14099" s="24"/>
      <c r="J14099" s="24"/>
      <c r="K14099" s="24"/>
      <c r="L14099" s="24"/>
      <c r="M14099" s="24"/>
      <c r="N14099" s="24"/>
      <c r="O14099" s="24"/>
      <c r="P14099" s="24"/>
      <c r="Q14099" s="24"/>
      <c r="R14099" s="24"/>
      <c r="S14099" s="24"/>
      <c r="T14099" s="24"/>
      <c r="U14099" s="24"/>
      <c r="V14099" s="24"/>
      <c r="W14099" s="24"/>
      <c r="X14099" s="24"/>
      <c r="Y14099" s="24"/>
      <c r="Z14099" s="24"/>
      <c r="AA14099" s="24"/>
    </row>
    <row r="14100">
      <c r="A14100" s="24"/>
      <c r="B14100" s="25"/>
      <c r="C14100" s="24"/>
      <c r="D14100" s="26"/>
      <c r="E14100" s="24"/>
      <c r="F14100" s="24"/>
      <c r="G14100" s="24"/>
      <c r="H14100" s="24"/>
      <c r="I14100" s="24"/>
      <c r="J14100" s="24"/>
      <c r="K14100" s="24"/>
      <c r="L14100" s="24"/>
      <c r="M14100" s="24"/>
      <c r="N14100" s="24"/>
      <c r="O14100" s="24"/>
      <c r="P14100" s="24"/>
      <c r="Q14100" s="24"/>
      <c r="R14100" s="24"/>
      <c r="S14100" s="24"/>
      <c r="T14100" s="24"/>
      <c r="U14100" s="24"/>
      <c r="V14100" s="24"/>
      <c r="W14100" s="24"/>
      <c r="X14100" s="24"/>
      <c r="Y14100" s="24"/>
      <c r="Z14100" s="24"/>
      <c r="AA14100" s="24"/>
    </row>
    <row r="14101">
      <c r="A14101" s="24"/>
      <c r="B14101" s="25"/>
      <c r="C14101" s="24"/>
      <c r="D14101" s="26"/>
      <c r="E14101" s="24"/>
      <c r="F14101" s="24"/>
      <c r="G14101" s="24"/>
      <c r="H14101" s="24"/>
      <c r="I14101" s="24"/>
      <c r="J14101" s="24"/>
      <c r="K14101" s="24"/>
      <c r="L14101" s="24"/>
      <c r="M14101" s="24"/>
      <c r="N14101" s="24"/>
      <c r="O14101" s="24"/>
      <c r="P14101" s="24"/>
      <c r="Q14101" s="24"/>
      <c r="R14101" s="24"/>
      <c r="S14101" s="24"/>
      <c r="T14101" s="24"/>
      <c r="U14101" s="24"/>
      <c r="V14101" s="24"/>
      <c r="W14101" s="24"/>
      <c r="X14101" s="24"/>
      <c r="Y14101" s="24"/>
      <c r="Z14101" s="24"/>
      <c r="AA14101" s="24"/>
    </row>
    <row r="14102">
      <c r="A14102" s="24"/>
      <c r="B14102" s="25"/>
      <c r="C14102" s="24"/>
      <c r="D14102" s="26"/>
      <c r="E14102" s="24"/>
      <c r="F14102" s="24"/>
      <c r="G14102" s="24"/>
      <c r="H14102" s="24"/>
      <c r="I14102" s="24"/>
      <c r="J14102" s="24"/>
      <c r="K14102" s="24"/>
      <c r="L14102" s="24"/>
      <c r="M14102" s="24"/>
      <c r="N14102" s="24"/>
      <c r="O14102" s="24"/>
      <c r="P14102" s="24"/>
      <c r="Q14102" s="24"/>
      <c r="R14102" s="24"/>
      <c r="S14102" s="24"/>
      <c r="T14102" s="24"/>
      <c r="U14102" s="24"/>
      <c r="V14102" s="24"/>
      <c r="W14102" s="24"/>
      <c r="X14102" s="24"/>
      <c r="Y14102" s="24"/>
      <c r="Z14102" s="24"/>
      <c r="AA14102" s="24"/>
    </row>
    <row r="14103">
      <c r="A14103" s="24"/>
      <c r="B14103" s="25"/>
      <c r="C14103" s="24"/>
      <c r="D14103" s="26"/>
      <c r="E14103" s="24"/>
      <c r="F14103" s="24"/>
      <c r="G14103" s="24"/>
      <c r="H14103" s="24"/>
      <c r="I14103" s="24"/>
      <c r="J14103" s="24"/>
      <c r="K14103" s="24"/>
      <c r="L14103" s="24"/>
      <c r="M14103" s="24"/>
      <c r="N14103" s="24"/>
      <c r="O14103" s="24"/>
      <c r="P14103" s="24"/>
      <c r="Q14103" s="24"/>
      <c r="R14103" s="24"/>
      <c r="S14103" s="24"/>
      <c r="T14103" s="24"/>
      <c r="U14103" s="24"/>
      <c r="V14103" s="24"/>
      <c r="W14103" s="24"/>
      <c r="X14103" s="24"/>
      <c r="Y14103" s="24"/>
      <c r="Z14103" s="24"/>
      <c r="AA14103" s="24"/>
    </row>
    <row r="14104">
      <c r="A14104" s="24"/>
      <c r="B14104" s="25"/>
      <c r="C14104" s="24"/>
      <c r="D14104" s="26"/>
      <c r="E14104" s="24"/>
      <c r="F14104" s="24"/>
      <c r="G14104" s="24"/>
      <c r="H14104" s="24"/>
      <c r="I14104" s="24"/>
      <c r="J14104" s="24"/>
      <c r="K14104" s="24"/>
      <c r="L14104" s="24"/>
      <c r="M14104" s="24"/>
      <c r="N14104" s="24"/>
      <c r="O14104" s="24"/>
      <c r="P14104" s="24"/>
      <c r="Q14104" s="24"/>
      <c r="R14104" s="24"/>
      <c r="S14104" s="24"/>
      <c r="T14104" s="24"/>
      <c r="U14104" s="24"/>
      <c r="V14104" s="24"/>
      <c r="W14104" s="24"/>
      <c r="X14104" s="24"/>
      <c r="Y14104" s="24"/>
      <c r="Z14104" s="24"/>
      <c r="AA14104" s="24"/>
    </row>
    <row r="14105">
      <c r="A14105" s="24"/>
      <c r="B14105" s="25"/>
      <c r="C14105" s="24"/>
      <c r="D14105" s="26"/>
      <c r="E14105" s="24"/>
      <c r="F14105" s="24"/>
      <c r="G14105" s="24"/>
      <c r="H14105" s="24"/>
      <c r="I14105" s="24"/>
      <c r="J14105" s="24"/>
      <c r="K14105" s="24"/>
      <c r="L14105" s="24"/>
      <c r="M14105" s="24"/>
      <c r="N14105" s="24"/>
      <c r="O14105" s="24"/>
      <c r="P14105" s="24"/>
      <c r="Q14105" s="24"/>
      <c r="R14105" s="24"/>
      <c r="S14105" s="24"/>
      <c r="T14105" s="24"/>
      <c r="U14105" s="24"/>
      <c r="V14105" s="24"/>
      <c r="W14105" s="24"/>
      <c r="X14105" s="24"/>
      <c r="Y14105" s="24"/>
      <c r="Z14105" s="24"/>
      <c r="AA14105" s="24"/>
    </row>
    <row r="14106">
      <c r="A14106" s="24"/>
      <c r="B14106" s="25"/>
      <c r="C14106" s="24"/>
      <c r="D14106" s="26"/>
      <c r="E14106" s="24"/>
      <c r="F14106" s="24"/>
      <c r="G14106" s="24"/>
      <c r="H14106" s="24"/>
      <c r="I14106" s="24"/>
      <c r="J14106" s="24"/>
      <c r="K14106" s="24"/>
      <c r="L14106" s="24"/>
      <c r="M14106" s="24"/>
      <c r="N14106" s="24"/>
      <c r="O14106" s="24"/>
      <c r="P14106" s="24"/>
      <c r="Q14106" s="24"/>
      <c r="R14106" s="24"/>
      <c r="S14106" s="24"/>
      <c r="T14106" s="24"/>
      <c r="U14106" s="24"/>
      <c r="V14106" s="24"/>
      <c r="W14106" s="24"/>
      <c r="X14106" s="24"/>
      <c r="Y14106" s="24"/>
      <c r="Z14106" s="24"/>
      <c r="AA14106" s="24"/>
    </row>
    <row r="14107">
      <c r="A14107" s="24"/>
      <c r="B14107" s="25"/>
      <c r="C14107" s="24"/>
      <c r="D14107" s="26"/>
      <c r="E14107" s="24"/>
      <c r="F14107" s="24"/>
      <c r="G14107" s="24"/>
      <c r="H14107" s="24"/>
      <c r="I14107" s="24"/>
      <c r="J14107" s="24"/>
      <c r="K14107" s="24"/>
      <c r="L14107" s="24"/>
      <c r="M14107" s="24"/>
      <c r="N14107" s="24"/>
      <c r="O14107" s="24"/>
      <c r="P14107" s="24"/>
      <c r="Q14107" s="24"/>
      <c r="R14107" s="24"/>
      <c r="S14107" s="24"/>
      <c r="T14107" s="24"/>
      <c r="U14107" s="24"/>
      <c r="V14107" s="24"/>
      <c r="W14107" s="24"/>
      <c r="X14107" s="24"/>
      <c r="Y14107" s="24"/>
      <c r="Z14107" s="24"/>
      <c r="AA14107" s="24"/>
    </row>
    <row r="14108">
      <c r="A14108" s="24"/>
      <c r="B14108" s="25"/>
      <c r="C14108" s="24"/>
      <c r="D14108" s="26"/>
      <c r="E14108" s="24"/>
      <c r="F14108" s="24"/>
      <c r="G14108" s="24"/>
      <c r="H14108" s="24"/>
      <c r="I14108" s="24"/>
      <c r="J14108" s="24"/>
      <c r="K14108" s="24"/>
      <c r="L14108" s="24"/>
      <c r="M14108" s="24"/>
      <c r="N14108" s="24"/>
      <c r="O14108" s="24"/>
      <c r="P14108" s="24"/>
      <c r="Q14108" s="24"/>
      <c r="R14108" s="24"/>
      <c r="S14108" s="24"/>
      <c r="T14108" s="24"/>
      <c r="U14108" s="24"/>
      <c r="V14108" s="24"/>
      <c r="W14108" s="24"/>
      <c r="X14108" s="24"/>
      <c r="Y14108" s="24"/>
      <c r="Z14108" s="24"/>
      <c r="AA14108" s="24"/>
    </row>
    <row r="14109">
      <c r="A14109" s="24"/>
      <c r="B14109" s="25"/>
      <c r="C14109" s="24"/>
      <c r="D14109" s="26"/>
      <c r="E14109" s="24"/>
      <c r="F14109" s="24"/>
      <c r="G14109" s="24"/>
      <c r="H14109" s="24"/>
      <c r="I14109" s="24"/>
      <c r="J14109" s="24"/>
      <c r="K14109" s="24"/>
      <c r="L14109" s="24"/>
      <c r="M14109" s="24"/>
      <c r="N14109" s="24"/>
      <c r="O14109" s="24"/>
      <c r="P14109" s="24"/>
      <c r="Q14109" s="24"/>
      <c r="R14109" s="24"/>
      <c r="S14109" s="24"/>
      <c r="T14109" s="24"/>
      <c r="U14109" s="24"/>
      <c r="V14109" s="24"/>
      <c r="W14109" s="24"/>
      <c r="X14109" s="24"/>
      <c r="Y14109" s="24"/>
      <c r="Z14109" s="24"/>
      <c r="AA14109" s="24"/>
    </row>
    <row r="14110">
      <c r="A14110" s="24"/>
      <c r="B14110" s="25"/>
      <c r="C14110" s="24"/>
      <c r="D14110" s="26"/>
      <c r="E14110" s="24"/>
      <c r="F14110" s="24"/>
      <c r="G14110" s="24"/>
      <c r="H14110" s="24"/>
      <c r="I14110" s="24"/>
      <c r="J14110" s="24"/>
      <c r="K14110" s="24"/>
      <c r="L14110" s="24"/>
      <c r="M14110" s="24"/>
      <c r="N14110" s="24"/>
      <c r="O14110" s="24"/>
      <c r="P14110" s="24"/>
      <c r="Q14110" s="24"/>
      <c r="R14110" s="24"/>
      <c r="S14110" s="24"/>
      <c r="T14110" s="24"/>
      <c r="U14110" s="24"/>
      <c r="V14110" s="24"/>
      <c r="W14110" s="24"/>
      <c r="X14110" s="24"/>
      <c r="Y14110" s="24"/>
      <c r="Z14110" s="24"/>
      <c r="AA14110" s="24"/>
    </row>
    <row r="14111">
      <c r="A14111" s="24"/>
      <c r="B14111" s="25"/>
      <c r="C14111" s="24"/>
      <c r="D14111" s="26"/>
      <c r="E14111" s="24"/>
      <c r="F14111" s="24"/>
      <c r="G14111" s="24"/>
      <c r="H14111" s="24"/>
      <c r="I14111" s="24"/>
      <c r="J14111" s="24"/>
      <c r="K14111" s="24"/>
      <c r="L14111" s="24"/>
      <c r="M14111" s="24"/>
      <c r="N14111" s="24"/>
      <c r="O14111" s="24"/>
      <c r="P14111" s="24"/>
      <c r="Q14111" s="24"/>
      <c r="R14111" s="24"/>
      <c r="S14111" s="24"/>
      <c r="T14111" s="24"/>
      <c r="U14111" s="24"/>
      <c r="V14111" s="24"/>
      <c r="W14111" s="24"/>
      <c r="X14111" s="24"/>
      <c r="Y14111" s="24"/>
      <c r="Z14111" s="24"/>
      <c r="AA14111" s="24"/>
    </row>
    <row r="14112">
      <c r="A14112" s="24"/>
      <c r="B14112" s="25"/>
      <c r="C14112" s="24"/>
      <c r="D14112" s="26"/>
      <c r="E14112" s="24"/>
      <c r="F14112" s="24"/>
      <c r="G14112" s="24"/>
      <c r="H14112" s="24"/>
      <c r="I14112" s="24"/>
      <c r="J14112" s="24"/>
      <c r="K14112" s="24"/>
      <c r="L14112" s="24"/>
      <c r="M14112" s="24"/>
      <c r="N14112" s="24"/>
      <c r="O14112" s="24"/>
      <c r="P14112" s="24"/>
      <c r="Q14112" s="24"/>
      <c r="R14112" s="24"/>
      <c r="S14112" s="24"/>
      <c r="T14112" s="24"/>
      <c r="U14112" s="24"/>
      <c r="V14112" s="24"/>
      <c r="W14112" s="24"/>
      <c r="X14112" s="24"/>
      <c r="Y14112" s="24"/>
      <c r="Z14112" s="24"/>
      <c r="AA14112" s="24"/>
    </row>
    <row r="14113">
      <c r="A14113" s="24"/>
      <c r="B14113" s="25"/>
      <c r="C14113" s="24"/>
      <c r="D14113" s="26"/>
      <c r="E14113" s="24"/>
      <c r="F14113" s="24"/>
      <c r="G14113" s="24"/>
      <c r="H14113" s="24"/>
      <c r="I14113" s="24"/>
      <c r="J14113" s="24"/>
      <c r="K14113" s="24"/>
      <c r="L14113" s="24"/>
      <c r="M14113" s="24"/>
      <c r="N14113" s="24"/>
      <c r="O14113" s="24"/>
      <c r="P14113" s="24"/>
      <c r="Q14113" s="24"/>
      <c r="R14113" s="24"/>
      <c r="S14113" s="24"/>
      <c r="T14113" s="24"/>
      <c r="U14113" s="24"/>
      <c r="V14113" s="24"/>
      <c r="W14113" s="24"/>
      <c r="X14113" s="24"/>
      <c r="Y14113" s="24"/>
      <c r="Z14113" s="24"/>
      <c r="AA14113" s="24"/>
    </row>
    <row r="14114">
      <c r="A14114" s="24"/>
      <c r="B14114" s="25"/>
      <c r="C14114" s="24"/>
      <c r="D14114" s="26"/>
      <c r="E14114" s="24"/>
      <c r="F14114" s="24"/>
      <c r="G14114" s="24"/>
      <c r="H14114" s="24"/>
      <c r="I14114" s="24"/>
      <c r="J14114" s="24"/>
      <c r="K14114" s="24"/>
      <c r="L14114" s="24"/>
      <c r="M14114" s="24"/>
      <c r="N14114" s="24"/>
      <c r="O14114" s="24"/>
      <c r="P14114" s="24"/>
      <c r="Q14114" s="24"/>
      <c r="R14114" s="24"/>
      <c r="S14114" s="24"/>
      <c r="T14114" s="24"/>
      <c r="U14114" s="24"/>
      <c r="V14114" s="24"/>
      <c r="W14114" s="24"/>
      <c r="X14114" s="24"/>
      <c r="Y14114" s="24"/>
      <c r="Z14114" s="24"/>
      <c r="AA14114" s="24"/>
    </row>
    <row r="14115">
      <c r="A14115" s="24"/>
      <c r="B14115" s="25"/>
      <c r="C14115" s="24"/>
      <c r="D14115" s="26"/>
      <c r="E14115" s="24"/>
      <c r="F14115" s="24"/>
      <c r="G14115" s="24"/>
      <c r="H14115" s="24"/>
      <c r="I14115" s="24"/>
      <c r="J14115" s="24"/>
      <c r="K14115" s="24"/>
      <c r="L14115" s="24"/>
      <c r="M14115" s="24"/>
      <c r="N14115" s="24"/>
      <c r="O14115" s="24"/>
      <c r="P14115" s="24"/>
      <c r="Q14115" s="24"/>
      <c r="R14115" s="24"/>
      <c r="S14115" s="24"/>
      <c r="T14115" s="24"/>
      <c r="U14115" s="24"/>
      <c r="V14115" s="24"/>
      <c r="W14115" s="24"/>
      <c r="X14115" s="24"/>
      <c r="Y14115" s="24"/>
      <c r="Z14115" s="24"/>
      <c r="AA14115" s="24"/>
    </row>
    <row r="14116">
      <c r="A14116" s="24"/>
      <c r="B14116" s="25"/>
      <c r="C14116" s="24"/>
      <c r="D14116" s="26"/>
      <c r="E14116" s="24"/>
      <c r="F14116" s="24"/>
      <c r="G14116" s="24"/>
      <c r="H14116" s="24"/>
      <c r="I14116" s="24"/>
      <c r="J14116" s="24"/>
      <c r="K14116" s="24"/>
      <c r="L14116" s="24"/>
      <c r="M14116" s="24"/>
      <c r="N14116" s="24"/>
      <c r="O14116" s="24"/>
      <c r="P14116" s="24"/>
      <c r="Q14116" s="24"/>
      <c r="R14116" s="24"/>
      <c r="S14116" s="24"/>
      <c r="T14116" s="24"/>
      <c r="U14116" s="24"/>
      <c r="V14116" s="24"/>
      <c r="W14116" s="24"/>
      <c r="X14116" s="24"/>
      <c r="Y14116" s="24"/>
      <c r="Z14116" s="24"/>
      <c r="AA14116" s="24"/>
    </row>
    <row r="14117">
      <c r="A14117" s="24"/>
      <c r="B14117" s="25"/>
      <c r="C14117" s="24"/>
      <c r="D14117" s="26"/>
      <c r="E14117" s="24"/>
      <c r="F14117" s="24"/>
      <c r="G14117" s="24"/>
      <c r="H14117" s="24"/>
      <c r="I14117" s="24"/>
      <c r="J14117" s="24"/>
      <c r="K14117" s="24"/>
      <c r="L14117" s="24"/>
      <c r="M14117" s="24"/>
      <c r="N14117" s="24"/>
      <c r="O14117" s="24"/>
      <c r="P14117" s="24"/>
      <c r="Q14117" s="24"/>
      <c r="R14117" s="24"/>
      <c r="S14117" s="24"/>
      <c r="T14117" s="24"/>
      <c r="U14117" s="24"/>
      <c r="V14117" s="24"/>
      <c r="W14117" s="24"/>
      <c r="X14117" s="24"/>
      <c r="Y14117" s="24"/>
      <c r="Z14117" s="24"/>
      <c r="AA14117" s="24"/>
    </row>
    <row r="14118">
      <c r="A14118" s="24"/>
      <c r="B14118" s="25"/>
      <c r="C14118" s="24"/>
      <c r="D14118" s="26"/>
      <c r="E14118" s="24"/>
      <c r="F14118" s="24"/>
      <c r="G14118" s="24"/>
      <c r="H14118" s="24"/>
      <c r="I14118" s="24"/>
      <c r="J14118" s="24"/>
      <c r="K14118" s="24"/>
      <c r="L14118" s="24"/>
      <c r="M14118" s="24"/>
      <c r="N14118" s="24"/>
      <c r="O14118" s="24"/>
      <c r="P14118" s="24"/>
      <c r="Q14118" s="24"/>
      <c r="R14118" s="24"/>
      <c r="S14118" s="24"/>
      <c r="T14118" s="24"/>
      <c r="U14118" s="24"/>
      <c r="V14118" s="24"/>
      <c r="W14118" s="24"/>
      <c r="X14118" s="24"/>
      <c r="Y14118" s="24"/>
      <c r="Z14118" s="24"/>
      <c r="AA14118" s="24"/>
    </row>
    <row r="14119">
      <c r="A14119" s="24"/>
      <c r="B14119" s="25"/>
      <c r="C14119" s="24"/>
      <c r="D14119" s="26"/>
      <c r="E14119" s="24"/>
      <c r="F14119" s="24"/>
      <c r="G14119" s="24"/>
      <c r="H14119" s="24"/>
      <c r="I14119" s="24"/>
      <c r="J14119" s="24"/>
      <c r="K14119" s="24"/>
      <c r="L14119" s="24"/>
      <c r="M14119" s="24"/>
      <c r="N14119" s="24"/>
      <c r="O14119" s="24"/>
      <c r="P14119" s="24"/>
      <c r="Q14119" s="24"/>
      <c r="R14119" s="24"/>
      <c r="S14119" s="24"/>
      <c r="T14119" s="24"/>
      <c r="U14119" s="24"/>
      <c r="V14119" s="24"/>
      <c r="W14119" s="24"/>
      <c r="X14119" s="24"/>
      <c r="Y14119" s="24"/>
      <c r="Z14119" s="24"/>
      <c r="AA14119" s="24"/>
    </row>
    <row r="14120">
      <c r="A14120" s="24"/>
      <c r="B14120" s="25"/>
      <c r="C14120" s="24"/>
      <c r="D14120" s="26"/>
      <c r="E14120" s="24"/>
      <c r="F14120" s="24"/>
      <c r="G14120" s="24"/>
      <c r="H14120" s="24"/>
      <c r="I14120" s="24"/>
      <c r="J14120" s="24"/>
      <c r="K14120" s="24"/>
      <c r="L14120" s="24"/>
      <c r="M14120" s="24"/>
      <c r="N14120" s="24"/>
      <c r="O14120" s="24"/>
      <c r="P14120" s="24"/>
      <c r="Q14120" s="24"/>
      <c r="R14120" s="24"/>
      <c r="S14120" s="24"/>
      <c r="T14120" s="24"/>
      <c r="U14120" s="24"/>
      <c r="V14120" s="24"/>
      <c r="W14120" s="24"/>
      <c r="X14120" s="24"/>
      <c r="Y14120" s="24"/>
      <c r="Z14120" s="24"/>
      <c r="AA14120" s="24"/>
    </row>
    <row r="14121">
      <c r="A14121" s="24"/>
      <c r="B14121" s="25"/>
      <c r="C14121" s="24"/>
      <c r="D14121" s="26"/>
      <c r="E14121" s="24"/>
      <c r="F14121" s="24"/>
      <c r="G14121" s="24"/>
      <c r="H14121" s="24"/>
      <c r="I14121" s="24"/>
      <c r="J14121" s="24"/>
      <c r="K14121" s="24"/>
      <c r="L14121" s="24"/>
      <c r="M14121" s="24"/>
      <c r="N14121" s="24"/>
      <c r="O14121" s="24"/>
      <c r="P14121" s="24"/>
      <c r="Q14121" s="24"/>
      <c r="R14121" s="24"/>
      <c r="S14121" s="24"/>
      <c r="T14121" s="24"/>
      <c r="U14121" s="24"/>
      <c r="V14121" s="24"/>
      <c r="W14121" s="24"/>
      <c r="X14121" s="24"/>
      <c r="Y14121" s="24"/>
      <c r="Z14121" s="24"/>
      <c r="AA14121" s="24"/>
    </row>
    <row r="14122">
      <c r="A14122" s="24"/>
      <c r="B14122" s="25"/>
      <c r="C14122" s="24"/>
      <c r="D14122" s="26"/>
      <c r="E14122" s="24"/>
      <c r="F14122" s="24"/>
      <c r="G14122" s="24"/>
      <c r="H14122" s="24"/>
      <c r="I14122" s="24"/>
      <c r="J14122" s="24"/>
      <c r="K14122" s="24"/>
      <c r="L14122" s="24"/>
      <c r="M14122" s="24"/>
      <c r="N14122" s="24"/>
      <c r="O14122" s="24"/>
      <c r="P14122" s="24"/>
      <c r="Q14122" s="24"/>
      <c r="R14122" s="24"/>
      <c r="S14122" s="24"/>
      <c r="T14122" s="24"/>
      <c r="U14122" s="24"/>
      <c r="V14122" s="24"/>
      <c r="W14122" s="24"/>
      <c r="X14122" s="24"/>
      <c r="Y14122" s="24"/>
      <c r="Z14122" s="24"/>
      <c r="AA14122" s="24"/>
    </row>
    <row r="14123">
      <c r="A14123" s="24"/>
      <c r="B14123" s="25"/>
      <c r="C14123" s="24"/>
      <c r="D14123" s="26"/>
      <c r="E14123" s="24"/>
      <c r="F14123" s="24"/>
      <c r="G14123" s="24"/>
      <c r="H14123" s="24"/>
      <c r="I14123" s="24"/>
      <c r="J14123" s="24"/>
      <c r="K14123" s="24"/>
      <c r="L14123" s="24"/>
      <c r="M14123" s="24"/>
      <c r="N14123" s="24"/>
      <c r="O14123" s="24"/>
      <c r="P14123" s="24"/>
      <c r="Q14123" s="24"/>
      <c r="R14123" s="24"/>
      <c r="S14123" s="24"/>
      <c r="T14123" s="24"/>
      <c r="U14123" s="24"/>
      <c r="V14123" s="24"/>
      <c r="W14123" s="24"/>
      <c r="X14123" s="24"/>
      <c r="Y14123" s="24"/>
      <c r="Z14123" s="24"/>
      <c r="AA14123" s="24"/>
    </row>
    <row r="14124">
      <c r="A14124" s="24"/>
      <c r="B14124" s="25"/>
      <c r="C14124" s="24"/>
      <c r="D14124" s="26"/>
      <c r="E14124" s="24"/>
      <c r="F14124" s="24"/>
      <c r="G14124" s="24"/>
      <c r="H14124" s="24"/>
      <c r="I14124" s="24"/>
      <c r="J14124" s="24"/>
      <c r="K14124" s="24"/>
      <c r="L14124" s="24"/>
      <c r="M14124" s="24"/>
      <c r="N14124" s="24"/>
      <c r="O14124" s="24"/>
      <c r="P14124" s="24"/>
      <c r="Q14124" s="24"/>
      <c r="R14124" s="24"/>
      <c r="S14124" s="24"/>
      <c r="T14124" s="24"/>
      <c r="U14124" s="24"/>
      <c r="V14124" s="24"/>
      <c r="W14124" s="24"/>
      <c r="X14124" s="24"/>
      <c r="Y14124" s="24"/>
      <c r="Z14124" s="24"/>
      <c r="AA14124" s="24"/>
    </row>
    <row r="14125">
      <c r="A14125" s="24"/>
      <c r="B14125" s="25"/>
      <c r="C14125" s="24"/>
      <c r="D14125" s="26"/>
      <c r="E14125" s="24"/>
      <c r="F14125" s="24"/>
      <c r="G14125" s="24"/>
      <c r="H14125" s="24"/>
      <c r="I14125" s="24"/>
      <c r="J14125" s="24"/>
      <c r="K14125" s="24"/>
      <c r="L14125" s="24"/>
      <c r="M14125" s="24"/>
      <c r="N14125" s="24"/>
      <c r="O14125" s="24"/>
      <c r="P14125" s="24"/>
      <c r="Q14125" s="24"/>
      <c r="R14125" s="24"/>
      <c r="S14125" s="24"/>
      <c r="T14125" s="24"/>
      <c r="U14125" s="24"/>
      <c r="V14125" s="24"/>
      <c r="W14125" s="24"/>
      <c r="X14125" s="24"/>
      <c r="Y14125" s="24"/>
      <c r="Z14125" s="24"/>
      <c r="AA14125" s="24"/>
    </row>
    <row r="14126">
      <c r="A14126" s="24"/>
      <c r="B14126" s="25"/>
      <c r="C14126" s="24"/>
      <c r="D14126" s="26"/>
      <c r="E14126" s="24"/>
      <c r="F14126" s="24"/>
      <c r="G14126" s="24"/>
      <c r="H14126" s="24"/>
      <c r="I14126" s="24"/>
      <c r="J14126" s="24"/>
      <c r="K14126" s="24"/>
      <c r="L14126" s="24"/>
      <c r="M14126" s="24"/>
      <c r="N14126" s="24"/>
      <c r="O14126" s="24"/>
      <c r="P14126" s="24"/>
      <c r="Q14126" s="24"/>
      <c r="R14126" s="24"/>
      <c r="S14126" s="24"/>
      <c r="T14126" s="24"/>
      <c r="U14126" s="24"/>
      <c r="V14126" s="24"/>
      <c r="W14126" s="24"/>
      <c r="X14126" s="24"/>
      <c r="Y14126" s="24"/>
      <c r="Z14126" s="24"/>
      <c r="AA14126" s="24"/>
    </row>
    <row r="14127">
      <c r="A14127" s="24"/>
      <c r="B14127" s="25"/>
      <c r="C14127" s="24"/>
      <c r="D14127" s="26"/>
      <c r="E14127" s="24"/>
      <c r="F14127" s="24"/>
      <c r="G14127" s="24"/>
      <c r="H14127" s="24"/>
      <c r="I14127" s="24"/>
      <c r="J14127" s="24"/>
      <c r="K14127" s="24"/>
      <c r="L14127" s="24"/>
      <c r="M14127" s="24"/>
      <c r="N14127" s="24"/>
      <c r="O14127" s="24"/>
      <c r="P14127" s="24"/>
      <c r="Q14127" s="24"/>
      <c r="R14127" s="24"/>
      <c r="S14127" s="24"/>
      <c r="T14127" s="24"/>
      <c r="U14127" s="24"/>
      <c r="V14127" s="24"/>
      <c r="W14127" s="24"/>
      <c r="X14127" s="24"/>
      <c r="Y14127" s="24"/>
      <c r="Z14127" s="24"/>
      <c r="AA14127" s="24"/>
    </row>
    <row r="14128">
      <c r="A14128" s="24"/>
      <c r="B14128" s="25"/>
      <c r="C14128" s="24"/>
      <c r="D14128" s="26"/>
      <c r="E14128" s="24"/>
      <c r="F14128" s="24"/>
      <c r="G14128" s="24"/>
      <c r="H14128" s="24"/>
      <c r="I14128" s="24"/>
      <c r="J14128" s="24"/>
      <c r="K14128" s="24"/>
      <c r="L14128" s="24"/>
      <c r="M14128" s="24"/>
      <c r="N14128" s="24"/>
      <c r="O14128" s="24"/>
      <c r="P14128" s="24"/>
      <c r="Q14128" s="24"/>
      <c r="R14128" s="24"/>
      <c r="S14128" s="24"/>
      <c r="T14128" s="24"/>
      <c r="U14128" s="24"/>
      <c r="V14128" s="24"/>
      <c r="W14128" s="24"/>
      <c r="X14128" s="24"/>
      <c r="Y14128" s="24"/>
      <c r="Z14128" s="24"/>
      <c r="AA14128" s="24"/>
    </row>
    <row r="14129">
      <c r="A14129" s="24"/>
      <c r="B14129" s="25"/>
      <c r="C14129" s="24"/>
      <c r="D14129" s="26"/>
      <c r="E14129" s="24"/>
      <c r="F14129" s="24"/>
      <c r="G14129" s="24"/>
      <c r="H14129" s="24"/>
      <c r="I14129" s="24"/>
      <c r="J14129" s="24"/>
      <c r="K14129" s="24"/>
      <c r="L14129" s="24"/>
      <c r="M14129" s="24"/>
      <c r="N14129" s="24"/>
      <c r="O14129" s="24"/>
      <c r="P14129" s="24"/>
      <c r="Q14129" s="24"/>
      <c r="R14129" s="24"/>
      <c r="S14129" s="24"/>
      <c r="T14129" s="24"/>
      <c r="U14129" s="24"/>
      <c r="V14129" s="24"/>
      <c r="W14129" s="24"/>
      <c r="X14129" s="24"/>
      <c r="Y14129" s="24"/>
      <c r="Z14129" s="24"/>
      <c r="AA14129" s="24"/>
    </row>
    <row r="14130">
      <c r="A14130" s="24"/>
      <c r="B14130" s="25"/>
      <c r="C14130" s="24"/>
      <c r="D14130" s="26"/>
      <c r="E14130" s="24"/>
      <c r="F14130" s="24"/>
      <c r="G14130" s="24"/>
      <c r="H14130" s="24"/>
      <c r="I14130" s="24"/>
      <c r="J14130" s="24"/>
      <c r="K14130" s="24"/>
      <c r="L14130" s="24"/>
      <c r="M14130" s="24"/>
      <c r="N14130" s="24"/>
      <c r="O14130" s="24"/>
      <c r="P14130" s="24"/>
      <c r="Q14130" s="24"/>
      <c r="R14130" s="24"/>
      <c r="S14130" s="24"/>
      <c r="T14130" s="24"/>
      <c r="U14130" s="24"/>
      <c r="V14130" s="24"/>
      <c r="W14130" s="24"/>
      <c r="X14130" s="24"/>
      <c r="Y14130" s="24"/>
      <c r="Z14130" s="24"/>
      <c r="AA14130" s="24"/>
    </row>
    <row r="14131">
      <c r="A14131" s="24"/>
      <c r="B14131" s="25"/>
      <c r="C14131" s="24"/>
      <c r="D14131" s="26"/>
      <c r="E14131" s="24"/>
      <c r="F14131" s="24"/>
      <c r="G14131" s="24"/>
      <c r="H14131" s="24"/>
      <c r="I14131" s="24"/>
      <c r="J14131" s="24"/>
      <c r="K14131" s="24"/>
      <c r="L14131" s="24"/>
      <c r="M14131" s="24"/>
      <c r="N14131" s="24"/>
      <c r="O14131" s="24"/>
      <c r="P14131" s="24"/>
      <c r="Q14131" s="24"/>
      <c r="R14131" s="24"/>
      <c r="S14131" s="24"/>
      <c r="T14131" s="24"/>
      <c r="U14131" s="24"/>
      <c r="V14131" s="24"/>
      <c r="W14131" s="24"/>
      <c r="X14131" s="24"/>
      <c r="Y14131" s="24"/>
      <c r="Z14131" s="24"/>
      <c r="AA14131" s="24"/>
    </row>
    <row r="14132">
      <c r="A14132" s="24"/>
      <c r="B14132" s="25"/>
      <c r="C14132" s="24"/>
      <c r="D14132" s="26"/>
      <c r="E14132" s="24"/>
      <c r="F14132" s="24"/>
      <c r="G14132" s="24"/>
      <c r="H14132" s="24"/>
      <c r="I14132" s="24"/>
      <c r="J14132" s="24"/>
      <c r="K14132" s="24"/>
      <c r="L14132" s="24"/>
      <c r="M14132" s="24"/>
      <c r="N14132" s="24"/>
      <c r="O14132" s="24"/>
      <c r="P14132" s="24"/>
      <c r="Q14132" s="24"/>
      <c r="R14132" s="24"/>
      <c r="S14132" s="24"/>
      <c r="T14132" s="24"/>
      <c r="U14132" s="24"/>
      <c r="V14132" s="24"/>
      <c r="W14132" s="24"/>
      <c r="X14132" s="24"/>
      <c r="Y14132" s="24"/>
      <c r="Z14132" s="24"/>
      <c r="AA14132" s="24"/>
    </row>
    <row r="14133">
      <c r="A14133" s="24"/>
      <c r="B14133" s="25"/>
      <c r="C14133" s="24"/>
      <c r="D14133" s="26"/>
      <c r="E14133" s="24"/>
      <c r="F14133" s="24"/>
      <c r="G14133" s="24"/>
      <c r="H14133" s="24"/>
      <c r="I14133" s="24"/>
      <c r="J14133" s="24"/>
      <c r="K14133" s="24"/>
      <c r="L14133" s="24"/>
      <c r="M14133" s="24"/>
      <c r="N14133" s="24"/>
      <c r="O14133" s="24"/>
      <c r="P14133" s="24"/>
      <c r="Q14133" s="24"/>
      <c r="R14133" s="24"/>
      <c r="S14133" s="24"/>
      <c r="T14133" s="24"/>
      <c r="U14133" s="24"/>
      <c r="V14133" s="24"/>
      <c r="W14133" s="24"/>
      <c r="X14133" s="24"/>
      <c r="Y14133" s="24"/>
      <c r="Z14133" s="24"/>
      <c r="AA14133" s="24"/>
    </row>
    <row r="14134">
      <c r="A14134" s="24"/>
      <c r="B14134" s="25"/>
      <c r="C14134" s="24"/>
      <c r="D14134" s="26"/>
      <c r="E14134" s="24"/>
      <c r="F14134" s="24"/>
      <c r="G14134" s="24"/>
      <c r="H14134" s="24"/>
      <c r="I14134" s="24"/>
      <c r="J14134" s="24"/>
      <c r="K14134" s="24"/>
      <c r="L14134" s="24"/>
      <c r="M14134" s="24"/>
      <c r="N14134" s="24"/>
      <c r="O14134" s="24"/>
      <c r="P14134" s="24"/>
      <c r="Q14134" s="24"/>
      <c r="R14134" s="24"/>
      <c r="S14134" s="24"/>
      <c r="T14134" s="24"/>
      <c r="U14134" s="24"/>
      <c r="V14134" s="24"/>
      <c r="W14134" s="24"/>
      <c r="X14134" s="24"/>
      <c r="Y14134" s="24"/>
      <c r="Z14134" s="24"/>
      <c r="AA14134" s="24"/>
    </row>
    <row r="14135">
      <c r="A14135" s="24"/>
      <c r="B14135" s="25"/>
      <c r="C14135" s="24"/>
      <c r="D14135" s="26"/>
      <c r="E14135" s="24"/>
      <c r="F14135" s="24"/>
      <c r="G14135" s="24"/>
      <c r="H14135" s="24"/>
      <c r="I14135" s="24"/>
      <c r="J14135" s="24"/>
      <c r="K14135" s="24"/>
      <c r="L14135" s="24"/>
      <c r="M14135" s="24"/>
      <c r="N14135" s="24"/>
      <c r="O14135" s="24"/>
      <c r="P14135" s="24"/>
      <c r="Q14135" s="24"/>
      <c r="R14135" s="24"/>
      <c r="S14135" s="24"/>
      <c r="T14135" s="24"/>
      <c r="U14135" s="24"/>
      <c r="V14135" s="24"/>
      <c r="W14135" s="24"/>
      <c r="X14135" s="24"/>
      <c r="Y14135" s="24"/>
      <c r="Z14135" s="24"/>
      <c r="AA14135" s="24"/>
    </row>
    <row r="14136">
      <c r="A14136" s="24"/>
      <c r="B14136" s="25"/>
      <c r="C14136" s="24"/>
      <c r="D14136" s="26"/>
      <c r="E14136" s="24"/>
      <c r="F14136" s="24"/>
      <c r="G14136" s="24"/>
      <c r="H14136" s="24"/>
      <c r="I14136" s="24"/>
      <c r="J14136" s="24"/>
      <c r="K14136" s="24"/>
      <c r="L14136" s="24"/>
      <c r="M14136" s="24"/>
      <c r="N14136" s="24"/>
      <c r="O14136" s="24"/>
      <c r="P14136" s="24"/>
      <c r="Q14136" s="24"/>
      <c r="R14136" s="24"/>
      <c r="S14136" s="24"/>
      <c r="T14136" s="24"/>
      <c r="U14136" s="24"/>
      <c r="V14136" s="24"/>
      <c r="W14136" s="24"/>
      <c r="X14136" s="24"/>
      <c r="Y14136" s="24"/>
      <c r="Z14136" s="24"/>
      <c r="AA14136" s="24"/>
    </row>
    <row r="14137">
      <c r="A14137" s="24"/>
      <c r="B14137" s="25"/>
      <c r="C14137" s="24"/>
      <c r="D14137" s="26"/>
      <c r="E14137" s="24"/>
      <c r="F14137" s="24"/>
      <c r="G14137" s="24"/>
      <c r="H14137" s="24"/>
      <c r="I14137" s="24"/>
      <c r="J14137" s="24"/>
      <c r="K14137" s="24"/>
      <c r="L14137" s="24"/>
      <c r="M14137" s="24"/>
      <c r="N14137" s="24"/>
      <c r="O14137" s="24"/>
      <c r="P14137" s="24"/>
      <c r="Q14137" s="24"/>
      <c r="R14137" s="24"/>
      <c r="S14137" s="24"/>
      <c r="T14137" s="24"/>
      <c r="U14137" s="24"/>
      <c r="V14137" s="24"/>
      <c r="W14137" s="24"/>
      <c r="X14137" s="24"/>
      <c r="Y14137" s="24"/>
      <c r="Z14137" s="24"/>
      <c r="AA14137" s="24"/>
    </row>
    <row r="14138">
      <c r="A14138" s="24"/>
      <c r="B14138" s="25"/>
      <c r="C14138" s="24"/>
      <c r="D14138" s="26"/>
      <c r="E14138" s="24"/>
      <c r="F14138" s="24"/>
      <c r="G14138" s="24"/>
      <c r="H14138" s="24"/>
      <c r="I14138" s="24"/>
      <c r="J14138" s="24"/>
      <c r="K14138" s="24"/>
      <c r="L14138" s="24"/>
      <c r="M14138" s="24"/>
      <c r="N14138" s="24"/>
      <c r="O14138" s="24"/>
      <c r="P14138" s="24"/>
      <c r="Q14138" s="24"/>
      <c r="R14138" s="24"/>
      <c r="S14138" s="24"/>
      <c r="T14138" s="24"/>
      <c r="U14138" s="24"/>
      <c r="V14138" s="24"/>
      <c r="W14138" s="24"/>
      <c r="X14138" s="24"/>
      <c r="Y14138" s="24"/>
      <c r="Z14138" s="24"/>
      <c r="AA14138" s="24"/>
    </row>
    <row r="14139">
      <c r="A14139" s="24"/>
      <c r="B14139" s="25"/>
      <c r="C14139" s="24"/>
      <c r="D14139" s="26"/>
      <c r="E14139" s="24"/>
      <c r="F14139" s="24"/>
      <c r="G14139" s="24"/>
      <c r="H14139" s="24"/>
      <c r="I14139" s="24"/>
      <c r="J14139" s="24"/>
      <c r="K14139" s="24"/>
      <c r="L14139" s="24"/>
      <c r="M14139" s="24"/>
      <c r="N14139" s="24"/>
      <c r="O14139" s="24"/>
      <c r="P14139" s="24"/>
      <c r="Q14139" s="24"/>
      <c r="R14139" s="24"/>
      <c r="S14139" s="24"/>
      <c r="T14139" s="24"/>
      <c r="U14139" s="24"/>
      <c r="V14139" s="24"/>
      <c r="W14139" s="24"/>
      <c r="X14139" s="24"/>
      <c r="Y14139" s="24"/>
      <c r="Z14139" s="24"/>
      <c r="AA14139" s="24"/>
    </row>
    <row r="14140">
      <c r="A14140" s="24"/>
      <c r="B14140" s="25"/>
      <c r="C14140" s="24"/>
      <c r="D14140" s="26"/>
      <c r="E14140" s="24"/>
      <c r="F14140" s="24"/>
      <c r="G14140" s="24"/>
      <c r="H14140" s="24"/>
      <c r="I14140" s="24"/>
      <c r="J14140" s="24"/>
      <c r="K14140" s="24"/>
      <c r="L14140" s="24"/>
      <c r="M14140" s="24"/>
      <c r="N14140" s="24"/>
      <c r="O14140" s="24"/>
      <c r="P14140" s="24"/>
      <c r="Q14140" s="24"/>
      <c r="R14140" s="24"/>
      <c r="S14140" s="24"/>
      <c r="T14140" s="24"/>
      <c r="U14140" s="24"/>
      <c r="V14140" s="24"/>
      <c r="W14140" s="24"/>
      <c r="X14140" s="24"/>
      <c r="Y14140" s="24"/>
      <c r="Z14140" s="24"/>
      <c r="AA14140" s="24"/>
    </row>
    <row r="14141">
      <c r="A14141" s="24"/>
      <c r="B14141" s="25"/>
      <c r="C14141" s="24"/>
      <c r="D14141" s="26"/>
      <c r="E14141" s="24"/>
      <c r="F14141" s="24"/>
      <c r="G14141" s="24"/>
      <c r="H14141" s="24"/>
      <c r="I14141" s="24"/>
      <c r="J14141" s="24"/>
      <c r="K14141" s="24"/>
      <c r="L14141" s="24"/>
      <c r="M14141" s="24"/>
      <c r="N14141" s="24"/>
      <c r="O14141" s="24"/>
      <c r="P14141" s="24"/>
      <c r="Q14141" s="24"/>
      <c r="R14141" s="24"/>
      <c r="S14141" s="24"/>
      <c r="T14141" s="24"/>
      <c r="U14141" s="24"/>
      <c r="V14141" s="24"/>
      <c r="W14141" s="24"/>
      <c r="X14141" s="24"/>
      <c r="Y14141" s="24"/>
      <c r="Z14141" s="24"/>
      <c r="AA14141" s="24"/>
    </row>
    <row r="14142">
      <c r="A14142" s="24"/>
      <c r="B14142" s="25"/>
      <c r="C14142" s="24"/>
      <c r="D14142" s="26"/>
      <c r="E14142" s="24"/>
      <c r="F14142" s="24"/>
      <c r="G14142" s="24"/>
      <c r="H14142" s="24"/>
      <c r="I14142" s="24"/>
      <c r="J14142" s="24"/>
      <c r="K14142" s="24"/>
      <c r="L14142" s="24"/>
      <c r="M14142" s="24"/>
      <c r="N14142" s="24"/>
      <c r="O14142" s="24"/>
      <c r="P14142" s="24"/>
      <c r="Q14142" s="24"/>
      <c r="R14142" s="24"/>
      <c r="S14142" s="24"/>
      <c r="T14142" s="24"/>
      <c r="U14142" s="24"/>
      <c r="V14142" s="24"/>
      <c r="W14142" s="24"/>
      <c r="X14142" s="24"/>
      <c r="Y14142" s="24"/>
      <c r="Z14142" s="24"/>
      <c r="AA14142" s="24"/>
    </row>
    <row r="14143">
      <c r="A14143" s="24"/>
      <c r="B14143" s="25"/>
      <c r="C14143" s="24"/>
      <c r="D14143" s="26"/>
      <c r="E14143" s="24"/>
      <c r="F14143" s="24"/>
      <c r="G14143" s="24"/>
      <c r="H14143" s="24"/>
      <c r="I14143" s="24"/>
      <c r="J14143" s="24"/>
      <c r="K14143" s="24"/>
      <c r="L14143" s="24"/>
      <c r="M14143" s="24"/>
      <c r="N14143" s="24"/>
      <c r="O14143" s="24"/>
      <c r="P14143" s="24"/>
      <c r="Q14143" s="24"/>
      <c r="R14143" s="24"/>
      <c r="S14143" s="24"/>
      <c r="T14143" s="24"/>
      <c r="U14143" s="24"/>
      <c r="V14143" s="24"/>
      <c r="W14143" s="24"/>
      <c r="X14143" s="24"/>
      <c r="Y14143" s="24"/>
      <c r="Z14143" s="24"/>
      <c r="AA14143" s="24"/>
    </row>
    <row r="14144">
      <c r="A14144" s="24"/>
      <c r="B14144" s="25"/>
      <c r="C14144" s="24"/>
      <c r="D14144" s="26"/>
      <c r="E14144" s="24"/>
      <c r="F14144" s="24"/>
      <c r="G14144" s="24"/>
      <c r="H14144" s="24"/>
      <c r="I14144" s="24"/>
      <c r="J14144" s="24"/>
      <c r="K14144" s="24"/>
      <c r="L14144" s="24"/>
      <c r="M14144" s="24"/>
      <c r="N14144" s="24"/>
      <c r="O14144" s="24"/>
      <c r="P14144" s="24"/>
      <c r="Q14144" s="24"/>
      <c r="R14144" s="24"/>
      <c r="S14144" s="24"/>
      <c r="T14144" s="24"/>
      <c r="U14144" s="24"/>
      <c r="V14144" s="24"/>
      <c r="W14144" s="24"/>
      <c r="X14144" s="24"/>
      <c r="Y14144" s="24"/>
      <c r="Z14144" s="24"/>
      <c r="AA14144" s="24"/>
    </row>
    <row r="14145">
      <c r="A14145" s="24"/>
      <c r="B14145" s="25"/>
      <c r="C14145" s="24"/>
      <c r="D14145" s="26"/>
      <c r="E14145" s="24"/>
      <c r="F14145" s="24"/>
      <c r="G14145" s="24"/>
      <c r="H14145" s="24"/>
      <c r="I14145" s="24"/>
      <c r="J14145" s="24"/>
      <c r="K14145" s="24"/>
      <c r="L14145" s="24"/>
      <c r="M14145" s="24"/>
      <c r="N14145" s="24"/>
      <c r="O14145" s="24"/>
      <c r="P14145" s="24"/>
      <c r="Q14145" s="24"/>
      <c r="R14145" s="24"/>
      <c r="S14145" s="24"/>
      <c r="T14145" s="24"/>
      <c r="U14145" s="24"/>
      <c r="V14145" s="24"/>
      <c r="W14145" s="24"/>
      <c r="X14145" s="24"/>
      <c r="Y14145" s="24"/>
      <c r="Z14145" s="24"/>
      <c r="AA14145" s="24"/>
    </row>
    <row r="14146">
      <c r="A14146" s="24"/>
      <c r="B14146" s="25"/>
      <c r="C14146" s="24"/>
      <c r="D14146" s="26"/>
      <c r="E14146" s="24"/>
      <c r="F14146" s="24"/>
      <c r="G14146" s="24"/>
      <c r="H14146" s="24"/>
      <c r="I14146" s="24"/>
      <c r="J14146" s="24"/>
      <c r="K14146" s="24"/>
      <c r="L14146" s="24"/>
      <c r="M14146" s="24"/>
      <c r="N14146" s="24"/>
      <c r="O14146" s="24"/>
      <c r="P14146" s="24"/>
      <c r="Q14146" s="24"/>
      <c r="R14146" s="24"/>
      <c r="S14146" s="24"/>
      <c r="T14146" s="24"/>
      <c r="U14146" s="24"/>
      <c r="V14146" s="24"/>
      <c r="W14146" s="24"/>
      <c r="X14146" s="24"/>
      <c r="Y14146" s="24"/>
      <c r="Z14146" s="24"/>
      <c r="AA14146" s="24"/>
    </row>
    <row r="14147">
      <c r="A14147" s="24"/>
      <c r="B14147" s="25"/>
      <c r="C14147" s="24"/>
      <c r="D14147" s="26"/>
      <c r="E14147" s="24"/>
      <c r="F14147" s="24"/>
      <c r="G14147" s="24"/>
      <c r="H14147" s="24"/>
      <c r="I14147" s="24"/>
      <c r="J14147" s="24"/>
      <c r="K14147" s="24"/>
      <c r="L14147" s="24"/>
      <c r="M14147" s="24"/>
      <c r="N14147" s="24"/>
      <c r="O14147" s="24"/>
      <c r="P14147" s="24"/>
      <c r="Q14147" s="24"/>
      <c r="R14147" s="24"/>
      <c r="S14147" s="24"/>
      <c r="T14147" s="24"/>
      <c r="U14147" s="24"/>
      <c r="V14147" s="24"/>
      <c r="W14147" s="24"/>
      <c r="X14147" s="24"/>
      <c r="Y14147" s="24"/>
      <c r="Z14147" s="24"/>
      <c r="AA14147" s="24"/>
    </row>
    <row r="14148">
      <c r="A14148" s="24"/>
      <c r="B14148" s="25"/>
      <c r="C14148" s="24"/>
      <c r="D14148" s="26"/>
      <c r="E14148" s="24"/>
      <c r="F14148" s="24"/>
      <c r="G14148" s="24"/>
      <c r="H14148" s="24"/>
      <c r="I14148" s="24"/>
      <c r="J14148" s="24"/>
      <c r="K14148" s="24"/>
      <c r="L14148" s="24"/>
      <c r="M14148" s="24"/>
      <c r="N14148" s="24"/>
      <c r="O14148" s="24"/>
      <c r="P14148" s="24"/>
      <c r="Q14148" s="24"/>
      <c r="R14148" s="24"/>
      <c r="S14148" s="24"/>
      <c r="T14148" s="24"/>
      <c r="U14148" s="24"/>
      <c r="V14148" s="24"/>
      <c r="W14148" s="24"/>
      <c r="X14148" s="24"/>
      <c r="Y14148" s="24"/>
      <c r="Z14148" s="24"/>
      <c r="AA14148" s="24"/>
    </row>
    <row r="14149">
      <c r="A14149" s="24"/>
      <c r="B14149" s="25"/>
      <c r="C14149" s="24"/>
      <c r="D14149" s="26"/>
      <c r="E14149" s="24"/>
      <c r="F14149" s="24"/>
      <c r="G14149" s="24"/>
      <c r="H14149" s="24"/>
      <c r="I14149" s="24"/>
      <c r="J14149" s="24"/>
      <c r="K14149" s="24"/>
      <c r="L14149" s="24"/>
      <c r="M14149" s="24"/>
      <c r="N14149" s="24"/>
      <c r="O14149" s="24"/>
      <c r="P14149" s="24"/>
      <c r="Q14149" s="24"/>
      <c r="R14149" s="24"/>
      <c r="S14149" s="24"/>
      <c r="T14149" s="24"/>
      <c r="U14149" s="24"/>
      <c r="V14149" s="24"/>
      <c r="W14149" s="24"/>
      <c r="X14149" s="24"/>
      <c r="Y14149" s="24"/>
      <c r="Z14149" s="24"/>
      <c r="AA14149" s="24"/>
    </row>
    <row r="14150">
      <c r="A14150" s="24"/>
      <c r="B14150" s="25"/>
      <c r="C14150" s="24"/>
      <c r="D14150" s="26"/>
      <c r="E14150" s="24"/>
      <c r="F14150" s="24"/>
      <c r="G14150" s="24"/>
      <c r="H14150" s="24"/>
      <c r="I14150" s="24"/>
      <c r="J14150" s="24"/>
      <c r="K14150" s="24"/>
      <c r="L14150" s="24"/>
      <c r="M14150" s="24"/>
      <c r="N14150" s="24"/>
      <c r="O14150" s="24"/>
      <c r="P14150" s="24"/>
      <c r="Q14150" s="24"/>
      <c r="R14150" s="24"/>
      <c r="S14150" s="24"/>
      <c r="T14150" s="24"/>
      <c r="U14150" s="24"/>
      <c r="V14150" s="24"/>
      <c r="W14150" s="24"/>
      <c r="X14150" s="24"/>
      <c r="Y14150" s="24"/>
      <c r="Z14150" s="24"/>
      <c r="AA14150" s="24"/>
    </row>
    <row r="14151">
      <c r="A14151" s="24"/>
      <c r="B14151" s="25"/>
      <c r="C14151" s="24"/>
      <c r="D14151" s="26"/>
      <c r="E14151" s="24"/>
      <c r="F14151" s="24"/>
      <c r="G14151" s="24"/>
      <c r="H14151" s="24"/>
      <c r="I14151" s="24"/>
      <c r="J14151" s="24"/>
      <c r="K14151" s="24"/>
      <c r="L14151" s="24"/>
      <c r="M14151" s="24"/>
      <c r="N14151" s="24"/>
      <c r="O14151" s="24"/>
      <c r="P14151" s="24"/>
      <c r="Q14151" s="24"/>
      <c r="R14151" s="24"/>
      <c r="S14151" s="24"/>
      <c r="T14151" s="24"/>
      <c r="U14151" s="24"/>
      <c r="V14151" s="24"/>
      <c r="W14151" s="24"/>
      <c r="X14151" s="24"/>
      <c r="Y14151" s="24"/>
      <c r="Z14151" s="24"/>
      <c r="AA14151" s="24"/>
    </row>
    <row r="14152">
      <c r="A14152" s="24"/>
      <c r="B14152" s="25"/>
      <c r="C14152" s="24"/>
      <c r="D14152" s="26"/>
      <c r="E14152" s="24"/>
      <c r="F14152" s="24"/>
      <c r="G14152" s="24"/>
      <c r="H14152" s="24"/>
      <c r="I14152" s="24"/>
      <c r="J14152" s="24"/>
      <c r="K14152" s="24"/>
      <c r="L14152" s="24"/>
      <c r="M14152" s="24"/>
      <c r="N14152" s="24"/>
      <c r="O14152" s="24"/>
      <c r="P14152" s="24"/>
      <c r="Q14152" s="24"/>
      <c r="R14152" s="24"/>
      <c r="S14152" s="24"/>
      <c r="T14152" s="24"/>
      <c r="U14152" s="24"/>
      <c r="V14152" s="24"/>
      <c r="W14152" s="24"/>
      <c r="X14152" s="24"/>
      <c r="Y14152" s="24"/>
      <c r="Z14152" s="24"/>
      <c r="AA14152" s="24"/>
    </row>
    <row r="14153">
      <c r="A14153" s="24"/>
      <c r="B14153" s="25"/>
      <c r="C14153" s="24"/>
      <c r="D14153" s="26"/>
      <c r="E14153" s="24"/>
      <c r="F14153" s="24"/>
      <c r="G14153" s="24"/>
      <c r="H14153" s="24"/>
      <c r="I14153" s="24"/>
      <c r="J14153" s="24"/>
      <c r="K14153" s="24"/>
      <c r="L14153" s="24"/>
      <c r="M14153" s="24"/>
      <c r="N14153" s="24"/>
      <c r="O14153" s="24"/>
      <c r="P14153" s="24"/>
      <c r="Q14153" s="24"/>
      <c r="R14153" s="24"/>
      <c r="S14153" s="24"/>
      <c r="T14153" s="24"/>
      <c r="U14153" s="24"/>
      <c r="V14153" s="24"/>
      <c r="W14153" s="24"/>
      <c r="X14153" s="24"/>
      <c r="Y14153" s="24"/>
      <c r="Z14153" s="24"/>
      <c r="AA14153" s="24"/>
    </row>
    <row r="14154">
      <c r="A14154" s="24"/>
      <c r="B14154" s="25"/>
      <c r="C14154" s="24"/>
      <c r="D14154" s="26"/>
      <c r="E14154" s="24"/>
      <c r="F14154" s="24"/>
      <c r="G14154" s="24"/>
      <c r="H14154" s="24"/>
      <c r="I14154" s="24"/>
      <c r="J14154" s="24"/>
      <c r="K14154" s="24"/>
      <c r="L14154" s="24"/>
      <c r="M14154" s="24"/>
      <c r="N14154" s="24"/>
      <c r="O14154" s="24"/>
      <c r="P14154" s="24"/>
      <c r="Q14154" s="24"/>
      <c r="R14154" s="24"/>
      <c r="S14154" s="24"/>
      <c r="T14154" s="24"/>
      <c r="U14154" s="24"/>
      <c r="V14154" s="24"/>
      <c r="W14154" s="24"/>
      <c r="X14154" s="24"/>
      <c r="Y14154" s="24"/>
      <c r="Z14154" s="24"/>
      <c r="AA14154" s="24"/>
    </row>
    <row r="14155">
      <c r="A14155" s="24"/>
      <c r="B14155" s="25"/>
      <c r="C14155" s="24"/>
      <c r="D14155" s="26"/>
      <c r="E14155" s="24"/>
      <c r="F14155" s="24"/>
      <c r="G14155" s="24"/>
      <c r="H14155" s="24"/>
      <c r="I14155" s="24"/>
      <c r="J14155" s="24"/>
      <c r="K14155" s="24"/>
      <c r="L14155" s="24"/>
      <c r="M14155" s="24"/>
      <c r="N14155" s="24"/>
      <c r="O14155" s="24"/>
      <c r="P14155" s="24"/>
      <c r="Q14155" s="24"/>
      <c r="R14155" s="24"/>
      <c r="S14155" s="24"/>
      <c r="T14155" s="24"/>
      <c r="U14155" s="24"/>
      <c r="V14155" s="24"/>
      <c r="W14155" s="24"/>
      <c r="X14155" s="24"/>
      <c r="Y14155" s="24"/>
      <c r="Z14155" s="24"/>
      <c r="AA14155" s="24"/>
    </row>
    <row r="14156">
      <c r="A14156" s="24"/>
      <c r="B14156" s="25"/>
      <c r="C14156" s="24"/>
      <c r="D14156" s="26"/>
      <c r="E14156" s="24"/>
      <c r="F14156" s="24"/>
      <c r="G14156" s="24"/>
      <c r="H14156" s="24"/>
      <c r="I14156" s="24"/>
      <c r="J14156" s="24"/>
      <c r="K14156" s="24"/>
      <c r="L14156" s="24"/>
      <c r="M14156" s="24"/>
      <c r="N14156" s="24"/>
      <c r="O14156" s="24"/>
      <c r="P14156" s="24"/>
      <c r="Q14156" s="24"/>
      <c r="R14156" s="24"/>
      <c r="S14156" s="24"/>
      <c r="T14156" s="24"/>
      <c r="U14156" s="24"/>
      <c r="V14156" s="24"/>
      <c r="W14156" s="24"/>
      <c r="X14156" s="24"/>
      <c r="Y14156" s="24"/>
      <c r="Z14156" s="24"/>
      <c r="AA14156" s="24"/>
    </row>
    <row r="14157">
      <c r="A14157" s="24"/>
      <c r="B14157" s="25"/>
      <c r="C14157" s="24"/>
      <c r="D14157" s="26"/>
      <c r="E14157" s="24"/>
      <c r="F14157" s="24"/>
      <c r="G14157" s="24"/>
      <c r="H14157" s="24"/>
      <c r="I14157" s="24"/>
      <c r="J14157" s="24"/>
      <c r="K14157" s="24"/>
      <c r="L14157" s="24"/>
      <c r="M14157" s="24"/>
      <c r="N14157" s="24"/>
      <c r="O14157" s="24"/>
      <c r="P14157" s="24"/>
      <c r="Q14157" s="24"/>
      <c r="R14157" s="24"/>
      <c r="S14157" s="24"/>
      <c r="T14157" s="24"/>
      <c r="U14157" s="24"/>
      <c r="V14157" s="24"/>
      <c r="W14157" s="24"/>
      <c r="X14157" s="24"/>
      <c r="Y14157" s="24"/>
      <c r="Z14157" s="24"/>
      <c r="AA14157" s="24"/>
    </row>
    <row r="14158">
      <c r="A14158" s="24"/>
      <c r="B14158" s="25"/>
      <c r="C14158" s="24"/>
      <c r="D14158" s="26"/>
      <c r="E14158" s="24"/>
      <c r="F14158" s="24"/>
      <c r="G14158" s="24"/>
      <c r="H14158" s="24"/>
      <c r="I14158" s="24"/>
      <c r="J14158" s="24"/>
      <c r="K14158" s="24"/>
      <c r="L14158" s="24"/>
      <c r="M14158" s="24"/>
      <c r="N14158" s="24"/>
      <c r="O14158" s="24"/>
      <c r="P14158" s="24"/>
      <c r="Q14158" s="24"/>
      <c r="R14158" s="24"/>
      <c r="S14158" s="24"/>
      <c r="T14158" s="24"/>
      <c r="U14158" s="24"/>
      <c r="V14158" s="24"/>
      <c r="W14158" s="24"/>
      <c r="X14158" s="24"/>
      <c r="Y14158" s="24"/>
      <c r="Z14158" s="24"/>
      <c r="AA14158" s="24"/>
    </row>
    <row r="14159">
      <c r="A14159" s="24"/>
      <c r="B14159" s="25"/>
      <c r="C14159" s="24"/>
      <c r="D14159" s="26"/>
      <c r="E14159" s="24"/>
      <c r="F14159" s="24"/>
      <c r="G14159" s="24"/>
      <c r="H14159" s="24"/>
      <c r="I14159" s="24"/>
      <c r="J14159" s="24"/>
      <c r="K14159" s="24"/>
      <c r="L14159" s="24"/>
      <c r="M14159" s="24"/>
      <c r="N14159" s="24"/>
      <c r="O14159" s="24"/>
      <c r="P14159" s="24"/>
      <c r="Q14159" s="24"/>
      <c r="R14159" s="24"/>
      <c r="S14159" s="24"/>
      <c r="T14159" s="24"/>
      <c r="U14159" s="24"/>
      <c r="V14159" s="24"/>
      <c r="W14159" s="24"/>
      <c r="X14159" s="24"/>
      <c r="Y14159" s="24"/>
      <c r="Z14159" s="24"/>
      <c r="AA14159" s="24"/>
    </row>
    <row r="14160">
      <c r="A14160" s="24"/>
      <c r="B14160" s="25"/>
      <c r="C14160" s="24"/>
      <c r="D14160" s="26"/>
      <c r="E14160" s="24"/>
      <c r="F14160" s="24"/>
      <c r="G14160" s="24"/>
      <c r="H14160" s="24"/>
      <c r="I14160" s="24"/>
      <c r="J14160" s="24"/>
      <c r="K14160" s="24"/>
      <c r="L14160" s="24"/>
      <c r="M14160" s="24"/>
      <c r="N14160" s="24"/>
      <c r="O14160" s="24"/>
      <c r="P14160" s="24"/>
      <c r="Q14160" s="24"/>
      <c r="R14160" s="24"/>
      <c r="S14160" s="24"/>
      <c r="T14160" s="24"/>
      <c r="U14160" s="24"/>
      <c r="V14160" s="24"/>
      <c r="W14160" s="24"/>
      <c r="X14160" s="24"/>
      <c r="Y14160" s="24"/>
      <c r="Z14160" s="24"/>
      <c r="AA14160" s="24"/>
    </row>
    <row r="14161">
      <c r="A14161" s="24"/>
      <c r="B14161" s="25"/>
      <c r="C14161" s="24"/>
      <c r="D14161" s="26"/>
      <c r="E14161" s="24"/>
      <c r="F14161" s="24"/>
      <c r="G14161" s="24"/>
      <c r="H14161" s="24"/>
      <c r="I14161" s="24"/>
      <c r="J14161" s="24"/>
      <c r="K14161" s="24"/>
      <c r="L14161" s="24"/>
      <c r="M14161" s="24"/>
      <c r="N14161" s="24"/>
      <c r="O14161" s="24"/>
      <c r="P14161" s="24"/>
      <c r="Q14161" s="24"/>
      <c r="R14161" s="24"/>
      <c r="S14161" s="24"/>
      <c r="T14161" s="24"/>
      <c r="U14161" s="24"/>
      <c r="V14161" s="24"/>
      <c r="W14161" s="24"/>
      <c r="X14161" s="24"/>
      <c r="Y14161" s="24"/>
      <c r="Z14161" s="24"/>
      <c r="AA14161" s="24"/>
    </row>
    <row r="14162">
      <c r="A14162" s="24"/>
      <c r="B14162" s="25"/>
      <c r="C14162" s="24"/>
      <c r="D14162" s="26"/>
      <c r="E14162" s="24"/>
      <c r="F14162" s="24"/>
      <c r="G14162" s="24"/>
      <c r="H14162" s="24"/>
      <c r="I14162" s="24"/>
      <c r="J14162" s="24"/>
      <c r="K14162" s="24"/>
      <c r="L14162" s="24"/>
      <c r="M14162" s="24"/>
      <c r="N14162" s="24"/>
      <c r="O14162" s="24"/>
      <c r="P14162" s="24"/>
      <c r="Q14162" s="24"/>
      <c r="R14162" s="24"/>
      <c r="S14162" s="24"/>
      <c r="T14162" s="24"/>
      <c r="U14162" s="24"/>
      <c r="V14162" s="24"/>
      <c r="W14162" s="24"/>
      <c r="X14162" s="24"/>
      <c r="Y14162" s="24"/>
      <c r="Z14162" s="24"/>
      <c r="AA14162" s="24"/>
    </row>
    <row r="14163">
      <c r="A14163" s="24"/>
      <c r="B14163" s="25"/>
      <c r="C14163" s="24"/>
      <c r="D14163" s="26"/>
      <c r="E14163" s="24"/>
      <c r="F14163" s="24"/>
      <c r="G14163" s="24"/>
      <c r="H14163" s="24"/>
      <c r="I14163" s="24"/>
      <c r="J14163" s="24"/>
      <c r="K14163" s="24"/>
      <c r="L14163" s="24"/>
      <c r="M14163" s="24"/>
      <c r="N14163" s="24"/>
      <c r="O14163" s="24"/>
      <c r="P14163" s="24"/>
      <c r="Q14163" s="24"/>
      <c r="R14163" s="24"/>
      <c r="S14163" s="24"/>
      <c r="T14163" s="24"/>
      <c r="U14163" s="24"/>
      <c r="V14163" s="24"/>
      <c r="W14163" s="24"/>
      <c r="X14163" s="24"/>
      <c r="Y14163" s="24"/>
      <c r="Z14163" s="24"/>
      <c r="AA14163" s="24"/>
    </row>
    <row r="14164">
      <c r="A14164" s="24"/>
      <c r="B14164" s="25"/>
      <c r="C14164" s="24"/>
      <c r="D14164" s="26"/>
      <c r="E14164" s="24"/>
      <c r="F14164" s="24"/>
      <c r="G14164" s="24"/>
      <c r="H14164" s="24"/>
      <c r="I14164" s="24"/>
      <c r="J14164" s="24"/>
      <c r="K14164" s="24"/>
      <c r="L14164" s="24"/>
      <c r="M14164" s="24"/>
      <c r="N14164" s="24"/>
      <c r="O14164" s="24"/>
      <c r="P14164" s="24"/>
      <c r="Q14164" s="24"/>
      <c r="R14164" s="24"/>
      <c r="S14164" s="24"/>
      <c r="T14164" s="24"/>
      <c r="U14164" s="24"/>
      <c r="V14164" s="24"/>
      <c r="W14164" s="24"/>
      <c r="X14164" s="24"/>
      <c r="Y14164" s="24"/>
      <c r="Z14164" s="24"/>
      <c r="AA14164" s="24"/>
    </row>
    <row r="14165">
      <c r="A14165" s="24"/>
      <c r="B14165" s="25"/>
      <c r="C14165" s="24"/>
      <c r="D14165" s="26"/>
      <c r="E14165" s="24"/>
      <c r="F14165" s="24"/>
      <c r="G14165" s="24"/>
      <c r="H14165" s="24"/>
      <c r="I14165" s="24"/>
      <c r="J14165" s="24"/>
      <c r="K14165" s="24"/>
      <c r="L14165" s="24"/>
      <c r="M14165" s="24"/>
      <c r="N14165" s="24"/>
      <c r="O14165" s="24"/>
      <c r="P14165" s="24"/>
      <c r="Q14165" s="24"/>
      <c r="R14165" s="24"/>
      <c r="S14165" s="24"/>
      <c r="T14165" s="24"/>
      <c r="U14165" s="24"/>
      <c r="V14165" s="24"/>
      <c r="W14165" s="24"/>
      <c r="X14165" s="24"/>
      <c r="Y14165" s="24"/>
      <c r="Z14165" s="24"/>
      <c r="AA14165" s="24"/>
    </row>
    <row r="14166">
      <c r="A14166" s="24"/>
      <c r="B14166" s="25"/>
      <c r="C14166" s="24"/>
      <c r="D14166" s="26"/>
      <c r="E14166" s="24"/>
      <c r="F14166" s="24"/>
      <c r="G14166" s="24"/>
      <c r="H14166" s="24"/>
      <c r="I14166" s="24"/>
      <c r="J14166" s="24"/>
      <c r="K14166" s="24"/>
      <c r="L14166" s="24"/>
      <c r="M14166" s="24"/>
      <c r="N14166" s="24"/>
      <c r="O14166" s="24"/>
      <c r="P14166" s="24"/>
      <c r="Q14166" s="24"/>
      <c r="R14166" s="24"/>
      <c r="S14166" s="24"/>
      <c r="T14166" s="24"/>
      <c r="U14166" s="24"/>
      <c r="V14166" s="24"/>
      <c r="W14166" s="24"/>
      <c r="X14166" s="24"/>
      <c r="Y14166" s="24"/>
      <c r="Z14166" s="24"/>
      <c r="AA14166" s="24"/>
    </row>
    <row r="14167">
      <c r="A14167" s="24"/>
      <c r="B14167" s="25"/>
      <c r="C14167" s="24"/>
      <c r="D14167" s="26"/>
      <c r="E14167" s="24"/>
      <c r="F14167" s="24"/>
      <c r="G14167" s="24"/>
      <c r="H14167" s="24"/>
      <c r="I14167" s="24"/>
      <c r="J14167" s="24"/>
      <c r="K14167" s="24"/>
      <c r="L14167" s="24"/>
      <c r="M14167" s="24"/>
      <c r="N14167" s="24"/>
      <c r="O14167" s="24"/>
      <c r="P14167" s="24"/>
      <c r="Q14167" s="24"/>
      <c r="R14167" s="24"/>
      <c r="S14167" s="24"/>
      <c r="T14167" s="24"/>
      <c r="U14167" s="24"/>
      <c r="V14167" s="24"/>
      <c r="W14167" s="24"/>
      <c r="X14167" s="24"/>
      <c r="Y14167" s="24"/>
      <c r="Z14167" s="24"/>
      <c r="AA14167" s="24"/>
    </row>
    <row r="14168">
      <c r="A14168" s="24"/>
      <c r="B14168" s="25"/>
      <c r="C14168" s="24"/>
      <c r="D14168" s="26"/>
      <c r="E14168" s="24"/>
      <c r="F14168" s="24"/>
      <c r="G14168" s="24"/>
      <c r="H14168" s="24"/>
      <c r="I14168" s="24"/>
      <c r="J14168" s="24"/>
      <c r="K14168" s="24"/>
      <c r="L14168" s="24"/>
      <c r="M14168" s="24"/>
      <c r="N14168" s="24"/>
      <c r="O14168" s="24"/>
      <c r="P14168" s="24"/>
      <c r="Q14168" s="24"/>
      <c r="R14168" s="24"/>
      <c r="S14168" s="24"/>
      <c r="T14168" s="24"/>
      <c r="U14168" s="24"/>
      <c r="V14168" s="24"/>
      <c r="W14168" s="24"/>
      <c r="X14168" s="24"/>
      <c r="Y14168" s="24"/>
      <c r="Z14168" s="24"/>
      <c r="AA14168" s="24"/>
    </row>
    <row r="14169">
      <c r="A14169" s="24"/>
      <c r="B14169" s="25"/>
      <c r="C14169" s="24"/>
      <c r="D14169" s="26"/>
      <c r="E14169" s="24"/>
      <c r="F14169" s="24"/>
      <c r="G14169" s="24"/>
      <c r="H14169" s="24"/>
      <c r="I14169" s="24"/>
      <c r="J14169" s="24"/>
      <c r="K14169" s="24"/>
      <c r="L14169" s="24"/>
      <c r="M14169" s="24"/>
      <c r="N14169" s="24"/>
      <c r="O14169" s="24"/>
      <c r="P14169" s="24"/>
      <c r="Q14169" s="24"/>
      <c r="R14169" s="24"/>
      <c r="S14169" s="24"/>
      <c r="T14169" s="24"/>
      <c r="U14169" s="24"/>
      <c r="V14169" s="24"/>
      <c r="W14169" s="24"/>
      <c r="X14169" s="24"/>
      <c r="Y14169" s="24"/>
      <c r="Z14169" s="24"/>
      <c r="AA14169" s="24"/>
    </row>
    <row r="14170">
      <c r="A14170" s="24"/>
      <c r="B14170" s="25"/>
      <c r="C14170" s="24"/>
      <c r="D14170" s="26"/>
      <c r="E14170" s="24"/>
      <c r="F14170" s="24"/>
      <c r="G14170" s="24"/>
      <c r="H14170" s="24"/>
      <c r="I14170" s="24"/>
      <c r="J14170" s="24"/>
      <c r="K14170" s="24"/>
      <c r="L14170" s="24"/>
      <c r="M14170" s="24"/>
      <c r="N14170" s="24"/>
      <c r="O14170" s="24"/>
      <c r="P14170" s="24"/>
      <c r="Q14170" s="24"/>
      <c r="R14170" s="24"/>
      <c r="S14170" s="24"/>
      <c r="T14170" s="24"/>
      <c r="U14170" s="24"/>
      <c r="V14170" s="24"/>
      <c r="W14170" s="24"/>
      <c r="X14170" s="24"/>
      <c r="Y14170" s="24"/>
      <c r="Z14170" s="24"/>
      <c r="AA14170" s="24"/>
    </row>
    <row r="14171">
      <c r="A14171" s="24"/>
      <c r="B14171" s="25"/>
      <c r="C14171" s="24"/>
      <c r="D14171" s="26"/>
      <c r="E14171" s="24"/>
      <c r="F14171" s="24"/>
      <c r="G14171" s="24"/>
      <c r="H14171" s="24"/>
      <c r="I14171" s="24"/>
      <c r="J14171" s="24"/>
      <c r="K14171" s="24"/>
      <c r="L14171" s="24"/>
      <c r="M14171" s="24"/>
      <c r="N14171" s="24"/>
      <c r="O14171" s="24"/>
      <c r="P14171" s="24"/>
      <c r="Q14171" s="24"/>
      <c r="R14171" s="24"/>
      <c r="S14171" s="24"/>
      <c r="T14171" s="24"/>
      <c r="U14171" s="24"/>
      <c r="V14171" s="24"/>
      <c r="W14171" s="24"/>
      <c r="X14171" s="24"/>
      <c r="Y14171" s="24"/>
      <c r="Z14171" s="24"/>
      <c r="AA14171" s="24"/>
    </row>
    <row r="14172">
      <c r="A14172" s="24"/>
      <c r="B14172" s="25"/>
      <c r="C14172" s="24"/>
      <c r="D14172" s="26"/>
      <c r="E14172" s="24"/>
      <c r="F14172" s="24"/>
      <c r="G14172" s="24"/>
      <c r="H14172" s="24"/>
      <c r="I14172" s="24"/>
      <c r="J14172" s="24"/>
      <c r="K14172" s="24"/>
      <c r="L14172" s="24"/>
      <c r="M14172" s="24"/>
      <c r="N14172" s="24"/>
      <c r="O14172" s="24"/>
      <c r="P14172" s="24"/>
      <c r="Q14172" s="24"/>
      <c r="R14172" s="24"/>
      <c r="S14172" s="24"/>
      <c r="T14172" s="24"/>
      <c r="U14172" s="24"/>
      <c r="V14172" s="24"/>
      <c r="W14172" s="24"/>
      <c r="X14172" s="24"/>
      <c r="Y14172" s="24"/>
      <c r="Z14172" s="24"/>
      <c r="AA14172" s="24"/>
    </row>
    <row r="14173">
      <c r="A14173" s="24"/>
      <c r="B14173" s="25"/>
      <c r="C14173" s="24"/>
      <c r="D14173" s="26"/>
      <c r="E14173" s="24"/>
      <c r="F14173" s="24"/>
      <c r="G14173" s="24"/>
      <c r="H14173" s="24"/>
      <c r="I14173" s="24"/>
      <c r="J14173" s="24"/>
      <c r="K14173" s="24"/>
      <c r="L14173" s="24"/>
      <c r="M14173" s="24"/>
      <c r="N14173" s="24"/>
      <c r="O14173" s="24"/>
      <c r="P14173" s="24"/>
      <c r="Q14173" s="24"/>
      <c r="R14173" s="24"/>
      <c r="S14173" s="24"/>
      <c r="T14173" s="24"/>
      <c r="U14173" s="24"/>
      <c r="V14173" s="24"/>
      <c r="W14173" s="24"/>
      <c r="X14173" s="24"/>
      <c r="Y14173" s="24"/>
      <c r="Z14173" s="24"/>
      <c r="AA14173" s="24"/>
    </row>
    <row r="14174">
      <c r="A14174" s="24"/>
      <c r="B14174" s="25"/>
      <c r="C14174" s="24"/>
      <c r="D14174" s="26"/>
      <c r="E14174" s="24"/>
      <c r="F14174" s="24"/>
      <c r="G14174" s="24"/>
      <c r="H14174" s="24"/>
      <c r="I14174" s="24"/>
      <c r="J14174" s="24"/>
      <c r="K14174" s="24"/>
      <c r="L14174" s="24"/>
      <c r="M14174" s="24"/>
      <c r="N14174" s="24"/>
      <c r="O14174" s="24"/>
      <c r="P14174" s="24"/>
      <c r="Q14174" s="24"/>
      <c r="R14174" s="24"/>
      <c r="S14174" s="24"/>
      <c r="T14174" s="24"/>
      <c r="U14174" s="24"/>
      <c r="V14174" s="24"/>
      <c r="W14174" s="24"/>
      <c r="X14174" s="24"/>
      <c r="Y14174" s="24"/>
      <c r="Z14174" s="24"/>
      <c r="AA14174" s="24"/>
    </row>
    <row r="14175">
      <c r="A14175" s="24"/>
      <c r="B14175" s="25"/>
      <c r="C14175" s="24"/>
      <c r="D14175" s="26"/>
      <c r="E14175" s="24"/>
      <c r="F14175" s="24"/>
      <c r="G14175" s="24"/>
      <c r="H14175" s="24"/>
      <c r="I14175" s="24"/>
      <c r="J14175" s="24"/>
      <c r="K14175" s="24"/>
      <c r="L14175" s="24"/>
      <c r="M14175" s="24"/>
      <c r="N14175" s="24"/>
      <c r="O14175" s="24"/>
      <c r="P14175" s="24"/>
      <c r="Q14175" s="24"/>
      <c r="R14175" s="24"/>
      <c r="S14175" s="24"/>
      <c r="T14175" s="24"/>
      <c r="U14175" s="24"/>
      <c r="V14175" s="24"/>
      <c r="W14175" s="24"/>
      <c r="X14175" s="24"/>
      <c r="Y14175" s="24"/>
      <c r="Z14175" s="24"/>
      <c r="AA14175" s="24"/>
    </row>
    <row r="14176">
      <c r="A14176" s="24"/>
      <c r="B14176" s="25"/>
      <c r="C14176" s="24"/>
      <c r="D14176" s="26"/>
      <c r="E14176" s="24"/>
      <c r="F14176" s="24"/>
      <c r="G14176" s="24"/>
      <c r="H14176" s="24"/>
      <c r="I14176" s="24"/>
      <c r="J14176" s="24"/>
      <c r="K14176" s="24"/>
      <c r="L14176" s="24"/>
      <c r="M14176" s="24"/>
      <c r="N14176" s="24"/>
      <c r="O14176" s="24"/>
      <c r="P14176" s="24"/>
      <c r="Q14176" s="24"/>
      <c r="R14176" s="24"/>
      <c r="S14176" s="24"/>
      <c r="T14176" s="24"/>
      <c r="U14176" s="24"/>
      <c r="V14176" s="24"/>
      <c r="W14176" s="24"/>
      <c r="X14176" s="24"/>
      <c r="Y14176" s="24"/>
      <c r="Z14176" s="24"/>
      <c r="AA14176" s="24"/>
    </row>
    <row r="14177">
      <c r="A14177" s="24"/>
      <c r="B14177" s="25"/>
      <c r="C14177" s="24"/>
      <c r="D14177" s="26"/>
      <c r="E14177" s="24"/>
      <c r="F14177" s="24"/>
      <c r="G14177" s="24"/>
      <c r="H14177" s="24"/>
      <c r="I14177" s="24"/>
      <c r="J14177" s="24"/>
      <c r="K14177" s="24"/>
      <c r="L14177" s="24"/>
      <c r="M14177" s="24"/>
      <c r="N14177" s="24"/>
      <c r="O14177" s="24"/>
      <c r="P14177" s="24"/>
      <c r="Q14177" s="24"/>
      <c r="R14177" s="24"/>
      <c r="S14177" s="24"/>
      <c r="T14177" s="24"/>
      <c r="U14177" s="24"/>
      <c r="V14177" s="24"/>
      <c r="W14177" s="24"/>
      <c r="X14177" s="24"/>
      <c r="Y14177" s="24"/>
      <c r="Z14177" s="24"/>
      <c r="AA14177" s="24"/>
    </row>
    <row r="14178">
      <c r="A14178" s="24"/>
      <c r="B14178" s="25"/>
      <c r="C14178" s="24"/>
      <c r="D14178" s="26"/>
      <c r="E14178" s="24"/>
      <c r="F14178" s="24"/>
      <c r="G14178" s="24"/>
      <c r="H14178" s="24"/>
      <c r="I14178" s="24"/>
      <c r="J14178" s="24"/>
      <c r="K14178" s="24"/>
      <c r="L14178" s="24"/>
      <c r="M14178" s="24"/>
      <c r="N14178" s="24"/>
      <c r="O14178" s="24"/>
      <c r="P14178" s="24"/>
      <c r="Q14178" s="24"/>
      <c r="R14178" s="24"/>
      <c r="S14178" s="24"/>
      <c r="T14178" s="24"/>
      <c r="U14178" s="24"/>
      <c r="V14178" s="24"/>
      <c r="W14178" s="24"/>
      <c r="X14178" s="24"/>
      <c r="Y14178" s="24"/>
      <c r="Z14178" s="24"/>
      <c r="AA14178" s="24"/>
    </row>
    <row r="14179">
      <c r="A14179" s="24"/>
      <c r="B14179" s="25"/>
      <c r="C14179" s="24"/>
      <c r="D14179" s="26"/>
      <c r="E14179" s="24"/>
      <c r="F14179" s="24"/>
      <c r="G14179" s="24"/>
      <c r="H14179" s="24"/>
      <c r="I14179" s="24"/>
      <c r="J14179" s="24"/>
      <c r="K14179" s="24"/>
      <c r="L14179" s="24"/>
      <c r="M14179" s="24"/>
      <c r="N14179" s="24"/>
      <c r="O14179" s="24"/>
      <c r="P14179" s="24"/>
      <c r="Q14179" s="24"/>
      <c r="R14179" s="24"/>
      <c r="S14179" s="24"/>
      <c r="T14179" s="24"/>
      <c r="U14179" s="24"/>
      <c r="V14179" s="24"/>
      <c r="W14179" s="24"/>
      <c r="X14179" s="24"/>
      <c r="Y14179" s="24"/>
      <c r="Z14179" s="24"/>
      <c r="AA14179" s="24"/>
    </row>
    <row r="14180">
      <c r="A14180" s="24"/>
      <c r="B14180" s="25"/>
      <c r="C14180" s="24"/>
      <c r="D14180" s="26"/>
      <c r="E14180" s="24"/>
      <c r="F14180" s="24"/>
      <c r="G14180" s="24"/>
      <c r="H14180" s="24"/>
      <c r="I14180" s="24"/>
      <c r="J14180" s="24"/>
      <c r="K14180" s="24"/>
      <c r="L14180" s="24"/>
      <c r="M14180" s="24"/>
      <c r="N14180" s="24"/>
      <c r="O14180" s="24"/>
      <c r="P14180" s="24"/>
      <c r="Q14180" s="24"/>
      <c r="R14180" s="24"/>
      <c r="S14180" s="24"/>
      <c r="T14180" s="24"/>
      <c r="U14180" s="24"/>
      <c r="V14180" s="24"/>
      <c r="W14180" s="24"/>
      <c r="X14180" s="24"/>
      <c r="Y14180" s="24"/>
      <c r="Z14180" s="24"/>
      <c r="AA14180" s="24"/>
    </row>
    <row r="14181">
      <c r="A14181" s="24"/>
      <c r="B14181" s="25"/>
      <c r="C14181" s="24"/>
      <c r="D14181" s="26"/>
      <c r="E14181" s="24"/>
      <c r="F14181" s="24"/>
      <c r="G14181" s="24"/>
      <c r="H14181" s="24"/>
      <c r="I14181" s="24"/>
      <c r="J14181" s="24"/>
      <c r="K14181" s="24"/>
      <c r="L14181" s="24"/>
      <c r="M14181" s="24"/>
      <c r="N14181" s="24"/>
      <c r="O14181" s="24"/>
      <c r="P14181" s="24"/>
      <c r="Q14181" s="24"/>
      <c r="R14181" s="24"/>
      <c r="S14181" s="24"/>
      <c r="T14181" s="24"/>
      <c r="U14181" s="24"/>
      <c r="V14181" s="24"/>
      <c r="W14181" s="24"/>
      <c r="X14181" s="24"/>
      <c r="Y14181" s="24"/>
      <c r="Z14181" s="24"/>
      <c r="AA14181" s="24"/>
    </row>
    <row r="14182">
      <c r="A14182" s="24"/>
      <c r="B14182" s="25"/>
      <c r="C14182" s="24"/>
      <c r="D14182" s="26"/>
      <c r="E14182" s="24"/>
      <c r="F14182" s="24"/>
      <c r="G14182" s="24"/>
      <c r="H14182" s="24"/>
      <c r="I14182" s="24"/>
      <c r="J14182" s="24"/>
      <c r="K14182" s="24"/>
      <c r="L14182" s="24"/>
      <c r="M14182" s="24"/>
      <c r="N14182" s="24"/>
      <c r="O14182" s="24"/>
      <c r="P14182" s="24"/>
      <c r="Q14182" s="24"/>
      <c r="R14182" s="24"/>
      <c r="S14182" s="24"/>
      <c r="T14182" s="24"/>
      <c r="U14182" s="24"/>
      <c r="V14182" s="24"/>
      <c r="W14182" s="24"/>
      <c r="X14182" s="24"/>
      <c r="Y14182" s="24"/>
      <c r="Z14182" s="24"/>
      <c r="AA14182" s="24"/>
    </row>
    <row r="14183">
      <c r="A14183" s="24"/>
      <c r="B14183" s="25"/>
      <c r="C14183" s="24"/>
      <c r="D14183" s="26"/>
      <c r="E14183" s="24"/>
      <c r="F14183" s="24"/>
      <c r="G14183" s="24"/>
      <c r="H14183" s="24"/>
      <c r="I14183" s="24"/>
      <c r="J14183" s="24"/>
      <c r="K14183" s="24"/>
      <c r="L14183" s="24"/>
      <c r="M14183" s="24"/>
      <c r="N14183" s="24"/>
      <c r="O14183" s="24"/>
      <c r="P14183" s="24"/>
      <c r="Q14183" s="24"/>
      <c r="R14183" s="24"/>
      <c r="S14183" s="24"/>
      <c r="T14183" s="24"/>
      <c r="U14183" s="24"/>
      <c r="V14183" s="24"/>
      <c r="W14183" s="24"/>
      <c r="X14183" s="24"/>
      <c r="Y14183" s="24"/>
      <c r="Z14183" s="24"/>
      <c r="AA14183" s="24"/>
    </row>
    <row r="14184">
      <c r="A14184" s="24"/>
      <c r="B14184" s="25"/>
      <c r="C14184" s="24"/>
      <c r="D14184" s="26"/>
      <c r="E14184" s="24"/>
      <c r="F14184" s="24"/>
      <c r="G14184" s="24"/>
      <c r="H14184" s="24"/>
      <c r="I14184" s="24"/>
      <c r="J14184" s="24"/>
      <c r="K14184" s="24"/>
      <c r="L14184" s="24"/>
      <c r="M14184" s="24"/>
      <c r="N14184" s="24"/>
      <c r="O14184" s="24"/>
      <c r="P14184" s="24"/>
      <c r="Q14184" s="24"/>
      <c r="R14184" s="24"/>
      <c r="S14184" s="24"/>
      <c r="T14184" s="24"/>
      <c r="U14184" s="24"/>
      <c r="V14184" s="24"/>
      <c r="W14184" s="24"/>
      <c r="X14184" s="24"/>
      <c r="Y14184" s="24"/>
      <c r="Z14184" s="24"/>
      <c r="AA14184" s="24"/>
    </row>
    <row r="14185">
      <c r="A14185" s="24"/>
      <c r="B14185" s="25"/>
      <c r="C14185" s="24"/>
      <c r="D14185" s="26"/>
      <c r="E14185" s="24"/>
      <c r="F14185" s="24"/>
      <c r="G14185" s="24"/>
      <c r="H14185" s="24"/>
      <c r="I14185" s="24"/>
      <c r="J14185" s="24"/>
      <c r="K14185" s="24"/>
      <c r="L14185" s="24"/>
      <c r="M14185" s="24"/>
      <c r="N14185" s="24"/>
      <c r="O14185" s="24"/>
      <c r="P14185" s="24"/>
      <c r="Q14185" s="24"/>
      <c r="R14185" s="24"/>
      <c r="S14185" s="24"/>
      <c r="T14185" s="24"/>
      <c r="U14185" s="24"/>
      <c r="V14185" s="24"/>
      <c r="W14185" s="24"/>
      <c r="X14185" s="24"/>
      <c r="Y14185" s="24"/>
      <c r="Z14185" s="24"/>
      <c r="AA14185" s="24"/>
    </row>
    <row r="14186">
      <c r="A14186" s="24"/>
      <c r="B14186" s="25"/>
      <c r="C14186" s="24"/>
      <c r="D14186" s="26"/>
      <c r="E14186" s="24"/>
      <c r="F14186" s="24"/>
      <c r="G14186" s="24"/>
      <c r="H14186" s="24"/>
      <c r="I14186" s="24"/>
      <c r="J14186" s="24"/>
      <c r="K14186" s="24"/>
      <c r="L14186" s="24"/>
      <c r="M14186" s="24"/>
      <c r="N14186" s="24"/>
      <c r="O14186" s="24"/>
      <c r="P14186" s="24"/>
      <c r="Q14186" s="24"/>
      <c r="R14186" s="24"/>
      <c r="S14186" s="24"/>
      <c r="T14186" s="24"/>
      <c r="U14186" s="24"/>
      <c r="V14186" s="24"/>
      <c r="W14186" s="24"/>
      <c r="X14186" s="24"/>
      <c r="Y14186" s="24"/>
      <c r="Z14186" s="24"/>
      <c r="AA14186" s="24"/>
    </row>
    <row r="14187">
      <c r="A14187" s="24"/>
      <c r="B14187" s="25"/>
      <c r="C14187" s="24"/>
      <c r="D14187" s="26"/>
      <c r="E14187" s="24"/>
      <c r="F14187" s="24"/>
      <c r="G14187" s="24"/>
      <c r="H14187" s="24"/>
      <c r="I14187" s="24"/>
      <c r="J14187" s="24"/>
      <c r="K14187" s="24"/>
      <c r="L14187" s="24"/>
      <c r="M14187" s="24"/>
      <c r="N14187" s="24"/>
      <c r="O14187" s="24"/>
      <c r="P14187" s="24"/>
      <c r="Q14187" s="24"/>
      <c r="R14187" s="24"/>
      <c r="S14187" s="24"/>
      <c r="T14187" s="24"/>
      <c r="U14187" s="24"/>
      <c r="V14187" s="24"/>
      <c r="W14187" s="24"/>
      <c r="X14187" s="24"/>
      <c r="Y14187" s="24"/>
      <c r="Z14187" s="24"/>
      <c r="AA14187" s="24"/>
    </row>
    <row r="14188">
      <c r="A14188" s="24"/>
      <c r="B14188" s="25"/>
      <c r="C14188" s="24"/>
      <c r="D14188" s="26"/>
      <c r="E14188" s="24"/>
      <c r="F14188" s="24"/>
      <c r="G14188" s="24"/>
      <c r="H14188" s="24"/>
      <c r="I14188" s="24"/>
      <c r="J14188" s="24"/>
      <c r="K14188" s="24"/>
      <c r="L14188" s="24"/>
      <c r="M14188" s="24"/>
      <c r="N14188" s="24"/>
      <c r="O14188" s="24"/>
      <c r="P14188" s="24"/>
      <c r="Q14188" s="24"/>
      <c r="R14188" s="24"/>
      <c r="S14188" s="24"/>
      <c r="T14188" s="24"/>
      <c r="U14188" s="24"/>
      <c r="V14188" s="24"/>
      <c r="W14188" s="24"/>
      <c r="X14188" s="24"/>
      <c r="Y14188" s="24"/>
      <c r="Z14188" s="24"/>
      <c r="AA14188" s="24"/>
    </row>
    <row r="14189">
      <c r="A14189" s="24"/>
      <c r="B14189" s="25"/>
      <c r="C14189" s="24"/>
      <c r="D14189" s="26"/>
      <c r="E14189" s="24"/>
      <c r="F14189" s="24"/>
      <c r="G14189" s="24"/>
      <c r="H14189" s="24"/>
      <c r="I14189" s="24"/>
      <c r="J14189" s="24"/>
      <c r="K14189" s="24"/>
      <c r="L14189" s="24"/>
      <c r="M14189" s="24"/>
      <c r="N14189" s="24"/>
      <c r="O14189" s="24"/>
      <c r="P14189" s="24"/>
      <c r="Q14189" s="24"/>
      <c r="R14189" s="24"/>
      <c r="S14189" s="24"/>
      <c r="T14189" s="24"/>
      <c r="U14189" s="24"/>
      <c r="V14189" s="24"/>
      <c r="W14189" s="24"/>
      <c r="X14189" s="24"/>
      <c r="Y14189" s="24"/>
      <c r="Z14189" s="24"/>
      <c r="AA14189" s="24"/>
    </row>
    <row r="14190">
      <c r="A14190" s="24"/>
      <c r="B14190" s="25"/>
      <c r="C14190" s="24"/>
      <c r="D14190" s="26"/>
      <c r="E14190" s="24"/>
      <c r="F14190" s="24"/>
      <c r="G14190" s="24"/>
      <c r="H14190" s="24"/>
      <c r="I14190" s="24"/>
      <c r="J14190" s="24"/>
      <c r="K14190" s="24"/>
      <c r="L14190" s="24"/>
      <c r="M14190" s="24"/>
      <c r="N14190" s="24"/>
      <c r="O14190" s="24"/>
      <c r="P14190" s="24"/>
      <c r="Q14190" s="24"/>
      <c r="R14190" s="24"/>
      <c r="S14190" s="24"/>
      <c r="T14190" s="24"/>
      <c r="U14190" s="24"/>
      <c r="V14190" s="24"/>
      <c r="W14190" s="24"/>
      <c r="X14190" s="24"/>
      <c r="Y14190" s="24"/>
      <c r="Z14190" s="24"/>
      <c r="AA14190" s="24"/>
    </row>
    <row r="14191">
      <c r="A14191" s="24"/>
      <c r="B14191" s="25"/>
      <c r="C14191" s="24"/>
      <c r="D14191" s="26"/>
      <c r="E14191" s="24"/>
      <c r="F14191" s="24"/>
      <c r="G14191" s="24"/>
      <c r="H14191" s="24"/>
      <c r="I14191" s="24"/>
      <c r="J14191" s="24"/>
      <c r="K14191" s="24"/>
      <c r="L14191" s="24"/>
      <c r="M14191" s="24"/>
      <c r="N14191" s="24"/>
      <c r="O14191" s="24"/>
      <c r="P14191" s="24"/>
      <c r="Q14191" s="24"/>
      <c r="R14191" s="24"/>
      <c r="S14191" s="24"/>
      <c r="T14191" s="24"/>
      <c r="U14191" s="24"/>
      <c r="V14191" s="24"/>
      <c r="W14191" s="24"/>
      <c r="X14191" s="24"/>
      <c r="Y14191" s="24"/>
      <c r="Z14191" s="24"/>
      <c r="AA14191" s="24"/>
    </row>
    <row r="14192">
      <c r="A14192" s="24"/>
      <c r="B14192" s="25"/>
      <c r="C14192" s="24"/>
      <c r="D14192" s="26"/>
      <c r="E14192" s="24"/>
      <c r="F14192" s="24"/>
      <c r="G14192" s="24"/>
      <c r="H14192" s="24"/>
      <c r="I14192" s="24"/>
      <c r="J14192" s="24"/>
      <c r="K14192" s="24"/>
      <c r="L14192" s="24"/>
      <c r="M14192" s="24"/>
      <c r="N14192" s="24"/>
      <c r="O14192" s="24"/>
      <c r="P14192" s="24"/>
      <c r="Q14192" s="24"/>
      <c r="R14192" s="24"/>
      <c r="S14192" s="24"/>
      <c r="T14192" s="24"/>
      <c r="U14192" s="24"/>
      <c r="V14192" s="24"/>
      <c r="W14192" s="24"/>
      <c r="X14192" s="24"/>
      <c r="Y14192" s="24"/>
      <c r="Z14192" s="24"/>
      <c r="AA14192" s="24"/>
    </row>
    <row r="14193">
      <c r="A14193" s="24"/>
      <c r="B14193" s="25"/>
      <c r="C14193" s="24"/>
      <c r="D14193" s="26"/>
      <c r="E14193" s="24"/>
      <c r="F14193" s="24"/>
      <c r="G14193" s="24"/>
      <c r="H14193" s="24"/>
      <c r="I14193" s="24"/>
      <c r="J14193" s="24"/>
      <c r="K14193" s="24"/>
      <c r="L14193" s="24"/>
      <c r="M14193" s="24"/>
      <c r="N14193" s="24"/>
      <c r="O14193" s="24"/>
      <c r="P14193" s="24"/>
      <c r="Q14193" s="24"/>
      <c r="R14193" s="24"/>
      <c r="S14193" s="24"/>
      <c r="T14193" s="24"/>
      <c r="U14193" s="24"/>
      <c r="V14193" s="24"/>
      <c r="W14193" s="24"/>
      <c r="X14193" s="24"/>
      <c r="Y14193" s="24"/>
      <c r="Z14193" s="24"/>
      <c r="AA14193" s="24"/>
    </row>
    <row r="14194">
      <c r="A14194" s="24"/>
      <c r="B14194" s="25"/>
      <c r="C14194" s="24"/>
      <c r="D14194" s="26"/>
      <c r="E14194" s="24"/>
      <c r="F14194" s="24"/>
      <c r="G14194" s="24"/>
      <c r="H14194" s="24"/>
      <c r="I14194" s="24"/>
      <c r="J14194" s="24"/>
      <c r="K14194" s="24"/>
      <c r="L14194" s="24"/>
      <c r="M14194" s="24"/>
      <c r="N14194" s="24"/>
      <c r="O14194" s="24"/>
      <c r="P14194" s="24"/>
      <c r="Q14194" s="24"/>
      <c r="R14194" s="24"/>
      <c r="S14194" s="24"/>
      <c r="T14194" s="24"/>
      <c r="U14194" s="24"/>
      <c r="V14194" s="24"/>
      <c r="W14194" s="24"/>
      <c r="X14194" s="24"/>
      <c r="Y14194" s="24"/>
      <c r="Z14194" s="24"/>
      <c r="AA14194" s="24"/>
    </row>
    <row r="14195">
      <c r="A14195" s="24"/>
      <c r="B14195" s="25"/>
      <c r="C14195" s="24"/>
      <c r="D14195" s="26"/>
      <c r="E14195" s="24"/>
      <c r="F14195" s="24"/>
      <c r="G14195" s="24"/>
      <c r="H14195" s="24"/>
      <c r="I14195" s="24"/>
      <c r="J14195" s="24"/>
      <c r="K14195" s="24"/>
      <c r="L14195" s="24"/>
      <c r="M14195" s="24"/>
      <c r="N14195" s="24"/>
      <c r="O14195" s="24"/>
      <c r="P14195" s="24"/>
      <c r="Q14195" s="24"/>
      <c r="R14195" s="24"/>
      <c r="S14195" s="24"/>
      <c r="T14195" s="24"/>
      <c r="U14195" s="24"/>
      <c r="V14195" s="24"/>
      <c r="W14195" s="24"/>
      <c r="X14195" s="24"/>
      <c r="Y14195" s="24"/>
      <c r="Z14195" s="24"/>
      <c r="AA14195" s="24"/>
    </row>
    <row r="14196">
      <c r="A14196" s="24"/>
      <c r="B14196" s="25"/>
      <c r="C14196" s="24"/>
      <c r="D14196" s="26"/>
      <c r="E14196" s="24"/>
      <c r="F14196" s="24"/>
      <c r="G14196" s="24"/>
      <c r="H14196" s="24"/>
      <c r="I14196" s="24"/>
      <c r="J14196" s="24"/>
      <c r="K14196" s="24"/>
      <c r="L14196" s="24"/>
      <c r="M14196" s="24"/>
      <c r="N14196" s="24"/>
      <c r="O14196" s="24"/>
      <c r="P14196" s="24"/>
      <c r="Q14196" s="24"/>
      <c r="R14196" s="24"/>
      <c r="S14196" s="24"/>
      <c r="T14196" s="24"/>
      <c r="U14196" s="24"/>
      <c r="V14196" s="24"/>
      <c r="W14196" s="24"/>
      <c r="X14196" s="24"/>
      <c r="Y14196" s="24"/>
      <c r="Z14196" s="24"/>
      <c r="AA14196" s="24"/>
    </row>
    <row r="14197">
      <c r="A14197" s="24"/>
      <c r="B14197" s="25"/>
      <c r="C14197" s="24"/>
      <c r="D14197" s="26"/>
      <c r="E14197" s="24"/>
      <c r="F14197" s="24"/>
      <c r="G14197" s="24"/>
      <c r="H14197" s="24"/>
      <c r="I14197" s="24"/>
      <c r="J14197" s="24"/>
      <c r="K14197" s="24"/>
      <c r="L14197" s="24"/>
      <c r="M14197" s="24"/>
      <c r="N14197" s="24"/>
      <c r="O14197" s="24"/>
      <c r="P14197" s="24"/>
      <c r="Q14197" s="24"/>
      <c r="R14197" s="24"/>
      <c r="S14197" s="24"/>
      <c r="T14197" s="24"/>
      <c r="U14197" s="24"/>
      <c r="V14197" s="24"/>
      <c r="W14197" s="24"/>
      <c r="X14197" s="24"/>
      <c r="Y14197" s="24"/>
      <c r="Z14197" s="24"/>
      <c r="AA14197" s="24"/>
    </row>
    <row r="14198">
      <c r="A14198" s="24"/>
      <c r="B14198" s="25"/>
      <c r="C14198" s="24"/>
      <c r="D14198" s="26"/>
      <c r="E14198" s="24"/>
      <c r="F14198" s="24"/>
      <c r="G14198" s="24"/>
      <c r="H14198" s="24"/>
      <c r="I14198" s="24"/>
      <c r="J14198" s="24"/>
      <c r="K14198" s="24"/>
      <c r="L14198" s="24"/>
      <c r="M14198" s="24"/>
      <c r="N14198" s="24"/>
      <c r="O14198" s="24"/>
      <c r="P14198" s="24"/>
      <c r="Q14198" s="24"/>
      <c r="R14198" s="24"/>
      <c r="S14198" s="24"/>
      <c r="T14198" s="24"/>
      <c r="U14198" s="24"/>
      <c r="V14198" s="24"/>
      <c r="W14198" s="24"/>
      <c r="X14198" s="24"/>
      <c r="Y14198" s="24"/>
      <c r="Z14198" s="24"/>
      <c r="AA14198" s="24"/>
    </row>
    <row r="14199">
      <c r="A14199" s="24"/>
      <c r="B14199" s="25"/>
      <c r="C14199" s="24"/>
      <c r="D14199" s="26"/>
      <c r="E14199" s="24"/>
      <c r="F14199" s="24"/>
      <c r="G14199" s="24"/>
      <c r="H14199" s="24"/>
      <c r="I14199" s="24"/>
      <c r="J14199" s="24"/>
      <c r="K14199" s="24"/>
      <c r="L14199" s="24"/>
      <c r="M14199" s="24"/>
      <c r="N14199" s="24"/>
      <c r="O14199" s="24"/>
      <c r="P14199" s="24"/>
      <c r="Q14199" s="24"/>
      <c r="R14199" s="24"/>
      <c r="S14199" s="24"/>
      <c r="T14199" s="24"/>
      <c r="U14199" s="24"/>
      <c r="V14199" s="24"/>
      <c r="W14199" s="24"/>
      <c r="X14199" s="24"/>
      <c r="Y14199" s="24"/>
      <c r="Z14199" s="24"/>
      <c r="AA14199" s="24"/>
    </row>
    <row r="14200">
      <c r="A14200" s="24"/>
      <c r="B14200" s="25"/>
      <c r="C14200" s="24"/>
      <c r="D14200" s="26"/>
      <c r="E14200" s="24"/>
      <c r="F14200" s="24"/>
      <c r="G14200" s="24"/>
      <c r="H14200" s="24"/>
      <c r="I14200" s="24"/>
      <c r="J14200" s="24"/>
      <c r="K14200" s="24"/>
      <c r="L14200" s="24"/>
      <c r="M14200" s="24"/>
      <c r="N14200" s="24"/>
      <c r="O14200" s="24"/>
      <c r="P14200" s="24"/>
      <c r="Q14200" s="24"/>
      <c r="R14200" s="24"/>
      <c r="S14200" s="24"/>
      <c r="T14200" s="24"/>
      <c r="U14200" s="24"/>
      <c r="V14200" s="24"/>
      <c r="W14200" s="24"/>
      <c r="X14200" s="24"/>
      <c r="Y14200" s="24"/>
      <c r="Z14200" s="24"/>
      <c r="AA14200" s="24"/>
    </row>
    <row r="14201">
      <c r="A14201" s="24"/>
      <c r="B14201" s="25"/>
      <c r="C14201" s="24"/>
      <c r="D14201" s="26"/>
      <c r="E14201" s="24"/>
      <c r="F14201" s="24"/>
      <c r="G14201" s="24"/>
      <c r="H14201" s="24"/>
      <c r="I14201" s="24"/>
      <c r="J14201" s="24"/>
      <c r="K14201" s="24"/>
      <c r="L14201" s="24"/>
      <c r="M14201" s="24"/>
      <c r="N14201" s="24"/>
      <c r="O14201" s="24"/>
      <c r="P14201" s="24"/>
      <c r="Q14201" s="24"/>
      <c r="R14201" s="24"/>
      <c r="S14201" s="24"/>
      <c r="T14201" s="24"/>
      <c r="U14201" s="24"/>
      <c r="V14201" s="24"/>
      <c r="W14201" s="24"/>
      <c r="X14201" s="24"/>
      <c r="Y14201" s="24"/>
      <c r="Z14201" s="24"/>
      <c r="AA14201" s="24"/>
    </row>
    <row r="14202">
      <c r="A14202" s="24"/>
      <c r="B14202" s="25"/>
      <c r="C14202" s="24"/>
      <c r="D14202" s="26"/>
      <c r="E14202" s="24"/>
      <c r="F14202" s="24"/>
      <c r="G14202" s="24"/>
      <c r="H14202" s="24"/>
      <c r="I14202" s="24"/>
      <c r="J14202" s="24"/>
      <c r="K14202" s="24"/>
      <c r="L14202" s="24"/>
      <c r="M14202" s="24"/>
      <c r="N14202" s="24"/>
      <c r="O14202" s="24"/>
      <c r="P14202" s="24"/>
      <c r="Q14202" s="24"/>
      <c r="R14202" s="24"/>
      <c r="S14202" s="24"/>
      <c r="T14202" s="24"/>
      <c r="U14202" s="24"/>
      <c r="V14202" s="24"/>
      <c r="W14202" s="24"/>
      <c r="X14202" s="24"/>
      <c r="Y14202" s="24"/>
      <c r="Z14202" s="24"/>
      <c r="AA14202" s="24"/>
    </row>
    <row r="14203">
      <c r="A14203" s="24"/>
      <c r="B14203" s="25"/>
      <c r="C14203" s="24"/>
      <c r="D14203" s="26"/>
      <c r="E14203" s="24"/>
      <c r="F14203" s="24"/>
      <c r="G14203" s="24"/>
      <c r="H14203" s="24"/>
      <c r="I14203" s="24"/>
      <c r="J14203" s="24"/>
      <c r="K14203" s="24"/>
      <c r="L14203" s="24"/>
      <c r="M14203" s="24"/>
      <c r="N14203" s="24"/>
      <c r="O14203" s="24"/>
      <c r="P14203" s="24"/>
      <c r="Q14203" s="24"/>
      <c r="R14203" s="24"/>
      <c r="S14203" s="24"/>
      <c r="T14203" s="24"/>
      <c r="U14203" s="24"/>
      <c r="V14203" s="24"/>
      <c r="W14203" s="24"/>
      <c r="X14203" s="24"/>
      <c r="Y14203" s="24"/>
      <c r="Z14203" s="24"/>
      <c r="AA14203" s="24"/>
    </row>
    <row r="14204">
      <c r="A14204" s="24"/>
      <c r="B14204" s="25"/>
      <c r="C14204" s="24"/>
      <c r="D14204" s="26"/>
      <c r="E14204" s="24"/>
      <c r="F14204" s="24"/>
      <c r="G14204" s="24"/>
      <c r="H14204" s="24"/>
      <c r="I14204" s="24"/>
      <c r="J14204" s="24"/>
      <c r="K14204" s="24"/>
      <c r="L14204" s="24"/>
      <c r="M14204" s="24"/>
      <c r="N14204" s="24"/>
      <c r="O14204" s="24"/>
      <c r="P14204" s="24"/>
      <c r="Q14204" s="24"/>
      <c r="R14204" s="24"/>
      <c r="S14204" s="24"/>
      <c r="T14204" s="24"/>
      <c r="U14204" s="24"/>
      <c r="V14204" s="24"/>
      <c r="W14204" s="24"/>
      <c r="X14204" s="24"/>
      <c r="Y14204" s="24"/>
      <c r="Z14204" s="24"/>
      <c r="AA14204" s="24"/>
    </row>
    <row r="14205">
      <c r="A14205" s="24"/>
      <c r="B14205" s="25"/>
      <c r="C14205" s="24"/>
      <c r="D14205" s="26"/>
      <c r="E14205" s="24"/>
      <c r="F14205" s="24"/>
      <c r="G14205" s="24"/>
      <c r="H14205" s="24"/>
      <c r="I14205" s="24"/>
      <c r="J14205" s="24"/>
      <c r="K14205" s="24"/>
      <c r="L14205" s="24"/>
      <c r="M14205" s="24"/>
      <c r="N14205" s="24"/>
      <c r="O14205" s="24"/>
      <c r="P14205" s="24"/>
      <c r="Q14205" s="24"/>
      <c r="R14205" s="24"/>
      <c r="S14205" s="24"/>
      <c r="T14205" s="24"/>
      <c r="U14205" s="24"/>
      <c r="V14205" s="24"/>
      <c r="W14205" s="24"/>
      <c r="X14205" s="24"/>
      <c r="Y14205" s="24"/>
      <c r="Z14205" s="24"/>
      <c r="AA14205" s="24"/>
    </row>
    <row r="14206">
      <c r="A14206" s="24"/>
      <c r="B14206" s="25"/>
      <c r="C14206" s="24"/>
      <c r="D14206" s="26"/>
      <c r="E14206" s="24"/>
      <c r="F14206" s="24"/>
      <c r="G14206" s="24"/>
      <c r="H14206" s="24"/>
      <c r="I14206" s="24"/>
      <c r="J14206" s="24"/>
      <c r="K14206" s="24"/>
      <c r="L14206" s="24"/>
      <c r="M14206" s="24"/>
      <c r="N14206" s="24"/>
      <c r="O14206" s="24"/>
      <c r="P14206" s="24"/>
      <c r="Q14206" s="24"/>
      <c r="R14206" s="24"/>
      <c r="S14206" s="24"/>
      <c r="T14206" s="24"/>
      <c r="U14206" s="24"/>
      <c r="V14206" s="24"/>
      <c r="W14206" s="24"/>
      <c r="X14206" s="24"/>
      <c r="Y14206" s="24"/>
      <c r="Z14206" s="24"/>
      <c r="AA14206" s="24"/>
    </row>
    <row r="14207">
      <c r="A14207" s="24"/>
      <c r="B14207" s="25"/>
      <c r="C14207" s="24"/>
      <c r="D14207" s="26"/>
      <c r="E14207" s="24"/>
      <c r="F14207" s="24"/>
      <c r="G14207" s="24"/>
      <c r="H14207" s="24"/>
      <c r="I14207" s="24"/>
      <c r="J14207" s="24"/>
      <c r="K14207" s="24"/>
      <c r="L14207" s="24"/>
      <c r="M14207" s="24"/>
      <c r="N14207" s="24"/>
      <c r="O14207" s="24"/>
      <c r="P14207" s="24"/>
      <c r="Q14207" s="24"/>
      <c r="R14207" s="24"/>
      <c r="S14207" s="24"/>
      <c r="T14207" s="24"/>
      <c r="U14207" s="24"/>
      <c r="V14207" s="24"/>
      <c r="W14207" s="24"/>
      <c r="X14207" s="24"/>
      <c r="Y14207" s="24"/>
      <c r="Z14207" s="24"/>
      <c r="AA14207" s="24"/>
    </row>
    <row r="14208">
      <c r="A14208" s="24"/>
      <c r="B14208" s="25"/>
      <c r="C14208" s="24"/>
      <c r="D14208" s="26"/>
      <c r="E14208" s="24"/>
      <c r="F14208" s="24"/>
      <c r="G14208" s="24"/>
      <c r="H14208" s="24"/>
      <c r="I14208" s="24"/>
      <c r="J14208" s="24"/>
      <c r="K14208" s="24"/>
      <c r="L14208" s="24"/>
      <c r="M14208" s="24"/>
      <c r="N14208" s="24"/>
      <c r="O14208" s="24"/>
      <c r="P14208" s="24"/>
      <c r="Q14208" s="24"/>
      <c r="R14208" s="24"/>
      <c r="S14208" s="24"/>
      <c r="T14208" s="24"/>
      <c r="U14208" s="24"/>
      <c r="V14208" s="24"/>
      <c r="W14208" s="24"/>
      <c r="X14208" s="24"/>
      <c r="Y14208" s="24"/>
      <c r="Z14208" s="24"/>
      <c r="AA14208" s="24"/>
    </row>
    <row r="14209">
      <c r="A14209" s="24"/>
      <c r="B14209" s="25"/>
      <c r="C14209" s="24"/>
      <c r="D14209" s="26"/>
      <c r="E14209" s="24"/>
      <c r="F14209" s="24"/>
      <c r="G14209" s="24"/>
      <c r="H14209" s="24"/>
      <c r="I14209" s="24"/>
      <c r="J14209" s="24"/>
      <c r="K14209" s="24"/>
      <c r="L14209" s="24"/>
      <c r="M14209" s="24"/>
      <c r="N14209" s="24"/>
      <c r="O14209" s="24"/>
      <c r="P14209" s="24"/>
      <c r="Q14209" s="24"/>
      <c r="R14209" s="24"/>
      <c r="S14209" s="24"/>
      <c r="T14209" s="24"/>
      <c r="U14209" s="24"/>
      <c r="V14209" s="24"/>
      <c r="W14209" s="24"/>
      <c r="X14209" s="24"/>
      <c r="Y14209" s="24"/>
      <c r="Z14209" s="24"/>
      <c r="AA14209" s="24"/>
    </row>
    <row r="14210">
      <c r="A14210" s="24"/>
      <c r="B14210" s="25"/>
      <c r="C14210" s="24"/>
      <c r="D14210" s="26"/>
      <c r="E14210" s="24"/>
      <c r="F14210" s="24"/>
      <c r="G14210" s="24"/>
      <c r="H14210" s="24"/>
      <c r="I14210" s="24"/>
      <c r="J14210" s="24"/>
      <c r="K14210" s="24"/>
      <c r="L14210" s="24"/>
      <c r="M14210" s="24"/>
      <c r="N14210" s="24"/>
      <c r="O14210" s="24"/>
      <c r="P14210" s="24"/>
      <c r="Q14210" s="24"/>
      <c r="R14210" s="24"/>
      <c r="S14210" s="24"/>
      <c r="T14210" s="24"/>
      <c r="U14210" s="24"/>
      <c r="V14210" s="24"/>
      <c r="W14210" s="24"/>
      <c r="X14210" s="24"/>
      <c r="Y14210" s="24"/>
      <c r="Z14210" s="24"/>
      <c r="AA14210" s="24"/>
    </row>
    <row r="14211">
      <c r="A14211" s="24"/>
      <c r="B14211" s="25"/>
      <c r="C14211" s="24"/>
      <c r="D14211" s="26"/>
      <c r="E14211" s="24"/>
      <c r="F14211" s="24"/>
      <c r="G14211" s="24"/>
      <c r="H14211" s="24"/>
      <c r="I14211" s="24"/>
      <c r="J14211" s="24"/>
      <c r="K14211" s="24"/>
      <c r="L14211" s="24"/>
      <c r="M14211" s="24"/>
      <c r="N14211" s="24"/>
      <c r="O14211" s="24"/>
      <c r="P14211" s="24"/>
      <c r="Q14211" s="24"/>
      <c r="R14211" s="24"/>
      <c r="S14211" s="24"/>
      <c r="T14211" s="24"/>
      <c r="U14211" s="24"/>
      <c r="V14211" s="24"/>
      <c r="W14211" s="24"/>
      <c r="X14211" s="24"/>
      <c r="Y14211" s="24"/>
      <c r="Z14211" s="24"/>
      <c r="AA14211" s="24"/>
    </row>
    <row r="14212">
      <c r="A14212" s="24"/>
      <c r="B14212" s="25"/>
      <c r="C14212" s="24"/>
      <c r="D14212" s="26"/>
      <c r="E14212" s="24"/>
      <c r="F14212" s="24"/>
      <c r="G14212" s="24"/>
      <c r="H14212" s="24"/>
      <c r="I14212" s="24"/>
      <c r="J14212" s="24"/>
      <c r="K14212" s="24"/>
      <c r="L14212" s="24"/>
      <c r="M14212" s="24"/>
      <c r="N14212" s="24"/>
      <c r="O14212" s="24"/>
      <c r="P14212" s="24"/>
      <c r="Q14212" s="24"/>
      <c r="R14212" s="24"/>
      <c r="S14212" s="24"/>
      <c r="T14212" s="24"/>
      <c r="U14212" s="24"/>
      <c r="V14212" s="24"/>
      <c r="W14212" s="24"/>
      <c r="X14212" s="24"/>
      <c r="Y14212" s="24"/>
      <c r="Z14212" s="24"/>
      <c r="AA14212" s="24"/>
    </row>
    <row r="14213">
      <c r="A14213" s="24"/>
      <c r="B14213" s="25"/>
      <c r="C14213" s="24"/>
      <c r="D14213" s="26"/>
      <c r="E14213" s="24"/>
      <c r="F14213" s="24"/>
      <c r="G14213" s="24"/>
      <c r="H14213" s="24"/>
      <c r="I14213" s="24"/>
      <c r="J14213" s="24"/>
      <c r="K14213" s="24"/>
      <c r="L14213" s="24"/>
      <c r="M14213" s="24"/>
      <c r="N14213" s="24"/>
      <c r="O14213" s="24"/>
      <c r="P14213" s="24"/>
      <c r="Q14213" s="24"/>
      <c r="R14213" s="24"/>
      <c r="S14213" s="24"/>
      <c r="T14213" s="24"/>
      <c r="U14213" s="24"/>
      <c r="V14213" s="24"/>
      <c r="W14213" s="24"/>
      <c r="X14213" s="24"/>
      <c r="Y14213" s="24"/>
      <c r="Z14213" s="24"/>
      <c r="AA14213" s="24"/>
    </row>
    <row r="14214">
      <c r="A14214" s="24"/>
      <c r="B14214" s="25"/>
      <c r="C14214" s="24"/>
      <c r="D14214" s="26"/>
      <c r="E14214" s="24"/>
      <c r="F14214" s="24"/>
      <c r="G14214" s="24"/>
      <c r="H14214" s="24"/>
      <c r="I14214" s="24"/>
      <c r="J14214" s="24"/>
      <c r="K14214" s="24"/>
      <c r="L14214" s="24"/>
      <c r="M14214" s="24"/>
      <c r="N14214" s="24"/>
      <c r="O14214" s="24"/>
      <c r="P14214" s="24"/>
      <c r="Q14214" s="24"/>
      <c r="R14214" s="24"/>
      <c r="S14214" s="24"/>
      <c r="T14214" s="24"/>
      <c r="U14214" s="24"/>
      <c r="V14214" s="24"/>
      <c r="W14214" s="24"/>
      <c r="X14214" s="24"/>
      <c r="Y14214" s="24"/>
      <c r="Z14214" s="24"/>
      <c r="AA14214" s="24"/>
    </row>
    <row r="14215">
      <c r="A14215" s="24"/>
      <c r="B14215" s="25"/>
      <c r="C14215" s="24"/>
      <c r="D14215" s="26"/>
      <c r="E14215" s="24"/>
      <c r="F14215" s="24"/>
      <c r="G14215" s="24"/>
      <c r="H14215" s="24"/>
      <c r="I14215" s="24"/>
      <c r="J14215" s="24"/>
      <c r="K14215" s="24"/>
      <c r="L14215" s="24"/>
      <c r="M14215" s="24"/>
      <c r="N14215" s="24"/>
      <c r="O14215" s="24"/>
      <c r="P14215" s="24"/>
      <c r="Q14215" s="24"/>
      <c r="R14215" s="24"/>
      <c r="S14215" s="24"/>
      <c r="T14215" s="24"/>
      <c r="U14215" s="24"/>
      <c r="V14215" s="24"/>
      <c r="W14215" s="24"/>
      <c r="X14215" s="24"/>
      <c r="Y14215" s="24"/>
      <c r="Z14215" s="24"/>
      <c r="AA14215" s="24"/>
    </row>
    <row r="14216">
      <c r="A14216" s="24"/>
      <c r="B14216" s="25"/>
      <c r="C14216" s="24"/>
      <c r="D14216" s="26"/>
      <c r="E14216" s="24"/>
      <c r="F14216" s="24"/>
      <c r="G14216" s="24"/>
      <c r="H14216" s="24"/>
      <c r="I14216" s="24"/>
      <c r="J14216" s="24"/>
      <c r="K14216" s="24"/>
      <c r="L14216" s="24"/>
      <c r="M14216" s="24"/>
      <c r="N14216" s="24"/>
      <c r="O14216" s="24"/>
      <c r="P14216" s="24"/>
      <c r="Q14216" s="24"/>
      <c r="R14216" s="24"/>
      <c r="S14216" s="24"/>
      <c r="T14216" s="24"/>
      <c r="U14216" s="24"/>
      <c r="V14216" s="24"/>
      <c r="W14216" s="24"/>
      <c r="X14216" s="24"/>
      <c r="Y14216" s="24"/>
      <c r="Z14216" s="24"/>
      <c r="AA14216" s="24"/>
    </row>
    <row r="14217">
      <c r="A14217" s="24"/>
      <c r="B14217" s="25"/>
      <c r="C14217" s="24"/>
      <c r="D14217" s="26"/>
      <c r="E14217" s="24"/>
      <c r="F14217" s="24"/>
      <c r="G14217" s="24"/>
      <c r="H14217" s="24"/>
      <c r="I14217" s="24"/>
      <c r="J14217" s="24"/>
      <c r="K14217" s="24"/>
      <c r="L14217" s="24"/>
      <c r="M14217" s="24"/>
      <c r="N14217" s="24"/>
      <c r="O14217" s="24"/>
      <c r="P14217" s="24"/>
      <c r="Q14217" s="24"/>
      <c r="R14217" s="24"/>
      <c r="S14217" s="24"/>
      <c r="T14217" s="24"/>
      <c r="U14217" s="24"/>
      <c r="V14217" s="24"/>
      <c r="W14217" s="24"/>
      <c r="X14217" s="24"/>
      <c r="Y14217" s="24"/>
      <c r="Z14217" s="24"/>
      <c r="AA14217" s="24"/>
    </row>
    <row r="14218">
      <c r="A14218" s="24"/>
      <c r="B14218" s="25"/>
      <c r="C14218" s="24"/>
      <c r="D14218" s="26"/>
      <c r="E14218" s="24"/>
      <c r="F14218" s="24"/>
      <c r="G14218" s="24"/>
      <c r="H14218" s="24"/>
      <c r="I14218" s="24"/>
      <c r="J14218" s="24"/>
      <c r="K14218" s="24"/>
      <c r="L14218" s="24"/>
      <c r="M14218" s="24"/>
      <c r="N14218" s="24"/>
      <c r="O14218" s="24"/>
      <c r="P14218" s="24"/>
      <c r="Q14218" s="24"/>
      <c r="R14218" s="24"/>
      <c r="S14218" s="24"/>
      <c r="T14218" s="24"/>
      <c r="U14218" s="24"/>
      <c r="V14218" s="24"/>
      <c r="W14218" s="24"/>
      <c r="X14218" s="24"/>
      <c r="Y14218" s="24"/>
      <c r="Z14218" s="24"/>
      <c r="AA14218" s="24"/>
    </row>
    <row r="14219">
      <c r="A14219" s="24"/>
      <c r="B14219" s="25"/>
      <c r="C14219" s="24"/>
      <c r="D14219" s="26"/>
      <c r="E14219" s="24"/>
      <c r="F14219" s="24"/>
      <c r="G14219" s="24"/>
      <c r="H14219" s="24"/>
      <c r="I14219" s="24"/>
      <c r="J14219" s="24"/>
      <c r="K14219" s="24"/>
      <c r="L14219" s="24"/>
      <c r="M14219" s="24"/>
      <c r="N14219" s="24"/>
      <c r="O14219" s="24"/>
      <c r="P14219" s="24"/>
      <c r="Q14219" s="24"/>
      <c r="R14219" s="24"/>
      <c r="S14219" s="24"/>
      <c r="T14219" s="24"/>
      <c r="U14219" s="24"/>
      <c r="V14219" s="24"/>
      <c r="W14219" s="24"/>
      <c r="X14219" s="24"/>
      <c r="Y14219" s="24"/>
      <c r="Z14219" s="24"/>
      <c r="AA14219" s="24"/>
    </row>
    <row r="14220">
      <c r="A14220" s="24"/>
      <c r="B14220" s="25"/>
      <c r="C14220" s="24"/>
      <c r="D14220" s="26"/>
      <c r="E14220" s="24"/>
      <c r="F14220" s="24"/>
      <c r="G14220" s="24"/>
      <c r="H14220" s="24"/>
      <c r="I14220" s="24"/>
      <c r="J14220" s="24"/>
      <c r="K14220" s="24"/>
      <c r="L14220" s="24"/>
      <c r="M14220" s="24"/>
      <c r="N14220" s="24"/>
      <c r="O14220" s="24"/>
      <c r="P14220" s="24"/>
      <c r="Q14220" s="24"/>
      <c r="R14220" s="24"/>
      <c r="S14220" s="24"/>
      <c r="T14220" s="24"/>
      <c r="U14220" s="24"/>
      <c r="V14220" s="24"/>
      <c r="W14220" s="24"/>
      <c r="X14220" s="24"/>
      <c r="Y14220" s="24"/>
      <c r="Z14220" s="24"/>
      <c r="AA14220" s="24"/>
    </row>
    <row r="14221">
      <c r="A14221" s="24"/>
      <c r="B14221" s="25"/>
      <c r="C14221" s="24"/>
      <c r="D14221" s="26"/>
      <c r="E14221" s="24"/>
      <c r="F14221" s="24"/>
      <c r="G14221" s="24"/>
      <c r="H14221" s="24"/>
      <c r="I14221" s="24"/>
      <c r="J14221" s="24"/>
      <c r="K14221" s="24"/>
      <c r="L14221" s="24"/>
      <c r="M14221" s="24"/>
      <c r="N14221" s="24"/>
      <c r="O14221" s="24"/>
      <c r="P14221" s="24"/>
      <c r="Q14221" s="24"/>
      <c r="R14221" s="24"/>
      <c r="S14221" s="24"/>
      <c r="T14221" s="24"/>
      <c r="U14221" s="24"/>
      <c r="V14221" s="24"/>
      <c r="W14221" s="24"/>
      <c r="X14221" s="24"/>
      <c r="Y14221" s="24"/>
      <c r="Z14221" s="24"/>
      <c r="AA14221" s="24"/>
    </row>
    <row r="14222">
      <c r="A14222" s="24"/>
      <c r="B14222" s="25"/>
      <c r="C14222" s="24"/>
      <c r="D14222" s="26"/>
      <c r="E14222" s="24"/>
      <c r="F14222" s="24"/>
      <c r="G14222" s="24"/>
      <c r="H14222" s="24"/>
      <c r="I14222" s="24"/>
      <c r="J14222" s="24"/>
      <c r="K14222" s="24"/>
      <c r="L14222" s="24"/>
      <c r="M14222" s="24"/>
      <c r="N14222" s="24"/>
      <c r="O14222" s="24"/>
      <c r="P14222" s="24"/>
      <c r="Q14222" s="24"/>
      <c r="R14222" s="24"/>
      <c r="S14222" s="24"/>
      <c r="T14222" s="24"/>
      <c r="U14222" s="24"/>
      <c r="V14222" s="24"/>
      <c r="W14222" s="24"/>
      <c r="X14222" s="24"/>
      <c r="Y14222" s="24"/>
      <c r="Z14222" s="24"/>
      <c r="AA14222" s="24"/>
    </row>
    <row r="14223">
      <c r="A14223" s="24"/>
      <c r="B14223" s="25"/>
      <c r="C14223" s="24"/>
      <c r="D14223" s="26"/>
      <c r="E14223" s="24"/>
      <c r="F14223" s="24"/>
      <c r="G14223" s="24"/>
      <c r="H14223" s="24"/>
      <c r="I14223" s="24"/>
      <c r="J14223" s="24"/>
      <c r="K14223" s="24"/>
      <c r="L14223" s="24"/>
      <c r="M14223" s="24"/>
      <c r="N14223" s="24"/>
      <c r="O14223" s="24"/>
      <c r="P14223" s="24"/>
      <c r="Q14223" s="24"/>
      <c r="R14223" s="24"/>
      <c r="S14223" s="24"/>
      <c r="T14223" s="24"/>
      <c r="U14223" s="24"/>
      <c r="V14223" s="24"/>
      <c r="W14223" s="24"/>
      <c r="X14223" s="24"/>
      <c r="Y14223" s="24"/>
      <c r="Z14223" s="24"/>
      <c r="AA14223" s="24"/>
    </row>
    <row r="14224">
      <c r="A14224" s="24"/>
      <c r="B14224" s="25"/>
      <c r="C14224" s="24"/>
      <c r="D14224" s="26"/>
      <c r="E14224" s="24"/>
      <c r="F14224" s="24"/>
      <c r="G14224" s="24"/>
      <c r="H14224" s="24"/>
      <c r="I14224" s="24"/>
      <c r="J14224" s="24"/>
      <c r="K14224" s="24"/>
      <c r="L14224" s="24"/>
      <c r="M14224" s="24"/>
      <c r="N14224" s="24"/>
      <c r="O14224" s="24"/>
      <c r="P14224" s="24"/>
      <c r="Q14224" s="24"/>
      <c r="R14224" s="24"/>
      <c r="S14224" s="24"/>
      <c r="T14224" s="24"/>
      <c r="U14224" s="24"/>
      <c r="V14224" s="24"/>
      <c r="W14224" s="24"/>
      <c r="X14224" s="24"/>
      <c r="Y14224" s="24"/>
      <c r="Z14224" s="24"/>
      <c r="AA14224" s="24"/>
    </row>
    <row r="14225">
      <c r="A14225" s="24"/>
      <c r="B14225" s="25"/>
      <c r="C14225" s="24"/>
      <c r="D14225" s="26"/>
      <c r="E14225" s="24"/>
      <c r="F14225" s="24"/>
      <c r="G14225" s="24"/>
      <c r="H14225" s="24"/>
      <c r="I14225" s="24"/>
      <c r="J14225" s="24"/>
      <c r="K14225" s="24"/>
      <c r="L14225" s="24"/>
      <c r="M14225" s="24"/>
      <c r="N14225" s="24"/>
      <c r="O14225" s="24"/>
      <c r="P14225" s="24"/>
      <c r="Q14225" s="24"/>
      <c r="R14225" s="24"/>
      <c r="S14225" s="24"/>
      <c r="T14225" s="24"/>
      <c r="U14225" s="24"/>
      <c r="V14225" s="24"/>
      <c r="W14225" s="24"/>
      <c r="X14225" s="24"/>
      <c r="Y14225" s="24"/>
      <c r="Z14225" s="24"/>
      <c r="AA14225" s="24"/>
    </row>
    <row r="14226">
      <c r="A14226" s="24"/>
      <c r="B14226" s="25"/>
      <c r="C14226" s="24"/>
      <c r="D14226" s="26"/>
      <c r="E14226" s="24"/>
      <c r="F14226" s="24"/>
      <c r="G14226" s="24"/>
      <c r="H14226" s="24"/>
      <c r="I14226" s="24"/>
      <c r="J14226" s="24"/>
      <c r="K14226" s="24"/>
      <c r="L14226" s="24"/>
      <c r="M14226" s="24"/>
      <c r="N14226" s="24"/>
      <c r="O14226" s="24"/>
      <c r="P14226" s="24"/>
      <c r="Q14226" s="24"/>
      <c r="R14226" s="24"/>
      <c r="S14226" s="24"/>
      <c r="T14226" s="24"/>
      <c r="U14226" s="24"/>
      <c r="V14226" s="24"/>
      <c r="W14226" s="24"/>
      <c r="X14226" s="24"/>
      <c r="Y14226" s="24"/>
      <c r="Z14226" s="24"/>
      <c r="AA14226" s="24"/>
    </row>
    <row r="14227">
      <c r="A14227" s="24"/>
      <c r="B14227" s="25"/>
      <c r="C14227" s="24"/>
      <c r="D14227" s="26"/>
      <c r="E14227" s="24"/>
      <c r="F14227" s="24"/>
      <c r="G14227" s="24"/>
      <c r="H14227" s="24"/>
      <c r="I14227" s="24"/>
      <c r="J14227" s="24"/>
      <c r="K14227" s="24"/>
      <c r="L14227" s="24"/>
      <c r="M14227" s="24"/>
      <c r="N14227" s="24"/>
      <c r="O14227" s="24"/>
      <c r="P14227" s="24"/>
      <c r="Q14227" s="24"/>
      <c r="R14227" s="24"/>
      <c r="S14227" s="24"/>
      <c r="T14227" s="24"/>
      <c r="U14227" s="24"/>
      <c r="V14227" s="24"/>
      <c r="W14227" s="24"/>
      <c r="X14227" s="24"/>
      <c r="Y14227" s="24"/>
      <c r="Z14227" s="24"/>
      <c r="AA14227" s="24"/>
    </row>
    <row r="14228">
      <c r="A14228" s="24"/>
      <c r="B14228" s="25"/>
      <c r="C14228" s="24"/>
      <c r="D14228" s="26"/>
      <c r="E14228" s="24"/>
      <c r="F14228" s="24"/>
      <c r="G14228" s="24"/>
      <c r="H14228" s="24"/>
      <c r="I14228" s="24"/>
      <c r="J14228" s="24"/>
      <c r="K14228" s="24"/>
      <c r="L14228" s="24"/>
      <c r="M14228" s="24"/>
      <c r="N14228" s="24"/>
      <c r="O14228" s="24"/>
      <c r="P14228" s="24"/>
      <c r="Q14228" s="24"/>
      <c r="R14228" s="24"/>
      <c r="S14228" s="24"/>
      <c r="T14228" s="24"/>
      <c r="U14228" s="24"/>
      <c r="V14228" s="24"/>
      <c r="W14228" s="24"/>
      <c r="X14228" s="24"/>
      <c r="Y14228" s="24"/>
      <c r="Z14228" s="24"/>
      <c r="AA14228" s="24"/>
    </row>
    <row r="14229">
      <c r="A14229" s="24"/>
      <c r="B14229" s="25"/>
      <c r="C14229" s="24"/>
      <c r="D14229" s="26"/>
      <c r="E14229" s="24"/>
      <c r="F14229" s="24"/>
      <c r="G14229" s="24"/>
      <c r="H14229" s="24"/>
      <c r="I14229" s="24"/>
      <c r="J14229" s="24"/>
      <c r="K14229" s="24"/>
      <c r="L14229" s="24"/>
      <c r="M14229" s="24"/>
      <c r="N14229" s="24"/>
      <c r="O14229" s="24"/>
      <c r="P14229" s="24"/>
      <c r="Q14229" s="24"/>
      <c r="R14229" s="24"/>
      <c r="S14229" s="24"/>
      <c r="T14229" s="24"/>
      <c r="U14229" s="24"/>
      <c r="V14229" s="24"/>
      <c r="W14229" s="24"/>
      <c r="X14229" s="24"/>
      <c r="Y14229" s="24"/>
      <c r="Z14229" s="24"/>
      <c r="AA14229" s="24"/>
    </row>
    <row r="14230">
      <c r="A14230" s="24"/>
      <c r="B14230" s="25"/>
      <c r="C14230" s="24"/>
      <c r="D14230" s="26"/>
      <c r="E14230" s="24"/>
      <c r="F14230" s="24"/>
      <c r="G14230" s="24"/>
      <c r="H14230" s="24"/>
      <c r="I14230" s="24"/>
      <c r="J14230" s="24"/>
      <c r="K14230" s="24"/>
      <c r="L14230" s="24"/>
      <c r="M14230" s="24"/>
      <c r="N14230" s="24"/>
      <c r="O14230" s="24"/>
      <c r="P14230" s="24"/>
      <c r="Q14230" s="24"/>
      <c r="R14230" s="24"/>
      <c r="S14230" s="24"/>
      <c r="T14230" s="24"/>
      <c r="U14230" s="24"/>
      <c r="V14230" s="24"/>
      <c r="W14230" s="24"/>
      <c r="X14230" s="24"/>
      <c r="Y14230" s="24"/>
      <c r="Z14230" s="24"/>
      <c r="AA14230" s="24"/>
    </row>
    <row r="14231">
      <c r="A14231" s="24"/>
      <c r="B14231" s="25"/>
      <c r="C14231" s="24"/>
      <c r="D14231" s="26"/>
      <c r="E14231" s="24"/>
      <c r="F14231" s="24"/>
      <c r="G14231" s="24"/>
      <c r="H14231" s="24"/>
      <c r="I14231" s="24"/>
      <c r="J14231" s="24"/>
      <c r="K14231" s="24"/>
      <c r="L14231" s="24"/>
      <c r="M14231" s="24"/>
      <c r="N14231" s="24"/>
      <c r="O14231" s="24"/>
      <c r="P14231" s="24"/>
      <c r="Q14231" s="24"/>
      <c r="R14231" s="24"/>
      <c r="S14231" s="24"/>
      <c r="T14231" s="24"/>
      <c r="U14231" s="24"/>
      <c r="V14231" s="24"/>
      <c r="W14231" s="24"/>
      <c r="X14231" s="24"/>
      <c r="Y14231" s="24"/>
      <c r="Z14231" s="24"/>
      <c r="AA14231" s="24"/>
    </row>
    <row r="14232">
      <c r="A14232" s="24"/>
      <c r="B14232" s="25"/>
      <c r="C14232" s="24"/>
      <c r="D14232" s="26"/>
      <c r="E14232" s="24"/>
      <c r="F14232" s="24"/>
      <c r="G14232" s="24"/>
      <c r="H14232" s="24"/>
      <c r="I14232" s="24"/>
      <c r="J14232" s="24"/>
      <c r="K14232" s="24"/>
      <c r="L14232" s="24"/>
      <c r="M14232" s="24"/>
      <c r="N14232" s="24"/>
      <c r="O14232" s="24"/>
      <c r="P14232" s="24"/>
      <c r="Q14232" s="24"/>
      <c r="R14232" s="24"/>
      <c r="S14232" s="24"/>
      <c r="T14232" s="24"/>
      <c r="U14232" s="24"/>
      <c r="V14232" s="24"/>
      <c r="W14232" s="24"/>
      <c r="X14232" s="24"/>
      <c r="Y14232" s="24"/>
      <c r="Z14232" s="24"/>
      <c r="AA14232" s="24"/>
    </row>
    <row r="14233">
      <c r="A14233" s="24"/>
      <c r="B14233" s="25"/>
      <c r="C14233" s="24"/>
      <c r="D14233" s="26"/>
      <c r="E14233" s="24"/>
      <c r="F14233" s="24"/>
      <c r="G14233" s="24"/>
      <c r="H14233" s="24"/>
      <c r="I14233" s="24"/>
      <c r="J14233" s="24"/>
      <c r="K14233" s="24"/>
      <c r="L14233" s="24"/>
      <c r="M14233" s="24"/>
      <c r="N14233" s="24"/>
      <c r="O14233" s="24"/>
      <c r="P14233" s="24"/>
      <c r="Q14233" s="24"/>
      <c r="R14233" s="24"/>
      <c r="S14233" s="24"/>
      <c r="T14233" s="24"/>
      <c r="U14233" s="24"/>
      <c r="V14233" s="24"/>
      <c r="W14233" s="24"/>
      <c r="X14233" s="24"/>
      <c r="Y14233" s="24"/>
      <c r="Z14233" s="24"/>
      <c r="AA14233" s="24"/>
    </row>
    <row r="14234">
      <c r="A14234" s="24"/>
      <c r="B14234" s="25"/>
      <c r="C14234" s="24"/>
      <c r="D14234" s="26"/>
      <c r="E14234" s="24"/>
      <c r="F14234" s="24"/>
      <c r="G14234" s="24"/>
      <c r="H14234" s="24"/>
      <c r="I14234" s="24"/>
      <c r="J14234" s="24"/>
      <c r="K14234" s="24"/>
      <c r="L14234" s="24"/>
      <c r="M14234" s="24"/>
      <c r="N14234" s="24"/>
      <c r="O14234" s="24"/>
      <c r="P14234" s="24"/>
      <c r="Q14234" s="24"/>
      <c r="R14234" s="24"/>
      <c r="S14234" s="24"/>
      <c r="T14234" s="24"/>
      <c r="U14234" s="24"/>
      <c r="V14234" s="24"/>
      <c r="W14234" s="24"/>
      <c r="X14234" s="24"/>
      <c r="Y14234" s="24"/>
      <c r="Z14234" s="24"/>
      <c r="AA14234" s="24"/>
    </row>
    <row r="14235">
      <c r="A14235" s="24"/>
      <c r="B14235" s="25"/>
      <c r="C14235" s="24"/>
      <c r="D14235" s="26"/>
      <c r="E14235" s="24"/>
      <c r="F14235" s="24"/>
      <c r="G14235" s="24"/>
      <c r="H14235" s="24"/>
      <c r="I14235" s="24"/>
      <c r="J14235" s="24"/>
      <c r="K14235" s="24"/>
      <c r="L14235" s="24"/>
      <c r="M14235" s="24"/>
      <c r="N14235" s="24"/>
      <c r="O14235" s="24"/>
      <c r="P14235" s="24"/>
      <c r="Q14235" s="24"/>
      <c r="R14235" s="24"/>
      <c r="S14235" s="24"/>
      <c r="T14235" s="24"/>
      <c r="U14235" s="24"/>
      <c r="V14235" s="24"/>
      <c r="W14235" s="24"/>
      <c r="X14235" s="24"/>
      <c r="Y14235" s="24"/>
      <c r="Z14235" s="24"/>
      <c r="AA14235" s="24"/>
    </row>
    <row r="14236">
      <c r="A14236" s="24"/>
      <c r="B14236" s="25"/>
      <c r="C14236" s="24"/>
      <c r="D14236" s="26"/>
      <c r="E14236" s="24"/>
      <c r="F14236" s="24"/>
      <c r="G14236" s="24"/>
      <c r="H14236" s="24"/>
      <c r="I14236" s="24"/>
      <c r="J14236" s="24"/>
      <c r="K14236" s="24"/>
      <c r="L14236" s="24"/>
      <c r="M14236" s="24"/>
      <c r="N14236" s="24"/>
      <c r="O14236" s="24"/>
      <c r="P14236" s="24"/>
      <c r="Q14236" s="24"/>
      <c r="R14236" s="24"/>
      <c r="S14236" s="24"/>
      <c r="T14236" s="24"/>
      <c r="U14236" s="24"/>
      <c r="V14236" s="24"/>
      <c r="W14236" s="24"/>
      <c r="X14236" s="24"/>
      <c r="Y14236" s="24"/>
      <c r="Z14236" s="24"/>
      <c r="AA14236" s="24"/>
    </row>
    <row r="14237">
      <c r="A14237" s="24"/>
      <c r="B14237" s="25"/>
      <c r="C14237" s="24"/>
      <c r="D14237" s="26"/>
      <c r="E14237" s="24"/>
      <c r="F14237" s="24"/>
      <c r="G14237" s="24"/>
      <c r="H14237" s="24"/>
      <c r="I14237" s="24"/>
      <c r="J14237" s="24"/>
      <c r="K14237" s="24"/>
      <c r="L14237" s="24"/>
      <c r="M14237" s="24"/>
      <c r="N14237" s="24"/>
      <c r="O14237" s="24"/>
      <c r="P14237" s="24"/>
      <c r="Q14237" s="24"/>
      <c r="R14237" s="24"/>
      <c r="S14237" s="24"/>
      <c r="T14237" s="24"/>
      <c r="U14237" s="24"/>
      <c r="V14237" s="24"/>
      <c r="W14237" s="24"/>
      <c r="X14237" s="24"/>
      <c r="Y14237" s="24"/>
      <c r="Z14237" s="24"/>
      <c r="AA14237" s="24"/>
    </row>
    <row r="14238">
      <c r="A14238" s="24"/>
      <c r="B14238" s="25"/>
      <c r="C14238" s="24"/>
      <c r="D14238" s="26"/>
      <c r="E14238" s="24"/>
      <c r="F14238" s="24"/>
      <c r="G14238" s="24"/>
      <c r="H14238" s="24"/>
      <c r="I14238" s="24"/>
      <c r="J14238" s="24"/>
      <c r="K14238" s="24"/>
      <c r="L14238" s="24"/>
      <c r="M14238" s="24"/>
      <c r="N14238" s="24"/>
      <c r="O14238" s="24"/>
      <c r="P14238" s="24"/>
      <c r="Q14238" s="24"/>
      <c r="R14238" s="24"/>
      <c r="S14238" s="24"/>
      <c r="T14238" s="24"/>
      <c r="U14238" s="24"/>
      <c r="V14238" s="24"/>
      <c r="W14238" s="24"/>
      <c r="X14238" s="24"/>
      <c r="Y14238" s="24"/>
      <c r="Z14238" s="24"/>
      <c r="AA14238" s="24"/>
    </row>
    <row r="14239">
      <c r="A14239" s="24"/>
      <c r="B14239" s="25"/>
      <c r="C14239" s="24"/>
      <c r="D14239" s="26"/>
      <c r="E14239" s="24"/>
      <c r="F14239" s="24"/>
      <c r="G14239" s="24"/>
      <c r="H14239" s="24"/>
      <c r="I14239" s="24"/>
      <c r="J14239" s="24"/>
      <c r="K14239" s="24"/>
      <c r="L14239" s="24"/>
      <c r="M14239" s="24"/>
      <c r="N14239" s="24"/>
      <c r="O14239" s="24"/>
      <c r="P14239" s="24"/>
      <c r="Q14239" s="24"/>
      <c r="R14239" s="24"/>
      <c r="S14239" s="24"/>
      <c r="T14239" s="24"/>
      <c r="U14239" s="24"/>
      <c r="V14239" s="24"/>
      <c r="W14239" s="24"/>
      <c r="X14239" s="24"/>
      <c r="Y14239" s="24"/>
      <c r="Z14239" s="24"/>
      <c r="AA14239" s="24"/>
    </row>
    <row r="14240">
      <c r="A14240" s="24"/>
      <c r="B14240" s="25"/>
      <c r="C14240" s="24"/>
      <c r="D14240" s="26"/>
      <c r="E14240" s="24"/>
      <c r="F14240" s="24"/>
      <c r="G14240" s="24"/>
      <c r="H14240" s="24"/>
      <c r="I14240" s="24"/>
      <c r="J14240" s="24"/>
      <c r="K14240" s="24"/>
      <c r="L14240" s="24"/>
      <c r="M14240" s="24"/>
      <c r="N14240" s="24"/>
      <c r="O14240" s="24"/>
      <c r="P14240" s="24"/>
      <c r="Q14240" s="24"/>
      <c r="R14240" s="24"/>
      <c r="S14240" s="24"/>
      <c r="T14240" s="24"/>
      <c r="U14240" s="24"/>
      <c r="V14240" s="24"/>
      <c r="W14240" s="24"/>
      <c r="X14240" s="24"/>
      <c r="Y14240" s="24"/>
      <c r="Z14240" s="24"/>
      <c r="AA14240" s="24"/>
    </row>
    <row r="14241">
      <c r="A14241" s="24"/>
      <c r="B14241" s="25"/>
      <c r="C14241" s="24"/>
      <c r="D14241" s="26"/>
      <c r="E14241" s="24"/>
      <c r="F14241" s="24"/>
      <c r="G14241" s="24"/>
      <c r="H14241" s="24"/>
      <c r="I14241" s="24"/>
      <c r="J14241" s="24"/>
      <c r="K14241" s="24"/>
      <c r="L14241" s="24"/>
      <c r="M14241" s="24"/>
      <c r="N14241" s="24"/>
      <c r="O14241" s="24"/>
      <c r="P14241" s="24"/>
      <c r="Q14241" s="24"/>
      <c r="R14241" s="24"/>
      <c r="S14241" s="24"/>
      <c r="T14241" s="24"/>
      <c r="U14241" s="24"/>
      <c r="V14241" s="24"/>
      <c r="W14241" s="24"/>
      <c r="X14241" s="24"/>
      <c r="Y14241" s="24"/>
      <c r="Z14241" s="24"/>
      <c r="AA14241" s="24"/>
    </row>
    <row r="14242">
      <c r="A14242" s="24"/>
      <c r="B14242" s="25"/>
      <c r="C14242" s="24"/>
      <c r="D14242" s="26"/>
      <c r="E14242" s="24"/>
      <c r="F14242" s="24"/>
      <c r="G14242" s="24"/>
      <c r="H14242" s="24"/>
      <c r="I14242" s="24"/>
      <c r="J14242" s="24"/>
      <c r="K14242" s="24"/>
      <c r="L14242" s="24"/>
      <c r="M14242" s="24"/>
      <c r="N14242" s="24"/>
      <c r="O14242" s="24"/>
      <c r="P14242" s="24"/>
      <c r="Q14242" s="24"/>
      <c r="R14242" s="24"/>
      <c r="S14242" s="24"/>
      <c r="T14242" s="24"/>
      <c r="U14242" s="24"/>
      <c r="V14242" s="24"/>
      <c r="W14242" s="24"/>
      <c r="X14242" s="24"/>
      <c r="Y14242" s="24"/>
      <c r="Z14242" s="24"/>
      <c r="AA14242" s="24"/>
    </row>
    <row r="14243">
      <c r="A14243" s="24"/>
      <c r="B14243" s="25"/>
      <c r="C14243" s="24"/>
      <c r="D14243" s="26"/>
      <c r="E14243" s="24"/>
      <c r="F14243" s="24"/>
      <c r="G14243" s="24"/>
      <c r="H14243" s="24"/>
      <c r="I14243" s="24"/>
      <c r="J14243" s="24"/>
      <c r="K14243" s="24"/>
      <c r="L14243" s="24"/>
      <c r="M14243" s="24"/>
      <c r="N14243" s="24"/>
      <c r="O14243" s="24"/>
      <c r="P14243" s="24"/>
      <c r="Q14243" s="24"/>
      <c r="R14243" s="24"/>
      <c r="S14243" s="24"/>
      <c r="T14243" s="24"/>
      <c r="U14243" s="24"/>
      <c r="V14243" s="24"/>
      <c r="W14243" s="24"/>
      <c r="X14243" s="24"/>
      <c r="Y14243" s="24"/>
      <c r="Z14243" s="24"/>
      <c r="AA14243" s="24"/>
    </row>
    <row r="14244">
      <c r="A14244" s="24"/>
      <c r="B14244" s="25"/>
      <c r="C14244" s="24"/>
      <c r="D14244" s="26"/>
      <c r="E14244" s="24"/>
      <c r="F14244" s="24"/>
      <c r="G14244" s="24"/>
      <c r="H14244" s="24"/>
      <c r="I14244" s="24"/>
      <c r="J14244" s="24"/>
      <c r="K14244" s="24"/>
      <c r="L14244" s="24"/>
      <c r="M14244" s="24"/>
      <c r="N14244" s="24"/>
      <c r="O14244" s="24"/>
      <c r="P14244" s="24"/>
      <c r="Q14244" s="24"/>
      <c r="R14244" s="24"/>
      <c r="S14244" s="24"/>
      <c r="T14244" s="24"/>
      <c r="U14244" s="24"/>
      <c r="V14244" s="24"/>
      <c r="W14244" s="24"/>
      <c r="X14244" s="24"/>
      <c r="Y14244" s="24"/>
      <c r="Z14244" s="24"/>
      <c r="AA14244" s="24"/>
    </row>
    <row r="14245">
      <c r="A14245" s="24"/>
      <c r="B14245" s="25"/>
      <c r="C14245" s="24"/>
      <c r="D14245" s="26"/>
      <c r="E14245" s="24"/>
      <c r="F14245" s="24"/>
      <c r="G14245" s="24"/>
      <c r="H14245" s="24"/>
      <c r="I14245" s="24"/>
      <c r="J14245" s="24"/>
      <c r="K14245" s="24"/>
      <c r="L14245" s="24"/>
      <c r="M14245" s="24"/>
      <c r="N14245" s="24"/>
      <c r="O14245" s="24"/>
      <c r="P14245" s="24"/>
      <c r="Q14245" s="24"/>
      <c r="R14245" s="24"/>
      <c r="S14245" s="24"/>
      <c r="T14245" s="24"/>
      <c r="U14245" s="24"/>
      <c r="V14245" s="24"/>
      <c r="W14245" s="24"/>
      <c r="X14245" s="24"/>
      <c r="Y14245" s="24"/>
      <c r="Z14245" s="24"/>
      <c r="AA14245" s="24"/>
    </row>
    <row r="14246">
      <c r="A14246" s="24"/>
      <c r="B14246" s="25"/>
      <c r="C14246" s="24"/>
      <c r="D14246" s="26"/>
      <c r="E14246" s="24"/>
      <c r="F14246" s="24"/>
      <c r="G14246" s="24"/>
      <c r="H14246" s="24"/>
      <c r="I14246" s="24"/>
      <c r="J14246" s="24"/>
      <c r="K14246" s="24"/>
      <c r="L14246" s="24"/>
      <c r="M14246" s="24"/>
      <c r="N14246" s="24"/>
      <c r="O14246" s="24"/>
      <c r="P14246" s="24"/>
      <c r="Q14246" s="24"/>
      <c r="R14246" s="24"/>
      <c r="S14246" s="24"/>
      <c r="T14246" s="24"/>
      <c r="U14246" s="24"/>
      <c r="V14246" s="24"/>
      <c r="W14246" s="24"/>
      <c r="X14246" s="24"/>
      <c r="Y14246" s="24"/>
      <c r="Z14246" s="24"/>
      <c r="AA14246" s="24"/>
    </row>
    <row r="14247">
      <c r="A14247" s="24"/>
      <c r="B14247" s="25"/>
      <c r="C14247" s="24"/>
      <c r="D14247" s="26"/>
      <c r="E14247" s="24"/>
      <c r="F14247" s="24"/>
      <c r="G14247" s="24"/>
      <c r="H14247" s="24"/>
      <c r="I14247" s="24"/>
      <c r="J14247" s="24"/>
      <c r="K14247" s="24"/>
      <c r="L14247" s="24"/>
      <c r="M14247" s="24"/>
      <c r="N14247" s="24"/>
      <c r="O14247" s="24"/>
      <c r="P14247" s="24"/>
      <c r="Q14247" s="24"/>
      <c r="R14247" s="24"/>
      <c r="S14247" s="24"/>
      <c r="T14247" s="24"/>
      <c r="U14247" s="24"/>
      <c r="V14247" s="24"/>
      <c r="W14247" s="24"/>
      <c r="X14247" s="24"/>
      <c r="Y14247" s="24"/>
      <c r="Z14247" s="24"/>
      <c r="AA14247" s="24"/>
    </row>
    <row r="14248">
      <c r="A14248" s="24"/>
      <c r="B14248" s="25"/>
      <c r="C14248" s="24"/>
      <c r="D14248" s="26"/>
      <c r="E14248" s="24"/>
      <c r="F14248" s="24"/>
      <c r="G14248" s="24"/>
      <c r="H14248" s="24"/>
      <c r="I14248" s="24"/>
      <c r="J14248" s="24"/>
      <c r="K14248" s="24"/>
      <c r="L14248" s="24"/>
      <c r="M14248" s="24"/>
      <c r="N14248" s="24"/>
      <c r="O14248" s="24"/>
      <c r="P14248" s="24"/>
      <c r="Q14248" s="24"/>
      <c r="R14248" s="24"/>
      <c r="S14248" s="24"/>
      <c r="T14248" s="24"/>
      <c r="U14248" s="24"/>
      <c r="V14248" s="24"/>
      <c r="W14248" s="24"/>
      <c r="X14248" s="24"/>
      <c r="Y14248" s="24"/>
      <c r="Z14248" s="24"/>
      <c r="AA14248" s="24"/>
    </row>
    <row r="14249">
      <c r="A14249" s="24"/>
      <c r="B14249" s="25"/>
      <c r="C14249" s="24"/>
      <c r="D14249" s="26"/>
      <c r="E14249" s="24"/>
      <c r="F14249" s="24"/>
      <c r="G14249" s="24"/>
      <c r="H14249" s="24"/>
      <c r="I14249" s="24"/>
      <c r="J14249" s="24"/>
      <c r="K14249" s="24"/>
      <c r="L14249" s="24"/>
      <c r="M14249" s="24"/>
      <c r="N14249" s="24"/>
      <c r="O14249" s="24"/>
      <c r="P14249" s="24"/>
      <c r="Q14249" s="24"/>
      <c r="R14249" s="24"/>
      <c r="S14249" s="24"/>
      <c r="T14249" s="24"/>
      <c r="U14249" s="24"/>
      <c r="V14249" s="24"/>
      <c r="W14249" s="24"/>
      <c r="X14249" s="24"/>
      <c r="Y14249" s="24"/>
      <c r="Z14249" s="24"/>
      <c r="AA14249" s="24"/>
    </row>
    <row r="14250">
      <c r="A14250" s="24"/>
      <c r="B14250" s="25"/>
      <c r="C14250" s="24"/>
      <c r="D14250" s="26"/>
      <c r="E14250" s="24"/>
      <c r="F14250" s="24"/>
      <c r="G14250" s="24"/>
      <c r="H14250" s="24"/>
      <c r="I14250" s="24"/>
      <c r="J14250" s="24"/>
      <c r="K14250" s="24"/>
      <c r="L14250" s="24"/>
      <c r="M14250" s="24"/>
      <c r="N14250" s="24"/>
      <c r="O14250" s="24"/>
      <c r="P14250" s="24"/>
      <c r="Q14250" s="24"/>
      <c r="R14250" s="24"/>
      <c r="S14250" s="24"/>
      <c r="T14250" s="24"/>
      <c r="U14250" s="24"/>
      <c r="V14250" s="24"/>
      <c r="W14250" s="24"/>
      <c r="X14250" s="24"/>
      <c r="Y14250" s="24"/>
      <c r="Z14250" s="24"/>
      <c r="AA14250" s="24"/>
    </row>
    <row r="14251">
      <c r="A14251" s="24"/>
      <c r="B14251" s="25"/>
      <c r="C14251" s="24"/>
      <c r="D14251" s="26"/>
      <c r="E14251" s="24"/>
      <c r="F14251" s="24"/>
      <c r="G14251" s="24"/>
      <c r="H14251" s="24"/>
      <c r="I14251" s="24"/>
      <c r="J14251" s="24"/>
      <c r="K14251" s="24"/>
      <c r="L14251" s="24"/>
      <c r="M14251" s="24"/>
      <c r="N14251" s="24"/>
      <c r="O14251" s="24"/>
      <c r="P14251" s="24"/>
      <c r="Q14251" s="24"/>
      <c r="R14251" s="24"/>
      <c r="S14251" s="24"/>
      <c r="T14251" s="24"/>
      <c r="U14251" s="24"/>
      <c r="V14251" s="24"/>
      <c r="W14251" s="24"/>
      <c r="X14251" s="24"/>
      <c r="Y14251" s="24"/>
      <c r="Z14251" s="24"/>
      <c r="AA14251" s="24"/>
    </row>
    <row r="14252">
      <c r="A14252" s="24"/>
      <c r="B14252" s="25"/>
      <c r="C14252" s="24"/>
      <c r="D14252" s="26"/>
      <c r="E14252" s="24"/>
      <c r="F14252" s="24"/>
      <c r="G14252" s="24"/>
      <c r="H14252" s="24"/>
      <c r="I14252" s="24"/>
      <c r="J14252" s="24"/>
      <c r="K14252" s="24"/>
      <c r="L14252" s="24"/>
      <c r="M14252" s="24"/>
      <c r="N14252" s="24"/>
      <c r="O14252" s="24"/>
      <c r="P14252" s="24"/>
      <c r="Q14252" s="24"/>
      <c r="R14252" s="24"/>
      <c r="S14252" s="24"/>
      <c r="T14252" s="24"/>
      <c r="U14252" s="24"/>
      <c r="V14252" s="24"/>
      <c r="W14252" s="24"/>
      <c r="X14252" s="24"/>
      <c r="Y14252" s="24"/>
      <c r="Z14252" s="24"/>
      <c r="AA14252" s="24"/>
    </row>
    <row r="14253">
      <c r="A14253" s="24"/>
      <c r="B14253" s="25"/>
      <c r="C14253" s="24"/>
      <c r="D14253" s="26"/>
      <c r="E14253" s="24"/>
      <c r="F14253" s="24"/>
      <c r="G14253" s="24"/>
      <c r="H14253" s="24"/>
      <c r="I14253" s="24"/>
      <c r="J14253" s="24"/>
      <c r="K14253" s="24"/>
      <c r="L14253" s="24"/>
      <c r="M14253" s="24"/>
      <c r="N14253" s="24"/>
      <c r="O14253" s="24"/>
      <c r="P14253" s="24"/>
      <c r="Q14253" s="24"/>
      <c r="R14253" s="24"/>
      <c r="S14253" s="24"/>
      <c r="T14253" s="24"/>
      <c r="U14253" s="24"/>
      <c r="V14253" s="24"/>
      <c r="W14253" s="24"/>
      <c r="X14253" s="24"/>
      <c r="Y14253" s="24"/>
      <c r="Z14253" s="24"/>
      <c r="AA14253" s="24"/>
    </row>
    <row r="14254">
      <c r="A14254" s="24"/>
      <c r="B14254" s="25"/>
      <c r="C14254" s="24"/>
      <c r="D14254" s="26"/>
      <c r="E14254" s="24"/>
      <c r="F14254" s="24"/>
      <c r="G14254" s="24"/>
      <c r="H14254" s="24"/>
      <c r="I14254" s="24"/>
      <c r="J14254" s="24"/>
      <c r="K14254" s="24"/>
      <c r="L14254" s="24"/>
      <c r="M14254" s="24"/>
      <c r="N14254" s="24"/>
      <c r="O14254" s="24"/>
      <c r="P14254" s="24"/>
      <c r="Q14254" s="24"/>
      <c r="R14254" s="24"/>
      <c r="S14254" s="24"/>
      <c r="T14254" s="24"/>
      <c r="U14254" s="24"/>
      <c r="V14254" s="24"/>
      <c r="W14254" s="24"/>
      <c r="X14254" s="24"/>
      <c r="Y14254" s="24"/>
      <c r="Z14254" s="24"/>
      <c r="AA14254" s="24"/>
    </row>
    <row r="14255">
      <c r="A14255" s="24"/>
      <c r="B14255" s="25"/>
      <c r="C14255" s="24"/>
      <c r="D14255" s="26"/>
      <c r="E14255" s="24"/>
      <c r="F14255" s="24"/>
      <c r="G14255" s="24"/>
      <c r="H14255" s="24"/>
      <c r="I14255" s="24"/>
      <c r="J14255" s="24"/>
      <c r="K14255" s="24"/>
      <c r="L14255" s="24"/>
      <c r="M14255" s="24"/>
      <c r="N14255" s="24"/>
      <c r="O14255" s="24"/>
      <c r="P14255" s="24"/>
      <c r="Q14255" s="24"/>
      <c r="R14255" s="24"/>
      <c r="S14255" s="24"/>
      <c r="T14255" s="24"/>
      <c r="U14255" s="24"/>
      <c r="V14255" s="24"/>
      <c r="W14255" s="24"/>
      <c r="X14255" s="24"/>
      <c r="Y14255" s="24"/>
      <c r="Z14255" s="24"/>
      <c r="AA14255" s="24"/>
    </row>
    <row r="14256">
      <c r="A14256" s="24"/>
      <c r="B14256" s="25"/>
      <c r="C14256" s="24"/>
      <c r="D14256" s="26"/>
      <c r="E14256" s="24"/>
      <c r="F14256" s="24"/>
      <c r="G14256" s="24"/>
      <c r="H14256" s="24"/>
      <c r="I14256" s="24"/>
      <c r="J14256" s="24"/>
      <c r="K14256" s="24"/>
      <c r="L14256" s="24"/>
      <c r="M14256" s="24"/>
      <c r="N14256" s="24"/>
      <c r="O14256" s="24"/>
      <c r="P14256" s="24"/>
      <c r="Q14256" s="24"/>
      <c r="R14256" s="24"/>
      <c r="S14256" s="24"/>
      <c r="T14256" s="24"/>
      <c r="U14256" s="24"/>
      <c r="V14256" s="24"/>
      <c r="W14256" s="24"/>
      <c r="X14256" s="24"/>
      <c r="Y14256" s="24"/>
      <c r="Z14256" s="24"/>
      <c r="AA14256" s="24"/>
    </row>
    <row r="14257">
      <c r="A14257" s="24"/>
      <c r="B14257" s="25"/>
      <c r="C14257" s="24"/>
      <c r="D14257" s="26"/>
      <c r="E14257" s="24"/>
      <c r="F14257" s="24"/>
      <c r="G14257" s="24"/>
      <c r="H14257" s="24"/>
      <c r="I14257" s="24"/>
      <c r="J14257" s="24"/>
      <c r="K14257" s="24"/>
      <c r="L14257" s="24"/>
      <c r="M14257" s="24"/>
      <c r="N14257" s="24"/>
      <c r="O14257" s="24"/>
      <c r="P14257" s="24"/>
      <c r="Q14257" s="24"/>
      <c r="R14257" s="24"/>
      <c r="S14257" s="24"/>
      <c r="T14257" s="24"/>
      <c r="U14257" s="24"/>
      <c r="V14257" s="24"/>
      <c r="W14257" s="24"/>
      <c r="X14257" s="24"/>
      <c r="Y14257" s="24"/>
      <c r="Z14257" s="24"/>
      <c r="AA14257" s="24"/>
    </row>
    <row r="14258">
      <c r="A14258" s="24"/>
      <c r="B14258" s="25"/>
      <c r="C14258" s="24"/>
      <c r="D14258" s="26"/>
      <c r="E14258" s="24"/>
      <c r="F14258" s="24"/>
      <c r="G14258" s="24"/>
      <c r="H14258" s="24"/>
      <c r="I14258" s="24"/>
      <c r="J14258" s="24"/>
      <c r="K14258" s="24"/>
      <c r="L14258" s="24"/>
      <c r="M14258" s="24"/>
      <c r="N14258" s="24"/>
      <c r="O14258" s="24"/>
      <c r="P14258" s="24"/>
      <c r="Q14258" s="24"/>
      <c r="R14258" s="24"/>
      <c r="S14258" s="24"/>
      <c r="T14258" s="24"/>
      <c r="U14258" s="24"/>
      <c r="V14258" s="24"/>
      <c r="W14258" s="24"/>
      <c r="X14258" s="24"/>
      <c r="Y14258" s="24"/>
      <c r="Z14258" s="24"/>
      <c r="AA14258" s="24"/>
    </row>
    <row r="14259">
      <c r="A14259" s="24"/>
      <c r="B14259" s="25"/>
      <c r="C14259" s="24"/>
      <c r="D14259" s="26"/>
      <c r="E14259" s="24"/>
      <c r="F14259" s="24"/>
      <c r="G14259" s="24"/>
      <c r="H14259" s="24"/>
      <c r="I14259" s="24"/>
      <c r="J14259" s="24"/>
      <c r="K14259" s="24"/>
      <c r="L14259" s="24"/>
      <c r="M14259" s="24"/>
      <c r="N14259" s="24"/>
      <c r="O14259" s="24"/>
      <c r="P14259" s="24"/>
      <c r="Q14259" s="24"/>
      <c r="R14259" s="24"/>
      <c r="S14259" s="24"/>
      <c r="T14259" s="24"/>
      <c r="U14259" s="24"/>
      <c r="V14259" s="24"/>
      <c r="W14259" s="24"/>
      <c r="X14259" s="24"/>
      <c r="Y14259" s="24"/>
      <c r="Z14259" s="24"/>
      <c r="AA14259" s="24"/>
    </row>
    <row r="14260">
      <c r="A14260" s="24"/>
      <c r="B14260" s="25"/>
      <c r="C14260" s="24"/>
      <c r="D14260" s="26"/>
      <c r="E14260" s="24"/>
      <c r="F14260" s="24"/>
      <c r="G14260" s="24"/>
      <c r="H14260" s="24"/>
      <c r="I14260" s="24"/>
      <c r="J14260" s="24"/>
      <c r="K14260" s="24"/>
      <c r="L14260" s="24"/>
      <c r="M14260" s="24"/>
      <c r="N14260" s="24"/>
      <c r="O14260" s="24"/>
      <c r="P14260" s="24"/>
      <c r="Q14260" s="24"/>
      <c r="R14260" s="24"/>
      <c r="S14260" s="24"/>
      <c r="T14260" s="24"/>
      <c r="U14260" s="24"/>
      <c r="V14260" s="24"/>
      <c r="W14260" s="24"/>
      <c r="X14260" s="24"/>
      <c r="Y14260" s="24"/>
      <c r="Z14260" s="24"/>
      <c r="AA14260" s="24"/>
    </row>
    <row r="14261">
      <c r="A14261" s="24"/>
      <c r="B14261" s="25"/>
      <c r="C14261" s="24"/>
      <c r="D14261" s="26"/>
      <c r="E14261" s="24"/>
      <c r="F14261" s="24"/>
      <c r="G14261" s="24"/>
      <c r="H14261" s="24"/>
      <c r="I14261" s="24"/>
      <c r="J14261" s="24"/>
      <c r="K14261" s="24"/>
      <c r="L14261" s="24"/>
      <c r="M14261" s="24"/>
      <c r="N14261" s="24"/>
      <c r="O14261" s="24"/>
      <c r="P14261" s="24"/>
      <c r="Q14261" s="24"/>
      <c r="R14261" s="24"/>
      <c r="S14261" s="24"/>
      <c r="T14261" s="24"/>
      <c r="U14261" s="24"/>
      <c r="V14261" s="24"/>
      <c r="W14261" s="24"/>
      <c r="X14261" s="24"/>
      <c r="Y14261" s="24"/>
      <c r="Z14261" s="24"/>
      <c r="AA14261" s="24"/>
    </row>
    <row r="14262">
      <c r="A14262" s="24"/>
      <c r="B14262" s="25"/>
      <c r="C14262" s="24"/>
      <c r="D14262" s="26"/>
      <c r="E14262" s="24"/>
      <c r="F14262" s="24"/>
      <c r="G14262" s="24"/>
      <c r="H14262" s="24"/>
      <c r="I14262" s="24"/>
      <c r="J14262" s="24"/>
      <c r="K14262" s="24"/>
      <c r="L14262" s="24"/>
      <c r="M14262" s="24"/>
      <c r="N14262" s="24"/>
      <c r="O14262" s="24"/>
      <c r="P14262" s="24"/>
      <c r="Q14262" s="24"/>
      <c r="R14262" s="24"/>
      <c r="S14262" s="24"/>
      <c r="T14262" s="24"/>
      <c r="U14262" s="24"/>
      <c r="V14262" s="24"/>
      <c r="W14262" s="24"/>
      <c r="X14262" s="24"/>
      <c r="Y14262" s="24"/>
      <c r="Z14262" s="24"/>
      <c r="AA14262" s="24"/>
    </row>
    <row r="14263">
      <c r="A14263" s="24"/>
      <c r="B14263" s="25"/>
      <c r="C14263" s="24"/>
      <c r="D14263" s="26"/>
      <c r="E14263" s="24"/>
      <c r="F14263" s="24"/>
      <c r="G14263" s="24"/>
      <c r="H14263" s="24"/>
      <c r="I14263" s="24"/>
      <c r="J14263" s="24"/>
      <c r="K14263" s="24"/>
      <c r="L14263" s="24"/>
      <c r="M14263" s="24"/>
      <c r="N14263" s="24"/>
      <c r="O14263" s="24"/>
      <c r="P14263" s="24"/>
      <c r="Q14263" s="24"/>
      <c r="R14263" s="24"/>
      <c r="S14263" s="24"/>
      <c r="T14263" s="24"/>
      <c r="U14263" s="24"/>
      <c r="V14263" s="24"/>
      <c r="W14263" s="24"/>
      <c r="X14263" s="24"/>
      <c r="Y14263" s="24"/>
      <c r="Z14263" s="24"/>
      <c r="AA14263" s="24"/>
    </row>
    <row r="14264">
      <c r="A14264" s="24"/>
      <c r="B14264" s="25"/>
      <c r="C14264" s="24"/>
      <c r="D14264" s="26"/>
      <c r="E14264" s="24"/>
      <c r="F14264" s="24"/>
      <c r="G14264" s="24"/>
      <c r="H14264" s="24"/>
      <c r="I14264" s="24"/>
      <c r="J14264" s="24"/>
      <c r="K14264" s="24"/>
      <c r="L14264" s="24"/>
      <c r="M14264" s="24"/>
      <c r="N14264" s="24"/>
      <c r="O14264" s="24"/>
      <c r="P14264" s="24"/>
      <c r="Q14264" s="24"/>
      <c r="R14264" s="24"/>
      <c r="S14264" s="24"/>
      <c r="T14264" s="24"/>
      <c r="U14264" s="24"/>
      <c r="V14264" s="24"/>
      <c r="W14264" s="24"/>
      <c r="X14264" s="24"/>
      <c r="Y14264" s="24"/>
      <c r="Z14264" s="24"/>
      <c r="AA14264" s="24"/>
    </row>
    <row r="14265">
      <c r="A14265" s="24"/>
      <c r="B14265" s="25"/>
      <c r="C14265" s="24"/>
      <c r="D14265" s="26"/>
      <c r="E14265" s="24"/>
      <c r="F14265" s="24"/>
      <c r="G14265" s="24"/>
      <c r="H14265" s="24"/>
      <c r="I14265" s="24"/>
      <c r="J14265" s="24"/>
      <c r="K14265" s="24"/>
      <c r="L14265" s="24"/>
      <c r="M14265" s="24"/>
      <c r="N14265" s="24"/>
      <c r="O14265" s="24"/>
      <c r="P14265" s="24"/>
      <c r="Q14265" s="24"/>
      <c r="R14265" s="24"/>
      <c r="S14265" s="24"/>
      <c r="T14265" s="24"/>
      <c r="U14265" s="24"/>
      <c r="V14265" s="24"/>
      <c r="W14265" s="24"/>
      <c r="X14265" s="24"/>
      <c r="Y14265" s="24"/>
      <c r="Z14265" s="24"/>
      <c r="AA14265" s="24"/>
    </row>
    <row r="14266">
      <c r="A14266" s="24"/>
      <c r="B14266" s="25"/>
      <c r="C14266" s="24"/>
      <c r="D14266" s="26"/>
      <c r="E14266" s="24"/>
      <c r="F14266" s="24"/>
      <c r="G14266" s="24"/>
      <c r="H14266" s="24"/>
      <c r="I14266" s="24"/>
      <c r="J14266" s="24"/>
      <c r="K14266" s="24"/>
      <c r="L14266" s="24"/>
      <c r="M14266" s="24"/>
      <c r="N14266" s="24"/>
      <c r="O14266" s="24"/>
      <c r="P14266" s="24"/>
      <c r="Q14266" s="24"/>
      <c r="R14266" s="24"/>
      <c r="S14266" s="24"/>
      <c r="T14266" s="24"/>
      <c r="U14266" s="24"/>
      <c r="V14266" s="24"/>
      <c r="W14266" s="24"/>
      <c r="X14266" s="24"/>
      <c r="Y14266" s="24"/>
      <c r="Z14266" s="24"/>
      <c r="AA14266" s="24"/>
    </row>
    <row r="14267">
      <c r="A14267" s="24"/>
      <c r="B14267" s="25"/>
      <c r="C14267" s="24"/>
      <c r="D14267" s="26"/>
      <c r="E14267" s="24"/>
      <c r="F14267" s="24"/>
      <c r="G14267" s="24"/>
      <c r="H14267" s="24"/>
      <c r="I14267" s="24"/>
      <c r="J14267" s="24"/>
      <c r="K14267" s="24"/>
      <c r="L14267" s="24"/>
      <c r="M14267" s="24"/>
      <c r="N14267" s="24"/>
      <c r="O14267" s="24"/>
      <c r="P14267" s="24"/>
      <c r="Q14267" s="24"/>
      <c r="R14267" s="24"/>
      <c r="S14267" s="24"/>
      <c r="T14267" s="24"/>
      <c r="U14267" s="24"/>
      <c r="V14267" s="24"/>
      <c r="W14267" s="24"/>
      <c r="X14267" s="24"/>
      <c r="Y14267" s="24"/>
      <c r="Z14267" s="24"/>
      <c r="AA14267" s="24"/>
    </row>
    <row r="14268">
      <c r="A14268" s="24"/>
      <c r="B14268" s="25"/>
      <c r="C14268" s="24"/>
      <c r="D14268" s="26"/>
      <c r="E14268" s="24"/>
      <c r="F14268" s="24"/>
      <c r="G14268" s="24"/>
      <c r="H14268" s="24"/>
      <c r="I14268" s="24"/>
      <c r="J14268" s="24"/>
      <c r="K14268" s="24"/>
      <c r="L14268" s="24"/>
      <c r="M14268" s="24"/>
      <c r="N14268" s="24"/>
      <c r="O14268" s="24"/>
      <c r="P14268" s="24"/>
      <c r="Q14268" s="24"/>
      <c r="R14268" s="24"/>
      <c r="S14268" s="24"/>
      <c r="T14268" s="24"/>
      <c r="U14268" s="24"/>
      <c r="V14268" s="24"/>
      <c r="W14268" s="24"/>
      <c r="X14268" s="24"/>
      <c r="Y14268" s="24"/>
      <c r="Z14268" s="24"/>
      <c r="AA14268" s="24"/>
    </row>
    <row r="14269">
      <c r="A14269" s="24"/>
      <c r="B14269" s="25"/>
      <c r="C14269" s="24"/>
      <c r="D14269" s="26"/>
      <c r="E14269" s="24"/>
      <c r="F14269" s="24"/>
      <c r="G14269" s="24"/>
      <c r="H14269" s="24"/>
      <c r="I14269" s="24"/>
      <c r="J14269" s="24"/>
      <c r="K14269" s="24"/>
      <c r="L14269" s="24"/>
      <c r="M14269" s="24"/>
      <c r="N14269" s="24"/>
      <c r="O14269" s="24"/>
      <c r="P14269" s="24"/>
      <c r="Q14269" s="24"/>
      <c r="R14269" s="24"/>
      <c r="S14269" s="24"/>
      <c r="T14269" s="24"/>
      <c r="U14269" s="24"/>
      <c r="V14269" s="24"/>
      <c r="W14269" s="24"/>
      <c r="X14269" s="24"/>
      <c r="Y14269" s="24"/>
      <c r="Z14269" s="24"/>
      <c r="AA14269" s="24"/>
    </row>
    <row r="14270">
      <c r="A14270" s="24"/>
      <c r="B14270" s="25"/>
      <c r="C14270" s="24"/>
      <c r="D14270" s="26"/>
      <c r="E14270" s="24"/>
      <c r="F14270" s="24"/>
      <c r="G14270" s="24"/>
      <c r="H14270" s="24"/>
      <c r="I14270" s="24"/>
      <c r="J14270" s="24"/>
      <c r="K14270" s="24"/>
      <c r="L14270" s="24"/>
      <c r="M14270" s="24"/>
      <c r="N14270" s="24"/>
      <c r="O14270" s="24"/>
      <c r="P14270" s="24"/>
      <c r="Q14270" s="24"/>
      <c r="R14270" s="24"/>
      <c r="S14270" s="24"/>
      <c r="T14270" s="24"/>
      <c r="U14270" s="24"/>
      <c r="V14270" s="24"/>
      <c r="W14270" s="24"/>
      <c r="X14270" s="24"/>
      <c r="Y14270" s="24"/>
      <c r="Z14270" s="24"/>
      <c r="AA14270" s="24"/>
    </row>
    <row r="14271">
      <c r="A14271" s="24"/>
      <c r="B14271" s="25"/>
      <c r="C14271" s="24"/>
      <c r="D14271" s="26"/>
      <c r="E14271" s="24"/>
      <c r="F14271" s="24"/>
      <c r="G14271" s="24"/>
      <c r="H14271" s="24"/>
      <c r="I14271" s="24"/>
      <c r="J14271" s="24"/>
      <c r="K14271" s="24"/>
      <c r="L14271" s="24"/>
      <c r="M14271" s="24"/>
      <c r="N14271" s="24"/>
      <c r="O14271" s="24"/>
      <c r="P14271" s="24"/>
      <c r="Q14271" s="24"/>
      <c r="R14271" s="24"/>
      <c r="S14271" s="24"/>
      <c r="T14271" s="24"/>
      <c r="U14271" s="24"/>
      <c r="V14271" s="24"/>
      <c r="W14271" s="24"/>
      <c r="X14271" s="24"/>
      <c r="Y14271" s="24"/>
      <c r="Z14271" s="24"/>
      <c r="AA14271" s="24"/>
    </row>
    <row r="14272">
      <c r="A14272" s="24"/>
      <c r="B14272" s="25"/>
      <c r="C14272" s="24"/>
      <c r="D14272" s="26"/>
      <c r="E14272" s="24"/>
      <c r="F14272" s="24"/>
      <c r="G14272" s="24"/>
      <c r="H14272" s="24"/>
      <c r="I14272" s="24"/>
      <c r="J14272" s="24"/>
      <c r="K14272" s="24"/>
      <c r="L14272" s="24"/>
      <c r="M14272" s="24"/>
      <c r="N14272" s="24"/>
      <c r="O14272" s="24"/>
      <c r="P14272" s="24"/>
      <c r="Q14272" s="24"/>
      <c r="R14272" s="24"/>
      <c r="S14272" s="24"/>
      <c r="T14272" s="24"/>
      <c r="U14272" s="24"/>
      <c r="V14272" s="24"/>
      <c r="W14272" s="24"/>
      <c r="X14272" s="24"/>
      <c r="Y14272" s="24"/>
      <c r="Z14272" s="24"/>
      <c r="AA14272" s="24"/>
    </row>
    <row r="14273">
      <c r="A14273" s="24"/>
      <c r="B14273" s="25"/>
      <c r="C14273" s="24"/>
      <c r="D14273" s="26"/>
      <c r="E14273" s="24"/>
      <c r="F14273" s="24"/>
      <c r="G14273" s="24"/>
      <c r="H14273" s="24"/>
      <c r="I14273" s="24"/>
      <c r="J14273" s="24"/>
      <c r="K14273" s="24"/>
      <c r="L14273" s="24"/>
      <c r="M14273" s="24"/>
      <c r="N14273" s="24"/>
      <c r="O14273" s="24"/>
      <c r="P14273" s="24"/>
      <c r="Q14273" s="24"/>
      <c r="R14273" s="24"/>
      <c r="S14273" s="24"/>
      <c r="T14273" s="24"/>
      <c r="U14273" s="24"/>
      <c r="V14273" s="24"/>
      <c r="W14273" s="24"/>
      <c r="X14273" s="24"/>
      <c r="Y14273" s="24"/>
      <c r="Z14273" s="24"/>
      <c r="AA14273" s="24"/>
    </row>
    <row r="14274">
      <c r="A14274" s="24"/>
      <c r="B14274" s="25"/>
      <c r="C14274" s="24"/>
      <c r="D14274" s="26"/>
      <c r="E14274" s="24"/>
      <c r="F14274" s="24"/>
      <c r="G14274" s="24"/>
      <c r="H14274" s="24"/>
      <c r="I14274" s="24"/>
      <c r="J14274" s="24"/>
      <c r="K14274" s="24"/>
      <c r="L14274" s="24"/>
      <c r="M14274" s="24"/>
      <c r="N14274" s="24"/>
      <c r="O14274" s="24"/>
      <c r="P14274" s="24"/>
      <c r="Q14274" s="24"/>
      <c r="R14274" s="24"/>
      <c r="S14274" s="24"/>
      <c r="T14274" s="24"/>
      <c r="U14274" s="24"/>
      <c r="V14274" s="24"/>
      <c r="W14274" s="24"/>
      <c r="X14274" s="24"/>
      <c r="Y14274" s="24"/>
      <c r="Z14274" s="24"/>
      <c r="AA14274" s="24"/>
    </row>
    <row r="14275">
      <c r="A14275" s="24"/>
      <c r="B14275" s="25"/>
      <c r="C14275" s="24"/>
      <c r="D14275" s="26"/>
      <c r="E14275" s="24"/>
      <c r="F14275" s="24"/>
      <c r="G14275" s="24"/>
      <c r="H14275" s="24"/>
      <c r="I14275" s="24"/>
      <c r="J14275" s="24"/>
      <c r="K14275" s="24"/>
      <c r="L14275" s="24"/>
      <c r="M14275" s="24"/>
      <c r="N14275" s="24"/>
      <c r="O14275" s="24"/>
      <c r="P14275" s="24"/>
      <c r="Q14275" s="24"/>
      <c r="R14275" s="24"/>
      <c r="S14275" s="24"/>
      <c r="T14275" s="24"/>
      <c r="U14275" s="24"/>
      <c r="V14275" s="24"/>
      <c r="W14275" s="24"/>
      <c r="X14275" s="24"/>
      <c r="Y14275" s="24"/>
      <c r="Z14275" s="24"/>
      <c r="AA14275" s="24"/>
    </row>
    <row r="14276">
      <c r="A14276" s="24"/>
      <c r="B14276" s="25"/>
      <c r="C14276" s="24"/>
      <c r="D14276" s="26"/>
      <c r="E14276" s="24"/>
      <c r="F14276" s="24"/>
      <c r="G14276" s="24"/>
      <c r="H14276" s="24"/>
      <c r="I14276" s="24"/>
      <c r="J14276" s="24"/>
      <c r="K14276" s="24"/>
      <c r="L14276" s="24"/>
      <c r="M14276" s="24"/>
      <c r="N14276" s="24"/>
      <c r="O14276" s="24"/>
      <c r="P14276" s="24"/>
      <c r="Q14276" s="24"/>
      <c r="R14276" s="24"/>
      <c r="S14276" s="24"/>
      <c r="T14276" s="24"/>
      <c r="U14276" s="24"/>
      <c r="V14276" s="24"/>
      <c r="W14276" s="24"/>
      <c r="X14276" s="24"/>
      <c r="Y14276" s="24"/>
      <c r="Z14276" s="24"/>
      <c r="AA14276" s="24"/>
    </row>
    <row r="14277">
      <c r="A14277" s="24"/>
      <c r="B14277" s="25"/>
      <c r="C14277" s="24"/>
      <c r="D14277" s="26"/>
      <c r="E14277" s="24"/>
      <c r="F14277" s="24"/>
      <c r="G14277" s="24"/>
      <c r="H14277" s="24"/>
      <c r="I14277" s="24"/>
      <c r="J14277" s="24"/>
      <c r="K14277" s="24"/>
      <c r="L14277" s="24"/>
      <c r="M14277" s="24"/>
      <c r="N14277" s="24"/>
      <c r="O14277" s="24"/>
      <c r="P14277" s="24"/>
      <c r="Q14277" s="24"/>
      <c r="R14277" s="24"/>
      <c r="S14277" s="24"/>
      <c r="T14277" s="24"/>
      <c r="U14277" s="24"/>
      <c r="V14277" s="24"/>
      <c r="W14277" s="24"/>
      <c r="X14277" s="24"/>
      <c r="Y14277" s="24"/>
      <c r="Z14277" s="24"/>
      <c r="AA14277" s="24"/>
    </row>
    <row r="14278">
      <c r="A14278" s="24"/>
      <c r="B14278" s="25"/>
      <c r="C14278" s="24"/>
      <c r="D14278" s="26"/>
      <c r="E14278" s="24"/>
      <c r="F14278" s="24"/>
      <c r="G14278" s="24"/>
      <c r="H14278" s="24"/>
      <c r="I14278" s="24"/>
      <c r="J14278" s="24"/>
      <c r="K14278" s="24"/>
      <c r="L14278" s="24"/>
      <c r="M14278" s="24"/>
      <c r="N14278" s="24"/>
      <c r="O14278" s="24"/>
      <c r="P14278" s="24"/>
      <c r="Q14278" s="24"/>
      <c r="R14278" s="24"/>
      <c r="S14278" s="24"/>
      <c r="T14278" s="24"/>
      <c r="U14278" s="24"/>
      <c r="V14278" s="24"/>
      <c r="W14278" s="24"/>
      <c r="X14278" s="24"/>
      <c r="Y14278" s="24"/>
      <c r="Z14278" s="24"/>
      <c r="AA14278" s="24"/>
    </row>
    <row r="14279">
      <c r="A14279" s="24"/>
      <c r="B14279" s="25"/>
      <c r="C14279" s="24"/>
      <c r="D14279" s="26"/>
      <c r="E14279" s="24"/>
      <c r="F14279" s="24"/>
      <c r="G14279" s="24"/>
      <c r="H14279" s="24"/>
      <c r="I14279" s="24"/>
      <c r="J14279" s="24"/>
      <c r="K14279" s="24"/>
      <c r="L14279" s="24"/>
      <c r="M14279" s="24"/>
      <c r="N14279" s="24"/>
      <c r="O14279" s="24"/>
      <c r="P14279" s="24"/>
      <c r="Q14279" s="24"/>
      <c r="R14279" s="24"/>
      <c r="S14279" s="24"/>
      <c r="T14279" s="24"/>
      <c r="U14279" s="24"/>
      <c r="V14279" s="24"/>
      <c r="W14279" s="24"/>
      <c r="X14279" s="24"/>
      <c r="Y14279" s="24"/>
      <c r="Z14279" s="24"/>
      <c r="AA14279" s="24"/>
    </row>
    <row r="14280">
      <c r="A14280" s="24"/>
      <c r="B14280" s="25"/>
      <c r="C14280" s="24"/>
      <c r="D14280" s="26"/>
      <c r="E14280" s="24"/>
      <c r="F14280" s="24"/>
      <c r="G14280" s="24"/>
      <c r="H14280" s="24"/>
      <c r="I14280" s="24"/>
      <c r="J14280" s="24"/>
      <c r="K14280" s="24"/>
      <c r="L14280" s="24"/>
      <c r="M14280" s="24"/>
      <c r="N14280" s="24"/>
      <c r="O14280" s="24"/>
      <c r="P14280" s="24"/>
      <c r="Q14280" s="24"/>
      <c r="R14280" s="24"/>
      <c r="S14280" s="24"/>
      <c r="T14280" s="24"/>
      <c r="U14280" s="24"/>
      <c r="V14280" s="24"/>
      <c r="W14280" s="24"/>
      <c r="X14280" s="24"/>
      <c r="Y14280" s="24"/>
      <c r="Z14280" s="24"/>
      <c r="AA14280" s="24"/>
    </row>
    <row r="14281">
      <c r="A14281" s="24"/>
      <c r="B14281" s="25"/>
      <c r="C14281" s="24"/>
      <c r="D14281" s="26"/>
      <c r="E14281" s="24"/>
      <c r="F14281" s="24"/>
      <c r="G14281" s="24"/>
      <c r="H14281" s="24"/>
      <c r="I14281" s="24"/>
      <c r="J14281" s="24"/>
      <c r="K14281" s="24"/>
      <c r="L14281" s="24"/>
      <c r="M14281" s="24"/>
      <c r="N14281" s="24"/>
      <c r="O14281" s="24"/>
      <c r="P14281" s="24"/>
      <c r="Q14281" s="24"/>
      <c r="R14281" s="24"/>
      <c r="S14281" s="24"/>
      <c r="T14281" s="24"/>
      <c r="U14281" s="24"/>
      <c r="V14281" s="24"/>
      <c r="W14281" s="24"/>
      <c r="X14281" s="24"/>
      <c r="Y14281" s="24"/>
      <c r="Z14281" s="24"/>
      <c r="AA14281" s="24"/>
    </row>
    <row r="14282">
      <c r="A14282" s="24"/>
      <c r="B14282" s="25"/>
      <c r="C14282" s="24"/>
      <c r="D14282" s="26"/>
      <c r="E14282" s="24"/>
      <c r="F14282" s="24"/>
      <c r="G14282" s="24"/>
      <c r="H14282" s="24"/>
      <c r="I14282" s="24"/>
      <c r="J14282" s="24"/>
      <c r="K14282" s="24"/>
      <c r="L14282" s="24"/>
      <c r="M14282" s="24"/>
      <c r="N14282" s="24"/>
      <c r="O14282" s="24"/>
      <c r="P14282" s="24"/>
      <c r="Q14282" s="24"/>
      <c r="R14282" s="24"/>
      <c r="S14282" s="24"/>
      <c r="T14282" s="24"/>
      <c r="U14282" s="24"/>
      <c r="V14282" s="24"/>
      <c r="W14282" s="24"/>
      <c r="X14282" s="24"/>
      <c r="Y14282" s="24"/>
      <c r="Z14282" s="24"/>
      <c r="AA14282" s="24"/>
    </row>
    <row r="14283">
      <c r="A14283" s="24"/>
      <c r="B14283" s="25"/>
      <c r="C14283" s="24"/>
      <c r="D14283" s="26"/>
      <c r="E14283" s="24"/>
      <c r="F14283" s="24"/>
      <c r="G14283" s="24"/>
      <c r="H14283" s="24"/>
      <c r="I14283" s="24"/>
      <c r="J14283" s="24"/>
      <c r="K14283" s="24"/>
      <c r="L14283" s="24"/>
      <c r="M14283" s="24"/>
      <c r="N14283" s="24"/>
      <c r="O14283" s="24"/>
      <c r="P14283" s="24"/>
      <c r="Q14283" s="24"/>
      <c r="R14283" s="24"/>
      <c r="S14283" s="24"/>
      <c r="T14283" s="24"/>
      <c r="U14283" s="24"/>
      <c r="V14283" s="24"/>
      <c r="W14283" s="24"/>
      <c r="X14283" s="24"/>
      <c r="Y14283" s="24"/>
      <c r="Z14283" s="24"/>
      <c r="AA14283" s="24"/>
    </row>
    <row r="14284">
      <c r="A14284" s="24"/>
      <c r="B14284" s="25"/>
      <c r="C14284" s="24"/>
      <c r="D14284" s="26"/>
      <c r="E14284" s="24"/>
      <c r="F14284" s="24"/>
      <c r="G14284" s="24"/>
      <c r="H14284" s="24"/>
      <c r="I14284" s="24"/>
      <c r="J14284" s="24"/>
      <c r="K14284" s="24"/>
      <c r="L14284" s="24"/>
      <c r="M14284" s="24"/>
      <c r="N14284" s="24"/>
      <c r="O14284" s="24"/>
      <c r="P14284" s="24"/>
      <c r="Q14284" s="24"/>
      <c r="R14284" s="24"/>
      <c r="S14284" s="24"/>
      <c r="T14284" s="24"/>
      <c r="U14284" s="24"/>
      <c r="V14284" s="24"/>
      <c r="W14284" s="24"/>
      <c r="X14284" s="24"/>
      <c r="Y14284" s="24"/>
      <c r="Z14284" s="24"/>
      <c r="AA14284" s="24"/>
    </row>
    <row r="14285">
      <c r="A14285" s="24"/>
      <c r="B14285" s="25"/>
      <c r="C14285" s="24"/>
      <c r="D14285" s="26"/>
      <c r="E14285" s="24"/>
      <c r="F14285" s="24"/>
      <c r="G14285" s="24"/>
      <c r="H14285" s="24"/>
      <c r="I14285" s="24"/>
      <c r="J14285" s="24"/>
      <c r="K14285" s="24"/>
      <c r="L14285" s="24"/>
      <c r="M14285" s="24"/>
      <c r="N14285" s="24"/>
      <c r="O14285" s="24"/>
      <c r="P14285" s="24"/>
      <c r="Q14285" s="24"/>
      <c r="R14285" s="24"/>
      <c r="S14285" s="24"/>
      <c r="T14285" s="24"/>
      <c r="U14285" s="24"/>
      <c r="V14285" s="24"/>
      <c r="W14285" s="24"/>
      <c r="X14285" s="24"/>
      <c r="Y14285" s="24"/>
      <c r="Z14285" s="24"/>
      <c r="AA14285" s="24"/>
    </row>
    <row r="14286">
      <c r="A14286" s="24"/>
      <c r="B14286" s="25"/>
      <c r="C14286" s="24"/>
      <c r="D14286" s="26"/>
      <c r="E14286" s="24"/>
      <c r="F14286" s="24"/>
      <c r="G14286" s="24"/>
      <c r="H14286" s="24"/>
      <c r="I14286" s="24"/>
      <c r="J14286" s="24"/>
      <c r="K14286" s="24"/>
      <c r="L14286" s="24"/>
      <c r="M14286" s="24"/>
      <c r="N14286" s="24"/>
      <c r="O14286" s="24"/>
      <c r="P14286" s="24"/>
      <c r="Q14286" s="24"/>
      <c r="R14286" s="24"/>
      <c r="S14286" s="24"/>
      <c r="T14286" s="24"/>
      <c r="U14286" s="24"/>
      <c r="V14286" s="24"/>
      <c r="W14286" s="24"/>
      <c r="X14286" s="24"/>
      <c r="Y14286" s="24"/>
      <c r="Z14286" s="24"/>
      <c r="AA14286" s="24"/>
    </row>
    <row r="14287">
      <c r="A14287" s="24"/>
      <c r="B14287" s="25"/>
      <c r="C14287" s="24"/>
      <c r="D14287" s="26"/>
      <c r="E14287" s="24"/>
      <c r="F14287" s="24"/>
      <c r="G14287" s="24"/>
      <c r="H14287" s="24"/>
      <c r="I14287" s="24"/>
      <c r="J14287" s="24"/>
      <c r="K14287" s="24"/>
      <c r="L14287" s="24"/>
      <c r="M14287" s="24"/>
      <c r="N14287" s="24"/>
      <c r="O14287" s="24"/>
      <c r="P14287" s="24"/>
      <c r="Q14287" s="24"/>
      <c r="R14287" s="24"/>
      <c r="S14287" s="24"/>
      <c r="T14287" s="24"/>
      <c r="U14287" s="24"/>
      <c r="V14287" s="24"/>
      <c r="W14287" s="24"/>
      <c r="X14287" s="24"/>
      <c r="Y14287" s="24"/>
      <c r="Z14287" s="24"/>
      <c r="AA14287" s="24"/>
    </row>
    <row r="14288">
      <c r="A14288" s="24"/>
      <c r="B14288" s="25"/>
      <c r="C14288" s="24"/>
      <c r="D14288" s="26"/>
      <c r="E14288" s="24"/>
      <c r="F14288" s="24"/>
      <c r="G14288" s="24"/>
      <c r="H14288" s="24"/>
      <c r="I14288" s="24"/>
      <c r="J14288" s="24"/>
      <c r="K14288" s="24"/>
      <c r="L14288" s="24"/>
      <c r="M14288" s="24"/>
      <c r="N14288" s="24"/>
      <c r="O14288" s="24"/>
      <c r="P14288" s="24"/>
      <c r="Q14288" s="24"/>
      <c r="R14288" s="24"/>
      <c r="S14288" s="24"/>
      <c r="T14288" s="24"/>
      <c r="U14288" s="24"/>
      <c r="V14288" s="24"/>
      <c r="W14288" s="24"/>
      <c r="X14288" s="24"/>
      <c r="Y14288" s="24"/>
      <c r="Z14288" s="24"/>
      <c r="AA14288" s="24"/>
    </row>
    <row r="14289">
      <c r="A14289" s="24"/>
      <c r="B14289" s="25"/>
      <c r="C14289" s="24"/>
      <c r="D14289" s="26"/>
      <c r="E14289" s="24"/>
      <c r="F14289" s="24"/>
      <c r="G14289" s="24"/>
      <c r="H14289" s="24"/>
      <c r="I14289" s="24"/>
      <c r="J14289" s="24"/>
      <c r="K14289" s="24"/>
      <c r="L14289" s="24"/>
      <c r="M14289" s="24"/>
      <c r="N14289" s="24"/>
      <c r="O14289" s="24"/>
      <c r="P14289" s="24"/>
      <c r="Q14289" s="24"/>
      <c r="R14289" s="24"/>
      <c r="S14289" s="24"/>
      <c r="T14289" s="24"/>
      <c r="U14289" s="24"/>
      <c r="V14289" s="24"/>
      <c r="W14289" s="24"/>
      <c r="X14289" s="24"/>
      <c r="Y14289" s="24"/>
      <c r="Z14289" s="24"/>
      <c r="AA14289" s="24"/>
    </row>
    <row r="14290">
      <c r="A14290" s="24"/>
      <c r="B14290" s="25"/>
      <c r="C14290" s="24"/>
      <c r="D14290" s="26"/>
      <c r="E14290" s="24"/>
      <c r="F14290" s="24"/>
      <c r="G14290" s="24"/>
      <c r="H14290" s="24"/>
      <c r="I14290" s="24"/>
      <c r="J14290" s="24"/>
      <c r="K14290" s="24"/>
      <c r="L14290" s="24"/>
      <c r="M14290" s="24"/>
      <c r="N14290" s="24"/>
      <c r="O14290" s="24"/>
      <c r="P14290" s="24"/>
      <c r="Q14290" s="24"/>
      <c r="R14290" s="24"/>
      <c r="S14290" s="24"/>
      <c r="T14290" s="24"/>
      <c r="U14290" s="24"/>
      <c r="V14290" s="24"/>
      <c r="W14290" s="24"/>
      <c r="X14290" s="24"/>
      <c r="Y14290" s="24"/>
      <c r="Z14290" s="24"/>
      <c r="AA14290" s="24"/>
    </row>
    <row r="14291">
      <c r="A14291" s="24"/>
      <c r="B14291" s="25"/>
      <c r="C14291" s="24"/>
      <c r="D14291" s="26"/>
      <c r="E14291" s="24"/>
      <c r="F14291" s="24"/>
      <c r="G14291" s="24"/>
      <c r="H14291" s="24"/>
      <c r="I14291" s="24"/>
      <c r="J14291" s="24"/>
      <c r="K14291" s="24"/>
      <c r="L14291" s="24"/>
      <c r="M14291" s="24"/>
      <c r="N14291" s="24"/>
      <c r="O14291" s="24"/>
      <c r="P14291" s="24"/>
      <c r="Q14291" s="24"/>
      <c r="R14291" s="24"/>
      <c r="S14291" s="24"/>
      <c r="T14291" s="24"/>
      <c r="U14291" s="24"/>
      <c r="V14291" s="24"/>
      <c r="W14291" s="24"/>
      <c r="X14291" s="24"/>
      <c r="Y14291" s="24"/>
      <c r="Z14291" s="24"/>
      <c r="AA14291" s="24"/>
    </row>
    <row r="14292">
      <c r="A14292" s="24"/>
      <c r="B14292" s="25"/>
      <c r="C14292" s="24"/>
      <c r="D14292" s="26"/>
      <c r="E14292" s="24"/>
      <c r="F14292" s="24"/>
      <c r="G14292" s="24"/>
      <c r="H14292" s="24"/>
      <c r="I14292" s="24"/>
      <c r="J14292" s="24"/>
      <c r="K14292" s="24"/>
      <c r="L14292" s="24"/>
      <c r="M14292" s="24"/>
      <c r="N14292" s="24"/>
      <c r="O14292" s="24"/>
      <c r="P14292" s="24"/>
      <c r="Q14292" s="24"/>
      <c r="R14292" s="24"/>
      <c r="S14292" s="24"/>
      <c r="T14292" s="24"/>
      <c r="U14292" s="24"/>
      <c r="V14292" s="24"/>
      <c r="W14292" s="24"/>
      <c r="X14292" s="24"/>
      <c r="Y14292" s="24"/>
      <c r="Z14292" s="24"/>
      <c r="AA14292" s="24"/>
    </row>
    <row r="14293">
      <c r="A14293" s="24"/>
      <c r="B14293" s="25"/>
      <c r="C14293" s="24"/>
      <c r="D14293" s="26"/>
      <c r="E14293" s="24"/>
      <c r="F14293" s="24"/>
      <c r="G14293" s="24"/>
      <c r="H14293" s="24"/>
      <c r="I14293" s="24"/>
      <c r="J14293" s="24"/>
      <c r="K14293" s="24"/>
      <c r="L14293" s="24"/>
      <c r="M14293" s="24"/>
      <c r="N14293" s="24"/>
      <c r="O14293" s="24"/>
      <c r="P14293" s="24"/>
      <c r="Q14293" s="24"/>
      <c r="R14293" s="24"/>
      <c r="S14293" s="24"/>
      <c r="T14293" s="24"/>
      <c r="U14293" s="24"/>
      <c r="V14293" s="24"/>
      <c r="W14293" s="24"/>
      <c r="X14293" s="24"/>
      <c r="Y14293" s="24"/>
      <c r="Z14293" s="24"/>
      <c r="AA14293" s="24"/>
    </row>
    <row r="14294">
      <c r="A14294" s="24"/>
      <c r="B14294" s="25"/>
      <c r="C14294" s="24"/>
      <c r="D14294" s="26"/>
      <c r="E14294" s="24"/>
      <c r="F14294" s="24"/>
      <c r="G14294" s="24"/>
      <c r="H14294" s="24"/>
      <c r="I14294" s="24"/>
      <c r="J14294" s="24"/>
      <c r="K14294" s="24"/>
      <c r="L14294" s="24"/>
      <c r="M14294" s="24"/>
      <c r="N14294" s="24"/>
      <c r="O14294" s="24"/>
      <c r="P14294" s="24"/>
      <c r="Q14294" s="24"/>
      <c r="R14294" s="24"/>
      <c r="S14294" s="24"/>
      <c r="T14294" s="24"/>
      <c r="U14294" s="24"/>
      <c r="V14294" s="24"/>
      <c r="W14294" s="24"/>
      <c r="X14294" s="24"/>
      <c r="Y14294" s="24"/>
      <c r="Z14294" s="24"/>
      <c r="AA14294" s="24"/>
    </row>
    <row r="14295">
      <c r="A14295" s="24"/>
      <c r="B14295" s="25"/>
      <c r="C14295" s="24"/>
      <c r="D14295" s="26"/>
      <c r="E14295" s="24"/>
      <c r="F14295" s="24"/>
      <c r="G14295" s="24"/>
      <c r="H14295" s="24"/>
      <c r="I14295" s="24"/>
      <c r="J14295" s="24"/>
      <c r="K14295" s="24"/>
      <c r="L14295" s="24"/>
      <c r="M14295" s="24"/>
      <c r="N14295" s="24"/>
      <c r="O14295" s="24"/>
      <c r="P14295" s="24"/>
      <c r="Q14295" s="24"/>
      <c r="R14295" s="24"/>
      <c r="S14295" s="24"/>
      <c r="T14295" s="24"/>
      <c r="U14295" s="24"/>
      <c r="V14295" s="24"/>
      <c r="W14295" s="24"/>
      <c r="X14295" s="24"/>
      <c r="Y14295" s="24"/>
      <c r="Z14295" s="24"/>
      <c r="AA14295" s="24"/>
    </row>
    <row r="14296">
      <c r="A14296" s="24"/>
      <c r="B14296" s="25"/>
      <c r="C14296" s="24"/>
      <c r="D14296" s="26"/>
      <c r="E14296" s="24"/>
      <c r="F14296" s="24"/>
      <c r="G14296" s="24"/>
      <c r="H14296" s="24"/>
      <c r="I14296" s="24"/>
      <c r="J14296" s="24"/>
      <c r="K14296" s="24"/>
      <c r="L14296" s="24"/>
      <c r="M14296" s="24"/>
      <c r="N14296" s="24"/>
      <c r="O14296" s="24"/>
      <c r="P14296" s="24"/>
      <c r="Q14296" s="24"/>
      <c r="R14296" s="24"/>
      <c r="S14296" s="24"/>
      <c r="T14296" s="24"/>
      <c r="U14296" s="24"/>
      <c r="V14296" s="24"/>
      <c r="W14296" s="24"/>
      <c r="X14296" s="24"/>
      <c r="Y14296" s="24"/>
      <c r="Z14296" s="24"/>
      <c r="AA14296" s="24"/>
    </row>
    <row r="14297">
      <c r="A14297" s="24"/>
      <c r="B14297" s="25"/>
      <c r="C14297" s="24"/>
      <c r="D14297" s="26"/>
      <c r="E14297" s="24"/>
      <c r="F14297" s="24"/>
      <c r="G14297" s="24"/>
      <c r="H14297" s="24"/>
      <c r="I14297" s="24"/>
      <c r="J14297" s="24"/>
      <c r="K14297" s="24"/>
      <c r="L14297" s="24"/>
      <c r="M14297" s="24"/>
      <c r="N14297" s="24"/>
      <c r="O14297" s="24"/>
      <c r="P14297" s="24"/>
      <c r="Q14297" s="24"/>
      <c r="R14297" s="24"/>
      <c r="S14297" s="24"/>
      <c r="T14297" s="24"/>
      <c r="U14297" s="24"/>
      <c r="V14297" s="24"/>
      <c r="W14297" s="24"/>
      <c r="X14297" s="24"/>
      <c r="Y14297" s="24"/>
      <c r="Z14297" s="24"/>
      <c r="AA14297" s="24"/>
    </row>
    <row r="14298">
      <c r="A14298" s="24"/>
      <c r="B14298" s="25"/>
      <c r="C14298" s="24"/>
      <c r="D14298" s="26"/>
      <c r="E14298" s="24"/>
      <c r="F14298" s="24"/>
      <c r="G14298" s="24"/>
      <c r="H14298" s="24"/>
      <c r="I14298" s="24"/>
      <c r="J14298" s="24"/>
      <c r="K14298" s="24"/>
      <c r="L14298" s="24"/>
      <c r="M14298" s="24"/>
      <c r="N14298" s="24"/>
      <c r="O14298" s="24"/>
      <c r="P14298" s="24"/>
      <c r="Q14298" s="24"/>
      <c r="R14298" s="24"/>
      <c r="S14298" s="24"/>
      <c r="T14298" s="24"/>
      <c r="U14298" s="24"/>
      <c r="V14298" s="24"/>
      <c r="W14298" s="24"/>
      <c r="X14298" s="24"/>
      <c r="Y14298" s="24"/>
      <c r="Z14298" s="24"/>
      <c r="AA14298" s="24"/>
    </row>
    <row r="14299">
      <c r="A14299" s="24"/>
      <c r="B14299" s="25"/>
      <c r="C14299" s="24"/>
      <c r="D14299" s="26"/>
      <c r="E14299" s="24"/>
      <c r="F14299" s="24"/>
      <c r="G14299" s="24"/>
      <c r="H14299" s="24"/>
      <c r="I14299" s="24"/>
      <c r="J14299" s="24"/>
      <c r="K14299" s="24"/>
      <c r="L14299" s="24"/>
      <c r="M14299" s="24"/>
      <c r="N14299" s="24"/>
      <c r="O14299" s="24"/>
      <c r="P14299" s="24"/>
      <c r="Q14299" s="24"/>
      <c r="R14299" s="24"/>
      <c r="S14299" s="24"/>
      <c r="T14299" s="24"/>
      <c r="U14299" s="24"/>
      <c r="V14299" s="24"/>
      <c r="W14299" s="24"/>
      <c r="X14299" s="24"/>
      <c r="Y14299" s="24"/>
      <c r="Z14299" s="24"/>
      <c r="AA14299" s="24"/>
    </row>
    <row r="14300">
      <c r="A14300" s="24"/>
      <c r="B14300" s="25"/>
      <c r="C14300" s="24"/>
      <c r="D14300" s="26"/>
      <c r="E14300" s="24"/>
      <c r="F14300" s="24"/>
      <c r="G14300" s="24"/>
      <c r="H14300" s="24"/>
      <c r="I14300" s="24"/>
      <c r="J14300" s="24"/>
      <c r="K14300" s="24"/>
      <c r="L14300" s="24"/>
      <c r="M14300" s="24"/>
      <c r="N14300" s="24"/>
      <c r="O14300" s="24"/>
      <c r="P14300" s="24"/>
      <c r="Q14300" s="24"/>
      <c r="R14300" s="24"/>
      <c r="S14300" s="24"/>
      <c r="T14300" s="24"/>
      <c r="U14300" s="24"/>
      <c r="V14300" s="24"/>
      <c r="W14300" s="24"/>
      <c r="X14300" s="24"/>
      <c r="Y14300" s="24"/>
      <c r="Z14300" s="24"/>
      <c r="AA14300" s="24"/>
    </row>
    <row r="14301">
      <c r="A14301" s="24"/>
      <c r="B14301" s="25"/>
      <c r="C14301" s="24"/>
      <c r="D14301" s="26"/>
      <c r="E14301" s="24"/>
      <c r="F14301" s="24"/>
      <c r="G14301" s="24"/>
      <c r="H14301" s="24"/>
      <c r="I14301" s="24"/>
      <c r="J14301" s="24"/>
      <c r="K14301" s="24"/>
      <c r="L14301" s="24"/>
      <c r="M14301" s="24"/>
      <c r="N14301" s="24"/>
      <c r="O14301" s="24"/>
      <c r="P14301" s="24"/>
      <c r="Q14301" s="24"/>
      <c r="R14301" s="24"/>
      <c r="S14301" s="24"/>
      <c r="T14301" s="24"/>
      <c r="U14301" s="24"/>
      <c r="V14301" s="24"/>
      <c r="W14301" s="24"/>
      <c r="X14301" s="24"/>
      <c r="Y14301" s="24"/>
      <c r="Z14301" s="24"/>
      <c r="AA14301" s="24"/>
    </row>
    <row r="14302">
      <c r="A14302" s="24"/>
      <c r="B14302" s="25"/>
      <c r="C14302" s="24"/>
      <c r="D14302" s="26"/>
      <c r="E14302" s="24"/>
      <c r="F14302" s="24"/>
      <c r="G14302" s="24"/>
      <c r="H14302" s="24"/>
      <c r="I14302" s="24"/>
      <c r="J14302" s="24"/>
      <c r="K14302" s="24"/>
      <c r="L14302" s="24"/>
      <c r="M14302" s="24"/>
      <c r="N14302" s="24"/>
      <c r="O14302" s="24"/>
      <c r="P14302" s="24"/>
      <c r="Q14302" s="24"/>
      <c r="R14302" s="24"/>
      <c r="S14302" s="24"/>
      <c r="T14302" s="24"/>
      <c r="U14302" s="24"/>
      <c r="V14302" s="24"/>
      <c r="W14302" s="24"/>
      <c r="X14302" s="24"/>
      <c r="Y14302" s="24"/>
      <c r="Z14302" s="24"/>
      <c r="AA14302" s="24"/>
    </row>
    <row r="14303">
      <c r="A14303" s="24"/>
      <c r="B14303" s="25"/>
      <c r="C14303" s="24"/>
      <c r="D14303" s="26"/>
      <c r="E14303" s="24"/>
      <c r="F14303" s="24"/>
      <c r="G14303" s="24"/>
      <c r="H14303" s="24"/>
      <c r="I14303" s="24"/>
      <c r="J14303" s="24"/>
      <c r="K14303" s="24"/>
      <c r="L14303" s="24"/>
      <c r="M14303" s="24"/>
      <c r="N14303" s="24"/>
      <c r="O14303" s="24"/>
      <c r="P14303" s="24"/>
      <c r="Q14303" s="24"/>
      <c r="R14303" s="24"/>
      <c r="S14303" s="24"/>
      <c r="T14303" s="24"/>
      <c r="U14303" s="24"/>
      <c r="V14303" s="24"/>
      <c r="W14303" s="24"/>
      <c r="X14303" s="24"/>
      <c r="Y14303" s="24"/>
      <c r="Z14303" s="24"/>
      <c r="AA14303" s="24"/>
    </row>
    <row r="14304">
      <c r="A14304" s="24"/>
      <c r="B14304" s="25"/>
      <c r="C14304" s="24"/>
      <c r="D14304" s="26"/>
      <c r="E14304" s="24"/>
      <c r="F14304" s="24"/>
      <c r="G14304" s="24"/>
      <c r="H14304" s="24"/>
      <c r="I14304" s="24"/>
      <c r="J14304" s="24"/>
      <c r="K14304" s="24"/>
      <c r="L14304" s="24"/>
      <c r="M14304" s="24"/>
      <c r="N14304" s="24"/>
      <c r="O14304" s="24"/>
      <c r="P14304" s="24"/>
      <c r="Q14304" s="24"/>
      <c r="R14304" s="24"/>
      <c r="S14304" s="24"/>
      <c r="T14304" s="24"/>
      <c r="U14304" s="24"/>
      <c r="V14304" s="24"/>
      <c r="W14304" s="24"/>
      <c r="X14304" s="24"/>
      <c r="Y14304" s="24"/>
      <c r="Z14304" s="24"/>
      <c r="AA14304" s="24"/>
    </row>
    <row r="14305">
      <c r="A14305" s="24"/>
      <c r="B14305" s="25"/>
      <c r="C14305" s="24"/>
      <c r="D14305" s="26"/>
      <c r="E14305" s="24"/>
      <c r="F14305" s="24"/>
      <c r="G14305" s="24"/>
      <c r="H14305" s="24"/>
      <c r="I14305" s="24"/>
      <c r="J14305" s="24"/>
      <c r="K14305" s="24"/>
      <c r="L14305" s="24"/>
      <c r="M14305" s="24"/>
      <c r="N14305" s="24"/>
      <c r="O14305" s="24"/>
      <c r="P14305" s="24"/>
      <c r="Q14305" s="24"/>
      <c r="R14305" s="24"/>
      <c r="S14305" s="24"/>
      <c r="T14305" s="24"/>
      <c r="U14305" s="24"/>
      <c r="V14305" s="24"/>
      <c r="W14305" s="24"/>
      <c r="X14305" s="24"/>
      <c r="Y14305" s="24"/>
      <c r="Z14305" s="24"/>
      <c r="AA14305" s="24"/>
    </row>
    <row r="14306">
      <c r="A14306" s="24"/>
      <c r="B14306" s="25"/>
      <c r="C14306" s="24"/>
      <c r="D14306" s="26"/>
      <c r="E14306" s="24"/>
      <c r="F14306" s="24"/>
      <c r="G14306" s="24"/>
      <c r="H14306" s="24"/>
      <c r="I14306" s="24"/>
      <c r="J14306" s="24"/>
      <c r="K14306" s="24"/>
      <c r="L14306" s="24"/>
      <c r="M14306" s="24"/>
      <c r="N14306" s="24"/>
      <c r="O14306" s="24"/>
      <c r="P14306" s="24"/>
      <c r="Q14306" s="24"/>
      <c r="R14306" s="24"/>
      <c r="S14306" s="24"/>
      <c r="T14306" s="24"/>
      <c r="U14306" s="24"/>
      <c r="V14306" s="24"/>
      <c r="W14306" s="24"/>
      <c r="X14306" s="24"/>
      <c r="Y14306" s="24"/>
      <c r="Z14306" s="24"/>
      <c r="AA14306" s="24"/>
    </row>
    <row r="14307">
      <c r="A14307" s="24"/>
      <c r="B14307" s="25"/>
      <c r="C14307" s="24"/>
      <c r="D14307" s="26"/>
      <c r="E14307" s="24"/>
      <c r="F14307" s="24"/>
      <c r="G14307" s="24"/>
      <c r="H14307" s="24"/>
      <c r="I14307" s="24"/>
      <c r="J14307" s="24"/>
      <c r="K14307" s="24"/>
      <c r="L14307" s="24"/>
      <c r="M14307" s="24"/>
      <c r="N14307" s="24"/>
      <c r="O14307" s="24"/>
      <c r="P14307" s="24"/>
      <c r="Q14307" s="24"/>
      <c r="R14307" s="24"/>
      <c r="S14307" s="24"/>
      <c r="T14307" s="24"/>
      <c r="U14307" s="24"/>
      <c r="V14307" s="24"/>
      <c r="W14307" s="24"/>
      <c r="X14307" s="24"/>
      <c r="Y14307" s="24"/>
      <c r="Z14307" s="24"/>
      <c r="AA14307" s="24"/>
    </row>
    <row r="14308">
      <c r="A14308" s="24"/>
      <c r="B14308" s="25"/>
      <c r="C14308" s="24"/>
      <c r="D14308" s="26"/>
      <c r="E14308" s="24"/>
      <c r="F14308" s="24"/>
      <c r="G14308" s="24"/>
      <c r="H14308" s="24"/>
      <c r="I14308" s="24"/>
      <c r="J14308" s="24"/>
      <c r="K14308" s="24"/>
      <c r="L14308" s="24"/>
      <c r="M14308" s="24"/>
      <c r="N14308" s="24"/>
      <c r="O14308" s="24"/>
      <c r="P14308" s="24"/>
      <c r="Q14308" s="24"/>
      <c r="R14308" s="24"/>
      <c r="S14308" s="24"/>
      <c r="T14308" s="24"/>
      <c r="U14308" s="24"/>
      <c r="V14308" s="24"/>
      <c r="W14308" s="24"/>
      <c r="X14308" s="24"/>
      <c r="Y14308" s="24"/>
      <c r="Z14308" s="24"/>
      <c r="AA14308" s="24"/>
    </row>
    <row r="14309">
      <c r="A14309" s="24"/>
      <c r="B14309" s="25"/>
      <c r="C14309" s="24"/>
      <c r="D14309" s="26"/>
      <c r="E14309" s="24"/>
      <c r="F14309" s="24"/>
      <c r="G14309" s="24"/>
      <c r="H14309" s="24"/>
      <c r="I14309" s="24"/>
      <c r="J14309" s="24"/>
      <c r="K14309" s="24"/>
      <c r="L14309" s="24"/>
      <c r="M14309" s="24"/>
      <c r="N14309" s="24"/>
      <c r="O14309" s="24"/>
      <c r="P14309" s="24"/>
      <c r="Q14309" s="24"/>
      <c r="R14309" s="24"/>
      <c r="S14309" s="24"/>
      <c r="T14309" s="24"/>
      <c r="U14309" s="24"/>
      <c r="V14309" s="24"/>
      <c r="W14309" s="24"/>
      <c r="X14309" s="24"/>
      <c r="Y14309" s="24"/>
      <c r="Z14309" s="24"/>
      <c r="AA14309" s="24"/>
    </row>
    <row r="14310">
      <c r="A14310" s="24"/>
      <c r="B14310" s="25"/>
      <c r="C14310" s="24"/>
      <c r="D14310" s="26"/>
      <c r="E14310" s="24"/>
      <c r="F14310" s="24"/>
      <c r="G14310" s="24"/>
      <c r="H14310" s="24"/>
      <c r="I14310" s="24"/>
      <c r="J14310" s="24"/>
      <c r="K14310" s="24"/>
      <c r="L14310" s="24"/>
      <c r="M14310" s="24"/>
      <c r="N14310" s="24"/>
      <c r="O14310" s="24"/>
      <c r="P14310" s="24"/>
      <c r="Q14310" s="24"/>
      <c r="R14310" s="24"/>
      <c r="S14310" s="24"/>
      <c r="T14310" s="24"/>
      <c r="U14310" s="24"/>
      <c r="V14310" s="24"/>
      <c r="W14310" s="24"/>
      <c r="X14310" s="24"/>
      <c r="Y14310" s="24"/>
      <c r="Z14310" s="24"/>
      <c r="AA14310" s="24"/>
    </row>
    <row r="14311">
      <c r="A14311" s="24"/>
      <c r="B14311" s="25"/>
      <c r="C14311" s="24"/>
      <c r="D14311" s="26"/>
      <c r="E14311" s="24"/>
      <c r="F14311" s="24"/>
      <c r="G14311" s="24"/>
      <c r="H14311" s="24"/>
      <c r="I14311" s="24"/>
      <c r="J14311" s="24"/>
      <c r="K14311" s="24"/>
      <c r="L14311" s="24"/>
      <c r="M14311" s="24"/>
      <c r="N14311" s="24"/>
      <c r="O14311" s="24"/>
      <c r="P14311" s="24"/>
      <c r="Q14311" s="24"/>
      <c r="R14311" s="24"/>
      <c r="S14311" s="24"/>
      <c r="T14311" s="24"/>
      <c r="U14311" s="24"/>
      <c r="V14311" s="24"/>
      <c r="W14311" s="24"/>
      <c r="X14311" s="24"/>
      <c r="Y14311" s="24"/>
      <c r="Z14311" s="24"/>
      <c r="AA14311" s="24"/>
    </row>
    <row r="14312">
      <c r="A14312" s="24"/>
      <c r="B14312" s="25"/>
      <c r="C14312" s="24"/>
      <c r="D14312" s="26"/>
      <c r="E14312" s="24"/>
      <c r="F14312" s="24"/>
      <c r="G14312" s="24"/>
      <c r="H14312" s="24"/>
      <c r="I14312" s="24"/>
      <c r="J14312" s="24"/>
      <c r="K14312" s="24"/>
      <c r="L14312" s="24"/>
      <c r="M14312" s="24"/>
      <c r="N14312" s="24"/>
      <c r="O14312" s="24"/>
      <c r="P14312" s="24"/>
      <c r="Q14312" s="24"/>
      <c r="R14312" s="24"/>
      <c r="S14312" s="24"/>
      <c r="T14312" s="24"/>
      <c r="U14312" s="24"/>
      <c r="V14312" s="24"/>
      <c r="W14312" s="24"/>
      <c r="X14312" s="24"/>
      <c r="Y14312" s="24"/>
      <c r="Z14312" s="24"/>
      <c r="AA14312" s="24"/>
    </row>
    <row r="14313">
      <c r="A14313" s="24"/>
      <c r="B14313" s="25"/>
      <c r="C14313" s="24"/>
      <c r="D14313" s="26"/>
      <c r="E14313" s="24"/>
      <c r="F14313" s="24"/>
      <c r="G14313" s="24"/>
      <c r="H14313" s="24"/>
      <c r="I14313" s="24"/>
      <c r="J14313" s="24"/>
      <c r="K14313" s="24"/>
      <c r="L14313" s="24"/>
      <c r="M14313" s="24"/>
      <c r="N14313" s="24"/>
      <c r="O14313" s="24"/>
      <c r="P14313" s="24"/>
      <c r="Q14313" s="24"/>
      <c r="R14313" s="24"/>
      <c r="S14313" s="24"/>
      <c r="T14313" s="24"/>
      <c r="U14313" s="24"/>
      <c r="V14313" s="24"/>
      <c r="W14313" s="24"/>
      <c r="X14313" s="24"/>
      <c r="Y14313" s="24"/>
      <c r="Z14313" s="24"/>
      <c r="AA14313" s="24"/>
    </row>
    <row r="14314">
      <c r="A14314" s="24"/>
      <c r="B14314" s="25"/>
      <c r="C14314" s="24"/>
      <c r="D14314" s="26"/>
      <c r="E14314" s="24"/>
      <c r="F14314" s="24"/>
      <c r="G14314" s="24"/>
      <c r="H14314" s="24"/>
      <c r="I14314" s="24"/>
      <c r="J14314" s="24"/>
      <c r="K14314" s="24"/>
      <c r="L14314" s="24"/>
      <c r="M14314" s="24"/>
      <c r="N14314" s="24"/>
      <c r="O14314" s="24"/>
      <c r="P14314" s="24"/>
      <c r="Q14314" s="24"/>
      <c r="R14314" s="24"/>
      <c r="S14314" s="24"/>
      <c r="T14314" s="24"/>
      <c r="U14314" s="24"/>
      <c r="V14314" s="24"/>
      <c r="W14314" s="24"/>
      <c r="X14314" s="24"/>
      <c r="Y14314" s="24"/>
      <c r="Z14314" s="24"/>
      <c r="AA14314" s="24"/>
    </row>
    <row r="14315">
      <c r="A14315" s="24"/>
      <c r="B14315" s="25"/>
      <c r="C14315" s="24"/>
      <c r="D14315" s="26"/>
      <c r="E14315" s="24"/>
      <c r="F14315" s="24"/>
      <c r="G14315" s="24"/>
      <c r="H14315" s="24"/>
      <c r="I14315" s="24"/>
      <c r="J14315" s="24"/>
      <c r="K14315" s="24"/>
      <c r="L14315" s="24"/>
      <c r="M14315" s="24"/>
      <c r="N14315" s="24"/>
      <c r="O14315" s="24"/>
      <c r="P14315" s="24"/>
      <c r="Q14315" s="24"/>
      <c r="R14315" s="24"/>
      <c r="S14315" s="24"/>
      <c r="T14315" s="24"/>
      <c r="U14315" s="24"/>
      <c r="V14315" s="24"/>
      <c r="W14315" s="24"/>
      <c r="X14315" s="24"/>
      <c r="Y14315" s="24"/>
      <c r="Z14315" s="24"/>
      <c r="AA14315" s="24"/>
    </row>
    <row r="14316">
      <c r="A14316" s="24"/>
      <c r="B14316" s="25"/>
      <c r="C14316" s="24"/>
      <c r="D14316" s="26"/>
      <c r="E14316" s="24"/>
      <c r="F14316" s="24"/>
      <c r="G14316" s="24"/>
      <c r="H14316" s="24"/>
      <c r="I14316" s="24"/>
      <c r="J14316" s="24"/>
      <c r="K14316" s="24"/>
      <c r="L14316" s="24"/>
      <c r="M14316" s="24"/>
      <c r="N14316" s="24"/>
      <c r="O14316" s="24"/>
      <c r="P14316" s="24"/>
      <c r="Q14316" s="24"/>
      <c r="R14316" s="24"/>
      <c r="S14316" s="24"/>
      <c r="T14316" s="24"/>
      <c r="U14316" s="24"/>
      <c r="V14316" s="24"/>
      <c r="W14316" s="24"/>
      <c r="X14316" s="24"/>
      <c r="Y14316" s="24"/>
      <c r="Z14316" s="24"/>
      <c r="AA14316" s="24"/>
    </row>
    <row r="14317">
      <c r="A14317" s="24"/>
      <c r="B14317" s="25"/>
      <c r="C14317" s="24"/>
      <c r="D14317" s="26"/>
      <c r="E14317" s="24"/>
      <c r="F14317" s="24"/>
      <c r="G14317" s="24"/>
      <c r="H14317" s="24"/>
      <c r="I14317" s="24"/>
      <c r="J14317" s="24"/>
      <c r="K14317" s="24"/>
      <c r="L14317" s="24"/>
      <c r="M14317" s="24"/>
      <c r="N14317" s="24"/>
      <c r="O14317" s="24"/>
      <c r="P14317" s="24"/>
      <c r="Q14317" s="24"/>
      <c r="R14317" s="24"/>
      <c r="S14317" s="24"/>
      <c r="T14317" s="24"/>
      <c r="U14317" s="24"/>
      <c r="V14317" s="24"/>
      <c r="W14317" s="24"/>
      <c r="X14317" s="24"/>
      <c r="Y14317" s="24"/>
      <c r="Z14317" s="24"/>
      <c r="AA14317" s="24"/>
    </row>
    <row r="14318">
      <c r="A14318" s="24"/>
      <c r="B14318" s="25"/>
      <c r="C14318" s="24"/>
      <c r="D14318" s="26"/>
      <c r="E14318" s="24"/>
      <c r="F14318" s="24"/>
      <c r="G14318" s="24"/>
      <c r="H14318" s="24"/>
      <c r="I14318" s="24"/>
      <c r="J14318" s="24"/>
      <c r="K14318" s="24"/>
      <c r="L14318" s="24"/>
      <c r="M14318" s="24"/>
      <c r="N14318" s="24"/>
      <c r="O14318" s="24"/>
      <c r="P14318" s="24"/>
      <c r="Q14318" s="24"/>
      <c r="R14318" s="24"/>
      <c r="S14318" s="24"/>
      <c r="T14318" s="24"/>
      <c r="U14318" s="24"/>
      <c r="V14318" s="24"/>
      <c r="W14318" s="24"/>
      <c r="X14318" s="24"/>
      <c r="Y14318" s="24"/>
      <c r="Z14318" s="24"/>
      <c r="AA14318" s="24"/>
    </row>
    <row r="14319">
      <c r="A14319" s="24"/>
      <c r="B14319" s="25"/>
      <c r="C14319" s="24"/>
      <c r="D14319" s="26"/>
      <c r="E14319" s="24"/>
      <c r="F14319" s="24"/>
      <c r="G14319" s="24"/>
      <c r="H14319" s="24"/>
      <c r="I14319" s="24"/>
      <c r="J14319" s="24"/>
      <c r="K14319" s="24"/>
      <c r="L14319" s="24"/>
      <c r="M14319" s="24"/>
      <c r="N14319" s="24"/>
      <c r="O14319" s="24"/>
      <c r="P14319" s="24"/>
      <c r="Q14319" s="24"/>
      <c r="R14319" s="24"/>
      <c r="S14319" s="24"/>
      <c r="T14319" s="24"/>
      <c r="U14319" s="24"/>
      <c r="V14319" s="24"/>
      <c r="W14319" s="24"/>
      <c r="X14319" s="24"/>
      <c r="Y14319" s="24"/>
      <c r="Z14319" s="24"/>
      <c r="AA14319" s="24"/>
    </row>
    <row r="14320">
      <c r="A14320" s="24"/>
      <c r="B14320" s="25"/>
      <c r="C14320" s="24"/>
      <c r="D14320" s="26"/>
      <c r="E14320" s="24"/>
      <c r="F14320" s="24"/>
      <c r="G14320" s="24"/>
      <c r="H14320" s="24"/>
      <c r="I14320" s="24"/>
      <c r="J14320" s="24"/>
      <c r="K14320" s="24"/>
      <c r="L14320" s="24"/>
      <c r="M14320" s="24"/>
      <c r="N14320" s="24"/>
      <c r="O14320" s="24"/>
      <c r="P14320" s="24"/>
      <c r="Q14320" s="24"/>
      <c r="R14320" s="24"/>
      <c r="S14320" s="24"/>
      <c r="T14320" s="24"/>
      <c r="U14320" s="24"/>
      <c r="V14320" s="24"/>
      <c r="W14320" s="24"/>
      <c r="X14320" s="24"/>
      <c r="Y14320" s="24"/>
      <c r="Z14320" s="24"/>
      <c r="AA14320" s="24"/>
    </row>
    <row r="14321">
      <c r="A14321" s="24"/>
      <c r="B14321" s="25"/>
      <c r="C14321" s="24"/>
      <c r="D14321" s="26"/>
      <c r="E14321" s="24"/>
      <c r="F14321" s="24"/>
      <c r="G14321" s="24"/>
      <c r="H14321" s="24"/>
      <c r="I14321" s="24"/>
      <c r="J14321" s="24"/>
      <c r="K14321" s="24"/>
      <c r="L14321" s="24"/>
      <c r="M14321" s="24"/>
      <c r="N14321" s="24"/>
      <c r="O14321" s="24"/>
      <c r="P14321" s="24"/>
      <c r="Q14321" s="24"/>
      <c r="R14321" s="24"/>
      <c r="S14321" s="24"/>
      <c r="T14321" s="24"/>
      <c r="U14321" s="24"/>
      <c r="V14321" s="24"/>
      <c r="W14321" s="24"/>
      <c r="X14321" s="24"/>
      <c r="Y14321" s="24"/>
      <c r="Z14321" s="24"/>
      <c r="AA14321" s="24"/>
    </row>
    <row r="14322">
      <c r="A14322" s="24"/>
      <c r="B14322" s="25"/>
      <c r="C14322" s="24"/>
      <c r="D14322" s="26"/>
      <c r="E14322" s="24"/>
      <c r="F14322" s="24"/>
      <c r="G14322" s="24"/>
      <c r="H14322" s="24"/>
      <c r="I14322" s="24"/>
      <c r="J14322" s="24"/>
      <c r="K14322" s="24"/>
      <c r="L14322" s="24"/>
      <c r="M14322" s="24"/>
      <c r="N14322" s="24"/>
      <c r="O14322" s="24"/>
      <c r="P14322" s="24"/>
      <c r="Q14322" s="24"/>
      <c r="R14322" s="24"/>
      <c r="S14322" s="24"/>
      <c r="T14322" s="24"/>
      <c r="U14322" s="24"/>
      <c r="V14322" s="24"/>
      <c r="W14322" s="24"/>
      <c r="X14322" s="24"/>
      <c r="Y14322" s="24"/>
      <c r="Z14322" s="24"/>
      <c r="AA14322" s="24"/>
    </row>
    <row r="14323">
      <c r="A14323" s="24"/>
      <c r="B14323" s="25"/>
      <c r="C14323" s="24"/>
      <c r="D14323" s="26"/>
      <c r="E14323" s="24"/>
      <c r="F14323" s="24"/>
      <c r="G14323" s="24"/>
      <c r="H14323" s="24"/>
      <c r="I14323" s="24"/>
      <c r="J14323" s="24"/>
      <c r="K14323" s="24"/>
      <c r="L14323" s="24"/>
      <c r="M14323" s="24"/>
      <c r="N14323" s="24"/>
      <c r="O14323" s="24"/>
      <c r="P14323" s="24"/>
      <c r="Q14323" s="24"/>
      <c r="R14323" s="24"/>
      <c r="S14323" s="24"/>
      <c r="T14323" s="24"/>
      <c r="U14323" s="24"/>
      <c r="V14323" s="24"/>
      <c r="W14323" s="24"/>
      <c r="X14323" s="24"/>
      <c r="Y14323" s="24"/>
      <c r="Z14323" s="24"/>
      <c r="AA14323" s="24"/>
    </row>
    <row r="14324">
      <c r="A14324" s="24"/>
      <c r="B14324" s="25"/>
      <c r="C14324" s="24"/>
      <c r="D14324" s="26"/>
      <c r="E14324" s="24"/>
      <c r="F14324" s="24"/>
      <c r="G14324" s="24"/>
      <c r="H14324" s="24"/>
      <c r="I14324" s="24"/>
      <c r="J14324" s="24"/>
      <c r="K14324" s="24"/>
      <c r="L14324" s="24"/>
      <c r="M14324" s="24"/>
      <c r="N14324" s="24"/>
      <c r="O14324" s="24"/>
      <c r="P14324" s="24"/>
      <c r="Q14324" s="24"/>
      <c r="R14324" s="24"/>
      <c r="S14324" s="24"/>
      <c r="T14324" s="24"/>
      <c r="U14324" s="24"/>
      <c r="V14324" s="24"/>
      <c r="W14324" s="24"/>
      <c r="X14324" s="24"/>
      <c r="Y14324" s="24"/>
      <c r="Z14324" s="24"/>
      <c r="AA14324" s="24"/>
    </row>
    <row r="14325">
      <c r="A14325" s="24"/>
      <c r="B14325" s="25"/>
      <c r="C14325" s="24"/>
      <c r="D14325" s="26"/>
      <c r="E14325" s="24"/>
      <c r="F14325" s="24"/>
      <c r="G14325" s="24"/>
      <c r="H14325" s="24"/>
      <c r="I14325" s="24"/>
      <c r="J14325" s="24"/>
      <c r="K14325" s="24"/>
      <c r="L14325" s="24"/>
      <c r="M14325" s="24"/>
      <c r="N14325" s="24"/>
      <c r="O14325" s="24"/>
      <c r="P14325" s="24"/>
      <c r="Q14325" s="24"/>
      <c r="R14325" s="24"/>
      <c r="S14325" s="24"/>
      <c r="T14325" s="24"/>
      <c r="U14325" s="24"/>
      <c r="V14325" s="24"/>
      <c r="W14325" s="24"/>
      <c r="X14325" s="24"/>
      <c r="Y14325" s="24"/>
      <c r="Z14325" s="24"/>
      <c r="AA14325" s="24"/>
    </row>
    <row r="14326">
      <c r="A14326" s="24"/>
      <c r="B14326" s="25"/>
      <c r="C14326" s="24"/>
      <c r="D14326" s="26"/>
      <c r="E14326" s="24"/>
      <c r="F14326" s="24"/>
      <c r="G14326" s="24"/>
      <c r="H14326" s="24"/>
      <c r="I14326" s="24"/>
      <c r="J14326" s="24"/>
      <c r="K14326" s="24"/>
      <c r="L14326" s="24"/>
      <c r="M14326" s="24"/>
      <c r="N14326" s="24"/>
      <c r="O14326" s="24"/>
      <c r="P14326" s="24"/>
      <c r="Q14326" s="24"/>
      <c r="R14326" s="24"/>
      <c r="S14326" s="24"/>
      <c r="T14326" s="24"/>
      <c r="U14326" s="24"/>
      <c r="V14326" s="24"/>
      <c r="W14326" s="24"/>
      <c r="X14326" s="24"/>
      <c r="Y14326" s="24"/>
      <c r="Z14326" s="24"/>
      <c r="AA14326" s="24"/>
    </row>
    <row r="14327">
      <c r="A14327" s="24"/>
      <c r="B14327" s="25"/>
      <c r="C14327" s="24"/>
      <c r="D14327" s="26"/>
      <c r="E14327" s="24"/>
      <c r="F14327" s="24"/>
      <c r="G14327" s="24"/>
      <c r="H14327" s="24"/>
      <c r="I14327" s="24"/>
      <c r="J14327" s="24"/>
      <c r="K14327" s="24"/>
      <c r="L14327" s="24"/>
      <c r="M14327" s="24"/>
      <c r="N14327" s="24"/>
      <c r="O14327" s="24"/>
      <c r="P14327" s="24"/>
      <c r="Q14327" s="24"/>
      <c r="R14327" s="24"/>
      <c r="S14327" s="24"/>
      <c r="T14327" s="24"/>
      <c r="U14327" s="24"/>
      <c r="V14327" s="24"/>
      <c r="W14327" s="24"/>
      <c r="X14327" s="24"/>
      <c r="Y14327" s="24"/>
      <c r="Z14327" s="24"/>
      <c r="AA14327" s="24"/>
    </row>
    <row r="14328">
      <c r="A14328" s="24"/>
      <c r="B14328" s="25"/>
      <c r="C14328" s="24"/>
      <c r="D14328" s="26"/>
      <c r="E14328" s="24"/>
      <c r="F14328" s="24"/>
      <c r="G14328" s="24"/>
      <c r="H14328" s="24"/>
      <c r="I14328" s="24"/>
      <c r="J14328" s="24"/>
      <c r="K14328" s="24"/>
      <c r="L14328" s="24"/>
      <c r="M14328" s="24"/>
      <c r="N14328" s="24"/>
      <c r="O14328" s="24"/>
      <c r="P14328" s="24"/>
      <c r="Q14328" s="24"/>
      <c r="R14328" s="24"/>
      <c r="S14328" s="24"/>
      <c r="T14328" s="24"/>
      <c r="U14328" s="24"/>
      <c r="V14328" s="24"/>
      <c r="W14328" s="24"/>
      <c r="X14328" s="24"/>
      <c r="Y14328" s="24"/>
      <c r="Z14328" s="24"/>
      <c r="AA14328" s="24"/>
    </row>
    <row r="14329">
      <c r="A14329" s="24"/>
      <c r="B14329" s="25"/>
      <c r="C14329" s="24"/>
      <c r="D14329" s="26"/>
      <c r="E14329" s="24"/>
      <c r="F14329" s="24"/>
      <c r="G14329" s="24"/>
      <c r="H14329" s="24"/>
      <c r="I14329" s="24"/>
      <c r="J14329" s="24"/>
      <c r="K14329" s="24"/>
      <c r="L14329" s="24"/>
      <c r="M14329" s="24"/>
      <c r="N14329" s="24"/>
      <c r="O14329" s="24"/>
      <c r="P14329" s="24"/>
      <c r="Q14329" s="24"/>
      <c r="R14329" s="24"/>
      <c r="S14329" s="24"/>
      <c r="T14329" s="24"/>
      <c r="U14329" s="24"/>
      <c r="V14329" s="24"/>
      <c r="W14329" s="24"/>
      <c r="X14329" s="24"/>
      <c r="Y14329" s="24"/>
      <c r="Z14329" s="24"/>
      <c r="AA14329" s="24"/>
    </row>
    <row r="14330">
      <c r="A14330" s="24"/>
      <c r="B14330" s="25"/>
      <c r="C14330" s="24"/>
      <c r="D14330" s="26"/>
      <c r="E14330" s="24"/>
      <c r="F14330" s="24"/>
      <c r="G14330" s="24"/>
      <c r="H14330" s="24"/>
      <c r="I14330" s="24"/>
      <c r="J14330" s="24"/>
      <c r="K14330" s="24"/>
      <c r="L14330" s="24"/>
      <c r="M14330" s="24"/>
      <c r="N14330" s="24"/>
      <c r="O14330" s="24"/>
      <c r="P14330" s="24"/>
      <c r="Q14330" s="24"/>
      <c r="R14330" s="24"/>
      <c r="S14330" s="24"/>
      <c r="T14330" s="24"/>
      <c r="U14330" s="24"/>
      <c r="V14330" s="24"/>
      <c r="W14330" s="24"/>
      <c r="X14330" s="24"/>
      <c r="Y14330" s="24"/>
      <c r="Z14330" s="24"/>
      <c r="AA14330" s="24"/>
    </row>
    <row r="14331">
      <c r="A14331" s="24"/>
      <c r="B14331" s="25"/>
      <c r="C14331" s="24"/>
      <c r="D14331" s="26"/>
      <c r="E14331" s="24"/>
      <c r="F14331" s="24"/>
      <c r="G14331" s="24"/>
      <c r="H14331" s="24"/>
      <c r="I14331" s="24"/>
      <c r="J14331" s="24"/>
      <c r="K14331" s="24"/>
      <c r="L14331" s="24"/>
      <c r="M14331" s="24"/>
      <c r="N14331" s="24"/>
      <c r="O14331" s="24"/>
      <c r="P14331" s="24"/>
      <c r="Q14331" s="24"/>
      <c r="R14331" s="24"/>
      <c r="S14331" s="24"/>
      <c r="T14331" s="24"/>
      <c r="U14331" s="24"/>
      <c r="V14331" s="24"/>
      <c r="W14331" s="24"/>
      <c r="X14331" s="24"/>
      <c r="Y14331" s="24"/>
      <c r="Z14331" s="24"/>
      <c r="AA14331" s="24"/>
    </row>
    <row r="14332">
      <c r="A14332" s="24"/>
      <c r="B14332" s="25"/>
      <c r="C14332" s="24"/>
      <c r="D14332" s="26"/>
      <c r="E14332" s="24"/>
      <c r="F14332" s="24"/>
      <c r="G14332" s="24"/>
      <c r="H14332" s="24"/>
      <c r="I14332" s="24"/>
      <c r="J14332" s="24"/>
      <c r="K14332" s="24"/>
      <c r="L14332" s="24"/>
      <c r="M14332" s="24"/>
      <c r="N14332" s="24"/>
      <c r="O14332" s="24"/>
      <c r="P14332" s="24"/>
      <c r="Q14332" s="24"/>
      <c r="R14332" s="24"/>
      <c r="S14332" s="24"/>
      <c r="T14332" s="24"/>
      <c r="U14332" s="24"/>
      <c r="V14332" s="24"/>
      <c r="W14332" s="24"/>
      <c r="X14332" s="24"/>
      <c r="Y14332" s="24"/>
      <c r="Z14332" s="24"/>
      <c r="AA14332" s="24"/>
    </row>
    <row r="14333">
      <c r="A14333" s="24"/>
      <c r="B14333" s="25"/>
      <c r="C14333" s="24"/>
      <c r="D14333" s="26"/>
      <c r="E14333" s="24"/>
      <c r="F14333" s="24"/>
      <c r="G14333" s="24"/>
      <c r="H14333" s="24"/>
      <c r="I14333" s="24"/>
      <c r="J14333" s="24"/>
      <c r="K14333" s="24"/>
      <c r="L14333" s="24"/>
      <c r="M14333" s="24"/>
      <c r="N14333" s="24"/>
      <c r="O14333" s="24"/>
      <c r="P14333" s="24"/>
      <c r="Q14333" s="24"/>
      <c r="R14333" s="24"/>
      <c r="S14333" s="24"/>
      <c r="T14333" s="24"/>
      <c r="U14333" s="24"/>
      <c r="V14333" s="24"/>
      <c r="W14333" s="24"/>
      <c r="X14333" s="24"/>
      <c r="Y14333" s="24"/>
      <c r="Z14333" s="24"/>
      <c r="AA14333" s="24"/>
    </row>
    <row r="14334">
      <c r="A14334" s="24"/>
      <c r="B14334" s="25"/>
      <c r="C14334" s="24"/>
      <c r="D14334" s="26"/>
      <c r="E14334" s="24"/>
      <c r="F14334" s="24"/>
      <c r="G14334" s="24"/>
      <c r="H14334" s="24"/>
      <c r="I14334" s="24"/>
      <c r="J14334" s="24"/>
      <c r="K14334" s="24"/>
      <c r="L14334" s="24"/>
      <c r="M14334" s="24"/>
      <c r="N14334" s="24"/>
      <c r="O14334" s="24"/>
      <c r="P14334" s="24"/>
      <c r="Q14334" s="24"/>
      <c r="R14334" s="24"/>
      <c r="S14334" s="24"/>
      <c r="T14334" s="24"/>
      <c r="U14334" s="24"/>
      <c r="V14334" s="24"/>
      <c r="W14334" s="24"/>
      <c r="X14334" s="24"/>
      <c r="Y14334" s="24"/>
      <c r="Z14334" s="24"/>
      <c r="AA14334" s="24"/>
    </row>
    <row r="14335">
      <c r="A14335" s="24"/>
      <c r="B14335" s="25"/>
      <c r="C14335" s="24"/>
      <c r="D14335" s="26"/>
      <c r="E14335" s="24"/>
      <c r="F14335" s="24"/>
      <c r="G14335" s="24"/>
      <c r="H14335" s="24"/>
      <c r="I14335" s="24"/>
      <c r="J14335" s="24"/>
      <c r="K14335" s="24"/>
      <c r="L14335" s="24"/>
      <c r="M14335" s="24"/>
      <c r="N14335" s="24"/>
      <c r="O14335" s="24"/>
      <c r="P14335" s="24"/>
      <c r="Q14335" s="24"/>
      <c r="R14335" s="24"/>
      <c r="S14335" s="24"/>
      <c r="T14335" s="24"/>
      <c r="U14335" s="24"/>
      <c r="V14335" s="24"/>
      <c r="W14335" s="24"/>
      <c r="X14335" s="24"/>
      <c r="Y14335" s="24"/>
      <c r="Z14335" s="24"/>
      <c r="AA14335" s="24"/>
    </row>
    <row r="14336">
      <c r="A14336" s="24"/>
      <c r="B14336" s="25"/>
      <c r="C14336" s="24"/>
      <c r="D14336" s="26"/>
      <c r="E14336" s="24"/>
      <c r="F14336" s="24"/>
      <c r="G14336" s="24"/>
      <c r="H14336" s="24"/>
      <c r="I14336" s="24"/>
      <c r="J14336" s="24"/>
      <c r="K14336" s="24"/>
      <c r="L14336" s="24"/>
      <c r="M14336" s="24"/>
      <c r="N14336" s="24"/>
      <c r="O14336" s="24"/>
      <c r="P14336" s="24"/>
      <c r="Q14336" s="24"/>
      <c r="R14336" s="24"/>
      <c r="S14336" s="24"/>
      <c r="T14336" s="24"/>
      <c r="U14336" s="24"/>
      <c r="V14336" s="24"/>
      <c r="W14336" s="24"/>
      <c r="X14336" s="24"/>
      <c r="Y14336" s="24"/>
      <c r="Z14336" s="24"/>
      <c r="AA14336" s="24"/>
    </row>
    <row r="14337">
      <c r="A14337" s="24"/>
      <c r="B14337" s="25"/>
      <c r="C14337" s="24"/>
      <c r="D14337" s="26"/>
      <c r="E14337" s="24"/>
      <c r="F14337" s="24"/>
      <c r="G14337" s="24"/>
      <c r="H14337" s="24"/>
      <c r="I14337" s="24"/>
      <c r="J14337" s="24"/>
      <c r="K14337" s="24"/>
      <c r="L14337" s="24"/>
      <c r="M14337" s="24"/>
      <c r="N14337" s="24"/>
      <c r="O14337" s="24"/>
      <c r="P14337" s="24"/>
      <c r="Q14337" s="24"/>
      <c r="R14337" s="24"/>
      <c r="S14337" s="24"/>
      <c r="T14337" s="24"/>
      <c r="U14337" s="24"/>
      <c r="V14337" s="24"/>
      <c r="W14337" s="24"/>
      <c r="X14337" s="24"/>
      <c r="Y14337" s="24"/>
      <c r="Z14337" s="24"/>
      <c r="AA14337" s="24"/>
    </row>
    <row r="14338">
      <c r="A14338" s="24"/>
      <c r="B14338" s="25"/>
      <c r="C14338" s="24"/>
      <c r="D14338" s="26"/>
      <c r="E14338" s="24"/>
      <c r="F14338" s="24"/>
      <c r="G14338" s="24"/>
      <c r="H14338" s="24"/>
      <c r="I14338" s="24"/>
      <c r="J14338" s="24"/>
      <c r="K14338" s="24"/>
      <c r="L14338" s="24"/>
      <c r="M14338" s="24"/>
      <c r="N14338" s="24"/>
      <c r="O14338" s="24"/>
      <c r="P14338" s="24"/>
      <c r="Q14338" s="24"/>
      <c r="R14338" s="24"/>
      <c r="S14338" s="24"/>
      <c r="T14338" s="24"/>
      <c r="U14338" s="24"/>
      <c r="V14338" s="24"/>
      <c r="W14338" s="24"/>
      <c r="X14338" s="24"/>
      <c r="Y14338" s="24"/>
      <c r="Z14338" s="24"/>
      <c r="AA14338" s="24"/>
    </row>
    <row r="14339">
      <c r="A14339" s="24"/>
      <c r="B14339" s="25"/>
      <c r="C14339" s="24"/>
      <c r="D14339" s="26"/>
      <c r="E14339" s="24"/>
      <c r="F14339" s="24"/>
      <c r="G14339" s="24"/>
      <c r="H14339" s="24"/>
      <c r="I14339" s="24"/>
      <c r="J14339" s="24"/>
      <c r="K14339" s="24"/>
      <c r="L14339" s="24"/>
      <c r="M14339" s="24"/>
      <c r="N14339" s="24"/>
      <c r="O14339" s="24"/>
      <c r="P14339" s="24"/>
      <c r="Q14339" s="24"/>
      <c r="R14339" s="24"/>
      <c r="S14339" s="24"/>
      <c r="T14339" s="24"/>
      <c r="U14339" s="24"/>
      <c r="V14339" s="24"/>
      <c r="W14339" s="24"/>
      <c r="X14339" s="24"/>
      <c r="Y14339" s="24"/>
      <c r="Z14339" s="24"/>
      <c r="AA14339" s="24"/>
    </row>
    <row r="14340">
      <c r="A14340" s="24"/>
      <c r="B14340" s="25"/>
      <c r="C14340" s="24"/>
      <c r="D14340" s="26"/>
      <c r="E14340" s="24"/>
      <c r="F14340" s="24"/>
      <c r="G14340" s="24"/>
      <c r="H14340" s="24"/>
      <c r="I14340" s="24"/>
      <c r="J14340" s="24"/>
      <c r="K14340" s="24"/>
      <c r="L14340" s="24"/>
      <c r="M14340" s="24"/>
      <c r="N14340" s="24"/>
      <c r="O14340" s="24"/>
      <c r="P14340" s="24"/>
      <c r="Q14340" s="24"/>
      <c r="R14340" s="24"/>
      <c r="S14340" s="24"/>
      <c r="T14340" s="24"/>
      <c r="U14340" s="24"/>
      <c r="V14340" s="24"/>
      <c r="W14340" s="24"/>
      <c r="X14340" s="24"/>
      <c r="Y14340" s="24"/>
      <c r="Z14340" s="24"/>
      <c r="AA14340" s="24"/>
    </row>
    <row r="14341">
      <c r="A14341" s="24"/>
      <c r="B14341" s="25"/>
      <c r="C14341" s="24"/>
      <c r="D14341" s="26"/>
      <c r="E14341" s="24"/>
      <c r="F14341" s="24"/>
      <c r="G14341" s="24"/>
      <c r="H14341" s="24"/>
      <c r="I14341" s="24"/>
      <c r="J14341" s="24"/>
      <c r="K14341" s="24"/>
      <c r="L14341" s="24"/>
      <c r="M14341" s="24"/>
      <c r="N14341" s="24"/>
      <c r="O14341" s="24"/>
      <c r="P14341" s="24"/>
      <c r="Q14341" s="24"/>
      <c r="R14341" s="24"/>
      <c r="S14341" s="24"/>
      <c r="T14341" s="24"/>
      <c r="U14341" s="24"/>
      <c r="V14341" s="24"/>
      <c r="W14341" s="24"/>
      <c r="X14341" s="24"/>
      <c r="Y14341" s="24"/>
      <c r="Z14341" s="24"/>
      <c r="AA14341" s="24"/>
    </row>
    <row r="14342">
      <c r="A14342" s="24"/>
      <c r="B14342" s="25"/>
      <c r="C14342" s="24"/>
      <c r="D14342" s="26"/>
      <c r="E14342" s="24"/>
      <c r="F14342" s="24"/>
      <c r="G14342" s="24"/>
      <c r="H14342" s="24"/>
      <c r="I14342" s="24"/>
      <c r="J14342" s="24"/>
      <c r="K14342" s="24"/>
      <c r="L14342" s="24"/>
      <c r="M14342" s="24"/>
      <c r="N14342" s="24"/>
      <c r="O14342" s="24"/>
      <c r="P14342" s="24"/>
      <c r="Q14342" s="24"/>
      <c r="R14342" s="24"/>
      <c r="S14342" s="24"/>
      <c r="T14342" s="24"/>
      <c r="U14342" s="24"/>
      <c r="V14342" s="24"/>
      <c r="W14342" s="24"/>
      <c r="X14342" s="24"/>
      <c r="Y14342" s="24"/>
      <c r="Z14342" s="24"/>
      <c r="AA14342" s="24"/>
    </row>
    <row r="14343">
      <c r="A14343" s="24"/>
      <c r="B14343" s="25"/>
      <c r="C14343" s="24"/>
      <c r="D14343" s="26"/>
      <c r="E14343" s="24"/>
      <c r="F14343" s="24"/>
      <c r="G14343" s="24"/>
      <c r="H14343" s="24"/>
      <c r="I14343" s="24"/>
      <c r="J14343" s="24"/>
      <c r="K14343" s="24"/>
      <c r="L14343" s="24"/>
      <c r="M14343" s="24"/>
      <c r="N14343" s="24"/>
      <c r="O14343" s="24"/>
      <c r="P14343" s="24"/>
      <c r="Q14343" s="24"/>
      <c r="R14343" s="24"/>
      <c r="S14343" s="24"/>
      <c r="T14343" s="24"/>
      <c r="U14343" s="24"/>
      <c r="V14343" s="24"/>
      <c r="W14343" s="24"/>
      <c r="X14343" s="24"/>
      <c r="Y14343" s="24"/>
      <c r="Z14343" s="24"/>
      <c r="AA14343" s="24"/>
    </row>
    <row r="14344">
      <c r="A14344" s="24"/>
      <c r="B14344" s="25"/>
      <c r="C14344" s="24"/>
      <c r="D14344" s="26"/>
      <c r="E14344" s="24"/>
      <c r="F14344" s="24"/>
      <c r="G14344" s="24"/>
      <c r="H14344" s="24"/>
      <c r="I14344" s="24"/>
      <c r="J14344" s="24"/>
      <c r="K14344" s="24"/>
      <c r="L14344" s="24"/>
      <c r="M14344" s="24"/>
      <c r="N14344" s="24"/>
      <c r="O14344" s="24"/>
      <c r="P14344" s="24"/>
      <c r="Q14344" s="24"/>
      <c r="R14344" s="24"/>
      <c r="S14344" s="24"/>
      <c r="T14344" s="24"/>
      <c r="U14344" s="24"/>
      <c r="V14344" s="24"/>
      <c r="W14344" s="24"/>
      <c r="X14344" s="24"/>
      <c r="Y14344" s="24"/>
      <c r="Z14344" s="24"/>
      <c r="AA14344" s="24"/>
    </row>
    <row r="14345">
      <c r="A14345" s="24"/>
      <c r="B14345" s="25"/>
      <c r="C14345" s="24"/>
      <c r="D14345" s="26"/>
      <c r="E14345" s="24"/>
      <c r="F14345" s="24"/>
      <c r="G14345" s="24"/>
      <c r="H14345" s="24"/>
      <c r="I14345" s="24"/>
      <c r="J14345" s="24"/>
      <c r="K14345" s="24"/>
      <c r="L14345" s="24"/>
      <c r="M14345" s="24"/>
      <c r="N14345" s="24"/>
      <c r="O14345" s="24"/>
      <c r="P14345" s="24"/>
      <c r="Q14345" s="24"/>
      <c r="R14345" s="24"/>
      <c r="S14345" s="24"/>
      <c r="T14345" s="24"/>
      <c r="U14345" s="24"/>
      <c r="V14345" s="24"/>
      <c r="W14345" s="24"/>
      <c r="X14345" s="24"/>
      <c r="Y14345" s="24"/>
      <c r="Z14345" s="24"/>
      <c r="AA14345" s="24"/>
    </row>
    <row r="14346">
      <c r="A14346" s="24"/>
      <c r="B14346" s="25"/>
      <c r="C14346" s="24"/>
      <c r="D14346" s="26"/>
      <c r="E14346" s="24"/>
      <c r="F14346" s="24"/>
      <c r="G14346" s="24"/>
      <c r="H14346" s="24"/>
      <c r="I14346" s="24"/>
      <c r="J14346" s="24"/>
      <c r="K14346" s="24"/>
      <c r="L14346" s="24"/>
      <c r="M14346" s="24"/>
      <c r="N14346" s="24"/>
      <c r="O14346" s="24"/>
      <c r="P14346" s="24"/>
      <c r="Q14346" s="24"/>
      <c r="R14346" s="24"/>
      <c r="S14346" s="24"/>
      <c r="T14346" s="24"/>
      <c r="U14346" s="24"/>
      <c r="V14346" s="24"/>
      <c r="W14346" s="24"/>
      <c r="X14346" s="24"/>
      <c r="Y14346" s="24"/>
      <c r="Z14346" s="24"/>
      <c r="AA14346" s="24"/>
    </row>
    <row r="14347">
      <c r="A14347" s="24"/>
      <c r="B14347" s="25"/>
      <c r="C14347" s="24"/>
      <c r="D14347" s="26"/>
      <c r="E14347" s="24"/>
      <c r="F14347" s="24"/>
      <c r="G14347" s="24"/>
      <c r="H14347" s="24"/>
      <c r="I14347" s="24"/>
      <c r="J14347" s="24"/>
      <c r="K14347" s="24"/>
      <c r="L14347" s="24"/>
      <c r="M14347" s="24"/>
      <c r="N14347" s="24"/>
      <c r="O14347" s="24"/>
      <c r="P14347" s="24"/>
      <c r="Q14347" s="24"/>
      <c r="R14347" s="24"/>
      <c r="S14347" s="24"/>
      <c r="T14347" s="24"/>
      <c r="U14347" s="24"/>
      <c r="V14347" s="24"/>
      <c r="W14347" s="24"/>
      <c r="X14347" s="24"/>
      <c r="Y14347" s="24"/>
      <c r="Z14347" s="24"/>
      <c r="AA14347" s="24"/>
    </row>
    <row r="14348">
      <c r="A14348" s="24"/>
      <c r="B14348" s="25"/>
      <c r="C14348" s="24"/>
      <c r="D14348" s="26"/>
      <c r="E14348" s="24"/>
      <c r="F14348" s="24"/>
      <c r="G14348" s="24"/>
      <c r="H14348" s="24"/>
      <c r="I14348" s="24"/>
      <c r="J14348" s="24"/>
      <c r="K14348" s="24"/>
      <c r="L14348" s="24"/>
      <c r="M14348" s="24"/>
      <c r="N14348" s="24"/>
      <c r="O14348" s="24"/>
      <c r="P14348" s="24"/>
      <c r="Q14348" s="24"/>
      <c r="R14348" s="24"/>
      <c r="S14348" s="24"/>
      <c r="T14348" s="24"/>
      <c r="U14348" s="24"/>
      <c r="V14348" s="24"/>
      <c r="W14348" s="24"/>
      <c r="X14348" s="24"/>
      <c r="Y14348" s="24"/>
      <c r="Z14348" s="24"/>
      <c r="AA14348" s="24"/>
    </row>
    <row r="14349">
      <c r="A14349" s="24"/>
      <c r="B14349" s="25"/>
      <c r="C14349" s="24"/>
      <c r="D14349" s="26"/>
      <c r="E14349" s="24"/>
      <c r="F14349" s="24"/>
      <c r="G14349" s="24"/>
      <c r="H14349" s="24"/>
      <c r="I14349" s="24"/>
      <c r="J14349" s="24"/>
      <c r="K14349" s="24"/>
      <c r="L14349" s="24"/>
      <c r="M14349" s="24"/>
      <c r="N14349" s="24"/>
      <c r="O14349" s="24"/>
      <c r="P14349" s="24"/>
      <c r="Q14349" s="24"/>
      <c r="R14349" s="24"/>
      <c r="S14349" s="24"/>
      <c r="T14349" s="24"/>
      <c r="U14349" s="24"/>
      <c r="V14349" s="24"/>
      <c r="W14349" s="24"/>
      <c r="X14349" s="24"/>
      <c r="Y14349" s="24"/>
      <c r="Z14349" s="24"/>
      <c r="AA14349" s="24"/>
    </row>
    <row r="14350">
      <c r="A14350" s="24"/>
      <c r="B14350" s="25"/>
      <c r="C14350" s="24"/>
      <c r="D14350" s="26"/>
      <c r="E14350" s="24"/>
      <c r="F14350" s="24"/>
      <c r="G14350" s="24"/>
      <c r="H14350" s="24"/>
      <c r="I14350" s="24"/>
      <c r="J14350" s="24"/>
      <c r="K14350" s="24"/>
      <c r="L14350" s="24"/>
      <c r="M14350" s="24"/>
      <c r="N14350" s="24"/>
      <c r="O14350" s="24"/>
      <c r="P14350" s="24"/>
      <c r="Q14350" s="24"/>
      <c r="R14350" s="24"/>
      <c r="S14350" s="24"/>
      <c r="T14350" s="24"/>
      <c r="U14350" s="24"/>
      <c r="V14350" s="24"/>
      <c r="W14350" s="24"/>
      <c r="X14350" s="24"/>
      <c r="Y14350" s="24"/>
      <c r="Z14350" s="24"/>
      <c r="AA14350" s="24"/>
    </row>
    <row r="14351">
      <c r="A14351" s="24"/>
      <c r="B14351" s="25"/>
      <c r="C14351" s="24"/>
      <c r="D14351" s="26"/>
      <c r="E14351" s="24"/>
      <c r="F14351" s="24"/>
      <c r="G14351" s="24"/>
      <c r="H14351" s="24"/>
      <c r="I14351" s="24"/>
      <c r="J14351" s="24"/>
      <c r="K14351" s="24"/>
      <c r="L14351" s="24"/>
      <c r="M14351" s="24"/>
      <c r="N14351" s="24"/>
      <c r="O14351" s="24"/>
      <c r="P14351" s="24"/>
      <c r="Q14351" s="24"/>
      <c r="R14351" s="24"/>
      <c r="S14351" s="24"/>
      <c r="T14351" s="24"/>
      <c r="U14351" s="24"/>
      <c r="V14351" s="24"/>
      <c r="W14351" s="24"/>
      <c r="X14351" s="24"/>
      <c r="Y14351" s="24"/>
      <c r="Z14351" s="24"/>
      <c r="AA14351" s="24"/>
    </row>
    <row r="14352">
      <c r="A14352" s="24"/>
      <c r="B14352" s="25"/>
      <c r="C14352" s="24"/>
      <c r="D14352" s="26"/>
      <c r="E14352" s="24"/>
      <c r="F14352" s="24"/>
      <c r="G14352" s="24"/>
      <c r="H14352" s="24"/>
      <c r="I14352" s="24"/>
      <c r="J14352" s="24"/>
      <c r="K14352" s="24"/>
      <c r="L14352" s="24"/>
      <c r="M14352" s="24"/>
      <c r="N14352" s="24"/>
      <c r="O14352" s="24"/>
      <c r="P14352" s="24"/>
      <c r="Q14352" s="24"/>
      <c r="R14352" s="24"/>
      <c r="S14352" s="24"/>
      <c r="T14352" s="24"/>
      <c r="U14352" s="24"/>
      <c r="V14352" s="24"/>
      <c r="W14352" s="24"/>
      <c r="X14352" s="24"/>
      <c r="Y14352" s="24"/>
      <c r="Z14352" s="24"/>
      <c r="AA14352" s="24"/>
    </row>
    <row r="14353">
      <c r="A14353" s="24"/>
      <c r="B14353" s="25"/>
      <c r="C14353" s="24"/>
      <c r="D14353" s="26"/>
      <c r="E14353" s="24"/>
      <c r="F14353" s="24"/>
      <c r="G14353" s="24"/>
      <c r="H14353" s="24"/>
      <c r="I14353" s="24"/>
      <c r="J14353" s="24"/>
      <c r="K14353" s="24"/>
      <c r="L14353" s="24"/>
      <c r="M14353" s="24"/>
      <c r="N14353" s="24"/>
      <c r="O14353" s="24"/>
      <c r="P14353" s="24"/>
      <c r="Q14353" s="24"/>
      <c r="R14353" s="24"/>
      <c r="S14353" s="24"/>
      <c r="T14353" s="24"/>
      <c r="U14353" s="24"/>
      <c r="V14353" s="24"/>
      <c r="W14353" s="24"/>
      <c r="X14353" s="24"/>
      <c r="Y14353" s="24"/>
      <c r="Z14353" s="24"/>
      <c r="AA14353" s="24"/>
    </row>
    <row r="14354">
      <c r="A14354" s="24"/>
      <c r="B14354" s="25"/>
      <c r="C14354" s="24"/>
      <c r="D14354" s="26"/>
      <c r="E14354" s="24"/>
      <c r="F14354" s="24"/>
      <c r="G14354" s="24"/>
      <c r="H14354" s="24"/>
      <c r="I14354" s="24"/>
      <c r="J14354" s="24"/>
      <c r="K14354" s="24"/>
      <c r="L14354" s="24"/>
      <c r="M14354" s="24"/>
      <c r="N14354" s="24"/>
      <c r="O14354" s="24"/>
      <c r="P14354" s="24"/>
      <c r="Q14354" s="24"/>
      <c r="R14354" s="24"/>
      <c r="S14354" s="24"/>
      <c r="T14354" s="24"/>
      <c r="U14354" s="24"/>
      <c r="V14354" s="24"/>
      <c r="W14354" s="24"/>
      <c r="X14354" s="24"/>
      <c r="Y14354" s="24"/>
      <c r="Z14354" s="24"/>
      <c r="AA14354" s="24"/>
    </row>
    <row r="14355">
      <c r="A14355" s="24"/>
      <c r="B14355" s="25"/>
      <c r="C14355" s="24"/>
      <c r="D14355" s="26"/>
      <c r="E14355" s="24"/>
      <c r="F14355" s="24"/>
      <c r="G14355" s="24"/>
      <c r="H14355" s="24"/>
      <c r="I14355" s="24"/>
      <c r="J14355" s="24"/>
      <c r="K14355" s="24"/>
      <c r="L14355" s="24"/>
      <c r="M14355" s="24"/>
      <c r="N14355" s="24"/>
      <c r="O14355" s="24"/>
      <c r="P14355" s="24"/>
      <c r="Q14355" s="24"/>
      <c r="R14355" s="24"/>
      <c r="S14355" s="24"/>
      <c r="T14355" s="24"/>
      <c r="U14355" s="24"/>
      <c r="V14355" s="24"/>
      <c r="W14355" s="24"/>
      <c r="X14355" s="24"/>
      <c r="Y14355" s="24"/>
      <c r="Z14355" s="24"/>
      <c r="AA14355" s="24"/>
    </row>
    <row r="14356">
      <c r="A14356" s="24"/>
      <c r="B14356" s="25"/>
      <c r="C14356" s="24"/>
      <c r="D14356" s="26"/>
      <c r="E14356" s="24"/>
      <c r="F14356" s="24"/>
      <c r="G14356" s="24"/>
      <c r="H14356" s="24"/>
      <c r="I14356" s="24"/>
      <c r="J14356" s="24"/>
      <c r="K14356" s="24"/>
      <c r="L14356" s="24"/>
      <c r="M14356" s="24"/>
      <c r="N14356" s="24"/>
      <c r="O14356" s="24"/>
      <c r="P14356" s="24"/>
      <c r="Q14356" s="24"/>
      <c r="R14356" s="24"/>
      <c r="S14356" s="24"/>
      <c r="T14356" s="24"/>
      <c r="U14356" s="24"/>
      <c r="V14356" s="24"/>
      <c r="W14356" s="24"/>
      <c r="X14356" s="24"/>
      <c r="Y14356" s="24"/>
      <c r="Z14356" s="24"/>
      <c r="AA14356" s="24"/>
    </row>
    <row r="14357">
      <c r="A14357" s="24"/>
      <c r="B14357" s="25"/>
      <c r="C14357" s="24"/>
      <c r="D14357" s="26"/>
      <c r="E14357" s="24"/>
      <c r="F14357" s="24"/>
      <c r="G14357" s="24"/>
      <c r="H14357" s="24"/>
      <c r="I14357" s="24"/>
      <c r="J14357" s="24"/>
      <c r="K14357" s="24"/>
      <c r="L14357" s="24"/>
      <c r="M14357" s="24"/>
      <c r="N14357" s="24"/>
      <c r="O14357" s="24"/>
      <c r="P14357" s="24"/>
      <c r="Q14357" s="24"/>
      <c r="R14357" s="24"/>
      <c r="S14357" s="24"/>
      <c r="T14357" s="24"/>
      <c r="U14357" s="24"/>
      <c r="V14357" s="24"/>
      <c r="W14357" s="24"/>
      <c r="X14357" s="24"/>
      <c r="Y14357" s="24"/>
      <c r="Z14357" s="24"/>
      <c r="AA14357" s="24"/>
    </row>
    <row r="14358">
      <c r="A14358" s="24"/>
      <c r="B14358" s="25"/>
      <c r="C14358" s="24"/>
      <c r="D14358" s="26"/>
      <c r="E14358" s="24"/>
      <c r="F14358" s="24"/>
      <c r="G14358" s="24"/>
      <c r="H14358" s="24"/>
      <c r="I14358" s="24"/>
      <c r="J14358" s="24"/>
      <c r="K14358" s="24"/>
      <c r="L14358" s="24"/>
      <c r="M14358" s="24"/>
      <c r="N14358" s="24"/>
      <c r="O14358" s="24"/>
      <c r="P14358" s="24"/>
      <c r="Q14358" s="24"/>
      <c r="R14358" s="24"/>
      <c r="S14358" s="24"/>
      <c r="T14358" s="24"/>
      <c r="U14358" s="24"/>
      <c r="V14358" s="24"/>
      <c r="W14358" s="24"/>
      <c r="X14358" s="24"/>
      <c r="Y14358" s="24"/>
      <c r="Z14358" s="24"/>
      <c r="AA14358" s="24"/>
    </row>
    <row r="14359">
      <c r="A14359" s="24"/>
      <c r="B14359" s="25"/>
      <c r="C14359" s="24"/>
      <c r="D14359" s="26"/>
      <c r="E14359" s="24"/>
      <c r="F14359" s="24"/>
      <c r="G14359" s="24"/>
      <c r="H14359" s="24"/>
      <c r="I14359" s="24"/>
      <c r="J14359" s="24"/>
      <c r="K14359" s="24"/>
      <c r="L14359" s="24"/>
      <c r="M14359" s="24"/>
      <c r="N14359" s="24"/>
      <c r="O14359" s="24"/>
      <c r="P14359" s="24"/>
      <c r="Q14359" s="24"/>
      <c r="R14359" s="24"/>
      <c r="S14359" s="24"/>
      <c r="T14359" s="24"/>
      <c r="U14359" s="24"/>
      <c r="V14359" s="24"/>
      <c r="W14359" s="24"/>
      <c r="X14359" s="24"/>
      <c r="Y14359" s="24"/>
      <c r="Z14359" s="24"/>
      <c r="AA14359" s="24"/>
    </row>
    <row r="14360">
      <c r="A14360" s="24"/>
      <c r="B14360" s="25"/>
      <c r="C14360" s="24"/>
      <c r="D14360" s="26"/>
      <c r="E14360" s="24"/>
      <c r="F14360" s="24"/>
      <c r="G14360" s="24"/>
      <c r="H14360" s="24"/>
      <c r="I14360" s="24"/>
      <c r="J14360" s="24"/>
      <c r="K14360" s="24"/>
      <c r="L14360" s="24"/>
      <c r="M14360" s="24"/>
      <c r="N14360" s="24"/>
      <c r="O14360" s="24"/>
      <c r="P14360" s="24"/>
      <c r="Q14360" s="24"/>
      <c r="R14360" s="24"/>
      <c r="S14360" s="24"/>
      <c r="T14360" s="24"/>
      <c r="U14360" s="24"/>
      <c r="V14360" s="24"/>
      <c r="W14360" s="24"/>
      <c r="X14360" s="24"/>
      <c r="Y14360" s="24"/>
      <c r="Z14360" s="24"/>
      <c r="AA14360" s="24"/>
    </row>
    <row r="14361">
      <c r="A14361" s="24"/>
      <c r="B14361" s="25"/>
      <c r="C14361" s="24"/>
      <c r="D14361" s="26"/>
      <c r="E14361" s="24"/>
      <c r="F14361" s="24"/>
      <c r="G14361" s="24"/>
      <c r="H14361" s="24"/>
      <c r="I14361" s="24"/>
      <c r="J14361" s="24"/>
      <c r="K14361" s="24"/>
      <c r="L14361" s="24"/>
      <c r="M14361" s="24"/>
      <c r="N14361" s="24"/>
      <c r="O14361" s="24"/>
      <c r="P14361" s="24"/>
      <c r="Q14361" s="24"/>
      <c r="R14361" s="24"/>
      <c r="S14361" s="24"/>
      <c r="T14361" s="24"/>
      <c r="U14361" s="24"/>
      <c r="V14361" s="24"/>
      <c r="W14361" s="24"/>
      <c r="X14361" s="24"/>
      <c r="Y14361" s="24"/>
      <c r="Z14361" s="24"/>
      <c r="AA14361" s="24"/>
    </row>
    <row r="14362">
      <c r="A14362" s="24"/>
      <c r="B14362" s="25"/>
      <c r="C14362" s="24"/>
      <c r="D14362" s="26"/>
      <c r="E14362" s="24"/>
      <c r="F14362" s="24"/>
      <c r="G14362" s="24"/>
      <c r="H14362" s="24"/>
      <c r="I14362" s="24"/>
      <c r="J14362" s="24"/>
      <c r="K14362" s="24"/>
      <c r="L14362" s="24"/>
      <c r="M14362" s="24"/>
      <c r="N14362" s="24"/>
      <c r="O14362" s="24"/>
      <c r="P14362" s="24"/>
      <c r="Q14362" s="24"/>
      <c r="R14362" s="24"/>
      <c r="S14362" s="24"/>
      <c r="T14362" s="24"/>
      <c r="U14362" s="24"/>
      <c r="V14362" s="24"/>
      <c r="W14362" s="24"/>
      <c r="X14362" s="24"/>
      <c r="Y14362" s="24"/>
      <c r="Z14362" s="24"/>
      <c r="AA14362" s="24"/>
    </row>
    <row r="14363">
      <c r="A14363" s="24"/>
      <c r="B14363" s="25"/>
      <c r="C14363" s="24"/>
      <c r="D14363" s="26"/>
      <c r="E14363" s="24"/>
      <c r="F14363" s="24"/>
      <c r="G14363" s="24"/>
      <c r="H14363" s="24"/>
      <c r="I14363" s="24"/>
      <c r="J14363" s="24"/>
      <c r="K14363" s="24"/>
      <c r="L14363" s="24"/>
      <c r="M14363" s="24"/>
      <c r="N14363" s="24"/>
      <c r="O14363" s="24"/>
      <c r="P14363" s="24"/>
      <c r="Q14363" s="24"/>
      <c r="R14363" s="24"/>
      <c r="S14363" s="24"/>
      <c r="T14363" s="24"/>
      <c r="U14363" s="24"/>
      <c r="V14363" s="24"/>
      <c r="W14363" s="24"/>
      <c r="X14363" s="24"/>
      <c r="Y14363" s="24"/>
      <c r="Z14363" s="24"/>
      <c r="AA14363" s="24"/>
    </row>
    <row r="14364">
      <c r="A14364" s="24"/>
      <c r="B14364" s="25"/>
      <c r="C14364" s="24"/>
      <c r="D14364" s="26"/>
      <c r="E14364" s="24"/>
      <c r="F14364" s="24"/>
      <c r="G14364" s="24"/>
      <c r="H14364" s="24"/>
      <c r="I14364" s="24"/>
      <c r="J14364" s="24"/>
      <c r="K14364" s="24"/>
      <c r="L14364" s="24"/>
      <c r="M14364" s="24"/>
      <c r="N14364" s="24"/>
      <c r="O14364" s="24"/>
      <c r="P14364" s="24"/>
      <c r="Q14364" s="24"/>
      <c r="R14364" s="24"/>
      <c r="S14364" s="24"/>
      <c r="T14364" s="24"/>
      <c r="U14364" s="24"/>
      <c r="V14364" s="24"/>
      <c r="W14364" s="24"/>
      <c r="X14364" s="24"/>
      <c r="Y14364" s="24"/>
      <c r="Z14364" s="24"/>
      <c r="AA14364" s="24"/>
    </row>
    <row r="14365">
      <c r="A14365" s="24"/>
      <c r="B14365" s="25"/>
      <c r="C14365" s="24"/>
      <c r="D14365" s="26"/>
      <c r="E14365" s="24"/>
      <c r="F14365" s="24"/>
      <c r="G14365" s="24"/>
      <c r="H14365" s="24"/>
      <c r="I14365" s="24"/>
      <c r="J14365" s="24"/>
      <c r="K14365" s="24"/>
      <c r="L14365" s="24"/>
      <c r="M14365" s="24"/>
      <c r="N14365" s="24"/>
      <c r="O14365" s="24"/>
      <c r="P14365" s="24"/>
      <c r="Q14365" s="24"/>
      <c r="R14365" s="24"/>
      <c r="S14365" s="24"/>
      <c r="T14365" s="24"/>
      <c r="U14365" s="24"/>
      <c r="V14365" s="24"/>
      <c r="W14365" s="24"/>
      <c r="X14365" s="24"/>
      <c r="Y14365" s="24"/>
      <c r="Z14365" s="24"/>
      <c r="AA14365" s="24"/>
    </row>
    <row r="14366">
      <c r="A14366" s="24"/>
      <c r="B14366" s="25"/>
      <c r="C14366" s="24"/>
      <c r="D14366" s="26"/>
      <c r="E14366" s="24"/>
      <c r="F14366" s="24"/>
      <c r="G14366" s="24"/>
      <c r="H14366" s="24"/>
      <c r="I14366" s="24"/>
      <c r="J14366" s="24"/>
      <c r="K14366" s="24"/>
      <c r="L14366" s="24"/>
      <c r="M14366" s="24"/>
      <c r="N14366" s="24"/>
      <c r="O14366" s="24"/>
      <c r="P14366" s="24"/>
      <c r="Q14366" s="24"/>
      <c r="R14366" s="24"/>
      <c r="S14366" s="24"/>
      <c r="T14366" s="24"/>
      <c r="U14366" s="24"/>
      <c r="V14366" s="24"/>
      <c r="W14366" s="24"/>
      <c r="X14366" s="24"/>
      <c r="Y14366" s="24"/>
      <c r="Z14366" s="24"/>
      <c r="AA14366" s="24"/>
    </row>
    <row r="14367">
      <c r="A14367" s="24"/>
      <c r="B14367" s="25"/>
      <c r="C14367" s="24"/>
      <c r="D14367" s="26"/>
      <c r="E14367" s="24"/>
      <c r="F14367" s="24"/>
      <c r="G14367" s="24"/>
      <c r="H14367" s="24"/>
      <c r="I14367" s="24"/>
      <c r="J14367" s="24"/>
      <c r="K14367" s="24"/>
      <c r="L14367" s="24"/>
      <c r="M14367" s="24"/>
      <c r="N14367" s="24"/>
      <c r="O14367" s="24"/>
      <c r="P14367" s="24"/>
      <c r="Q14367" s="24"/>
      <c r="R14367" s="24"/>
      <c r="S14367" s="24"/>
      <c r="T14367" s="24"/>
      <c r="U14367" s="24"/>
      <c r="V14367" s="24"/>
      <c r="W14367" s="24"/>
      <c r="X14367" s="24"/>
      <c r="Y14367" s="24"/>
      <c r="Z14367" s="24"/>
      <c r="AA14367" s="24"/>
    </row>
    <row r="14368">
      <c r="A14368" s="24"/>
      <c r="B14368" s="25"/>
      <c r="C14368" s="24"/>
      <c r="D14368" s="26"/>
      <c r="E14368" s="24"/>
      <c r="F14368" s="24"/>
      <c r="G14368" s="24"/>
      <c r="H14368" s="24"/>
      <c r="I14368" s="24"/>
      <c r="J14368" s="24"/>
      <c r="K14368" s="24"/>
      <c r="L14368" s="24"/>
      <c r="M14368" s="24"/>
      <c r="N14368" s="24"/>
      <c r="O14368" s="24"/>
      <c r="P14368" s="24"/>
      <c r="Q14368" s="24"/>
      <c r="R14368" s="24"/>
      <c r="S14368" s="24"/>
      <c r="T14368" s="24"/>
      <c r="U14368" s="24"/>
      <c r="V14368" s="24"/>
      <c r="W14368" s="24"/>
      <c r="X14368" s="24"/>
      <c r="Y14368" s="24"/>
      <c r="Z14368" s="24"/>
      <c r="AA14368" s="24"/>
    </row>
    <row r="14369">
      <c r="A14369" s="24"/>
      <c r="B14369" s="25"/>
      <c r="C14369" s="24"/>
      <c r="D14369" s="26"/>
      <c r="E14369" s="24"/>
      <c r="F14369" s="24"/>
      <c r="G14369" s="24"/>
      <c r="H14369" s="24"/>
      <c r="I14369" s="24"/>
      <c r="J14369" s="24"/>
      <c r="K14369" s="24"/>
      <c r="L14369" s="24"/>
      <c r="M14369" s="24"/>
      <c r="N14369" s="24"/>
      <c r="O14369" s="24"/>
      <c r="P14369" s="24"/>
      <c r="Q14369" s="24"/>
      <c r="R14369" s="24"/>
      <c r="S14369" s="24"/>
      <c r="T14369" s="24"/>
      <c r="U14369" s="24"/>
      <c r="V14369" s="24"/>
      <c r="W14369" s="24"/>
      <c r="X14369" s="24"/>
      <c r="Y14369" s="24"/>
      <c r="Z14369" s="24"/>
      <c r="AA14369" s="24"/>
    </row>
    <row r="14370">
      <c r="A14370" s="24"/>
      <c r="B14370" s="25"/>
      <c r="C14370" s="24"/>
      <c r="D14370" s="26"/>
      <c r="E14370" s="24"/>
      <c r="F14370" s="24"/>
      <c r="G14370" s="24"/>
      <c r="H14370" s="24"/>
      <c r="I14370" s="24"/>
      <c r="J14370" s="24"/>
      <c r="K14370" s="24"/>
      <c r="L14370" s="24"/>
      <c r="M14370" s="24"/>
      <c r="N14370" s="24"/>
      <c r="O14370" s="24"/>
      <c r="P14370" s="24"/>
      <c r="Q14370" s="24"/>
      <c r="R14370" s="24"/>
      <c r="S14370" s="24"/>
      <c r="T14370" s="24"/>
      <c r="U14370" s="24"/>
      <c r="V14370" s="24"/>
      <c r="W14370" s="24"/>
      <c r="X14370" s="24"/>
      <c r="Y14370" s="24"/>
      <c r="Z14370" s="24"/>
      <c r="AA14370" s="24"/>
    </row>
    <row r="14371">
      <c r="A14371" s="24"/>
      <c r="B14371" s="25"/>
      <c r="C14371" s="24"/>
      <c r="D14371" s="26"/>
      <c r="E14371" s="24"/>
      <c r="F14371" s="24"/>
      <c r="G14371" s="24"/>
      <c r="H14371" s="24"/>
      <c r="I14371" s="24"/>
      <c r="J14371" s="24"/>
      <c r="K14371" s="24"/>
      <c r="L14371" s="24"/>
      <c r="M14371" s="24"/>
      <c r="N14371" s="24"/>
      <c r="O14371" s="24"/>
      <c r="P14371" s="24"/>
      <c r="Q14371" s="24"/>
      <c r="R14371" s="24"/>
      <c r="S14371" s="24"/>
      <c r="T14371" s="24"/>
      <c r="U14371" s="24"/>
      <c r="V14371" s="24"/>
      <c r="W14371" s="24"/>
      <c r="X14371" s="24"/>
      <c r="Y14371" s="24"/>
      <c r="Z14371" s="24"/>
      <c r="AA14371" s="24"/>
    </row>
    <row r="14372">
      <c r="A14372" s="24"/>
      <c r="B14372" s="25"/>
      <c r="C14372" s="24"/>
      <c r="D14372" s="26"/>
      <c r="E14372" s="24"/>
      <c r="F14372" s="24"/>
      <c r="G14372" s="24"/>
      <c r="H14372" s="24"/>
      <c r="I14372" s="24"/>
      <c r="J14372" s="24"/>
      <c r="K14372" s="24"/>
      <c r="L14372" s="24"/>
      <c r="M14372" s="24"/>
      <c r="N14372" s="24"/>
      <c r="O14372" s="24"/>
      <c r="P14372" s="24"/>
      <c r="Q14372" s="24"/>
      <c r="R14372" s="24"/>
      <c r="S14372" s="24"/>
      <c r="T14372" s="24"/>
      <c r="U14372" s="24"/>
      <c r="V14372" s="24"/>
      <c r="W14372" s="24"/>
      <c r="X14372" s="24"/>
      <c r="Y14372" s="24"/>
      <c r="Z14372" s="24"/>
      <c r="AA14372" s="24"/>
    </row>
    <row r="14373">
      <c r="A14373" s="24"/>
      <c r="B14373" s="25"/>
      <c r="C14373" s="24"/>
      <c r="D14373" s="26"/>
      <c r="E14373" s="24"/>
      <c r="F14373" s="24"/>
      <c r="G14373" s="24"/>
      <c r="H14373" s="24"/>
      <c r="I14373" s="24"/>
      <c r="J14373" s="24"/>
      <c r="K14373" s="24"/>
      <c r="L14373" s="24"/>
      <c r="M14373" s="24"/>
      <c r="N14373" s="24"/>
      <c r="O14373" s="24"/>
      <c r="P14373" s="24"/>
      <c r="Q14373" s="24"/>
      <c r="R14373" s="24"/>
      <c r="S14373" s="24"/>
      <c r="T14373" s="24"/>
      <c r="U14373" s="24"/>
      <c r="V14373" s="24"/>
      <c r="W14373" s="24"/>
      <c r="X14373" s="24"/>
      <c r="Y14373" s="24"/>
      <c r="Z14373" s="24"/>
      <c r="AA14373" s="24"/>
    </row>
    <row r="14374">
      <c r="A14374" s="24"/>
      <c r="B14374" s="25"/>
      <c r="C14374" s="24"/>
      <c r="D14374" s="26"/>
      <c r="E14374" s="24"/>
      <c r="F14374" s="24"/>
      <c r="G14374" s="24"/>
      <c r="H14374" s="24"/>
      <c r="I14374" s="24"/>
      <c r="J14374" s="24"/>
      <c r="K14374" s="24"/>
      <c r="L14374" s="24"/>
      <c r="M14374" s="24"/>
      <c r="N14374" s="24"/>
      <c r="O14374" s="24"/>
      <c r="P14374" s="24"/>
      <c r="Q14374" s="24"/>
      <c r="R14374" s="24"/>
      <c r="S14374" s="24"/>
      <c r="T14374" s="24"/>
      <c r="U14374" s="24"/>
      <c r="V14374" s="24"/>
      <c r="W14374" s="24"/>
      <c r="X14374" s="24"/>
      <c r="Y14374" s="24"/>
      <c r="Z14374" s="24"/>
      <c r="AA14374" s="24"/>
    </row>
    <row r="14375">
      <c r="A14375" s="24"/>
      <c r="B14375" s="25"/>
      <c r="C14375" s="24"/>
      <c r="D14375" s="26"/>
      <c r="E14375" s="24"/>
      <c r="F14375" s="24"/>
      <c r="G14375" s="24"/>
      <c r="H14375" s="24"/>
      <c r="I14375" s="24"/>
      <c r="J14375" s="24"/>
      <c r="K14375" s="24"/>
      <c r="L14375" s="24"/>
      <c r="M14375" s="24"/>
      <c r="N14375" s="24"/>
      <c r="O14375" s="24"/>
      <c r="P14375" s="24"/>
      <c r="Q14375" s="24"/>
      <c r="R14375" s="24"/>
      <c r="S14375" s="24"/>
      <c r="T14375" s="24"/>
      <c r="U14375" s="24"/>
      <c r="V14375" s="24"/>
      <c r="W14375" s="24"/>
      <c r="X14375" s="24"/>
      <c r="Y14375" s="24"/>
      <c r="Z14375" s="24"/>
      <c r="AA14375" s="24"/>
    </row>
    <row r="14376">
      <c r="A14376" s="24"/>
      <c r="B14376" s="25"/>
      <c r="C14376" s="24"/>
      <c r="D14376" s="26"/>
      <c r="E14376" s="24"/>
      <c r="F14376" s="24"/>
      <c r="G14376" s="24"/>
      <c r="H14376" s="24"/>
      <c r="I14376" s="24"/>
      <c r="J14376" s="24"/>
      <c r="K14376" s="24"/>
      <c r="L14376" s="24"/>
      <c r="M14376" s="24"/>
      <c r="N14376" s="24"/>
      <c r="O14376" s="24"/>
      <c r="P14376" s="24"/>
      <c r="Q14376" s="24"/>
      <c r="R14376" s="24"/>
      <c r="S14376" s="24"/>
      <c r="T14376" s="24"/>
      <c r="U14376" s="24"/>
      <c r="V14376" s="24"/>
      <c r="W14376" s="24"/>
      <c r="X14376" s="24"/>
      <c r="Y14376" s="24"/>
      <c r="Z14376" s="24"/>
      <c r="AA14376" s="24"/>
    </row>
    <row r="14377">
      <c r="A14377" s="24"/>
      <c r="B14377" s="25"/>
      <c r="C14377" s="24"/>
      <c r="D14377" s="26"/>
      <c r="E14377" s="24"/>
      <c r="F14377" s="24"/>
      <c r="G14377" s="24"/>
      <c r="H14377" s="24"/>
      <c r="I14377" s="24"/>
      <c r="J14377" s="24"/>
      <c r="K14377" s="24"/>
      <c r="L14377" s="24"/>
      <c r="M14377" s="24"/>
      <c r="N14377" s="24"/>
      <c r="O14377" s="24"/>
      <c r="P14377" s="24"/>
      <c r="Q14377" s="24"/>
      <c r="R14377" s="24"/>
      <c r="S14377" s="24"/>
      <c r="T14377" s="24"/>
      <c r="U14377" s="24"/>
      <c r="V14377" s="24"/>
      <c r="W14377" s="24"/>
      <c r="X14377" s="24"/>
      <c r="Y14377" s="24"/>
      <c r="Z14377" s="24"/>
      <c r="AA14377" s="24"/>
    </row>
    <row r="14378">
      <c r="A14378" s="24"/>
      <c r="B14378" s="25"/>
      <c r="C14378" s="24"/>
      <c r="D14378" s="26"/>
      <c r="E14378" s="24"/>
      <c r="F14378" s="24"/>
      <c r="G14378" s="24"/>
      <c r="H14378" s="24"/>
      <c r="I14378" s="24"/>
      <c r="J14378" s="24"/>
      <c r="K14378" s="24"/>
      <c r="L14378" s="24"/>
      <c r="M14378" s="24"/>
      <c r="N14378" s="24"/>
      <c r="O14378" s="24"/>
      <c r="P14378" s="24"/>
      <c r="Q14378" s="24"/>
      <c r="R14378" s="24"/>
      <c r="S14378" s="24"/>
      <c r="T14378" s="24"/>
      <c r="U14378" s="24"/>
      <c r="V14378" s="24"/>
      <c r="W14378" s="24"/>
      <c r="X14378" s="24"/>
      <c r="Y14378" s="24"/>
      <c r="Z14378" s="24"/>
      <c r="AA14378" s="24"/>
    </row>
    <row r="14379">
      <c r="A14379" s="24"/>
      <c r="B14379" s="25"/>
      <c r="C14379" s="24"/>
      <c r="D14379" s="26"/>
      <c r="E14379" s="24"/>
      <c r="F14379" s="24"/>
      <c r="G14379" s="24"/>
      <c r="H14379" s="24"/>
      <c r="I14379" s="24"/>
      <c r="J14379" s="24"/>
      <c r="K14379" s="24"/>
      <c r="L14379" s="24"/>
      <c r="M14379" s="24"/>
      <c r="N14379" s="24"/>
      <c r="O14379" s="24"/>
      <c r="P14379" s="24"/>
      <c r="Q14379" s="24"/>
      <c r="R14379" s="24"/>
      <c r="S14379" s="24"/>
      <c r="T14379" s="24"/>
      <c r="U14379" s="24"/>
      <c r="V14379" s="24"/>
      <c r="W14379" s="24"/>
      <c r="X14379" s="24"/>
      <c r="Y14379" s="24"/>
      <c r="Z14379" s="24"/>
      <c r="AA14379" s="24"/>
    </row>
    <row r="14380">
      <c r="A14380" s="24"/>
      <c r="B14380" s="25"/>
      <c r="C14380" s="24"/>
      <c r="D14380" s="26"/>
      <c r="E14380" s="24"/>
      <c r="F14380" s="24"/>
      <c r="G14380" s="24"/>
      <c r="H14380" s="24"/>
      <c r="I14380" s="24"/>
      <c r="J14380" s="24"/>
      <c r="K14380" s="24"/>
      <c r="L14380" s="24"/>
      <c r="M14380" s="24"/>
      <c r="N14380" s="24"/>
      <c r="O14380" s="24"/>
      <c r="P14380" s="24"/>
      <c r="Q14380" s="24"/>
      <c r="R14380" s="24"/>
      <c r="S14380" s="24"/>
      <c r="T14380" s="24"/>
      <c r="U14380" s="24"/>
      <c r="V14380" s="24"/>
      <c r="W14380" s="24"/>
      <c r="X14380" s="24"/>
      <c r="Y14380" s="24"/>
      <c r="Z14380" s="24"/>
      <c r="AA14380" s="24"/>
    </row>
    <row r="14381">
      <c r="A14381" s="24"/>
      <c r="B14381" s="25"/>
      <c r="C14381" s="24"/>
      <c r="D14381" s="26"/>
      <c r="E14381" s="24"/>
      <c r="F14381" s="24"/>
      <c r="G14381" s="24"/>
      <c r="H14381" s="24"/>
      <c r="I14381" s="24"/>
      <c r="J14381" s="24"/>
      <c r="K14381" s="24"/>
      <c r="L14381" s="24"/>
      <c r="M14381" s="24"/>
      <c r="N14381" s="24"/>
      <c r="O14381" s="24"/>
      <c r="P14381" s="24"/>
      <c r="Q14381" s="24"/>
      <c r="R14381" s="24"/>
      <c r="S14381" s="24"/>
      <c r="T14381" s="24"/>
      <c r="U14381" s="24"/>
      <c r="V14381" s="24"/>
      <c r="W14381" s="24"/>
      <c r="X14381" s="24"/>
      <c r="Y14381" s="24"/>
      <c r="Z14381" s="24"/>
      <c r="AA14381" s="24"/>
    </row>
    <row r="14382">
      <c r="A14382" s="24"/>
      <c r="B14382" s="25"/>
      <c r="C14382" s="24"/>
      <c r="D14382" s="26"/>
      <c r="E14382" s="24"/>
      <c r="F14382" s="24"/>
      <c r="G14382" s="24"/>
      <c r="H14382" s="24"/>
      <c r="I14382" s="24"/>
      <c r="J14382" s="24"/>
      <c r="K14382" s="24"/>
      <c r="L14382" s="24"/>
      <c r="M14382" s="24"/>
      <c r="N14382" s="24"/>
      <c r="O14382" s="24"/>
      <c r="P14382" s="24"/>
      <c r="Q14382" s="24"/>
      <c r="R14382" s="24"/>
      <c r="S14382" s="24"/>
      <c r="T14382" s="24"/>
      <c r="U14382" s="24"/>
      <c r="V14382" s="24"/>
      <c r="W14382" s="24"/>
      <c r="X14382" s="24"/>
      <c r="Y14382" s="24"/>
      <c r="Z14382" s="24"/>
      <c r="AA14382" s="24"/>
    </row>
    <row r="14383">
      <c r="A14383" s="24"/>
      <c r="B14383" s="25"/>
      <c r="C14383" s="24"/>
      <c r="D14383" s="26"/>
      <c r="E14383" s="24"/>
      <c r="F14383" s="24"/>
      <c r="G14383" s="24"/>
      <c r="H14383" s="24"/>
      <c r="I14383" s="24"/>
      <c r="J14383" s="24"/>
      <c r="K14383" s="24"/>
      <c r="L14383" s="24"/>
      <c r="M14383" s="24"/>
      <c r="N14383" s="24"/>
      <c r="O14383" s="24"/>
      <c r="P14383" s="24"/>
      <c r="Q14383" s="24"/>
      <c r="R14383" s="24"/>
      <c r="S14383" s="24"/>
      <c r="T14383" s="24"/>
      <c r="U14383" s="24"/>
      <c r="V14383" s="24"/>
      <c r="W14383" s="24"/>
      <c r="X14383" s="24"/>
      <c r="Y14383" s="24"/>
      <c r="Z14383" s="24"/>
      <c r="AA14383" s="24"/>
    </row>
    <row r="14384">
      <c r="A14384" s="24"/>
      <c r="B14384" s="25"/>
      <c r="C14384" s="24"/>
      <c r="D14384" s="26"/>
      <c r="E14384" s="24"/>
      <c r="F14384" s="24"/>
      <c r="G14384" s="24"/>
      <c r="H14384" s="24"/>
      <c r="I14384" s="24"/>
      <c r="J14384" s="24"/>
      <c r="K14384" s="24"/>
      <c r="L14384" s="24"/>
      <c r="M14384" s="24"/>
      <c r="N14384" s="24"/>
      <c r="O14384" s="24"/>
      <c r="P14384" s="24"/>
      <c r="Q14384" s="24"/>
      <c r="R14384" s="24"/>
      <c r="S14384" s="24"/>
      <c r="T14384" s="24"/>
      <c r="U14384" s="24"/>
      <c r="V14384" s="24"/>
      <c r="W14384" s="24"/>
      <c r="X14384" s="24"/>
      <c r="Y14384" s="24"/>
      <c r="Z14384" s="24"/>
      <c r="AA14384" s="24"/>
    </row>
    <row r="14385">
      <c r="A14385" s="24"/>
      <c r="B14385" s="25"/>
      <c r="C14385" s="24"/>
      <c r="D14385" s="26"/>
      <c r="E14385" s="24"/>
      <c r="F14385" s="24"/>
      <c r="G14385" s="24"/>
      <c r="H14385" s="24"/>
      <c r="I14385" s="24"/>
      <c r="J14385" s="24"/>
      <c r="K14385" s="24"/>
      <c r="L14385" s="24"/>
      <c r="M14385" s="24"/>
      <c r="N14385" s="24"/>
      <c r="O14385" s="24"/>
      <c r="P14385" s="24"/>
      <c r="Q14385" s="24"/>
      <c r="R14385" s="24"/>
      <c r="S14385" s="24"/>
      <c r="T14385" s="24"/>
      <c r="U14385" s="24"/>
      <c r="V14385" s="24"/>
      <c r="W14385" s="24"/>
      <c r="X14385" s="24"/>
      <c r="Y14385" s="24"/>
      <c r="Z14385" s="24"/>
      <c r="AA14385" s="24"/>
    </row>
    <row r="14386">
      <c r="A14386" s="24"/>
      <c r="B14386" s="25"/>
      <c r="C14386" s="24"/>
      <c r="D14386" s="26"/>
      <c r="E14386" s="24"/>
      <c r="F14386" s="24"/>
      <c r="G14386" s="24"/>
      <c r="H14386" s="24"/>
      <c r="I14386" s="24"/>
      <c r="J14386" s="24"/>
      <c r="K14386" s="24"/>
      <c r="L14386" s="24"/>
      <c r="M14386" s="24"/>
      <c r="N14386" s="24"/>
      <c r="O14386" s="24"/>
      <c r="P14386" s="24"/>
      <c r="Q14386" s="24"/>
      <c r="R14386" s="24"/>
      <c r="S14386" s="24"/>
      <c r="T14386" s="24"/>
      <c r="U14386" s="24"/>
      <c r="V14386" s="24"/>
      <c r="W14386" s="24"/>
      <c r="X14386" s="24"/>
      <c r="Y14386" s="24"/>
      <c r="Z14386" s="24"/>
      <c r="AA14386" s="24"/>
    </row>
    <row r="14387">
      <c r="A14387" s="24"/>
      <c r="B14387" s="25"/>
      <c r="C14387" s="24"/>
      <c r="D14387" s="26"/>
      <c r="E14387" s="24"/>
      <c r="F14387" s="24"/>
      <c r="G14387" s="24"/>
      <c r="H14387" s="24"/>
      <c r="I14387" s="24"/>
      <c r="J14387" s="24"/>
      <c r="K14387" s="24"/>
      <c r="L14387" s="24"/>
      <c r="M14387" s="24"/>
      <c r="N14387" s="24"/>
      <c r="O14387" s="24"/>
      <c r="P14387" s="24"/>
      <c r="Q14387" s="24"/>
      <c r="R14387" s="24"/>
      <c r="S14387" s="24"/>
      <c r="T14387" s="24"/>
      <c r="U14387" s="24"/>
      <c r="V14387" s="24"/>
      <c r="W14387" s="24"/>
      <c r="X14387" s="24"/>
      <c r="Y14387" s="24"/>
      <c r="Z14387" s="24"/>
      <c r="AA14387" s="24"/>
    </row>
    <row r="14388">
      <c r="A14388" s="24"/>
      <c r="B14388" s="25"/>
      <c r="C14388" s="24"/>
      <c r="D14388" s="26"/>
      <c r="E14388" s="24"/>
      <c r="F14388" s="24"/>
      <c r="G14388" s="24"/>
      <c r="H14388" s="24"/>
      <c r="I14388" s="24"/>
      <c r="J14388" s="24"/>
      <c r="K14388" s="24"/>
      <c r="L14388" s="24"/>
      <c r="M14388" s="24"/>
      <c r="N14388" s="24"/>
      <c r="O14388" s="24"/>
      <c r="P14388" s="24"/>
      <c r="Q14388" s="24"/>
      <c r="R14388" s="24"/>
      <c r="S14388" s="24"/>
      <c r="T14388" s="24"/>
      <c r="U14388" s="24"/>
      <c r="V14388" s="24"/>
      <c r="W14388" s="24"/>
      <c r="X14388" s="24"/>
      <c r="Y14388" s="24"/>
      <c r="Z14388" s="24"/>
      <c r="AA14388" s="24"/>
    </row>
    <row r="14389">
      <c r="A14389" s="24"/>
      <c r="B14389" s="25"/>
      <c r="C14389" s="24"/>
      <c r="D14389" s="26"/>
      <c r="E14389" s="24"/>
      <c r="F14389" s="24"/>
      <c r="G14389" s="24"/>
      <c r="H14389" s="24"/>
      <c r="I14389" s="24"/>
      <c r="J14389" s="24"/>
      <c r="K14389" s="24"/>
      <c r="L14389" s="24"/>
      <c r="M14389" s="24"/>
      <c r="N14389" s="24"/>
      <c r="O14389" s="24"/>
      <c r="P14389" s="24"/>
      <c r="Q14389" s="24"/>
      <c r="R14389" s="24"/>
      <c r="S14389" s="24"/>
      <c r="T14389" s="24"/>
      <c r="U14389" s="24"/>
      <c r="V14389" s="24"/>
      <c r="W14389" s="24"/>
      <c r="X14389" s="24"/>
      <c r="Y14389" s="24"/>
      <c r="Z14389" s="24"/>
      <c r="AA14389" s="24"/>
    </row>
    <row r="14390">
      <c r="A14390" s="24"/>
      <c r="B14390" s="25"/>
      <c r="C14390" s="24"/>
      <c r="D14390" s="26"/>
      <c r="E14390" s="24"/>
      <c r="F14390" s="24"/>
      <c r="G14390" s="24"/>
      <c r="H14390" s="24"/>
      <c r="I14390" s="24"/>
      <c r="J14390" s="24"/>
      <c r="K14390" s="24"/>
      <c r="L14390" s="24"/>
      <c r="M14390" s="24"/>
      <c r="N14390" s="24"/>
      <c r="O14390" s="24"/>
      <c r="P14390" s="24"/>
      <c r="Q14390" s="24"/>
      <c r="R14390" s="24"/>
      <c r="S14390" s="24"/>
      <c r="T14390" s="24"/>
      <c r="U14390" s="24"/>
      <c r="V14390" s="24"/>
      <c r="W14390" s="24"/>
      <c r="X14390" s="24"/>
      <c r="Y14390" s="24"/>
      <c r="Z14390" s="24"/>
      <c r="AA14390" s="24"/>
    </row>
    <row r="14391">
      <c r="A14391" s="24"/>
      <c r="B14391" s="25"/>
      <c r="C14391" s="24"/>
      <c r="D14391" s="26"/>
      <c r="E14391" s="24"/>
      <c r="F14391" s="24"/>
      <c r="G14391" s="24"/>
      <c r="H14391" s="24"/>
      <c r="I14391" s="24"/>
      <c r="J14391" s="24"/>
      <c r="K14391" s="24"/>
      <c r="L14391" s="24"/>
      <c r="M14391" s="24"/>
      <c r="N14391" s="24"/>
      <c r="O14391" s="24"/>
      <c r="P14391" s="24"/>
      <c r="Q14391" s="24"/>
      <c r="R14391" s="24"/>
      <c r="S14391" s="24"/>
      <c r="T14391" s="24"/>
      <c r="U14391" s="24"/>
      <c r="V14391" s="24"/>
      <c r="W14391" s="24"/>
      <c r="X14391" s="24"/>
      <c r="Y14391" s="24"/>
      <c r="Z14391" s="24"/>
      <c r="AA14391" s="24"/>
    </row>
    <row r="14392">
      <c r="A14392" s="24"/>
      <c r="B14392" s="25"/>
      <c r="C14392" s="24"/>
      <c r="D14392" s="26"/>
      <c r="E14392" s="24"/>
      <c r="F14392" s="24"/>
      <c r="G14392" s="24"/>
      <c r="H14392" s="24"/>
      <c r="I14392" s="24"/>
      <c r="J14392" s="24"/>
      <c r="K14392" s="24"/>
      <c r="L14392" s="24"/>
      <c r="M14392" s="24"/>
      <c r="N14392" s="24"/>
      <c r="O14392" s="24"/>
      <c r="P14392" s="24"/>
      <c r="Q14392" s="24"/>
      <c r="R14392" s="24"/>
      <c r="S14392" s="24"/>
      <c r="T14392" s="24"/>
      <c r="U14392" s="24"/>
      <c r="V14392" s="24"/>
      <c r="W14392" s="24"/>
      <c r="X14392" s="24"/>
      <c r="Y14392" s="24"/>
      <c r="Z14392" s="24"/>
      <c r="AA14392" s="24"/>
    </row>
    <row r="14393">
      <c r="A14393" s="24"/>
      <c r="B14393" s="25"/>
      <c r="C14393" s="24"/>
      <c r="D14393" s="26"/>
      <c r="E14393" s="24"/>
      <c r="F14393" s="24"/>
      <c r="G14393" s="24"/>
      <c r="H14393" s="24"/>
      <c r="I14393" s="24"/>
      <c r="J14393" s="24"/>
      <c r="K14393" s="24"/>
      <c r="L14393" s="24"/>
      <c r="M14393" s="24"/>
      <c r="N14393" s="24"/>
      <c r="O14393" s="24"/>
      <c r="P14393" s="24"/>
      <c r="Q14393" s="24"/>
      <c r="R14393" s="24"/>
      <c r="S14393" s="24"/>
      <c r="T14393" s="24"/>
      <c r="U14393" s="24"/>
      <c r="V14393" s="24"/>
      <c r="W14393" s="24"/>
      <c r="X14393" s="24"/>
      <c r="Y14393" s="24"/>
      <c r="Z14393" s="24"/>
      <c r="AA14393" s="24"/>
    </row>
    <row r="14394">
      <c r="A14394" s="24"/>
      <c r="B14394" s="25"/>
      <c r="C14394" s="24"/>
      <c r="D14394" s="26"/>
      <c r="E14394" s="24"/>
      <c r="F14394" s="24"/>
      <c r="G14394" s="24"/>
      <c r="H14394" s="24"/>
      <c r="I14394" s="24"/>
      <c r="J14394" s="24"/>
      <c r="K14394" s="24"/>
      <c r="L14394" s="24"/>
      <c r="M14394" s="24"/>
      <c r="N14394" s="24"/>
      <c r="O14394" s="24"/>
      <c r="P14394" s="24"/>
      <c r="Q14394" s="24"/>
      <c r="R14394" s="24"/>
      <c r="S14394" s="24"/>
      <c r="T14394" s="24"/>
      <c r="U14394" s="24"/>
      <c r="V14394" s="24"/>
      <c r="W14394" s="24"/>
      <c r="X14394" s="24"/>
      <c r="Y14394" s="24"/>
      <c r="Z14394" s="24"/>
      <c r="AA14394" s="24"/>
    </row>
    <row r="14395">
      <c r="A14395" s="24"/>
      <c r="B14395" s="25"/>
      <c r="C14395" s="24"/>
      <c r="D14395" s="26"/>
      <c r="E14395" s="24"/>
      <c r="F14395" s="24"/>
      <c r="G14395" s="24"/>
      <c r="H14395" s="24"/>
      <c r="I14395" s="24"/>
      <c r="J14395" s="24"/>
      <c r="K14395" s="24"/>
      <c r="L14395" s="24"/>
      <c r="M14395" s="24"/>
      <c r="N14395" s="24"/>
      <c r="O14395" s="24"/>
      <c r="P14395" s="24"/>
      <c r="Q14395" s="24"/>
      <c r="R14395" s="24"/>
      <c r="S14395" s="24"/>
      <c r="T14395" s="24"/>
      <c r="U14395" s="24"/>
      <c r="V14395" s="24"/>
      <c r="W14395" s="24"/>
      <c r="X14395" s="24"/>
      <c r="Y14395" s="24"/>
      <c r="Z14395" s="24"/>
      <c r="AA14395" s="24"/>
    </row>
    <row r="14396">
      <c r="A14396" s="24"/>
      <c r="B14396" s="25"/>
      <c r="C14396" s="24"/>
      <c r="D14396" s="26"/>
      <c r="E14396" s="24"/>
      <c r="F14396" s="24"/>
      <c r="G14396" s="24"/>
      <c r="H14396" s="24"/>
      <c r="I14396" s="24"/>
      <c r="J14396" s="24"/>
      <c r="K14396" s="24"/>
      <c r="L14396" s="24"/>
      <c r="M14396" s="24"/>
      <c r="N14396" s="24"/>
      <c r="O14396" s="24"/>
      <c r="P14396" s="24"/>
      <c r="Q14396" s="24"/>
      <c r="R14396" s="24"/>
      <c r="S14396" s="24"/>
      <c r="T14396" s="24"/>
      <c r="U14396" s="24"/>
      <c r="V14396" s="24"/>
      <c r="W14396" s="24"/>
      <c r="X14396" s="24"/>
      <c r="Y14396" s="24"/>
      <c r="Z14396" s="24"/>
      <c r="AA14396" s="24"/>
    </row>
    <row r="14397">
      <c r="A14397" s="24"/>
      <c r="B14397" s="25"/>
      <c r="C14397" s="24"/>
      <c r="D14397" s="26"/>
      <c r="E14397" s="24"/>
      <c r="F14397" s="24"/>
      <c r="G14397" s="24"/>
      <c r="H14397" s="24"/>
      <c r="I14397" s="24"/>
      <c r="J14397" s="24"/>
      <c r="K14397" s="24"/>
      <c r="L14397" s="24"/>
      <c r="M14397" s="24"/>
      <c r="N14397" s="24"/>
      <c r="O14397" s="24"/>
      <c r="P14397" s="24"/>
      <c r="Q14397" s="24"/>
      <c r="R14397" s="24"/>
      <c r="S14397" s="24"/>
      <c r="T14397" s="24"/>
      <c r="U14397" s="24"/>
      <c r="V14397" s="24"/>
      <c r="W14397" s="24"/>
      <c r="X14397" s="24"/>
      <c r="Y14397" s="24"/>
      <c r="Z14397" s="24"/>
      <c r="AA14397" s="24"/>
    </row>
    <row r="14398">
      <c r="A14398" s="24"/>
      <c r="B14398" s="25"/>
      <c r="C14398" s="24"/>
      <c r="D14398" s="26"/>
      <c r="E14398" s="24"/>
      <c r="F14398" s="24"/>
      <c r="G14398" s="24"/>
      <c r="H14398" s="24"/>
      <c r="I14398" s="24"/>
      <c r="J14398" s="24"/>
      <c r="K14398" s="24"/>
      <c r="L14398" s="24"/>
      <c r="M14398" s="24"/>
      <c r="N14398" s="24"/>
      <c r="O14398" s="24"/>
      <c r="P14398" s="24"/>
      <c r="Q14398" s="24"/>
      <c r="R14398" s="24"/>
      <c r="S14398" s="24"/>
      <c r="T14398" s="24"/>
      <c r="U14398" s="24"/>
      <c r="V14398" s="24"/>
      <c r="W14398" s="24"/>
      <c r="X14398" s="24"/>
      <c r="Y14398" s="24"/>
      <c r="Z14398" s="24"/>
      <c r="AA14398" s="24"/>
    </row>
    <row r="14399">
      <c r="A14399" s="24"/>
      <c r="B14399" s="25"/>
      <c r="C14399" s="24"/>
      <c r="D14399" s="26"/>
      <c r="E14399" s="24"/>
      <c r="F14399" s="24"/>
      <c r="G14399" s="24"/>
      <c r="H14399" s="24"/>
      <c r="I14399" s="24"/>
      <c r="J14399" s="24"/>
      <c r="K14399" s="24"/>
      <c r="L14399" s="24"/>
      <c r="M14399" s="24"/>
      <c r="N14399" s="24"/>
      <c r="O14399" s="24"/>
      <c r="P14399" s="24"/>
      <c r="Q14399" s="24"/>
      <c r="R14399" s="24"/>
      <c r="S14399" s="24"/>
      <c r="T14399" s="24"/>
      <c r="U14399" s="24"/>
      <c r="V14399" s="24"/>
      <c r="W14399" s="24"/>
      <c r="X14399" s="24"/>
      <c r="Y14399" s="24"/>
      <c r="Z14399" s="24"/>
      <c r="AA14399" s="24"/>
    </row>
    <row r="14400">
      <c r="A14400" s="24"/>
      <c r="B14400" s="25"/>
      <c r="C14400" s="24"/>
      <c r="D14400" s="26"/>
      <c r="E14400" s="24"/>
      <c r="F14400" s="24"/>
      <c r="G14400" s="24"/>
      <c r="H14400" s="24"/>
      <c r="I14400" s="24"/>
      <c r="J14400" s="24"/>
      <c r="K14400" s="24"/>
      <c r="L14400" s="24"/>
      <c r="M14400" s="24"/>
      <c r="N14400" s="24"/>
      <c r="O14400" s="24"/>
      <c r="P14400" s="24"/>
      <c r="Q14400" s="24"/>
      <c r="R14400" s="24"/>
      <c r="S14400" s="24"/>
      <c r="T14400" s="24"/>
      <c r="U14400" s="24"/>
      <c r="V14400" s="24"/>
      <c r="W14400" s="24"/>
      <c r="X14400" s="24"/>
      <c r="Y14400" s="24"/>
      <c r="Z14400" s="24"/>
      <c r="AA14400" s="24"/>
    </row>
    <row r="14401">
      <c r="A14401" s="24"/>
      <c r="B14401" s="25"/>
      <c r="C14401" s="24"/>
      <c r="D14401" s="26"/>
      <c r="E14401" s="24"/>
      <c r="F14401" s="24"/>
      <c r="G14401" s="24"/>
      <c r="H14401" s="24"/>
      <c r="I14401" s="24"/>
      <c r="J14401" s="24"/>
      <c r="K14401" s="24"/>
      <c r="L14401" s="24"/>
      <c r="M14401" s="24"/>
      <c r="N14401" s="24"/>
      <c r="O14401" s="24"/>
      <c r="P14401" s="24"/>
      <c r="Q14401" s="24"/>
      <c r="R14401" s="24"/>
      <c r="S14401" s="24"/>
      <c r="T14401" s="24"/>
      <c r="U14401" s="24"/>
      <c r="V14401" s="24"/>
      <c r="W14401" s="24"/>
      <c r="X14401" s="24"/>
      <c r="Y14401" s="24"/>
      <c r="Z14401" s="24"/>
      <c r="AA14401" s="24"/>
    </row>
    <row r="14402">
      <c r="A14402" s="24"/>
      <c r="B14402" s="25"/>
      <c r="C14402" s="24"/>
      <c r="D14402" s="26"/>
      <c r="E14402" s="24"/>
      <c r="F14402" s="24"/>
      <c r="G14402" s="24"/>
      <c r="H14402" s="24"/>
      <c r="I14402" s="24"/>
      <c r="J14402" s="24"/>
      <c r="K14402" s="24"/>
      <c r="L14402" s="24"/>
      <c r="M14402" s="24"/>
      <c r="N14402" s="24"/>
      <c r="O14402" s="24"/>
      <c r="P14402" s="24"/>
      <c r="Q14402" s="24"/>
      <c r="R14402" s="24"/>
      <c r="S14402" s="24"/>
      <c r="T14402" s="24"/>
      <c r="U14402" s="24"/>
      <c r="V14402" s="24"/>
      <c r="W14402" s="24"/>
      <c r="X14402" s="24"/>
      <c r="Y14402" s="24"/>
      <c r="Z14402" s="24"/>
      <c r="AA14402" s="24"/>
    </row>
    <row r="14403">
      <c r="A14403" s="24"/>
      <c r="B14403" s="25"/>
      <c r="C14403" s="24"/>
      <c r="D14403" s="26"/>
      <c r="E14403" s="24"/>
      <c r="F14403" s="24"/>
      <c r="G14403" s="24"/>
      <c r="H14403" s="24"/>
      <c r="I14403" s="24"/>
      <c r="J14403" s="24"/>
      <c r="K14403" s="24"/>
      <c r="L14403" s="24"/>
      <c r="M14403" s="24"/>
      <c r="N14403" s="24"/>
      <c r="O14403" s="24"/>
      <c r="P14403" s="24"/>
      <c r="Q14403" s="24"/>
      <c r="R14403" s="24"/>
      <c r="S14403" s="24"/>
      <c r="T14403" s="24"/>
      <c r="U14403" s="24"/>
      <c r="V14403" s="24"/>
      <c r="W14403" s="24"/>
      <c r="X14403" s="24"/>
      <c r="Y14403" s="24"/>
      <c r="Z14403" s="24"/>
      <c r="AA14403" s="24"/>
    </row>
    <row r="14404">
      <c r="A14404" s="24"/>
      <c r="B14404" s="25"/>
      <c r="C14404" s="24"/>
      <c r="D14404" s="26"/>
      <c r="E14404" s="24"/>
      <c r="F14404" s="24"/>
      <c r="G14404" s="24"/>
      <c r="H14404" s="24"/>
      <c r="I14404" s="24"/>
      <c r="J14404" s="24"/>
      <c r="K14404" s="24"/>
      <c r="L14404" s="24"/>
      <c r="M14404" s="24"/>
      <c r="N14404" s="24"/>
      <c r="O14404" s="24"/>
      <c r="P14404" s="24"/>
      <c r="Q14404" s="24"/>
      <c r="R14404" s="24"/>
      <c r="S14404" s="24"/>
      <c r="T14404" s="24"/>
      <c r="U14404" s="24"/>
      <c r="V14404" s="24"/>
      <c r="W14404" s="24"/>
      <c r="X14404" s="24"/>
      <c r="Y14404" s="24"/>
      <c r="Z14404" s="24"/>
      <c r="AA14404" s="24"/>
    </row>
    <row r="14405">
      <c r="A14405" s="24"/>
      <c r="B14405" s="25"/>
      <c r="C14405" s="24"/>
      <c r="D14405" s="26"/>
      <c r="E14405" s="24"/>
      <c r="F14405" s="24"/>
      <c r="G14405" s="24"/>
      <c r="H14405" s="24"/>
      <c r="I14405" s="24"/>
      <c r="J14405" s="24"/>
      <c r="K14405" s="24"/>
      <c r="L14405" s="24"/>
      <c r="M14405" s="24"/>
      <c r="N14405" s="24"/>
      <c r="O14405" s="24"/>
      <c r="P14405" s="24"/>
      <c r="Q14405" s="24"/>
      <c r="R14405" s="24"/>
      <c r="S14405" s="24"/>
      <c r="T14405" s="24"/>
      <c r="U14405" s="24"/>
      <c r="V14405" s="24"/>
      <c r="W14405" s="24"/>
      <c r="X14405" s="24"/>
      <c r="Y14405" s="24"/>
      <c r="Z14405" s="24"/>
      <c r="AA14405" s="24"/>
    </row>
    <row r="14406">
      <c r="A14406" s="24"/>
      <c r="B14406" s="25"/>
      <c r="C14406" s="24"/>
      <c r="D14406" s="26"/>
      <c r="E14406" s="24"/>
      <c r="F14406" s="24"/>
      <c r="G14406" s="24"/>
      <c r="H14406" s="24"/>
      <c r="I14406" s="24"/>
      <c r="J14406" s="24"/>
      <c r="K14406" s="24"/>
      <c r="L14406" s="24"/>
      <c r="M14406" s="24"/>
      <c r="N14406" s="24"/>
      <c r="O14406" s="24"/>
      <c r="P14406" s="24"/>
      <c r="Q14406" s="24"/>
      <c r="R14406" s="24"/>
      <c r="S14406" s="24"/>
      <c r="T14406" s="24"/>
      <c r="U14406" s="24"/>
      <c r="V14406" s="24"/>
      <c r="W14406" s="24"/>
      <c r="X14406" s="24"/>
      <c r="Y14406" s="24"/>
      <c r="Z14406" s="24"/>
      <c r="AA14406" s="24"/>
    </row>
    <row r="14407">
      <c r="A14407" s="24"/>
      <c r="B14407" s="25"/>
      <c r="C14407" s="24"/>
      <c r="D14407" s="26"/>
      <c r="E14407" s="24"/>
      <c r="F14407" s="24"/>
      <c r="G14407" s="24"/>
      <c r="H14407" s="24"/>
      <c r="I14407" s="24"/>
      <c r="J14407" s="24"/>
      <c r="K14407" s="24"/>
      <c r="L14407" s="24"/>
      <c r="M14407" s="24"/>
      <c r="N14407" s="24"/>
      <c r="O14407" s="24"/>
      <c r="P14407" s="24"/>
      <c r="Q14407" s="24"/>
      <c r="R14407" s="24"/>
      <c r="S14407" s="24"/>
      <c r="T14407" s="24"/>
      <c r="U14407" s="24"/>
      <c r="V14407" s="24"/>
      <c r="W14407" s="24"/>
      <c r="X14407" s="24"/>
      <c r="Y14407" s="24"/>
      <c r="Z14407" s="24"/>
      <c r="AA14407" s="24"/>
    </row>
    <row r="14408">
      <c r="A14408" s="24"/>
      <c r="B14408" s="25"/>
      <c r="C14408" s="24"/>
      <c r="D14408" s="26"/>
      <c r="E14408" s="24"/>
      <c r="F14408" s="24"/>
      <c r="G14408" s="24"/>
      <c r="H14408" s="24"/>
      <c r="I14408" s="24"/>
      <c r="J14408" s="24"/>
      <c r="K14408" s="24"/>
      <c r="L14408" s="24"/>
      <c r="M14408" s="24"/>
      <c r="N14408" s="24"/>
      <c r="O14408" s="24"/>
      <c r="P14408" s="24"/>
      <c r="Q14408" s="24"/>
      <c r="R14408" s="24"/>
      <c r="S14408" s="24"/>
      <c r="T14408" s="24"/>
      <c r="U14408" s="24"/>
      <c r="V14408" s="24"/>
      <c r="W14408" s="24"/>
      <c r="X14408" s="24"/>
      <c r="Y14408" s="24"/>
      <c r="Z14408" s="24"/>
      <c r="AA14408" s="24"/>
    </row>
    <row r="14409">
      <c r="A14409" s="24"/>
      <c r="B14409" s="25"/>
      <c r="C14409" s="24"/>
      <c r="D14409" s="26"/>
      <c r="E14409" s="24"/>
      <c r="F14409" s="24"/>
      <c r="G14409" s="24"/>
      <c r="H14409" s="24"/>
      <c r="I14409" s="24"/>
      <c r="J14409" s="24"/>
      <c r="K14409" s="24"/>
      <c r="L14409" s="24"/>
      <c r="M14409" s="24"/>
      <c r="N14409" s="24"/>
      <c r="O14409" s="24"/>
      <c r="P14409" s="24"/>
      <c r="Q14409" s="24"/>
      <c r="R14409" s="24"/>
      <c r="S14409" s="24"/>
      <c r="T14409" s="24"/>
      <c r="U14409" s="24"/>
      <c r="V14409" s="24"/>
      <c r="W14409" s="24"/>
      <c r="X14409" s="24"/>
      <c r="Y14409" s="24"/>
      <c r="Z14409" s="24"/>
      <c r="AA14409" s="24"/>
    </row>
    <row r="14410">
      <c r="A14410" s="24"/>
      <c r="B14410" s="25"/>
      <c r="C14410" s="24"/>
      <c r="D14410" s="26"/>
      <c r="E14410" s="24"/>
      <c r="F14410" s="24"/>
      <c r="G14410" s="24"/>
      <c r="H14410" s="24"/>
      <c r="I14410" s="24"/>
      <c r="J14410" s="24"/>
      <c r="K14410" s="24"/>
      <c r="L14410" s="24"/>
      <c r="M14410" s="24"/>
      <c r="N14410" s="24"/>
      <c r="O14410" s="24"/>
      <c r="P14410" s="24"/>
      <c r="Q14410" s="24"/>
      <c r="R14410" s="24"/>
      <c r="S14410" s="24"/>
      <c r="T14410" s="24"/>
      <c r="U14410" s="24"/>
      <c r="V14410" s="24"/>
      <c r="W14410" s="24"/>
      <c r="X14410" s="24"/>
      <c r="Y14410" s="24"/>
      <c r="Z14410" s="24"/>
      <c r="AA14410" s="24"/>
    </row>
    <row r="14411">
      <c r="A14411" s="24"/>
      <c r="B14411" s="25"/>
      <c r="C14411" s="24"/>
      <c r="D14411" s="26"/>
      <c r="E14411" s="24"/>
      <c r="F14411" s="24"/>
      <c r="G14411" s="24"/>
      <c r="H14411" s="24"/>
      <c r="I14411" s="24"/>
      <c r="J14411" s="24"/>
      <c r="K14411" s="24"/>
      <c r="L14411" s="24"/>
      <c r="M14411" s="24"/>
      <c r="N14411" s="24"/>
      <c r="O14411" s="24"/>
      <c r="P14411" s="24"/>
      <c r="Q14411" s="24"/>
      <c r="R14411" s="24"/>
      <c r="S14411" s="24"/>
      <c r="T14411" s="24"/>
      <c r="U14411" s="24"/>
      <c r="V14411" s="24"/>
      <c r="W14411" s="24"/>
      <c r="X14411" s="24"/>
      <c r="Y14411" s="24"/>
      <c r="Z14411" s="24"/>
      <c r="AA14411" s="24"/>
    </row>
    <row r="14412">
      <c r="A14412" s="24"/>
      <c r="B14412" s="25"/>
      <c r="C14412" s="24"/>
      <c r="D14412" s="26"/>
      <c r="E14412" s="24"/>
      <c r="F14412" s="24"/>
      <c r="G14412" s="24"/>
      <c r="H14412" s="24"/>
      <c r="I14412" s="24"/>
      <c r="J14412" s="24"/>
      <c r="K14412" s="24"/>
      <c r="L14412" s="24"/>
      <c r="M14412" s="24"/>
      <c r="N14412" s="24"/>
      <c r="O14412" s="24"/>
      <c r="P14412" s="24"/>
      <c r="Q14412" s="24"/>
      <c r="R14412" s="24"/>
      <c r="S14412" s="24"/>
      <c r="T14412" s="24"/>
      <c r="U14412" s="24"/>
      <c r="V14412" s="24"/>
      <c r="W14412" s="24"/>
      <c r="X14412" s="24"/>
      <c r="Y14412" s="24"/>
      <c r="Z14412" s="24"/>
      <c r="AA14412" s="24"/>
    </row>
    <row r="14413">
      <c r="A14413" s="24"/>
      <c r="B14413" s="25"/>
      <c r="C14413" s="24"/>
      <c r="D14413" s="26"/>
      <c r="E14413" s="24"/>
      <c r="F14413" s="24"/>
      <c r="G14413" s="24"/>
      <c r="H14413" s="24"/>
      <c r="I14413" s="24"/>
      <c r="J14413" s="24"/>
      <c r="K14413" s="24"/>
      <c r="L14413" s="24"/>
      <c r="M14413" s="24"/>
      <c r="N14413" s="24"/>
      <c r="O14413" s="24"/>
      <c r="P14413" s="24"/>
      <c r="Q14413" s="24"/>
      <c r="R14413" s="24"/>
      <c r="S14413" s="24"/>
      <c r="T14413" s="24"/>
      <c r="U14413" s="24"/>
      <c r="V14413" s="24"/>
      <c r="W14413" s="24"/>
      <c r="X14413" s="24"/>
      <c r="Y14413" s="24"/>
      <c r="Z14413" s="24"/>
      <c r="AA14413" s="24"/>
    </row>
    <row r="14414">
      <c r="A14414" s="24"/>
      <c r="B14414" s="25"/>
      <c r="C14414" s="24"/>
      <c r="D14414" s="26"/>
      <c r="E14414" s="24"/>
      <c r="F14414" s="24"/>
      <c r="G14414" s="24"/>
      <c r="H14414" s="24"/>
      <c r="I14414" s="24"/>
      <c r="J14414" s="24"/>
      <c r="K14414" s="24"/>
      <c r="L14414" s="24"/>
      <c r="M14414" s="24"/>
      <c r="N14414" s="24"/>
      <c r="O14414" s="24"/>
      <c r="P14414" s="24"/>
      <c r="Q14414" s="24"/>
      <c r="R14414" s="24"/>
      <c r="S14414" s="24"/>
      <c r="T14414" s="24"/>
      <c r="U14414" s="24"/>
      <c r="V14414" s="24"/>
      <c r="W14414" s="24"/>
      <c r="X14414" s="24"/>
      <c r="Y14414" s="24"/>
      <c r="Z14414" s="24"/>
      <c r="AA14414" s="24"/>
    </row>
    <row r="14415">
      <c r="A14415" s="24"/>
      <c r="B14415" s="25"/>
      <c r="C14415" s="24"/>
      <c r="D14415" s="26"/>
      <c r="E14415" s="24"/>
      <c r="F14415" s="24"/>
      <c r="G14415" s="24"/>
      <c r="H14415" s="24"/>
      <c r="I14415" s="24"/>
      <c r="J14415" s="24"/>
      <c r="K14415" s="24"/>
      <c r="L14415" s="24"/>
      <c r="M14415" s="24"/>
      <c r="N14415" s="24"/>
      <c r="O14415" s="24"/>
      <c r="P14415" s="24"/>
      <c r="Q14415" s="24"/>
      <c r="R14415" s="24"/>
      <c r="S14415" s="24"/>
      <c r="T14415" s="24"/>
      <c r="U14415" s="24"/>
      <c r="V14415" s="24"/>
      <c r="W14415" s="24"/>
      <c r="X14415" s="24"/>
      <c r="Y14415" s="24"/>
      <c r="Z14415" s="24"/>
      <c r="AA14415" s="24"/>
    </row>
    <row r="14416">
      <c r="A14416" s="24"/>
      <c r="B14416" s="25"/>
      <c r="C14416" s="24"/>
      <c r="D14416" s="26"/>
      <c r="E14416" s="24"/>
      <c r="F14416" s="24"/>
      <c r="G14416" s="24"/>
      <c r="H14416" s="24"/>
      <c r="I14416" s="24"/>
      <c r="J14416" s="24"/>
      <c r="K14416" s="24"/>
      <c r="L14416" s="24"/>
      <c r="M14416" s="24"/>
      <c r="N14416" s="24"/>
      <c r="O14416" s="24"/>
      <c r="P14416" s="24"/>
      <c r="Q14416" s="24"/>
      <c r="R14416" s="24"/>
      <c r="S14416" s="24"/>
      <c r="T14416" s="24"/>
      <c r="U14416" s="24"/>
      <c r="V14416" s="24"/>
      <c r="W14416" s="24"/>
      <c r="X14416" s="24"/>
      <c r="Y14416" s="24"/>
      <c r="Z14416" s="24"/>
      <c r="AA14416" s="24"/>
    </row>
    <row r="14417">
      <c r="A14417" s="24"/>
      <c r="B14417" s="25"/>
      <c r="C14417" s="24"/>
      <c r="D14417" s="26"/>
      <c r="E14417" s="24"/>
      <c r="F14417" s="24"/>
      <c r="G14417" s="24"/>
      <c r="H14417" s="24"/>
      <c r="I14417" s="24"/>
      <c r="J14417" s="24"/>
      <c r="K14417" s="24"/>
      <c r="L14417" s="24"/>
      <c r="M14417" s="24"/>
      <c r="N14417" s="24"/>
      <c r="O14417" s="24"/>
      <c r="P14417" s="24"/>
      <c r="Q14417" s="24"/>
      <c r="R14417" s="24"/>
      <c r="S14417" s="24"/>
      <c r="T14417" s="24"/>
      <c r="U14417" s="24"/>
      <c r="V14417" s="24"/>
      <c r="W14417" s="24"/>
      <c r="X14417" s="24"/>
      <c r="Y14417" s="24"/>
      <c r="Z14417" s="24"/>
      <c r="AA14417" s="24"/>
    </row>
    <row r="14418">
      <c r="A14418" s="24"/>
      <c r="B14418" s="25"/>
      <c r="C14418" s="24"/>
      <c r="D14418" s="26"/>
      <c r="E14418" s="24"/>
      <c r="F14418" s="24"/>
      <c r="G14418" s="24"/>
      <c r="H14418" s="24"/>
      <c r="I14418" s="24"/>
      <c r="J14418" s="24"/>
      <c r="K14418" s="24"/>
      <c r="L14418" s="24"/>
      <c r="M14418" s="24"/>
      <c r="N14418" s="24"/>
      <c r="O14418" s="24"/>
      <c r="P14418" s="24"/>
      <c r="Q14418" s="24"/>
      <c r="R14418" s="24"/>
      <c r="S14418" s="24"/>
      <c r="T14418" s="24"/>
      <c r="U14418" s="24"/>
      <c r="V14418" s="24"/>
      <c r="W14418" s="24"/>
      <c r="X14418" s="24"/>
      <c r="Y14418" s="24"/>
      <c r="Z14418" s="24"/>
      <c r="AA14418" s="24"/>
    </row>
    <row r="14419">
      <c r="A14419" s="24"/>
      <c r="B14419" s="25"/>
      <c r="C14419" s="24"/>
      <c r="D14419" s="26"/>
      <c r="E14419" s="24"/>
      <c r="F14419" s="24"/>
      <c r="G14419" s="24"/>
      <c r="H14419" s="24"/>
      <c r="I14419" s="24"/>
      <c r="J14419" s="24"/>
      <c r="K14419" s="24"/>
      <c r="L14419" s="24"/>
      <c r="M14419" s="24"/>
      <c r="N14419" s="24"/>
      <c r="O14419" s="24"/>
      <c r="P14419" s="24"/>
      <c r="Q14419" s="24"/>
      <c r="R14419" s="24"/>
      <c r="S14419" s="24"/>
      <c r="T14419" s="24"/>
      <c r="U14419" s="24"/>
      <c r="V14419" s="24"/>
      <c r="W14419" s="24"/>
      <c r="X14419" s="24"/>
      <c r="Y14419" s="24"/>
      <c r="Z14419" s="24"/>
      <c r="AA14419" s="24"/>
    </row>
    <row r="14420">
      <c r="A14420" s="24"/>
      <c r="B14420" s="25"/>
      <c r="C14420" s="24"/>
      <c r="D14420" s="26"/>
      <c r="E14420" s="24"/>
      <c r="F14420" s="24"/>
      <c r="G14420" s="24"/>
      <c r="H14420" s="24"/>
      <c r="I14420" s="24"/>
      <c r="J14420" s="24"/>
      <c r="K14420" s="24"/>
      <c r="L14420" s="24"/>
      <c r="M14420" s="24"/>
      <c r="N14420" s="24"/>
      <c r="O14420" s="24"/>
      <c r="P14420" s="24"/>
      <c r="Q14420" s="24"/>
      <c r="R14420" s="24"/>
      <c r="S14420" s="24"/>
      <c r="T14420" s="24"/>
      <c r="U14420" s="24"/>
      <c r="V14420" s="24"/>
      <c r="W14420" s="24"/>
      <c r="X14420" s="24"/>
      <c r="Y14420" s="24"/>
      <c r="Z14420" s="24"/>
      <c r="AA14420" s="24"/>
    </row>
    <row r="14421">
      <c r="A14421" s="24"/>
      <c r="B14421" s="25"/>
      <c r="C14421" s="24"/>
      <c r="D14421" s="26"/>
      <c r="E14421" s="24"/>
      <c r="F14421" s="24"/>
      <c r="G14421" s="24"/>
      <c r="H14421" s="24"/>
      <c r="I14421" s="24"/>
      <c r="J14421" s="24"/>
      <c r="K14421" s="24"/>
      <c r="L14421" s="24"/>
      <c r="M14421" s="24"/>
      <c r="N14421" s="24"/>
      <c r="O14421" s="24"/>
      <c r="P14421" s="24"/>
      <c r="Q14421" s="24"/>
      <c r="R14421" s="24"/>
      <c r="S14421" s="24"/>
      <c r="T14421" s="24"/>
      <c r="U14421" s="24"/>
      <c r="V14421" s="24"/>
      <c r="W14421" s="24"/>
      <c r="X14421" s="24"/>
      <c r="Y14421" s="24"/>
      <c r="Z14421" s="24"/>
      <c r="AA14421" s="24"/>
    </row>
    <row r="14422">
      <c r="A14422" s="24"/>
      <c r="B14422" s="25"/>
      <c r="C14422" s="24"/>
      <c r="D14422" s="26"/>
      <c r="E14422" s="24"/>
      <c r="F14422" s="24"/>
      <c r="G14422" s="24"/>
      <c r="H14422" s="24"/>
      <c r="I14422" s="24"/>
      <c r="J14422" s="24"/>
      <c r="K14422" s="24"/>
      <c r="L14422" s="24"/>
      <c r="M14422" s="24"/>
      <c r="N14422" s="24"/>
      <c r="O14422" s="24"/>
      <c r="P14422" s="24"/>
      <c r="Q14422" s="24"/>
      <c r="R14422" s="24"/>
      <c r="S14422" s="24"/>
      <c r="T14422" s="24"/>
      <c r="U14422" s="24"/>
      <c r="V14422" s="24"/>
      <c r="W14422" s="24"/>
      <c r="X14422" s="24"/>
      <c r="Y14422" s="24"/>
      <c r="Z14422" s="24"/>
      <c r="AA14422" s="24"/>
    </row>
    <row r="14423">
      <c r="A14423" s="24"/>
      <c r="B14423" s="25"/>
      <c r="C14423" s="24"/>
      <c r="D14423" s="26"/>
      <c r="E14423" s="24"/>
      <c r="F14423" s="24"/>
      <c r="G14423" s="24"/>
      <c r="H14423" s="24"/>
      <c r="I14423" s="24"/>
      <c r="J14423" s="24"/>
      <c r="K14423" s="24"/>
      <c r="L14423" s="24"/>
      <c r="M14423" s="24"/>
      <c r="N14423" s="24"/>
      <c r="O14423" s="24"/>
      <c r="P14423" s="24"/>
      <c r="Q14423" s="24"/>
      <c r="R14423" s="24"/>
      <c r="S14423" s="24"/>
      <c r="T14423" s="24"/>
      <c r="U14423" s="24"/>
      <c r="V14423" s="24"/>
      <c r="W14423" s="24"/>
      <c r="X14423" s="24"/>
      <c r="Y14423" s="24"/>
      <c r="Z14423" s="24"/>
      <c r="AA14423" s="24"/>
    </row>
    <row r="14424">
      <c r="A14424" s="24"/>
      <c r="B14424" s="25"/>
      <c r="C14424" s="24"/>
      <c r="D14424" s="26"/>
      <c r="E14424" s="24"/>
      <c r="F14424" s="24"/>
      <c r="G14424" s="24"/>
      <c r="H14424" s="24"/>
      <c r="I14424" s="24"/>
      <c r="J14424" s="24"/>
      <c r="K14424" s="24"/>
      <c r="L14424" s="24"/>
      <c r="M14424" s="24"/>
      <c r="N14424" s="24"/>
      <c r="O14424" s="24"/>
      <c r="P14424" s="24"/>
      <c r="Q14424" s="24"/>
      <c r="R14424" s="24"/>
      <c r="S14424" s="24"/>
      <c r="T14424" s="24"/>
      <c r="U14424" s="24"/>
      <c r="V14424" s="24"/>
      <c r="W14424" s="24"/>
      <c r="X14424" s="24"/>
      <c r="Y14424" s="24"/>
      <c r="Z14424" s="24"/>
      <c r="AA14424" s="24"/>
    </row>
    <row r="14425">
      <c r="A14425" s="24"/>
      <c r="B14425" s="25"/>
      <c r="C14425" s="24"/>
      <c r="D14425" s="26"/>
      <c r="E14425" s="24"/>
      <c r="F14425" s="24"/>
      <c r="G14425" s="24"/>
      <c r="H14425" s="24"/>
      <c r="I14425" s="24"/>
      <c r="J14425" s="24"/>
      <c r="K14425" s="24"/>
      <c r="L14425" s="24"/>
      <c r="M14425" s="24"/>
      <c r="N14425" s="24"/>
      <c r="O14425" s="24"/>
      <c r="P14425" s="24"/>
      <c r="Q14425" s="24"/>
      <c r="R14425" s="24"/>
      <c r="S14425" s="24"/>
      <c r="T14425" s="24"/>
      <c r="U14425" s="24"/>
      <c r="V14425" s="24"/>
      <c r="W14425" s="24"/>
      <c r="X14425" s="24"/>
      <c r="Y14425" s="24"/>
      <c r="Z14425" s="24"/>
      <c r="AA14425" s="24"/>
    </row>
    <row r="14426">
      <c r="A14426" s="24"/>
      <c r="B14426" s="25"/>
      <c r="C14426" s="24"/>
      <c r="D14426" s="26"/>
      <c r="E14426" s="24"/>
      <c r="F14426" s="24"/>
      <c r="G14426" s="24"/>
      <c r="H14426" s="24"/>
      <c r="I14426" s="24"/>
      <c r="J14426" s="24"/>
      <c r="K14426" s="24"/>
      <c r="L14426" s="24"/>
      <c r="M14426" s="24"/>
      <c r="N14426" s="24"/>
      <c r="O14426" s="24"/>
      <c r="P14426" s="24"/>
      <c r="Q14426" s="24"/>
      <c r="R14426" s="24"/>
      <c r="S14426" s="24"/>
      <c r="T14426" s="24"/>
      <c r="U14426" s="24"/>
      <c r="V14426" s="24"/>
      <c r="W14426" s="24"/>
      <c r="X14426" s="24"/>
      <c r="Y14426" s="24"/>
      <c r="Z14426" s="24"/>
      <c r="AA14426" s="24"/>
    </row>
    <row r="14427">
      <c r="A14427" s="24"/>
      <c r="B14427" s="25"/>
      <c r="C14427" s="24"/>
      <c r="D14427" s="26"/>
      <c r="E14427" s="24"/>
      <c r="F14427" s="24"/>
      <c r="G14427" s="24"/>
      <c r="H14427" s="24"/>
      <c r="I14427" s="24"/>
      <c r="J14427" s="24"/>
      <c r="K14427" s="24"/>
      <c r="L14427" s="24"/>
      <c r="M14427" s="24"/>
      <c r="N14427" s="24"/>
      <c r="O14427" s="24"/>
      <c r="P14427" s="24"/>
      <c r="Q14427" s="24"/>
      <c r="R14427" s="24"/>
      <c r="S14427" s="24"/>
      <c r="T14427" s="24"/>
      <c r="U14427" s="24"/>
      <c r="V14427" s="24"/>
      <c r="W14427" s="24"/>
      <c r="X14427" s="24"/>
      <c r="Y14427" s="24"/>
      <c r="Z14427" s="24"/>
      <c r="AA14427" s="24"/>
    </row>
    <row r="14428">
      <c r="A14428" s="24"/>
      <c r="B14428" s="25"/>
      <c r="C14428" s="24"/>
      <c r="D14428" s="26"/>
      <c r="E14428" s="24"/>
      <c r="F14428" s="24"/>
      <c r="G14428" s="24"/>
      <c r="H14428" s="24"/>
      <c r="I14428" s="24"/>
      <c r="J14428" s="24"/>
      <c r="K14428" s="24"/>
      <c r="L14428" s="24"/>
      <c r="M14428" s="24"/>
      <c r="N14428" s="24"/>
      <c r="O14428" s="24"/>
      <c r="P14428" s="24"/>
      <c r="Q14428" s="24"/>
      <c r="R14428" s="24"/>
      <c r="S14428" s="24"/>
      <c r="T14428" s="24"/>
      <c r="U14428" s="24"/>
      <c r="V14428" s="24"/>
      <c r="W14428" s="24"/>
      <c r="X14428" s="24"/>
      <c r="Y14428" s="24"/>
      <c r="Z14428" s="24"/>
      <c r="AA14428" s="24"/>
    </row>
    <row r="14429">
      <c r="A14429" s="24"/>
      <c r="B14429" s="25"/>
      <c r="C14429" s="24"/>
      <c r="D14429" s="26"/>
      <c r="E14429" s="24"/>
      <c r="F14429" s="24"/>
      <c r="G14429" s="24"/>
      <c r="H14429" s="24"/>
      <c r="I14429" s="24"/>
      <c r="J14429" s="24"/>
      <c r="K14429" s="24"/>
      <c r="L14429" s="24"/>
      <c r="M14429" s="24"/>
      <c r="N14429" s="24"/>
      <c r="O14429" s="24"/>
      <c r="P14429" s="24"/>
      <c r="Q14429" s="24"/>
      <c r="R14429" s="24"/>
      <c r="S14429" s="24"/>
      <c r="T14429" s="24"/>
      <c r="U14429" s="24"/>
      <c r="V14429" s="24"/>
      <c r="W14429" s="24"/>
      <c r="X14429" s="24"/>
      <c r="Y14429" s="24"/>
      <c r="Z14429" s="24"/>
      <c r="AA14429" s="24"/>
    </row>
    <row r="14430">
      <c r="A14430" s="24"/>
      <c r="B14430" s="25"/>
      <c r="C14430" s="24"/>
      <c r="D14430" s="26"/>
      <c r="E14430" s="24"/>
      <c r="F14430" s="24"/>
      <c r="G14430" s="24"/>
      <c r="H14430" s="24"/>
      <c r="I14430" s="24"/>
      <c r="J14430" s="24"/>
      <c r="K14430" s="24"/>
      <c r="L14430" s="24"/>
      <c r="M14430" s="24"/>
      <c r="N14430" s="24"/>
      <c r="O14430" s="24"/>
      <c r="P14430" s="24"/>
      <c r="Q14430" s="24"/>
      <c r="R14430" s="24"/>
      <c r="S14430" s="24"/>
      <c r="T14430" s="24"/>
      <c r="U14430" s="24"/>
      <c r="V14430" s="24"/>
      <c r="W14430" s="24"/>
      <c r="X14430" s="24"/>
      <c r="Y14430" s="24"/>
      <c r="Z14430" s="24"/>
      <c r="AA14430" s="24"/>
    </row>
    <row r="14431">
      <c r="A14431" s="24"/>
      <c r="B14431" s="25"/>
      <c r="C14431" s="24"/>
      <c r="D14431" s="26"/>
      <c r="E14431" s="24"/>
      <c r="F14431" s="24"/>
      <c r="G14431" s="24"/>
      <c r="H14431" s="24"/>
      <c r="I14431" s="24"/>
      <c r="J14431" s="24"/>
      <c r="K14431" s="24"/>
      <c r="L14431" s="24"/>
      <c r="M14431" s="24"/>
      <c r="N14431" s="24"/>
      <c r="O14431" s="24"/>
      <c r="P14431" s="24"/>
      <c r="Q14431" s="24"/>
      <c r="R14431" s="24"/>
      <c r="S14431" s="24"/>
      <c r="T14431" s="24"/>
      <c r="U14431" s="24"/>
      <c r="V14431" s="24"/>
      <c r="W14431" s="24"/>
      <c r="X14431" s="24"/>
      <c r="Y14431" s="24"/>
      <c r="Z14431" s="24"/>
      <c r="AA14431" s="24"/>
    </row>
    <row r="14432">
      <c r="A14432" s="24"/>
      <c r="B14432" s="25"/>
      <c r="C14432" s="24"/>
      <c r="D14432" s="26"/>
      <c r="E14432" s="24"/>
      <c r="F14432" s="24"/>
      <c r="G14432" s="24"/>
      <c r="H14432" s="24"/>
      <c r="I14432" s="24"/>
      <c r="J14432" s="24"/>
      <c r="K14432" s="24"/>
      <c r="L14432" s="24"/>
      <c r="M14432" s="24"/>
      <c r="N14432" s="24"/>
      <c r="O14432" s="24"/>
      <c r="P14432" s="24"/>
      <c r="Q14432" s="24"/>
      <c r="R14432" s="24"/>
      <c r="S14432" s="24"/>
      <c r="T14432" s="24"/>
      <c r="U14432" s="24"/>
      <c r="V14432" s="24"/>
      <c r="W14432" s="24"/>
      <c r="X14432" s="24"/>
      <c r="Y14432" s="24"/>
      <c r="Z14432" s="24"/>
      <c r="AA14432" s="24"/>
    </row>
    <row r="14433">
      <c r="A14433" s="24"/>
      <c r="B14433" s="25"/>
      <c r="C14433" s="24"/>
      <c r="D14433" s="26"/>
      <c r="E14433" s="24"/>
      <c r="F14433" s="24"/>
      <c r="G14433" s="24"/>
      <c r="H14433" s="24"/>
      <c r="I14433" s="24"/>
      <c r="J14433" s="24"/>
      <c r="K14433" s="24"/>
      <c r="L14433" s="24"/>
      <c r="M14433" s="24"/>
      <c r="N14433" s="24"/>
      <c r="O14433" s="24"/>
      <c r="P14433" s="24"/>
      <c r="Q14433" s="24"/>
      <c r="R14433" s="24"/>
      <c r="S14433" s="24"/>
      <c r="T14433" s="24"/>
      <c r="U14433" s="24"/>
      <c r="V14433" s="24"/>
      <c r="W14433" s="24"/>
      <c r="X14433" s="24"/>
      <c r="Y14433" s="24"/>
      <c r="Z14433" s="24"/>
      <c r="AA14433" s="24"/>
    </row>
    <row r="14434">
      <c r="A14434" s="24"/>
      <c r="B14434" s="25"/>
      <c r="C14434" s="24"/>
      <c r="D14434" s="26"/>
      <c r="E14434" s="24"/>
      <c r="F14434" s="24"/>
      <c r="G14434" s="24"/>
      <c r="H14434" s="24"/>
      <c r="I14434" s="24"/>
      <c r="J14434" s="24"/>
      <c r="K14434" s="24"/>
      <c r="L14434" s="24"/>
      <c r="M14434" s="24"/>
      <c r="N14434" s="24"/>
      <c r="O14434" s="24"/>
      <c r="P14434" s="24"/>
      <c r="Q14434" s="24"/>
      <c r="R14434" s="24"/>
      <c r="S14434" s="24"/>
      <c r="T14434" s="24"/>
      <c r="U14434" s="24"/>
      <c r="V14434" s="24"/>
      <c r="W14434" s="24"/>
      <c r="X14434" s="24"/>
      <c r="Y14434" s="24"/>
      <c r="Z14434" s="24"/>
      <c r="AA14434" s="24"/>
    </row>
    <row r="14435">
      <c r="A14435" s="24"/>
      <c r="B14435" s="25"/>
      <c r="C14435" s="24"/>
      <c r="D14435" s="26"/>
      <c r="E14435" s="24"/>
      <c r="F14435" s="24"/>
      <c r="G14435" s="24"/>
      <c r="H14435" s="24"/>
      <c r="I14435" s="24"/>
      <c r="J14435" s="24"/>
      <c r="K14435" s="24"/>
      <c r="L14435" s="24"/>
      <c r="M14435" s="24"/>
      <c r="N14435" s="24"/>
      <c r="O14435" s="24"/>
      <c r="P14435" s="24"/>
      <c r="Q14435" s="24"/>
      <c r="R14435" s="24"/>
      <c r="S14435" s="24"/>
      <c r="T14435" s="24"/>
      <c r="U14435" s="24"/>
      <c r="V14435" s="24"/>
      <c r="W14435" s="24"/>
      <c r="X14435" s="24"/>
      <c r="Y14435" s="24"/>
      <c r="Z14435" s="24"/>
      <c r="AA14435" s="24"/>
    </row>
    <row r="14436">
      <c r="A14436" s="24"/>
      <c r="B14436" s="25"/>
      <c r="C14436" s="24"/>
      <c r="D14436" s="26"/>
      <c r="E14436" s="24"/>
      <c r="F14436" s="24"/>
      <c r="G14436" s="24"/>
      <c r="H14436" s="24"/>
      <c r="I14436" s="24"/>
      <c r="J14436" s="24"/>
      <c r="K14436" s="24"/>
      <c r="L14436" s="24"/>
      <c r="M14436" s="24"/>
      <c r="N14436" s="24"/>
      <c r="O14436" s="24"/>
      <c r="P14436" s="24"/>
      <c r="Q14436" s="24"/>
      <c r="R14436" s="24"/>
      <c r="S14436" s="24"/>
      <c r="T14436" s="24"/>
      <c r="U14436" s="24"/>
      <c r="V14436" s="24"/>
      <c r="W14436" s="24"/>
      <c r="X14436" s="24"/>
      <c r="Y14436" s="24"/>
      <c r="Z14436" s="24"/>
      <c r="AA14436" s="24"/>
    </row>
    <row r="14437">
      <c r="A14437" s="24"/>
      <c r="B14437" s="25"/>
      <c r="C14437" s="24"/>
      <c r="D14437" s="26"/>
      <c r="E14437" s="24"/>
      <c r="F14437" s="24"/>
      <c r="G14437" s="24"/>
      <c r="H14437" s="24"/>
      <c r="I14437" s="24"/>
      <c r="J14437" s="24"/>
      <c r="K14437" s="24"/>
      <c r="L14437" s="24"/>
      <c r="M14437" s="24"/>
      <c r="N14437" s="24"/>
      <c r="O14437" s="24"/>
      <c r="P14437" s="24"/>
      <c r="Q14437" s="24"/>
      <c r="R14437" s="24"/>
      <c r="S14437" s="24"/>
      <c r="T14437" s="24"/>
      <c r="U14437" s="24"/>
      <c r="V14437" s="24"/>
      <c r="W14437" s="24"/>
      <c r="X14437" s="24"/>
      <c r="Y14437" s="24"/>
      <c r="Z14437" s="24"/>
      <c r="AA14437" s="24"/>
    </row>
    <row r="14438">
      <c r="A14438" s="24"/>
      <c r="B14438" s="25"/>
      <c r="C14438" s="24"/>
      <c r="D14438" s="26"/>
      <c r="E14438" s="24"/>
      <c r="F14438" s="24"/>
      <c r="G14438" s="24"/>
      <c r="H14438" s="24"/>
      <c r="I14438" s="24"/>
      <c r="J14438" s="24"/>
      <c r="K14438" s="24"/>
      <c r="L14438" s="24"/>
      <c r="M14438" s="24"/>
      <c r="N14438" s="24"/>
      <c r="O14438" s="24"/>
      <c r="P14438" s="24"/>
      <c r="Q14438" s="24"/>
      <c r="R14438" s="24"/>
      <c r="S14438" s="24"/>
      <c r="T14438" s="24"/>
      <c r="U14438" s="24"/>
      <c r="V14438" s="24"/>
      <c r="W14438" s="24"/>
      <c r="X14438" s="24"/>
      <c r="Y14438" s="24"/>
      <c r="Z14438" s="24"/>
      <c r="AA14438" s="24"/>
    </row>
    <row r="14439">
      <c r="A14439" s="24"/>
      <c r="B14439" s="25"/>
      <c r="C14439" s="24"/>
      <c r="D14439" s="26"/>
      <c r="E14439" s="24"/>
      <c r="F14439" s="24"/>
      <c r="G14439" s="24"/>
      <c r="H14439" s="24"/>
      <c r="I14439" s="24"/>
      <c r="J14439" s="24"/>
      <c r="K14439" s="24"/>
      <c r="L14439" s="24"/>
      <c r="M14439" s="24"/>
      <c r="N14439" s="24"/>
      <c r="O14439" s="24"/>
      <c r="P14439" s="24"/>
      <c r="Q14439" s="24"/>
      <c r="R14439" s="24"/>
      <c r="S14439" s="24"/>
      <c r="T14439" s="24"/>
      <c r="U14439" s="24"/>
      <c r="V14439" s="24"/>
      <c r="W14439" s="24"/>
      <c r="X14439" s="24"/>
      <c r="Y14439" s="24"/>
      <c r="Z14439" s="24"/>
      <c r="AA14439" s="24"/>
    </row>
    <row r="14440">
      <c r="A14440" s="24"/>
      <c r="B14440" s="25"/>
      <c r="C14440" s="24"/>
      <c r="D14440" s="26"/>
      <c r="E14440" s="24"/>
      <c r="F14440" s="24"/>
      <c r="G14440" s="24"/>
      <c r="H14440" s="24"/>
      <c r="I14440" s="24"/>
      <c r="J14440" s="24"/>
      <c r="K14440" s="24"/>
      <c r="L14440" s="24"/>
      <c r="M14440" s="24"/>
      <c r="N14440" s="24"/>
      <c r="O14440" s="24"/>
      <c r="P14440" s="24"/>
      <c r="Q14440" s="24"/>
      <c r="R14440" s="24"/>
      <c r="S14440" s="24"/>
      <c r="T14440" s="24"/>
      <c r="U14440" s="24"/>
      <c r="V14440" s="24"/>
      <c r="W14440" s="24"/>
      <c r="X14440" s="24"/>
      <c r="Y14440" s="24"/>
      <c r="Z14440" s="24"/>
      <c r="AA14440" s="24"/>
    </row>
    <row r="14441">
      <c r="A14441" s="24"/>
      <c r="B14441" s="25"/>
      <c r="C14441" s="24"/>
      <c r="D14441" s="26"/>
      <c r="E14441" s="24"/>
      <c r="F14441" s="24"/>
      <c r="G14441" s="24"/>
      <c r="H14441" s="24"/>
      <c r="I14441" s="24"/>
      <c r="J14441" s="24"/>
      <c r="K14441" s="24"/>
      <c r="L14441" s="24"/>
      <c r="M14441" s="24"/>
      <c r="N14441" s="24"/>
      <c r="O14441" s="24"/>
      <c r="P14441" s="24"/>
      <c r="Q14441" s="24"/>
      <c r="R14441" s="24"/>
      <c r="S14441" s="24"/>
      <c r="T14441" s="24"/>
      <c r="U14441" s="24"/>
      <c r="V14441" s="24"/>
      <c r="W14441" s="24"/>
      <c r="X14441" s="24"/>
      <c r="Y14441" s="24"/>
      <c r="Z14441" s="24"/>
      <c r="AA14441" s="24"/>
    </row>
    <row r="14442">
      <c r="A14442" s="24"/>
      <c r="B14442" s="25"/>
      <c r="C14442" s="24"/>
      <c r="D14442" s="26"/>
      <c r="E14442" s="24"/>
      <c r="F14442" s="24"/>
      <c r="G14442" s="24"/>
      <c r="H14442" s="24"/>
      <c r="I14442" s="24"/>
      <c r="J14442" s="24"/>
      <c r="K14442" s="24"/>
      <c r="L14442" s="24"/>
      <c r="M14442" s="24"/>
      <c r="N14442" s="24"/>
      <c r="O14442" s="24"/>
      <c r="P14442" s="24"/>
      <c r="Q14442" s="24"/>
      <c r="R14442" s="24"/>
      <c r="S14442" s="24"/>
      <c r="T14442" s="24"/>
      <c r="U14442" s="24"/>
      <c r="V14442" s="24"/>
      <c r="W14442" s="24"/>
      <c r="X14442" s="24"/>
      <c r="Y14442" s="24"/>
      <c r="Z14442" s="24"/>
      <c r="AA14442" s="24"/>
    </row>
    <row r="14443">
      <c r="A14443" s="24"/>
      <c r="B14443" s="25"/>
      <c r="C14443" s="24"/>
      <c r="D14443" s="26"/>
      <c r="E14443" s="24"/>
      <c r="F14443" s="24"/>
      <c r="G14443" s="24"/>
      <c r="H14443" s="24"/>
      <c r="I14443" s="24"/>
      <c r="J14443" s="24"/>
      <c r="K14443" s="24"/>
      <c r="L14443" s="24"/>
      <c r="M14443" s="24"/>
      <c r="N14443" s="24"/>
      <c r="O14443" s="24"/>
      <c r="P14443" s="24"/>
      <c r="Q14443" s="24"/>
      <c r="R14443" s="24"/>
      <c r="S14443" s="24"/>
      <c r="T14443" s="24"/>
      <c r="U14443" s="24"/>
      <c r="V14443" s="24"/>
      <c r="W14443" s="24"/>
      <c r="X14443" s="24"/>
      <c r="Y14443" s="24"/>
      <c r="Z14443" s="24"/>
      <c r="AA14443" s="24"/>
    </row>
    <row r="14444">
      <c r="A14444" s="24"/>
      <c r="B14444" s="25"/>
      <c r="C14444" s="24"/>
      <c r="D14444" s="26"/>
      <c r="E14444" s="24"/>
      <c r="F14444" s="24"/>
      <c r="G14444" s="24"/>
      <c r="H14444" s="24"/>
      <c r="I14444" s="24"/>
      <c r="J14444" s="24"/>
      <c r="K14444" s="24"/>
      <c r="L14444" s="24"/>
      <c r="M14444" s="24"/>
      <c r="N14444" s="24"/>
      <c r="O14444" s="24"/>
      <c r="P14444" s="24"/>
      <c r="Q14444" s="24"/>
      <c r="R14444" s="24"/>
      <c r="S14444" s="24"/>
      <c r="T14444" s="24"/>
      <c r="U14444" s="24"/>
      <c r="V14444" s="24"/>
      <c r="W14444" s="24"/>
      <c r="X14444" s="24"/>
      <c r="Y14444" s="24"/>
      <c r="Z14444" s="24"/>
      <c r="AA14444" s="24"/>
    </row>
    <row r="14445">
      <c r="A14445" s="24"/>
      <c r="B14445" s="25"/>
      <c r="C14445" s="24"/>
      <c r="D14445" s="26"/>
      <c r="E14445" s="24"/>
      <c r="F14445" s="24"/>
      <c r="G14445" s="24"/>
      <c r="H14445" s="24"/>
      <c r="I14445" s="24"/>
      <c r="J14445" s="24"/>
      <c r="K14445" s="24"/>
      <c r="L14445" s="24"/>
      <c r="M14445" s="24"/>
      <c r="N14445" s="24"/>
      <c r="O14445" s="24"/>
      <c r="P14445" s="24"/>
      <c r="Q14445" s="24"/>
      <c r="R14445" s="24"/>
      <c r="S14445" s="24"/>
      <c r="T14445" s="24"/>
      <c r="U14445" s="24"/>
      <c r="V14445" s="24"/>
      <c r="W14445" s="24"/>
      <c r="X14445" s="24"/>
      <c r="Y14445" s="24"/>
      <c r="Z14445" s="24"/>
      <c r="AA14445" s="24"/>
    </row>
    <row r="14446">
      <c r="A14446" s="24"/>
      <c r="B14446" s="25"/>
      <c r="C14446" s="24"/>
      <c r="D14446" s="26"/>
      <c r="E14446" s="24"/>
      <c r="F14446" s="24"/>
      <c r="G14446" s="24"/>
      <c r="H14446" s="24"/>
      <c r="I14446" s="24"/>
      <c r="J14446" s="24"/>
      <c r="K14446" s="24"/>
      <c r="L14446" s="24"/>
      <c r="M14446" s="24"/>
      <c r="N14446" s="24"/>
      <c r="O14446" s="24"/>
      <c r="P14446" s="24"/>
      <c r="Q14446" s="24"/>
      <c r="R14446" s="24"/>
      <c r="S14446" s="24"/>
      <c r="T14446" s="24"/>
      <c r="U14446" s="24"/>
      <c r="V14446" s="24"/>
      <c r="W14446" s="24"/>
      <c r="X14446" s="24"/>
      <c r="Y14446" s="24"/>
      <c r="Z14446" s="24"/>
      <c r="AA14446" s="24"/>
    </row>
    <row r="14447">
      <c r="A14447" s="24"/>
      <c r="B14447" s="25"/>
      <c r="C14447" s="24"/>
      <c r="D14447" s="26"/>
      <c r="E14447" s="24"/>
      <c r="F14447" s="24"/>
      <c r="G14447" s="24"/>
      <c r="H14447" s="24"/>
      <c r="I14447" s="24"/>
      <c r="J14447" s="24"/>
      <c r="K14447" s="24"/>
      <c r="L14447" s="24"/>
      <c r="M14447" s="24"/>
      <c r="N14447" s="24"/>
      <c r="O14447" s="24"/>
      <c r="P14447" s="24"/>
      <c r="Q14447" s="24"/>
      <c r="R14447" s="24"/>
      <c r="S14447" s="24"/>
      <c r="T14447" s="24"/>
      <c r="U14447" s="24"/>
      <c r="V14447" s="24"/>
      <c r="W14447" s="24"/>
      <c r="X14447" s="24"/>
      <c r="Y14447" s="24"/>
      <c r="Z14447" s="24"/>
      <c r="AA14447" s="24"/>
    </row>
    <row r="14448">
      <c r="A14448" s="24"/>
      <c r="B14448" s="25"/>
      <c r="C14448" s="24"/>
      <c r="D14448" s="26"/>
      <c r="E14448" s="24"/>
      <c r="F14448" s="24"/>
      <c r="G14448" s="24"/>
      <c r="H14448" s="24"/>
      <c r="I14448" s="24"/>
      <c r="J14448" s="24"/>
      <c r="K14448" s="24"/>
      <c r="L14448" s="24"/>
      <c r="M14448" s="24"/>
      <c r="N14448" s="24"/>
      <c r="O14448" s="24"/>
      <c r="P14448" s="24"/>
      <c r="Q14448" s="24"/>
      <c r="R14448" s="24"/>
      <c r="S14448" s="24"/>
      <c r="T14448" s="24"/>
      <c r="U14448" s="24"/>
      <c r="V14448" s="24"/>
      <c r="W14448" s="24"/>
      <c r="X14448" s="24"/>
      <c r="Y14448" s="24"/>
      <c r="Z14448" s="24"/>
      <c r="AA14448" s="24"/>
    </row>
    <row r="14449">
      <c r="A14449" s="24"/>
      <c r="B14449" s="25"/>
      <c r="C14449" s="24"/>
      <c r="D14449" s="26"/>
      <c r="E14449" s="24"/>
      <c r="F14449" s="24"/>
      <c r="G14449" s="24"/>
      <c r="H14449" s="24"/>
      <c r="I14449" s="24"/>
      <c r="J14449" s="24"/>
      <c r="K14449" s="24"/>
      <c r="L14449" s="24"/>
      <c r="M14449" s="24"/>
      <c r="N14449" s="24"/>
      <c r="O14449" s="24"/>
      <c r="P14449" s="24"/>
      <c r="Q14449" s="24"/>
      <c r="R14449" s="24"/>
      <c r="S14449" s="24"/>
      <c r="T14449" s="24"/>
      <c r="U14449" s="24"/>
      <c r="V14449" s="24"/>
      <c r="W14449" s="24"/>
      <c r="X14449" s="24"/>
      <c r="Y14449" s="24"/>
      <c r="Z14449" s="24"/>
      <c r="AA14449" s="24"/>
    </row>
    <row r="14450">
      <c r="A14450" s="24"/>
      <c r="B14450" s="25"/>
      <c r="C14450" s="24"/>
      <c r="D14450" s="26"/>
      <c r="E14450" s="24"/>
      <c r="F14450" s="24"/>
      <c r="G14450" s="24"/>
      <c r="H14450" s="24"/>
      <c r="I14450" s="24"/>
      <c r="J14450" s="24"/>
      <c r="K14450" s="24"/>
      <c r="L14450" s="24"/>
      <c r="M14450" s="24"/>
      <c r="N14450" s="24"/>
      <c r="O14450" s="24"/>
      <c r="P14450" s="24"/>
      <c r="Q14450" s="24"/>
      <c r="R14450" s="24"/>
      <c r="S14450" s="24"/>
      <c r="T14450" s="24"/>
      <c r="U14450" s="24"/>
      <c r="V14450" s="24"/>
      <c r="W14450" s="24"/>
      <c r="X14450" s="24"/>
      <c r="Y14450" s="24"/>
      <c r="Z14450" s="24"/>
      <c r="AA14450" s="24"/>
    </row>
    <row r="14451">
      <c r="A14451" s="24"/>
      <c r="B14451" s="25"/>
      <c r="C14451" s="24"/>
      <c r="D14451" s="26"/>
      <c r="E14451" s="24"/>
      <c r="F14451" s="24"/>
      <c r="G14451" s="24"/>
      <c r="H14451" s="24"/>
      <c r="I14451" s="24"/>
      <c r="J14451" s="24"/>
      <c r="K14451" s="24"/>
      <c r="L14451" s="24"/>
      <c r="M14451" s="24"/>
      <c r="N14451" s="24"/>
      <c r="O14451" s="24"/>
      <c r="P14451" s="24"/>
      <c r="Q14451" s="24"/>
      <c r="R14451" s="24"/>
      <c r="S14451" s="24"/>
      <c r="T14451" s="24"/>
      <c r="U14451" s="24"/>
      <c r="V14451" s="24"/>
      <c r="W14451" s="24"/>
      <c r="X14451" s="24"/>
      <c r="Y14451" s="24"/>
      <c r="Z14451" s="24"/>
      <c r="AA14451" s="24"/>
    </row>
    <row r="14452">
      <c r="A14452" s="24"/>
      <c r="B14452" s="25"/>
      <c r="C14452" s="24"/>
      <c r="D14452" s="26"/>
      <c r="E14452" s="24"/>
      <c r="F14452" s="24"/>
      <c r="G14452" s="24"/>
      <c r="H14452" s="24"/>
      <c r="I14452" s="24"/>
      <c r="J14452" s="24"/>
      <c r="K14452" s="24"/>
      <c r="L14452" s="24"/>
      <c r="M14452" s="24"/>
      <c r="N14452" s="24"/>
      <c r="O14452" s="24"/>
      <c r="P14452" s="24"/>
      <c r="Q14452" s="24"/>
      <c r="R14452" s="24"/>
      <c r="S14452" s="24"/>
      <c r="T14452" s="24"/>
      <c r="U14452" s="24"/>
      <c r="V14452" s="24"/>
      <c r="W14452" s="24"/>
      <c r="X14452" s="24"/>
      <c r="Y14452" s="24"/>
      <c r="Z14452" s="24"/>
      <c r="AA14452" s="24"/>
    </row>
    <row r="14453">
      <c r="A14453" s="24"/>
      <c r="B14453" s="25"/>
      <c r="C14453" s="24"/>
      <c r="D14453" s="26"/>
      <c r="E14453" s="24"/>
      <c r="F14453" s="24"/>
      <c r="G14453" s="24"/>
      <c r="H14453" s="24"/>
      <c r="I14453" s="24"/>
      <c r="J14453" s="24"/>
      <c r="K14453" s="24"/>
      <c r="L14453" s="24"/>
      <c r="M14453" s="24"/>
      <c r="N14453" s="24"/>
      <c r="O14453" s="24"/>
      <c r="P14453" s="24"/>
      <c r="Q14453" s="24"/>
      <c r="R14453" s="24"/>
      <c r="S14453" s="24"/>
      <c r="T14453" s="24"/>
      <c r="U14453" s="24"/>
      <c r="V14453" s="24"/>
      <c r="W14453" s="24"/>
      <c r="X14453" s="24"/>
      <c r="Y14453" s="24"/>
      <c r="Z14453" s="24"/>
      <c r="AA14453" s="24"/>
    </row>
    <row r="14454">
      <c r="A14454" s="24"/>
      <c r="B14454" s="25"/>
      <c r="C14454" s="24"/>
      <c r="D14454" s="26"/>
      <c r="E14454" s="24"/>
      <c r="F14454" s="24"/>
      <c r="G14454" s="24"/>
      <c r="H14454" s="24"/>
      <c r="I14454" s="24"/>
      <c r="J14454" s="24"/>
      <c r="K14454" s="24"/>
      <c r="L14454" s="24"/>
      <c r="M14454" s="24"/>
      <c r="N14454" s="24"/>
      <c r="O14454" s="24"/>
      <c r="P14454" s="24"/>
      <c r="Q14454" s="24"/>
      <c r="R14454" s="24"/>
      <c r="S14454" s="24"/>
      <c r="T14454" s="24"/>
      <c r="U14454" s="24"/>
      <c r="V14454" s="24"/>
      <c r="W14454" s="24"/>
      <c r="X14454" s="24"/>
      <c r="Y14454" s="24"/>
      <c r="Z14454" s="24"/>
      <c r="AA14454" s="24"/>
    </row>
    <row r="14455">
      <c r="A14455" s="24"/>
      <c r="B14455" s="25"/>
      <c r="C14455" s="24"/>
      <c r="D14455" s="26"/>
      <c r="E14455" s="24"/>
      <c r="F14455" s="24"/>
      <c r="G14455" s="24"/>
      <c r="H14455" s="24"/>
      <c r="I14455" s="24"/>
      <c r="J14455" s="24"/>
      <c r="K14455" s="24"/>
      <c r="L14455" s="24"/>
      <c r="M14455" s="24"/>
      <c r="N14455" s="24"/>
      <c r="O14455" s="24"/>
      <c r="P14455" s="24"/>
      <c r="Q14455" s="24"/>
      <c r="R14455" s="24"/>
      <c r="S14455" s="24"/>
      <c r="T14455" s="24"/>
      <c r="U14455" s="24"/>
      <c r="V14455" s="24"/>
      <c r="W14455" s="24"/>
      <c r="X14455" s="24"/>
      <c r="Y14455" s="24"/>
      <c r="Z14455" s="24"/>
      <c r="AA14455" s="24"/>
    </row>
    <row r="14456">
      <c r="A14456" s="24"/>
      <c r="B14456" s="25"/>
      <c r="C14456" s="24"/>
      <c r="D14456" s="26"/>
      <c r="E14456" s="24"/>
      <c r="F14456" s="24"/>
      <c r="G14456" s="24"/>
      <c r="H14456" s="24"/>
      <c r="I14456" s="24"/>
      <c r="J14456" s="24"/>
      <c r="K14456" s="24"/>
      <c r="L14456" s="24"/>
      <c r="M14456" s="24"/>
      <c r="N14456" s="24"/>
      <c r="O14456" s="24"/>
      <c r="P14456" s="24"/>
      <c r="Q14456" s="24"/>
      <c r="R14456" s="24"/>
      <c r="S14456" s="24"/>
      <c r="T14456" s="24"/>
      <c r="U14456" s="24"/>
      <c r="V14456" s="24"/>
      <c r="W14456" s="24"/>
      <c r="X14456" s="24"/>
      <c r="Y14456" s="24"/>
      <c r="Z14456" s="24"/>
      <c r="AA14456" s="24"/>
    </row>
    <row r="14457">
      <c r="A14457" s="24"/>
      <c r="B14457" s="25"/>
      <c r="C14457" s="24"/>
      <c r="D14457" s="26"/>
      <c r="E14457" s="24"/>
      <c r="F14457" s="24"/>
      <c r="G14457" s="24"/>
      <c r="H14457" s="24"/>
      <c r="I14457" s="24"/>
      <c r="J14457" s="24"/>
      <c r="K14457" s="24"/>
      <c r="L14457" s="24"/>
      <c r="M14457" s="24"/>
      <c r="N14457" s="24"/>
      <c r="O14457" s="24"/>
      <c r="P14457" s="24"/>
      <c r="Q14457" s="24"/>
      <c r="R14457" s="24"/>
      <c r="S14457" s="24"/>
      <c r="T14457" s="24"/>
      <c r="U14457" s="24"/>
      <c r="V14457" s="24"/>
      <c r="W14457" s="24"/>
      <c r="X14457" s="24"/>
      <c r="Y14457" s="24"/>
      <c r="Z14457" s="24"/>
      <c r="AA14457" s="24"/>
    </row>
    <row r="14458">
      <c r="A14458" s="24"/>
      <c r="B14458" s="25"/>
      <c r="C14458" s="24"/>
      <c r="D14458" s="26"/>
      <c r="E14458" s="24"/>
      <c r="F14458" s="24"/>
      <c r="G14458" s="24"/>
      <c r="H14458" s="24"/>
      <c r="I14458" s="24"/>
      <c r="J14458" s="24"/>
      <c r="K14458" s="24"/>
      <c r="L14458" s="24"/>
      <c r="M14458" s="24"/>
      <c r="N14458" s="24"/>
      <c r="O14458" s="24"/>
      <c r="P14458" s="24"/>
      <c r="Q14458" s="24"/>
      <c r="R14458" s="24"/>
      <c r="S14458" s="24"/>
      <c r="T14458" s="24"/>
      <c r="U14458" s="24"/>
      <c r="V14458" s="24"/>
      <c r="W14458" s="24"/>
      <c r="X14458" s="24"/>
      <c r="Y14458" s="24"/>
      <c r="Z14458" s="24"/>
      <c r="AA14458" s="24"/>
    </row>
    <row r="14459">
      <c r="A14459" s="24"/>
      <c r="B14459" s="25"/>
      <c r="C14459" s="24"/>
      <c r="D14459" s="26"/>
      <c r="E14459" s="24"/>
      <c r="F14459" s="24"/>
      <c r="G14459" s="24"/>
      <c r="H14459" s="24"/>
      <c r="I14459" s="24"/>
      <c r="J14459" s="24"/>
      <c r="K14459" s="24"/>
      <c r="L14459" s="24"/>
      <c r="M14459" s="24"/>
      <c r="N14459" s="24"/>
      <c r="O14459" s="24"/>
      <c r="P14459" s="24"/>
      <c r="Q14459" s="24"/>
      <c r="R14459" s="24"/>
      <c r="S14459" s="24"/>
      <c r="T14459" s="24"/>
      <c r="U14459" s="24"/>
      <c r="V14459" s="24"/>
      <c r="W14459" s="24"/>
      <c r="X14459" s="24"/>
      <c r="Y14459" s="24"/>
      <c r="Z14459" s="24"/>
      <c r="AA14459" s="24"/>
    </row>
    <row r="14460">
      <c r="A14460" s="24"/>
      <c r="B14460" s="25"/>
      <c r="C14460" s="24"/>
      <c r="D14460" s="26"/>
      <c r="E14460" s="24"/>
      <c r="F14460" s="24"/>
      <c r="G14460" s="24"/>
      <c r="H14460" s="24"/>
      <c r="I14460" s="24"/>
      <c r="J14460" s="24"/>
      <c r="K14460" s="24"/>
      <c r="L14460" s="24"/>
      <c r="M14460" s="24"/>
      <c r="N14460" s="24"/>
      <c r="O14460" s="24"/>
      <c r="P14460" s="24"/>
      <c r="Q14460" s="24"/>
      <c r="R14460" s="24"/>
      <c r="S14460" s="24"/>
      <c r="T14460" s="24"/>
      <c r="U14460" s="24"/>
      <c r="V14460" s="24"/>
      <c r="W14460" s="24"/>
      <c r="X14460" s="24"/>
      <c r="Y14460" s="24"/>
      <c r="Z14460" s="24"/>
      <c r="AA14460" s="24"/>
    </row>
    <row r="14461">
      <c r="A14461" s="24"/>
      <c r="B14461" s="25"/>
      <c r="C14461" s="24"/>
      <c r="D14461" s="26"/>
      <c r="E14461" s="24"/>
      <c r="F14461" s="24"/>
      <c r="G14461" s="24"/>
      <c r="H14461" s="24"/>
      <c r="I14461" s="24"/>
      <c r="J14461" s="24"/>
      <c r="K14461" s="24"/>
      <c r="L14461" s="24"/>
      <c r="M14461" s="24"/>
      <c r="N14461" s="24"/>
      <c r="O14461" s="24"/>
      <c r="P14461" s="24"/>
      <c r="Q14461" s="24"/>
      <c r="R14461" s="24"/>
      <c r="S14461" s="24"/>
      <c r="T14461" s="24"/>
      <c r="U14461" s="24"/>
      <c r="V14461" s="24"/>
      <c r="W14461" s="24"/>
      <c r="X14461" s="24"/>
      <c r="Y14461" s="24"/>
      <c r="Z14461" s="24"/>
      <c r="AA14461" s="24"/>
    </row>
    <row r="14462">
      <c r="A14462" s="24"/>
      <c r="B14462" s="25"/>
      <c r="C14462" s="24"/>
      <c r="D14462" s="26"/>
      <c r="E14462" s="24"/>
      <c r="F14462" s="24"/>
      <c r="G14462" s="24"/>
      <c r="H14462" s="24"/>
      <c r="I14462" s="24"/>
      <c r="J14462" s="24"/>
      <c r="K14462" s="24"/>
      <c r="L14462" s="24"/>
      <c r="M14462" s="24"/>
      <c r="N14462" s="24"/>
      <c r="O14462" s="24"/>
      <c r="P14462" s="24"/>
      <c r="Q14462" s="24"/>
      <c r="R14462" s="24"/>
      <c r="S14462" s="24"/>
      <c r="T14462" s="24"/>
      <c r="U14462" s="24"/>
      <c r="V14462" s="24"/>
      <c r="W14462" s="24"/>
      <c r="X14462" s="24"/>
      <c r="Y14462" s="24"/>
      <c r="Z14462" s="24"/>
      <c r="AA14462" s="24"/>
    </row>
    <row r="14463">
      <c r="A14463" s="24"/>
      <c r="B14463" s="25"/>
      <c r="C14463" s="24"/>
      <c r="D14463" s="26"/>
      <c r="E14463" s="24"/>
      <c r="F14463" s="24"/>
      <c r="G14463" s="24"/>
      <c r="H14463" s="24"/>
      <c r="I14463" s="24"/>
      <c r="J14463" s="24"/>
      <c r="K14463" s="24"/>
      <c r="L14463" s="24"/>
      <c r="M14463" s="24"/>
      <c r="N14463" s="24"/>
      <c r="O14463" s="24"/>
      <c r="P14463" s="24"/>
      <c r="Q14463" s="24"/>
      <c r="R14463" s="24"/>
      <c r="S14463" s="24"/>
      <c r="T14463" s="24"/>
      <c r="U14463" s="24"/>
      <c r="V14463" s="24"/>
      <c r="W14463" s="24"/>
      <c r="X14463" s="24"/>
      <c r="Y14463" s="24"/>
      <c r="Z14463" s="24"/>
      <c r="AA14463" s="24"/>
    </row>
    <row r="14464">
      <c r="A14464" s="24"/>
      <c r="B14464" s="25"/>
      <c r="C14464" s="24"/>
      <c r="D14464" s="26"/>
      <c r="E14464" s="24"/>
      <c r="F14464" s="24"/>
      <c r="G14464" s="24"/>
      <c r="H14464" s="24"/>
      <c r="I14464" s="24"/>
      <c r="J14464" s="24"/>
      <c r="K14464" s="24"/>
      <c r="L14464" s="24"/>
      <c r="M14464" s="24"/>
      <c r="N14464" s="24"/>
      <c r="O14464" s="24"/>
      <c r="P14464" s="24"/>
      <c r="Q14464" s="24"/>
      <c r="R14464" s="24"/>
      <c r="S14464" s="24"/>
      <c r="T14464" s="24"/>
      <c r="U14464" s="24"/>
      <c r="V14464" s="24"/>
      <c r="W14464" s="24"/>
      <c r="X14464" s="24"/>
      <c r="Y14464" s="24"/>
      <c r="Z14464" s="24"/>
      <c r="AA14464" s="24"/>
    </row>
    <row r="14465">
      <c r="A14465" s="24"/>
      <c r="B14465" s="25"/>
      <c r="C14465" s="24"/>
      <c r="D14465" s="26"/>
      <c r="E14465" s="24"/>
      <c r="F14465" s="24"/>
      <c r="G14465" s="24"/>
      <c r="H14465" s="24"/>
      <c r="I14465" s="24"/>
      <c r="J14465" s="24"/>
      <c r="K14465" s="24"/>
      <c r="L14465" s="24"/>
      <c r="M14465" s="24"/>
      <c r="N14465" s="24"/>
      <c r="O14465" s="24"/>
      <c r="P14465" s="24"/>
      <c r="Q14465" s="24"/>
      <c r="R14465" s="24"/>
      <c r="S14465" s="24"/>
      <c r="T14465" s="24"/>
      <c r="U14465" s="24"/>
      <c r="V14465" s="24"/>
      <c r="W14465" s="24"/>
      <c r="X14465" s="24"/>
      <c r="Y14465" s="24"/>
      <c r="Z14465" s="24"/>
      <c r="AA14465" s="24"/>
    </row>
    <row r="14466">
      <c r="A14466" s="24"/>
      <c r="B14466" s="25"/>
      <c r="C14466" s="24"/>
      <c r="D14466" s="26"/>
      <c r="E14466" s="24"/>
      <c r="F14466" s="24"/>
      <c r="G14466" s="24"/>
      <c r="H14466" s="24"/>
      <c r="I14466" s="24"/>
      <c r="J14466" s="24"/>
      <c r="K14466" s="24"/>
      <c r="L14466" s="24"/>
      <c r="M14466" s="24"/>
      <c r="N14466" s="24"/>
      <c r="O14466" s="24"/>
      <c r="P14466" s="24"/>
      <c r="Q14466" s="24"/>
      <c r="R14466" s="24"/>
      <c r="S14466" s="24"/>
      <c r="T14466" s="24"/>
      <c r="U14466" s="24"/>
      <c r="V14466" s="24"/>
      <c r="W14466" s="24"/>
      <c r="X14466" s="24"/>
      <c r="Y14466" s="24"/>
      <c r="Z14466" s="24"/>
      <c r="AA14466" s="24"/>
    </row>
    <row r="14467">
      <c r="A14467" s="24"/>
      <c r="B14467" s="25"/>
      <c r="C14467" s="24"/>
      <c r="D14467" s="26"/>
      <c r="E14467" s="24"/>
      <c r="F14467" s="24"/>
      <c r="G14467" s="24"/>
      <c r="H14467" s="24"/>
      <c r="I14467" s="24"/>
      <c r="J14467" s="24"/>
      <c r="K14467" s="24"/>
      <c r="L14467" s="24"/>
      <c r="M14467" s="24"/>
      <c r="N14467" s="24"/>
      <c r="O14467" s="24"/>
      <c r="P14467" s="24"/>
      <c r="Q14467" s="24"/>
      <c r="R14467" s="24"/>
      <c r="S14467" s="24"/>
      <c r="T14467" s="24"/>
      <c r="U14467" s="24"/>
      <c r="V14467" s="24"/>
      <c r="W14467" s="24"/>
      <c r="X14467" s="24"/>
      <c r="Y14467" s="24"/>
      <c r="Z14467" s="24"/>
      <c r="AA14467" s="24"/>
    </row>
    <row r="14468">
      <c r="A14468" s="24"/>
      <c r="B14468" s="25"/>
      <c r="C14468" s="24"/>
      <c r="D14468" s="26"/>
      <c r="E14468" s="24"/>
      <c r="F14468" s="24"/>
      <c r="G14468" s="24"/>
      <c r="H14468" s="24"/>
      <c r="I14468" s="24"/>
      <c r="J14468" s="24"/>
      <c r="K14468" s="24"/>
      <c r="L14468" s="24"/>
      <c r="M14468" s="24"/>
      <c r="N14468" s="24"/>
      <c r="O14468" s="24"/>
      <c r="P14468" s="24"/>
      <c r="Q14468" s="24"/>
      <c r="R14468" s="24"/>
      <c r="S14468" s="24"/>
      <c r="T14468" s="24"/>
      <c r="U14468" s="24"/>
      <c r="V14468" s="24"/>
      <c r="W14468" s="24"/>
      <c r="X14468" s="24"/>
      <c r="Y14468" s="24"/>
      <c r="Z14468" s="24"/>
      <c r="AA14468" s="24"/>
    </row>
    <row r="14469">
      <c r="A14469" s="24"/>
      <c r="B14469" s="25"/>
      <c r="C14469" s="24"/>
      <c r="D14469" s="26"/>
      <c r="E14469" s="24"/>
      <c r="F14469" s="24"/>
      <c r="G14469" s="24"/>
      <c r="H14469" s="24"/>
      <c r="I14469" s="24"/>
      <c r="J14469" s="24"/>
      <c r="K14469" s="24"/>
      <c r="L14469" s="24"/>
      <c r="M14469" s="24"/>
      <c r="N14469" s="24"/>
      <c r="O14469" s="24"/>
      <c r="P14469" s="24"/>
      <c r="Q14469" s="24"/>
      <c r="R14469" s="24"/>
      <c r="S14469" s="24"/>
      <c r="T14469" s="24"/>
      <c r="U14469" s="24"/>
      <c r="V14469" s="24"/>
      <c r="W14469" s="24"/>
      <c r="X14469" s="24"/>
      <c r="Y14469" s="24"/>
      <c r="Z14469" s="24"/>
      <c r="AA14469" s="24"/>
    </row>
    <row r="14470">
      <c r="A14470" s="24"/>
      <c r="B14470" s="25"/>
      <c r="C14470" s="24"/>
      <c r="D14470" s="26"/>
      <c r="E14470" s="24"/>
      <c r="F14470" s="24"/>
      <c r="G14470" s="24"/>
      <c r="H14470" s="24"/>
      <c r="I14470" s="24"/>
      <c r="J14470" s="24"/>
      <c r="K14470" s="24"/>
      <c r="L14470" s="24"/>
      <c r="M14470" s="24"/>
      <c r="N14470" s="24"/>
      <c r="O14470" s="24"/>
      <c r="P14470" s="24"/>
      <c r="Q14470" s="24"/>
      <c r="R14470" s="24"/>
      <c r="S14470" s="24"/>
      <c r="T14470" s="24"/>
      <c r="U14470" s="24"/>
      <c r="V14470" s="24"/>
      <c r="W14470" s="24"/>
      <c r="X14470" s="24"/>
      <c r="Y14470" s="24"/>
      <c r="Z14470" s="24"/>
      <c r="AA14470" s="24"/>
    </row>
    <row r="14471">
      <c r="A14471" s="24"/>
      <c r="B14471" s="25"/>
      <c r="C14471" s="24"/>
      <c r="D14471" s="26"/>
      <c r="E14471" s="24"/>
      <c r="F14471" s="24"/>
      <c r="G14471" s="24"/>
      <c r="H14471" s="24"/>
      <c r="I14471" s="24"/>
      <c r="J14471" s="24"/>
      <c r="K14471" s="24"/>
      <c r="L14471" s="24"/>
      <c r="M14471" s="24"/>
      <c r="N14471" s="24"/>
      <c r="O14471" s="24"/>
      <c r="P14471" s="24"/>
      <c r="Q14471" s="24"/>
      <c r="R14471" s="24"/>
      <c r="S14471" s="24"/>
      <c r="T14471" s="24"/>
      <c r="U14471" s="24"/>
      <c r="V14471" s="24"/>
      <c r="W14471" s="24"/>
      <c r="X14471" s="24"/>
      <c r="Y14471" s="24"/>
      <c r="Z14471" s="24"/>
      <c r="AA14471" s="24"/>
    </row>
    <row r="14472">
      <c r="A14472" s="24"/>
      <c r="B14472" s="25"/>
      <c r="C14472" s="24"/>
      <c r="D14472" s="26"/>
      <c r="E14472" s="24"/>
      <c r="F14472" s="24"/>
      <c r="G14472" s="24"/>
      <c r="H14472" s="24"/>
      <c r="I14472" s="24"/>
      <c r="J14472" s="24"/>
      <c r="K14472" s="24"/>
      <c r="L14472" s="24"/>
      <c r="M14472" s="24"/>
      <c r="N14472" s="24"/>
      <c r="O14472" s="24"/>
      <c r="P14472" s="24"/>
      <c r="Q14472" s="24"/>
      <c r="R14472" s="24"/>
      <c r="S14472" s="24"/>
      <c r="T14472" s="24"/>
      <c r="U14472" s="24"/>
      <c r="V14472" s="24"/>
      <c r="W14472" s="24"/>
      <c r="X14472" s="24"/>
      <c r="Y14472" s="24"/>
      <c r="Z14472" s="24"/>
      <c r="AA14472" s="24"/>
    </row>
    <row r="14473">
      <c r="A14473" s="24"/>
      <c r="B14473" s="25"/>
      <c r="C14473" s="24"/>
      <c r="D14473" s="26"/>
      <c r="E14473" s="24"/>
      <c r="F14473" s="24"/>
      <c r="G14473" s="24"/>
      <c r="H14473" s="24"/>
      <c r="I14473" s="24"/>
      <c r="J14473" s="24"/>
      <c r="K14473" s="24"/>
      <c r="L14473" s="24"/>
      <c r="M14473" s="24"/>
      <c r="N14473" s="24"/>
      <c r="O14473" s="24"/>
      <c r="P14473" s="24"/>
      <c r="Q14473" s="24"/>
      <c r="R14473" s="24"/>
      <c r="S14473" s="24"/>
      <c r="T14473" s="24"/>
      <c r="U14473" s="24"/>
      <c r="V14473" s="24"/>
      <c r="W14473" s="24"/>
      <c r="X14473" s="24"/>
      <c r="Y14473" s="24"/>
      <c r="Z14473" s="24"/>
      <c r="AA14473" s="24"/>
    </row>
    <row r="14474">
      <c r="A14474" s="24"/>
      <c r="B14474" s="25"/>
      <c r="C14474" s="24"/>
      <c r="D14474" s="26"/>
      <c r="E14474" s="24"/>
      <c r="F14474" s="24"/>
      <c r="G14474" s="24"/>
      <c r="H14474" s="24"/>
      <c r="I14474" s="24"/>
      <c r="J14474" s="24"/>
      <c r="K14474" s="24"/>
      <c r="L14474" s="24"/>
      <c r="M14474" s="24"/>
      <c r="N14474" s="24"/>
      <c r="O14474" s="24"/>
      <c r="P14474" s="24"/>
      <c r="Q14474" s="24"/>
      <c r="R14474" s="24"/>
      <c r="S14474" s="24"/>
      <c r="T14474" s="24"/>
      <c r="U14474" s="24"/>
      <c r="V14474" s="24"/>
      <c r="W14474" s="24"/>
      <c r="X14474" s="24"/>
      <c r="Y14474" s="24"/>
      <c r="Z14474" s="24"/>
      <c r="AA14474" s="24"/>
    </row>
    <row r="14475">
      <c r="A14475" s="24"/>
      <c r="B14475" s="25"/>
      <c r="C14475" s="24"/>
      <c r="D14475" s="26"/>
      <c r="E14475" s="24"/>
      <c r="F14475" s="24"/>
      <c r="G14475" s="24"/>
      <c r="H14475" s="24"/>
      <c r="I14475" s="24"/>
      <c r="J14475" s="24"/>
      <c r="K14475" s="24"/>
      <c r="L14475" s="24"/>
      <c r="M14475" s="24"/>
      <c r="N14475" s="24"/>
      <c r="O14475" s="24"/>
      <c r="P14475" s="24"/>
      <c r="Q14475" s="24"/>
      <c r="R14475" s="24"/>
      <c r="S14475" s="24"/>
      <c r="T14475" s="24"/>
      <c r="U14475" s="24"/>
      <c r="V14475" s="24"/>
      <c r="W14475" s="24"/>
      <c r="X14475" s="24"/>
      <c r="Y14475" s="24"/>
      <c r="Z14475" s="24"/>
      <c r="AA14475" s="24"/>
    </row>
    <row r="14476">
      <c r="A14476" s="24"/>
      <c r="B14476" s="25"/>
      <c r="C14476" s="24"/>
      <c r="D14476" s="26"/>
      <c r="E14476" s="24"/>
      <c r="F14476" s="24"/>
      <c r="G14476" s="24"/>
      <c r="H14476" s="24"/>
      <c r="I14476" s="24"/>
      <c r="J14476" s="24"/>
      <c r="K14476" s="24"/>
      <c r="L14476" s="24"/>
      <c r="M14476" s="24"/>
      <c r="N14476" s="24"/>
      <c r="O14476" s="24"/>
      <c r="P14476" s="24"/>
      <c r="Q14476" s="24"/>
      <c r="R14476" s="24"/>
      <c r="S14476" s="24"/>
      <c r="T14476" s="24"/>
      <c r="U14476" s="24"/>
      <c r="V14476" s="24"/>
      <c r="W14476" s="24"/>
      <c r="X14476" s="24"/>
      <c r="Y14476" s="24"/>
      <c r="Z14476" s="24"/>
      <c r="AA14476" s="24"/>
    </row>
    <row r="14477">
      <c r="A14477" s="24"/>
      <c r="B14477" s="25"/>
      <c r="C14477" s="24"/>
      <c r="D14477" s="26"/>
      <c r="E14477" s="24"/>
      <c r="F14477" s="24"/>
      <c r="G14477" s="24"/>
      <c r="H14477" s="24"/>
      <c r="I14477" s="24"/>
      <c r="J14477" s="24"/>
      <c r="K14477" s="24"/>
      <c r="L14477" s="24"/>
      <c r="M14477" s="24"/>
      <c r="N14477" s="24"/>
      <c r="O14477" s="24"/>
      <c r="P14477" s="24"/>
      <c r="Q14477" s="24"/>
      <c r="R14477" s="24"/>
      <c r="S14477" s="24"/>
      <c r="T14477" s="24"/>
      <c r="U14477" s="24"/>
      <c r="V14477" s="24"/>
      <c r="W14477" s="24"/>
      <c r="X14477" s="24"/>
      <c r="Y14477" s="24"/>
      <c r="Z14477" s="24"/>
      <c r="AA14477" s="24"/>
    </row>
    <row r="14478">
      <c r="A14478" s="24"/>
      <c r="B14478" s="25"/>
      <c r="C14478" s="24"/>
      <c r="D14478" s="26"/>
      <c r="E14478" s="24"/>
      <c r="F14478" s="24"/>
      <c r="G14478" s="24"/>
      <c r="H14478" s="24"/>
      <c r="I14478" s="24"/>
      <c r="J14478" s="24"/>
      <c r="K14478" s="24"/>
      <c r="L14478" s="24"/>
      <c r="M14478" s="24"/>
      <c r="N14478" s="24"/>
      <c r="O14478" s="24"/>
      <c r="P14478" s="24"/>
      <c r="Q14478" s="24"/>
      <c r="R14478" s="24"/>
      <c r="S14478" s="24"/>
      <c r="T14478" s="24"/>
      <c r="U14478" s="24"/>
      <c r="V14478" s="24"/>
      <c r="W14478" s="24"/>
      <c r="X14478" s="24"/>
      <c r="Y14478" s="24"/>
      <c r="Z14478" s="24"/>
      <c r="AA14478" s="24"/>
    </row>
    <row r="14479">
      <c r="A14479" s="24"/>
      <c r="B14479" s="25"/>
      <c r="C14479" s="24"/>
      <c r="D14479" s="26"/>
      <c r="E14479" s="24"/>
      <c r="F14479" s="24"/>
      <c r="G14479" s="24"/>
      <c r="H14479" s="24"/>
      <c r="I14479" s="24"/>
      <c r="J14479" s="24"/>
      <c r="K14479" s="24"/>
      <c r="L14479" s="24"/>
      <c r="M14479" s="24"/>
      <c r="N14479" s="24"/>
      <c r="O14479" s="24"/>
      <c r="P14479" s="24"/>
      <c r="Q14479" s="24"/>
      <c r="R14479" s="24"/>
      <c r="S14479" s="24"/>
      <c r="T14479" s="24"/>
      <c r="U14479" s="24"/>
      <c r="V14479" s="24"/>
      <c r="W14479" s="24"/>
      <c r="X14479" s="24"/>
      <c r="Y14479" s="24"/>
      <c r="Z14479" s="24"/>
      <c r="AA14479" s="24"/>
    </row>
    <row r="14480">
      <c r="A14480" s="24"/>
      <c r="B14480" s="25"/>
      <c r="C14480" s="24"/>
      <c r="D14480" s="26"/>
      <c r="E14480" s="24"/>
      <c r="F14480" s="24"/>
      <c r="G14480" s="24"/>
      <c r="H14480" s="24"/>
      <c r="I14480" s="24"/>
      <c r="J14480" s="24"/>
      <c r="K14480" s="24"/>
      <c r="L14480" s="24"/>
      <c r="M14480" s="24"/>
      <c r="N14480" s="24"/>
      <c r="O14480" s="24"/>
      <c r="P14480" s="24"/>
      <c r="Q14480" s="24"/>
      <c r="R14480" s="24"/>
      <c r="S14480" s="24"/>
      <c r="T14480" s="24"/>
      <c r="U14480" s="24"/>
      <c r="V14480" s="24"/>
      <c r="W14480" s="24"/>
      <c r="X14480" s="24"/>
      <c r="Y14480" s="24"/>
      <c r="Z14480" s="24"/>
      <c r="AA14480" s="24"/>
    </row>
    <row r="14481">
      <c r="A14481" s="24"/>
      <c r="B14481" s="25"/>
      <c r="C14481" s="24"/>
      <c r="D14481" s="26"/>
      <c r="E14481" s="24"/>
      <c r="F14481" s="24"/>
      <c r="G14481" s="24"/>
      <c r="H14481" s="24"/>
      <c r="I14481" s="24"/>
      <c r="J14481" s="24"/>
      <c r="K14481" s="24"/>
      <c r="L14481" s="24"/>
      <c r="M14481" s="24"/>
      <c r="N14481" s="24"/>
      <c r="O14481" s="24"/>
      <c r="P14481" s="24"/>
      <c r="Q14481" s="24"/>
      <c r="R14481" s="24"/>
      <c r="S14481" s="24"/>
      <c r="T14481" s="24"/>
      <c r="U14481" s="24"/>
      <c r="V14481" s="24"/>
      <c r="W14481" s="24"/>
      <c r="X14481" s="24"/>
      <c r="Y14481" s="24"/>
      <c r="Z14481" s="24"/>
      <c r="AA14481" s="24"/>
    </row>
    <row r="14482">
      <c r="A14482" s="24"/>
      <c r="B14482" s="25"/>
      <c r="C14482" s="24"/>
      <c r="D14482" s="26"/>
      <c r="E14482" s="24"/>
      <c r="F14482" s="24"/>
      <c r="G14482" s="24"/>
      <c r="H14482" s="24"/>
      <c r="I14482" s="24"/>
      <c r="J14482" s="24"/>
      <c r="K14482" s="24"/>
      <c r="L14482" s="24"/>
      <c r="M14482" s="24"/>
      <c r="N14482" s="24"/>
      <c r="O14482" s="24"/>
      <c r="P14482" s="24"/>
      <c r="Q14482" s="24"/>
      <c r="R14482" s="24"/>
      <c r="S14482" s="24"/>
      <c r="T14482" s="24"/>
      <c r="U14482" s="24"/>
      <c r="V14482" s="24"/>
      <c r="W14482" s="24"/>
      <c r="X14482" s="24"/>
      <c r="Y14482" s="24"/>
      <c r="Z14482" s="24"/>
      <c r="AA14482" s="24"/>
    </row>
    <row r="14483">
      <c r="A14483" s="24"/>
      <c r="B14483" s="25"/>
      <c r="C14483" s="24"/>
      <c r="D14483" s="26"/>
      <c r="E14483" s="24"/>
      <c r="F14483" s="24"/>
      <c r="G14483" s="24"/>
      <c r="H14483" s="24"/>
      <c r="I14483" s="24"/>
      <c r="J14483" s="24"/>
      <c r="K14483" s="24"/>
      <c r="L14483" s="24"/>
      <c r="M14483" s="24"/>
      <c r="N14483" s="24"/>
      <c r="O14483" s="24"/>
      <c r="P14483" s="24"/>
      <c r="Q14483" s="24"/>
      <c r="R14483" s="24"/>
      <c r="S14483" s="24"/>
      <c r="T14483" s="24"/>
      <c r="U14483" s="24"/>
      <c r="V14483" s="24"/>
      <c r="W14483" s="24"/>
      <c r="X14483" s="24"/>
      <c r="Y14483" s="24"/>
      <c r="Z14483" s="24"/>
      <c r="AA14483" s="24"/>
    </row>
    <row r="14484">
      <c r="A14484" s="24"/>
      <c r="B14484" s="25"/>
      <c r="C14484" s="24"/>
      <c r="D14484" s="26"/>
      <c r="E14484" s="24"/>
      <c r="F14484" s="24"/>
      <c r="G14484" s="24"/>
      <c r="H14484" s="24"/>
      <c r="I14484" s="24"/>
      <c r="J14484" s="24"/>
      <c r="K14484" s="24"/>
      <c r="L14484" s="24"/>
      <c r="M14484" s="24"/>
      <c r="N14484" s="24"/>
      <c r="O14484" s="24"/>
      <c r="P14484" s="24"/>
      <c r="Q14484" s="24"/>
      <c r="R14484" s="24"/>
      <c r="S14484" s="24"/>
      <c r="T14484" s="24"/>
      <c r="U14484" s="24"/>
      <c r="V14484" s="24"/>
      <c r="W14484" s="24"/>
      <c r="X14484" s="24"/>
      <c r="Y14484" s="24"/>
      <c r="Z14484" s="24"/>
      <c r="AA14484" s="24"/>
    </row>
    <row r="14485">
      <c r="A14485" s="24"/>
      <c r="B14485" s="25"/>
      <c r="C14485" s="24"/>
      <c r="D14485" s="26"/>
      <c r="E14485" s="24"/>
      <c r="F14485" s="24"/>
      <c r="G14485" s="24"/>
      <c r="H14485" s="24"/>
      <c r="I14485" s="24"/>
      <c r="J14485" s="24"/>
      <c r="K14485" s="24"/>
      <c r="L14485" s="24"/>
      <c r="M14485" s="24"/>
      <c r="N14485" s="24"/>
      <c r="O14485" s="24"/>
      <c r="P14485" s="24"/>
      <c r="Q14485" s="24"/>
      <c r="R14485" s="24"/>
      <c r="S14485" s="24"/>
      <c r="T14485" s="24"/>
      <c r="U14485" s="24"/>
      <c r="V14485" s="24"/>
      <c r="W14485" s="24"/>
      <c r="X14485" s="24"/>
      <c r="Y14485" s="24"/>
      <c r="Z14485" s="24"/>
      <c r="AA14485" s="24"/>
    </row>
    <row r="14486">
      <c r="A14486" s="24"/>
      <c r="B14486" s="25"/>
      <c r="C14486" s="24"/>
      <c r="D14486" s="26"/>
      <c r="E14486" s="24"/>
      <c r="F14486" s="24"/>
      <c r="G14486" s="24"/>
      <c r="H14486" s="24"/>
      <c r="I14486" s="24"/>
      <c r="J14486" s="24"/>
      <c r="K14486" s="24"/>
      <c r="L14486" s="24"/>
      <c r="M14486" s="24"/>
      <c r="N14486" s="24"/>
      <c r="O14486" s="24"/>
      <c r="P14486" s="24"/>
      <c r="Q14486" s="24"/>
      <c r="R14486" s="24"/>
      <c r="S14486" s="24"/>
      <c r="T14486" s="24"/>
      <c r="U14486" s="24"/>
      <c r="V14486" s="24"/>
      <c r="W14486" s="24"/>
      <c r="X14486" s="24"/>
      <c r="Y14486" s="24"/>
      <c r="Z14486" s="24"/>
      <c r="AA14486" s="24"/>
    </row>
    <row r="14487">
      <c r="A14487" s="24"/>
      <c r="B14487" s="25"/>
      <c r="C14487" s="24"/>
      <c r="D14487" s="26"/>
      <c r="E14487" s="24"/>
      <c r="F14487" s="24"/>
      <c r="G14487" s="24"/>
      <c r="H14487" s="24"/>
      <c r="I14487" s="24"/>
      <c r="J14487" s="24"/>
      <c r="K14487" s="24"/>
      <c r="L14487" s="24"/>
      <c r="M14487" s="24"/>
      <c r="N14487" s="24"/>
      <c r="O14487" s="24"/>
      <c r="P14487" s="24"/>
      <c r="Q14487" s="24"/>
      <c r="R14487" s="24"/>
      <c r="S14487" s="24"/>
      <c r="T14487" s="24"/>
      <c r="U14487" s="24"/>
      <c r="V14487" s="24"/>
      <c r="W14487" s="24"/>
      <c r="X14487" s="24"/>
      <c r="Y14487" s="24"/>
      <c r="Z14487" s="24"/>
      <c r="AA14487" s="24"/>
    </row>
    <row r="14488">
      <c r="A14488" s="24"/>
      <c r="B14488" s="25"/>
      <c r="C14488" s="24"/>
      <c r="D14488" s="26"/>
      <c r="E14488" s="24"/>
      <c r="F14488" s="24"/>
      <c r="G14488" s="24"/>
      <c r="H14488" s="24"/>
      <c r="I14488" s="24"/>
      <c r="J14488" s="24"/>
      <c r="K14488" s="24"/>
      <c r="L14488" s="24"/>
      <c r="M14488" s="24"/>
      <c r="N14488" s="24"/>
      <c r="O14488" s="24"/>
      <c r="P14488" s="24"/>
      <c r="Q14488" s="24"/>
      <c r="R14488" s="24"/>
      <c r="S14488" s="24"/>
      <c r="T14488" s="24"/>
      <c r="U14488" s="24"/>
      <c r="V14488" s="24"/>
      <c r="W14488" s="24"/>
      <c r="X14488" s="24"/>
      <c r="Y14488" s="24"/>
      <c r="Z14488" s="24"/>
      <c r="AA14488" s="24"/>
    </row>
    <row r="14489">
      <c r="A14489" s="24"/>
      <c r="B14489" s="25"/>
      <c r="C14489" s="24"/>
      <c r="D14489" s="26"/>
      <c r="E14489" s="24"/>
      <c r="F14489" s="24"/>
      <c r="G14489" s="24"/>
      <c r="H14489" s="24"/>
      <c r="I14489" s="24"/>
      <c r="J14489" s="24"/>
      <c r="K14489" s="24"/>
      <c r="L14489" s="24"/>
      <c r="M14489" s="24"/>
      <c r="N14489" s="24"/>
      <c r="O14489" s="24"/>
      <c r="P14489" s="24"/>
      <c r="Q14489" s="24"/>
      <c r="R14489" s="24"/>
      <c r="S14489" s="24"/>
      <c r="T14489" s="24"/>
      <c r="U14489" s="24"/>
      <c r="V14489" s="24"/>
      <c r="W14489" s="24"/>
      <c r="X14489" s="24"/>
      <c r="Y14489" s="24"/>
      <c r="Z14489" s="24"/>
      <c r="AA14489" s="24"/>
    </row>
    <row r="14490">
      <c r="A14490" s="24"/>
      <c r="B14490" s="25"/>
      <c r="C14490" s="24"/>
      <c r="D14490" s="26"/>
      <c r="E14490" s="24"/>
      <c r="F14490" s="24"/>
      <c r="G14490" s="24"/>
      <c r="H14490" s="24"/>
      <c r="I14490" s="24"/>
      <c r="J14490" s="24"/>
      <c r="K14490" s="24"/>
      <c r="L14490" s="24"/>
      <c r="M14490" s="24"/>
      <c r="N14490" s="24"/>
      <c r="O14490" s="24"/>
      <c r="P14490" s="24"/>
      <c r="Q14490" s="24"/>
      <c r="R14490" s="24"/>
      <c r="S14490" s="24"/>
      <c r="T14490" s="24"/>
      <c r="U14490" s="24"/>
      <c r="V14490" s="24"/>
      <c r="W14490" s="24"/>
      <c r="X14490" s="24"/>
      <c r="Y14490" s="24"/>
      <c r="Z14490" s="24"/>
      <c r="AA14490" s="24"/>
    </row>
    <row r="14491">
      <c r="A14491" s="24"/>
      <c r="B14491" s="25"/>
      <c r="C14491" s="24"/>
      <c r="D14491" s="26"/>
      <c r="E14491" s="24"/>
      <c r="F14491" s="24"/>
      <c r="G14491" s="24"/>
      <c r="H14491" s="24"/>
      <c r="I14491" s="24"/>
      <c r="J14491" s="24"/>
      <c r="K14491" s="24"/>
      <c r="L14491" s="24"/>
      <c r="M14491" s="24"/>
      <c r="N14491" s="24"/>
      <c r="O14491" s="24"/>
      <c r="P14491" s="24"/>
      <c r="Q14491" s="24"/>
      <c r="R14491" s="24"/>
      <c r="S14491" s="24"/>
      <c r="T14491" s="24"/>
      <c r="U14491" s="24"/>
      <c r="V14491" s="24"/>
      <c r="W14491" s="24"/>
      <c r="X14491" s="24"/>
      <c r="Y14491" s="24"/>
      <c r="Z14491" s="24"/>
      <c r="AA14491" s="24"/>
    </row>
    <row r="14492">
      <c r="A14492" s="24"/>
      <c r="B14492" s="25"/>
      <c r="C14492" s="24"/>
      <c r="D14492" s="26"/>
      <c r="E14492" s="24"/>
      <c r="F14492" s="24"/>
      <c r="G14492" s="24"/>
      <c r="H14492" s="24"/>
      <c r="I14492" s="24"/>
      <c r="J14492" s="24"/>
      <c r="K14492" s="24"/>
      <c r="L14492" s="24"/>
      <c r="M14492" s="24"/>
      <c r="N14492" s="24"/>
      <c r="O14492" s="24"/>
      <c r="P14492" s="24"/>
      <c r="Q14492" s="24"/>
      <c r="R14492" s="24"/>
      <c r="S14492" s="24"/>
      <c r="T14492" s="24"/>
      <c r="U14492" s="24"/>
      <c r="V14492" s="24"/>
      <c r="W14492" s="24"/>
      <c r="X14492" s="24"/>
      <c r="Y14492" s="24"/>
      <c r="Z14492" s="24"/>
      <c r="AA14492" s="24"/>
    </row>
    <row r="14493">
      <c r="A14493" s="24"/>
      <c r="B14493" s="25"/>
      <c r="C14493" s="24"/>
      <c r="D14493" s="26"/>
      <c r="E14493" s="24"/>
      <c r="F14493" s="24"/>
      <c r="G14493" s="24"/>
      <c r="H14493" s="24"/>
      <c r="I14493" s="24"/>
      <c r="J14493" s="24"/>
      <c r="K14493" s="24"/>
      <c r="L14493" s="24"/>
      <c r="M14493" s="24"/>
      <c r="N14493" s="24"/>
      <c r="O14493" s="24"/>
      <c r="P14493" s="24"/>
      <c r="Q14493" s="24"/>
      <c r="R14493" s="24"/>
      <c r="S14493" s="24"/>
      <c r="T14493" s="24"/>
      <c r="U14493" s="24"/>
      <c r="V14493" s="24"/>
      <c r="W14493" s="24"/>
      <c r="X14493" s="24"/>
      <c r="Y14493" s="24"/>
      <c r="Z14493" s="24"/>
      <c r="AA14493" s="24"/>
    </row>
    <row r="14494">
      <c r="A14494" s="24"/>
      <c r="B14494" s="25"/>
      <c r="C14494" s="24"/>
      <c r="D14494" s="26"/>
      <c r="E14494" s="24"/>
      <c r="F14494" s="24"/>
      <c r="G14494" s="24"/>
      <c r="H14494" s="24"/>
      <c r="I14494" s="24"/>
      <c r="J14494" s="24"/>
      <c r="K14494" s="24"/>
      <c r="L14494" s="24"/>
      <c r="M14494" s="24"/>
      <c r="N14494" s="24"/>
      <c r="O14494" s="24"/>
      <c r="P14494" s="24"/>
      <c r="Q14494" s="24"/>
      <c r="R14494" s="24"/>
      <c r="S14494" s="24"/>
      <c r="T14494" s="24"/>
      <c r="U14494" s="24"/>
      <c r="V14494" s="24"/>
      <c r="W14494" s="24"/>
      <c r="X14494" s="24"/>
      <c r="Y14494" s="24"/>
      <c r="Z14494" s="24"/>
      <c r="AA14494" s="24"/>
    </row>
    <row r="14495">
      <c r="A14495" s="24"/>
      <c r="B14495" s="25"/>
      <c r="C14495" s="24"/>
      <c r="D14495" s="26"/>
      <c r="E14495" s="24"/>
      <c r="F14495" s="24"/>
      <c r="G14495" s="24"/>
      <c r="H14495" s="24"/>
      <c r="I14495" s="24"/>
      <c r="J14495" s="24"/>
      <c r="K14495" s="24"/>
      <c r="L14495" s="24"/>
      <c r="M14495" s="24"/>
      <c r="N14495" s="24"/>
      <c r="O14495" s="24"/>
      <c r="P14495" s="24"/>
      <c r="Q14495" s="24"/>
      <c r="R14495" s="24"/>
      <c r="S14495" s="24"/>
      <c r="T14495" s="24"/>
      <c r="U14495" s="24"/>
      <c r="V14495" s="24"/>
      <c r="W14495" s="24"/>
      <c r="X14495" s="24"/>
      <c r="Y14495" s="24"/>
      <c r="Z14495" s="24"/>
      <c r="AA14495" s="24"/>
    </row>
    <row r="14496">
      <c r="A14496" s="24"/>
      <c r="B14496" s="25"/>
      <c r="C14496" s="24"/>
      <c r="D14496" s="26"/>
      <c r="E14496" s="24"/>
      <c r="F14496" s="24"/>
      <c r="G14496" s="24"/>
      <c r="H14496" s="24"/>
      <c r="I14496" s="24"/>
      <c r="J14496" s="24"/>
      <c r="K14496" s="24"/>
      <c r="L14496" s="24"/>
      <c r="M14496" s="24"/>
      <c r="N14496" s="24"/>
      <c r="O14496" s="24"/>
      <c r="P14496" s="24"/>
      <c r="Q14496" s="24"/>
      <c r="R14496" s="24"/>
      <c r="S14496" s="24"/>
      <c r="T14496" s="24"/>
      <c r="U14496" s="24"/>
      <c r="V14496" s="24"/>
      <c r="W14496" s="24"/>
      <c r="X14496" s="24"/>
      <c r="Y14496" s="24"/>
      <c r="Z14496" s="24"/>
      <c r="AA14496" s="24"/>
    </row>
    <row r="14497">
      <c r="A14497" s="24"/>
      <c r="B14497" s="25"/>
      <c r="C14497" s="24"/>
      <c r="D14497" s="26"/>
      <c r="E14497" s="24"/>
      <c r="F14497" s="24"/>
      <c r="G14497" s="24"/>
      <c r="H14497" s="24"/>
      <c r="I14497" s="24"/>
      <c r="J14497" s="24"/>
      <c r="K14497" s="24"/>
      <c r="L14497" s="24"/>
      <c r="M14497" s="24"/>
      <c r="N14497" s="24"/>
      <c r="O14497" s="24"/>
      <c r="P14497" s="24"/>
      <c r="Q14497" s="24"/>
      <c r="R14497" s="24"/>
      <c r="S14497" s="24"/>
      <c r="T14497" s="24"/>
      <c r="U14497" s="24"/>
      <c r="V14497" s="24"/>
      <c r="W14497" s="24"/>
      <c r="X14497" s="24"/>
      <c r="Y14497" s="24"/>
      <c r="Z14497" s="24"/>
      <c r="AA14497" s="24"/>
    </row>
    <row r="14498">
      <c r="A14498" s="24"/>
      <c r="B14498" s="25"/>
      <c r="C14498" s="24"/>
      <c r="D14498" s="26"/>
      <c r="E14498" s="24"/>
      <c r="F14498" s="24"/>
      <c r="G14498" s="24"/>
      <c r="H14498" s="24"/>
      <c r="I14498" s="24"/>
      <c r="J14498" s="24"/>
      <c r="K14498" s="24"/>
      <c r="L14498" s="24"/>
      <c r="M14498" s="24"/>
      <c r="N14498" s="24"/>
      <c r="O14498" s="24"/>
      <c r="P14498" s="24"/>
      <c r="Q14498" s="24"/>
      <c r="R14498" s="24"/>
      <c r="S14498" s="24"/>
      <c r="T14498" s="24"/>
      <c r="U14498" s="24"/>
      <c r="V14498" s="24"/>
      <c r="W14498" s="24"/>
      <c r="X14498" s="24"/>
      <c r="Y14498" s="24"/>
      <c r="Z14498" s="24"/>
      <c r="AA14498" s="24"/>
    </row>
    <row r="14499">
      <c r="A14499" s="24"/>
      <c r="B14499" s="25"/>
      <c r="C14499" s="24"/>
      <c r="D14499" s="26"/>
      <c r="E14499" s="24"/>
      <c r="F14499" s="24"/>
      <c r="G14499" s="24"/>
      <c r="H14499" s="24"/>
      <c r="I14499" s="24"/>
      <c r="J14499" s="24"/>
      <c r="K14499" s="24"/>
      <c r="L14499" s="24"/>
      <c r="M14499" s="24"/>
      <c r="N14499" s="24"/>
      <c r="O14499" s="24"/>
      <c r="P14499" s="24"/>
      <c r="Q14499" s="24"/>
      <c r="R14499" s="24"/>
      <c r="S14499" s="24"/>
      <c r="T14499" s="24"/>
      <c r="U14499" s="24"/>
      <c r="V14499" s="24"/>
      <c r="W14499" s="24"/>
      <c r="X14499" s="24"/>
      <c r="Y14499" s="24"/>
      <c r="Z14499" s="24"/>
      <c r="AA14499" s="24"/>
    </row>
    <row r="14500">
      <c r="A14500" s="24"/>
      <c r="B14500" s="25"/>
      <c r="C14500" s="24"/>
      <c r="D14500" s="26"/>
      <c r="E14500" s="24"/>
      <c r="F14500" s="24"/>
      <c r="G14500" s="24"/>
      <c r="H14500" s="24"/>
      <c r="I14500" s="24"/>
      <c r="J14500" s="24"/>
      <c r="K14500" s="24"/>
      <c r="L14500" s="24"/>
      <c r="M14500" s="24"/>
      <c r="N14500" s="24"/>
      <c r="O14500" s="24"/>
      <c r="P14500" s="24"/>
      <c r="Q14500" s="24"/>
      <c r="R14500" s="24"/>
      <c r="S14500" s="24"/>
      <c r="T14500" s="24"/>
      <c r="U14500" s="24"/>
      <c r="V14500" s="24"/>
      <c r="W14500" s="24"/>
      <c r="X14500" s="24"/>
      <c r="Y14500" s="24"/>
      <c r="Z14500" s="24"/>
      <c r="AA14500" s="24"/>
    </row>
    <row r="14501">
      <c r="A14501" s="24"/>
      <c r="B14501" s="25"/>
      <c r="C14501" s="24"/>
      <c r="D14501" s="26"/>
      <c r="E14501" s="24"/>
      <c r="F14501" s="24"/>
      <c r="G14501" s="24"/>
      <c r="H14501" s="24"/>
      <c r="I14501" s="24"/>
      <c r="J14501" s="24"/>
      <c r="K14501" s="24"/>
      <c r="L14501" s="24"/>
      <c r="M14501" s="24"/>
      <c r="N14501" s="24"/>
      <c r="O14501" s="24"/>
      <c r="P14501" s="24"/>
      <c r="Q14501" s="24"/>
      <c r="R14501" s="24"/>
      <c r="S14501" s="24"/>
      <c r="T14501" s="24"/>
      <c r="U14501" s="24"/>
      <c r="V14501" s="24"/>
      <c r="W14501" s="24"/>
      <c r="X14501" s="24"/>
      <c r="Y14501" s="24"/>
      <c r="Z14501" s="24"/>
      <c r="AA14501" s="24"/>
    </row>
    <row r="14502">
      <c r="A14502" s="24"/>
      <c r="B14502" s="25"/>
      <c r="C14502" s="24"/>
      <c r="D14502" s="26"/>
      <c r="E14502" s="24"/>
      <c r="F14502" s="24"/>
      <c r="G14502" s="24"/>
      <c r="H14502" s="24"/>
      <c r="I14502" s="24"/>
      <c r="J14502" s="24"/>
      <c r="K14502" s="24"/>
      <c r="L14502" s="24"/>
      <c r="M14502" s="24"/>
      <c r="N14502" s="24"/>
      <c r="O14502" s="24"/>
      <c r="P14502" s="24"/>
      <c r="Q14502" s="24"/>
      <c r="R14502" s="24"/>
      <c r="S14502" s="24"/>
      <c r="T14502" s="24"/>
      <c r="U14502" s="24"/>
      <c r="V14502" s="24"/>
      <c r="W14502" s="24"/>
      <c r="X14502" s="24"/>
      <c r="Y14502" s="24"/>
      <c r="Z14502" s="24"/>
      <c r="AA14502" s="24"/>
    </row>
    <row r="14503">
      <c r="A14503" s="24"/>
      <c r="B14503" s="25"/>
      <c r="C14503" s="24"/>
      <c r="D14503" s="26"/>
      <c r="E14503" s="24"/>
      <c r="F14503" s="24"/>
      <c r="G14503" s="24"/>
      <c r="H14503" s="24"/>
      <c r="I14503" s="24"/>
      <c r="J14503" s="24"/>
      <c r="K14503" s="24"/>
      <c r="L14503" s="24"/>
      <c r="M14503" s="24"/>
      <c r="N14503" s="24"/>
      <c r="O14503" s="24"/>
      <c r="P14503" s="24"/>
      <c r="Q14503" s="24"/>
      <c r="R14503" s="24"/>
      <c r="S14503" s="24"/>
      <c r="T14503" s="24"/>
      <c r="U14503" s="24"/>
      <c r="V14503" s="24"/>
      <c r="W14503" s="24"/>
      <c r="X14503" s="24"/>
      <c r="Y14503" s="24"/>
      <c r="Z14503" s="24"/>
      <c r="AA14503" s="24"/>
    </row>
    <row r="14504">
      <c r="A14504" s="24"/>
      <c r="B14504" s="25"/>
      <c r="C14504" s="24"/>
      <c r="D14504" s="26"/>
      <c r="E14504" s="24"/>
      <c r="F14504" s="24"/>
      <c r="G14504" s="24"/>
      <c r="H14504" s="24"/>
      <c r="I14504" s="24"/>
      <c r="J14504" s="24"/>
      <c r="K14504" s="24"/>
      <c r="L14504" s="24"/>
      <c r="M14504" s="24"/>
      <c r="N14504" s="24"/>
      <c r="O14504" s="24"/>
      <c r="P14504" s="24"/>
      <c r="Q14504" s="24"/>
      <c r="R14504" s="24"/>
      <c r="S14504" s="24"/>
      <c r="T14504" s="24"/>
      <c r="U14504" s="24"/>
      <c r="V14504" s="24"/>
      <c r="W14504" s="24"/>
      <c r="X14504" s="24"/>
      <c r="Y14504" s="24"/>
      <c r="Z14504" s="24"/>
      <c r="AA14504" s="24"/>
    </row>
    <row r="14505">
      <c r="A14505" s="24"/>
      <c r="B14505" s="25"/>
      <c r="C14505" s="24"/>
      <c r="D14505" s="26"/>
      <c r="E14505" s="24"/>
      <c r="F14505" s="24"/>
      <c r="G14505" s="24"/>
      <c r="H14505" s="24"/>
      <c r="I14505" s="24"/>
      <c r="J14505" s="24"/>
      <c r="K14505" s="24"/>
      <c r="L14505" s="24"/>
      <c r="M14505" s="24"/>
      <c r="N14505" s="24"/>
      <c r="O14505" s="24"/>
      <c r="P14505" s="24"/>
      <c r="Q14505" s="24"/>
      <c r="R14505" s="24"/>
      <c r="S14505" s="24"/>
      <c r="T14505" s="24"/>
      <c r="U14505" s="24"/>
      <c r="V14505" s="24"/>
      <c r="W14505" s="24"/>
      <c r="X14505" s="24"/>
      <c r="Y14505" s="24"/>
      <c r="Z14505" s="24"/>
      <c r="AA14505" s="24"/>
    </row>
    <row r="14506">
      <c r="A14506" s="24"/>
      <c r="B14506" s="25"/>
      <c r="C14506" s="24"/>
      <c r="D14506" s="26"/>
      <c r="E14506" s="24"/>
      <c r="F14506" s="24"/>
      <c r="G14506" s="24"/>
      <c r="H14506" s="24"/>
      <c r="I14506" s="24"/>
      <c r="J14506" s="24"/>
      <c r="K14506" s="24"/>
      <c r="L14506" s="24"/>
      <c r="M14506" s="24"/>
      <c r="N14506" s="24"/>
      <c r="O14506" s="24"/>
      <c r="P14506" s="24"/>
      <c r="Q14506" s="24"/>
      <c r="R14506" s="24"/>
      <c r="S14506" s="24"/>
      <c r="T14506" s="24"/>
      <c r="U14506" s="24"/>
      <c r="V14506" s="24"/>
      <c r="W14506" s="24"/>
      <c r="X14506" s="24"/>
      <c r="Y14506" s="24"/>
      <c r="Z14506" s="24"/>
      <c r="AA14506" s="24"/>
    </row>
    <row r="14507">
      <c r="A14507" s="24"/>
      <c r="B14507" s="25"/>
      <c r="C14507" s="24"/>
      <c r="D14507" s="26"/>
      <c r="E14507" s="24"/>
      <c r="F14507" s="24"/>
      <c r="G14507" s="24"/>
      <c r="H14507" s="24"/>
      <c r="I14507" s="24"/>
      <c r="J14507" s="24"/>
      <c r="K14507" s="24"/>
      <c r="L14507" s="24"/>
      <c r="M14507" s="24"/>
      <c r="N14507" s="24"/>
      <c r="O14507" s="24"/>
      <c r="P14507" s="24"/>
      <c r="Q14507" s="24"/>
      <c r="R14507" s="24"/>
      <c r="S14507" s="24"/>
      <c r="T14507" s="24"/>
      <c r="U14507" s="24"/>
      <c r="V14507" s="24"/>
      <c r="W14507" s="24"/>
      <c r="X14507" s="24"/>
      <c r="Y14507" s="24"/>
      <c r="Z14507" s="24"/>
      <c r="AA14507" s="24"/>
    </row>
    <row r="14508">
      <c r="A14508" s="24"/>
      <c r="B14508" s="25"/>
      <c r="C14508" s="24"/>
      <c r="D14508" s="26"/>
      <c r="E14508" s="24"/>
      <c r="F14508" s="24"/>
      <c r="G14508" s="24"/>
      <c r="H14508" s="24"/>
      <c r="I14508" s="24"/>
      <c r="J14508" s="24"/>
      <c r="K14508" s="24"/>
      <c r="L14508" s="24"/>
      <c r="M14508" s="24"/>
      <c r="N14508" s="24"/>
      <c r="O14508" s="24"/>
      <c r="P14508" s="24"/>
      <c r="Q14508" s="24"/>
      <c r="R14508" s="24"/>
      <c r="S14508" s="24"/>
      <c r="T14508" s="24"/>
      <c r="U14508" s="24"/>
      <c r="V14508" s="24"/>
      <c r="W14508" s="24"/>
      <c r="X14508" s="24"/>
      <c r="Y14508" s="24"/>
      <c r="Z14508" s="24"/>
      <c r="AA14508" s="24"/>
    </row>
    <row r="14509">
      <c r="A14509" s="24"/>
      <c r="B14509" s="25"/>
      <c r="C14509" s="24"/>
      <c r="D14509" s="26"/>
      <c r="E14509" s="24"/>
      <c r="F14509" s="24"/>
      <c r="G14509" s="24"/>
      <c r="H14509" s="24"/>
      <c r="I14509" s="24"/>
      <c r="J14509" s="24"/>
      <c r="K14509" s="24"/>
      <c r="L14509" s="24"/>
      <c r="M14509" s="24"/>
      <c r="N14509" s="24"/>
      <c r="O14509" s="24"/>
      <c r="P14509" s="24"/>
      <c r="Q14509" s="24"/>
      <c r="R14509" s="24"/>
      <c r="S14509" s="24"/>
      <c r="T14509" s="24"/>
      <c r="U14509" s="24"/>
      <c r="V14509" s="24"/>
      <c r="W14509" s="24"/>
      <c r="X14509" s="24"/>
      <c r="Y14509" s="24"/>
      <c r="Z14509" s="24"/>
      <c r="AA14509" s="24"/>
    </row>
    <row r="14510">
      <c r="A14510" s="24"/>
      <c r="B14510" s="25"/>
      <c r="C14510" s="24"/>
      <c r="D14510" s="26"/>
      <c r="E14510" s="24"/>
      <c r="F14510" s="24"/>
      <c r="G14510" s="24"/>
      <c r="H14510" s="24"/>
      <c r="I14510" s="24"/>
      <c r="J14510" s="24"/>
      <c r="K14510" s="24"/>
      <c r="L14510" s="24"/>
      <c r="M14510" s="24"/>
      <c r="N14510" s="24"/>
      <c r="O14510" s="24"/>
      <c r="P14510" s="24"/>
      <c r="Q14510" s="24"/>
      <c r="R14510" s="24"/>
      <c r="S14510" s="24"/>
      <c r="T14510" s="24"/>
      <c r="U14510" s="24"/>
      <c r="V14510" s="24"/>
      <c r="W14510" s="24"/>
      <c r="X14510" s="24"/>
      <c r="Y14510" s="24"/>
      <c r="Z14510" s="24"/>
      <c r="AA14510" s="24"/>
    </row>
    <row r="14511">
      <c r="A14511" s="24"/>
      <c r="B14511" s="25"/>
      <c r="C14511" s="24"/>
      <c r="D14511" s="26"/>
      <c r="E14511" s="24"/>
      <c r="F14511" s="24"/>
      <c r="G14511" s="24"/>
      <c r="H14511" s="24"/>
      <c r="I14511" s="24"/>
      <c r="J14511" s="24"/>
      <c r="K14511" s="24"/>
      <c r="L14511" s="24"/>
      <c r="M14511" s="24"/>
      <c r="N14511" s="24"/>
      <c r="O14511" s="24"/>
      <c r="P14511" s="24"/>
      <c r="Q14511" s="24"/>
      <c r="R14511" s="24"/>
      <c r="S14511" s="24"/>
      <c r="T14511" s="24"/>
      <c r="U14511" s="24"/>
      <c r="V14511" s="24"/>
      <c r="W14511" s="24"/>
      <c r="X14511" s="24"/>
      <c r="Y14511" s="24"/>
      <c r="Z14511" s="24"/>
      <c r="AA14511" s="24"/>
    </row>
    <row r="14512">
      <c r="A14512" s="24"/>
      <c r="B14512" s="25"/>
      <c r="C14512" s="24"/>
      <c r="D14512" s="26"/>
      <c r="E14512" s="24"/>
      <c r="F14512" s="24"/>
      <c r="G14512" s="24"/>
      <c r="H14512" s="24"/>
      <c r="I14512" s="24"/>
      <c r="J14512" s="24"/>
      <c r="K14512" s="24"/>
      <c r="L14512" s="24"/>
      <c r="M14512" s="24"/>
      <c r="N14512" s="24"/>
      <c r="O14512" s="24"/>
      <c r="P14512" s="24"/>
      <c r="Q14512" s="24"/>
      <c r="R14512" s="24"/>
      <c r="S14512" s="24"/>
      <c r="T14512" s="24"/>
      <c r="U14512" s="24"/>
      <c r="V14512" s="24"/>
      <c r="W14512" s="24"/>
      <c r="X14512" s="24"/>
      <c r="Y14512" s="24"/>
      <c r="Z14512" s="24"/>
      <c r="AA14512" s="24"/>
    </row>
    <row r="14513">
      <c r="A14513" s="24"/>
      <c r="B14513" s="25"/>
      <c r="C14513" s="24"/>
      <c r="D14513" s="26"/>
      <c r="E14513" s="24"/>
      <c r="F14513" s="24"/>
      <c r="G14513" s="24"/>
      <c r="H14513" s="24"/>
      <c r="I14513" s="24"/>
      <c r="J14513" s="24"/>
      <c r="K14513" s="24"/>
      <c r="L14513" s="24"/>
      <c r="M14513" s="24"/>
      <c r="N14513" s="24"/>
      <c r="O14513" s="24"/>
      <c r="P14513" s="24"/>
      <c r="Q14513" s="24"/>
      <c r="R14513" s="24"/>
      <c r="S14513" s="24"/>
      <c r="T14513" s="24"/>
      <c r="U14513" s="24"/>
      <c r="V14513" s="24"/>
      <c r="W14513" s="24"/>
      <c r="X14513" s="24"/>
      <c r="Y14513" s="24"/>
      <c r="Z14513" s="24"/>
      <c r="AA14513" s="24"/>
    </row>
    <row r="14514">
      <c r="A14514" s="24"/>
      <c r="B14514" s="25"/>
      <c r="C14514" s="24"/>
      <c r="D14514" s="26"/>
      <c r="E14514" s="24"/>
      <c r="F14514" s="24"/>
      <c r="G14514" s="24"/>
      <c r="H14514" s="24"/>
      <c r="I14514" s="24"/>
      <c r="J14514" s="24"/>
      <c r="K14514" s="24"/>
      <c r="L14514" s="24"/>
      <c r="M14514" s="24"/>
      <c r="N14514" s="24"/>
      <c r="O14514" s="24"/>
      <c r="P14514" s="24"/>
      <c r="Q14514" s="24"/>
      <c r="R14514" s="24"/>
      <c r="S14514" s="24"/>
      <c r="T14514" s="24"/>
      <c r="U14514" s="24"/>
      <c r="V14514" s="24"/>
      <c r="W14514" s="24"/>
      <c r="X14514" s="24"/>
      <c r="Y14514" s="24"/>
      <c r="Z14514" s="24"/>
      <c r="AA14514" s="24"/>
    </row>
    <row r="14515">
      <c r="A14515" s="24"/>
      <c r="B14515" s="25"/>
      <c r="C14515" s="24"/>
      <c r="D14515" s="26"/>
      <c r="E14515" s="24"/>
      <c r="F14515" s="24"/>
      <c r="G14515" s="24"/>
      <c r="H14515" s="24"/>
      <c r="I14515" s="24"/>
      <c r="J14515" s="24"/>
      <c r="K14515" s="24"/>
      <c r="L14515" s="24"/>
      <c r="M14515" s="24"/>
      <c r="N14515" s="24"/>
      <c r="O14515" s="24"/>
      <c r="P14515" s="24"/>
      <c r="Q14515" s="24"/>
      <c r="R14515" s="24"/>
      <c r="S14515" s="24"/>
      <c r="T14515" s="24"/>
      <c r="U14515" s="24"/>
      <c r="V14515" s="24"/>
      <c r="W14515" s="24"/>
      <c r="X14515" s="24"/>
      <c r="Y14515" s="24"/>
      <c r="Z14515" s="24"/>
      <c r="AA14515" s="24"/>
    </row>
    <row r="14516">
      <c r="A14516" s="24"/>
      <c r="B14516" s="25"/>
      <c r="C14516" s="24"/>
      <c r="D14516" s="26"/>
      <c r="E14516" s="24"/>
      <c r="F14516" s="24"/>
      <c r="G14516" s="24"/>
      <c r="H14516" s="24"/>
      <c r="I14516" s="24"/>
      <c r="J14516" s="24"/>
      <c r="K14516" s="24"/>
      <c r="L14516" s="24"/>
      <c r="M14516" s="24"/>
      <c r="N14516" s="24"/>
      <c r="O14516" s="24"/>
      <c r="P14516" s="24"/>
      <c r="Q14516" s="24"/>
      <c r="R14516" s="24"/>
      <c r="S14516" s="24"/>
      <c r="T14516" s="24"/>
      <c r="U14516" s="24"/>
      <c r="V14516" s="24"/>
      <c r="W14516" s="24"/>
      <c r="X14516" s="24"/>
      <c r="Y14516" s="24"/>
      <c r="Z14516" s="24"/>
      <c r="AA14516" s="24"/>
    </row>
    <row r="14517">
      <c r="A14517" s="24"/>
      <c r="B14517" s="25"/>
      <c r="C14517" s="24"/>
      <c r="D14517" s="26"/>
      <c r="E14517" s="24"/>
      <c r="F14517" s="24"/>
      <c r="G14517" s="24"/>
      <c r="H14517" s="24"/>
      <c r="I14517" s="24"/>
      <c r="J14517" s="24"/>
      <c r="K14517" s="24"/>
      <c r="L14517" s="24"/>
      <c r="M14517" s="24"/>
      <c r="N14517" s="24"/>
      <c r="O14517" s="24"/>
      <c r="P14517" s="24"/>
      <c r="Q14517" s="24"/>
      <c r="R14517" s="24"/>
      <c r="S14517" s="24"/>
      <c r="T14517" s="24"/>
      <c r="U14517" s="24"/>
      <c r="V14517" s="24"/>
      <c r="W14517" s="24"/>
      <c r="X14517" s="24"/>
      <c r="Y14517" s="24"/>
      <c r="Z14517" s="24"/>
      <c r="AA14517" s="24"/>
    </row>
    <row r="14518">
      <c r="A14518" s="24"/>
      <c r="B14518" s="25"/>
      <c r="C14518" s="24"/>
      <c r="D14518" s="26"/>
      <c r="E14518" s="24"/>
      <c r="F14518" s="24"/>
      <c r="G14518" s="24"/>
      <c r="H14518" s="24"/>
      <c r="I14518" s="24"/>
      <c r="J14518" s="24"/>
      <c r="K14518" s="24"/>
      <c r="L14518" s="24"/>
      <c r="M14518" s="24"/>
      <c r="N14518" s="24"/>
      <c r="O14518" s="24"/>
      <c r="P14518" s="24"/>
      <c r="Q14518" s="24"/>
      <c r="R14518" s="24"/>
      <c r="S14518" s="24"/>
      <c r="T14518" s="24"/>
      <c r="U14518" s="24"/>
      <c r="V14518" s="24"/>
      <c r="W14518" s="24"/>
      <c r="X14518" s="24"/>
      <c r="Y14518" s="24"/>
      <c r="Z14518" s="24"/>
      <c r="AA14518" s="24"/>
    </row>
    <row r="14519">
      <c r="A14519" s="24"/>
      <c r="B14519" s="25"/>
      <c r="C14519" s="24"/>
      <c r="D14519" s="26"/>
      <c r="E14519" s="24"/>
      <c r="F14519" s="24"/>
      <c r="G14519" s="24"/>
      <c r="H14519" s="24"/>
      <c r="I14519" s="24"/>
      <c r="J14519" s="24"/>
      <c r="K14519" s="24"/>
      <c r="L14519" s="24"/>
      <c r="M14519" s="24"/>
      <c r="N14519" s="24"/>
      <c r="O14519" s="24"/>
      <c r="P14519" s="24"/>
      <c r="Q14519" s="24"/>
      <c r="R14519" s="24"/>
      <c r="S14519" s="24"/>
      <c r="T14519" s="24"/>
      <c r="U14519" s="24"/>
      <c r="V14519" s="24"/>
      <c r="W14519" s="24"/>
      <c r="X14519" s="24"/>
      <c r="Y14519" s="24"/>
      <c r="Z14519" s="24"/>
      <c r="AA14519" s="24"/>
    </row>
    <row r="14520">
      <c r="A14520" s="24"/>
      <c r="B14520" s="25"/>
      <c r="C14520" s="24"/>
      <c r="D14520" s="26"/>
      <c r="E14520" s="24"/>
      <c r="F14520" s="24"/>
      <c r="G14520" s="24"/>
      <c r="H14520" s="24"/>
      <c r="I14520" s="24"/>
      <c r="J14520" s="24"/>
      <c r="K14520" s="24"/>
      <c r="L14520" s="24"/>
      <c r="M14520" s="24"/>
      <c r="N14520" s="24"/>
      <c r="O14520" s="24"/>
      <c r="P14520" s="24"/>
      <c r="Q14520" s="24"/>
      <c r="R14520" s="24"/>
      <c r="S14520" s="24"/>
      <c r="T14520" s="24"/>
      <c r="U14520" s="24"/>
      <c r="V14520" s="24"/>
      <c r="W14520" s="24"/>
      <c r="X14520" s="24"/>
      <c r="Y14520" s="24"/>
      <c r="Z14520" s="24"/>
      <c r="AA14520" s="24"/>
    </row>
    <row r="14521">
      <c r="A14521" s="24"/>
      <c r="B14521" s="25"/>
      <c r="C14521" s="24"/>
      <c r="D14521" s="26"/>
      <c r="E14521" s="24"/>
      <c r="F14521" s="24"/>
      <c r="G14521" s="24"/>
      <c r="H14521" s="24"/>
      <c r="I14521" s="24"/>
      <c r="J14521" s="24"/>
      <c r="K14521" s="24"/>
      <c r="L14521" s="24"/>
      <c r="M14521" s="24"/>
      <c r="N14521" s="24"/>
      <c r="O14521" s="24"/>
      <c r="P14521" s="24"/>
      <c r="Q14521" s="24"/>
      <c r="R14521" s="24"/>
      <c r="S14521" s="24"/>
      <c r="T14521" s="24"/>
      <c r="U14521" s="24"/>
      <c r="V14521" s="24"/>
      <c r="W14521" s="24"/>
      <c r="X14521" s="24"/>
      <c r="Y14521" s="24"/>
      <c r="Z14521" s="24"/>
      <c r="AA14521" s="24"/>
    </row>
    <row r="14522">
      <c r="A14522" s="24"/>
      <c r="B14522" s="25"/>
      <c r="C14522" s="24"/>
      <c r="D14522" s="26"/>
      <c r="E14522" s="24"/>
      <c r="F14522" s="24"/>
      <c r="G14522" s="24"/>
      <c r="H14522" s="24"/>
      <c r="I14522" s="24"/>
      <c r="J14522" s="24"/>
      <c r="K14522" s="24"/>
      <c r="L14522" s="24"/>
      <c r="M14522" s="24"/>
      <c r="N14522" s="24"/>
      <c r="O14522" s="24"/>
      <c r="P14522" s="24"/>
      <c r="Q14522" s="24"/>
      <c r="R14522" s="24"/>
      <c r="S14522" s="24"/>
      <c r="T14522" s="24"/>
      <c r="U14522" s="24"/>
      <c r="V14522" s="24"/>
      <c r="W14522" s="24"/>
      <c r="X14522" s="24"/>
      <c r="Y14522" s="24"/>
      <c r="Z14522" s="24"/>
      <c r="AA14522" s="24"/>
    </row>
    <row r="14523">
      <c r="A14523" s="24"/>
      <c r="B14523" s="25"/>
      <c r="C14523" s="24"/>
      <c r="D14523" s="26"/>
      <c r="E14523" s="24"/>
      <c r="F14523" s="24"/>
      <c r="G14523" s="24"/>
      <c r="H14523" s="24"/>
      <c r="I14523" s="24"/>
      <c r="J14523" s="24"/>
      <c r="K14523" s="24"/>
      <c r="L14523" s="24"/>
      <c r="M14523" s="24"/>
      <c r="N14523" s="24"/>
      <c r="O14523" s="24"/>
      <c r="P14523" s="24"/>
      <c r="Q14523" s="24"/>
      <c r="R14523" s="24"/>
      <c r="S14523" s="24"/>
      <c r="T14523" s="24"/>
      <c r="U14523" s="24"/>
      <c r="V14523" s="24"/>
      <c r="W14523" s="24"/>
      <c r="X14523" s="24"/>
      <c r="Y14523" s="24"/>
      <c r="Z14523" s="24"/>
      <c r="AA14523" s="24"/>
    </row>
    <row r="14524">
      <c r="A14524" s="24"/>
      <c r="B14524" s="25"/>
      <c r="C14524" s="24"/>
      <c r="D14524" s="26"/>
      <c r="E14524" s="24"/>
      <c r="F14524" s="24"/>
      <c r="G14524" s="24"/>
      <c r="H14524" s="24"/>
      <c r="I14524" s="24"/>
      <c r="J14524" s="24"/>
      <c r="K14524" s="24"/>
      <c r="L14524" s="24"/>
      <c r="M14524" s="24"/>
      <c r="N14524" s="24"/>
      <c r="O14524" s="24"/>
      <c r="P14524" s="24"/>
      <c r="Q14524" s="24"/>
      <c r="R14524" s="24"/>
      <c r="S14524" s="24"/>
      <c r="T14524" s="24"/>
      <c r="U14524" s="24"/>
      <c r="V14524" s="24"/>
      <c r="W14524" s="24"/>
      <c r="X14524" s="24"/>
      <c r="Y14524" s="24"/>
      <c r="Z14524" s="24"/>
      <c r="AA14524" s="24"/>
    </row>
    <row r="14525">
      <c r="A14525" s="24"/>
      <c r="B14525" s="25"/>
      <c r="C14525" s="24"/>
      <c r="D14525" s="26"/>
      <c r="E14525" s="24"/>
      <c r="F14525" s="24"/>
      <c r="G14525" s="24"/>
      <c r="H14525" s="24"/>
      <c r="I14525" s="24"/>
      <c r="J14525" s="24"/>
      <c r="K14525" s="24"/>
      <c r="L14525" s="24"/>
      <c r="M14525" s="24"/>
      <c r="N14525" s="24"/>
      <c r="O14525" s="24"/>
      <c r="P14525" s="24"/>
      <c r="Q14525" s="24"/>
      <c r="R14525" s="24"/>
      <c r="S14525" s="24"/>
      <c r="T14525" s="24"/>
      <c r="U14525" s="24"/>
      <c r="V14525" s="24"/>
      <c r="W14525" s="24"/>
      <c r="X14525" s="24"/>
      <c r="Y14525" s="24"/>
      <c r="Z14525" s="24"/>
      <c r="AA14525" s="24"/>
    </row>
    <row r="14526">
      <c r="A14526" s="24"/>
      <c r="B14526" s="25"/>
      <c r="C14526" s="24"/>
      <c r="D14526" s="26"/>
      <c r="E14526" s="24"/>
      <c r="F14526" s="24"/>
      <c r="G14526" s="24"/>
      <c r="H14526" s="24"/>
      <c r="I14526" s="24"/>
      <c r="J14526" s="24"/>
      <c r="K14526" s="24"/>
      <c r="L14526" s="24"/>
      <c r="M14526" s="24"/>
      <c r="N14526" s="24"/>
      <c r="O14526" s="24"/>
      <c r="P14526" s="24"/>
      <c r="Q14526" s="24"/>
      <c r="R14526" s="24"/>
      <c r="S14526" s="24"/>
      <c r="T14526" s="24"/>
      <c r="U14526" s="24"/>
      <c r="V14526" s="24"/>
      <c r="W14526" s="24"/>
      <c r="X14526" s="24"/>
      <c r="Y14526" s="24"/>
      <c r="Z14526" s="24"/>
      <c r="AA14526" s="24"/>
    </row>
    <row r="14527">
      <c r="A14527" s="24"/>
      <c r="B14527" s="25"/>
      <c r="C14527" s="24"/>
      <c r="D14527" s="26"/>
      <c r="E14527" s="24"/>
      <c r="F14527" s="24"/>
      <c r="G14527" s="24"/>
      <c r="H14527" s="24"/>
      <c r="I14527" s="24"/>
      <c r="J14527" s="24"/>
      <c r="K14527" s="24"/>
      <c r="L14527" s="24"/>
      <c r="M14527" s="24"/>
      <c r="N14527" s="24"/>
      <c r="O14527" s="24"/>
      <c r="P14527" s="24"/>
      <c r="Q14527" s="24"/>
      <c r="R14527" s="24"/>
      <c r="S14527" s="24"/>
      <c r="T14527" s="24"/>
      <c r="U14527" s="24"/>
      <c r="V14527" s="24"/>
      <c r="W14527" s="24"/>
      <c r="X14527" s="24"/>
      <c r="Y14527" s="24"/>
      <c r="Z14527" s="24"/>
      <c r="AA14527" s="24"/>
    </row>
    <row r="14528">
      <c r="A14528" s="24"/>
      <c r="B14528" s="25"/>
      <c r="C14528" s="24"/>
      <c r="D14528" s="26"/>
      <c r="E14528" s="24"/>
      <c r="F14528" s="24"/>
      <c r="G14528" s="24"/>
      <c r="H14528" s="24"/>
      <c r="I14528" s="24"/>
      <c r="J14528" s="24"/>
      <c r="K14528" s="24"/>
      <c r="L14528" s="24"/>
      <c r="M14528" s="24"/>
      <c r="N14528" s="24"/>
      <c r="O14528" s="24"/>
      <c r="P14528" s="24"/>
      <c r="Q14528" s="24"/>
      <c r="R14528" s="24"/>
      <c r="S14528" s="24"/>
      <c r="T14528" s="24"/>
      <c r="U14528" s="24"/>
      <c r="V14528" s="24"/>
      <c r="W14528" s="24"/>
      <c r="X14528" s="24"/>
      <c r="Y14528" s="24"/>
      <c r="Z14528" s="24"/>
      <c r="AA14528" s="24"/>
    </row>
    <row r="14529">
      <c r="A14529" s="24"/>
      <c r="B14529" s="25"/>
      <c r="C14529" s="24"/>
      <c r="D14529" s="26"/>
      <c r="E14529" s="24"/>
      <c r="F14529" s="24"/>
      <c r="G14529" s="24"/>
      <c r="H14529" s="24"/>
      <c r="I14529" s="24"/>
      <c r="J14529" s="24"/>
      <c r="K14529" s="24"/>
      <c r="L14529" s="24"/>
      <c r="M14529" s="24"/>
      <c r="N14529" s="24"/>
      <c r="O14529" s="24"/>
      <c r="P14529" s="24"/>
      <c r="Q14529" s="24"/>
      <c r="R14529" s="24"/>
      <c r="S14529" s="24"/>
      <c r="T14529" s="24"/>
      <c r="U14529" s="24"/>
      <c r="V14529" s="24"/>
      <c r="W14529" s="24"/>
      <c r="X14529" s="24"/>
      <c r="Y14529" s="24"/>
      <c r="Z14529" s="24"/>
      <c r="AA14529" s="24"/>
    </row>
    <row r="14530">
      <c r="A14530" s="24"/>
      <c r="B14530" s="25"/>
      <c r="C14530" s="24"/>
      <c r="D14530" s="26"/>
      <c r="E14530" s="24"/>
      <c r="F14530" s="24"/>
      <c r="G14530" s="24"/>
      <c r="H14530" s="24"/>
      <c r="I14530" s="24"/>
      <c r="J14530" s="24"/>
      <c r="K14530" s="24"/>
      <c r="L14530" s="24"/>
      <c r="M14530" s="24"/>
      <c r="N14530" s="24"/>
      <c r="O14530" s="24"/>
      <c r="P14530" s="24"/>
      <c r="Q14530" s="24"/>
      <c r="R14530" s="24"/>
      <c r="S14530" s="24"/>
      <c r="T14530" s="24"/>
      <c r="U14530" s="24"/>
      <c r="V14530" s="24"/>
      <c r="W14530" s="24"/>
      <c r="X14530" s="24"/>
      <c r="Y14530" s="24"/>
      <c r="Z14530" s="24"/>
      <c r="AA14530" s="24"/>
    </row>
    <row r="14531">
      <c r="A14531" s="24"/>
      <c r="B14531" s="25"/>
      <c r="C14531" s="24"/>
      <c r="D14531" s="26"/>
      <c r="E14531" s="24"/>
      <c r="F14531" s="24"/>
      <c r="G14531" s="24"/>
      <c r="H14531" s="24"/>
      <c r="I14531" s="24"/>
      <c r="J14531" s="24"/>
      <c r="K14531" s="24"/>
      <c r="L14531" s="24"/>
      <c r="M14531" s="24"/>
      <c r="N14531" s="24"/>
      <c r="O14531" s="24"/>
      <c r="P14531" s="24"/>
      <c r="Q14531" s="24"/>
      <c r="R14531" s="24"/>
      <c r="S14531" s="24"/>
      <c r="T14531" s="24"/>
      <c r="U14531" s="24"/>
      <c r="V14531" s="24"/>
      <c r="W14531" s="24"/>
      <c r="X14531" s="24"/>
      <c r="Y14531" s="24"/>
      <c r="Z14531" s="24"/>
      <c r="AA14531" s="24"/>
    </row>
    <row r="14532">
      <c r="A14532" s="24"/>
      <c r="B14532" s="25"/>
      <c r="C14532" s="24"/>
      <c r="D14532" s="26"/>
      <c r="E14532" s="24"/>
      <c r="F14532" s="24"/>
      <c r="G14532" s="24"/>
      <c r="H14532" s="24"/>
      <c r="I14532" s="24"/>
      <c r="J14532" s="24"/>
      <c r="K14532" s="24"/>
      <c r="L14532" s="24"/>
      <c r="M14532" s="24"/>
      <c r="N14532" s="24"/>
      <c r="O14532" s="24"/>
      <c r="P14532" s="24"/>
      <c r="Q14532" s="24"/>
      <c r="R14532" s="24"/>
      <c r="S14532" s="24"/>
      <c r="T14532" s="24"/>
      <c r="U14532" s="24"/>
      <c r="V14532" s="24"/>
      <c r="W14532" s="24"/>
      <c r="X14532" s="24"/>
      <c r="Y14532" s="24"/>
      <c r="Z14532" s="24"/>
      <c r="AA14532" s="24"/>
    </row>
    <row r="14533">
      <c r="A14533" s="24"/>
      <c r="B14533" s="25"/>
      <c r="C14533" s="24"/>
      <c r="D14533" s="26"/>
      <c r="E14533" s="24"/>
      <c r="F14533" s="24"/>
      <c r="G14533" s="24"/>
      <c r="H14533" s="24"/>
      <c r="I14533" s="24"/>
      <c r="J14533" s="24"/>
      <c r="K14533" s="24"/>
      <c r="L14533" s="24"/>
      <c r="M14533" s="24"/>
      <c r="N14533" s="24"/>
      <c r="O14533" s="24"/>
      <c r="P14533" s="24"/>
      <c r="Q14533" s="24"/>
      <c r="R14533" s="24"/>
      <c r="S14533" s="24"/>
      <c r="T14533" s="24"/>
      <c r="U14533" s="24"/>
      <c r="V14533" s="24"/>
      <c r="W14533" s="24"/>
      <c r="X14533" s="24"/>
      <c r="Y14533" s="24"/>
      <c r="Z14533" s="24"/>
      <c r="AA14533" s="24"/>
    </row>
    <row r="14534">
      <c r="A14534" s="24"/>
      <c r="B14534" s="25"/>
      <c r="C14534" s="24"/>
      <c r="D14534" s="26"/>
      <c r="E14534" s="24"/>
      <c r="F14534" s="24"/>
      <c r="G14534" s="24"/>
      <c r="H14534" s="24"/>
      <c r="I14534" s="24"/>
      <c r="J14534" s="24"/>
      <c r="K14534" s="24"/>
      <c r="L14534" s="24"/>
      <c r="M14534" s="24"/>
      <c r="N14534" s="24"/>
      <c r="O14534" s="24"/>
      <c r="P14534" s="24"/>
      <c r="Q14534" s="24"/>
      <c r="R14534" s="24"/>
      <c r="S14534" s="24"/>
      <c r="T14534" s="24"/>
      <c r="U14534" s="24"/>
      <c r="V14534" s="24"/>
      <c r="W14534" s="24"/>
      <c r="X14534" s="24"/>
      <c r="Y14534" s="24"/>
      <c r="Z14534" s="24"/>
      <c r="AA14534" s="24"/>
    </row>
    <row r="14535">
      <c r="A14535" s="24"/>
      <c r="B14535" s="25"/>
      <c r="C14535" s="24"/>
      <c r="D14535" s="26"/>
      <c r="E14535" s="24"/>
      <c r="F14535" s="24"/>
      <c r="G14535" s="24"/>
      <c r="H14535" s="24"/>
      <c r="I14535" s="24"/>
      <c r="J14535" s="24"/>
      <c r="K14535" s="24"/>
      <c r="L14535" s="24"/>
      <c r="M14535" s="24"/>
      <c r="N14535" s="24"/>
      <c r="O14535" s="24"/>
      <c r="P14535" s="24"/>
      <c r="Q14535" s="24"/>
      <c r="R14535" s="24"/>
      <c r="S14535" s="24"/>
      <c r="T14535" s="24"/>
      <c r="U14535" s="24"/>
      <c r="V14535" s="24"/>
      <c r="W14535" s="24"/>
      <c r="X14535" s="24"/>
      <c r="Y14535" s="24"/>
      <c r="Z14535" s="24"/>
      <c r="AA14535" s="24"/>
    </row>
    <row r="14536">
      <c r="A14536" s="24"/>
      <c r="B14536" s="25"/>
      <c r="C14536" s="24"/>
      <c r="D14536" s="26"/>
      <c r="E14536" s="24"/>
      <c r="F14536" s="24"/>
      <c r="G14536" s="24"/>
      <c r="H14536" s="24"/>
      <c r="I14536" s="24"/>
      <c r="J14536" s="24"/>
      <c r="K14536" s="24"/>
      <c r="L14536" s="24"/>
      <c r="M14536" s="24"/>
      <c r="N14536" s="24"/>
      <c r="O14536" s="24"/>
      <c r="P14536" s="24"/>
      <c r="Q14536" s="24"/>
      <c r="R14536" s="24"/>
      <c r="S14536" s="24"/>
      <c r="T14536" s="24"/>
      <c r="U14536" s="24"/>
      <c r="V14536" s="24"/>
      <c r="W14536" s="24"/>
      <c r="X14536" s="24"/>
      <c r="Y14536" s="24"/>
      <c r="Z14536" s="24"/>
      <c r="AA14536" s="24"/>
    </row>
    <row r="14537">
      <c r="A14537" s="24"/>
      <c r="B14537" s="25"/>
      <c r="C14537" s="24"/>
      <c r="D14537" s="26"/>
      <c r="E14537" s="24"/>
      <c r="F14537" s="24"/>
      <c r="G14537" s="24"/>
      <c r="H14537" s="24"/>
      <c r="I14537" s="24"/>
      <c r="J14537" s="24"/>
      <c r="K14537" s="24"/>
      <c r="L14537" s="24"/>
      <c r="M14537" s="24"/>
      <c r="N14537" s="24"/>
      <c r="O14537" s="24"/>
      <c r="P14537" s="24"/>
      <c r="Q14537" s="24"/>
      <c r="R14537" s="24"/>
      <c r="S14537" s="24"/>
      <c r="T14537" s="24"/>
      <c r="U14537" s="24"/>
      <c r="V14537" s="24"/>
      <c r="W14537" s="24"/>
      <c r="X14537" s="24"/>
      <c r="Y14537" s="24"/>
      <c r="Z14537" s="24"/>
      <c r="AA14537" s="24"/>
    </row>
    <row r="14538">
      <c r="A14538" s="24"/>
      <c r="B14538" s="25"/>
      <c r="C14538" s="24"/>
      <c r="D14538" s="26"/>
      <c r="E14538" s="24"/>
      <c r="F14538" s="24"/>
      <c r="G14538" s="24"/>
      <c r="H14538" s="24"/>
      <c r="I14538" s="24"/>
      <c r="J14538" s="24"/>
      <c r="K14538" s="24"/>
      <c r="L14538" s="24"/>
      <c r="M14538" s="24"/>
      <c r="N14538" s="24"/>
      <c r="O14538" s="24"/>
      <c r="P14538" s="24"/>
      <c r="Q14538" s="24"/>
      <c r="R14538" s="24"/>
      <c r="S14538" s="24"/>
      <c r="T14538" s="24"/>
      <c r="U14538" s="24"/>
      <c r="V14538" s="24"/>
      <c r="W14538" s="24"/>
      <c r="X14538" s="24"/>
      <c r="Y14538" s="24"/>
      <c r="Z14538" s="24"/>
      <c r="AA14538" s="24"/>
    </row>
    <row r="14539">
      <c r="A14539" s="24"/>
      <c r="B14539" s="25"/>
      <c r="C14539" s="24"/>
      <c r="D14539" s="26"/>
      <c r="E14539" s="24"/>
      <c r="F14539" s="24"/>
      <c r="G14539" s="24"/>
      <c r="H14539" s="24"/>
      <c r="I14539" s="24"/>
      <c r="J14539" s="24"/>
      <c r="K14539" s="24"/>
      <c r="L14539" s="24"/>
      <c r="M14539" s="24"/>
      <c r="N14539" s="24"/>
      <c r="O14539" s="24"/>
      <c r="P14539" s="24"/>
      <c r="Q14539" s="24"/>
      <c r="R14539" s="24"/>
      <c r="S14539" s="24"/>
      <c r="T14539" s="24"/>
      <c r="U14539" s="24"/>
      <c r="V14539" s="24"/>
      <c r="W14539" s="24"/>
      <c r="X14539" s="24"/>
      <c r="Y14539" s="24"/>
      <c r="Z14539" s="24"/>
      <c r="AA14539" s="24"/>
    </row>
    <row r="14540">
      <c r="A14540" s="24"/>
      <c r="B14540" s="25"/>
      <c r="C14540" s="24"/>
      <c r="D14540" s="26"/>
      <c r="E14540" s="24"/>
      <c r="F14540" s="24"/>
      <c r="G14540" s="24"/>
      <c r="H14540" s="24"/>
      <c r="I14540" s="24"/>
      <c r="J14540" s="24"/>
      <c r="K14540" s="24"/>
      <c r="L14540" s="24"/>
      <c r="M14540" s="24"/>
      <c r="N14540" s="24"/>
      <c r="O14540" s="24"/>
      <c r="P14540" s="24"/>
      <c r="Q14540" s="24"/>
      <c r="R14540" s="24"/>
      <c r="S14540" s="24"/>
      <c r="T14540" s="24"/>
      <c r="U14540" s="24"/>
      <c r="V14540" s="24"/>
      <c r="W14540" s="24"/>
      <c r="X14540" s="24"/>
      <c r="Y14540" s="24"/>
      <c r="Z14540" s="24"/>
      <c r="AA14540" s="24"/>
    </row>
    <row r="14541">
      <c r="A14541" s="24"/>
      <c r="B14541" s="25"/>
      <c r="C14541" s="24"/>
      <c r="D14541" s="26"/>
      <c r="E14541" s="24"/>
      <c r="F14541" s="24"/>
      <c r="G14541" s="24"/>
      <c r="H14541" s="24"/>
      <c r="I14541" s="24"/>
      <c r="J14541" s="24"/>
      <c r="K14541" s="24"/>
      <c r="L14541" s="24"/>
      <c r="M14541" s="24"/>
      <c r="N14541" s="24"/>
      <c r="O14541" s="24"/>
      <c r="P14541" s="24"/>
      <c r="Q14541" s="24"/>
      <c r="R14541" s="24"/>
      <c r="S14541" s="24"/>
      <c r="T14541" s="24"/>
      <c r="U14541" s="24"/>
      <c r="V14541" s="24"/>
      <c r="W14541" s="24"/>
      <c r="X14541" s="24"/>
      <c r="Y14541" s="24"/>
      <c r="Z14541" s="24"/>
      <c r="AA14541" s="24"/>
    </row>
    <row r="14542">
      <c r="A14542" s="24"/>
      <c r="B14542" s="25"/>
      <c r="C14542" s="24"/>
      <c r="D14542" s="26"/>
      <c r="E14542" s="24"/>
      <c r="F14542" s="24"/>
      <c r="G14542" s="24"/>
      <c r="H14542" s="24"/>
      <c r="I14542" s="24"/>
      <c r="J14542" s="24"/>
      <c r="K14542" s="24"/>
      <c r="L14542" s="24"/>
      <c r="M14542" s="24"/>
      <c r="N14542" s="24"/>
      <c r="O14542" s="24"/>
      <c r="P14542" s="24"/>
      <c r="Q14542" s="24"/>
      <c r="R14542" s="24"/>
      <c r="S14542" s="24"/>
      <c r="T14542" s="24"/>
      <c r="U14542" s="24"/>
      <c r="V14542" s="24"/>
      <c r="W14542" s="24"/>
      <c r="X14542" s="24"/>
      <c r="Y14542" s="24"/>
      <c r="Z14542" s="24"/>
      <c r="AA14542" s="24"/>
    </row>
    <row r="14543">
      <c r="A14543" s="24"/>
      <c r="B14543" s="25"/>
      <c r="C14543" s="24"/>
      <c r="D14543" s="26"/>
      <c r="E14543" s="24"/>
      <c r="F14543" s="24"/>
      <c r="G14543" s="24"/>
      <c r="H14543" s="24"/>
      <c r="I14543" s="24"/>
      <c r="J14543" s="24"/>
      <c r="K14543" s="24"/>
      <c r="L14543" s="24"/>
      <c r="M14543" s="24"/>
      <c r="N14543" s="24"/>
      <c r="O14543" s="24"/>
      <c r="P14543" s="24"/>
      <c r="Q14543" s="24"/>
      <c r="R14543" s="24"/>
      <c r="S14543" s="24"/>
      <c r="T14543" s="24"/>
      <c r="U14543" s="24"/>
      <c r="V14543" s="24"/>
      <c r="W14543" s="24"/>
      <c r="X14543" s="24"/>
      <c r="Y14543" s="24"/>
      <c r="Z14543" s="24"/>
      <c r="AA14543" s="24"/>
    </row>
    <row r="14544">
      <c r="A14544" s="24"/>
      <c r="B14544" s="25"/>
      <c r="C14544" s="24"/>
      <c r="D14544" s="26"/>
      <c r="E14544" s="24"/>
      <c r="F14544" s="24"/>
      <c r="G14544" s="24"/>
      <c r="H14544" s="24"/>
      <c r="I14544" s="24"/>
      <c r="J14544" s="24"/>
      <c r="K14544" s="24"/>
      <c r="L14544" s="24"/>
      <c r="M14544" s="24"/>
      <c r="N14544" s="24"/>
      <c r="O14544" s="24"/>
      <c r="P14544" s="24"/>
      <c r="Q14544" s="24"/>
      <c r="R14544" s="24"/>
      <c r="S14544" s="24"/>
      <c r="T14544" s="24"/>
      <c r="U14544" s="24"/>
      <c r="V14544" s="24"/>
      <c r="W14544" s="24"/>
      <c r="X14544" s="24"/>
      <c r="Y14544" s="24"/>
      <c r="Z14544" s="24"/>
      <c r="AA14544" s="24"/>
    </row>
    <row r="14545">
      <c r="A14545" s="24"/>
      <c r="B14545" s="25"/>
      <c r="C14545" s="24"/>
      <c r="D14545" s="26"/>
      <c r="E14545" s="24"/>
      <c r="F14545" s="24"/>
      <c r="G14545" s="24"/>
      <c r="H14545" s="24"/>
      <c r="I14545" s="24"/>
      <c r="J14545" s="24"/>
      <c r="K14545" s="24"/>
      <c r="L14545" s="24"/>
      <c r="M14545" s="24"/>
      <c r="N14545" s="24"/>
      <c r="O14545" s="24"/>
      <c r="P14545" s="24"/>
      <c r="Q14545" s="24"/>
      <c r="R14545" s="24"/>
      <c r="S14545" s="24"/>
      <c r="T14545" s="24"/>
      <c r="U14545" s="24"/>
      <c r="V14545" s="24"/>
      <c r="W14545" s="24"/>
      <c r="X14545" s="24"/>
      <c r="Y14545" s="24"/>
      <c r="Z14545" s="24"/>
      <c r="AA14545" s="24"/>
    </row>
    <row r="14546">
      <c r="A14546" s="24"/>
      <c r="B14546" s="25"/>
      <c r="C14546" s="24"/>
      <c r="D14546" s="26"/>
      <c r="E14546" s="24"/>
      <c r="F14546" s="24"/>
      <c r="G14546" s="24"/>
      <c r="H14546" s="24"/>
      <c r="I14546" s="24"/>
      <c r="J14546" s="24"/>
      <c r="K14546" s="24"/>
      <c r="L14546" s="24"/>
      <c r="M14546" s="24"/>
      <c r="N14546" s="24"/>
      <c r="O14546" s="24"/>
      <c r="P14546" s="24"/>
      <c r="Q14546" s="24"/>
      <c r="R14546" s="24"/>
      <c r="S14546" s="24"/>
      <c r="T14546" s="24"/>
      <c r="U14546" s="24"/>
      <c r="V14546" s="24"/>
      <c r="W14546" s="24"/>
      <c r="X14546" s="24"/>
      <c r="Y14546" s="24"/>
      <c r="Z14546" s="24"/>
      <c r="AA14546" s="24"/>
    </row>
    <row r="14547">
      <c r="A14547" s="24"/>
      <c r="B14547" s="25"/>
      <c r="C14547" s="24"/>
      <c r="D14547" s="26"/>
      <c r="E14547" s="24"/>
      <c r="F14547" s="24"/>
      <c r="G14547" s="24"/>
      <c r="H14547" s="24"/>
      <c r="I14547" s="24"/>
      <c r="J14547" s="24"/>
      <c r="K14547" s="24"/>
      <c r="L14547" s="24"/>
      <c r="M14547" s="24"/>
      <c r="N14547" s="24"/>
      <c r="O14547" s="24"/>
      <c r="P14547" s="24"/>
      <c r="Q14547" s="24"/>
      <c r="R14547" s="24"/>
      <c r="S14547" s="24"/>
      <c r="T14547" s="24"/>
      <c r="U14547" s="24"/>
      <c r="V14547" s="24"/>
      <c r="W14547" s="24"/>
      <c r="X14547" s="24"/>
      <c r="Y14547" s="24"/>
      <c r="Z14547" s="24"/>
      <c r="AA14547" s="24"/>
    </row>
    <row r="14548">
      <c r="A14548" s="24"/>
      <c r="B14548" s="25"/>
      <c r="C14548" s="24"/>
      <c r="D14548" s="26"/>
      <c r="E14548" s="24"/>
      <c r="F14548" s="24"/>
      <c r="G14548" s="24"/>
      <c r="H14548" s="24"/>
      <c r="I14548" s="24"/>
      <c r="J14548" s="24"/>
      <c r="K14548" s="24"/>
      <c r="L14548" s="24"/>
      <c r="M14548" s="24"/>
      <c r="N14548" s="24"/>
      <c r="O14548" s="24"/>
      <c r="P14548" s="24"/>
      <c r="Q14548" s="24"/>
      <c r="R14548" s="24"/>
      <c r="S14548" s="24"/>
      <c r="T14548" s="24"/>
      <c r="U14548" s="24"/>
      <c r="V14548" s="24"/>
      <c r="W14548" s="24"/>
      <c r="X14548" s="24"/>
      <c r="Y14548" s="24"/>
      <c r="Z14548" s="24"/>
      <c r="AA14548" s="24"/>
    </row>
    <row r="14549">
      <c r="A14549" s="24"/>
      <c r="B14549" s="25"/>
      <c r="C14549" s="24"/>
      <c r="D14549" s="26"/>
      <c r="E14549" s="24"/>
      <c r="F14549" s="24"/>
      <c r="G14549" s="24"/>
      <c r="H14549" s="24"/>
      <c r="I14549" s="24"/>
      <c r="J14549" s="24"/>
      <c r="K14549" s="24"/>
      <c r="L14549" s="24"/>
      <c r="M14549" s="24"/>
      <c r="N14549" s="24"/>
      <c r="O14549" s="24"/>
      <c r="P14549" s="24"/>
      <c r="Q14549" s="24"/>
      <c r="R14549" s="24"/>
      <c r="S14549" s="24"/>
      <c r="T14549" s="24"/>
      <c r="U14549" s="24"/>
      <c r="V14549" s="24"/>
      <c r="W14549" s="24"/>
      <c r="X14549" s="24"/>
      <c r="Y14549" s="24"/>
      <c r="Z14549" s="24"/>
      <c r="AA14549" s="24"/>
    </row>
    <row r="14550">
      <c r="A14550" s="24"/>
      <c r="B14550" s="25"/>
      <c r="C14550" s="24"/>
      <c r="D14550" s="26"/>
      <c r="E14550" s="24"/>
      <c r="F14550" s="24"/>
      <c r="G14550" s="24"/>
      <c r="H14550" s="24"/>
      <c r="I14550" s="24"/>
      <c r="J14550" s="24"/>
      <c r="K14550" s="24"/>
      <c r="L14550" s="24"/>
      <c r="M14550" s="24"/>
      <c r="N14550" s="24"/>
      <c r="O14550" s="24"/>
      <c r="P14550" s="24"/>
      <c r="Q14550" s="24"/>
      <c r="R14550" s="24"/>
      <c r="S14550" s="24"/>
      <c r="T14550" s="24"/>
      <c r="U14550" s="24"/>
      <c r="V14550" s="24"/>
      <c r="W14550" s="24"/>
      <c r="X14550" s="24"/>
      <c r="Y14550" s="24"/>
      <c r="Z14550" s="24"/>
      <c r="AA14550" s="24"/>
    </row>
    <row r="14551">
      <c r="A14551" s="24"/>
      <c r="B14551" s="25"/>
      <c r="C14551" s="24"/>
      <c r="D14551" s="26"/>
      <c r="E14551" s="24"/>
      <c r="F14551" s="24"/>
      <c r="G14551" s="24"/>
      <c r="H14551" s="24"/>
      <c r="I14551" s="24"/>
      <c r="J14551" s="24"/>
      <c r="K14551" s="24"/>
      <c r="L14551" s="24"/>
      <c r="M14551" s="24"/>
      <c r="N14551" s="24"/>
      <c r="O14551" s="24"/>
      <c r="P14551" s="24"/>
      <c r="Q14551" s="24"/>
      <c r="R14551" s="24"/>
      <c r="S14551" s="24"/>
      <c r="T14551" s="24"/>
      <c r="U14551" s="24"/>
      <c r="V14551" s="24"/>
      <c r="W14551" s="24"/>
      <c r="X14551" s="24"/>
      <c r="Y14551" s="24"/>
      <c r="Z14551" s="24"/>
      <c r="AA14551" s="24"/>
    </row>
    <row r="14552">
      <c r="A14552" s="24"/>
      <c r="B14552" s="25"/>
      <c r="C14552" s="24"/>
      <c r="D14552" s="26"/>
      <c r="E14552" s="24"/>
      <c r="F14552" s="24"/>
      <c r="G14552" s="24"/>
      <c r="H14552" s="24"/>
      <c r="I14552" s="24"/>
      <c r="J14552" s="24"/>
      <c r="K14552" s="24"/>
      <c r="L14552" s="24"/>
      <c r="M14552" s="24"/>
      <c r="N14552" s="24"/>
      <c r="O14552" s="24"/>
      <c r="P14552" s="24"/>
      <c r="Q14552" s="24"/>
      <c r="R14552" s="24"/>
      <c r="S14552" s="24"/>
      <c r="T14552" s="24"/>
      <c r="U14552" s="24"/>
      <c r="V14552" s="24"/>
      <c r="W14552" s="24"/>
      <c r="X14552" s="24"/>
      <c r="Y14552" s="24"/>
      <c r="Z14552" s="24"/>
      <c r="AA14552" s="24"/>
    </row>
    <row r="14553">
      <c r="A14553" s="24"/>
      <c r="B14553" s="25"/>
      <c r="C14553" s="24"/>
      <c r="D14553" s="26"/>
      <c r="E14553" s="24"/>
      <c r="F14553" s="24"/>
      <c r="G14553" s="24"/>
      <c r="H14553" s="24"/>
      <c r="I14553" s="24"/>
      <c r="J14553" s="24"/>
      <c r="K14553" s="24"/>
      <c r="L14553" s="24"/>
      <c r="M14553" s="24"/>
      <c r="N14553" s="24"/>
      <c r="O14553" s="24"/>
      <c r="P14553" s="24"/>
      <c r="Q14553" s="24"/>
      <c r="R14553" s="24"/>
      <c r="S14553" s="24"/>
      <c r="T14553" s="24"/>
      <c r="U14553" s="24"/>
      <c r="V14553" s="24"/>
      <c r="W14553" s="24"/>
      <c r="X14553" s="24"/>
      <c r="Y14553" s="24"/>
      <c r="Z14553" s="24"/>
      <c r="AA14553" s="24"/>
    </row>
    <row r="14554">
      <c r="A14554" s="24"/>
      <c r="B14554" s="25"/>
      <c r="C14554" s="24"/>
      <c r="D14554" s="26"/>
      <c r="E14554" s="24"/>
      <c r="F14554" s="24"/>
      <c r="G14554" s="24"/>
      <c r="H14554" s="24"/>
      <c r="I14554" s="24"/>
      <c r="J14554" s="24"/>
      <c r="K14554" s="24"/>
      <c r="L14554" s="24"/>
      <c r="M14554" s="24"/>
      <c r="N14554" s="24"/>
      <c r="O14554" s="24"/>
      <c r="P14554" s="24"/>
      <c r="Q14554" s="24"/>
      <c r="R14554" s="24"/>
      <c r="S14554" s="24"/>
      <c r="T14554" s="24"/>
      <c r="U14554" s="24"/>
      <c r="V14554" s="24"/>
      <c r="W14554" s="24"/>
      <c r="X14554" s="24"/>
      <c r="Y14554" s="24"/>
      <c r="Z14554" s="24"/>
      <c r="AA14554" s="24"/>
    </row>
    <row r="14555">
      <c r="A14555" s="24"/>
      <c r="B14555" s="25"/>
      <c r="C14555" s="24"/>
      <c r="D14555" s="26"/>
      <c r="E14555" s="24"/>
      <c r="F14555" s="24"/>
      <c r="G14555" s="24"/>
      <c r="H14555" s="24"/>
      <c r="I14555" s="24"/>
      <c r="J14555" s="24"/>
      <c r="K14555" s="24"/>
      <c r="L14555" s="24"/>
      <c r="M14555" s="24"/>
      <c r="N14555" s="24"/>
      <c r="O14555" s="24"/>
      <c r="P14555" s="24"/>
      <c r="Q14555" s="24"/>
      <c r="R14555" s="24"/>
      <c r="S14555" s="24"/>
      <c r="T14555" s="24"/>
      <c r="U14555" s="24"/>
      <c r="V14555" s="24"/>
      <c r="W14555" s="24"/>
      <c r="X14555" s="24"/>
      <c r="Y14555" s="24"/>
      <c r="Z14555" s="24"/>
      <c r="AA14555" s="24"/>
    </row>
    <row r="14556">
      <c r="A14556" s="24"/>
      <c r="B14556" s="25"/>
      <c r="C14556" s="24"/>
      <c r="D14556" s="26"/>
      <c r="E14556" s="24"/>
      <c r="F14556" s="24"/>
      <c r="G14556" s="24"/>
      <c r="H14556" s="24"/>
      <c r="I14556" s="24"/>
      <c r="J14556" s="24"/>
      <c r="K14556" s="24"/>
      <c r="L14556" s="24"/>
      <c r="M14556" s="24"/>
      <c r="N14556" s="24"/>
      <c r="O14556" s="24"/>
      <c r="P14556" s="24"/>
      <c r="Q14556" s="24"/>
      <c r="R14556" s="24"/>
      <c r="S14556" s="24"/>
      <c r="T14556" s="24"/>
      <c r="U14556" s="24"/>
      <c r="V14556" s="24"/>
      <c r="W14556" s="24"/>
      <c r="X14556" s="24"/>
      <c r="Y14556" s="24"/>
      <c r="Z14556" s="24"/>
      <c r="AA14556" s="24"/>
    </row>
    <row r="14557">
      <c r="A14557" s="24"/>
      <c r="B14557" s="25"/>
      <c r="C14557" s="24"/>
      <c r="D14557" s="26"/>
      <c r="E14557" s="24"/>
      <c r="F14557" s="24"/>
      <c r="G14557" s="24"/>
      <c r="H14557" s="24"/>
      <c r="I14557" s="24"/>
      <c r="J14557" s="24"/>
      <c r="K14557" s="24"/>
      <c r="L14557" s="24"/>
      <c r="M14557" s="24"/>
      <c r="N14557" s="24"/>
      <c r="O14557" s="24"/>
      <c r="P14557" s="24"/>
      <c r="Q14557" s="24"/>
      <c r="R14557" s="24"/>
      <c r="S14557" s="24"/>
      <c r="T14557" s="24"/>
      <c r="U14557" s="24"/>
      <c r="V14557" s="24"/>
      <c r="W14557" s="24"/>
      <c r="X14557" s="24"/>
      <c r="Y14557" s="24"/>
      <c r="Z14557" s="24"/>
      <c r="AA14557" s="24"/>
    </row>
    <row r="14558">
      <c r="A14558" s="24"/>
      <c r="B14558" s="25"/>
      <c r="C14558" s="24"/>
      <c r="D14558" s="26"/>
      <c r="E14558" s="24"/>
      <c r="F14558" s="24"/>
      <c r="G14558" s="24"/>
      <c r="H14558" s="24"/>
      <c r="I14558" s="24"/>
      <c r="J14558" s="24"/>
      <c r="K14558" s="24"/>
      <c r="L14558" s="24"/>
      <c r="M14558" s="24"/>
      <c r="N14558" s="24"/>
      <c r="O14558" s="24"/>
      <c r="P14558" s="24"/>
      <c r="Q14558" s="24"/>
      <c r="R14558" s="24"/>
      <c r="S14558" s="24"/>
      <c r="T14558" s="24"/>
      <c r="U14558" s="24"/>
      <c r="V14558" s="24"/>
      <c r="W14558" s="24"/>
      <c r="X14558" s="24"/>
      <c r="Y14558" s="24"/>
      <c r="Z14558" s="24"/>
      <c r="AA14558" s="24"/>
    </row>
    <row r="14559">
      <c r="A14559" s="24"/>
      <c r="B14559" s="25"/>
      <c r="C14559" s="24"/>
      <c r="D14559" s="26"/>
      <c r="E14559" s="24"/>
      <c r="F14559" s="24"/>
      <c r="G14559" s="24"/>
      <c r="H14559" s="24"/>
      <c r="I14559" s="24"/>
      <c r="J14559" s="24"/>
      <c r="K14559" s="24"/>
      <c r="L14559" s="24"/>
      <c r="M14559" s="24"/>
      <c r="N14559" s="24"/>
      <c r="O14559" s="24"/>
      <c r="P14559" s="24"/>
      <c r="Q14559" s="24"/>
      <c r="R14559" s="24"/>
      <c r="S14559" s="24"/>
      <c r="T14559" s="24"/>
      <c r="U14559" s="24"/>
      <c r="V14559" s="24"/>
      <c r="W14559" s="24"/>
      <c r="X14559" s="24"/>
      <c r="Y14559" s="24"/>
      <c r="Z14559" s="24"/>
      <c r="AA14559" s="24"/>
    </row>
    <row r="14560">
      <c r="A14560" s="24"/>
      <c r="B14560" s="25"/>
      <c r="C14560" s="24"/>
      <c r="D14560" s="26"/>
      <c r="E14560" s="24"/>
      <c r="F14560" s="24"/>
      <c r="G14560" s="24"/>
      <c r="H14560" s="24"/>
      <c r="I14560" s="24"/>
      <c r="J14560" s="24"/>
      <c r="K14560" s="24"/>
      <c r="L14560" s="24"/>
      <c r="M14560" s="24"/>
      <c r="N14560" s="24"/>
      <c r="O14560" s="24"/>
      <c r="P14560" s="24"/>
      <c r="Q14560" s="24"/>
      <c r="R14560" s="24"/>
      <c r="S14560" s="24"/>
      <c r="T14560" s="24"/>
      <c r="U14560" s="24"/>
      <c r="V14560" s="24"/>
      <c r="W14560" s="24"/>
      <c r="X14560" s="24"/>
      <c r="Y14560" s="24"/>
      <c r="Z14560" s="24"/>
      <c r="AA14560" s="24"/>
    </row>
    <row r="14561">
      <c r="A14561" s="24"/>
      <c r="B14561" s="25"/>
      <c r="C14561" s="24"/>
      <c r="D14561" s="26"/>
      <c r="E14561" s="24"/>
      <c r="F14561" s="24"/>
      <c r="G14561" s="24"/>
      <c r="H14561" s="24"/>
      <c r="I14561" s="24"/>
      <c r="J14561" s="24"/>
      <c r="K14561" s="24"/>
      <c r="L14561" s="24"/>
      <c r="M14561" s="24"/>
      <c r="N14561" s="24"/>
      <c r="O14561" s="24"/>
      <c r="P14561" s="24"/>
      <c r="Q14561" s="24"/>
      <c r="R14561" s="24"/>
      <c r="S14561" s="24"/>
      <c r="T14561" s="24"/>
      <c r="U14561" s="24"/>
      <c r="V14561" s="24"/>
      <c r="W14561" s="24"/>
      <c r="X14561" s="24"/>
      <c r="Y14561" s="24"/>
      <c r="Z14561" s="24"/>
      <c r="AA14561" s="24"/>
    </row>
    <row r="14562">
      <c r="A14562" s="24"/>
      <c r="B14562" s="25"/>
      <c r="C14562" s="24"/>
      <c r="D14562" s="26"/>
      <c r="E14562" s="24"/>
      <c r="F14562" s="24"/>
      <c r="G14562" s="24"/>
      <c r="H14562" s="24"/>
      <c r="I14562" s="24"/>
      <c r="J14562" s="24"/>
      <c r="K14562" s="24"/>
      <c r="L14562" s="24"/>
      <c r="M14562" s="24"/>
      <c r="N14562" s="24"/>
      <c r="O14562" s="24"/>
      <c r="P14562" s="24"/>
      <c r="Q14562" s="24"/>
      <c r="R14562" s="24"/>
      <c r="S14562" s="24"/>
      <c r="T14562" s="24"/>
      <c r="U14562" s="24"/>
      <c r="V14562" s="24"/>
      <c r="W14562" s="24"/>
      <c r="X14562" s="24"/>
      <c r="Y14562" s="24"/>
      <c r="Z14562" s="24"/>
      <c r="AA14562" s="24"/>
    </row>
    <row r="14563">
      <c r="A14563" s="24"/>
      <c r="B14563" s="25"/>
      <c r="C14563" s="24"/>
      <c r="D14563" s="26"/>
      <c r="E14563" s="24"/>
      <c r="F14563" s="24"/>
      <c r="G14563" s="24"/>
      <c r="H14563" s="24"/>
      <c r="I14563" s="24"/>
      <c r="J14563" s="24"/>
      <c r="K14563" s="24"/>
      <c r="L14563" s="24"/>
      <c r="M14563" s="24"/>
      <c r="N14563" s="24"/>
      <c r="O14563" s="24"/>
      <c r="P14563" s="24"/>
      <c r="Q14563" s="24"/>
      <c r="R14563" s="24"/>
      <c r="S14563" s="24"/>
      <c r="T14563" s="24"/>
      <c r="U14563" s="24"/>
      <c r="V14563" s="24"/>
      <c r="W14563" s="24"/>
      <c r="X14563" s="24"/>
      <c r="Y14563" s="24"/>
      <c r="Z14563" s="24"/>
      <c r="AA14563" s="24"/>
    </row>
    <row r="14564">
      <c r="A14564" s="24"/>
      <c r="B14564" s="25"/>
      <c r="C14564" s="24"/>
      <c r="D14564" s="26"/>
      <c r="E14564" s="24"/>
      <c r="F14564" s="24"/>
      <c r="G14564" s="24"/>
      <c r="H14564" s="24"/>
      <c r="I14564" s="24"/>
      <c r="J14564" s="24"/>
      <c r="K14564" s="24"/>
      <c r="L14564" s="24"/>
      <c r="M14564" s="24"/>
      <c r="N14564" s="24"/>
      <c r="O14564" s="24"/>
      <c r="P14564" s="24"/>
      <c r="Q14564" s="24"/>
      <c r="R14564" s="24"/>
      <c r="S14564" s="24"/>
      <c r="T14564" s="24"/>
      <c r="U14564" s="24"/>
      <c r="V14564" s="24"/>
      <c r="W14564" s="24"/>
      <c r="X14564" s="24"/>
      <c r="Y14564" s="24"/>
      <c r="Z14564" s="24"/>
      <c r="AA14564" s="24"/>
    </row>
    <row r="14565">
      <c r="A14565" s="24"/>
      <c r="B14565" s="25"/>
      <c r="C14565" s="24"/>
      <c r="D14565" s="26"/>
      <c r="E14565" s="24"/>
      <c r="F14565" s="24"/>
      <c r="G14565" s="24"/>
      <c r="H14565" s="24"/>
      <c r="I14565" s="24"/>
      <c r="J14565" s="24"/>
      <c r="K14565" s="24"/>
      <c r="L14565" s="24"/>
      <c r="M14565" s="24"/>
      <c r="N14565" s="24"/>
      <c r="O14565" s="24"/>
      <c r="P14565" s="24"/>
      <c r="Q14565" s="24"/>
      <c r="R14565" s="24"/>
      <c r="S14565" s="24"/>
      <c r="T14565" s="24"/>
      <c r="U14565" s="24"/>
      <c r="V14565" s="24"/>
      <c r="W14565" s="24"/>
      <c r="X14565" s="24"/>
      <c r="Y14565" s="24"/>
      <c r="Z14565" s="24"/>
      <c r="AA14565" s="24"/>
    </row>
    <row r="14566">
      <c r="A14566" s="24"/>
      <c r="B14566" s="25"/>
      <c r="C14566" s="24"/>
      <c r="D14566" s="26"/>
      <c r="E14566" s="24"/>
      <c r="F14566" s="24"/>
      <c r="G14566" s="24"/>
      <c r="H14566" s="24"/>
      <c r="I14566" s="24"/>
      <c r="J14566" s="24"/>
      <c r="K14566" s="24"/>
      <c r="L14566" s="24"/>
      <c r="M14566" s="24"/>
      <c r="N14566" s="24"/>
      <c r="O14566" s="24"/>
      <c r="P14566" s="24"/>
      <c r="Q14566" s="24"/>
      <c r="R14566" s="24"/>
      <c r="S14566" s="24"/>
      <c r="T14566" s="24"/>
      <c r="U14566" s="24"/>
      <c r="V14566" s="24"/>
      <c r="W14566" s="24"/>
      <c r="X14566" s="24"/>
      <c r="Y14566" s="24"/>
      <c r="Z14566" s="24"/>
      <c r="AA14566" s="24"/>
    </row>
    <row r="14567">
      <c r="A14567" s="24"/>
      <c r="B14567" s="25"/>
      <c r="C14567" s="24"/>
      <c r="D14567" s="26"/>
      <c r="E14567" s="24"/>
      <c r="F14567" s="24"/>
      <c r="G14567" s="24"/>
      <c r="H14567" s="24"/>
      <c r="I14567" s="24"/>
      <c r="J14567" s="24"/>
      <c r="K14567" s="24"/>
      <c r="L14567" s="24"/>
      <c r="M14567" s="24"/>
      <c r="N14567" s="24"/>
      <c r="O14567" s="24"/>
      <c r="P14567" s="24"/>
      <c r="Q14567" s="24"/>
      <c r="R14567" s="24"/>
      <c r="S14567" s="24"/>
      <c r="T14567" s="24"/>
      <c r="U14567" s="24"/>
      <c r="V14567" s="24"/>
      <c r="W14567" s="24"/>
      <c r="X14567" s="24"/>
      <c r="Y14567" s="24"/>
      <c r="Z14567" s="24"/>
      <c r="AA14567" s="24"/>
    </row>
    <row r="14568">
      <c r="A14568" s="24"/>
      <c r="B14568" s="25"/>
      <c r="C14568" s="24"/>
      <c r="D14568" s="26"/>
      <c r="E14568" s="24"/>
      <c r="F14568" s="24"/>
      <c r="G14568" s="24"/>
      <c r="H14568" s="24"/>
      <c r="I14568" s="24"/>
      <c r="J14568" s="24"/>
      <c r="K14568" s="24"/>
      <c r="L14568" s="24"/>
      <c r="M14568" s="24"/>
      <c r="N14568" s="24"/>
      <c r="O14568" s="24"/>
      <c r="P14568" s="24"/>
      <c r="Q14568" s="24"/>
      <c r="R14568" s="24"/>
      <c r="S14568" s="24"/>
      <c r="T14568" s="24"/>
      <c r="U14568" s="24"/>
      <c r="V14568" s="24"/>
      <c r="W14568" s="24"/>
      <c r="X14568" s="24"/>
      <c r="Y14568" s="24"/>
      <c r="Z14568" s="24"/>
      <c r="AA14568" s="24"/>
    </row>
    <row r="14569">
      <c r="A14569" s="24"/>
      <c r="B14569" s="25"/>
      <c r="C14569" s="24"/>
      <c r="D14569" s="26"/>
      <c r="E14569" s="24"/>
      <c r="F14569" s="24"/>
      <c r="G14569" s="24"/>
      <c r="H14569" s="24"/>
      <c r="I14569" s="24"/>
      <c r="J14569" s="24"/>
      <c r="K14569" s="24"/>
      <c r="L14569" s="24"/>
      <c r="M14569" s="24"/>
      <c r="N14569" s="24"/>
      <c r="O14569" s="24"/>
      <c r="P14569" s="24"/>
      <c r="Q14569" s="24"/>
      <c r="R14569" s="24"/>
      <c r="S14569" s="24"/>
      <c r="T14569" s="24"/>
      <c r="U14569" s="24"/>
      <c r="V14569" s="24"/>
      <c r="W14569" s="24"/>
      <c r="X14569" s="24"/>
      <c r="Y14569" s="24"/>
      <c r="Z14569" s="24"/>
      <c r="AA14569" s="24"/>
    </row>
    <row r="14570">
      <c r="A14570" s="24"/>
      <c r="B14570" s="25"/>
      <c r="C14570" s="24"/>
      <c r="D14570" s="26"/>
      <c r="E14570" s="24"/>
      <c r="F14570" s="24"/>
      <c r="G14570" s="24"/>
      <c r="H14570" s="24"/>
      <c r="I14570" s="24"/>
      <c r="J14570" s="24"/>
      <c r="K14570" s="24"/>
      <c r="L14570" s="24"/>
      <c r="M14570" s="24"/>
      <c r="N14570" s="24"/>
      <c r="O14570" s="24"/>
      <c r="P14570" s="24"/>
      <c r="Q14570" s="24"/>
      <c r="R14570" s="24"/>
      <c r="S14570" s="24"/>
      <c r="T14570" s="24"/>
      <c r="U14570" s="24"/>
      <c r="V14570" s="24"/>
      <c r="W14570" s="24"/>
      <c r="X14570" s="24"/>
      <c r="Y14570" s="24"/>
      <c r="Z14570" s="24"/>
      <c r="AA14570" s="24"/>
    </row>
    <row r="14571">
      <c r="A14571" s="24"/>
      <c r="B14571" s="25"/>
      <c r="C14571" s="24"/>
      <c r="D14571" s="26"/>
      <c r="E14571" s="24"/>
      <c r="F14571" s="24"/>
      <c r="G14571" s="24"/>
      <c r="H14571" s="24"/>
      <c r="I14571" s="24"/>
      <c r="J14571" s="24"/>
      <c r="K14571" s="24"/>
      <c r="L14571" s="24"/>
      <c r="M14571" s="24"/>
      <c r="N14571" s="24"/>
      <c r="O14571" s="24"/>
      <c r="P14571" s="24"/>
      <c r="Q14571" s="24"/>
      <c r="R14571" s="24"/>
      <c r="S14571" s="24"/>
      <c r="T14571" s="24"/>
      <c r="U14571" s="24"/>
      <c r="V14571" s="24"/>
      <c r="W14571" s="24"/>
      <c r="X14571" s="24"/>
      <c r="Y14571" s="24"/>
      <c r="Z14571" s="24"/>
      <c r="AA14571" s="24"/>
    </row>
    <row r="14572">
      <c r="A14572" s="24"/>
      <c r="B14572" s="25"/>
      <c r="C14572" s="24"/>
      <c r="D14572" s="26"/>
      <c r="E14572" s="24"/>
      <c r="F14572" s="24"/>
      <c r="G14572" s="24"/>
      <c r="H14572" s="24"/>
      <c r="I14572" s="24"/>
      <c r="J14572" s="24"/>
      <c r="K14572" s="24"/>
      <c r="L14572" s="24"/>
      <c r="M14572" s="24"/>
      <c r="N14572" s="24"/>
      <c r="O14572" s="24"/>
      <c r="P14572" s="24"/>
      <c r="Q14572" s="24"/>
      <c r="R14572" s="24"/>
      <c r="S14572" s="24"/>
      <c r="T14572" s="24"/>
      <c r="U14572" s="24"/>
      <c r="V14572" s="24"/>
      <c r="W14572" s="24"/>
      <c r="X14572" s="24"/>
      <c r="Y14572" s="24"/>
      <c r="Z14572" s="24"/>
      <c r="AA14572" s="24"/>
    </row>
    <row r="14573">
      <c r="A14573" s="24"/>
      <c r="B14573" s="25"/>
      <c r="C14573" s="24"/>
      <c r="D14573" s="26"/>
      <c r="E14573" s="24"/>
      <c r="F14573" s="24"/>
      <c r="G14573" s="24"/>
      <c r="H14573" s="24"/>
      <c r="I14573" s="24"/>
      <c r="J14573" s="24"/>
      <c r="K14573" s="24"/>
      <c r="L14573" s="24"/>
      <c r="M14573" s="24"/>
      <c r="N14573" s="24"/>
      <c r="O14573" s="24"/>
      <c r="P14573" s="24"/>
      <c r="Q14573" s="24"/>
      <c r="R14573" s="24"/>
      <c r="S14573" s="24"/>
      <c r="T14573" s="24"/>
      <c r="U14573" s="24"/>
      <c r="V14573" s="24"/>
      <c r="W14573" s="24"/>
      <c r="X14573" s="24"/>
      <c r="Y14573" s="24"/>
      <c r="Z14573" s="24"/>
      <c r="AA14573" s="24"/>
    </row>
    <row r="14574">
      <c r="A14574" s="24"/>
      <c r="B14574" s="25"/>
      <c r="C14574" s="24"/>
      <c r="D14574" s="26"/>
      <c r="E14574" s="24"/>
      <c r="F14574" s="24"/>
      <c r="G14574" s="24"/>
      <c r="H14574" s="24"/>
      <c r="I14574" s="24"/>
      <c r="J14574" s="24"/>
      <c r="K14574" s="24"/>
      <c r="L14574" s="24"/>
      <c r="M14574" s="24"/>
      <c r="N14574" s="24"/>
      <c r="O14574" s="24"/>
      <c r="P14574" s="24"/>
      <c r="Q14574" s="24"/>
      <c r="R14574" s="24"/>
      <c r="S14574" s="24"/>
      <c r="T14574" s="24"/>
      <c r="U14574" s="24"/>
      <c r="V14574" s="24"/>
      <c r="W14574" s="24"/>
      <c r="X14574" s="24"/>
      <c r="Y14574" s="24"/>
      <c r="Z14574" s="24"/>
      <c r="AA14574" s="24"/>
    </row>
    <row r="14575">
      <c r="A14575" s="24"/>
      <c r="B14575" s="25"/>
      <c r="C14575" s="24"/>
      <c r="D14575" s="26"/>
      <c r="E14575" s="24"/>
      <c r="F14575" s="24"/>
      <c r="G14575" s="24"/>
      <c r="H14575" s="24"/>
      <c r="I14575" s="24"/>
      <c r="J14575" s="24"/>
      <c r="K14575" s="24"/>
      <c r="L14575" s="24"/>
      <c r="M14575" s="24"/>
      <c r="N14575" s="24"/>
      <c r="O14575" s="24"/>
      <c r="P14575" s="24"/>
      <c r="Q14575" s="24"/>
      <c r="R14575" s="24"/>
      <c r="S14575" s="24"/>
      <c r="T14575" s="24"/>
      <c r="U14575" s="24"/>
      <c r="V14575" s="24"/>
      <c r="W14575" s="24"/>
      <c r="X14575" s="24"/>
      <c r="Y14575" s="24"/>
      <c r="Z14575" s="24"/>
      <c r="AA14575" s="24"/>
    </row>
    <row r="14576">
      <c r="A14576" s="24"/>
      <c r="B14576" s="25"/>
      <c r="C14576" s="24"/>
      <c r="D14576" s="26"/>
      <c r="E14576" s="24"/>
      <c r="F14576" s="24"/>
      <c r="G14576" s="24"/>
      <c r="H14576" s="24"/>
      <c r="I14576" s="24"/>
      <c r="J14576" s="24"/>
      <c r="K14576" s="24"/>
      <c r="L14576" s="24"/>
      <c r="M14576" s="24"/>
      <c r="N14576" s="24"/>
      <c r="O14576" s="24"/>
      <c r="P14576" s="24"/>
      <c r="Q14576" s="24"/>
      <c r="R14576" s="24"/>
      <c r="S14576" s="24"/>
      <c r="T14576" s="24"/>
      <c r="U14576" s="24"/>
      <c r="V14576" s="24"/>
      <c r="W14576" s="24"/>
      <c r="X14576" s="24"/>
      <c r="Y14576" s="24"/>
      <c r="Z14576" s="24"/>
      <c r="AA14576" s="24"/>
    </row>
    <row r="14577">
      <c r="A14577" s="24"/>
      <c r="B14577" s="25"/>
      <c r="C14577" s="24"/>
      <c r="D14577" s="26"/>
      <c r="E14577" s="24"/>
      <c r="F14577" s="24"/>
      <c r="G14577" s="24"/>
      <c r="H14577" s="24"/>
      <c r="I14577" s="24"/>
      <c r="J14577" s="24"/>
      <c r="K14577" s="24"/>
      <c r="L14577" s="24"/>
      <c r="M14577" s="24"/>
      <c r="N14577" s="24"/>
      <c r="O14577" s="24"/>
      <c r="P14577" s="24"/>
      <c r="Q14577" s="24"/>
      <c r="R14577" s="24"/>
      <c r="S14577" s="24"/>
      <c r="T14577" s="24"/>
      <c r="U14577" s="24"/>
      <c r="V14577" s="24"/>
      <c r="W14577" s="24"/>
      <c r="X14577" s="24"/>
      <c r="Y14577" s="24"/>
      <c r="Z14577" s="24"/>
      <c r="AA14577" s="24"/>
    </row>
    <row r="14578">
      <c r="A14578" s="24"/>
      <c r="B14578" s="25"/>
      <c r="C14578" s="24"/>
      <c r="D14578" s="26"/>
      <c r="E14578" s="24"/>
      <c r="F14578" s="24"/>
      <c r="G14578" s="24"/>
      <c r="H14578" s="24"/>
      <c r="I14578" s="24"/>
      <c r="J14578" s="24"/>
      <c r="K14578" s="24"/>
      <c r="L14578" s="24"/>
      <c r="M14578" s="24"/>
      <c r="N14578" s="24"/>
      <c r="O14578" s="24"/>
      <c r="P14578" s="24"/>
      <c r="Q14578" s="24"/>
      <c r="R14578" s="24"/>
      <c r="S14578" s="24"/>
      <c r="T14578" s="24"/>
      <c r="U14578" s="24"/>
      <c r="V14578" s="24"/>
      <c r="W14578" s="24"/>
      <c r="X14578" s="24"/>
      <c r="Y14578" s="24"/>
      <c r="Z14578" s="24"/>
      <c r="AA14578" s="24"/>
    </row>
    <row r="14579">
      <c r="A14579" s="24"/>
      <c r="B14579" s="25"/>
      <c r="C14579" s="24"/>
      <c r="D14579" s="26"/>
      <c r="E14579" s="24"/>
      <c r="F14579" s="24"/>
      <c r="G14579" s="24"/>
      <c r="H14579" s="24"/>
      <c r="I14579" s="24"/>
      <c r="J14579" s="24"/>
      <c r="K14579" s="24"/>
      <c r="L14579" s="24"/>
      <c r="M14579" s="24"/>
      <c r="N14579" s="24"/>
      <c r="O14579" s="24"/>
      <c r="P14579" s="24"/>
      <c r="Q14579" s="24"/>
      <c r="R14579" s="24"/>
      <c r="S14579" s="24"/>
      <c r="T14579" s="24"/>
      <c r="U14579" s="24"/>
      <c r="V14579" s="24"/>
      <c r="W14579" s="24"/>
      <c r="X14579" s="24"/>
      <c r="Y14579" s="24"/>
      <c r="Z14579" s="24"/>
      <c r="AA14579" s="24"/>
    </row>
    <row r="14580">
      <c r="A14580" s="24"/>
      <c r="B14580" s="25"/>
      <c r="C14580" s="24"/>
      <c r="D14580" s="26"/>
      <c r="E14580" s="24"/>
      <c r="F14580" s="24"/>
      <c r="G14580" s="24"/>
      <c r="H14580" s="24"/>
      <c r="I14580" s="24"/>
      <c r="J14580" s="24"/>
      <c r="K14580" s="24"/>
      <c r="L14580" s="24"/>
      <c r="M14580" s="24"/>
      <c r="N14580" s="24"/>
      <c r="O14580" s="24"/>
      <c r="P14580" s="24"/>
      <c r="Q14580" s="24"/>
      <c r="R14580" s="24"/>
      <c r="S14580" s="24"/>
      <c r="T14580" s="24"/>
      <c r="U14580" s="24"/>
      <c r="V14580" s="24"/>
      <c r="W14580" s="24"/>
      <c r="X14580" s="24"/>
      <c r="Y14580" s="24"/>
      <c r="Z14580" s="24"/>
      <c r="AA14580" s="24"/>
    </row>
    <row r="14581">
      <c r="A14581" s="24"/>
      <c r="B14581" s="25"/>
      <c r="C14581" s="24"/>
      <c r="D14581" s="26"/>
      <c r="E14581" s="24"/>
      <c r="F14581" s="24"/>
      <c r="G14581" s="24"/>
      <c r="H14581" s="24"/>
      <c r="I14581" s="24"/>
      <c r="J14581" s="24"/>
      <c r="K14581" s="24"/>
      <c r="L14581" s="24"/>
      <c r="M14581" s="24"/>
      <c r="N14581" s="24"/>
      <c r="O14581" s="24"/>
      <c r="P14581" s="24"/>
      <c r="Q14581" s="24"/>
      <c r="R14581" s="24"/>
      <c r="S14581" s="24"/>
      <c r="T14581" s="24"/>
      <c r="U14581" s="24"/>
      <c r="V14581" s="24"/>
      <c r="W14581" s="24"/>
      <c r="X14581" s="24"/>
      <c r="Y14581" s="24"/>
      <c r="Z14581" s="24"/>
      <c r="AA14581" s="24"/>
    </row>
    <row r="14582">
      <c r="A14582" s="24"/>
      <c r="B14582" s="25"/>
      <c r="C14582" s="24"/>
      <c r="D14582" s="26"/>
      <c r="E14582" s="24"/>
      <c r="F14582" s="24"/>
      <c r="G14582" s="24"/>
      <c r="H14582" s="24"/>
      <c r="I14582" s="24"/>
      <c r="J14582" s="24"/>
      <c r="K14582" s="24"/>
      <c r="L14582" s="24"/>
      <c r="M14582" s="24"/>
      <c r="N14582" s="24"/>
      <c r="O14582" s="24"/>
      <c r="P14582" s="24"/>
      <c r="Q14582" s="24"/>
      <c r="R14582" s="24"/>
      <c r="S14582" s="24"/>
      <c r="T14582" s="24"/>
      <c r="U14582" s="24"/>
      <c r="V14582" s="24"/>
      <c r="W14582" s="24"/>
      <c r="X14582" s="24"/>
      <c r="Y14582" s="24"/>
      <c r="Z14582" s="24"/>
      <c r="AA14582" s="24"/>
    </row>
    <row r="14583">
      <c r="A14583" s="24"/>
      <c r="B14583" s="25"/>
      <c r="C14583" s="24"/>
      <c r="D14583" s="26"/>
      <c r="E14583" s="24"/>
      <c r="F14583" s="24"/>
      <c r="G14583" s="24"/>
      <c r="H14583" s="24"/>
      <c r="I14583" s="24"/>
      <c r="J14583" s="24"/>
      <c r="K14583" s="24"/>
      <c r="L14583" s="24"/>
      <c r="M14583" s="24"/>
      <c r="N14583" s="24"/>
      <c r="O14583" s="24"/>
      <c r="P14583" s="24"/>
      <c r="Q14583" s="24"/>
      <c r="R14583" s="24"/>
      <c r="S14583" s="24"/>
      <c r="T14583" s="24"/>
      <c r="U14583" s="24"/>
      <c r="V14583" s="24"/>
      <c r="W14583" s="24"/>
      <c r="X14583" s="24"/>
      <c r="Y14583" s="24"/>
      <c r="Z14583" s="24"/>
      <c r="AA14583" s="24"/>
    </row>
    <row r="14584">
      <c r="A14584" s="24"/>
      <c r="B14584" s="25"/>
      <c r="C14584" s="24"/>
      <c r="D14584" s="26"/>
      <c r="E14584" s="24"/>
      <c r="F14584" s="24"/>
      <c r="G14584" s="24"/>
      <c r="H14584" s="24"/>
      <c r="I14584" s="24"/>
      <c r="J14584" s="24"/>
      <c r="K14584" s="24"/>
      <c r="L14584" s="24"/>
      <c r="M14584" s="24"/>
      <c r="N14584" s="24"/>
      <c r="O14584" s="24"/>
      <c r="P14584" s="24"/>
      <c r="Q14584" s="24"/>
      <c r="R14584" s="24"/>
      <c r="S14584" s="24"/>
      <c r="T14584" s="24"/>
      <c r="U14584" s="24"/>
      <c r="V14584" s="24"/>
      <c r="W14584" s="24"/>
      <c r="X14584" s="24"/>
      <c r="Y14584" s="24"/>
      <c r="Z14584" s="24"/>
      <c r="AA14584" s="24"/>
    </row>
    <row r="14585">
      <c r="A14585" s="24"/>
      <c r="B14585" s="25"/>
      <c r="C14585" s="24"/>
      <c r="D14585" s="26"/>
      <c r="E14585" s="24"/>
      <c r="F14585" s="24"/>
      <c r="G14585" s="24"/>
      <c r="H14585" s="24"/>
      <c r="I14585" s="24"/>
      <c r="J14585" s="24"/>
      <c r="K14585" s="24"/>
      <c r="L14585" s="24"/>
      <c r="M14585" s="24"/>
      <c r="N14585" s="24"/>
      <c r="O14585" s="24"/>
      <c r="P14585" s="24"/>
      <c r="Q14585" s="24"/>
      <c r="R14585" s="24"/>
      <c r="S14585" s="24"/>
      <c r="T14585" s="24"/>
      <c r="U14585" s="24"/>
      <c r="V14585" s="24"/>
      <c r="W14585" s="24"/>
      <c r="X14585" s="24"/>
      <c r="Y14585" s="24"/>
      <c r="Z14585" s="24"/>
      <c r="AA14585" s="24"/>
    </row>
    <row r="14586">
      <c r="A14586" s="24"/>
      <c r="B14586" s="25"/>
      <c r="C14586" s="24"/>
      <c r="D14586" s="26"/>
      <c r="E14586" s="24"/>
      <c r="F14586" s="24"/>
      <c r="G14586" s="24"/>
      <c r="H14586" s="24"/>
      <c r="I14586" s="24"/>
      <c r="J14586" s="24"/>
      <c r="K14586" s="24"/>
      <c r="L14586" s="24"/>
      <c r="M14586" s="24"/>
      <c r="N14586" s="24"/>
      <c r="O14586" s="24"/>
      <c r="P14586" s="24"/>
      <c r="Q14586" s="24"/>
      <c r="R14586" s="24"/>
      <c r="S14586" s="24"/>
      <c r="T14586" s="24"/>
      <c r="U14586" s="24"/>
      <c r="V14586" s="24"/>
      <c r="W14586" s="24"/>
      <c r="X14586" s="24"/>
      <c r="Y14586" s="24"/>
      <c r="Z14586" s="24"/>
      <c r="AA14586" s="24"/>
    </row>
    <row r="14587">
      <c r="A14587" s="24"/>
      <c r="B14587" s="25"/>
      <c r="C14587" s="24"/>
      <c r="D14587" s="26"/>
      <c r="E14587" s="24"/>
      <c r="F14587" s="24"/>
      <c r="G14587" s="24"/>
      <c r="H14587" s="24"/>
      <c r="I14587" s="24"/>
      <c r="J14587" s="24"/>
      <c r="K14587" s="24"/>
      <c r="L14587" s="24"/>
      <c r="M14587" s="24"/>
      <c r="N14587" s="24"/>
      <c r="O14587" s="24"/>
      <c r="P14587" s="24"/>
      <c r="Q14587" s="24"/>
      <c r="R14587" s="24"/>
      <c r="S14587" s="24"/>
      <c r="T14587" s="24"/>
      <c r="U14587" s="24"/>
      <c r="V14587" s="24"/>
      <c r="W14587" s="24"/>
      <c r="X14587" s="24"/>
      <c r="Y14587" s="24"/>
      <c r="Z14587" s="24"/>
      <c r="AA14587" s="24"/>
    </row>
    <row r="14588">
      <c r="A14588" s="24"/>
      <c r="B14588" s="25"/>
      <c r="C14588" s="24"/>
      <c r="D14588" s="26"/>
      <c r="E14588" s="24"/>
      <c r="F14588" s="24"/>
      <c r="G14588" s="24"/>
      <c r="H14588" s="24"/>
      <c r="I14588" s="24"/>
      <c r="J14588" s="24"/>
      <c r="K14588" s="24"/>
      <c r="L14588" s="24"/>
      <c r="M14588" s="24"/>
      <c r="N14588" s="24"/>
      <c r="O14588" s="24"/>
      <c r="P14588" s="24"/>
      <c r="Q14588" s="24"/>
      <c r="R14588" s="24"/>
      <c r="S14588" s="24"/>
      <c r="T14588" s="24"/>
      <c r="U14588" s="24"/>
      <c r="V14588" s="24"/>
      <c r="W14588" s="24"/>
      <c r="X14588" s="24"/>
      <c r="Y14588" s="24"/>
      <c r="Z14588" s="24"/>
      <c r="AA14588" s="24"/>
    </row>
    <row r="14589">
      <c r="A14589" s="24"/>
      <c r="B14589" s="25"/>
      <c r="C14589" s="24"/>
      <c r="D14589" s="26"/>
      <c r="E14589" s="24"/>
      <c r="F14589" s="24"/>
      <c r="G14589" s="24"/>
      <c r="H14589" s="24"/>
      <c r="I14589" s="24"/>
      <c r="J14589" s="24"/>
      <c r="K14589" s="24"/>
      <c r="L14589" s="24"/>
      <c r="M14589" s="24"/>
      <c r="N14589" s="24"/>
      <c r="O14589" s="24"/>
      <c r="P14589" s="24"/>
      <c r="Q14589" s="24"/>
      <c r="R14589" s="24"/>
      <c r="S14589" s="24"/>
      <c r="T14589" s="24"/>
      <c r="U14589" s="24"/>
      <c r="V14589" s="24"/>
      <c r="W14589" s="24"/>
      <c r="X14589" s="24"/>
      <c r="Y14589" s="24"/>
      <c r="Z14589" s="24"/>
      <c r="AA14589" s="24"/>
    </row>
    <row r="14590">
      <c r="A14590" s="24"/>
      <c r="B14590" s="25"/>
      <c r="C14590" s="24"/>
      <c r="D14590" s="26"/>
      <c r="E14590" s="24"/>
      <c r="F14590" s="24"/>
      <c r="G14590" s="24"/>
      <c r="H14590" s="24"/>
      <c r="I14590" s="24"/>
      <c r="J14590" s="24"/>
      <c r="K14590" s="24"/>
      <c r="L14590" s="24"/>
      <c r="M14590" s="24"/>
      <c r="N14590" s="24"/>
      <c r="O14590" s="24"/>
      <c r="P14590" s="24"/>
      <c r="Q14590" s="24"/>
      <c r="R14590" s="24"/>
      <c r="S14590" s="24"/>
      <c r="T14590" s="24"/>
      <c r="U14590" s="24"/>
      <c r="V14590" s="24"/>
      <c r="W14590" s="24"/>
      <c r="X14590" s="24"/>
      <c r="Y14590" s="24"/>
      <c r="Z14590" s="24"/>
      <c r="AA14590" s="24"/>
    </row>
    <row r="14591">
      <c r="A14591" s="24"/>
      <c r="B14591" s="25"/>
      <c r="C14591" s="24"/>
      <c r="D14591" s="26"/>
      <c r="E14591" s="24"/>
      <c r="F14591" s="24"/>
      <c r="G14591" s="24"/>
      <c r="H14591" s="24"/>
      <c r="I14591" s="24"/>
      <c r="J14591" s="24"/>
      <c r="K14591" s="24"/>
      <c r="L14591" s="24"/>
      <c r="M14591" s="24"/>
      <c r="N14591" s="24"/>
      <c r="O14591" s="24"/>
      <c r="P14591" s="24"/>
      <c r="Q14591" s="24"/>
      <c r="R14591" s="24"/>
      <c r="S14591" s="24"/>
      <c r="T14591" s="24"/>
      <c r="U14591" s="24"/>
      <c r="V14591" s="24"/>
      <c r="W14591" s="24"/>
      <c r="X14591" s="24"/>
      <c r="Y14591" s="24"/>
      <c r="Z14591" s="24"/>
      <c r="AA14591" s="24"/>
    </row>
    <row r="14592">
      <c r="A14592" s="24"/>
      <c r="B14592" s="25"/>
      <c r="C14592" s="24"/>
      <c r="D14592" s="26"/>
      <c r="E14592" s="24"/>
      <c r="F14592" s="24"/>
      <c r="G14592" s="24"/>
      <c r="H14592" s="24"/>
      <c r="I14592" s="24"/>
      <c r="J14592" s="24"/>
      <c r="K14592" s="24"/>
      <c r="L14592" s="24"/>
      <c r="M14592" s="24"/>
      <c r="N14592" s="24"/>
      <c r="O14592" s="24"/>
      <c r="P14592" s="24"/>
      <c r="Q14592" s="24"/>
      <c r="R14592" s="24"/>
      <c r="S14592" s="24"/>
      <c r="T14592" s="24"/>
      <c r="U14592" s="24"/>
      <c r="V14592" s="24"/>
      <c r="W14592" s="24"/>
      <c r="X14592" s="24"/>
      <c r="Y14592" s="24"/>
      <c r="Z14592" s="24"/>
      <c r="AA14592" s="24"/>
    </row>
    <row r="14593">
      <c r="A14593" s="24"/>
      <c r="B14593" s="25"/>
      <c r="C14593" s="24"/>
      <c r="D14593" s="26"/>
      <c r="E14593" s="24"/>
      <c r="F14593" s="24"/>
      <c r="G14593" s="24"/>
      <c r="H14593" s="24"/>
      <c r="I14593" s="24"/>
      <c r="J14593" s="24"/>
      <c r="K14593" s="24"/>
      <c r="L14593" s="24"/>
      <c r="M14593" s="24"/>
      <c r="N14593" s="24"/>
      <c r="O14593" s="24"/>
      <c r="P14593" s="24"/>
      <c r="Q14593" s="24"/>
      <c r="R14593" s="24"/>
      <c r="S14593" s="24"/>
      <c r="T14593" s="24"/>
      <c r="U14593" s="24"/>
      <c r="V14593" s="24"/>
      <c r="W14593" s="24"/>
      <c r="X14593" s="24"/>
      <c r="Y14593" s="24"/>
      <c r="Z14593" s="24"/>
      <c r="AA14593" s="24"/>
    </row>
    <row r="14594">
      <c r="A14594" s="24"/>
      <c r="B14594" s="25"/>
      <c r="C14594" s="24"/>
      <c r="D14594" s="26"/>
      <c r="E14594" s="24"/>
      <c r="F14594" s="24"/>
      <c r="G14594" s="24"/>
      <c r="H14594" s="24"/>
      <c r="I14594" s="24"/>
      <c r="J14594" s="24"/>
      <c r="K14594" s="24"/>
      <c r="L14594" s="24"/>
      <c r="M14594" s="24"/>
      <c r="N14594" s="24"/>
      <c r="O14594" s="24"/>
      <c r="P14594" s="24"/>
      <c r="Q14594" s="24"/>
      <c r="R14594" s="24"/>
      <c r="S14594" s="24"/>
      <c r="T14594" s="24"/>
      <c r="U14594" s="24"/>
      <c r="V14594" s="24"/>
      <c r="W14594" s="24"/>
      <c r="X14594" s="24"/>
      <c r="Y14594" s="24"/>
      <c r="Z14594" s="24"/>
      <c r="AA14594" s="24"/>
    </row>
    <row r="14595">
      <c r="A14595" s="24"/>
      <c r="B14595" s="25"/>
      <c r="C14595" s="24"/>
      <c r="D14595" s="26"/>
      <c r="E14595" s="24"/>
      <c r="F14595" s="24"/>
      <c r="G14595" s="24"/>
      <c r="H14595" s="24"/>
      <c r="I14595" s="24"/>
      <c r="J14595" s="24"/>
      <c r="K14595" s="24"/>
      <c r="L14595" s="24"/>
      <c r="M14595" s="24"/>
      <c r="N14595" s="24"/>
      <c r="O14595" s="24"/>
      <c r="P14595" s="24"/>
      <c r="Q14595" s="24"/>
      <c r="R14595" s="24"/>
      <c r="S14595" s="24"/>
      <c r="T14595" s="24"/>
      <c r="U14595" s="24"/>
      <c r="V14595" s="24"/>
      <c r="W14595" s="24"/>
      <c r="X14595" s="24"/>
      <c r="Y14595" s="24"/>
      <c r="Z14595" s="24"/>
      <c r="AA14595" s="24"/>
    </row>
    <row r="14596">
      <c r="A14596" s="24"/>
      <c r="B14596" s="25"/>
      <c r="C14596" s="24"/>
      <c r="D14596" s="26"/>
      <c r="E14596" s="24"/>
      <c r="F14596" s="24"/>
      <c r="G14596" s="24"/>
      <c r="H14596" s="24"/>
      <c r="I14596" s="24"/>
      <c r="J14596" s="24"/>
      <c r="K14596" s="24"/>
      <c r="L14596" s="24"/>
      <c r="M14596" s="24"/>
      <c r="N14596" s="24"/>
      <c r="O14596" s="24"/>
      <c r="P14596" s="24"/>
      <c r="Q14596" s="24"/>
      <c r="R14596" s="24"/>
      <c r="S14596" s="24"/>
      <c r="T14596" s="24"/>
      <c r="U14596" s="24"/>
      <c r="V14596" s="24"/>
      <c r="W14596" s="24"/>
      <c r="X14596" s="24"/>
      <c r="Y14596" s="24"/>
      <c r="Z14596" s="24"/>
      <c r="AA14596" s="24"/>
    </row>
    <row r="14597">
      <c r="A14597" s="24"/>
      <c r="B14597" s="25"/>
      <c r="C14597" s="24"/>
      <c r="D14597" s="26"/>
      <c r="E14597" s="24"/>
      <c r="F14597" s="24"/>
      <c r="G14597" s="24"/>
      <c r="H14597" s="24"/>
      <c r="I14597" s="24"/>
      <c r="J14597" s="24"/>
      <c r="K14597" s="24"/>
      <c r="L14597" s="24"/>
      <c r="M14597" s="24"/>
      <c r="N14597" s="24"/>
      <c r="O14597" s="24"/>
      <c r="P14597" s="24"/>
      <c r="Q14597" s="24"/>
      <c r="R14597" s="24"/>
      <c r="S14597" s="24"/>
      <c r="T14597" s="24"/>
      <c r="U14597" s="24"/>
      <c r="V14597" s="24"/>
      <c r="W14597" s="24"/>
      <c r="X14597" s="24"/>
      <c r="Y14597" s="24"/>
      <c r="Z14597" s="24"/>
      <c r="AA14597" s="24"/>
    </row>
    <row r="14598">
      <c r="A14598" s="24"/>
      <c r="B14598" s="25"/>
      <c r="C14598" s="24"/>
      <c r="D14598" s="26"/>
      <c r="E14598" s="24"/>
      <c r="F14598" s="24"/>
      <c r="G14598" s="24"/>
      <c r="H14598" s="24"/>
      <c r="I14598" s="24"/>
      <c r="J14598" s="24"/>
      <c r="K14598" s="24"/>
      <c r="L14598" s="24"/>
      <c r="M14598" s="24"/>
      <c r="N14598" s="24"/>
      <c r="O14598" s="24"/>
      <c r="P14598" s="24"/>
      <c r="Q14598" s="24"/>
      <c r="R14598" s="24"/>
      <c r="S14598" s="24"/>
      <c r="T14598" s="24"/>
      <c r="U14598" s="24"/>
      <c r="V14598" s="24"/>
      <c r="W14598" s="24"/>
      <c r="X14598" s="24"/>
      <c r="Y14598" s="24"/>
      <c r="Z14598" s="24"/>
      <c r="AA14598" s="24"/>
    </row>
    <row r="14599">
      <c r="A14599" s="24"/>
      <c r="B14599" s="25"/>
      <c r="C14599" s="24"/>
      <c r="D14599" s="26"/>
      <c r="E14599" s="24"/>
      <c r="F14599" s="24"/>
      <c r="G14599" s="24"/>
      <c r="H14599" s="24"/>
      <c r="I14599" s="24"/>
      <c r="J14599" s="24"/>
      <c r="K14599" s="24"/>
      <c r="L14599" s="24"/>
      <c r="M14599" s="24"/>
      <c r="N14599" s="24"/>
      <c r="O14599" s="24"/>
      <c r="P14599" s="24"/>
      <c r="Q14599" s="24"/>
      <c r="R14599" s="24"/>
      <c r="S14599" s="24"/>
      <c r="T14599" s="24"/>
      <c r="U14599" s="24"/>
      <c r="V14599" s="24"/>
      <c r="W14599" s="24"/>
      <c r="X14599" s="24"/>
      <c r="Y14599" s="24"/>
      <c r="Z14599" s="24"/>
      <c r="AA14599" s="24"/>
    </row>
    <row r="14600">
      <c r="A14600" s="24"/>
      <c r="B14600" s="25"/>
      <c r="C14600" s="24"/>
      <c r="D14600" s="26"/>
      <c r="E14600" s="24"/>
      <c r="F14600" s="24"/>
      <c r="G14600" s="24"/>
      <c r="H14600" s="24"/>
      <c r="I14600" s="24"/>
      <c r="J14600" s="24"/>
      <c r="K14600" s="24"/>
      <c r="L14600" s="24"/>
      <c r="M14600" s="24"/>
      <c r="N14600" s="24"/>
      <c r="O14600" s="24"/>
      <c r="P14600" s="24"/>
      <c r="Q14600" s="24"/>
      <c r="R14600" s="24"/>
      <c r="S14600" s="24"/>
      <c r="T14600" s="24"/>
      <c r="U14600" s="24"/>
      <c r="V14600" s="24"/>
      <c r="W14600" s="24"/>
      <c r="X14600" s="24"/>
      <c r="Y14600" s="24"/>
      <c r="Z14600" s="24"/>
      <c r="AA14600" s="24"/>
    </row>
    <row r="14601">
      <c r="A14601" s="24"/>
      <c r="B14601" s="25"/>
      <c r="C14601" s="24"/>
      <c r="D14601" s="26"/>
      <c r="E14601" s="24"/>
      <c r="F14601" s="24"/>
      <c r="G14601" s="24"/>
      <c r="H14601" s="24"/>
      <c r="I14601" s="24"/>
      <c r="J14601" s="24"/>
      <c r="K14601" s="24"/>
      <c r="L14601" s="24"/>
      <c r="M14601" s="24"/>
      <c r="N14601" s="24"/>
      <c r="O14601" s="24"/>
      <c r="P14601" s="24"/>
      <c r="Q14601" s="24"/>
      <c r="R14601" s="24"/>
      <c r="S14601" s="24"/>
      <c r="T14601" s="24"/>
      <c r="U14601" s="24"/>
      <c r="V14601" s="24"/>
      <c r="W14601" s="24"/>
      <c r="X14601" s="24"/>
      <c r="Y14601" s="24"/>
      <c r="Z14601" s="24"/>
      <c r="AA14601" s="24"/>
    </row>
    <row r="14602">
      <c r="A14602" s="24"/>
      <c r="B14602" s="25"/>
      <c r="C14602" s="24"/>
      <c r="D14602" s="26"/>
      <c r="E14602" s="24"/>
      <c r="F14602" s="24"/>
      <c r="G14602" s="24"/>
      <c r="H14602" s="24"/>
      <c r="I14602" s="24"/>
      <c r="J14602" s="24"/>
      <c r="K14602" s="24"/>
      <c r="L14602" s="24"/>
      <c r="M14602" s="24"/>
      <c r="N14602" s="24"/>
      <c r="O14602" s="24"/>
      <c r="P14602" s="24"/>
      <c r="Q14602" s="24"/>
      <c r="R14602" s="24"/>
      <c r="S14602" s="24"/>
      <c r="T14602" s="24"/>
      <c r="U14602" s="24"/>
      <c r="V14602" s="24"/>
      <c r="W14602" s="24"/>
      <c r="X14602" s="24"/>
      <c r="Y14602" s="24"/>
      <c r="Z14602" s="24"/>
      <c r="AA14602" s="24"/>
    </row>
    <row r="14603">
      <c r="A14603" s="24"/>
      <c r="B14603" s="25"/>
      <c r="C14603" s="24"/>
      <c r="D14603" s="26"/>
      <c r="E14603" s="24"/>
      <c r="F14603" s="24"/>
      <c r="G14603" s="24"/>
      <c r="H14603" s="24"/>
      <c r="I14603" s="24"/>
      <c r="J14603" s="24"/>
      <c r="K14603" s="24"/>
      <c r="L14603" s="24"/>
      <c r="M14603" s="24"/>
      <c r="N14603" s="24"/>
      <c r="O14603" s="24"/>
      <c r="P14603" s="24"/>
      <c r="Q14603" s="24"/>
      <c r="R14603" s="24"/>
      <c r="S14603" s="24"/>
      <c r="T14603" s="24"/>
      <c r="U14603" s="24"/>
      <c r="V14603" s="24"/>
      <c r="W14603" s="24"/>
      <c r="X14603" s="24"/>
      <c r="Y14603" s="24"/>
      <c r="Z14603" s="24"/>
      <c r="AA14603" s="24"/>
    </row>
    <row r="14604">
      <c r="A14604" s="24"/>
      <c r="B14604" s="25"/>
      <c r="C14604" s="24"/>
      <c r="D14604" s="26"/>
      <c r="E14604" s="24"/>
      <c r="F14604" s="24"/>
      <c r="G14604" s="24"/>
      <c r="H14604" s="24"/>
      <c r="I14604" s="24"/>
      <c r="J14604" s="24"/>
      <c r="K14604" s="24"/>
      <c r="L14604" s="24"/>
      <c r="M14604" s="24"/>
      <c r="N14604" s="24"/>
      <c r="O14604" s="24"/>
      <c r="P14604" s="24"/>
      <c r="Q14604" s="24"/>
      <c r="R14604" s="24"/>
      <c r="S14604" s="24"/>
      <c r="T14604" s="24"/>
      <c r="U14604" s="24"/>
      <c r="V14604" s="24"/>
      <c r="W14604" s="24"/>
      <c r="X14604" s="24"/>
      <c r="Y14604" s="24"/>
      <c r="Z14604" s="24"/>
      <c r="AA14604" s="24"/>
    </row>
    <row r="14605">
      <c r="A14605" s="24"/>
      <c r="B14605" s="25"/>
      <c r="C14605" s="24"/>
      <c r="D14605" s="26"/>
      <c r="E14605" s="24"/>
      <c r="F14605" s="24"/>
      <c r="G14605" s="24"/>
      <c r="H14605" s="24"/>
      <c r="I14605" s="24"/>
      <c r="J14605" s="24"/>
      <c r="K14605" s="24"/>
      <c r="L14605" s="24"/>
      <c r="M14605" s="24"/>
      <c r="N14605" s="24"/>
      <c r="O14605" s="24"/>
      <c r="P14605" s="24"/>
      <c r="Q14605" s="24"/>
      <c r="R14605" s="24"/>
      <c r="S14605" s="24"/>
      <c r="T14605" s="24"/>
      <c r="U14605" s="24"/>
      <c r="V14605" s="24"/>
      <c r="W14605" s="24"/>
      <c r="X14605" s="24"/>
      <c r="Y14605" s="24"/>
      <c r="Z14605" s="24"/>
      <c r="AA14605" s="24"/>
    </row>
    <row r="14606">
      <c r="A14606" s="24"/>
      <c r="B14606" s="25"/>
      <c r="C14606" s="24"/>
      <c r="D14606" s="26"/>
      <c r="E14606" s="24"/>
      <c r="F14606" s="24"/>
      <c r="G14606" s="24"/>
      <c r="H14606" s="24"/>
      <c r="I14606" s="24"/>
      <c r="J14606" s="24"/>
      <c r="K14606" s="24"/>
      <c r="L14606" s="24"/>
      <c r="M14606" s="24"/>
      <c r="N14606" s="24"/>
      <c r="O14606" s="24"/>
      <c r="P14606" s="24"/>
      <c r="Q14606" s="24"/>
      <c r="R14606" s="24"/>
      <c r="S14606" s="24"/>
      <c r="T14606" s="24"/>
      <c r="U14606" s="24"/>
      <c r="V14606" s="24"/>
      <c r="W14606" s="24"/>
      <c r="X14606" s="24"/>
      <c r="Y14606" s="24"/>
      <c r="Z14606" s="24"/>
      <c r="AA14606" s="24"/>
    </row>
    <row r="14607">
      <c r="A14607" s="24"/>
      <c r="B14607" s="25"/>
      <c r="C14607" s="24"/>
      <c r="D14607" s="26"/>
      <c r="E14607" s="24"/>
      <c r="F14607" s="24"/>
      <c r="G14607" s="24"/>
      <c r="H14607" s="24"/>
      <c r="I14607" s="24"/>
      <c r="J14607" s="24"/>
      <c r="K14607" s="24"/>
      <c r="L14607" s="24"/>
      <c r="M14607" s="24"/>
      <c r="N14607" s="24"/>
      <c r="O14607" s="24"/>
      <c r="P14607" s="24"/>
      <c r="Q14607" s="24"/>
      <c r="R14607" s="24"/>
      <c r="S14607" s="24"/>
      <c r="T14607" s="24"/>
      <c r="U14607" s="24"/>
      <c r="V14607" s="24"/>
      <c r="W14607" s="24"/>
      <c r="X14607" s="24"/>
      <c r="Y14607" s="24"/>
      <c r="Z14607" s="24"/>
      <c r="AA14607" s="24"/>
    </row>
    <row r="14608">
      <c r="A14608" s="24"/>
      <c r="B14608" s="25"/>
      <c r="C14608" s="24"/>
      <c r="D14608" s="26"/>
      <c r="E14608" s="24"/>
      <c r="F14608" s="24"/>
      <c r="G14608" s="24"/>
      <c r="H14608" s="24"/>
      <c r="I14608" s="24"/>
      <c r="J14608" s="24"/>
      <c r="K14608" s="24"/>
      <c r="L14608" s="24"/>
      <c r="M14608" s="24"/>
      <c r="N14608" s="24"/>
      <c r="O14608" s="24"/>
      <c r="P14608" s="24"/>
      <c r="Q14608" s="24"/>
      <c r="R14608" s="24"/>
      <c r="S14608" s="24"/>
      <c r="T14608" s="24"/>
      <c r="U14608" s="24"/>
      <c r="V14608" s="24"/>
      <c r="W14608" s="24"/>
      <c r="X14608" s="24"/>
      <c r="Y14608" s="24"/>
      <c r="Z14608" s="24"/>
      <c r="AA14608" s="24"/>
    </row>
    <row r="14609">
      <c r="A14609" s="24"/>
      <c r="B14609" s="25"/>
      <c r="C14609" s="24"/>
      <c r="D14609" s="26"/>
      <c r="E14609" s="24"/>
      <c r="F14609" s="24"/>
      <c r="G14609" s="24"/>
      <c r="H14609" s="24"/>
      <c r="I14609" s="24"/>
      <c r="J14609" s="24"/>
      <c r="K14609" s="24"/>
      <c r="L14609" s="24"/>
      <c r="M14609" s="24"/>
      <c r="N14609" s="24"/>
      <c r="O14609" s="24"/>
      <c r="P14609" s="24"/>
      <c r="Q14609" s="24"/>
      <c r="R14609" s="24"/>
      <c r="S14609" s="24"/>
      <c r="T14609" s="24"/>
      <c r="U14609" s="24"/>
      <c r="V14609" s="24"/>
      <c r="W14609" s="24"/>
      <c r="X14609" s="24"/>
      <c r="Y14609" s="24"/>
      <c r="Z14609" s="24"/>
      <c r="AA14609" s="24"/>
    </row>
    <row r="14610">
      <c r="A14610" s="24"/>
      <c r="B14610" s="25"/>
      <c r="C14610" s="24"/>
      <c r="D14610" s="26"/>
      <c r="E14610" s="24"/>
      <c r="F14610" s="24"/>
      <c r="G14610" s="24"/>
      <c r="H14610" s="24"/>
      <c r="I14610" s="24"/>
      <c r="J14610" s="24"/>
      <c r="K14610" s="24"/>
      <c r="L14610" s="24"/>
      <c r="M14610" s="24"/>
      <c r="N14610" s="24"/>
      <c r="O14610" s="24"/>
      <c r="P14610" s="24"/>
      <c r="Q14610" s="24"/>
      <c r="R14610" s="24"/>
      <c r="S14610" s="24"/>
      <c r="T14610" s="24"/>
      <c r="U14610" s="24"/>
      <c r="V14610" s="24"/>
      <c r="W14610" s="24"/>
      <c r="X14610" s="24"/>
      <c r="Y14610" s="24"/>
      <c r="Z14610" s="24"/>
      <c r="AA14610" s="24"/>
    </row>
    <row r="14611">
      <c r="A14611" s="24"/>
      <c r="B14611" s="25"/>
      <c r="C14611" s="24"/>
      <c r="D14611" s="26"/>
      <c r="E14611" s="24"/>
      <c r="F14611" s="24"/>
      <c r="G14611" s="24"/>
      <c r="H14611" s="24"/>
      <c r="I14611" s="24"/>
      <c r="J14611" s="24"/>
      <c r="K14611" s="24"/>
      <c r="L14611" s="24"/>
      <c r="M14611" s="24"/>
      <c r="N14611" s="24"/>
      <c r="O14611" s="24"/>
      <c r="P14611" s="24"/>
      <c r="Q14611" s="24"/>
      <c r="R14611" s="24"/>
      <c r="S14611" s="24"/>
      <c r="T14611" s="24"/>
      <c r="U14611" s="24"/>
      <c r="V14611" s="24"/>
      <c r="W14611" s="24"/>
      <c r="X14611" s="24"/>
      <c r="Y14611" s="24"/>
      <c r="Z14611" s="24"/>
      <c r="AA14611" s="24"/>
    </row>
    <row r="14612">
      <c r="A14612" s="24"/>
      <c r="B14612" s="25"/>
      <c r="C14612" s="24"/>
      <c r="D14612" s="26"/>
      <c r="E14612" s="24"/>
      <c r="F14612" s="24"/>
      <c r="G14612" s="24"/>
      <c r="H14612" s="24"/>
      <c r="I14612" s="24"/>
      <c r="J14612" s="24"/>
      <c r="K14612" s="24"/>
      <c r="L14612" s="24"/>
      <c r="M14612" s="24"/>
      <c r="N14612" s="24"/>
      <c r="O14612" s="24"/>
      <c r="P14612" s="24"/>
      <c r="Q14612" s="24"/>
      <c r="R14612" s="24"/>
      <c r="S14612" s="24"/>
      <c r="T14612" s="24"/>
      <c r="U14612" s="24"/>
      <c r="V14612" s="24"/>
      <c r="W14612" s="24"/>
      <c r="X14612" s="24"/>
      <c r="Y14612" s="24"/>
      <c r="Z14612" s="24"/>
      <c r="AA14612" s="24"/>
    </row>
    <row r="14613">
      <c r="A14613" s="24"/>
      <c r="B14613" s="25"/>
      <c r="C14613" s="24"/>
      <c r="D14613" s="26"/>
      <c r="E14613" s="24"/>
      <c r="F14613" s="24"/>
      <c r="G14613" s="24"/>
      <c r="H14613" s="24"/>
      <c r="I14613" s="24"/>
      <c r="J14613" s="24"/>
      <c r="K14613" s="24"/>
      <c r="L14613" s="24"/>
      <c r="M14613" s="24"/>
      <c r="N14613" s="24"/>
      <c r="O14613" s="24"/>
      <c r="P14613" s="24"/>
      <c r="Q14613" s="24"/>
      <c r="R14613" s="24"/>
      <c r="S14613" s="24"/>
      <c r="T14613" s="24"/>
      <c r="U14613" s="24"/>
      <c r="V14613" s="24"/>
      <c r="W14613" s="24"/>
      <c r="X14613" s="24"/>
      <c r="Y14613" s="24"/>
      <c r="Z14613" s="24"/>
      <c r="AA14613" s="24"/>
    </row>
    <row r="14614">
      <c r="A14614" s="24"/>
      <c r="B14614" s="25"/>
      <c r="C14614" s="24"/>
      <c r="D14614" s="26"/>
      <c r="E14614" s="24"/>
      <c r="F14614" s="24"/>
      <c r="G14614" s="24"/>
      <c r="H14614" s="24"/>
      <c r="I14614" s="24"/>
      <c r="J14614" s="24"/>
      <c r="K14614" s="24"/>
      <c r="L14614" s="24"/>
      <c r="M14614" s="24"/>
      <c r="N14614" s="24"/>
      <c r="O14614" s="24"/>
      <c r="P14614" s="24"/>
      <c r="Q14614" s="24"/>
      <c r="R14614" s="24"/>
      <c r="S14614" s="24"/>
      <c r="T14614" s="24"/>
      <c r="U14614" s="24"/>
      <c r="V14614" s="24"/>
      <c r="W14614" s="24"/>
      <c r="X14614" s="24"/>
      <c r="Y14614" s="24"/>
      <c r="Z14614" s="24"/>
      <c r="AA14614" s="24"/>
    </row>
    <row r="14615">
      <c r="A14615" s="24"/>
      <c r="B14615" s="25"/>
      <c r="C14615" s="24"/>
      <c r="D14615" s="26"/>
      <c r="E14615" s="24"/>
      <c r="F14615" s="24"/>
      <c r="G14615" s="24"/>
      <c r="H14615" s="24"/>
      <c r="I14615" s="24"/>
      <c r="J14615" s="24"/>
      <c r="K14615" s="24"/>
      <c r="L14615" s="24"/>
      <c r="M14615" s="24"/>
      <c r="N14615" s="24"/>
      <c r="O14615" s="24"/>
      <c r="P14615" s="24"/>
      <c r="Q14615" s="24"/>
      <c r="R14615" s="24"/>
      <c r="S14615" s="24"/>
      <c r="T14615" s="24"/>
      <c r="U14615" s="24"/>
      <c r="V14615" s="24"/>
      <c r="W14615" s="24"/>
      <c r="X14615" s="24"/>
      <c r="Y14615" s="24"/>
      <c r="Z14615" s="24"/>
      <c r="AA14615" s="24"/>
    </row>
    <row r="14616">
      <c r="A14616" s="24"/>
      <c r="B14616" s="25"/>
      <c r="C14616" s="24"/>
      <c r="D14616" s="26"/>
      <c r="E14616" s="24"/>
      <c r="F14616" s="24"/>
      <c r="G14616" s="24"/>
      <c r="H14616" s="24"/>
      <c r="I14616" s="24"/>
      <c r="J14616" s="24"/>
      <c r="K14616" s="24"/>
      <c r="L14616" s="24"/>
      <c r="M14616" s="24"/>
      <c r="N14616" s="24"/>
      <c r="O14616" s="24"/>
      <c r="P14616" s="24"/>
      <c r="Q14616" s="24"/>
      <c r="R14616" s="24"/>
      <c r="S14616" s="24"/>
      <c r="T14616" s="24"/>
      <c r="U14616" s="24"/>
      <c r="V14616" s="24"/>
      <c r="W14616" s="24"/>
      <c r="X14616" s="24"/>
      <c r="Y14616" s="24"/>
      <c r="Z14616" s="24"/>
      <c r="AA14616" s="24"/>
    </row>
    <row r="14617">
      <c r="A14617" s="24"/>
      <c r="B14617" s="25"/>
      <c r="C14617" s="24"/>
      <c r="D14617" s="26"/>
      <c r="E14617" s="24"/>
      <c r="F14617" s="24"/>
      <c r="G14617" s="24"/>
      <c r="H14617" s="24"/>
      <c r="I14617" s="24"/>
      <c r="J14617" s="24"/>
      <c r="K14617" s="24"/>
      <c r="L14617" s="24"/>
      <c r="M14617" s="24"/>
      <c r="N14617" s="24"/>
      <c r="O14617" s="24"/>
      <c r="P14617" s="24"/>
      <c r="Q14617" s="24"/>
      <c r="R14617" s="24"/>
      <c r="S14617" s="24"/>
      <c r="T14617" s="24"/>
      <c r="U14617" s="24"/>
      <c r="V14617" s="24"/>
      <c r="W14617" s="24"/>
      <c r="X14617" s="24"/>
      <c r="Y14617" s="24"/>
      <c r="Z14617" s="24"/>
      <c r="AA14617" s="24"/>
    </row>
    <row r="14618">
      <c r="A14618" s="24"/>
      <c r="B14618" s="25"/>
      <c r="C14618" s="24"/>
      <c r="D14618" s="26"/>
      <c r="E14618" s="24"/>
      <c r="F14618" s="24"/>
      <c r="G14618" s="24"/>
      <c r="H14618" s="24"/>
      <c r="I14618" s="24"/>
      <c r="J14618" s="24"/>
      <c r="K14618" s="24"/>
      <c r="L14618" s="24"/>
      <c r="M14618" s="24"/>
      <c r="N14618" s="24"/>
      <c r="O14618" s="24"/>
      <c r="P14618" s="24"/>
      <c r="Q14618" s="24"/>
      <c r="R14618" s="24"/>
      <c r="S14618" s="24"/>
      <c r="T14618" s="24"/>
      <c r="U14618" s="24"/>
      <c r="V14618" s="24"/>
      <c r="W14618" s="24"/>
      <c r="X14618" s="24"/>
      <c r="Y14618" s="24"/>
      <c r="Z14618" s="24"/>
      <c r="AA14618" s="24"/>
    </row>
    <row r="14619">
      <c r="A14619" s="24"/>
      <c r="B14619" s="25"/>
      <c r="C14619" s="24"/>
      <c r="D14619" s="26"/>
      <c r="E14619" s="24"/>
      <c r="F14619" s="24"/>
      <c r="G14619" s="24"/>
      <c r="H14619" s="24"/>
      <c r="I14619" s="24"/>
      <c r="J14619" s="24"/>
      <c r="K14619" s="24"/>
      <c r="L14619" s="24"/>
      <c r="M14619" s="24"/>
      <c r="N14619" s="24"/>
      <c r="O14619" s="24"/>
      <c r="P14619" s="24"/>
      <c r="Q14619" s="24"/>
      <c r="R14619" s="24"/>
      <c r="S14619" s="24"/>
      <c r="T14619" s="24"/>
      <c r="U14619" s="24"/>
      <c r="V14619" s="24"/>
      <c r="W14619" s="24"/>
      <c r="X14619" s="24"/>
      <c r="Y14619" s="24"/>
      <c r="Z14619" s="24"/>
      <c r="AA14619" s="24"/>
    </row>
    <row r="14620">
      <c r="A14620" s="24"/>
      <c r="B14620" s="25"/>
      <c r="C14620" s="24"/>
      <c r="D14620" s="26"/>
      <c r="E14620" s="24"/>
      <c r="F14620" s="24"/>
      <c r="G14620" s="24"/>
      <c r="H14620" s="24"/>
      <c r="I14620" s="24"/>
      <c r="J14620" s="24"/>
      <c r="K14620" s="24"/>
      <c r="L14620" s="24"/>
      <c r="M14620" s="24"/>
      <c r="N14620" s="24"/>
      <c r="O14620" s="24"/>
      <c r="P14620" s="24"/>
      <c r="Q14620" s="24"/>
      <c r="R14620" s="24"/>
      <c r="S14620" s="24"/>
      <c r="T14620" s="24"/>
      <c r="U14620" s="24"/>
      <c r="V14620" s="24"/>
      <c r="W14620" s="24"/>
      <c r="X14620" s="24"/>
      <c r="Y14620" s="24"/>
      <c r="Z14620" s="24"/>
      <c r="AA14620" s="24"/>
    </row>
    <row r="14621">
      <c r="A14621" s="24"/>
      <c r="B14621" s="25"/>
      <c r="C14621" s="24"/>
      <c r="D14621" s="26"/>
      <c r="E14621" s="24"/>
      <c r="F14621" s="24"/>
      <c r="G14621" s="24"/>
      <c r="H14621" s="24"/>
      <c r="I14621" s="24"/>
      <c r="J14621" s="24"/>
      <c r="K14621" s="24"/>
      <c r="L14621" s="24"/>
      <c r="M14621" s="24"/>
      <c r="N14621" s="24"/>
      <c r="O14621" s="24"/>
      <c r="P14621" s="24"/>
      <c r="Q14621" s="24"/>
      <c r="R14621" s="24"/>
      <c r="S14621" s="24"/>
      <c r="T14621" s="24"/>
      <c r="U14621" s="24"/>
      <c r="V14621" s="24"/>
      <c r="W14621" s="24"/>
      <c r="X14621" s="24"/>
      <c r="Y14621" s="24"/>
      <c r="Z14621" s="24"/>
      <c r="AA14621" s="24"/>
    </row>
    <row r="14622">
      <c r="A14622" s="24"/>
      <c r="B14622" s="25"/>
      <c r="C14622" s="24"/>
      <c r="D14622" s="26"/>
      <c r="E14622" s="24"/>
      <c r="F14622" s="24"/>
      <c r="G14622" s="24"/>
      <c r="H14622" s="24"/>
      <c r="I14622" s="24"/>
      <c r="J14622" s="24"/>
      <c r="K14622" s="24"/>
      <c r="L14622" s="24"/>
      <c r="M14622" s="24"/>
      <c r="N14622" s="24"/>
      <c r="O14622" s="24"/>
      <c r="P14622" s="24"/>
      <c r="Q14622" s="24"/>
      <c r="R14622" s="24"/>
      <c r="S14622" s="24"/>
      <c r="T14622" s="24"/>
      <c r="U14622" s="24"/>
      <c r="V14622" s="24"/>
      <c r="W14622" s="24"/>
      <c r="X14622" s="24"/>
      <c r="Y14622" s="24"/>
      <c r="Z14622" s="24"/>
      <c r="AA14622" s="24"/>
    </row>
    <row r="14623">
      <c r="A14623" s="24"/>
      <c r="B14623" s="25"/>
      <c r="C14623" s="24"/>
      <c r="D14623" s="26"/>
      <c r="E14623" s="24"/>
      <c r="F14623" s="24"/>
      <c r="G14623" s="24"/>
      <c r="H14623" s="24"/>
      <c r="I14623" s="24"/>
      <c r="J14623" s="24"/>
      <c r="K14623" s="24"/>
      <c r="L14623" s="24"/>
      <c r="M14623" s="24"/>
      <c r="N14623" s="24"/>
      <c r="O14623" s="24"/>
      <c r="P14623" s="24"/>
      <c r="Q14623" s="24"/>
      <c r="R14623" s="24"/>
      <c r="S14623" s="24"/>
      <c r="T14623" s="24"/>
      <c r="U14623" s="24"/>
      <c r="V14623" s="24"/>
      <c r="W14623" s="24"/>
      <c r="X14623" s="24"/>
      <c r="Y14623" s="24"/>
      <c r="Z14623" s="24"/>
      <c r="AA14623" s="24"/>
    </row>
    <row r="14624">
      <c r="A14624" s="24"/>
      <c r="B14624" s="25"/>
      <c r="C14624" s="24"/>
      <c r="D14624" s="26"/>
      <c r="E14624" s="24"/>
      <c r="F14624" s="24"/>
      <c r="G14624" s="24"/>
      <c r="H14624" s="24"/>
      <c r="I14624" s="24"/>
      <c r="J14624" s="24"/>
      <c r="K14624" s="24"/>
      <c r="L14624" s="24"/>
      <c r="M14624" s="24"/>
      <c r="N14624" s="24"/>
      <c r="O14624" s="24"/>
      <c r="P14624" s="24"/>
      <c r="Q14624" s="24"/>
      <c r="R14624" s="24"/>
      <c r="S14624" s="24"/>
      <c r="T14624" s="24"/>
      <c r="U14624" s="24"/>
      <c r="V14624" s="24"/>
      <c r="W14624" s="24"/>
      <c r="X14624" s="24"/>
      <c r="Y14624" s="24"/>
      <c r="Z14624" s="24"/>
      <c r="AA14624" s="24"/>
    </row>
    <row r="14625">
      <c r="A14625" s="24"/>
      <c r="B14625" s="25"/>
      <c r="C14625" s="24"/>
      <c r="D14625" s="26"/>
      <c r="E14625" s="24"/>
      <c r="F14625" s="24"/>
      <c r="G14625" s="24"/>
      <c r="H14625" s="24"/>
      <c r="I14625" s="24"/>
      <c r="J14625" s="24"/>
      <c r="K14625" s="24"/>
      <c r="L14625" s="24"/>
      <c r="M14625" s="24"/>
      <c r="N14625" s="24"/>
      <c r="O14625" s="24"/>
      <c r="P14625" s="24"/>
      <c r="Q14625" s="24"/>
      <c r="R14625" s="24"/>
      <c r="S14625" s="24"/>
      <c r="T14625" s="24"/>
      <c r="U14625" s="24"/>
      <c r="V14625" s="24"/>
      <c r="W14625" s="24"/>
      <c r="X14625" s="24"/>
      <c r="Y14625" s="24"/>
      <c r="Z14625" s="24"/>
      <c r="AA14625" s="24"/>
    </row>
    <row r="14626">
      <c r="A14626" s="24"/>
      <c r="B14626" s="25"/>
      <c r="C14626" s="24"/>
      <c r="D14626" s="26"/>
      <c r="E14626" s="24"/>
      <c r="F14626" s="24"/>
      <c r="G14626" s="24"/>
      <c r="H14626" s="24"/>
      <c r="I14626" s="24"/>
      <c r="J14626" s="24"/>
      <c r="K14626" s="24"/>
      <c r="L14626" s="24"/>
      <c r="M14626" s="24"/>
      <c r="N14626" s="24"/>
      <c r="O14626" s="24"/>
      <c r="P14626" s="24"/>
      <c r="Q14626" s="24"/>
      <c r="R14626" s="24"/>
      <c r="S14626" s="24"/>
      <c r="T14626" s="24"/>
      <c r="U14626" s="24"/>
      <c r="V14626" s="24"/>
      <c r="W14626" s="24"/>
      <c r="X14626" s="24"/>
      <c r="Y14626" s="24"/>
      <c r="Z14626" s="24"/>
      <c r="AA14626" s="24"/>
    </row>
    <row r="14627">
      <c r="A14627" s="24"/>
      <c r="B14627" s="25"/>
      <c r="C14627" s="24"/>
      <c r="D14627" s="26"/>
      <c r="E14627" s="24"/>
      <c r="F14627" s="24"/>
      <c r="G14627" s="24"/>
      <c r="H14627" s="24"/>
      <c r="I14627" s="24"/>
      <c r="J14627" s="24"/>
      <c r="K14627" s="24"/>
      <c r="L14627" s="24"/>
      <c r="M14627" s="24"/>
      <c r="N14627" s="24"/>
      <c r="O14627" s="24"/>
      <c r="P14627" s="24"/>
      <c r="Q14627" s="24"/>
      <c r="R14627" s="24"/>
      <c r="S14627" s="24"/>
      <c r="T14627" s="24"/>
      <c r="U14627" s="24"/>
      <c r="V14627" s="24"/>
      <c r="W14627" s="24"/>
      <c r="X14627" s="24"/>
      <c r="Y14627" s="24"/>
      <c r="Z14627" s="24"/>
      <c r="AA14627" s="24"/>
    </row>
    <row r="14628">
      <c r="A14628" s="24"/>
      <c r="B14628" s="25"/>
      <c r="C14628" s="24"/>
      <c r="D14628" s="26"/>
      <c r="E14628" s="24"/>
      <c r="F14628" s="24"/>
      <c r="G14628" s="24"/>
      <c r="H14628" s="24"/>
      <c r="I14628" s="24"/>
      <c r="J14628" s="24"/>
      <c r="K14628" s="24"/>
      <c r="L14628" s="24"/>
      <c r="M14628" s="24"/>
      <c r="N14628" s="24"/>
      <c r="O14628" s="24"/>
      <c r="P14628" s="24"/>
      <c r="Q14628" s="24"/>
      <c r="R14628" s="24"/>
      <c r="S14628" s="24"/>
      <c r="T14628" s="24"/>
      <c r="U14628" s="24"/>
      <c r="V14628" s="24"/>
      <c r="W14628" s="24"/>
      <c r="X14628" s="24"/>
      <c r="Y14628" s="24"/>
      <c r="Z14628" s="24"/>
      <c r="AA14628" s="24"/>
    </row>
    <row r="14629">
      <c r="A14629" s="24"/>
      <c r="B14629" s="25"/>
      <c r="C14629" s="24"/>
      <c r="D14629" s="26"/>
      <c r="E14629" s="24"/>
      <c r="F14629" s="24"/>
      <c r="G14629" s="24"/>
      <c r="H14629" s="24"/>
      <c r="I14629" s="24"/>
      <c r="J14629" s="24"/>
      <c r="K14629" s="24"/>
      <c r="L14629" s="24"/>
      <c r="M14629" s="24"/>
      <c r="N14629" s="24"/>
      <c r="O14629" s="24"/>
      <c r="P14629" s="24"/>
      <c r="Q14629" s="24"/>
      <c r="R14629" s="24"/>
      <c r="S14629" s="24"/>
      <c r="T14629" s="24"/>
      <c r="U14629" s="24"/>
      <c r="V14629" s="24"/>
      <c r="W14629" s="24"/>
      <c r="X14629" s="24"/>
      <c r="Y14629" s="24"/>
      <c r="Z14629" s="24"/>
      <c r="AA14629" s="24"/>
    </row>
    <row r="14630">
      <c r="A14630" s="24"/>
      <c r="B14630" s="25"/>
      <c r="C14630" s="24"/>
      <c r="D14630" s="26"/>
      <c r="E14630" s="24"/>
      <c r="F14630" s="24"/>
      <c r="G14630" s="24"/>
      <c r="H14630" s="24"/>
      <c r="I14630" s="24"/>
      <c r="J14630" s="24"/>
      <c r="K14630" s="24"/>
      <c r="L14630" s="24"/>
      <c r="M14630" s="24"/>
      <c r="N14630" s="24"/>
      <c r="O14630" s="24"/>
      <c r="P14630" s="24"/>
      <c r="Q14630" s="24"/>
      <c r="R14630" s="24"/>
      <c r="S14630" s="24"/>
      <c r="T14630" s="24"/>
      <c r="U14630" s="24"/>
      <c r="V14630" s="24"/>
      <c r="W14630" s="24"/>
      <c r="X14630" s="24"/>
      <c r="Y14630" s="24"/>
      <c r="Z14630" s="24"/>
      <c r="AA14630" s="24"/>
    </row>
    <row r="14631">
      <c r="A14631" s="24"/>
      <c r="B14631" s="25"/>
      <c r="C14631" s="24"/>
      <c r="D14631" s="26"/>
      <c r="E14631" s="24"/>
      <c r="F14631" s="24"/>
      <c r="G14631" s="24"/>
      <c r="H14631" s="24"/>
      <c r="I14631" s="24"/>
      <c r="J14631" s="24"/>
      <c r="K14631" s="24"/>
      <c r="L14631" s="24"/>
      <c r="M14631" s="24"/>
      <c r="N14631" s="24"/>
      <c r="O14631" s="24"/>
      <c r="P14631" s="24"/>
      <c r="Q14631" s="24"/>
      <c r="R14631" s="24"/>
      <c r="S14631" s="24"/>
      <c r="T14631" s="24"/>
      <c r="U14631" s="24"/>
      <c r="V14631" s="24"/>
      <c r="W14631" s="24"/>
      <c r="X14631" s="24"/>
      <c r="Y14631" s="24"/>
      <c r="Z14631" s="24"/>
      <c r="AA14631" s="24"/>
    </row>
    <row r="14632">
      <c r="A14632" s="24"/>
      <c r="B14632" s="25"/>
      <c r="C14632" s="24"/>
      <c r="D14632" s="26"/>
      <c r="E14632" s="24"/>
      <c r="F14632" s="24"/>
      <c r="G14632" s="24"/>
      <c r="H14632" s="24"/>
      <c r="I14632" s="24"/>
      <c r="J14632" s="24"/>
      <c r="K14632" s="24"/>
      <c r="L14632" s="24"/>
      <c r="M14632" s="24"/>
      <c r="N14632" s="24"/>
      <c r="O14632" s="24"/>
      <c r="P14632" s="24"/>
      <c r="Q14632" s="24"/>
      <c r="R14632" s="24"/>
      <c r="S14632" s="24"/>
      <c r="T14632" s="24"/>
      <c r="U14632" s="24"/>
      <c r="V14632" s="24"/>
      <c r="W14632" s="24"/>
      <c r="X14632" s="24"/>
      <c r="Y14632" s="24"/>
      <c r="Z14632" s="24"/>
      <c r="AA14632" s="24"/>
    </row>
    <row r="14633">
      <c r="A14633" s="24"/>
      <c r="B14633" s="25"/>
      <c r="C14633" s="24"/>
      <c r="D14633" s="26"/>
      <c r="E14633" s="24"/>
      <c r="F14633" s="24"/>
      <c r="G14633" s="24"/>
      <c r="H14633" s="24"/>
      <c r="I14633" s="24"/>
      <c r="J14633" s="24"/>
      <c r="K14633" s="24"/>
      <c r="L14633" s="24"/>
      <c r="M14633" s="24"/>
      <c r="N14633" s="24"/>
      <c r="O14633" s="24"/>
      <c r="P14633" s="24"/>
      <c r="Q14633" s="24"/>
      <c r="R14633" s="24"/>
      <c r="S14633" s="24"/>
      <c r="T14633" s="24"/>
      <c r="U14633" s="24"/>
      <c r="V14633" s="24"/>
      <c r="W14633" s="24"/>
      <c r="X14633" s="24"/>
      <c r="Y14633" s="24"/>
      <c r="Z14633" s="24"/>
      <c r="AA14633" s="24"/>
    </row>
    <row r="14634">
      <c r="A14634" s="24"/>
      <c r="B14634" s="25"/>
      <c r="C14634" s="24"/>
      <c r="D14634" s="26"/>
      <c r="E14634" s="24"/>
      <c r="F14634" s="24"/>
      <c r="G14634" s="24"/>
      <c r="H14634" s="24"/>
      <c r="I14634" s="24"/>
      <c r="J14634" s="24"/>
      <c r="K14634" s="24"/>
      <c r="L14634" s="24"/>
      <c r="M14634" s="24"/>
      <c r="N14634" s="24"/>
      <c r="O14634" s="24"/>
      <c r="P14634" s="24"/>
      <c r="Q14634" s="24"/>
      <c r="R14634" s="24"/>
      <c r="S14634" s="24"/>
      <c r="T14634" s="24"/>
      <c r="U14634" s="24"/>
      <c r="V14634" s="24"/>
      <c r="W14634" s="24"/>
      <c r="X14634" s="24"/>
      <c r="Y14634" s="24"/>
      <c r="Z14634" s="24"/>
      <c r="AA14634" s="24"/>
    </row>
    <row r="14635">
      <c r="A14635" s="24"/>
      <c r="B14635" s="25"/>
      <c r="C14635" s="24"/>
      <c r="D14635" s="26"/>
      <c r="E14635" s="24"/>
      <c r="F14635" s="24"/>
      <c r="G14635" s="24"/>
      <c r="H14635" s="24"/>
      <c r="I14635" s="24"/>
      <c r="J14635" s="24"/>
      <c r="K14635" s="24"/>
      <c r="L14635" s="24"/>
      <c r="M14635" s="24"/>
      <c r="N14635" s="24"/>
      <c r="O14635" s="24"/>
      <c r="P14635" s="24"/>
      <c r="Q14635" s="24"/>
      <c r="R14635" s="24"/>
      <c r="S14635" s="24"/>
      <c r="T14635" s="24"/>
      <c r="U14635" s="24"/>
      <c r="V14635" s="24"/>
      <c r="W14635" s="24"/>
      <c r="X14635" s="24"/>
      <c r="Y14635" s="24"/>
      <c r="Z14635" s="24"/>
      <c r="AA14635" s="24"/>
    </row>
    <row r="14636">
      <c r="A14636" s="24"/>
      <c r="B14636" s="25"/>
      <c r="C14636" s="24"/>
      <c r="D14636" s="26"/>
      <c r="E14636" s="24"/>
      <c r="F14636" s="24"/>
      <c r="G14636" s="24"/>
      <c r="H14636" s="24"/>
      <c r="I14636" s="24"/>
      <c r="J14636" s="24"/>
      <c r="K14636" s="24"/>
      <c r="L14636" s="24"/>
      <c r="M14636" s="24"/>
      <c r="N14636" s="24"/>
      <c r="O14636" s="24"/>
      <c r="P14636" s="24"/>
      <c r="Q14636" s="24"/>
      <c r="R14636" s="24"/>
      <c r="S14636" s="24"/>
      <c r="T14636" s="24"/>
      <c r="U14636" s="24"/>
      <c r="V14636" s="24"/>
      <c r="W14636" s="24"/>
      <c r="X14636" s="24"/>
      <c r="Y14636" s="24"/>
      <c r="Z14636" s="24"/>
      <c r="AA14636" s="24"/>
    </row>
    <row r="14637">
      <c r="A14637" s="24"/>
      <c r="B14637" s="25"/>
      <c r="C14637" s="24"/>
      <c r="D14637" s="26"/>
      <c r="E14637" s="24"/>
      <c r="F14637" s="24"/>
      <c r="G14637" s="24"/>
      <c r="H14637" s="24"/>
      <c r="I14637" s="24"/>
      <c r="J14637" s="24"/>
      <c r="K14637" s="24"/>
      <c r="L14637" s="24"/>
      <c r="M14637" s="24"/>
      <c r="N14637" s="24"/>
      <c r="O14637" s="24"/>
      <c r="P14637" s="24"/>
      <c r="Q14637" s="24"/>
      <c r="R14637" s="24"/>
      <c r="S14637" s="24"/>
      <c r="T14637" s="24"/>
      <c r="U14637" s="24"/>
      <c r="V14637" s="24"/>
      <c r="W14637" s="24"/>
      <c r="X14637" s="24"/>
      <c r="Y14637" s="24"/>
      <c r="Z14637" s="24"/>
      <c r="AA14637" s="24"/>
    </row>
    <row r="14638">
      <c r="A14638" s="24"/>
      <c r="B14638" s="25"/>
      <c r="C14638" s="24"/>
      <c r="D14638" s="26"/>
      <c r="E14638" s="24"/>
      <c r="F14638" s="24"/>
      <c r="G14638" s="24"/>
      <c r="H14638" s="24"/>
      <c r="I14638" s="24"/>
      <c r="J14638" s="24"/>
      <c r="K14638" s="24"/>
      <c r="L14638" s="24"/>
      <c r="M14638" s="24"/>
      <c r="N14638" s="24"/>
      <c r="O14638" s="24"/>
      <c r="P14638" s="24"/>
      <c r="Q14638" s="24"/>
      <c r="R14638" s="24"/>
      <c r="S14638" s="24"/>
      <c r="T14638" s="24"/>
      <c r="U14638" s="24"/>
      <c r="V14638" s="24"/>
      <c r="W14638" s="24"/>
      <c r="X14638" s="24"/>
      <c r="Y14638" s="24"/>
      <c r="Z14638" s="24"/>
      <c r="AA14638" s="24"/>
    </row>
    <row r="14639">
      <c r="A14639" s="24"/>
      <c r="B14639" s="25"/>
      <c r="C14639" s="24"/>
      <c r="D14639" s="26"/>
      <c r="E14639" s="24"/>
      <c r="F14639" s="24"/>
      <c r="G14639" s="24"/>
      <c r="H14639" s="24"/>
      <c r="I14639" s="24"/>
      <c r="J14639" s="24"/>
      <c r="K14639" s="24"/>
      <c r="L14639" s="24"/>
      <c r="M14639" s="24"/>
      <c r="N14639" s="24"/>
      <c r="O14639" s="24"/>
      <c r="P14639" s="24"/>
      <c r="Q14639" s="24"/>
      <c r="R14639" s="24"/>
      <c r="S14639" s="24"/>
      <c r="T14639" s="24"/>
      <c r="U14639" s="24"/>
      <c r="V14639" s="24"/>
      <c r="W14639" s="24"/>
      <c r="X14639" s="24"/>
      <c r="Y14639" s="24"/>
      <c r="Z14639" s="24"/>
      <c r="AA14639" s="24"/>
    </row>
    <row r="14640">
      <c r="A14640" s="24"/>
      <c r="B14640" s="25"/>
      <c r="C14640" s="24"/>
      <c r="D14640" s="26"/>
      <c r="E14640" s="24"/>
      <c r="F14640" s="24"/>
      <c r="G14640" s="24"/>
      <c r="H14640" s="24"/>
      <c r="I14640" s="24"/>
      <c r="J14640" s="24"/>
      <c r="K14640" s="24"/>
      <c r="L14640" s="24"/>
      <c r="M14640" s="24"/>
      <c r="N14640" s="24"/>
      <c r="O14640" s="24"/>
      <c r="P14640" s="24"/>
      <c r="Q14640" s="24"/>
      <c r="R14640" s="24"/>
      <c r="S14640" s="24"/>
      <c r="T14640" s="24"/>
      <c r="U14640" s="24"/>
      <c r="V14640" s="24"/>
      <c r="W14640" s="24"/>
      <c r="X14640" s="24"/>
      <c r="Y14640" s="24"/>
      <c r="Z14640" s="24"/>
      <c r="AA14640" s="24"/>
    </row>
    <row r="14641">
      <c r="A14641" s="24"/>
      <c r="B14641" s="25"/>
      <c r="C14641" s="24"/>
      <c r="D14641" s="26"/>
      <c r="E14641" s="24"/>
      <c r="F14641" s="24"/>
      <c r="G14641" s="24"/>
      <c r="H14641" s="24"/>
      <c r="I14641" s="24"/>
      <c r="J14641" s="24"/>
      <c r="K14641" s="24"/>
      <c r="L14641" s="24"/>
      <c r="M14641" s="24"/>
      <c r="N14641" s="24"/>
      <c r="O14641" s="24"/>
      <c r="P14641" s="24"/>
      <c r="Q14641" s="24"/>
      <c r="R14641" s="24"/>
      <c r="S14641" s="24"/>
      <c r="T14641" s="24"/>
      <c r="U14641" s="24"/>
      <c r="V14641" s="24"/>
      <c r="W14641" s="24"/>
      <c r="X14641" s="24"/>
      <c r="Y14641" s="24"/>
      <c r="Z14641" s="24"/>
      <c r="AA14641" s="24"/>
    </row>
    <row r="14642">
      <c r="A14642" s="24"/>
      <c r="B14642" s="25"/>
      <c r="C14642" s="24"/>
      <c r="D14642" s="26"/>
      <c r="E14642" s="24"/>
      <c r="F14642" s="24"/>
      <c r="G14642" s="24"/>
      <c r="H14642" s="24"/>
      <c r="I14642" s="24"/>
      <c r="J14642" s="24"/>
      <c r="K14642" s="24"/>
      <c r="L14642" s="24"/>
      <c r="M14642" s="24"/>
      <c r="N14642" s="24"/>
      <c r="O14642" s="24"/>
      <c r="P14642" s="24"/>
      <c r="Q14642" s="24"/>
      <c r="R14642" s="24"/>
      <c r="S14642" s="24"/>
      <c r="T14642" s="24"/>
      <c r="U14642" s="24"/>
      <c r="V14642" s="24"/>
      <c r="W14642" s="24"/>
      <c r="X14642" s="24"/>
      <c r="Y14642" s="24"/>
      <c r="Z14642" s="24"/>
      <c r="AA14642" s="24"/>
    </row>
    <row r="14643">
      <c r="A14643" s="24"/>
      <c r="B14643" s="25"/>
      <c r="C14643" s="24"/>
      <c r="D14643" s="26"/>
      <c r="E14643" s="24"/>
      <c r="F14643" s="24"/>
      <c r="G14643" s="24"/>
      <c r="H14643" s="24"/>
      <c r="I14643" s="24"/>
      <c r="J14643" s="24"/>
      <c r="K14643" s="24"/>
      <c r="L14643" s="24"/>
      <c r="M14643" s="24"/>
      <c r="N14643" s="24"/>
      <c r="O14643" s="24"/>
      <c r="P14643" s="24"/>
      <c r="Q14643" s="24"/>
      <c r="R14643" s="24"/>
      <c r="S14643" s="24"/>
      <c r="T14643" s="24"/>
      <c r="U14643" s="24"/>
      <c r="V14643" s="24"/>
      <c r="W14643" s="24"/>
      <c r="X14643" s="24"/>
      <c r="Y14643" s="24"/>
      <c r="Z14643" s="24"/>
      <c r="AA14643" s="24"/>
    </row>
    <row r="14644">
      <c r="A14644" s="24"/>
      <c r="B14644" s="25"/>
      <c r="C14644" s="24"/>
      <c r="D14644" s="26"/>
      <c r="E14644" s="24"/>
      <c r="F14644" s="24"/>
      <c r="G14644" s="24"/>
      <c r="H14644" s="24"/>
      <c r="I14644" s="24"/>
      <c r="J14644" s="24"/>
      <c r="K14644" s="24"/>
      <c r="L14644" s="24"/>
      <c r="M14644" s="24"/>
      <c r="N14644" s="24"/>
      <c r="O14644" s="24"/>
      <c r="P14644" s="24"/>
      <c r="Q14644" s="24"/>
      <c r="R14644" s="24"/>
      <c r="S14644" s="24"/>
      <c r="T14644" s="24"/>
      <c r="U14644" s="24"/>
      <c r="V14644" s="24"/>
      <c r="W14644" s="24"/>
      <c r="X14644" s="24"/>
      <c r="Y14644" s="24"/>
      <c r="Z14644" s="24"/>
      <c r="AA14644" s="24"/>
    </row>
    <row r="14645">
      <c r="A14645" s="24"/>
      <c r="B14645" s="25"/>
      <c r="C14645" s="24"/>
      <c r="D14645" s="26"/>
      <c r="E14645" s="24"/>
      <c r="F14645" s="24"/>
      <c r="G14645" s="24"/>
      <c r="H14645" s="24"/>
      <c r="I14645" s="24"/>
      <c r="J14645" s="24"/>
      <c r="K14645" s="24"/>
      <c r="L14645" s="24"/>
      <c r="M14645" s="24"/>
      <c r="N14645" s="24"/>
      <c r="O14645" s="24"/>
      <c r="P14645" s="24"/>
      <c r="Q14645" s="24"/>
      <c r="R14645" s="24"/>
      <c r="S14645" s="24"/>
      <c r="T14645" s="24"/>
      <c r="U14645" s="24"/>
      <c r="V14645" s="24"/>
      <c r="W14645" s="24"/>
      <c r="X14645" s="24"/>
      <c r="Y14645" s="24"/>
      <c r="Z14645" s="24"/>
      <c r="AA14645" s="24"/>
    </row>
    <row r="14646">
      <c r="A14646" s="24"/>
      <c r="B14646" s="25"/>
      <c r="C14646" s="24"/>
      <c r="D14646" s="26"/>
      <c r="E14646" s="24"/>
      <c r="F14646" s="24"/>
      <c r="G14646" s="24"/>
      <c r="H14646" s="24"/>
      <c r="I14646" s="24"/>
      <c r="J14646" s="24"/>
      <c r="K14646" s="24"/>
      <c r="L14646" s="24"/>
      <c r="M14646" s="24"/>
      <c r="N14646" s="24"/>
      <c r="O14646" s="24"/>
      <c r="P14646" s="24"/>
      <c r="Q14646" s="24"/>
      <c r="R14646" s="24"/>
      <c r="S14646" s="24"/>
      <c r="T14646" s="24"/>
      <c r="U14646" s="24"/>
      <c r="V14646" s="24"/>
      <c r="W14646" s="24"/>
      <c r="X14646" s="24"/>
      <c r="Y14646" s="24"/>
      <c r="Z14646" s="24"/>
      <c r="AA14646" s="24"/>
    </row>
    <row r="14647">
      <c r="A14647" s="24"/>
      <c r="B14647" s="25"/>
      <c r="C14647" s="24"/>
      <c r="D14647" s="26"/>
      <c r="E14647" s="24"/>
      <c r="F14647" s="24"/>
      <c r="G14647" s="24"/>
      <c r="H14647" s="24"/>
      <c r="I14647" s="24"/>
      <c r="J14647" s="24"/>
      <c r="K14647" s="24"/>
      <c r="L14647" s="24"/>
      <c r="M14647" s="24"/>
      <c r="N14647" s="24"/>
      <c r="O14647" s="24"/>
      <c r="P14647" s="24"/>
      <c r="Q14647" s="24"/>
      <c r="R14647" s="24"/>
      <c r="S14647" s="24"/>
      <c r="T14647" s="24"/>
      <c r="U14647" s="24"/>
      <c r="V14647" s="24"/>
      <c r="W14647" s="24"/>
      <c r="X14647" s="24"/>
      <c r="Y14647" s="24"/>
      <c r="Z14647" s="24"/>
      <c r="AA14647" s="24"/>
    </row>
    <row r="14648">
      <c r="A14648" s="24"/>
      <c r="B14648" s="25"/>
      <c r="C14648" s="24"/>
      <c r="D14648" s="26"/>
      <c r="E14648" s="24"/>
      <c r="F14648" s="24"/>
      <c r="G14648" s="24"/>
      <c r="H14648" s="24"/>
      <c r="I14648" s="24"/>
      <c r="J14648" s="24"/>
      <c r="K14648" s="24"/>
      <c r="L14648" s="24"/>
      <c r="M14648" s="24"/>
      <c r="N14648" s="24"/>
      <c r="O14648" s="24"/>
      <c r="P14648" s="24"/>
      <c r="Q14648" s="24"/>
      <c r="R14648" s="24"/>
      <c r="S14648" s="24"/>
      <c r="T14648" s="24"/>
      <c r="U14648" s="24"/>
      <c r="V14648" s="24"/>
      <c r="W14648" s="24"/>
      <c r="X14648" s="24"/>
      <c r="Y14648" s="24"/>
      <c r="Z14648" s="24"/>
      <c r="AA14648" s="24"/>
    </row>
    <row r="14649">
      <c r="A14649" s="24"/>
      <c r="B14649" s="25"/>
      <c r="C14649" s="24"/>
      <c r="D14649" s="26"/>
      <c r="E14649" s="24"/>
      <c r="F14649" s="24"/>
      <c r="G14649" s="24"/>
      <c r="H14649" s="24"/>
      <c r="I14649" s="24"/>
      <c r="J14649" s="24"/>
      <c r="K14649" s="24"/>
      <c r="L14649" s="24"/>
      <c r="M14649" s="24"/>
      <c r="N14649" s="24"/>
      <c r="O14649" s="24"/>
      <c r="P14649" s="24"/>
      <c r="Q14649" s="24"/>
      <c r="R14649" s="24"/>
      <c r="S14649" s="24"/>
      <c r="T14649" s="24"/>
      <c r="U14649" s="24"/>
      <c r="V14649" s="24"/>
      <c r="W14649" s="24"/>
      <c r="X14649" s="24"/>
      <c r="Y14649" s="24"/>
      <c r="Z14649" s="24"/>
      <c r="AA14649" s="24"/>
    </row>
    <row r="14650">
      <c r="A14650" s="24"/>
      <c r="B14650" s="25"/>
      <c r="C14650" s="24"/>
      <c r="D14650" s="26"/>
      <c r="E14650" s="24"/>
      <c r="F14650" s="24"/>
      <c r="G14650" s="24"/>
      <c r="H14650" s="24"/>
      <c r="I14650" s="24"/>
      <c r="J14650" s="24"/>
      <c r="K14650" s="24"/>
      <c r="L14650" s="24"/>
      <c r="M14650" s="24"/>
      <c r="N14650" s="24"/>
      <c r="O14650" s="24"/>
      <c r="P14650" s="24"/>
      <c r="Q14650" s="24"/>
      <c r="R14650" s="24"/>
      <c r="S14650" s="24"/>
      <c r="T14650" s="24"/>
      <c r="U14650" s="24"/>
      <c r="V14650" s="24"/>
      <c r="W14650" s="24"/>
      <c r="X14650" s="24"/>
      <c r="Y14650" s="24"/>
      <c r="Z14650" s="24"/>
      <c r="AA14650" s="24"/>
    </row>
    <row r="14651">
      <c r="A14651" s="24"/>
      <c r="B14651" s="25"/>
      <c r="C14651" s="24"/>
      <c r="D14651" s="26"/>
      <c r="E14651" s="24"/>
      <c r="F14651" s="24"/>
      <c r="G14651" s="24"/>
      <c r="H14651" s="24"/>
      <c r="I14651" s="24"/>
      <c r="J14651" s="24"/>
      <c r="K14651" s="24"/>
      <c r="L14651" s="24"/>
      <c r="M14651" s="24"/>
      <c r="N14651" s="24"/>
      <c r="O14651" s="24"/>
      <c r="P14651" s="24"/>
      <c r="Q14651" s="24"/>
      <c r="R14651" s="24"/>
      <c r="S14651" s="24"/>
      <c r="T14651" s="24"/>
      <c r="U14651" s="24"/>
      <c r="V14651" s="24"/>
      <c r="W14651" s="24"/>
      <c r="X14651" s="24"/>
      <c r="Y14651" s="24"/>
      <c r="Z14651" s="24"/>
      <c r="AA14651" s="24"/>
    </row>
    <row r="14652">
      <c r="A14652" s="24"/>
      <c r="B14652" s="25"/>
      <c r="C14652" s="24"/>
      <c r="D14652" s="26"/>
      <c r="E14652" s="24"/>
      <c r="F14652" s="24"/>
      <c r="G14652" s="24"/>
      <c r="H14652" s="24"/>
      <c r="I14652" s="24"/>
      <c r="J14652" s="24"/>
      <c r="K14652" s="24"/>
      <c r="L14652" s="24"/>
      <c r="M14652" s="24"/>
      <c r="N14652" s="24"/>
      <c r="O14652" s="24"/>
      <c r="P14652" s="24"/>
      <c r="Q14652" s="24"/>
      <c r="R14652" s="24"/>
      <c r="S14652" s="24"/>
      <c r="T14652" s="24"/>
      <c r="U14652" s="24"/>
      <c r="V14652" s="24"/>
      <c r="W14652" s="24"/>
      <c r="X14652" s="24"/>
      <c r="Y14652" s="24"/>
      <c r="Z14652" s="24"/>
      <c r="AA14652" s="24"/>
    </row>
    <row r="14653">
      <c r="A14653" s="24"/>
      <c r="B14653" s="25"/>
      <c r="C14653" s="24"/>
      <c r="D14653" s="26"/>
      <c r="E14653" s="24"/>
      <c r="F14653" s="24"/>
      <c r="G14653" s="24"/>
      <c r="H14653" s="24"/>
      <c r="I14653" s="24"/>
      <c r="J14653" s="24"/>
      <c r="K14653" s="24"/>
      <c r="L14653" s="24"/>
      <c r="M14653" s="24"/>
      <c r="N14653" s="24"/>
      <c r="O14653" s="24"/>
      <c r="P14653" s="24"/>
      <c r="Q14653" s="24"/>
      <c r="R14653" s="24"/>
      <c r="S14653" s="24"/>
      <c r="T14653" s="24"/>
      <c r="U14653" s="24"/>
      <c r="V14653" s="24"/>
      <c r="W14653" s="24"/>
      <c r="X14653" s="24"/>
      <c r="Y14653" s="24"/>
      <c r="Z14653" s="24"/>
      <c r="AA14653" s="24"/>
    </row>
    <row r="14654">
      <c r="A14654" s="24"/>
      <c r="B14654" s="25"/>
      <c r="C14654" s="24"/>
      <c r="D14654" s="26"/>
      <c r="E14654" s="24"/>
      <c r="F14654" s="24"/>
      <c r="G14654" s="24"/>
      <c r="H14654" s="24"/>
      <c r="I14654" s="24"/>
      <c r="J14654" s="24"/>
      <c r="K14654" s="24"/>
      <c r="L14654" s="24"/>
      <c r="M14654" s="24"/>
      <c r="N14654" s="24"/>
      <c r="O14654" s="24"/>
      <c r="P14654" s="24"/>
      <c r="Q14654" s="24"/>
      <c r="R14654" s="24"/>
      <c r="S14654" s="24"/>
      <c r="T14654" s="24"/>
      <c r="U14654" s="24"/>
      <c r="V14654" s="24"/>
      <c r="W14654" s="24"/>
      <c r="X14654" s="24"/>
      <c r="Y14654" s="24"/>
      <c r="Z14654" s="24"/>
      <c r="AA14654" s="24"/>
    </row>
    <row r="14655">
      <c r="A14655" s="24"/>
      <c r="B14655" s="25"/>
      <c r="C14655" s="24"/>
      <c r="D14655" s="26"/>
      <c r="E14655" s="24"/>
      <c r="F14655" s="24"/>
      <c r="G14655" s="24"/>
      <c r="H14655" s="24"/>
      <c r="I14655" s="24"/>
      <c r="J14655" s="24"/>
      <c r="K14655" s="24"/>
      <c r="L14655" s="24"/>
      <c r="M14655" s="24"/>
      <c r="N14655" s="24"/>
      <c r="O14655" s="24"/>
      <c r="P14655" s="24"/>
      <c r="Q14655" s="24"/>
      <c r="R14655" s="24"/>
      <c r="S14655" s="24"/>
      <c r="T14655" s="24"/>
      <c r="U14655" s="24"/>
      <c r="V14655" s="24"/>
      <c r="W14655" s="24"/>
      <c r="X14655" s="24"/>
      <c r="Y14655" s="24"/>
      <c r="Z14655" s="24"/>
      <c r="AA14655" s="24"/>
    </row>
    <row r="14656">
      <c r="A14656" s="24"/>
      <c r="B14656" s="25"/>
      <c r="C14656" s="24"/>
      <c r="D14656" s="26"/>
      <c r="E14656" s="24"/>
      <c r="F14656" s="24"/>
      <c r="G14656" s="24"/>
      <c r="H14656" s="24"/>
      <c r="I14656" s="24"/>
      <c r="J14656" s="24"/>
      <c r="K14656" s="24"/>
      <c r="L14656" s="24"/>
      <c r="M14656" s="24"/>
      <c r="N14656" s="24"/>
      <c r="O14656" s="24"/>
      <c r="P14656" s="24"/>
      <c r="Q14656" s="24"/>
      <c r="R14656" s="24"/>
      <c r="S14656" s="24"/>
      <c r="T14656" s="24"/>
      <c r="U14656" s="24"/>
      <c r="V14656" s="24"/>
      <c r="W14656" s="24"/>
      <c r="X14656" s="24"/>
      <c r="Y14656" s="24"/>
      <c r="Z14656" s="24"/>
      <c r="AA14656" s="24"/>
    </row>
    <row r="14657">
      <c r="A14657" s="24"/>
      <c r="B14657" s="25"/>
      <c r="C14657" s="24"/>
      <c r="D14657" s="26"/>
      <c r="E14657" s="24"/>
      <c r="F14657" s="24"/>
      <c r="G14657" s="24"/>
      <c r="H14657" s="24"/>
      <c r="I14657" s="24"/>
      <c r="J14657" s="24"/>
      <c r="K14657" s="24"/>
      <c r="L14657" s="24"/>
      <c r="M14657" s="24"/>
      <c r="N14657" s="24"/>
      <c r="O14657" s="24"/>
      <c r="P14657" s="24"/>
      <c r="Q14657" s="24"/>
      <c r="R14657" s="24"/>
      <c r="S14657" s="24"/>
      <c r="T14657" s="24"/>
      <c r="U14657" s="24"/>
      <c r="V14657" s="24"/>
      <c r="W14657" s="24"/>
      <c r="X14657" s="24"/>
      <c r="Y14657" s="24"/>
      <c r="Z14657" s="24"/>
      <c r="AA14657" s="24"/>
    </row>
    <row r="14658">
      <c r="A14658" s="24"/>
      <c r="B14658" s="25"/>
      <c r="C14658" s="24"/>
      <c r="D14658" s="26"/>
      <c r="E14658" s="24"/>
      <c r="F14658" s="24"/>
      <c r="G14658" s="24"/>
      <c r="H14658" s="24"/>
      <c r="I14658" s="24"/>
      <c r="J14658" s="24"/>
      <c r="K14658" s="24"/>
      <c r="L14658" s="24"/>
      <c r="M14658" s="24"/>
      <c r="N14658" s="24"/>
      <c r="O14658" s="24"/>
      <c r="P14658" s="24"/>
      <c r="Q14658" s="24"/>
      <c r="R14658" s="24"/>
      <c r="S14658" s="24"/>
      <c r="T14658" s="24"/>
      <c r="U14658" s="24"/>
      <c r="V14658" s="24"/>
      <c r="W14658" s="24"/>
      <c r="X14658" s="24"/>
      <c r="Y14658" s="24"/>
      <c r="Z14658" s="24"/>
      <c r="AA14658" s="24"/>
    </row>
    <row r="14659">
      <c r="A14659" s="24"/>
      <c r="B14659" s="25"/>
      <c r="C14659" s="24"/>
      <c r="D14659" s="26"/>
      <c r="E14659" s="24"/>
      <c r="F14659" s="24"/>
      <c r="G14659" s="24"/>
      <c r="H14659" s="24"/>
      <c r="I14659" s="24"/>
      <c r="J14659" s="24"/>
      <c r="K14659" s="24"/>
      <c r="L14659" s="24"/>
      <c r="M14659" s="24"/>
      <c r="N14659" s="24"/>
      <c r="O14659" s="24"/>
      <c r="P14659" s="24"/>
      <c r="Q14659" s="24"/>
      <c r="R14659" s="24"/>
      <c r="S14659" s="24"/>
      <c r="T14659" s="24"/>
      <c r="U14659" s="24"/>
      <c r="V14659" s="24"/>
      <c r="W14659" s="24"/>
      <c r="X14659" s="24"/>
      <c r="Y14659" s="24"/>
      <c r="Z14659" s="24"/>
      <c r="AA14659" s="24"/>
    </row>
    <row r="14660">
      <c r="A14660" s="24"/>
      <c r="B14660" s="25"/>
      <c r="C14660" s="24"/>
      <c r="D14660" s="26"/>
      <c r="E14660" s="24"/>
      <c r="F14660" s="24"/>
      <c r="G14660" s="24"/>
      <c r="H14660" s="24"/>
      <c r="I14660" s="24"/>
      <c r="J14660" s="24"/>
      <c r="K14660" s="24"/>
      <c r="L14660" s="24"/>
      <c r="M14660" s="24"/>
      <c r="N14660" s="24"/>
      <c r="O14660" s="24"/>
      <c r="P14660" s="24"/>
      <c r="Q14660" s="24"/>
      <c r="R14660" s="24"/>
      <c r="S14660" s="24"/>
      <c r="T14660" s="24"/>
      <c r="U14660" s="24"/>
      <c r="V14660" s="24"/>
      <c r="W14660" s="24"/>
      <c r="X14660" s="24"/>
      <c r="Y14660" s="24"/>
      <c r="Z14660" s="24"/>
      <c r="AA14660" s="24"/>
    </row>
    <row r="14661">
      <c r="A14661" s="24"/>
      <c r="B14661" s="25"/>
      <c r="C14661" s="24"/>
      <c r="D14661" s="26"/>
      <c r="E14661" s="24"/>
      <c r="F14661" s="24"/>
      <c r="G14661" s="24"/>
      <c r="H14661" s="24"/>
      <c r="I14661" s="24"/>
      <c r="J14661" s="24"/>
      <c r="K14661" s="24"/>
      <c r="L14661" s="24"/>
      <c r="M14661" s="24"/>
      <c r="N14661" s="24"/>
      <c r="O14661" s="24"/>
      <c r="P14661" s="24"/>
      <c r="Q14661" s="24"/>
      <c r="R14661" s="24"/>
      <c r="S14661" s="24"/>
      <c r="T14661" s="24"/>
      <c r="U14661" s="24"/>
      <c r="V14661" s="24"/>
      <c r="W14661" s="24"/>
      <c r="X14661" s="24"/>
      <c r="Y14661" s="24"/>
      <c r="Z14661" s="24"/>
      <c r="AA14661" s="24"/>
    </row>
    <row r="14662">
      <c r="A14662" s="24"/>
      <c r="B14662" s="25"/>
      <c r="C14662" s="24"/>
      <c r="D14662" s="26"/>
      <c r="E14662" s="24"/>
      <c r="F14662" s="24"/>
      <c r="G14662" s="24"/>
      <c r="H14662" s="24"/>
      <c r="I14662" s="24"/>
      <c r="J14662" s="24"/>
      <c r="K14662" s="24"/>
      <c r="L14662" s="24"/>
      <c r="M14662" s="24"/>
      <c r="N14662" s="24"/>
      <c r="O14662" s="24"/>
      <c r="P14662" s="24"/>
      <c r="Q14662" s="24"/>
      <c r="R14662" s="24"/>
      <c r="S14662" s="24"/>
      <c r="T14662" s="24"/>
      <c r="U14662" s="24"/>
      <c r="V14662" s="24"/>
      <c r="W14662" s="24"/>
      <c r="X14662" s="24"/>
      <c r="Y14662" s="24"/>
      <c r="Z14662" s="24"/>
      <c r="AA14662" s="24"/>
    </row>
    <row r="14663">
      <c r="A14663" s="24"/>
      <c r="B14663" s="25"/>
      <c r="C14663" s="24"/>
      <c r="D14663" s="26"/>
      <c r="E14663" s="24"/>
      <c r="F14663" s="24"/>
      <c r="G14663" s="24"/>
      <c r="H14663" s="24"/>
      <c r="I14663" s="24"/>
      <c r="J14663" s="24"/>
      <c r="K14663" s="24"/>
      <c r="L14663" s="24"/>
      <c r="M14663" s="24"/>
      <c r="N14663" s="24"/>
      <c r="O14663" s="24"/>
      <c r="P14663" s="24"/>
      <c r="Q14663" s="24"/>
      <c r="R14663" s="24"/>
      <c r="S14663" s="24"/>
      <c r="T14663" s="24"/>
      <c r="U14663" s="24"/>
      <c r="V14663" s="24"/>
      <c r="W14663" s="24"/>
      <c r="X14663" s="24"/>
      <c r="Y14663" s="24"/>
      <c r="Z14663" s="24"/>
      <c r="AA14663" s="24"/>
    </row>
    <row r="14664">
      <c r="A14664" s="24"/>
      <c r="B14664" s="25"/>
      <c r="C14664" s="24"/>
      <c r="D14664" s="26"/>
      <c r="E14664" s="24"/>
      <c r="F14664" s="24"/>
      <c r="G14664" s="24"/>
      <c r="H14664" s="24"/>
      <c r="I14664" s="24"/>
      <c r="J14664" s="24"/>
      <c r="K14664" s="24"/>
      <c r="L14664" s="24"/>
      <c r="M14664" s="24"/>
      <c r="N14664" s="24"/>
      <c r="O14664" s="24"/>
      <c r="P14664" s="24"/>
      <c r="Q14664" s="24"/>
      <c r="R14664" s="24"/>
      <c r="S14664" s="24"/>
      <c r="T14664" s="24"/>
      <c r="U14664" s="24"/>
      <c r="V14664" s="24"/>
      <c r="W14664" s="24"/>
      <c r="X14664" s="24"/>
      <c r="Y14664" s="24"/>
      <c r="Z14664" s="24"/>
      <c r="AA14664" s="24"/>
    </row>
    <row r="14665">
      <c r="A14665" s="24"/>
      <c r="B14665" s="25"/>
      <c r="C14665" s="24"/>
      <c r="D14665" s="26"/>
      <c r="E14665" s="24"/>
      <c r="F14665" s="24"/>
      <c r="G14665" s="24"/>
      <c r="H14665" s="24"/>
      <c r="I14665" s="24"/>
      <c r="J14665" s="24"/>
      <c r="K14665" s="24"/>
      <c r="L14665" s="24"/>
      <c r="M14665" s="24"/>
      <c r="N14665" s="24"/>
      <c r="O14665" s="24"/>
      <c r="P14665" s="24"/>
      <c r="Q14665" s="24"/>
      <c r="R14665" s="24"/>
      <c r="S14665" s="24"/>
      <c r="T14665" s="24"/>
      <c r="U14665" s="24"/>
      <c r="V14665" s="24"/>
      <c r="W14665" s="24"/>
      <c r="X14665" s="24"/>
      <c r="Y14665" s="24"/>
      <c r="Z14665" s="24"/>
      <c r="AA14665" s="24"/>
    </row>
    <row r="14666">
      <c r="A14666" s="24"/>
      <c r="B14666" s="25"/>
      <c r="C14666" s="24"/>
      <c r="D14666" s="26"/>
      <c r="E14666" s="24"/>
      <c r="F14666" s="24"/>
      <c r="G14666" s="24"/>
      <c r="H14666" s="24"/>
      <c r="I14666" s="24"/>
      <c r="J14666" s="24"/>
      <c r="K14666" s="24"/>
      <c r="L14666" s="24"/>
      <c r="M14666" s="24"/>
      <c r="N14666" s="24"/>
      <c r="O14666" s="24"/>
      <c r="P14666" s="24"/>
      <c r="Q14666" s="24"/>
      <c r="R14666" s="24"/>
      <c r="S14666" s="24"/>
      <c r="T14666" s="24"/>
      <c r="U14666" s="24"/>
      <c r="V14666" s="24"/>
      <c r="W14666" s="24"/>
      <c r="X14666" s="24"/>
      <c r="Y14666" s="24"/>
      <c r="Z14666" s="24"/>
      <c r="AA14666" s="24"/>
    </row>
    <row r="14667">
      <c r="A14667" s="24"/>
      <c r="B14667" s="25"/>
      <c r="C14667" s="24"/>
      <c r="D14667" s="26"/>
      <c r="E14667" s="24"/>
      <c r="F14667" s="24"/>
      <c r="G14667" s="24"/>
      <c r="H14667" s="24"/>
      <c r="I14667" s="24"/>
      <c r="J14667" s="24"/>
      <c r="K14667" s="24"/>
      <c r="L14667" s="24"/>
      <c r="M14667" s="24"/>
      <c r="N14667" s="24"/>
      <c r="O14667" s="24"/>
      <c r="P14667" s="24"/>
      <c r="Q14667" s="24"/>
      <c r="R14667" s="24"/>
      <c r="S14667" s="24"/>
      <c r="T14667" s="24"/>
      <c r="U14667" s="24"/>
      <c r="V14667" s="24"/>
      <c r="W14667" s="24"/>
      <c r="X14667" s="24"/>
      <c r="Y14667" s="24"/>
      <c r="Z14667" s="24"/>
      <c r="AA14667" s="24"/>
    </row>
    <row r="14668">
      <c r="A14668" s="24"/>
      <c r="B14668" s="25"/>
      <c r="C14668" s="24"/>
      <c r="D14668" s="26"/>
      <c r="E14668" s="24"/>
      <c r="F14668" s="24"/>
      <c r="G14668" s="24"/>
      <c r="H14668" s="24"/>
      <c r="I14668" s="24"/>
      <c r="J14668" s="24"/>
      <c r="K14668" s="24"/>
      <c r="L14668" s="24"/>
      <c r="M14668" s="24"/>
      <c r="N14668" s="24"/>
      <c r="O14668" s="24"/>
      <c r="P14668" s="24"/>
      <c r="Q14668" s="24"/>
      <c r="R14668" s="24"/>
      <c r="S14668" s="24"/>
      <c r="T14668" s="24"/>
      <c r="U14668" s="24"/>
      <c r="V14668" s="24"/>
      <c r="W14668" s="24"/>
      <c r="X14668" s="24"/>
      <c r="Y14668" s="24"/>
      <c r="Z14668" s="24"/>
      <c r="AA14668" s="24"/>
    </row>
    <row r="14669">
      <c r="A14669" s="24"/>
      <c r="B14669" s="25"/>
      <c r="C14669" s="24"/>
      <c r="D14669" s="26"/>
      <c r="E14669" s="24"/>
      <c r="F14669" s="24"/>
      <c r="G14669" s="24"/>
      <c r="H14669" s="24"/>
      <c r="I14669" s="24"/>
      <c r="J14669" s="24"/>
      <c r="K14669" s="24"/>
      <c r="L14669" s="24"/>
      <c r="M14669" s="24"/>
      <c r="N14669" s="24"/>
      <c r="O14669" s="24"/>
      <c r="P14669" s="24"/>
      <c r="Q14669" s="24"/>
      <c r="R14669" s="24"/>
      <c r="S14669" s="24"/>
      <c r="T14669" s="24"/>
      <c r="U14669" s="24"/>
      <c r="V14669" s="24"/>
      <c r="W14669" s="24"/>
      <c r="X14669" s="24"/>
      <c r="Y14669" s="24"/>
      <c r="Z14669" s="24"/>
      <c r="AA14669" s="24"/>
    </row>
    <row r="14670">
      <c r="A14670" s="24"/>
      <c r="B14670" s="25"/>
      <c r="C14670" s="24"/>
      <c r="D14670" s="26"/>
      <c r="E14670" s="24"/>
      <c r="F14670" s="24"/>
      <c r="G14670" s="24"/>
      <c r="H14670" s="24"/>
      <c r="I14670" s="24"/>
      <c r="J14670" s="24"/>
      <c r="K14670" s="24"/>
      <c r="L14670" s="24"/>
      <c r="M14670" s="24"/>
      <c r="N14670" s="24"/>
      <c r="O14670" s="24"/>
      <c r="P14670" s="24"/>
      <c r="Q14670" s="24"/>
      <c r="R14670" s="24"/>
      <c r="S14670" s="24"/>
      <c r="T14670" s="24"/>
      <c r="U14670" s="24"/>
      <c r="V14670" s="24"/>
      <c r="W14670" s="24"/>
      <c r="X14670" s="24"/>
      <c r="Y14670" s="24"/>
      <c r="Z14670" s="24"/>
      <c r="AA14670" s="24"/>
    </row>
    <row r="14671">
      <c r="A14671" s="24"/>
      <c r="B14671" s="25"/>
      <c r="C14671" s="24"/>
      <c r="D14671" s="26"/>
      <c r="E14671" s="24"/>
      <c r="F14671" s="24"/>
      <c r="G14671" s="24"/>
      <c r="H14671" s="24"/>
      <c r="I14671" s="24"/>
      <c r="J14671" s="24"/>
      <c r="K14671" s="24"/>
      <c r="L14671" s="24"/>
      <c r="M14671" s="24"/>
      <c r="N14671" s="24"/>
      <c r="O14671" s="24"/>
      <c r="P14671" s="24"/>
      <c r="Q14671" s="24"/>
      <c r="R14671" s="24"/>
      <c r="S14671" s="24"/>
      <c r="T14671" s="24"/>
      <c r="U14671" s="24"/>
      <c r="V14671" s="24"/>
      <c r="W14671" s="24"/>
      <c r="X14671" s="24"/>
      <c r="Y14671" s="24"/>
      <c r="Z14671" s="24"/>
      <c r="AA14671" s="24"/>
    </row>
    <row r="14672">
      <c r="A14672" s="24"/>
      <c r="B14672" s="25"/>
      <c r="C14672" s="24"/>
      <c r="D14672" s="26"/>
      <c r="E14672" s="24"/>
      <c r="F14672" s="24"/>
      <c r="G14672" s="24"/>
      <c r="H14672" s="24"/>
      <c r="I14672" s="24"/>
      <c r="J14672" s="24"/>
      <c r="K14672" s="24"/>
      <c r="L14672" s="24"/>
      <c r="M14672" s="24"/>
      <c r="N14672" s="24"/>
      <c r="O14672" s="24"/>
      <c r="P14672" s="24"/>
      <c r="Q14672" s="24"/>
      <c r="R14672" s="24"/>
      <c r="S14672" s="24"/>
      <c r="T14672" s="24"/>
      <c r="U14672" s="24"/>
      <c r="V14672" s="24"/>
      <c r="W14672" s="24"/>
      <c r="X14672" s="24"/>
      <c r="Y14672" s="24"/>
      <c r="Z14672" s="24"/>
      <c r="AA14672" s="24"/>
    </row>
    <row r="14673">
      <c r="A14673" s="24"/>
      <c r="B14673" s="25"/>
      <c r="C14673" s="24"/>
      <c r="D14673" s="26"/>
      <c r="E14673" s="24"/>
      <c r="F14673" s="24"/>
      <c r="G14673" s="24"/>
      <c r="H14673" s="24"/>
      <c r="I14673" s="24"/>
      <c r="J14673" s="24"/>
      <c r="K14673" s="24"/>
      <c r="L14673" s="24"/>
      <c r="M14673" s="24"/>
      <c r="N14673" s="24"/>
      <c r="O14673" s="24"/>
      <c r="P14673" s="24"/>
      <c r="Q14673" s="24"/>
      <c r="R14673" s="24"/>
      <c r="S14673" s="24"/>
      <c r="T14673" s="24"/>
      <c r="U14673" s="24"/>
      <c r="V14673" s="24"/>
      <c r="W14673" s="24"/>
      <c r="X14673" s="24"/>
      <c r="Y14673" s="24"/>
      <c r="Z14673" s="24"/>
      <c r="AA14673" s="24"/>
    </row>
    <row r="14674">
      <c r="A14674" s="24"/>
      <c r="B14674" s="25"/>
      <c r="C14674" s="24"/>
      <c r="D14674" s="26"/>
      <c r="E14674" s="24"/>
      <c r="F14674" s="24"/>
      <c r="G14674" s="24"/>
      <c r="H14674" s="24"/>
      <c r="I14674" s="24"/>
      <c r="J14674" s="24"/>
      <c r="K14674" s="24"/>
      <c r="L14674" s="24"/>
      <c r="M14674" s="24"/>
      <c r="N14674" s="24"/>
      <c r="O14674" s="24"/>
      <c r="P14674" s="24"/>
      <c r="Q14674" s="24"/>
      <c r="R14674" s="24"/>
      <c r="S14674" s="24"/>
      <c r="T14674" s="24"/>
      <c r="U14674" s="24"/>
      <c r="V14674" s="24"/>
      <c r="W14674" s="24"/>
      <c r="X14674" s="24"/>
      <c r="Y14674" s="24"/>
      <c r="Z14674" s="24"/>
      <c r="AA14674" s="24"/>
    </row>
    <row r="14675">
      <c r="A14675" s="24"/>
      <c r="B14675" s="25"/>
      <c r="C14675" s="24"/>
      <c r="D14675" s="26"/>
      <c r="E14675" s="24"/>
      <c r="F14675" s="24"/>
      <c r="G14675" s="24"/>
      <c r="H14675" s="24"/>
      <c r="I14675" s="24"/>
      <c r="J14675" s="24"/>
      <c r="K14675" s="24"/>
      <c r="L14675" s="24"/>
      <c r="M14675" s="24"/>
      <c r="N14675" s="24"/>
      <c r="O14675" s="24"/>
      <c r="P14675" s="24"/>
      <c r="Q14675" s="24"/>
      <c r="R14675" s="24"/>
      <c r="S14675" s="24"/>
      <c r="T14675" s="24"/>
      <c r="U14675" s="24"/>
      <c r="V14675" s="24"/>
      <c r="W14675" s="24"/>
      <c r="X14675" s="24"/>
      <c r="Y14675" s="24"/>
      <c r="Z14675" s="24"/>
      <c r="AA14675" s="24"/>
    </row>
    <row r="14676">
      <c r="A14676" s="24"/>
      <c r="B14676" s="25"/>
      <c r="C14676" s="24"/>
      <c r="D14676" s="26"/>
      <c r="E14676" s="24"/>
      <c r="F14676" s="24"/>
      <c r="G14676" s="24"/>
      <c r="H14676" s="24"/>
      <c r="I14676" s="24"/>
      <c r="J14676" s="24"/>
      <c r="K14676" s="24"/>
      <c r="L14676" s="24"/>
      <c r="M14676" s="24"/>
      <c r="N14676" s="24"/>
      <c r="O14676" s="24"/>
      <c r="P14676" s="24"/>
      <c r="Q14676" s="24"/>
      <c r="R14676" s="24"/>
      <c r="S14676" s="24"/>
      <c r="T14676" s="24"/>
      <c r="U14676" s="24"/>
      <c r="V14676" s="24"/>
      <c r="W14676" s="24"/>
      <c r="X14676" s="24"/>
      <c r="Y14676" s="24"/>
      <c r="Z14676" s="24"/>
      <c r="AA14676" s="24"/>
    </row>
    <row r="14677">
      <c r="A14677" s="24"/>
      <c r="B14677" s="25"/>
      <c r="C14677" s="24"/>
      <c r="D14677" s="26"/>
      <c r="E14677" s="24"/>
      <c r="F14677" s="24"/>
      <c r="G14677" s="24"/>
      <c r="H14677" s="24"/>
      <c r="I14677" s="24"/>
      <c r="J14677" s="24"/>
      <c r="K14677" s="24"/>
      <c r="L14677" s="24"/>
      <c r="M14677" s="24"/>
      <c r="N14677" s="24"/>
      <c r="O14677" s="24"/>
      <c r="P14677" s="24"/>
      <c r="Q14677" s="24"/>
      <c r="R14677" s="24"/>
      <c r="S14677" s="24"/>
      <c r="T14677" s="24"/>
      <c r="U14677" s="24"/>
      <c r="V14677" s="24"/>
      <c r="W14677" s="24"/>
      <c r="X14677" s="24"/>
      <c r="Y14677" s="24"/>
      <c r="Z14677" s="24"/>
      <c r="AA14677" s="24"/>
    </row>
    <row r="14678">
      <c r="A14678" s="24"/>
      <c r="B14678" s="25"/>
      <c r="C14678" s="24"/>
      <c r="D14678" s="26"/>
      <c r="E14678" s="24"/>
      <c r="F14678" s="24"/>
      <c r="G14678" s="24"/>
      <c r="H14678" s="24"/>
      <c r="I14678" s="24"/>
      <c r="J14678" s="24"/>
      <c r="K14678" s="24"/>
      <c r="L14678" s="24"/>
      <c r="M14678" s="24"/>
      <c r="N14678" s="24"/>
      <c r="O14678" s="24"/>
      <c r="P14678" s="24"/>
      <c r="Q14678" s="24"/>
      <c r="R14678" s="24"/>
      <c r="S14678" s="24"/>
      <c r="T14678" s="24"/>
      <c r="U14678" s="24"/>
      <c r="V14678" s="24"/>
      <c r="W14678" s="24"/>
      <c r="X14678" s="24"/>
      <c r="Y14678" s="24"/>
      <c r="Z14678" s="24"/>
      <c r="AA14678" s="24"/>
    </row>
    <row r="14679">
      <c r="A14679" s="24"/>
      <c r="B14679" s="25"/>
      <c r="C14679" s="24"/>
      <c r="D14679" s="26"/>
      <c r="E14679" s="24"/>
      <c r="F14679" s="24"/>
      <c r="G14679" s="24"/>
      <c r="H14679" s="24"/>
      <c r="I14679" s="24"/>
      <c r="J14679" s="24"/>
      <c r="K14679" s="24"/>
      <c r="L14679" s="24"/>
      <c r="M14679" s="24"/>
      <c r="N14679" s="24"/>
      <c r="O14679" s="24"/>
      <c r="P14679" s="24"/>
      <c r="Q14679" s="24"/>
      <c r="R14679" s="24"/>
      <c r="S14679" s="24"/>
      <c r="T14679" s="24"/>
      <c r="U14679" s="24"/>
      <c r="V14679" s="24"/>
      <c r="W14679" s="24"/>
      <c r="X14679" s="24"/>
      <c r="Y14679" s="24"/>
      <c r="Z14679" s="24"/>
      <c r="AA14679" s="24"/>
    </row>
    <row r="14680">
      <c r="A14680" s="24"/>
      <c r="B14680" s="25"/>
      <c r="C14680" s="24"/>
      <c r="D14680" s="26"/>
      <c r="E14680" s="24"/>
      <c r="F14680" s="24"/>
      <c r="G14680" s="24"/>
      <c r="H14680" s="24"/>
      <c r="I14680" s="24"/>
      <c r="J14680" s="24"/>
      <c r="K14680" s="24"/>
      <c r="L14680" s="24"/>
      <c r="M14680" s="24"/>
      <c r="N14680" s="24"/>
      <c r="O14680" s="24"/>
      <c r="P14680" s="24"/>
      <c r="Q14680" s="24"/>
      <c r="R14680" s="24"/>
      <c r="S14680" s="24"/>
      <c r="T14680" s="24"/>
      <c r="U14680" s="24"/>
      <c r="V14680" s="24"/>
      <c r="W14680" s="24"/>
      <c r="X14680" s="24"/>
      <c r="Y14680" s="24"/>
      <c r="Z14680" s="24"/>
      <c r="AA14680" s="24"/>
    </row>
    <row r="14681">
      <c r="A14681" s="24"/>
      <c r="B14681" s="25"/>
      <c r="C14681" s="24"/>
      <c r="D14681" s="26"/>
      <c r="E14681" s="24"/>
      <c r="F14681" s="24"/>
      <c r="G14681" s="24"/>
      <c r="H14681" s="24"/>
      <c r="I14681" s="24"/>
      <c r="J14681" s="24"/>
      <c r="K14681" s="24"/>
      <c r="L14681" s="24"/>
      <c r="M14681" s="24"/>
      <c r="N14681" s="24"/>
      <c r="O14681" s="24"/>
      <c r="P14681" s="24"/>
      <c r="Q14681" s="24"/>
      <c r="R14681" s="24"/>
      <c r="S14681" s="24"/>
      <c r="T14681" s="24"/>
      <c r="U14681" s="24"/>
      <c r="V14681" s="24"/>
      <c r="W14681" s="24"/>
      <c r="X14681" s="24"/>
      <c r="Y14681" s="24"/>
      <c r="Z14681" s="24"/>
      <c r="AA14681" s="24"/>
    </row>
    <row r="14682">
      <c r="A14682" s="24"/>
      <c r="B14682" s="25"/>
      <c r="C14682" s="24"/>
      <c r="D14682" s="26"/>
      <c r="E14682" s="24"/>
      <c r="F14682" s="24"/>
      <c r="G14682" s="24"/>
      <c r="H14682" s="24"/>
      <c r="I14682" s="24"/>
      <c r="J14682" s="24"/>
      <c r="K14682" s="24"/>
      <c r="L14682" s="24"/>
      <c r="M14682" s="24"/>
      <c r="N14682" s="24"/>
      <c r="O14682" s="24"/>
      <c r="P14682" s="24"/>
      <c r="Q14682" s="24"/>
      <c r="R14682" s="24"/>
      <c r="S14682" s="24"/>
      <c r="T14682" s="24"/>
      <c r="U14682" s="24"/>
      <c r="V14682" s="24"/>
      <c r="W14682" s="24"/>
      <c r="X14682" s="24"/>
      <c r="Y14682" s="24"/>
      <c r="Z14682" s="24"/>
      <c r="AA14682" s="24"/>
    </row>
    <row r="14683">
      <c r="A14683" s="24"/>
      <c r="B14683" s="25"/>
      <c r="C14683" s="24"/>
      <c r="D14683" s="26"/>
      <c r="E14683" s="24"/>
      <c r="F14683" s="24"/>
      <c r="G14683" s="24"/>
      <c r="H14683" s="24"/>
      <c r="I14683" s="24"/>
      <c r="J14683" s="24"/>
      <c r="K14683" s="24"/>
      <c r="L14683" s="24"/>
      <c r="M14683" s="24"/>
      <c r="N14683" s="24"/>
      <c r="O14683" s="24"/>
      <c r="P14683" s="24"/>
      <c r="Q14683" s="24"/>
      <c r="R14683" s="24"/>
      <c r="S14683" s="24"/>
      <c r="T14683" s="24"/>
      <c r="U14683" s="24"/>
      <c r="V14683" s="24"/>
      <c r="W14683" s="24"/>
      <c r="X14683" s="24"/>
      <c r="Y14683" s="24"/>
      <c r="Z14683" s="24"/>
      <c r="AA14683" s="24"/>
    </row>
    <row r="14684">
      <c r="A14684" s="24"/>
      <c r="B14684" s="25"/>
      <c r="C14684" s="24"/>
      <c r="D14684" s="26"/>
      <c r="E14684" s="24"/>
      <c r="F14684" s="24"/>
      <c r="G14684" s="24"/>
      <c r="H14684" s="24"/>
      <c r="I14684" s="24"/>
      <c r="J14684" s="24"/>
      <c r="K14684" s="24"/>
      <c r="L14684" s="24"/>
      <c r="M14684" s="24"/>
      <c r="N14684" s="24"/>
      <c r="O14684" s="24"/>
      <c r="P14684" s="24"/>
      <c r="Q14684" s="24"/>
      <c r="R14684" s="24"/>
      <c r="S14684" s="24"/>
      <c r="T14684" s="24"/>
      <c r="U14684" s="24"/>
      <c r="V14684" s="24"/>
      <c r="W14684" s="24"/>
      <c r="X14684" s="24"/>
      <c r="Y14684" s="24"/>
      <c r="Z14684" s="24"/>
      <c r="AA14684" s="24"/>
    </row>
    <row r="14685">
      <c r="A14685" s="24"/>
      <c r="B14685" s="25"/>
      <c r="C14685" s="24"/>
      <c r="D14685" s="26"/>
      <c r="E14685" s="24"/>
      <c r="F14685" s="24"/>
      <c r="G14685" s="24"/>
      <c r="H14685" s="24"/>
      <c r="I14685" s="24"/>
      <c r="J14685" s="24"/>
      <c r="K14685" s="24"/>
      <c r="L14685" s="24"/>
      <c r="M14685" s="24"/>
      <c r="N14685" s="24"/>
      <c r="O14685" s="24"/>
      <c r="P14685" s="24"/>
      <c r="Q14685" s="24"/>
      <c r="R14685" s="24"/>
      <c r="S14685" s="24"/>
      <c r="T14685" s="24"/>
      <c r="U14685" s="24"/>
      <c r="V14685" s="24"/>
      <c r="W14685" s="24"/>
      <c r="X14685" s="24"/>
      <c r="Y14685" s="24"/>
      <c r="Z14685" s="24"/>
      <c r="AA14685" s="24"/>
    </row>
    <row r="14686">
      <c r="A14686" s="24"/>
      <c r="B14686" s="25"/>
      <c r="C14686" s="24"/>
      <c r="D14686" s="26"/>
      <c r="E14686" s="24"/>
      <c r="F14686" s="24"/>
      <c r="G14686" s="24"/>
      <c r="H14686" s="24"/>
      <c r="I14686" s="24"/>
      <c r="J14686" s="24"/>
      <c r="K14686" s="24"/>
      <c r="L14686" s="24"/>
      <c r="M14686" s="24"/>
      <c r="N14686" s="24"/>
      <c r="O14686" s="24"/>
      <c r="P14686" s="24"/>
      <c r="Q14686" s="24"/>
      <c r="R14686" s="24"/>
      <c r="S14686" s="24"/>
      <c r="T14686" s="24"/>
      <c r="U14686" s="24"/>
      <c r="V14686" s="24"/>
      <c r="W14686" s="24"/>
      <c r="X14686" s="24"/>
      <c r="Y14686" s="24"/>
      <c r="Z14686" s="24"/>
      <c r="AA14686" s="24"/>
    </row>
    <row r="14687">
      <c r="A14687" s="24"/>
      <c r="B14687" s="25"/>
      <c r="C14687" s="24"/>
      <c r="D14687" s="26"/>
      <c r="E14687" s="24"/>
      <c r="F14687" s="24"/>
      <c r="G14687" s="24"/>
      <c r="H14687" s="24"/>
      <c r="I14687" s="24"/>
      <c r="J14687" s="24"/>
      <c r="K14687" s="24"/>
      <c r="L14687" s="24"/>
      <c r="M14687" s="24"/>
      <c r="N14687" s="24"/>
      <c r="O14687" s="24"/>
      <c r="P14687" s="24"/>
      <c r="Q14687" s="24"/>
      <c r="R14687" s="24"/>
      <c r="S14687" s="24"/>
      <c r="T14687" s="24"/>
      <c r="U14687" s="24"/>
      <c r="V14687" s="24"/>
      <c r="W14687" s="24"/>
      <c r="X14687" s="24"/>
      <c r="Y14687" s="24"/>
      <c r="Z14687" s="24"/>
      <c r="AA14687" s="24"/>
    </row>
    <row r="14688">
      <c r="A14688" s="24"/>
      <c r="B14688" s="25"/>
      <c r="C14688" s="24"/>
      <c r="D14688" s="26"/>
      <c r="E14688" s="24"/>
      <c r="F14688" s="24"/>
      <c r="G14688" s="24"/>
      <c r="H14688" s="24"/>
      <c r="I14688" s="24"/>
      <c r="J14688" s="24"/>
      <c r="K14688" s="24"/>
      <c r="L14688" s="24"/>
      <c r="M14688" s="24"/>
      <c r="N14688" s="24"/>
      <c r="O14688" s="24"/>
      <c r="P14688" s="24"/>
      <c r="Q14688" s="24"/>
      <c r="R14688" s="24"/>
      <c r="S14688" s="24"/>
      <c r="T14688" s="24"/>
      <c r="U14688" s="24"/>
      <c r="V14688" s="24"/>
      <c r="W14688" s="24"/>
      <c r="X14688" s="24"/>
      <c r="Y14688" s="24"/>
      <c r="Z14688" s="24"/>
      <c r="AA14688" s="24"/>
    </row>
    <row r="14689">
      <c r="A14689" s="24"/>
      <c r="B14689" s="25"/>
      <c r="C14689" s="24"/>
      <c r="D14689" s="26"/>
      <c r="E14689" s="24"/>
      <c r="F14689" s="24"/>
      <c r="G14689" s="24"/>
      <c r="H14689" s="24"/>
      <c r="I14689" s="24"/>
      <c r="J14689" s="24"/>
      <c r="K14689" s="24"/>
      <c r="L14689" s="24"/>
      <c r="M14689" s="24"/>
      <c r="N14689" s="24"/>
      <c r="O14689" s="24"/>
      <c r="P14689" s="24"/>
      <c r="Q14689" s="24"/>
      <c r="R14689" s="24"/>
      <c r="S14689" s="24"/>
      <c r="T14689" s="24"/>
      <c r="U14689" s="24"/>
      <c r="V14689" s="24"/>
      <c r="W14689" s="24"/>
      <c r="X14689" s="24"/>
      <c r="Y14689" s="24"/>
      <c r="Z14689" s="24"/>
      <c r="AA14689" s="24"/>
    </row>
    <row r="14690">
      <c r="A14690" s="24"/>
      <c r="B14690" s="25"/>
      <c r="C14690" s="24"/>
      <c r="D14690" s="26"/>
      <c r="E14690" s="24"/>
      <c r="F14690" s="24"/>
      <c r="G14690" s="24"/>
      <c r="H14690" s="24"/>
      <c r="I14690" s="24"/>
      <c r="J14690" s="24"/>
      <c r="K14690" s="24"/>
      <c r="L14690" s="24"/>
      <c r="M14690" s="24"/>
      <c r="N14690" s="24"/>
      <c r="O14690" s="24"/>
      <c r="P14690" s="24"/>
      <c r="Q14690" s="24"/>
      <c r="R14690" s="24"/>
      <c r="S14690" s="24"/>
      <c r="T14690" s="24"/>
      <c r="U14690" s="24"/>
      <c r="V14690" s="24"/>
      <c r="W14690" s="24"/>
      <c r="X14690" s="24"/>
      <c r="Y14690" s="24"/>
      <c r="Z14690" s="24"/>
      <c r="AA14690" s="24"/>
    </row>
    <row r="14691">
      <c r="A14691" s="24"/>
      <c r="B14691" s="25"/>
      <c r="C14691" s="24"/>
      <c r="D14691" s="26"/>
      <c r="E14691" s="24"/>
      <c r="F14691" s="24"/>
      <c r="G14691" s="24"/>
      <c r="H14691" s="24"/>
      <c r="I14691" s="24"/>
      <c r="J14691" s="24"/>
      <c r="K14691" s="24"/>
      <c r="L14691" s="24"/>
      <c r="M14691" s="24"/>
      <c r="N14691" s="24"/>
      <c r="O14691" s="24"/>
      <c r="P14691" s="24"/>
      <c r="Q14691" s="24"/>
      <c r="R14691" s="24"/>
      <c r="S14691" s="24"/>
      <c r="T14691" s="24"/>
      <c r="U14691" s="24"/>
      <c r="V14691" s="24"/>
      <c r="W14691" s="24"/>
      <c r="X14691" s="24"/>
      <c r="Y14691" s="24"/>
      <c r="Z14691" s="24"/>
      <c r="AA14691" s="24"/>
    </row>
    <row r="14692">
      <c r="A14692" s="24"/>
      <c r="B14692" s="25"/>
      <c r="C14692" s="24"/>
      <c r="D14692" s="26"/>
      <c r="E14692" s="24"/>
      <c r="F14692" s="24"/>
      <c r="G14692" s="24"/>
      <c r="H14692" s="24"/>
      <c r="I14692" s="24"/>
      <c r="J14692" s="24"/>
      <c r="K14692" s="24"/>
      <c r="L14692" s="24"/>
      <c r="M14692" s="24"/>
      <c r="N14692" s="24"/>
      <c r="O14692" s="24"/>
      <c r="P14692" s="24"/>
      <c r="Q14692" s="24"/>
      <c r="R14692" s="24"/>
      <c r="S14692" s="24"/>
      <c r="T14692" s="24"/>
      <c r="U14692" s="24"/>
      <c r="V14692" s="24"/>
      <c r="W14692" s="24"/>
      <c r="X14692" s="24"/>
      <c r="Y14692" s="24"/>
      <c r="Z14692" s="24"/>
      <c r="AA14692" s="24"/>
    </row>
    <row r="14693">
      <c r="A14693" s="24"/>
      <c r="B14693" s="25"/>
      <c r="C14693" s="24"/>
      <c r="D14693" s="26"/>
      <c r="E14693" s="24"/>
      <c r="F14693" s="24"/>
      <c r="G14693" s="24"/>
      <c r="H14693" s="24"/>
      <c r="I14693" s="24"/>
      <c r="J14693" s="24"/>
      <c r="K14693" s="24"/>
      <c r="L14693" s="24"/>
      <c r="M14693" s="24"/>
      <c r="N14693" s="24"/>
      <c r="O14693" s="24"/>
      <c r="P14693" s="24"/>
      <c r="Q14693" s="24"/>
      <c r="R14693" s="24"/>
      <c r="S14693" s="24"/>
      <c r="T14693" s="24"/>
      <c r="U14693" s="24"/>
      <c r="V14693" s="24"/>
      <c r="W14693" s="24"/>
      <c r="X14693" s="24"/>
      <c r="Y14693" s="24"/>
      <c r="Z14693" s="24"/>
      <c r="AA14693" s="24"/>
    </row>
    <row r="14694">
      <c r="A14694" s="24"/>
      <c r="B14694" s="25"/>
      <c r="C14694" s="24"/>
      <c r="D14694" s="26"/>
      <c r="E14694" s="24"/>
      <c r="F14694" s="24"/>
      <c r="G14694" s="24"/>
      <c r="H14694" s="24"/>
      <c r="I14694" s="24"/>
      <c r="J14694" s="24"/>
      <c r="K14694" s="24"/>
      <c r="L14694" s="24"/>
      <c r="M14694" s="24"/>
      <c r="N14694" s="24"/>
      <c r="O14694" s="24"/>
      <c r="P14694" s="24"/>
      <c r="Q14694" s="24"/>
      <c r="R14694" s="24"/>
      <c r="S14694" s="24"/>
      <c r="T14694" s="24"/>
      <c r="U14694" s="24"/>
      <c r="V14694" s="24"/>
      <c r="W14694" s="24"/>
      <c r="X14694" s="24"/>
      <c r="Y14694" s="24"/>
      <c r="Z14694" s="24"/>
      <c r="AA14694" s="24"/>
    </row>
    <row r="14695">
      <c r="A14695" s="24"/>
      <c r="B14695" s="25"/>
      <c r="C14695" s="24"/>
      <c r="D14695" s="26"/>
      <c r="E14695" s="24"/>
      <c r="F14695" s="24"/>
      <c r="G14695" s="24"/>
      <c r="H14695" s="24"/>
      <c r="I14695" s="24"/>
      <c r="J14695" s="24"/>
      <c r="K14695" s="24"/>
      <c r="L14695" s="24"/>
      <c r="M14695" s="24"/>
      <c r="N14695" s="24"/>
      <c r="O14695" s="24"/>
      <c r="P14695" s="24"/>
      <c r="Q14695" s="24"/>
      <c r="R14695" s="24"/>
      <c r="S14695" s="24"/>
      <c r="T14695" s="24"/>
      <c r="U14695" s="24"/>
      <c r="V14695" s="24"/>
      <c r="W14695" s="24"/>
      <c r="X14695" s="24"/>
      <c r="Y14695" s="24"/>
      <c r="Z14695" s="24"/>
      <c r="AA14695" s="24"/>
    </row>
    <row r="14696">
      <c r="A14696" s="24"/>
      <c r="B14696" s="25"/>
      <c r="C14696" s="24"/>
      <c r="D14696" s="26"/>
      <c r="E14696" s="24"/>
      <c r="F14696" s="24"/>
      <c r="G14696" s="24"/>
      <c r="H14696" s="24"/>
      <c r="I14696" s="24"/>
      <c r="J14696" s="24"/>
      <c r="K14696" s="24"/>
      <c r="L14696" s="24"/>
      <c r="M14696" s="24"/>
      <c r="N14696" s="24"/>
      <c r="O14696" s="24"/>
      <c r="P14696" s="24"/>
      <c r="Q14696" s="24"/>
      <c r="R14696" s="24"/>
      <c r="S14696" s="24"/>
      <c r="T14696" s="24"/>
      <c r="U14696" s="24"/>
      <c r="V14696" s="24"/>
      <c r="W14696" s="24"/>
      <c r="X14696" s="24"/>
      <c r="Y14696" s="24"/>
      <c r="Z14696" s="24"/>
      <c r="AA14696" s="24"/>
    </row>
    <row r="14697">
      <c r="A14697" s="24"/>
      <c r="B14697" s="25"/>
      <c r="C14697" s="24"/>
      <c r="D14697" s="26"/>
      <c r="E14697" s="24"/>
      <c r="F14697" s="24"/>
      <c r="G14697" s="24"/>
      <c r="H14697" s="24"/>
      <c r="I14697" s="24"/>
      <c r="J14697" s="24"/>
      <c r="K14697" s="24"/>
      <c r="L14697" s="24"/>
      <c r="M14697" s="24"/>
      <c r="N14697" s="24"/>
      <c r="O14697" s="24"/>
      <c r="P14697" s="24"/>
      <c r="Q14697" s="24"/>
      <c r="R14697" s="24"/>
      <c r="S14697" s="24"/>
      <c r="T14697" s="24"/>
      <c r="U14697" s="24"/>
      <c r="V14697" s="24"/>
      <c r="W14697" s="24"/>
      <c r="X14697" s="24"/>
      <c r="Y14697" s="24"/>
      <c r="Z14697" s="24"/>
      <c r="AA14697" s="24"/>
    </row>
    <row r="14698">
      <c r="A14698" s="24"/>
      <c r="B14698" s="25"/>
      <c r="C14698" s="24"/>
      <c r="D14698" s="26"/>
      <c r="E14698" s="24"/>
      <c r="F14698" s="24"/>
      <c r="G14698" s="24"/>
      <c r="H14698" s="24"/>
      <c r="I14698" s="24"/>
      <c r="J14698" s="24"/>
      <c r="K14698" s="24"/>
      <c r="L14698" s="24"/>
      <c r="M14698" s="24"/>
      <c r="N14698" s="24"/>
      <c r="O14698" s="24"/>
      <c r="P14698" s="24"/>
      <c r="Q14698" s="24"/>
      <c r="R14698" s="24"/>
      <c r="S14698" s="24"/>
      <c r="T14698" s="24"/>
      <c r="U14698" s="24"/>
      <c r="V14698" s="24"/>
      <c r="W14698" s="24"/>
      <c r="X14698" s="24"/>
      <c r="Y14698" s="24"/>
      <c r="Z14698" s="24"/>
      <c r="AA14698" s="24"/>
    </row>
    <row r="14699">
      <c r="A14699" s="24"/>
      <c r="B14699" s="25"/>
      <c r="C14699" s="24"/>
      <c r="D14699" s="26"/>
      <c r="E14699" s="24"/>
      <c r="F14699" s="24"/>
      <c r="G14699" s="24"/>
      <c r="H14699" s="24"/>
      <c r="I14699" s="24"/>
      <c r="J14699" s="24"/>
      <c r="K14699" s="24"/>
      <c r="L14699" s="24"/>
      <c r="M14699" s="24"/>
      <c r="N14699" s="24"/>
      <c r="O14699" s="24"/>
      <c r="P14699" s="24"/>
      <c r="Q14699" s="24"/>
      <c r="R14699" s="24"/>
      <c r="S14699" s="24"/>
      <c r="T14699" s="24"/>
      <c r="U14699" s="24"/>
      <c r="V14699" s="24"/>
      <c r="W14699" s="24"/>
      <c r="X14699" s="24"/>
      <c r="Y14699" s="24"/>
      <c r="Z14699" s="24"/>
      <c r="AA14699" s="24"/>
    </row>
    <row r="14700">
      <c r="A14700" s="24"/>
      <c r="B14700" s="25"/>
      <c r="C14700" s="24"/>
      <c r="D14700" s="26"/>
      <c r="E14700" s="24"/>
      <c r="F14700" s="24"/>
      <c r="G14700" s="24"/>
      <c r="H14700" s="24"/>
      <c r="I14700" s="24"/>
      <c r="J14700" s="24"/>
      <c r="K14700" s="24"/>
      <c r="L14700" s="24"/>
      <c r="M14700" s="24"/>
      <c r="N14700" s="24"/>
      <c r="O14700" s="24"/>
      <c r="P14700" s="24"/>
      <c r="Q14700" s="24"/>
      <c r="R14700" s="24"/>
      <c r="S14700" s="24"/>
      <c r="T14700" s="24"/>
      <c r="U14700" s="24"/>
      <c r="V14700" s="24"/>
      <c r="W14700" s="24"/>
      <c r="X14700" s="24"/>
      <c r="Y14700" s="24"/>
      <c r="Z14700" s="24"/>
      <c r="AA14700" s="24"/>
    </row>
    <row r="14701">
      <c r="A14701" s="24"/>
      <c r="B14701" s="25"/>
      <c r="C14701" s="24"/>
      <c r="D14701" s="26"/>
      <c r="E14701" s="24"/>
      <c r="F14701" s="24"/>
      <c r="G14701" s="24"/>
      <c r="H14701" s="24"/>
      <c r="I14701" s="24"/>
      <c r="J14701" s="24"/>
      <c r="K14701" s="24"/>
      <c r="L14701" s="24"/>
      <c r="M14701" s="24"/>
      <c r="N14701" s="24"/>
      <c r="O14701" s="24"/>
      <c r="P14701" s="24"/>
      <c r="Q14701" s="24"/>
      <c r="R14701" s="24"/>
      <c r="S14701" s="24"/>
      <c r="T14701" s="24"/>
      <c r="U14701" s="24"/>
      <c r="V14701" s="24"/>
      <c r="W14701" s="24"/>
      <c r="X14701" s="24"/>
      <c r="Y14701" s="24"/>
      <c r="Z14701" s="24"/>
      <c r="AA14701" s="24"/>
    </row>
    <row r="14702">
      <c r="A14702" s="24"/>
      <c r="B14702" s="25"/>
      <c r="C14702" s="24"/>
      <c r="D14702" s="26"/>
      <c r="E14702" s="24"/>
      <c r="F14702" s="24"/>
      <c r="G14702" s="24"/>
      <c r="H14702" s="24"/>
      <c r="I14702" s="24"/>
      <c r="J14702" s="24"/>
      <c r="K14702" s="24"/>
      <c r="L14702" s="24"/>
      <c r="M14702" s="24"/>
      <c r="N14702" s="24"/>
      <c r="O14702" s="24"/>
      <c r="P14702" s="24"/>
      <c r="Q14702" s="24"/>
      <c r="R14702" s="24"/>
      <c r="S14702" s="24"/>
      <c r="T14702" s="24"/>
      <c r="U14702" s="24"/>
      <c r="V14702" s="24"/>
      <c r="W14702" s="24"/>
      <c r="X14702" s="24"/>
      <c r="Y14702" s="24"/>
      <c r="Z14702" s="24"/>
      <c r="AA14702" s="24"/>
    </row>
    <row r="14703">
      <c r="A14703" s="24"/>
      <c r="B14703" s="25"/>
      <c r="C14703" s="24"/>
      <c r="D14703" s="26"/>
      <c r="E14703" s="24"/>
      <c r="F14703" s="24"/>
      <c r="G14703" s="24"/>
      <c r="H14703" s="24"/>
      <c r="I14703" s="24"/>
      <c r="J14703" s="24"/>
      <c r="K14703" s="24"/>
      <c r="L14703" s="24"/>
      <c r="M14703" s="24"/>
      <c r="N14703" s="24"/>
      <c r="O14703" s="24"/>
      <c r="P14703" s="24"/>
      <c r="Q14703" s="24"/>
      <c r="R14703" s="24"/>
      <c r="S14703" s="24"/>
      <c r="T14703" s="24"/>
      <c r="U14703" s="24"/>
      <c r="V14703" s="24"/>
      <c r="W14703" s="24"/>
      <c r="X14703" s="24"/>
      <c r="Y14703" s="24"/>
      <c r="Z14703" s="24"/>
      <c r="AA14703" s="24"/>
    </row>
    <row r="14704">
      <c r="A14704" s="24"/>
      <c r="B14704" s="25"/>
      <c r="C14704" s="24"/>
      <c r="D14704" s="26"/>
      <c r="E14704" s="24"/>
      <c r="F14704" s="24"/>
      <c r="G14704" s="24"/>
      <c r="H14704" s="24"/>
      <c r="I14704" s="24"/>
      <c r="J14704" s="24"/>
      <c r="K14704" s="24"/>
      <c r="L14704" s="24"/>
      <c r="M14704" s="24"/>
      <c r="N14704" s="24"/>
      <c r="O14704" s="24"/>
      <c r="P14704" s="24"/>
      <c r="Q14704" s="24"/>
      <c r="R14704" s="24"/>
      <c r="S14704" s="24"/>
      <c r="T14704" s="24"/>
      <c r="U14704" s="24"/>
      <c r="V14704" s="24"/>
      <c r="W14704" s="24"/>
      <c r="X14704" s="24"/>
      <c r="Y14704" s="24"/>
      <c r="Z14704" s="24"/>
      <c r="AA14704" s="24"/>
    </row>
    <row r="14705">
      <c r="A14705" s="24"/>
      <c r="B14705" s="25"/>
      <c r="C14705" s="24"/>
      <c r="D14705" s="26"/>
      <c r="E14705" s="24"/>
      <c r="F14705" s="24"/>
      <c r="G14705" s="24"/>
      <c r="H14705" s="24"/>
      <c r="I14705" s="24"/>
      <c r="J14705" s="24"/>
      <c r="K14705" s="24"/>
      <c r="L14705" s="24"/>
      <c r="M14705" s="24"/>
      <c r="N14705" s="24"/>
      <c r="O14705" s="24"/>
      <c r="P14705" s="24"/>
      <c r="Q14705" s="24"/>
      <c r="R14705" s="24"/>
      <c r="S14705" s="24"/>
      <c r="T14705" s="24"/>
      <c r="U14705" s="24"/>
      <c r="V14705" s="24"/>
      <c r="W14705" s="24"/>
      <c r="X14705" s="24"/>
      <c r="Y14705" s="24"/>
      <c r="Z14705" s="24"/>
      <c r="AA14705" s="24"/>
    </row>
    <row r="14706">
      <c r="A14706" s="24"/>
      <c r="B14706" s="25"/>
      <c r="C14706" s="24"/>
      <c r="D14706" s="26"/>
      <c r="E14706" s="24"/>
      <c r="F14706" s="24"/>
      <c r="G14706" s="24"/>
      <c r="H14706" s="24"/>
      <c r="I14706" s="24"/>
      <c r="J14706" s="24"/>
      <c r="K14706" s="24"/>
      <c r="L14706" s="24"/>
      <c r="M14706" s="24"/>
      <c r="N14706" s="24"/>
      <c r="O14706" s="24"/>
      <c r="P14706" s="24"/>
      <c r="Q14706" s="24"/>
      <c r="R14706" s="24"/>
      <c r="S14706" s="24"/>
      <c r="T14706" s="24"/>
      <c r="U14706" s="24"/>
      <c r="V14706" s="24"/>
      <c r="W14706" s="24"/>
      <c r="X14706" s="24"/>
      <c r="Y14706" s="24"/>
      <c r="Z14706" s="24"/>
      <c r="AA14706" s="24"/>
    </row>
    <row r="14707">
      <c r="A14707" s="24"/>
      <c r="B14707" s="25"/>
      <c r="C14707" s="24"/>
      <c r="D14707" s="26"/>
      <c r="E14707" s="24"/>
      <c r="F14707" s="24"/>
      <c r="G14707" s="24"/>
      <c r="H14707" s="24"/>
      <c r="I14707" s="24"/>
      <c r="J14707" s="24"/>
      <c r="K14707" s="24"/>
      <c r="L14707" s="24"/>
      <c r="M14707" s="24"/>
      <c r="N14707" s="24"/>
      <c r="O14707" s="24"/>
      <c r="P14707" s="24"/>
      <c r="Q14707" s="24"/>
      <c r="R14707" s="24"/>
      <c r="S14707" s="24"/>
      <c r="T14707" s="24"/>
      <c r="U14707" s="24"/>
      <c r="V14707" s="24"/>
      <c r="W14707" s="24"/>
      <c r="X14707" s="24"/>
      <c r="Y14707" s="24"/>
      <c r="Z14707" s="24"/>
      <c r="AA14707" s="24"/>
    </row>
    <row r="14708">
      <c r="A14708" s="24"/>
      <c r="B14708" s="25"/>
      <c r="C14708" s="24"/>
      <c r="D14708" s="26"/>
      <c r="E14708" s="24"/>
      <c r="F14708" s="24"/>
      <c r="G14708" s="24"/>
      <c r="H14708" s="24"/>
      <c r="I14708" s="24"/>
      <c r="J14708" s="24"/>
      <c r="K14708" s="24"/>
      <c r="L14708" s="24"/>
      <c r="M14708" s="24"/>
      <c r="N14708" s="24"/>
      <c r="O14708" s="24"/>
      <c r="P14708" s="24"/>
      <c r="Q14708" s="24"/>
      <c r="R14708" s="24"/>
      <c r="S14708" s="24"/>
      <c r="T14708" s="24"/>
      <c r="U14708" s="24"/>
      <c r="V14708" s="24"/>
      <c r="W14708" s="24"/>
      <c r="X14708" s="24"/>
      <c r="Y14708" s="24"/>
      <c r="Z14708" s="24"/>
      <c r="AA14708" s="24"/>
    </row>
    <row r="14709">
      <c r="A14709" s="24"/>
      <c r="B14709" s="25"/>
      <c r="C14709" s="24"/>
      <c r="D14709" s="26"/>
      <c r="E14709" s="24"/>
      <c r="F14709" s="24"/>
      <c r="G14709" s="24"/>
      <c r="H14709" s="24"/>
      <c r="I14709" s="24"/>
      <c r="J14709" s="24"/>
      <c r="K14709" s="24"/>
      <c r="L14709" s="24"/>
      <c r="M14709" s="24"/>
      <c r="N14709" s="24"/>
      <c r="O14709" s="24"/>
      <c r="P14709" s="24"/>
      <c r="Q14709" s="24"/>
      <c r="R14709" s="24"/>
      <c r="S14709" s="24"/>
      <c r="T14709" s="24"/>
      <c r="U14709" s="24"/>
      <c r="V14709" s="24"/>
      <c r="W14709" s="24"/>
      <c r="X14709" s="24"/>
      <c r="Y14709" s="24"/>
      <c r="Z14709" s="24"/>
      <c r="AA14709" s="24"/>
    </row>
    <row r="14710">
      <c r="A14710" s="24"/>
      <c r="B14710" s="25"/>
      <c r="C14710" s="24"/>
      <c r="D14710" s="26"/>
      <c r="E14710" s="24"/>
      <c r="F14710" s="24"/>
      <c r="G14710" s="24"/>
      <c r="H14710" s="24"/>
      <c r="I14710" s="24"/>
      <c r="J14710" s="24"/>
      <c r="K14710" s="24"/>
      <c r="L14710" s="24"/>
      <c r="M14710" s="24"/>
      <c r="N14710" s="24"/>
      <c r="O14710" s="24"/>
      <c r="P14710" s="24"/>
      <c r="Q14710" s="24"/>
      <c r="R14710" s="24"/>
      <c r="S14710" s="24"/>
      <c r="T14710" s="24"/>
      <c r="U14710" s="24"/>
      <c r="V14710" s="24"/>
      <c r="W14710" s="24"/>
      <c r="X14710" s="24"/>
      <c r="Y14710" s="24"/>
      <c r="Z14710" s="24"/>
      <c r="AA14710" s="24"/>
    </row>
    <row r="14711">
      <c r="A14711" s="24"/>
      <c r="B14711" s="25"/>
      <c r="C14711" s="24"/>
      <c r="D14711" s="26"/>
      <c r="E14711" s="24"/>
      <c r="F14711" s="24"/>
      <c r="G14711" s="24"/>
      <c r="H14711" s="24"/>
      <c r="I14711" s="24"/>
      <c r="J14711" s="24"/>
      <c r="K14711" s="24"/>
      <c r="L14711" s="24"/>
      <c r="M14711" s="24"/>
      <c r="N14711" s="24"/>
      <c r="O14711" s="24"/>
      <c r="P14711" s="24"/>
      <c r="Q14711" s="24"/>
      <c r="R14711" s="24"/>
      <c r="S14711" s="24"/>
      <c r="T14711" s="24"/>
      <c r="U14711" s="24"/>
      <c r="V14711" s="24"/>
      <c r="W14711" s="24"/>
      <c r="X14711" s="24"/>
      <c r="Y14711" s="24"/>
      <c r="Z14711" s="24"/>
      <c r="AA14711" s="24"/>
    </row>
    <row r="14712">
      <c r="A14712" s="24"/>
      <c r="B14712" s="25"/>
      <c r="C14712" s="24"/>
      <c r="D14712" s="26"/>
      <c r="E14712" s="24"/>
      <c r="F14712" s="24"/>
      <c r="G14712" s="24"/>
      <c r="H14712" s="24"/>
      <c r="I14712" s="24"/>
      <c r="J14712" s="24"/>
      <c r="K14712" s="24"/>
      <c r="L14712" s="24"/>
      <c r="M14712" s="24"/>
      <c r="N14712" s="24"/>
      <c r="O14712" s="24"/>
      <c r="P14712" s="24"/>
      <c r="Q14712" s="24"/>
      <c r="R14712" s="24"/>
      <c r="S14712" s="24"/>
      <c r="T14712" s="24"/>
      <c r="U14712" s="24"/>
      <c r="V14712" s="24"/>
      <c r="W14712" s="24"/>
      <c r="X14712" s="24"/>
      <c r="Y14712" s="24"/>
      <c r="Z14712" s="24"/>
      <c r="AA14712" s="24"/>
    </row>
    <row r="14713">
      <c r="A14713" s="24"/>
      <c r="B14713" s="25"/>
      <c r="C14713" s="24"/>
      <c r="D14713" s="26"/>
      <c r="E14713" s="24"/>
      <c r="F14713" s="24"/>
      <c r="G14713" s="24"/>
      <c r="H14713" s="24"/>
      <c r="I14713" s="24"/>
      <c r="J14713" s="24"/>
      <c r="K14713" s="24"/>
      <c r="L14713" s="24"/>
      <c r="M14713" s="24"/>
      <c r="N14713" s="24"/>
      <c r="O14713" s="24"/>
      <c r="P14713" s="24"/>
      <c r="Q14713" s="24"/>
      <c r="R14713" s="24"/>
      <c r="S14713" s="24"/>
      <c r="T14713" s="24"/>
      <c r="U14713" s="24"/>
      <c r="V14713" s="24"/>
      <c r="W14713" s="24"/>
      <c r="X14713" s="24"/>
      <c r="Y14713" s="24"/>
      <c r="Z14713" s="24"/>
      <c r="AA14713" s="24"/>
    </row>
    <row r="14714">
      <c r="A14714" s="24"/>
      <c r="B14714" s="25"/>
      <c r="C14714" s="24"/>
      <c r="D14714" s="26"/>
      <c r="E14714" s="24"/>
      <c r="F14714" s="24"/>
      <c r="G14714" s="24"/>
      <c r="H14714" s="24"/>
      <c r="I14714" s="24"/>
      <c r="J14714" s="24"/>
      <c r="K14714" s="24"/>
      <c r="L14714" s="24"/>
      <c r="M14714" s="24"/>
      <c r="N14714" s="24"/>
      <c r="O14714" s="24"/>
      <c r="P14714" s="24"/>
      <c r="Q14714" s="24"/>
      <c r="R14714" s="24"/>
      <c r="S14714" s="24"/>
      <c r="T14714" s="24"/>
      <c r="U14714" s="24"/>
      <c r="V14714" s="24"/>
      <c r="W14714" s="24"/>
      <c r="X14714" s="24"/>
      <c r="Y14714" s="24"/>
      <c r="Z14714" s="24"/>
      <c r="AA14714" s="24"/>
    </row>
    <row r="14715">
      <c r="A14715" s="24"/>
      <c r="B14715" s="25"/>
      <c r="C14715" s="24"/>
      <c r="D14715" s="26"/>
      <c r="E14715" s="24"/>
      <c r="F14715" s="24"/>
      <c r="G14715" s="24"/>
      <c r="H14715" s="24"/>
      <c r="I14715" s="24"/>
      <c r="J14715" s="24"/>
      <c r="K14715" s="24"/>
      <c r="L14715" s="24"/>
      <c r="M14715" s="24"/>
      <c r="N14715" s="24"/>
      <c r="O14715" s="24"/>
      <c r="P14715" s="24"/>
      <c r="Q14715" s="24"/>
      <c r="R14715" s="24"/>
      <c r="S14715" s="24"/>
      <c r="T14715" s="24"/>
      <c r="U14715" s="24"/>
      <c r="V14715" s="24"/>
      <c r="W14715" s="24"/>
      <c r="X14715" s="24"/>
      <c r="Y14715" s="24"/>
      <c r="Z14715" s="24"/>
      <c r="AA14715" s="24"/>
    </row>
    <row r="14716">
      <c r="A14716" s="24"/>
      <c r="B14716" s="25"/>
      <c r="C14716" s="24"/>
      <c r="D14716" s="26"/>
      <c r="E14716" s="24"/>
      <c r="F14716" s="24"/>
      <c r="G14716" s="24"/>
      <c r="H14716" s="24"/>
      <c r="I14716" s="24"/>
      <c r="J14716" s="24"/>
      <c r="K14716" s="24"/>
      <c r="L14716" s="24"/>
      <c r="M14716" s="24"/>
      <c r="N14716" s="24"/>
      <c r="O14716" s="24"/>
      <c r="P14716" s="24"/>
      <c r="Q14716" s="24"/>
      <c r="R14716" s="24"/>
      <c r="S14716" s="24"/>
      <c r="T14716" s="24"/>
      <c r="U14716" s="24"/>
      <c r="V14716" s="24"/>
      <c r="W14716" s="24"/>
      <c r="X14716" s="24"/>
      <c r="Y14716" s="24"/>
      <c r="Z14716" s="24"/>
      <c r="AA14716" s="24"/>
    </row>
    <row r="14717">
      <c r="A14717" s="24"/>
      <c r="B14717" s="25"/>
      <c r="C14717" s="24"/>
      <c r="D14717" s="26"/>
      <c r="E14717" s="24"/>
      <c r="F14717" s="24"/>
      <c r="G14717" s="24"/>
      <c r="H14717" s="24"/>
      <c r="I14717" s="24"/>
      <c r="J14717" s="24"/>
      <c r="K14717" s="24"/>
      <c r="L14717" s="24"/>
      <c r="M14717" s="24"/>
      <c r="N14717" s="24"/>
      <c r="O14717" s="24"/>
      <c r="P14717" s="24"/>
      <c r="Q14717" s="24"/>
      <c r="R14717" s="24"/>
      <c r="S14717" s="24"/>
      <c r="T14717" s="24"/>
      <c r="U14717" s="24"/>
      <c r="V14717" s="24"/>
      <c r="W14717" s="24"/>
      <c r="X14717" s="24"/>
      <c r="Y14717" s="24"/>
      <c r="Z14717" s="24"/>
      <c r="AA14717" s="24"/>
    </row>
    <row r="14718">
      <c r="A14718" s="24"/>
      <c r="B14718" s="25"/>
      <c r="C14718" s="24"/>
      <c r="D14718" s="26"/>
      <c r="E14718" s="24"/>
      <c r="F14718" s="24"/>
      <c r="G14718" s="24"/>
      <c r="H14718" s="24"/>
      <c r="I14718" s="24"/>
      <c r="J14718" s="24"/>
      <c r="K14718" s="24"/>
      <c r="L14718" s="24"/>
      <c r="M14718" s="24"/>
      <c r="N14718" s="24"/>
      <c r="O14718" s="24"/>
      <c r="P14718" s="24"/>
      <c r="Q14718" s="24"/>
      <c r="R14718" s="24"/>
      <c r="S14718" s="24"/>
      <c r="T14718" s="24"/>
      <c r="U14718" s="24"/>
      <c r="V14718" s="24"/>
      <c r="W14718" s="24"/>
      <c r="X14718" s="24"/>
      <c r="Y14718" s="24"/>
      <c r="Z14718" s="24"/>
      <c r="AA14718" s="24"/>
    </row>
    <row r="14719">
      <c r="A14719" s="24"/>
      <c r="B14719" s="25"/>
      <c r="C14719" s="24"/>
      <c r="D14719" s="26"/>
      <c r="E14719" s="24"/>
      <c r="F14719" s="24"/>
      <c r="G14719" s="24"/>
      <c r="H14719" s="24"/>
      <c r="I14719" s="24"/>
      <c r="J14719" s="24"/>
      <c r="K14719" s="24"/>
      <c r="L14719" s="24"/>
      <c r="M14719" s="24"/>
      <c r="N14719" s="24"/>
      <c r="O14719" s="24"/>
      <c r="P14719" s="24"/>
      <c r="Q14719" s="24"/>
      <c r="R14719" s="24"/>
      <c r="S14719" s="24"/>
      <c r="T14719" s="24"/>
      <c r="U14719" s="24"/>
      <c r="V14719" s="24"/>
      <c r="W14719" s="24"/>
      <c r="X14719" s="24"/>
      <c r="Y14719" s="24"/>
      <c r="Z14719" s="24"/>
      <c r="AA14719" s="24"/>
    </row>
    <row r="14720">
      <c r="A14720" s="24"/>
      <c r="B14720" s="25"/>
      <c r="C14720" s="24"/>
      <c r="D14720" s="26"/>
      <c r="E14720" s="24"/>
      <c r="F14720" s="24"/>
      <c r="G14720" s="24"/>
      <c r="H14720" s="24"/>
      <c r="I14720" s="24"/>
      <c r="J14720" s="24"/>
      <c r="K14720" s="24"/>
      <c r="L14720" s="24"/>
      <c r="M14720" s="24"/>
      <c r="N14720" s="24"/>
      <c r="O14720" s="24"/>
      <c r="P14720" s="24"/>
      <c r="Q14720" s="24"/>
      <c r="R14720" s="24"/>
      <c r="S14720" s="24"/>
      <c r="T14720" s="24"/>
      <c r="U14720" s="24"/>
      <c r="V14720" s="24"/>
      <c r="W14720" s="24"/>
      <c r="X14720" s="24"/>
      <c r="Y14720" s="24"/>
      <c r="Z14720" s="24"/>
      <c r="AA14720" s="24"/>
    </row>
    <row r="14721">
      <c r="A14721" s="24"/>
      <c r="B14721" s="25"/>
      <c r="C14721" s="24"/>
      <c r="D14721" s="26"/>
      <c r="E14721" s="24"/>
      <c r="F14721" s="24"/>
      <c r="G14721" s="24"/>
      <c r="H14721" s="24"/>
      <c r="I14721" s="24"/>
      <c r="J14721" s="24"/>
      <c r="K14721" s="24"/>
      <c r="L14721" s="24"/>
      <c r="M14721" s="24"/>
      <c r="N14721" s="24"/>
      <c r="O14721" s="24"/>
      <c r="P14721" s="24"/>
      <c r="Q14721" s="24"/>
      <c r="R14721" s="24"/>
      <c r="S14721" s="24"/>
      <c r="T14721" s="24"/>
      <c r="U14721" s="24"/>
      <c r="V14721" s="24"/>
      <c r="W14721" s="24"/>
      <c r="X14721" s="24"/>
      <c r="Y14721" s="24"/>
      <c r="Z14721" s="24"/>
      <c r="AA14721" s="24"/>
    </row>
    <row r="14722">
      <c r="A14722" s="24"/>
      <c r="B14722" s="25"/>
      <c r="C14722" s="24"/>
      <c r="D14722" s="26"/>
      <c r="E14722" s="24"/>
      <c r="F14722" s="24"/>
      <c r="G14722" s="24"/>
      <c r="H14722" s="24"/>
      <c r="I14722" s="24"/>
      <c r="J14722" s="24"/>
      <c r="K14722" s="24"/>
      <c r="L14722" s="24"/>
      <c r="M14722" s="24"/>
      <c r="N14722" s="24"/>
      <c r="O14722" s="24"/>
      <c r="P14722" s="24"/>
      <c r="Q14722" s="24"/>
      <c r="R14722" s="24"/>
      <c r="S14722" s="24"/>
      <c r="T14722" s="24"/>
      <c r="U14722" s="24"/>
      <c r="V14722" s="24"/>
      <c r="W14722" s="24"/>
      <c r="X14722" s="24"/>
      <c r="Y14722" s="24"/>
      <c r="Z14722" s="24"/>
      <c r="AA14722" s="24"/>
    </row>
    <row r="14723">
      <c r="A14723" s="24"/>
      <c r="B14723" s="25"/>
      <c r="C14723" s="24"/>
      <c r="D14723" s="26"/>
      <c r="E14723" s="24"/>
      <c r="F14723" s="24"/>
      <c r="G14723" s="24"/>
      <c r="H14723" s="24"/>
      <c r="I14723" s="24"/>
      <c r="J14723" s="24"/>
      <c r="K14723" s="24"/>
      <c r="L14723" s="24"/>
      <c r="M14723" s="24"/>
      <c r="N14723" s="24"/>
      <c r="O14723" s="24"/>
      <c r="P14723" s="24"/>
      <c r="Q14723" s="24"/>
      <c r="R14723" s="24"/>
      <c r="S14723" s="24"/>
      <c r="T14723" s="24"/>
      <c r="U14723" s="24"/>
      <c r="V14723" s="24"/>
      <c r="W14723" s="24"/>
      <c r="X14723" s="24"/>
      <c r="Y14723" s="24"/>
      <c r="Z14723" s="24"/>
      <c r="AA14723" s="24"/>
    </row>
    <row r="14724">
      <c r="A14724" s="24"/>
      <c r="B14724" s="25"/>
      <c r="C14724" s="24"/>
      <c r="D14724" s="26"/>
      <c r="E14724" s="24"/>
      <c r="F14724" s="24"/>
      <c r="G14724" s="24"/>
      <c r="H14724" s="24"/>
      <c r="I14724" s="24"/>
      <c r="J14724" s="24"/>
      <c r="K14724" s="24"/>
      <c r="L14724" s="24"/>
      <c r="M14724" s="24"/>
      <c r="N14724" s="24"/>
      <c r="O14724" s="24"/>
      <c r="P14724" s="24"/>
      <c r="Q14724" s="24"/>
      <c r="R14724" s="24"/>
      <c r="S14724" s="24"/>
      <c r="T14724" s="24"/>
      <c r="U14724" s="24"/>
      <c r="V14724" s="24"/>
      <c r="W14724" s="24"/>
      <c r="X14724" s="24"/>
      <c r="Y14724" s="24"/>
      <c r="Z14724" s="24"/>
      <c r="AA14724" s="24"/>
    </row>
    <row r="14725">
      <c r="A14725" s="24"/>
      <c r="B14725" s="25"/>
      <c r="C14725" s="24"/>
      <c r="D14725" s="26"/>
      <c r="E14725" s="24"/>
      <c r="F14725" s="24"/>
      <c r="G14725" s="24"/>
      <c r="H14725" s="24"/>
      <c r="I14725" s="24"/>
      <c r="J14725" s="24"/>
      <c r="K14725" s="24"/>
      <c r="L14725" s="24"/>
      <c r="M14725" s="24"/>
      <c r="N14725" s="24"/>
      <c r="O14725" s="24"/>
      <c r="P14725" s="24"/>
      <c r="Q14725" s="24"/>
      <c r="R14725" s="24"/>
      <c r="S14725" s="24"/>
      <c r="T14725" s="24"/>
      <c r="U14725" s="24"/>
      <c r="V14725" s="24"/>
      <c r="W14725" s="24"/>
      <c r="X14725" s="24"/>
      <c r="Y14725" s="24"/>
      <c r="Z14725" s="24"/>
      <c r="AA14725" s="24"/>
    </row>
    <row r="14726">
      <c r="A14726" s="24"/>
      <c r="B14726" s="25"/>
      <c r="C14726" s="24"/>
      <c r="D14726" s="26"/>
      <c r="E14726" s="24"/>
      <c r="F14726" s="24"/>
      <c r="G14726" s="24"/>
      <c r="H14726" s="24"/>
      <c r="I14726" s="24"/>
      <c r="J14726" s="24"/>
      <c r="K14726" s="24"/>
      <c r="L14726" s="24"/>
      <c r="M14726" s="24"/>
      <c r="N14726" s="24"/>
      <c r="O14726" s="24"/>
      <c r="P14726" s="24"/>
      <c r="Q14726" s="24"/>
      <c r="R14726" s="24"/>
      <c r="S14726" s="24"/>
      <c r="T14726" s="24"/>
      <c r="U14726" s="24"/>
      <c r="V14726" s="24"/>
      <c r="W14726" s="24"/>
      <c r="X14726" s="24"/>
      <c r="Y14726" s="24"/>
      <c r="Z14726" s="24"/>
      <c r="AA14726" s="24"/>
    </row>
    <row r="14727">
      <c r="A14727" s="24"/>
      <c r="B14727" s="25"/>
      <c r="C14727" s="24"/>
      <c r="D14727" s="26"/>
      <c r="E14727" s="24"/>
      <c r="F14727" s="24"/>
      <c r="G14727" s="24"/>
      <c r="H14727" s="24"/>
      <c r="I14727" s="24"/>
      <c r="J14727" s="24"/>
      <c r="K14727" s="24"/>
      <c r="L14727" s="24"/>
      <c r="M14727" s="24"/>
      <c r="N14727" s="24"/>
      <c r="O14727" s="24"/>
      <c r="P14727" s="24"/>
      <c r="Q14727" s="24"/>
      <c r="R14727" s="24"/>
      <c r="S14727" s="24"/>
      <c r="T14727" s="24"/>
      <c r="U14727" s="24"/>
      <c r="V14727" s="24"/>
      <c r="W14727" s="24"/>
      <c r="X14727" s="24"/>
      <c r="Y14727" s="24"/>
      <c r="Z14727" s="24"/>
      <c r="AA14727" s="24"/>
    </row>
    <row r="14728">
      <c r="A14728" s="24"/>
      <c r="B14728" s="25"/>
      <c r="C14728" s="24"/>
      <c r="D14728" s="26"/>
      <c r="E14728" s="24"/>
      <c r="F14728" s="24"/>
      <c r="G14728" s="24"/>
      <c r="H14728" s="24"/>
      <c r="I14728" s="24"/>
      <c r="J14728" s="24"/>
      <c r="K14728" s="24"/>
      <c r="L14728" s="24"/>
      <c r="M14728" s="24"/>
      <c r="N14728" s="24"/>
      <c r="O14728" s="24"/>
      <c r="P14728" s="24"/>
      <c r="Q14728" s="24"/>
      <c r="R14728" s="24"/>
      <c r="S14728" s="24"/>
      <c r="T14728" s="24"/>
      <c r="U14728" s="24"/>
      <c r="V14728" s="24"/>
      <c r="W14728" s="24"/>
      <c r="X14728" s="24"/>
      <c r="Y14728" s="24"/>
      <c r="Z14728" s="24"/>
      <c r="AA14728" s="24"/>
    </row>
    <row r="14729">
      <c r="A14729" s="24"/>
      <c r="B14729" s="25"/>
      <c r="C14729" s="24"/>
      <c r="D14729" s="26"/>
      <c r="E14729" s="24"/>
      <c r="F14729" s="24"/>
      <c r="G14729" s="24"/>
      <c r="H14729" s="24"/>
      <c r="I14729" s="24"/>
      <c r="J14729" s="24"/>
      <c r="K14729" s="24"/>
      <c r="L14729" s="24"/>
      <c r="M14729" s="24"/>
      <c r="N14729" s="24"/>
      <c r="O14729" s="24"/>
      <c r="P14729" s="24"/>
      <c r="Q14729" s="24"/>
      <c r="R14729" s="24"/>
      <c r="S14729" s="24"/>
      <c r="T14729" s="24"/>
      <c r="U14729" s="24"/>
      <c r="V14729" s="24"/>
      <c r="W14729" s="24"/>
      <c r="X14729" s="24"/>
      <c r="Y14729" s="24"/>
      <c r="Z14729" s="24"/>
      <c r="AA14729" s="24"/>
    </row>
    <row r="14730">
      <c r="A14730" s="24"/>
      <c r="B14730" s="25"/>
      <c r="C14730" s="24"/>
      <c r="D14730" s="26"/>
      <c r="E14730" s="24"/>
      <c r="F14730" s="24"/>
      <c r="G14730" s="24"/>
      <c r="H14730" s="24"/>
      <c r="I14730" s="24"/>
      <c r="J14730" s="24"/>
      <c r="K14730" s="24"/>
      <c r="L14730" s="24"/>
      <c r="M14730" s="24"/>
      <c r="N14730" s="24"/>
      <c r="O14730" s="24"/>
      <c r="P14730" s="24"/>
      <c r="Q14730" s="24"/>
      <c r="R14730" s="24"/>
      <c r="S14730" s="24"/>
      <c r="T14730" s="24"/>
      <c r="U14730" s="24"/>
      <c r="V14730" s="24"/>
      <c r="W14730" s="24"/>
      <c r="X14730" s="24"/>
      <c r="Y14730" s="24"/>
      <c r="Z14730" s="24"/>
      <c r="AA14730" s="24"/>
    </row>
    <row r="14731">
      <c r="A14731" s="24"/>
      <c r="B14731" s="25"/>
      <c r="C14731" s="24"/>
      <c r="D14731" s="26"/>
      <c r="E14731" s="24"/>
      <c r="F14731" s="24"/>
      <c r="G14731" s="24"/>
      <c r="H14731" s="24"/>
      <c r="I14731" s="24"/>
      <c r="J14731" s="24"/>
      <c r="K14731" s="24"/>
      <c r="L14731" s="24"/>
      <c r="M14731" s="24"/>
      <c r="N14731" s="24"/>
      <c r="O14731" s="24"/>
      <c r="P14731" s="24"/>
      <c r="Q14731" s="24"/>
      <c r="R14731" s="24"/>
      <c r="S14731" s="24"/>
      <c r="T14731" s="24"/>
      <c r="U14731" s="24"/>
      <c r="V14731" s="24"/>
      <c r="W14731" s="24"/>
      <c r="X14731" s="24"/>
      <c r="Y14731" s="24"/>
      <c r="Z14731" s="24"/>
      <c r="AA14731" s="24"/>
    </row>
    <row r="14732">
      <c r="A14732" s="24"/>
      <c r="B14732" s="25"/>
      <c r="C14732" s="24"/>
      <c r="D14732" s="26"/>
      <c r="E14732" s="24"/>
      <c r="F14732" s="24"/>
      <c r="G14732" s="24"/>
      <c r="H14732" s="24"/>
      <c r="I14732" s="24"/>
      <c r="J14732" s="24"/>
      <c r="K14732" s="24"/>
      <c r="L14732" s="24"/>
      <c r="M14732" s="24"/>
      <c r="N14732" s="24"/>
      <c r="O14732" s="24"/>
      <c r="P14732" s="24"/>
      <c r="Q14732" s="24"/>
      <c r="R14732" s="24"/>
      <c r="S14732" s="24"/>
      <c r="T14732" s="24"/>
      <c r="U14732" s="24"/>
      <c r="V14732" s="24"/>
      <c r="W14732" s="24"/>
      <c r="X14732" s="24"/>
      <c r="Y14732" s="24"/>
      <c r="Z14732" s="24"/>
      <c r="AA14732" s="24"/>
    </row>
    <row r="14733">
      <c r="A14733" s="24"/>
      <c r="B14733" s="25"/>
      <c r="C14733" s="24"/>
      <c r="D14733" s="26"/>
      <c r="E14733" s="24"/>
      <c r="F14733" s="24"/>
      <c r="G14733" s="24"/>
      <c r="H14733" s="24"/>
      <c r="I14733" s="24"/>
      <c r="J14733" s="24"/>
      <c r="K14733" s="24"/>
      <c r="L14733" s="24"/>
      <c r="M14733" s="24"/>
      <c r="N14733" s="24"/>
      <c r="O14733" s="24"/>
      <c r="P14733" s="24"/>
      <c r="Q14733" s="24"/>
      <c r="R14733" s="24"/>
      <c r="S14733" s="24"/>
      <c r="T14733" s="24"/>
      <c r="U14733" s="24"/>
      <c r="V14733" s="24"/>
      <c r="W14733" s="24"/>
      <c r="X14733" s="24"/>
      <c r="Y14733" s="24"/>
      <c r="Z14733" s="24"/>
      <c r="AA14733" s="24"/>
    </row>
    <row r="14734">
      <c r="A14734" s="24"/>
      <c r="B14734" s="25"/>
      <c r="C14734" s="24"/>
      <c r="D14734" s="26"/>
      <c r="E14734" s="24"/>
      <c r="F14734" s="24"/>
      <c r="G14734" s="24"/>
      <c r="H14734" s="24"/>
      <c r="I14734" s="24"/>
      <c r="J14734" s="24"/>
      <c r="K14734" s="24"/>
      <c r="L14734" s="24"/>
      <c r="M14734" s="24"/>
      <c r="N14734" s="24"/>
      <c r="O14734" s="24"/>
      <c r="P14734" s="24"/>
      <c r="Q14734" s="24"/>
      <c r="R14734" s="24"/>
      <c r="S14734" s="24"/>
      <c r="T14734" s="24"/>
      <c r="U14734" s="24"/>
      <c r="V14734" s="24"/>
      <c r="W14734" s="24"/>
      <c r="X14734" s="24"/>
      <c r="Y14734" s="24"/>
      <c r="Z14734" s="24"/>
      <c r="AA14734" s="24"/>
    </row>
    <row r="14735">
      <c r="A14735" s="24"/>
      <c r="B14735" s="25"/>
      <c r="C14735" s="24"/>
      <c r="D14735" s="26"/>
      <c r="E14735" s="24"/>
      <c r="F14735" s="24"/>
      <c r="G14735" s="24"/>
      <c r="H14735" s="24"/>
      <c r="I14735" s="24"/>
      <c r="J14735" s="24"/>
      <c r="K14735" s="24"/>
      <c r="L14735" s="24"/>
      <c r="M14735" s="24"/>
      <c r="N14735" s="24"/>
      <c r="O14735" s="24"/>
      <c r="P14735" s="24"/>
      <c r="Q14735" s="24"/>
      <c r="R14735" s="24"/>
      <c r="S14735" s="24"/>
      <c r="T14735" s="24"/>
      <c r="U14735" s="24"/>
      <c r="V14735" s="24"/>
      <c r="W14735" s="24"/>
      <c r="X14735" s="24"/>
      <c r="Y14735" s="24"/>
      <c r="Z14735" s="24"/>
      <c r="AA14735" s="24"/>
    </row>
    <row r="14736">
      <c r="A14736" s="24"/>
      <c r="B14736" s="25"/>
      <c r="C14736" s="24"/>
      <c r="D14736" s="26"/>
      <c r="E14736" s="24"/>
      <c r="F14736" s="24"/>
      <c r="G14736" s="24"/>
      <c r="H14736" s="24"/>
      <c r="I14736" s="24"/>
      <c r="J14736" s="24"/>
      <c r="K14736" s="24"/>
      <c r="L14736" s="24"/>
      <c r="M14736" s="24"/>
      <c r="N14736" s="24"/>
      <c r="O14736" s="24"/>
      <c r="P14736" s="24"/>
      <c r="Q14736" s="24"/>
      <c r="R14736" s="24"/>
      <c r="S14736" s="24"/>
      <c r="T14736" s="24"/>
      <c r="U14736" s="24"/>
      <c r="V14736" s="24"/>
      <c r="W14736" s="24"/>
      <c r="X14736" s="24"/>
      <c r="Y14736" s="24"/>
      <c r="Z14736" s="24"/>
      <c r="AA14736" s="24"/>
    </row>
    <row r="14737">
      <c r="A14737" s="24"/>
      <c r="B14737" s="25"/>
      <c r="C14737" s="24"/>
      <c r="D14737" s="26"/>
      <c r="E14737" s="24"/>
      <c r="F14737" s="24"/>
      <c r="G14737" s="24"/>
      <c r="H14737" s="24"/>
      <c r="I14737" s="24"/>
      <c r="J14737" s="24"/>
      <c r="K14737" s="24"/>
      <c r="L14737" s="24"/>
      <c r="M14737" s="24"/>
      <c r="N14737" s="24"/>
      <c r="O14737" s="24"/>
      <c r="P14737" s="24"/>
      <c r="Q14737" s="24"/>
      <c r="R14737" s="24"/>
      <c r="S14737" s="24"/>
      <c r="T14737" s="24"/>
      <c r="U14737" s="24"/>
      <c r="V14737" s="24"/>
      <c r="W14737" s="24"/>
      <c r="X14737" s="24"/>
      <c r="Y14737" s="24"/>
      <c r="Z14737" s="24"/>
      <c r="AA14737" s="24"/>
    </row>
    <row r="14738">
      <c r="A14738" s="24"/>
      <c r="B14738" s="25"/>
      <c r="C14738" s="24"/>
      <c r="D14738" s="26"/>
      <c r="E14738" s="24"/>
      <c r="F14738" s="24"/>
      <c r="G14738" s="24"/>
      <c r="H14738" s="24"/>
      <c r="I14738" s="24"/>
      <c r="J14738" s="24"/>
      <c r="K14738" s="24"/>
      <c r="L14738" s="24"/>
      <c r="M14738" s="24"/>
      <c r="N14738" s="24"/>
      <c r="O14738" s="24"/>
      <c r="P14738" s="24"/>
      <c r="Q14738" s="24"/>
      <c r="R14738" s="24"/>
      <c r="S14738" s="24"/>
      <c r="T14738" s="24"/>
      <c r="U14738" s="24"/>
      <c r="V14738" s="24"/>
      <c r="W14738" s="24"/>
      <c r="X14738" s="24"/>
      <c r="Y14738" s="24"/>
      <c r="Z14738" s="24"/>
      <c r="AA14738" s="24"/>
    </row>
    <row r="14739">
      <c r="A14739" s="24"/>
      <c r="B14739" s="25"/>
      <c r="C14739" s="24"/>
      <c r="D14739" s="26"/>
      <c r="E14739" s="24"/>
      <c r="F14739" s="24"/>
      <c r="G14739" s="24"/>
      <c r="H14739" s="24"/>
      <c r="I14739" s="24"/>
      <c r="J14739" s="24"/>
      <c r="K14739" s="24"/>
      <c r="L14739" s="24"/>
      <c r="M14739" s="24"/>
      <c r="N14739" s="24"/>
      <c r="O14739" s="24"/>
      <c r="P14739" s="24"/>
      <c r="Q14739" s="24"/>
      <c r="R14739" s="24"/>
      <c r="S14739" s="24"/>
      <c r="T14739" s="24"/>
      <c r="U14739" s="24"/>
      <c r="V14739" s="24"/>
      <c r="W14739" s="24"/>
      <c r="X14739" s="24"/>
      <c r="Y14739" s="24"/>
      <c r="Z14739" s="24"/>
      <c r="AA14739" s="24"/>
    </row>
    <row r="14740">
      <c r="A14740" s="24"/>
      <c r="B14740" s="25"/>
      <c r="C14740" s="24"/>
      <c r="D14740" s="26"/>
      <c r="E14740" s="24"/>
      <c r="F14740" s="24"/>
      <c r="G14740" s="24"/>
      <c r="H14740" s="24"/>
      <c r="I14740" s="24"/>
      <c r="J14740" s="24"/>
      <c r="K14740" s="24"/>
      <c r="L14740" s="24"/>
      <c r="M14740" s="24"/>
      <c r="N14740" s="24"/>
      <c r="O14740" s="24"/>
      <c r="P14740" s="24"/>
      <c r="Q14740" s="24"/>
      <c r="R14740" s="24"/>
      <c r="S14740" s="24"/>
      <c r="T14740" s="24"/>
      <c r="U14740" s="24"/>
      <c r="V14740" s="24"/>
      <c r="W14740" s="24"/>
      <c r="X14740" s="24"/>
      <c r="Y14740" s="24"/>
      <c r="Z14740" s="24"/>
      <c r="AA14740" s="24"/>
    </row>
    <row r="14741">
      <c r="A14741" s="24"/>
      <c r="B14741" s="25"/>
      <c r="C14741" s="24"/>
      <c r="D14741" s="26"/>
      <c r="E14741" s="24"/>
      <c r="F14741" s="24"/>
      <c r="G14741" s="24"/>
      <c r="H14741" s="24"/>
      <c r="I14741" s="24"/>
      <c r="J14741" s="24"/>
      <c r="K14741" s="24"/>
      <c r="L14741" s="24"/>
      <c r="M14741" s="24"/>
      <c r="N14741" s="24"/>
      <c r="O14741" s="24"/>
      <c r="P14741" s="24"/>
      <c r="Q14741" s="24"/>
      <c r="R14741" s="24"/>
      <c r="S14741" s="24"/>
      <c r="T14741" s="24"/>
      <c r="U14741" s="24"/>
      <c r="V14741" s="24"/>
      <c r="W14741" s="24"/>
      <c r="X14741" s="24"/>
      <c r="Y14741" s="24"/>
      <c r="Z14741" s="24"/>
      <c r="AA14741" s="24"/>
    </row>
    <row r="14742">
      <c r="A14742" s="24"/>
      <c r="B14742" s="25"/>
      <c r="C14742" s="24"/>
      <c r="D14742" s="26"/>
      <c r="E14742" s="24"/>
      <c r="F14742" s="24"/>
      <c r="G14742" s="24"/>
      <c r="H14742" s="24"/>
      <c r="I14742" s="24"/>
      <c r="J14742" s="24"/>
      <c r="K14742" s="24"/>
      <c r="L14742" s="24"/>
      <c r="M14742" s="24"/>
      <c r="N14742" s="24"/>
      <c r="O14742" s="24"/>
      <c r="P14742" s="24"/>
      <c r="Q14742" s="24"/>
      <c r="R14742" s="24"/>
      <c r="S14742" s="24"/>
      <c r="T14742" s="24"/>
      <c r="U14742" s="24"/>
      <c r="V14742" s="24"/>
      <c r="W14742" s="24"/>
      <c r="X14742" s="24"/>
      <c r="Y14742" s="24"/>
      <c r="Z14742" s="24"/>
      <c r="AA14742" s="24"/>
    </row>
    <row r="14743">
      <c r="A14743" s="24"/>
      <c r="B14743" s="25"/>
      <c r="C14743" s="24"/>
      <c r="D14743" s="26"/>
      <c r="E14743" s="24"/>
      <c r="F14743" s="24"/>
      <c r="G14743" s="24"/>
      <c r="H14743" s="24"/>
      <c r="I14743" s="24"/>
      <c r="J14743" s="24"/>
      <c r="K14743" s="24"/>
      <c r="L14743" s="24"/>
      <c r="M14743" s="24"/>
      <c r="N14743" s="24"/>
      <c r="O14743" s="24"/>
      <c r="P14743" s="24"/>
      <c r="Q14743" s="24"/>
      <c r="R14743" s="24"/>
      <c r="S14743" s="24"/>
      <c r="T14743" s="24"/>
      <c r="U14743" s="24"/>
      <c r="V14743" s="24"/>
      <c r="W14743" s="24"/>
      <c r="X14743" s="24"/>
      <c r="Y14743" s="24"/>
      <c r="Z14743" s="24"/>
      <c r="AA14743" s="24"/>
    </row>
    <row r="14744">
      <c r="A14744" s="24"/>
      <c r="B14744" s="25"/>
      <c r="C14744" s="24"/>
      <c r="D14744" s="26"/>
      <c r="E14744" s="24"/>
      <c r="F14744" s="24"/>
      <c r="G14744" s="24"/>
      <c r="H14744" s="24"/>
      <c r="I14744" s="24"/>
      <c r="J14744" s="24"/>
      <c r="K14744" s="24"/>
      <c r="L14744" s="24"/>
      <c r="M14744" s="24"/>
      <c r="N14744" s="24"/>
      <c r="O14744" s="24"/>
      <c r="P14744" s="24"/>
      <c r="Q14744" s="24"/>
      <c r="R14744" s="24"/>
      <c r="S14744" s="24"/>
      <c r="T14744" s="24"/>
      <c r="U14744" s="24"/>
      <c r="V14744" s="24"/>
      <c r="W14744" s="24"/>
      <c r="X14744" s="24"/>
      <c r="Y14744" s="24"/>
      <c r="Z14744" s="24"/>
      <c r="AA14744" s="24"/>
    </row>
    <row r="14745">
      <c r="A14745" s="24"/>
      <c r="B14745" s="25"/>
      <c r="C14745" s="24"/>
      <c r="D14745" s="26"/>
      <c r="E14745" s="24"/>
      <c r="F14745" s="24"/>
      <c r="G14745" s="24"/>
      <c r="H14745" s="24"/>
      <c r="I14745" s="24"/>
      <c r="J14745" s="24"/>
      <c r="K14745" s="24"/>
      <c r="L14745" s="24"/>
      <c r="M14745" s="24"/>
      <c r="N14745" s="24"/>
      <c r="O14745" s="24"/>
      <c r="P14745" s="24"/>
      <c r="Q14745" s="24"/>
      <c r="R14745" s="24"/>
      <c r="S14745" s="24"/>
      <c r="T14745" s="24"/>
      <c r="U14745" s="24"/>
      <c r="V14745" s="24"/>
      <c r="W14745" s="24"/>
      <c r="X14745" s="24"/>
      <c r="Y14745" s="24"/>
      <c r="Z14745" s="24"/>
      <c r="AA14745" s="24"/>
    </row>
    <row r="14746">
      <c r="A14746" s="24"/>
      <c r="B14746" s="25"/>
      <c r="C14746" s="24"/>
      <c r="D14746" s="26"/>
      <c r="E14746" s="24"/>
      <c r="F14746" s="24"/>
      <c r="G14746" s="24"/>
      <c r="H14746" s="24"/>
      <c r="I14746" s="24"/>
      <c r="J14746" s="24"/>
      <c r="K14746" s="24"/>
      <c r="L14746" s="24"/>
      <c r="M14746" s="24"/>
      <c r="N14746" s="24"/>
      <c r="O14746" s="24"/>
      <c r="P14746" s="24"/>
      <c r="Q14746" s="24"/>
      <c r="R14746" s="24"/>
      <c r="S14746" s="24"/>
      <c r="T14746" s="24"/>
      <c r="U14746" s="24"/>
      <c r="V14746" s="24"/>
      <c r="W14746" s="24"/>
      <c r="X14746" s="24"/>
      <c r="Y14746" s="24"/>
      <c r="Z14746" s="24"/>
      <c r="AA14746" s="24"/>
    </row>
    <row r="14747">
      <c r="A14747" s="24"/>
      <c r="B14747" s="25"/>
      <c r="C14747" s="24"/>
      <c r="D14747" s="26"/>
      <c r="E14747" s="24"/>
      <c r="F14747" s="24"/>
      <c r="G14747" s="24"/>
      <c r="H14747" s="24"/>
      <c r="I14747" s="24"/>
      <c r="J14747" s="24"/>
      <c r="K14747" s="24"/>
      <c r="L14747" s="24"/>
      <c r="M14747" s="24"/>
      <c r="N14747" s="24"/>
      <c r="O14747" s="24"/>
      <c r="P14747" s="24"/>
      <c r="Q14747" s="24"/>
      <c r="R14747" s="24"/>
      <c r="S14747" s="24"/>
      <c r="T14747" s="24"/>
      <c r="U14747" s="24"/>
      <c r="V14747" s="24"/>
      <c r="W14747" s="24"/>
      <c r="X14747" s="24"/>
      <c r="Y14747" s="24"/>
      <c r="Z14747" s="24"/>
      <c r="AA14747" s="24"/>
    </row>
    <row r="14748">
      <c r="A14748" s="24"/>
      <c r="B14748" s="25"/>
      <c r="C14748" s="24"/>
      <c r="D14748" s="26"/>
      <c r="E14748" s="24"/>
      <c r="F14748" s="24"/>
      <c r="G14748" s="24"/>
      <c r="H14748" s="24"/>
      <c r="I14748" s="24"/>
      <c r="J14748" s="24"/>
      <c r="K14748" s="24"/>
      <c r="L14748" s="24"/>
      <c r="M14748" s="24"/>
      <c r="N14748" s="24"/>
      <c r="O14748" s="24"/>
      <c r="P14748" s="24"/>
      <c r="Q14748" s="24"/>
      <c r="R14748" s="24"/>
      <c r="S14748" s="24"/>
      <c r="T14748" s="24"/>
      <c r="U14748" s="24"/>
      <c r="V14748" s="24"/>
      <c r="W14748" s="24"/>
      <c r="X14748" s="24"/>
      <c r="Y14748" s="24"/>
      <c r="Z14748" s="24"/>
      <c r="AA14748" s="24"/>
    </row>
    <row r="14749">
      <c r="A14749" s="24"/>
      <c r="B14749" s="25"/>
      <c r="C14749" s="24"/>
      <c r="D14749" s="26"/>
      <c r="E14749" s="24"/>
      <c r="F14749" s="24"/>
      <c r="G14749" s="24"/>
      <c r="H14749" s="24"/>
      <c r="I14749" s="24"/>
      <c r="J14749" s="24"/>
      <c r="K14749" s="24"/>
      <c r="L14749" s="24"/>
      <c r="M14749" s="24"/>
      <c r="N14749" s="24"/>
      <c r="O14749" s="24"/>
      <c r="P14749" s="24"/>
      <c r="Q14749" s="24"/>
      <c r="R14749" s="24"/>
      <c r="S14749" s="24"/>
      <c r="T14749" s="24"/>
      <c r="U14749" s="24"/>
      <c r="V14749" s="24"/>
      <c r="W14749" s="24"/>
      <c r="X14749" s="24"/>
      <c r="Y14749" s="24"/>
      <c r="Z14749" s="24"/>
      <c r="AA14749" s="24"/>
    </row>
    <row r="14750">
      <c r="A14750" s="24"/>
      <c r="B14750" s="25"/>
      <c r="C14750" s="24"/>
      <c r="D14750" s="26"/>
      <c r="E14750" s="24"/>
      <c r="F14750" s="24"/>
      <c r="G14750" s="24"/>
      <c r="H14750" s="24"/>
      <c r="I14750" s="24"/>
      <c r="J14750" s="24"/>
      <c r="K14750" s="24"/>
      <c r="L14750" s="24"/>
      <c r="M14750" s="24"/>
      <c r="N14750" s="24"/>
      <c r="O14750" s="24"/>
      <c r="P14750" s="24"/>
      <c r="Q14750" s="24"/>
      <c r="R14750" s="24"/>
      <c r="S14750" s="24"/>
      <c r="T14750" s="24"/>
      <c r="U14750" s="24"/>
      <c r="V14750" s="24"/>
      <c r="W14750" s="24"/>
      <c r="X14750" s="24"/>
      <c r="Y14750" s="24"/>
      <c r="Z14750" s="24"/>
      <c r="AA14750" s="24"/>
    </row>
    <row r="14751">
      <c r="A14751" s="24"/>
      <c r="B14751" s="25"/>
      <c r="C14751" s="24"/>
      <c r="D14751" s="26"/>
      <c r="E14751" s="24"/>
      <c r="F14751" s="24"/>
      <c r="G14751" s="24"/>
      <c r="H14751" s="24"/>
      <c r="I14751" s="24"/>
      <c r="J14751" s="24"/>
      <c r="K14751" s="24"/>
      <c r="L14751" s="24"/>
      <c r="M14751" s="24"/>
      <c r="N14751" s="24"/>
      <c r="O14751" s="24"/>
      <c r="P14751" s="24"/>
      <c r="Q14751" s="24"/>
      <c r="R14751" s="24"/>
      <c r="S14751" s="24"/>
      <c r="T14751" s="24"/>
      <c r="U14751" s="24"/>
      <c r="V14751" s="24"/>
      <c r="W14751" s="24"/>
      <c r="X14751" s="24"/>
      <c r="Y14751" s="24"/>
      <c r="Z14751" s="24"/>
      <c r="AA14751" s="24"/>
    </row>
    <row r="14752">
      <c r="A14752" s="24"/>
      <c r="B14752" s="25"/>
      <c r="C14752" s="24"/>
      <c r="D14752" s="26"/>
      <c r="E14752" s="24"/>
      <c r="F14752" s="24"/>
      <c r="G14752" s="24"/>
      <c r="H14752" s="24"/>
      <c r="I14752" s="24"/>
      <c r="J14752" s="24"/>
      <c r="K14752" s="24"/>
      <c r="L14752" s="24"/>
      <c r="M14752" s="24"/>
      <c r="N14752" s="24"/>
      <c r="O14752" s="24"/>
      <c r="P14752" s="24"/>
      <c r="Q14752" s="24"/>
      <c r="R14752" s="24"/>
      <c r="S14752" s="24"/>
      <c r="T14752" s="24"/>
      <c r="U14752" s="24"/>
      <c r="V14752" s="24"/>
      <c r="W14752" s="24"/>
      <c r="X14752" s="24"/>
      <c r="Y14752" s="24"/>
      <c r="Z14752" s="24"/>
      <c r="AA14752" s="24"/>
    </row>
    <row r="14753">
      <c r="A14753" s="24"/>
      <c r="B14753" s="25"/>
      <c r="C14753" s="24"/>
      <c r="D14753" s="26"/>
      <c r="E14753" s="24"/>
      <c r="F14753" s="24"/>
      <c r="G14753" s="24"/>
      <c r="H14753" s="24"/>
      <c r="I14753" s="24"/>
      <c r="J14753" s="24"/>
      <c r="K14753" s="24"/>
      <c r="L14753" s="24"/>
      <c r="M14753" s="24"/>
      <c r="N14753" s="24"/>
      <c r="O14753" s="24"/>
      <c r="P14753" s="24"/>
      <c r="Q14753" s="24"/>
      <c r="R14753" s="24"/>
      <c r="S14753" s="24"/>
      <c r="T14753" s="24"/>
      <c r="U14753" s="24"/>
      <c r="V14753" s="24"/>
      <c r="W14753" s="24"/>
      <c r="X14753" s="24"/>
      <c r="Y14753" s="24"/>
      <c r="Z14753" s="24"/>
      <c r="AA14753" s="24"/>
    </row>
    <row r="14754">
      <c r="A14754" s="24"/>
      <c r="B14754" s="25"/>
      <c r="C14754" s="24"/>
      <c r="D14754" s="26"/>
      <c r="E14754" s="24"/>
      <c r="F14754" s="24"/>
      <c r="G14754" s="24"/>
      <c r="H14754" s="24"/>
      <c r="I14754" s="24"/>
      <c r="J14754" s="24"/>
      <c r="K14754" s="24"/>
      <c r="L14754" s="24"/>
      <c r="M14754" s="24"/>
      <c r="N14754" s="24"/>
      <c r="O14754" s="24"/>
      <c r="P14754" s="24"/>
      <c r="Q14754" s="24"/>
      <c r="R14754" s="24"/>
      <c r="S14754" s="24"/>
      <c r="T14754" s="24"/>
      <c r="U14754" s="24"/>
      <c r="V14754" s="24"/>
      <c r="W14754" s="24"/>
      <c r="X14754" s="24"/>
      <c r="Y14754" s="24"/>
      <c r="Z14754" s="24"/>
      <c r="AA14754" s="24"/>
    </row>
    <row r="14755">
      <c r="A14755" s="24"/>
      <c r="B14755" s="25"/>
      <c r="C14755" s="24"/>
      <c r="D14755" s="26"/>
      <c r="E14755" s="24"/>
      <c r="F14755" s="24"/>
      <c r="G14755" s="24"/>
      <c r="H14755" s="24"/>
      <c r="I14755" s="24"/>
      <c r="J14755" s="24"/>
      <c r="K14755" s="24"/>
      <c r="L14755" s="24"/>
      <c r="M14755" s="24"/>
      <c r="N14755" s="24"/>
      <c r="O14755" s="24"/>
      <c r="P14755" s="24"/>
      <c r="Q14755" s="24"/>
      <c r="R14755" s="24"/>
      <c r="S14755" s="24"/>
      <c r="T14755" s="24"/>
      <c r="U14755" s="24"/>
      <c r="V14755" s="24"/>
      <c r="W14755" s="24"/>
      <c r="X14755" s="24"/>
      <c r="Y14755" s="24"/>
      <c r="Z14755" s="24"/>
      <c r="AA14755" s="24"/>
    </row>
    <row r="14756">
      <c r="A14756" s="24"/>
      <c r="B14756" s="25"/>
      <c r="C14756" s="24"/>
      <c r="D14756" s="26"/>
      <c r="E14756" s="24"/>
      <c r="F14756" s="24"/>
      <c r="G14756" s="24"/>
      <c r="H14756" s="24"/>
      <c r="I14756" s="24"/>
      <c r="J14756" s="24"/>
      <c r="K14756" s="24"/>
      <c r="L14756" s="24"/>
      <c r="M14756" s="24"/>
      <c r="N14756" s="24"/>
      <c r="O14756" s="24"/>
      <c r="P14756" s="24"/>
      <c r="Q14756" s="24"/>
      <c r="R14756" s="24"/>
      <c r="S14756" s="24"/>
      <c r="T14756" s="24"/>
      <c r="U14756" s="24"/>
      <c r="V14756" s="24"/>
      <c r="W14756" s="24"/>
      <c r="X14756" s="24"/>
      <c r="Y14756" s="24"/>
      <c r="Z14756" s="24"/>
      <c r="AA14756" s="24"/>
    </row>
    <row r="14757">
      <c r="A14757" s="24"/>
      <c r="B14757" s="25"/>
      <c r="C14757" s="24"/>
      <c r="D14757" s="26"/>
      <c r="E14757" s="24"/>
      <c r="F14757" s="24"/>
      <c r="G14757" s="24"/>
      <c r="H14757" s="24"/>
      <c r="I14757" s="24"/>
      <c r="J14757" s="24"/>
      <c r="K14757" s="24"/>
      <c r="L14757" s="24"/>
      <c r="M14757" s="24"/>
      <c r="N14757" s="24"/>
      <c r="O14757" s="24"/>
      <c r="P14757" s="24"/>
      <c r="Q14757" s="24"/>
      <c r="R14757" s="24"/>
      <c r="S14757" s="24"/>
      <c r="T14757" s="24"/>
      <c r="U14757" s="24"/>
      <c r="V14757" s="24"/>
      <c r="W14757" s="24"/>
      <c r="X14757" s="24"/>
      <c r="Y14757" s="24"/>
      <c r="Z14757" s="24"/>
      <c r="AA14757" s="24"/>
    </row>
    <row r="14758">
      <c r="A14758" s="24"/>
      <c r="B14758" s="25"/>
      <c r="C14758" s="24"/>
      <c r="D14758" s="26"/>
      <c r="E14758" s="24"/>
      <c r="F14758" s="24"/>
      <c r="G14758" s="24"/>
      <c r="H14758" s="24"/>
      <c r="I14758" s="24"/>
      <c r="J14758" s="24"/>
      <c r="K14758" s="24"/>
      <c r="L14758" s="24"/>
      <c r="M14758" s="24"/>
      <c r="N14758" s="24"/>
      <c r="O14758" s="24"/>
      <c r="P14758" s="24"/>
      <c r="Q14758" s="24"/>
      <c r="R14758" s="24"/>
      <c r="S14758" s="24"/>
      <c r="T14758" s="24"/>
      <c r="U14758" s="24"/>
      <c r="V14758" s="24"/>
      <c r="W14758" s="24"/>
      <c r="X14758" s="24"/>
      <c r="Y14758" s="24"/>
      <c r="Z14758" s="24"/>
      <c r="AA14758" s="24"/>
    </row>
    <row r="14759">
      <c r="A14759" s="24"/>
      <c r="B14759" s="25"/>
      <c r="C14759" s="24"/>
      <c r="D14759" s="26"/>
      <c r="E14759" s="24"/>
      <c r="F14759" s="24"/>
      <c r="G14759" s="24"/>
      <c r="H14759" s="24"/>
      <c r="I14759" s="24"/>
      <c r="J14759" s="24"/>
      <c r="K14759" s="24"/>
      <c r="L14759" s="24"/>
      <c r="M14759" s="24"/>
      <c r="N14759" s="24"/>
      <c r="O14759" s="24"/>
      <c r="P14759" s="24"/>
      <c r="Q14759" s="24"/>
      <c r="R14759" s="24"/>
      <c r="S14759" s="24"/>
      <c r="T14759" s="24"/>
      <c r="U14759" s="24"/>
      <c r="V14759" s="24"/>
      <c r="W14759" s="24"/>
      <c r="X14759" s="24"/>
      <c r="Y14759" s="24"/>
      <c r="Z14759" s="24"/>
      <c r="AA14759" s="24"/>
    </row>
    <row r="14760">
      <c r="A14760" s="24"/>
      <c r="B14760" s="25"/>
      <c r="C14760" s="24"/>
      <c r="D14760" s="26"/>
      <c r="E14760" s="24"/>
      <c r="F14760" s="24"/>
      <c r="G14760" s="24"/>
      <c r="H14760" s="24"/>
      <c r="I14760" s="24"/>
      <c r="J14760" s="24"/>
      <c r="K14760" s="24"/>
      <c r="L14760" s="24"/>
      <c r="M14760" s="24"/>
      <c r="N14760" s="24"/>
      <c r="O14760" s="24"/>
      <c r="P14760" s="24"/>
      <c r="Q14760" s="24"/>
      <c r="R14760" s="24"/>
      <c r="S14760" s="24"/>
      <c r="T14760" s="24"/>
      <c r="U14760" s="24"/>
      <c r="V14760" s="24"/>
      <c r="W14760" s="24"/>
      <c r="X14760" s="24"/>
      <c r="Y14760" s="24"/>
      <c r="Z14760" s="24"/>
      <c r="AA14760" s="24"/>
    </row>
    <row r="14761">
      <c r="A14761" s="24"/>
      <c r="B14761" s="25"/>
      <c r="C14761" s="24"/>
      <c r="D14761" s="26"/>
      <c r="E14761" s="24"/>
      <c r="F14761" s="24"/>
      <c r="G14761" s="24"/>
      <c r="H14761" s="24"/>
      <c r="I14761" s="24"/>
      <c r="J14761" s="24"/>
      <c r="K14761" s="24"/>
      <c r="L14761" s="24"/>
      <c r="M14761" s="24"/>
      <c r="N14761" s="24"/>
      <c r="O14761" s="24"/>
      <c r="P14761" s="24"/>
      <c r="Q14761" s="24"/>
      <c r="R14761" s="24"/>
      <c r="S14761" s="24"/>
      <c r="T14761" s="24"/>
      <c r="U14761" s="24"/>
      <c r="V14761" s="24"/>
      <c r="W14761" s="24"/>
      <c r="X14761" s="24"/>
      <c r="Y14761" s="24"/>
      <c r="Z14761" s="24"/>
      <c r="AA14761" s="24"/>
    </row>
    <row r="14762">
      <c r="A14762" s="24"/>
      <c r="B14762" s="25"/>
      <c r="C14762" s="24"/>
      <c r="D14762" s="26"/>
      <c r="E14762" s="24"/>
      <c r="F14762" s="24"/>
      <c r="G14762" s="24"/>
      <c r="H14762" s="24"/>
      <c r="I14762" s="24"/>
      <c r="J14762" s="24"/>
      <c r="K14762" s="24"/>
      <c r="L14762" s="24"/>
      <c r="M14762" s="24"/>
      <c r="N14762" s="24"/>
      <c r="O14762" s="24"/>
      <c r="P14762" s="24"/>
      <c r="Q14762" s="24"/>
      <c r="R14762" s="24"/>
      <c r="S14762" s="24"/>
      <c r="T14762" s="24"/>
      <c r="U14762" s="24"/>
      <c r="V14762" s="24"/>
      <c r="W14762" s="24"/>
      <c r="X14762" s="24"/>
      <c r="Y14762" s="24"/>
      <c r="Z14762" s="24"/>
      <c r="AA14762" s="24"/>
    </row>
    <row r="14763">
      <c r="A14763" s="24"/>
      <c r="B14763" s="25"/>
      <c r="C14763" s="24"/>
      <c r="D14763" s="26"/>
      <c r="E14763" s="24"/>
      <c r="F14763" s="24"/>
      <c r="G14763" s="24"/>
      <c r="H14763" s="24"/>
      <c r="I14763" s="24"/>
      <c r="J14763" s="24"/>
      <c r="K14763" s="24"/>
      <c r="L14763" s="24"/>
      <c r="M14763" s="24"/>
      <c r="N14763" s="24"/>
      <c r="O14763" s="24"/>
      <c r="P14763" s="24"/>
      <c r="Q14763" s="24"/>
      <c r="R14763" s="24"/>
      <c r="S14763" s="24"/>
      <c r="T14763" s="24"/>
      <c r="U14763" s="24"/>
      <c r="V14763" s="24"/>
      <c r="W14763" s="24"/>
      <c r="X14763" s="24"/>
      <c r="Y14763" s="24"/>
      <c r="Z14763" s="24"/>
      <c r="AA14763" s="24"/>
    </row>
    <row r="14764">
      <c r="A14764" s="24"/>
      <c r="B14764" s="25"/>
      <c r="C14764" s="24"/>
      <c r="D14764" s="26"/>
      <c r="E14764" s="24"/>
      <c r="F14764" s="24"/>
      <c r="G14764" s="24"/>
      <c r="H14764" s="24"/>
      <c r="I14764" s="24"/>
      <c r="J14764" s="24"/>
      <c r="K14764" s="24"/>
      <c r="L14764" s="24"/>
      <c r="M14764" s="24"/>
      <c r="N14764" s="24"/>
      <c r="O14764" s="24"/>
      <c r="P14764" s="24"/>
      <c r="Q14764" s="24"/>
      <c r="R14764" s="24"/>
      <c r="S14764" s="24"/>
      <c r="T14764" s="24"/>
      <c r="U14764" s="24"/>
      <c r="V14764" s="24"/>
      <c r="W14764" s="24"/>
      <c r="X14764" s="24"/>
      <c r="Y14764" s="24"/>
      <c r="Z14764" s="24"/>
      <c r="AA14764" s="24"/>
    </row>
    <row r="14765">
      <c r="A14765" s="24"/>
      <c r="B14765" s="25"/>
      <c r="C14765" s="24"/>
      <c r="D14765" s="26"/>
      <c r="E14765" s="24"/>
      <c r="F14765" s="24"/>
      <c r="G14765" s="24"/>
      <c r="H14765" s="24"/>
      <c r="I14765" s="24"/>
      <c r="J14765" s="24"/>
      <c r="K14765" s="24"/>
      <c r="L14765" s="24"/>
      <c r="M14765" s="24"/>
      <c r="N14765" s="24"/>
      <c r="O14765" s="24"/>
      <c r="P14765" s="24"/>
      <c r="Q14765" s="24"/>
      <c r="R14765" s="24"/>
      <c r="S14765" s="24"/>
      <c r="T14765" s="24"/>
      <c r="U14765" s="24"/>
      <c r="V14765" s="24"/>
      <c r="W14765" s="24"/>
      <c r="X14765" s="24"/>
      <c r="Y14765" s="24"/>
      <c r="Z14765" s="24"/>
      <c r="AA14765" s="24"/>
    </row>
    <row r="14766">
      <c r="A14766" s="24"/>
      <c r="B14766" s="25"/>
      <c r="C14766" s="24"/>
      <c r="D14766" s="26"/>
      <c r="E14766" s="24"/>
      <c r="F14766" s="24"/>
      <c r="G14766" s="24"/>
      <c r="H14766" s="24"/>
      <c r="I14766" s="24"/>
      <c r="J14766" s="24"/>
      <c r="K14766" s="24"/>
      <c r="L14766" s="24"/>
      <c r="M14766" s="24"/>
      <c r="N14766" s="24"/>
      <c r="O14766" s="24"/>
      <c r="P14766" s="24"/>
      <c r="Q14766" s="24"/>
      <c r="R14766" s="24"/>
      <c r="S14766" s="24"/>
      <c r="T14766" s="24"/>
      <c r="U14766" s="24"/>
      <c r="V14766" s="24"/>
      <c r="W14766" s="24"/>
      <c r="X14766" s="24"/>
      <c r="Y14766" s="24"/>
      <c r="Z14766" s="24"/>
      <c r="AA14766" s="24"/>
    </row>
    <row r="14767">
      <c r="A14767" s="24"/>
      <c r="B14767" s="25"/>
      <c r="C14767" s="24"/>
      <c r="D14767" s="26"/>
      <c r="E14767" s="24"/>
      <c r="F14767" s="24"/>
      <c r="G14767" s="24"/>
      <c r="H14767" s="24"/>
      <c r="I14767" s="24"/>
      <c r="J14767" s="24"/>
      <c r="K14767" s="24"/>
      <c r="L14767" s="24"/>
      <c r="M14767" s="24"/>
      <c r="N14767" s="24"/>
      <c r="O14767" s="24"/>
      <c r="P14767" s="24"/>
      <c r="Q14767" s="24"/>
      <c r="R14767" s="24"/>
      <c r="S14767" s="24"/>
      <c r="T14767" s="24"/>
      <c r="U14767" s="24"/>
      <c r="V14767" s="24"/>
      <c r="W14767" s="24"/>
      <c r="X14767" s="24"/>
      <c r="Y14767" s="24"/>
      <c r="Z14767" s="24"/>
      <c r="AA14767" s="24"/>
    </row>
    <row r="14768">
      <c r="A14768" s="24"/>
      <c r="B14768" s="25"/>
      <c r="C14768" s="24"/>
      <c r="D14768" s="26"/>
      <c r="E14768" s="24"/>
      <c r="F14768" s="24"/>
      <c r="G14768" s="24"/>
      <c r="H14768" s="24"/>
      <c r="I14768" s="24"/>
      <c r="J14768" s="24"/>
      <c r="K14768" s="24"/>
      <c r="L14768" s="24"/>
      <c r="M14768" s="24"/>
      <c r="N14768" s="24"/>
      <c r="O14768" s="24"/>
      <c r="P14768" s="24"/>
      <c r="Q14768" s="24"/>
      <c r="R14768" s="24"/>
      <c r="S14768" s="24"/>
      <c r="T14768" s="24"/>
      <c r="U14768" s="24"/>
      <c r="V14768" s="24"/>
      <c r="W14768" s="24"/>
      <c r="X14768" s="24"/>
      <c r="Y14768" s="24"/>
      <c r="Z14768" s="24"/>
      <c r="AA14768" s="24"/>
    </row>
    <row r="14769">
      <c r="A14769" s="24"/>
      <c r="B14769" s="25"/>
      <c r="C14769" s="24"/>
      <c r="D14769" s="26"/>
      <c r="E14769" s="24"/>
      <c r="F14769" s="24"/>
      <c r="G14769" s="24"/>
      <c r="H14769" s="24"/>
      <c r="I14769" s="24"/>
      <c r="J14769" s="24"/>
      <c r="K14769" s="24"/>
      <c r="L14769" s="24"/>
      <c r="M14769" s="24"/>
      <c r="N14769" s="24"/>
      <c r="O14769" s="24"/>
      <c r="P14769" s="24"/>
      <c r="Q14769" s="24"/>
      <c r="R14769" s="24"/>
      <c r="S14769" s="24"/>
      <c r="T14769" s="24"/>
      <c r="U14769" s="24"/>
      <c r="V14769" s="24"/>
      <c r="W14769" s="24"/>
      <c r="X14769" s="24"/>
      <c r="Y14769" s="24"/>
      <c r="Z14769" s="24"/>
      <c r="AA14769" s="24"/>
    </row>
    <row r="14770">
      <c r="A14770" s="24"/>
      <c r="B14770" s="25"/>
      <c r="C14770" s="24"/>
      <c r="D14770" s="26"/>
      <c r="E14770" s="24"/>
      <c r="F14770" s="24"/>
      <c r="G14770" s="24"/>
      <c r="H14770" s="24"/>
      <c r="I14770" s="24"/>
      <c r="J14770" s="24"/>
      <c r="K14770" s="24"/>
      <c r="L14770" s="24"/>
      <c r="M14770" s="24"/>
      <c r="N14770" s="24"/>
      <c r="O14770" s="24"/>
      <c r="P14770" s="24"/>
      <c r="Q14770" s="24"/>
      <c r="R14770" s="24"/>
      <c r="S14770" s="24"/>
      <c r="T14770" s="24"/>
      <c r="U14770" s="24"/>
      <c r="V14770" s="24"/>
      <c r="W14770" s="24"/>
      <c r="X14770" s="24"/>
      <c r="Y14770" s="24"/>
      <c r="Z14770" s="24"/>
      <c r="AA14770" s="24"/>
    </row>
    <row r="14771">
      <c r="A14771" s="24"/>
      <c r="B14771" s="25"/>
      <c r="C14771" s="24"/>
      <c r="D14771" s="26"/>
      <c r="E14771" s="24"/>
      <c r="F14771" s="24"/>
      <c r="G14771" s="24"/>
      <c r="H14771" s="24"/>
      <c r="I14771" s="24"/>
      <c r="J14771" s="24"/>
      <c r="K14771" s="24"/>
      <c r="L14771" s="24"/>
      <c r="M14771" s="24"/>
      <c r="N14771" s="24"/>
      <c r="O14771" s="24"/>
      <c r="P14771" s="24"/>
      <c r="Q14771" s="24"/>
      <c r="R14771" s="24"/>
      <c r="S14771" s="24"/>
      <c r="T14771" s="24"/>
      <c r="U14771" s="24"/>
      <c r="V14771" s="24"/>
      <c r="W14771" s="24"/>
      <c r="X14771" s="24"/>
      <c r="Y14771" s="24"/>
      <c r="Z14771" s="24"/>
      <c r="AA14771" s="24"/>
    </row>
    <row r="14772">
      <c r="A14772" s="24"/>
      <c r="B14772" s="25"/>
      <c r="C14772" s="24"/>
      <c r="D14772" s="26"/>
      <c r="E14772" s="24"/>
      <c r="F14772" s="24"/>
      <c r="G14772" s="24"/>
      <c r="H14772" s="24"/>
      <c r="I14772" s="24"/>
      <c r="J14772" s="24"/>
      <c r="K14772" s="24"/>
      <c r="L14772" s="24"/>
      <c r="M14772" s="24"/>
      <c r="N14772" s="24"/>
      <c r="O14772" s="24"/>
      <c r="P14772" s="24"/>
      <c r="Q14772" s="24"/>
      <c r="R14772" s="24"/>
      <c r="S14772" s="24"/>
      <c r="T14772" s="24"/>
      <c r="U14772" s="24"/>
      <c r="V14772" s="24"/>
      <c r="W14772" s="24"/>
      <c r="X14772" s="24"/>
      <c r="Y14772" s="24"/>
      <c r="Z14772" s="24"/>
      <c r="AA14772" s="24"/>
    </row>
    <row r="14773">
      <c r="A14773" s="24"/>
      <c r="B14773" s="25"/>
      <c r="C14773" s="24"/>
      <c r="D14773" s="26"/>
      <c r="E14773" s="24"/>
      <c r="F14773" s="24"/>
      <c r="G14773" s="24"/>
      <c r="H14773" s="24"/>
      <c r="I14773" s="24"/>
      <c r="J14773" s="24"/>
      <c r="K14773" s="24"/>
      <c r="L14773" s="24"/>
      <c r="M14773" s="24"/>
      <c r="N14773" s="24"/>
      <c r="O14773" s="24"/>
      <c r="P14773" s="24"/>
      <c r="Q14773" s="24"/>
      <c r="R14773" s="24"/>
      <c r="S14773" s="24"/>
      <c r="T14773" s="24"/>
      <c r="U14773" s="24"/>
      <c r="V14773" s="24"/>
      <c r="W14773" s="24"/>
      <c r="X14773" s="24"/>
      <c r="Y14773" s="24"/>
      <c r="Z14773" s="24"/>
      <c r="AA14773" s="24"/>
    </row>
    <row r="14774">
      <c r="A14774" s="24"/>
      <c r="B14774" s="25"/>
      <c r="C14774" s="24"/>
      <c r="D14774" s="26"/>
      <c r="E14774" s="24"/>
      <c r="F14774" s="24"/>
      <c r="G14774" s="24"/>
      <c r="H14774" s="24"/>
      <c r="I14774" s="24"/>
      <c r="J14774" s="24"/>
      <c r="K14774" s="24"/>
      <c r="L14774" s="24"/>
      <c r="M14774" s="24"/>
      <c r="N14774" s="24"/>
      <c r="O14774" s="24"/>
      <c r="P14774" s="24"/>
      <c r="Q14774" s="24"/>
      <c r="R14774" s="24"/>
      <c r="S14774" s="24"/>
      <c r="T14774" s="24"/>
      <c r="U14774" s="24"/>
      <c r="V14774" s="24"/>
      <c r="W14774" s="24"/>
      <c r="X14774" s="24"/>
      <c r="Y14774" s="24"/>
      <c r="Z14774" s="24"/>
      <c r="AA14774" s="24"/>
    </row>
    <row r="14775">
      <c r="A14775" s="24"/>
      <c r="B14775" s="25"/>
      <c r="C14775" s="24"/>
      <c r="D14775" s="26"/>
      <c r="E14775" s="24"/>
      <c r="F14775" s="24"/>
      <c r="G14775" s="24"/>
      <c r="H14775" s="24"/>
      <c r="I14775" s="24"/>
      <c r="J14775" s="24"/>
      <c r="K14775" s="24"/>
      <c r="L14775" s="24"/>
      <c r="M14775" s="24"/>
      <c r="N14775" s="24"/>
      <c r="O14775" s="24"/>
      <c r="P14775" s="24"/>
      <c r="Q14775" s="24"/>
      <c r="R14775" s="24"/>
      <c r="S14775" s="24"/>
      <c r="T14775" s="24"/>
      <c r="U14775" s="24"/>
      <c r="V14775" s="24"/>
      <c r="W14775" s="24"/>
      <c r="X14775" s="24"/>
      <c r="Y14775" s="24"/>
      <c r="Z14775" s="24"/>
      <c r="AA14775" s="24"/>
    </row>
    <row r="14776">
      <c r="A14776" s="24"/>
      <c r="B14776" s="25"/>
      <c r="C14776" s="24"/>
      <c r="D14776" s="26"/>
      <c r="E14776" s="24"/>
      <c r="F14776" s="24"/>
      <c r="G14776" s="24"/>
      <c r="H14776" s="24"/>
      <c r="I14776" s="24"/>
      <c r="J14776" s="24"/>
      <c r="K14776" s="24"/>
      <c r="L14776" s="24"/>
      <c r="M14776" s="24"/>
      <c r="N14776" s="24"/>
      <c r="O14776" s="24"/>
      <c r="P14776" s="24"/>
      <c r="Q14776" s="24"/>
      <c r="R14776" s="24"/>
      <c r="S14776" s="24"/>
      <c r="T14776" s="24"/>
      <c r="U14776" s="24"/>
      <c r="V14776" s="24"/>
      <c r="W14776" s="24"/>
      <c r="X14776" s="24"/>
      <c r="Y14776" s="24"/>
      <c r="Z14776" s="24"/>
      <c r="AA14776" s="24"/>
    </row>
    <row r="14777">
      <c r="A14777" s="24"/>
      <c r="B14777" s="25"/>
      <c r="C14777" s="24"/>
      <c r="D14777" s="26"/>
      <c r="E14777" s="24"/>
      <c r="F14777" s="24"/>
      <c r="G14777" s="24"/>
      <c r="H14777" s="24"/>
      <c r="I14777" s="24"/>
      <c r="J14777" s="24"/>
      <c r="K14777" s="24"/>
      <c r="L14777" s="24"/>
      <c r="M14777" s="24"/>
      <c r="N14777" s="24"/>
      <c r="O14777" s="24"/>
      <c r="P14777" s="24"/>
      <c r="Q14777" s="24"/>
      <c r="R14777" s="24"/>
      <c r="S14777" s="24"/>
      <c r="T14777" s="24"/>
      <c r="U14777" s="24"/>
      <c r="V14777" s="24"/>
      <c r="W14777" s="24"/>
      <c r="X14777" s="24"/>
      <c r="Y14777" s="24"/>
      <c r="Z14777" s="24"/>
      <c r="AA14777" s="24"/>
    </row>
    <row r="14778">
      <c r="A14778" s="24"/>
      <c r="B14778" s="25"/>
      <c r="C14778" s="24"/>
      <c r="D14778" s="26"/>
      <c r="E14778" s="24"/>
      <c r="F14778" s="24"/>
      <c r="G14778" s="24"/>
      <c r="H14778" s="24"/>
      <c r="I14778" s="24"/>
      <c r="J14778" s="24"/>
      <c r="K14778" s="24"/>
      <c r="L14778" s="24"/>
      <c r="M14778" s="24"/>
      <c r="N14778" s="24"/>
      <c r="O14778" s="24"/>
      <c r="P14778" s="24"/>
      <c r="Q14778" s="24"/>
      <c r="R14778" s="24"/>
      <c r="S14778" s="24"/>
      <c r="T14778" s="24"/>
      <c r="U14778" s="24"/>
      <c r="V14778" s="24"/>
      <c r="W14778" s="24"/>
      <c r="X14778" s="24"/>
      <c r="Y14778" s="24"/>
      <c r="Z14778" s="24"/>
      <c r="AA14778" s="24"/>
    </row>
    <row r="14779">
      <c r="A14779" s="24"/>
      <c r="B14779" s="25"/>
      <c r="C14779" s="24"/>
      <c r="D14779" s="26"/>
      <c r="E14779" s="24"/>
      <c r="F14779" s="24"/>
      <c r="G14779" s="24"/>
      <c r="H14779" s="24"/>
      <c r="I14779" s="24"/>
      <c r="J14779" s="24"/>
      <c r="K14779" s="24"/>
      <c r="L14779" s="24"/>
      <c r="M14779" s="24"/>
      <c r="N14779" s="24"/>
      <c r="O14779" s="24"/>
      <c r="P14779" s="24"/>
      <c r="Q14779" s="24"/>
      <c r="R14779" s="24"/>
      <c r="S14779" s="24"/>
      <c r="T14779" s="24"/>
      <c r="U14779" s="24"/>
      <c r="V14779" s="24"/>
      <c r="W14779" s="24"/>
      <c r="X14779" s="24"/>
      <c r="Y14779" s="24"/>
      <c r="Z14779" s="24"/>
      <c r="AA14779" s="24"/>
    </row>
    <row r="14780">
      <c r="A14780" s="24"/>
      <c r="B14780" s="25"/>
      <c r="C14780" s="24"/>
      <c r="D14780" s="26"/>
      <c r="E14780" s="24"/>
      <c r="F14780" s="24"/>
      <c r="G14780" s="24"/>
      <c r="H14780" s="24"/>
      <c r="I14780" s="24"/>
      <c r="J14780" s="24"/>
      <c r="K14780" s="24"/>
      <c r="L14780" s="24"/>
      <c r="M14780" s="24"/>
      <c r="N14780" s="24"/>
      <c r="O14780" s="24"/>
      <c r="P14780" s="24"/>
      <c r="Q14780" s="24"/>
      <c r="R14780" s="24"/>
      <c r="S14780" s="24"/>
      <c r="T14780" s="24"/>
      <c r="U14780" s="24"/>
      <c r="V14780" s="24"/>
      <c r="W14780" s="24"/>
      <c r="X14780" s="24"/>
      <c r="Y14780" s="24"/>
      <c r="Z14780" s="24"/>
      <c r="AA14780" s="24"/>
    </row>
    <row r="14781">
      <c r="A14781" s="24"/>
      <c r="B14781" s="25"/>
      <c r="C14781" s="24"/>
      <c r="D14781" s="26"/>
      <c r="E14781" s="24"/>
      <c r="F14781" s="24"/>
      <c r="G14781" s="24"/>
      <c r="H14781" s="24"/>
      <c r="I14781" s="24"/>
      <c r="J14781" s="24"/>
      <c r="K14781" s="24"/>
      <c r="L14781" s="24"/>
      <c r="M14781" s="24"/>
      <c r="N14781" s="24"/>
      <c r="O14781" s="24"/>
      <c r="P14781" s="24"/>
      <c r="Q14781" s="24"/>
      <c r="R14781" s="24"/>
      <c r="S14781" s="24"/>
      <c r="T14781" s="24"/>
      <c r="U14781" s="24"/>
      <c r="V14781" s="24"/>
      <c r="W14781" s="24"/>
      <c r="X14781" s="24"/>
      <c r="Y14781" s="24"/>
      <c r="Z14781" s="24"/>
      <c r="AA14781" s="24"/>
    </row>
    <row r="14782">
      <c r="A14782" s="24"/>
      <c r="B14782" s="25"/>
      <c r="C14782" s="24"/>
      <c r="D14782" s="26"/>
      <c r="E14782" s="24"/>
      <c r="F14782" s="24"/>
      <c r="G14782" s="24"/>
      <c r="H14782" s="24"/>
      <c r="I14782" s="24"/>
      <c r="J14782" s="24"/>
      <c r="K14782" s="24"/>
      <c r="L14782" s="24"/>
      <c r="M14782" s="24"/>
      <c r="N14782" s="24"/>
      <c r="O14782" s="24"/>
      <c r="P14782" s="24"/>
      <c r="Q14782" s="24"/>
      <c r="R14782" s="24"/>
      <c r="S14782" s="24"/>
      <c r="T14782" s="24"/>
      <c r="U14782" s="24"/>
      <c r="V14782" s="24"/>
      <c r="W14782" s="24"/>
      <c r="X14782" s="24"/>
      <c r="Y14782" s="24"/>
      <c r="Z14782" s="24"/>
      <c r="AA14782" s="24"/>
    </row>
    <row r="14783">
      <c r="A14783" s="24"/>
      <c r="B14783" s="25"/>
      <c r="C14783" s="24"/>
      <c r="D14783" s="26"/>
      <c r="E14783" s="24"/>
      <c r="F14783" s="24"/>
      <c r="G14783" s="24"/>
      <c r="H14783" s="24"/>
      <c r="I14783" s="24"/>
      <c r="J14783" s="24"/>
      <c r="K14783" s="24"/>
      <c r="L14783" s="24"/>
      <c r="M14783" s="24"/>
      <c r="N14783" s="24"/>
      <c r="O14783" s="24"/>
      <c r="P14783" s="24"/>
      <c r="Q14783" s="24"/>
      <c r="R14783" s="24"/>
      <c r="S14783" s="24"/>
      <c r="T14783" s="24"/>
      <c r="U14783" s="24"/>
      <c r="V14783" s="24"/>
      <c r="W14783" s="24"/>
      <c r="X14783" s="24"/>
      <c r="Y14783" s="24"/>
      <c r="Z14783" s="24"/>
      <c r="AA14783" s="24"/>
    </row>
    <row r="14784">
      <c r="A14784" s="24"/>
      <c r="B14784" s="25"/>
      <c r="C14784" s="24"/>
      <c r="D14784" s="26"/>
      <c r="E14784" s="24"/>
      <c r="F14784" s="24"/>
      <c r="G14784" s="24"/>
      <c r="H14784" s="24"/>
      <c r="I14784" s="24"/>
      <c r="J14784" s="24"/>
      <c r="K14784" s="24"/>
      <c r="L14784" s="24"/>
      <c r="M14784" s="24"/>
      <c r="N14784" s="24"/>
      <c r="O14784" s="24"/>
      <c r="P14784" s="24"/>
      <c r="Q14784" s="24"/>
      <c r="R14784" s="24"/>
      <c r="S14784" s="24"/>
      <c r="T14784" s="24"/>
      <c r="U14784" s="24"/>
      <c r="V14784" s="24"/>
      <c r="W14784" s="24"/>
      <c r="X14784" s="24"/>
      <c r="Y14784" s="24"/>
      <c r="Z14784" s="24"/>
      <c r="AA14784" s="24"/>
    </row>
    <row r="14785">
      <c r="A14785" s="24"/>
      <c r="B14785" s="25"/>
      <c r="C14785" s="24"/>
      <c r="D14785" s="26"/>
      <c r="E14785" s="24"/>
      <c r="F14785" s="24"/>
      <c r="G14785" s="24"/>
      <c r="H14785" s="24"/>
      <c r="I14785" s="24"/>
      <c r="J14785" s="24"/>
      <c r="K14785" s="24"/>
      <c r="L14785" s="24"/>
      <c r="M14785" s="24"/>
      <c r="N14785" s="24"/>
      <c r="O14785" s="24"/>
      <c r="P14785" s="24"/>
      <c r="Q14785" s="24"/>
      <c r="R14785" s="24"/>
      <c r="S14785" s="24"/>
      <c r="T14785" s="24"/>
      <c r="U14785" s="24"/>
      <c r="V14785" s="24"/>
      <c r="W14785" s="24"/>
      <c r="X14785" s="24"/>
      <c r="Y14785" s="24"/>
      <c r="Z14785" s="24"/>
      <c r="AA14785" s="24"/>
    </row>
    <row r="14786">
      <c r="A14786" s="24"/>
      <c r="B14786" s="25"/>
      <c r="C14786" s="24"/>
      <c r="D14786" s="26"/>
      <c r="E14786" s="24"/>
      <c r="F14786" s="24"/>
      <c r="G14786" s="24"/>
      <c r="H14786" s="24"/>
      <c r="I14786" s="24"/>
      <c r="J14786" s="24"/>
      <c r="K14786" s="24"/>
      <c r="L14786" s="24"/>
      <c r="M14786" s="24"/>
      <c r="N14786" s="24"/>
      <c r="O14786" s="24"/>
      <c r="P14786" s="24"/>
      <c r="Q14786" s="24"/>
      <c r="R14786" s="24"/>
      <c r="S14786" s="24"/>
      <c r="T14786" s="24"/>
      <c r="U14786" s="24"/>
      <c r="V14786" s="24"/>
      <c r="W14786" s="24"/>
      <c r="X14786" s="24"/>
      <c r="Y14786" s="24"/>
      <c r="Z14786" s="24"/>
      <c r="AA14786" s="24"/>
    </row>
    <row r="14787">
      <c r="A14787" s="24"/>
      <c r="B14787" s="25"/>
      <c r="C14787" s="24"/>
      <c r="D14787" s="26"/>
      <c r="E14787" s="24"/>
      <c r="F14787" s="24"/>
      <c r="G14787" s="24"/>
      <c r="H14787" s="24"/>
      <c r="I14787" s="24"/>
      <c r="J14787" s="24"/>
      <c r="K14787" s="24"/>
      <c r="L14787" s="24"/>
      <c r="M14787" s="24"/>
      <c r="N14787" s="24"/>
      <c r="O14787" s="24"/>
      <c r="P14787" s="24"/>
      <c r="Q14787" s="24"/>
      <c r="R14787" s="24"/>
      <c r="S14787" s="24"/>
      <c r="T14787" s="24"/>
      <c r="U14787" s="24"/>
      <c r="V14787" s="24"/>
      <c r="W14787" s="24"/>
      <c r="X14787" s="24"/>
      <c r="Y14787" s="24"/>
      <c r="Z14787" s="24"/>
      <c r="AA14787" s="24"/>
    </row>
    <row r="14788">
      <c r="A14788" s="24"/>
      <c r="B14788" s="25"/>
      <c r="C14788" s="24"/>
      <c r="D14788" s="26"/>
      <c r="E14788" s="24"/>
      <c r="F14788" s="24"/>
      <c r="G14788" s="24"/>
      <c r="H14788" s="24"/>
      <c r="I14788" s="24"/>
      <c r="J14788" s="24"/>
      <c r="K14788" s="24"/>
      <c r="L14788" s="24"/>
      <c r="M14788" s="24"/>
      <c r="N14788" s="24"/>
      <c r="O14788" s="24"/>
      <c r="P14788" s="24"/>
      <c r="Q14788" s="24"/>
      <c r="R14788" s="24"/>
      <c r="S14788" s="24"/>
      <c r="T14788" s="24"/>
      <c r="U14788" s="24"/>
      <c r="V14788" s="24"/>
      <c r="W14788" s="24"/>
      <c r="X14788" s="24"/>
      <c r="Y14788" s="24"/>
      <c r="Z14788" s="24"/>
      <c r="AA14788" s="24"/>
    </row>
    <row r="14789">
      <c r="A14789" s="24"/>
      <c r="B14789" s="25"/>
      <c r="C14789" s="24"/>
      <c r="D14789" s="26"/>
      <c r="E14789" s="24"/>
      <c r="F14789" s="24"/>
      <c r="G14789" s="24"/>
      <c r="H14789" s="24"/>
      <c r="I14789" s="24"/>
      <c r="J14789" s="24"/>
      <c r="K14789" s="24"/>
      <c r="L14789" s="24"/>
      <c r="M14789" s="24"/>
      <c r="N14789" s="24"/>
      <c r="O14789" s="24"/>
      <c r="P14789" s="24"/>
      <c r="Q14789" s="24"/>
      <c r="R14789" s="24"/>
      <c r="S14789" s="24"/>
      <c r="T14789" s="24"/>
      <c r="U14789" s="24"/>
      <c r="V14789" s="24"/>
      <c r="W14789" s="24"/>
      <c r="X14789" s="24"/>
      <c r="Y14789" s="24"/>
      <c r="Z14789" s="24"/>
      <c r="AA14789" s="24"/>
    </row>
    <row r="14790">
      <c r="A14790" s="24"/>
      <c r="B14790" s="25"/>
      <c r="C14790" s="24"/>
      <c r="D14790" s="26"/>
      <c r="E14790" s="24"/>
      <c r="F14790" s="24"/>
      <c r="G14790" s="24"/>
      <c r="H14790" s="24"/>
      <c r="I14790" s="24"/>
      <c r="J14790" s="24"/>
      <c r="K14790" s="24"/>
      <c r="L14790" s="24"/>
      <c r="M14790" s="24"/>
      <c r="N14790" s="24"/>
      <c r="O14790" s="24"/>
      <c r="P14790" s="24"/>
      <c r="Q14790" s="24"/>
      <c r="R14790" s="24"/>
      <c r="S14790" s="24"/>
      <c r="T14790" s="24"/>
      <c r="U14790" s="24"/>
      <c r="V14790" s="24"/>
      <c r="W14790" s="24"/>
      <c r="X14790" s="24"/>
      <c r="Y14790" s="24"/>
      <c r="Z14790" s="24"/>
      <c r="AA14790" s="24"/>
    </row>
    <row r="14791">
      <c r="A14791" s="24"/>
      <c r="B14791" s="25"/>
      <c r="C14791" s="24"/>
      <c r="D14791" s="26"/>
      <c r="E14791" s="24"/>
      <c r="F14791" s="24"/>
      <c r="G14791" s="24"/>
      <c r="H14791" s="24"/>
      <c r="I14791" s="24"/>
      <c r="J14791" s="24"/>
      <c r="K14791" s="24"/>
      <c r="L14791" s="24"/>
      <c r="M14791" s="24"/>
      <c r="N14791" s="24"/>
      <c r="O14791" s="24"/>
      <c r="P14791" s="24"/>
      <c r="Q14791" s="24"/>
      <c r="R14791" s="24"/>
      <c r="S14791" s="24"/>
      <c r="T14791" s="24"/>
      <c r="U14791" s="24"/>
      <c r="V14791" s="24"/>
      <c r="W14791" s="24"/>
      <c r="X14791" s="24"/>
      <c r="Y14791" s="24"/>
      <c r="Z14791" s="24"/>
      <c r="AA14791" s="24"/>
    </row>
    <row r="14792">
      <c r="A14792" s="24"/>
      <c r="B14792" s="25"/>
      <c r="C14792" s="24"/>
      <c r="D14792" s="26"/>
      <c r="E14792" s="24"/>
      <c r="F14792" s="24"/>
      <c r="G14792" s="24"/>
      <c r="H14792" s="24"/>
      <c r="I14792" s="24"/>
      <c r="J14792" s="24"/>
      <c r="K14792" s="24"/>
      <c r="L14792" s="24"/>
      <c r="M14792" s="24"/>
      <c r="N14792" s="24"/>
      <c r="O14792" s="24"/>
      <c r="P14792" s="24"/>
      <c r="Q14792" s="24"/>
      <c r="R14792" s="24"/>
      <c r="S14792" s="24"/>
      <c r="T14792" s="24"/>
      <c r="U14792" s="24"/>
      <c r="V14792" s="24"/>
      <c r="W14792" s="24"/>
      <c r="X14792" s="24"/>
      <c r="Y14792" s="24"/>
      <c r="Z14792" s="24"/>
      <c r="AA14792" s="24"/>
    </row>
    <row r="14793">
      <c r="A14793" s="24"/>
      <c r="B14793" s="25"/>
      <c r="C14793" s="24"/>
      <c r="D14793" s="26"/>
      <c r="E14793" s="24"/>
      <c r="F14793" s="24"/>
      <c r="G14793" s="24"/>
      <c r="H14793" s="24"/>
      <c r="I14793" s="24"/>
      <c r="J14793" s="24"/>
      <c r="K14793" s="24"/>
      <c r="L14793" s="24"/>
      <c r="M14793" s="24"/>
      <c r="N14793" s="24"/>
      <c r="O14793" s="24"/>
      <c r="P14793" s="24"/>
      <c r="Q14793" s="24"/>
      <c r="R14793" s="24"/>
      <c r="S14793" s="24"/>
      <c r="T14793" s="24"/>
      <c r="U14793" s="24"/>
      <c r="V14793" s="24"/>
      <c r="W14793" s="24"/>
      <c r="X14793" s="24"/>
      <c r="Y14793" s="24"/>
      <c r="Z14793" s="24"/>
      <c r="AA14793" s="24"/>
    </row>
    <row r="14794">
      <c r="A14794" s="24"/>
      <c r="B14794" s="25"/>
      <c r="C14794" s="24"/>
      <c r="D14794" s="26"/>
      <c r="E14794" s="24"/>
      <c r="F14794" s="24"/>
      <c r="G14794" s="24"/>
      <c r="H14794" s="24"/>
      <c r="I14794" s="24"/>
      <c r="J14794" s="24"/>
      <c r="K14794" s="24"/>
      <c r="L14794" s="24"/>
      <c r="M14794" s="24"/>
      <c r="N14794" s="24"/>
      <c r="O14794" s="24"/>
      <c r="P14794" s="24"/>
      <c r="Q14794" s="24"/>
      <c r="R14794" s="24"/>
      <c r="S14794" s="24"/>
      <c r="T14794" s="24"/>
      <c r="U14794" s="24"/>
      <c r="V14794" s="24"/>
      <c r="W14794" s="24"/>
      <c r="X14794" s="24"/>
      <c r="Y14794" s="24"/>
      <c r="Z14794" s="24"/>
      <c r="AA14794" s="24"/>
    </row>
    <row r="14795">
      <c r="A14795" s="24"/>
      <c r="B14795" s="25"/>
      <c r="C14795" s="24"/>
      <c r="D14795" s="26"/>
      <c r="E14795" s="24"/>
      <c r="F14795" s="24"/>
      <c r="G14795" s="24"/>
      <c r="H14795" s="24"/>
      <c r="I14795" s="24"/>
      <c r="J14795" s="24"/>
      <c r="K14795" s="24"/>
      <c r="L14795" s="24"/>
      <c r="M14795" s="24"/>
      <c r="N14795" s="24"/>
      <c r="O14795" s="24"/>
      <c r="P14795" s="24"/>
      <c r="Q14795" s="24"/>
      <c r="R14795" s="24"/>
      <c r="S14795" s="24"/>
      <c r="T14795" s="24"/>
      <c r="U14795" s="24"/>
      <c r="V14795" s="24"/>
      <c r="W14795" s="24"/>
      <c r="X14795" s="24"/>
      <c r="Y14795" s="24"/>
      <c r="Z14795" s="24"/>
      <c r="AA14795" s="24"/>
    </row>
    <row r="14796">
      <c r="A14796" s="24"/>
      <c r="B14796" s="25"/>
      <c r="C14796" s="24"/>
      <c r="D14796" s="26"/>
      <c r="E14796" s="24"/>
      <c r="F14796" s="24"/>
      <c r="G14796" s="24"/>
      <c r="H14796" s="24"/>
      <c r="I14796" s="24"/>
      <c r="J14796" s="24"/>
      <c r="K14796" s="24"/>
      <c r="L14796" s="24"/>
      <c r="M14796" s="24"/>
      <c r="N14796" s="24"/>
      <c r="O14796" s="24"/>
      <c r="P14796" s="24"/>
      <c r="Q14796" s="24"/>
      <c r="R14796" s="24"/>
      <c r="S14796" s="24"/>
      <c r="T14796" s="24"/>
      <c r="U14796" s="24"/>
      <c r="V14796" s="24"/>
      <c r="W14796" s="24"/>
      <c r="X14796" s="24"/>
      <c r="Y14796" s="24"/>
      <c r="Z14796" s="24"/>
      <c r="AA14796" s="24"/>
    </row>
    <row r="14797">
      <c r="A14797" s="24"/>
      <c r="B14797" s="25"/>
      <c r="C14797" s="24"/>
      <c r="D14797" s="26"/>
      <c r="E14797" s="24"/>
      <c r="F14797" s="24"/>
      <c r="G14797" s="24"/>
      <c r="H14797" s="24"/>
      <c r="I14797" s="24"/>
      <c r="J14797" s="24"/>
      <c r="K14797" s="24"/>
      <c r="L14797" s="24"/>
      <c r="M14797" s="24"/>
      <c r="N14797" s="24"/>
      <c r="O14797" s="24"/>
      <c r="P14797" s="24"/>
      <c r="Q14797" s="24"/>
      <c r="R14797" s="24"/>
      <c r="S14797" s="24"/>
      <c r="T14797" s="24"/>
      <c r="U14797" s="24"/>
      <c r="V14797" s="24"/>
      <c r="W14797" s="24"/>
      <c r="X14797" s="24"/>
      <c r="Y14797" s="24"/>
      <c r="Z14797" s="24"/>
      <c r="AA14797" s="24"/>
    </row>
    <row r="14798">
      <c r="A14798" s="24"/>
      <c r="B14798" s="25"/>
      <c r="C14798" s="24"/>
      <c r="D14798" s="26"/>
      <c r="E14798" s="24"/>
      <c r="F14798" s="24"/>
      <c r="G14798" s="24"/>
      <c r="H14798" s="24"/>
      <c r="I14798" s="24"/>
      <c r="J14798" s="24"/>
      <c r="K14798" s="24"/>
      <c r="L14798" s="24"/>
      <c r="M14798" s="24"/>
      <c r="N14798" s="24"/>
      <c r="O14798" s="24"/>
      <c r="P14798" s="24"/>
      <c r="Q14798" s="24"/>
      <c r="R14798" s="24"/>
      <c r="S14798" s="24"/>
      <c r="T14798" s="24"/>
      <c r="U14798" s="24"/>
      <c r="V14798" s="24"/>
      <c r="W14798" s="24"/>
      <c r="X14798" s="24"/>
      <c r="Y14798" s="24"/>
      <c r="Z14798" s="24"/>
      <c r="AA14798" s="24"/>
    </row>
    <row r="14799">
      <c r="A14799" s="24"/>
      <c r="B14799" s="25"/>
      <c r="C14799" s="24"/>
      <c r="D14799" s="26"/>
      <c r="E14799" s="24"/>
      <c r="F14799" s="24"/>
      <c r="G14799" s="24"/>
      <c r="H14799" s="24"/>
      <c r="I14799" s="24"/>
      <c r="J14799" s="24"/>
      <c r="K14799" s="24"/>
      <c r="L14799" s="24"/>
      <c r="M14799" s="24"/>
      <c r="N14799" s="24"/>
      <c r="O14799" s="24"/>
      <c r="P14799" s="24"/>
      <c r="Q14799" s="24"/>
      <c r="R14799" s="24"/>
      <c r="S14799" s="24"/>
      <c r="T14799" s="24"/>
      <c r="U14799" s="24"/>
      <c r="V14799" s="24"/>
      <c r="W14799" s="24"/>
      <c r="X14799" s="24"/>
      <c r="Y14799" s="24"/>
      <c r="Z14799" s="24"/>
      <c r="AA14799" s="24"/>
    </row>
    <row r="14800">
      <c r="A14800" s="24"/>
      <c r="B14800" s="25"/>
      <c r="C14800" s="24"/>
      <c r="D14800" s="26"/>
      <c r="E14800" s="24"/>
      <c r="F14800" s="24"/>
      <c r="G14800" s="24"/>
      <c r="H14800" s="24"/>
      <c r="I14800" s="24"/>
      <c r="J14800" s="24"/>
      <c r="K14800" s="24"/>
      <c r="L14800" s="24"/>
      <c r="M14800" s="24"/>
      <c r="N14800" s="24"/>
      <c r="O14800" s="24"/>
      <c r="P14800" s="24"/>
      <c r="Q14800" s="24"/>
      <c r="R14800" s="24"/>
      <c r="S14800" s="24"/>
      <c r="T14800" s="24"/>
      <c r="U14800" s="24"/>
      <c r="V14800" s="24"/>
      <c r="W14800" s="24"/>
      <c r="X14800" s="24"/>
      <c r="Y14800" s="24"/>
      <c r="Z14800" s="24"/>
      <c r="AA14800" s="24"/>
    </row>
    <row r="14801">
      <c r="A14801" s="24"/>
      <c r="B14801" s="25"/>
      <c r="C14801" s="24"/>
      <c r="D14801" s="26"/>
      <c r="E14801" s="24"/>
      <c r="F14801" s="24"/>
      <c r="G14801" s="24"/>
      <c r="H14801" s="24"/>
      <c r="I14801" s="24"/>
      <c r="J14801" s="24"/>
      <c r="K14801" s="24"/>
      <c r="L14801" s="24"/>
      <c r="M14801" s="24"/>
      <c r="N14801" s="24"/>
      <c r="O14801" s="24"/>
      <c r="P14801" s="24"/>
      <c r="Q14801" s="24"/>
      <c r="R14801" s="24"/>
      <c r="S14801" s="24"/>
      <c r="T14801" s="24"/>
      <c r="U14801" s="24"/>
      <c r="V14801" s="24"/>
      <c r="W14801" s="24"/>
      <c r="X14801" s="24"/>
      <c r="Y14801" s="24"/>
      <c r="Z14801" s="24"/>
      <c r="AA14801" s="24"/>
    </row>
    <row r="14802">
      <c r="A14802" s="24"/>
      <c r="B14802" s="25"/>
      <c r="C14802" s="24"/>
      <c r="D14802" s="26"/>
      <c r="E14802" s="24"/>
      <c r="F14802" s="24"/>
      <c r="G14802" s="24"/>
      <c r="H14802" s="24"/>
      <c r="I14802" s="24"/>
      <c r="J14802" s="24"/>
      <c r="K14802" s="24"/>
      <c r="L14802" s="24"/>
      <c r="M14802" s="24"/>
      <c r="N14802" s="24"/>
      <c r="O14802" s="24"/>
      <c r="P14802" s="24"/>
      <c r="Q14802" s="24"/>
      <c r="R14802" s="24"/>
      <c r="S14802" s="24"/>
      <c r="T14802" s="24"/>
      <c r="U14802" s="24"/>
      <c r="V14802" s="24"/>
      <c r="W14802" s="24"/>
      <c r="X14802" s="24"/>
      <c r="Y14802" s="24"/>
      <c r="Z14802" s="24"/>
      <c r="AA14802" s="24"/>
    </row>
    <row r="14803">
      <c r="A14803" s="24"/>
      <c r="B14803" s="25"/>
      <c r="C14803" s="24"/>
      <c r="D14803" s="26"/>
      <c r="E14803" s="24"/>
      <c r="F14803" s="24"/>
      <c r="G14803" s="24"/>
      <c r="H14803" s="24"/>
      <c r="I14803" s="24"/>
      <c r="J14803" s="24"/>
      <c r="K14803" s="24"/>
      <c r="L14803" s="24"/>
      <c r="M14803" s="24"/>
      <c r="N14803" s="24"/>
      <c r="O14803" s="24"/>
      <c r="P14803" s="24"/>
      <c r="Q14803" s="24"/>
      <c r="R14803" s="24"/>
      <c r="S14803" s="24"/>
      <c r="T14803" s="24"/>
      <c r="U14803" s="24"/>
      <c r="V14803" s="24"/>
      <c r="W14803" s="24"/>
      <c r="X14803" s="24"/>
      <c r="Y14803" s="24"/>
      <c r="Z14803" s="24"/>
      <c r="AA14803" s="24"/>
    </row>
    <row r="14804">
      <c r="A14804" s="24"/>
      <c r="B14804" s="25"/>
      <c r="C14804" s="24"/>
      <c r="D14804" s="26"/>
      <c r="E14804" s="24"/>
      <c r="F14804" s="24"/>
      <c r="G14804" s="24"/>
      <c r="H14804" s="24"/>
      <c r="I14804" s="24"/>
      <c r="J14804" s="24"/>
      <c r="K14804" s="24"/>
      <c r="L14804" s="24"/>
      <c r="M14804" s="24"/>
      <c r="N14804" s="24"/>
      <c r="O14804" s="24"/>
      <c r="P14804" s="24"/>
      <c r="Q14804" s="24"/>
      <c r="R14804" s="24"/>
      <c r="S14804" s="24"/>
      <c r="T14804" s="24"/>
      <c r="U14804" s="24"/>
      <c r="V14804" s="24"/>
      <c r="W14804" s="24"/>
      <c r="X14804" s="24"/>
      <c r="Y14804" s="24"/>
      <c r="Z14804" s="24"/>
      <c r="AA14804" s="24"/>
    </row>
    <row r="14805">
      <c r="A14805" s="24"/>
      <c r="B14805" s="25"/>
      <c r="C14805" s="24"/>
      <c r="D14805" s="26"/>
      <c r="E14805" s="24"/>
      <c r="F14805" s="24"/>
      <c r="G14805" s="24"/>
      <c r="H14805" s="24"/>
      <c r="I14805" s="24"/>
      <c r="J14805" s="24"/>
      <c r="K14805" s="24"/>
      <c r="L14805" s="24"/>
      <c r="M14805" s="24"/>
      <c r="N14805" s="24"/>
      <c r="O14805" s="24"/>
      <c r="P14805" s="24"/>
      <c r="Q14805" s="24"/>
      <c r="R14805" s="24"/>
      <c r="S14805" s="24"/>
      <c r="T14805" s="24"/>
      <c r="U14805" s="24"/>
      <c r="V14805" s="24"/>
      <c r="W14805" s="24"/>
      <c r="X14805" s="24"/>
      <c r="Y14805" s="24"/>
      <c r="Z14805" s="24"/>
      <c r="AA14805" s="24"/>
    </row>
    <row r="14806">
      <c r="A14806" s="24"/>
      <c r="B14806" s="25"/>
      <c r="C14806" s="24"/>
      <c r="D14806" s="26"/>
      <c r="E14806" s="24"/>
      <c r="F14806" s="24"/>
      <c r="G14806" s="24"/>
      <c r="H14806" s="24"/>
      <c r="I14806" s="24"/>
      <c r="J14806" s="24"/>
      <c r="K14806" s="24"/>
      <c r="L14806" s="24"/>
      <c r="M14806" s="24"/>
      <c r="N14806" s="24"/>
      <c r="O14806" s="24"/>
      <c r="P14806" s="24"/>
      <c r="Q14806" s="24"/>
      <c r="R14806" s="24"/>
      <c r="S14806" s="24"/>
      <c r="T14806" s="24"/>
      <c r="U14806" s="24"/>
      <c r="V14806" s="24"/>
      <c r="W14806" s="24"/>
      <c r="X14806" s="24"/>
      <c r="Y14806" s="24"/>
      <c r="Z14806" s="24"/>
      <c r="AA14806" s="24"/>
    </row>
    <row r="14807">
      <c r="A14807" s="24"/>
      <c r="B14807" s="25"/>
      <c r="C14807" s="24"/>
      <c r="D14807" s="26"/>
      <c r="E14807" s="24"/>
      <c r="F14807" s="24"/>
      <c r="G14807" s="24"/>
      <c r="H14807" s="24"/>
      <c r="I14807" s="24"/>
      <c r="J14807" s="24"/>
      <c r="K14807" s="24"/>
      <c r="L14807" s="24"/>
      <c r="M14807" s="24"/>
      <c r="N14807" s="24"/>
      <c r="O14807" s="24"/>
      <c r="P14807" s="24"/>
      <c r="Q14807" s="24"/>
      <c r="R14807" s="24"/>
      <c r="S14807" s="24"/>
      <c r="T14807" s="24"/>
      <c r="U14807" s="24"/>
      <c r="V14807" s="24"/>
      <c r="W14807" s="24"/>
      <c r="X14807" s="24"/>
      <c r="Y14807" s="24"/>
      <c r="Z14807" s="24"/>
      <c r="AA14807" s="24"/>
    </row>
    <row r="14808">
      <c r="A14808" s="24"/>
      <c r="B14808" s="25"/>
      <c r="C14808" s="24"/>
      <c r="D14808" s="26"/>
      <c r="E14808" s="24"/>
      <c r="F14808" s="24"/>
      <c r="G14808" s="24"/>
      <c r="H14808" s="24"/>
      <c r="I14808" s="24"/>
      <c r="J14808" s="24"/>
      <c r="K14808" s="24"/>
      <c r="L14808" s="24"/>
      <c r="M14808" s="24"/>
      <c r="N14808" s="24"/>
      <c r="O14808" s="24"/>
      <c r="P14808" s="24"/>
      <c r="Q14808" s="24"/>
      <c r="R14808" s="24"/>
      <c r="S14808" s="24"/>
      <c r="T14808" s="24"/>
      <c r="U14808" s="24"/>
      <c r="V14808" s="24"/>
      <c r="W14808" s="24"/>
      <c r="X14808" s="24"/>
      <c r="Y14808" s="24"/>
      <c r="Z14808" s="24"/>
      <c r="AA14808" s="24"/>
    </row>
    <row r="14809">
      <c r="A14809" s="24"/>
      <c r="B14809" s="25"/>
      <c r="C14809" s="24"/>
      <c r="D14809" s="26"/>
      <c r="E14809" s="24"/>
      <c r="F14809" s="24"/>
      <c r="G14809" s="24"/>
      <c r="H14809" s="24"/>
      <c r="I14809" s="24"/>
      <c r="J14809" s="24"/>
      <c r="K14809" s="24"/>
      <c r="L14809" s="24"/>
      <c r="M14809" s="24"/>
      <c r="N14809" s="24"/>
      <c r="O14809" s="24"/>
      <c r="P14809" s="24"/>
      <c r="Q14809" s="24"/>
      <c r="R14809" s="24"/>
      <c r="S14809" s="24"/>
      <c r="T14809" s="24"/>
      <c r="U14809" s="24"/>
      <c r="V14809" s="24"/>
      <c r="W14809" s="24"/>
      <c r="X14809" s="24"/>
      <c r="Y14809" s="24"/>
      <c r="Z14809" s="24"/>
      <c r="AA14809" s="24"/>
    </row>
    <row r="14810">
      <c r="A14810" s="24"/>
      <c r="B14810" s="25"/>
      <c r="C14810" s="24"/>
      <c r="D14810" s="26"/>
      <c r="E14810" s="24"/>
      <c r="F14810" s="24"/>
      <c r="G14810" s="24"/>
      <c r="H14810" s="24"/>
      <c r="I14810" s="24"/>
      <c r="J14810" s="24"/>
      <c r="K14810" s="24"/>
      <c r="L14810" s="24"/>
      <c r="M14810" s="24"/>
      <c r="N14810" s="24"/>
      <c r="O14810" s="24"/>
      <c r="P14810" s="24"/>
      <c r="Q14810" s="24"/>
      <c r="R14810" s="24"/>
      <c r="S14810" s="24"/>
      <c r="T14810" s="24"/>
      <c r="U14810" s="24"/>
      <c r="V14810" s="24"/>
      <c r="W14810" s="24"/>
      <c r="X14810" s="24"/>
      <c r="Y14810" s="24"/>
      <c r="Z14810" s="24"/>
      <c r="AA14810" s="24"/>
    </row>
    <row r="14811">
      <c r="A14811" s="24"/>
      <c r="B14811" s="25"/>
      <c r="C14811" s="24"/>
      <c r="D14811" s="26"/>
      <c r="E14811" s="24"/>
      <c r="F14811" s="24"/>
      <c r="G14811" s="24"/>
      <c r="H14811" s="24"/>
      <c r="I14811" s="24"/>
      <c r="J14811" s="24"/>
      <c r="K14811" s="24"/>
      <c r="L14811" s="24"/>
      <c r="M14811" s="24"/>
      <c r="N14811" s="24"/>
      <c r="O14811" s="24"/>
      <c r="P14811" s="24"/>
      <c r="Q14811" s="24"/>
      <c r="R14811" s="24"/>
      <c r="S14811" s="24"/>
      <c r="T14811" s="24"/>
      <c r="U14811" s="24"/>
      <c r="V14811" s="24"/>
      <c r="W14811" s="24"/>
      <c r="X14811" s="24"/>
      <c r="Y14811" s="24"/>
      <c r="Z14811" s="24"/>
      <c r="AA14811" s="24"/>
    </row>
    <row r="14812">
      <c r="A14812" s="24"/>
      <c r="B14812" s="25"/>
      <c r="C14812" s="24"/>
      <c r="D14812" s="26"/>
      <c r="E14812" s="24"/>
      <c r="F14812" s="24"/>
      <c r="G14812" s="24"/>
      <c r="H14812" s="24"/>
      <c r="I14812" s="24"/>
      <c r="J14812" s="24"/>
      <c r="K14812" s="24"/>
      <c r="L14812" s="24"/>
      <c r="M14812" s="24"/>
      <c r="N14812" s="24"/>
      <c r="O14812" s="24"/>
      <c r="P14812" s="24"/>
      <c r="Q14812" s="24"/>
      <c r="R14812" s="24"/>
      <c r="S14812" s="24"/>
      <c r="T14812" s="24"/>
      <c r="U14812" s="24"/>
      <c r="V14812" s="24"/>
      <c r="W14812" s="24"/>
      <c r="X14812" s="24"/>
      <c r="Y14812" s="24"/>
      <c r="Z14812" s="24"/>
      <c r="AA14812" s="24"/>
    </row>
    <row r="14813">
      <c r="A14813" s="24"/>
      <c r="B14813" s="25"/>
      <c r="C14813" s="24"/>
      <c r="D14813" s="26"/>
      <c r="E14813" s="24"/>
      <c r="F14813" s="24"/>
      <c r="G14813" s="24"/>
      <c r="H14813" s="24"/>
      <c r="I14813" s="24"/>
      <c r="J14813" s="24"/>
      <c r="K14813" s="24"/>
      <c r="L14813" s="24"/>
      <c r="M14813" s="24"/>
      <c r="N14813" s="24"/>
      <c r="O14813" s="24"/>
      <c r="P14813" s="24"/>
      <c r="Q14813" s="24"/>
      <c r="R14813" s="24"/>
      <c r="S14813" s="24"/>
      <c r="T14813" s="24"/>
      <c r="U14813" s="24"/>
      <c r="V14813" s="24"/>
      <c r="W14813" s="24"/>
      <c r="X14813" s="24"/>
      <c r="Y14813" s="24"/>
      <c r="Z14813" s="24"/>
      <c r="AA14813" s="24"/>
    </row>
    <row r="14814">
      <c r="A14814" s="24"/>
      <c r="B14814" s="25"/>
      <c r="C14814" s="24"/>
      <c r="D14814" s="26"/>
      <c r="E14814" s="24"/>
      <c r="F14814" s="24"/>
      <c r="G14814" s="24"/>
      <c r="H14814" s="24"/>
      <c r="I14814" s="24"/>
      <c r="J14814" s="24"/>
      <c r="K14814" s="24"/>
      <c r="L14814" s="24"/>
      <c r="M14814" s="24"/>
      <c r="N14814" s="24"/>
      <c r="O14814" s="24"/>
      <c r="P14814" s="24"/>
      <c r="Q14814" s="24"/>
      <c r="R14814" s="24"/>
      <c r="S14814" s="24"/>
      <c r="T14814" s="24"/>
      <c r="U14814" s="24"/>
      <c r="V14814" s="24"/>
      <c r="W14814" s="24"/>
      <c r="X14814" s="24"/>
      <c r="Y14814" s="24"/>
      <c r="Z14814" s="24"/>
      <c r="AA14814" s="24"/>
    </row>
    <row r="14815">
      <c r="A14815" s="24"/>
      <c r="B14815" s="25"/>
      <c r="C14815" s="24"/>
      <c r="D14815" s="26"/>
      <c r="E14815" s="24"/>
      <c r="F14815" s="24"/>
      <c r="G14815" s="24"/>
      <c r="H14815" s="24"/>
      <c r="I14815" s="24"/>
      <c r="J14815" s="24"/>
      <c r="K14815" s="24"/>
      <c r="L14815" s="24"/>
      <c r="M14815" s="24"/>
      <c r="N14815" s="24"/>
      <c r="O14815" s="24"/>
      <c r="P14815" s="24"/>
      <c r="Q14815" s="24"/>
      <c r="R14815" s="24"/>
      <c r="S14815" s="24"/>
      <c r="T14815" s="24"/>
      <c r="U14815" s="24"/>
      <c r="V14815" s="24"/>
      <c r="W14815" s="24"/>
      <c r="X14815" s="24"/>
      <c r="Y14815" s="24"/>
      <c r="Z14815" s="24"/>
      <c r="AA14815" s="24"/>
    </row>
    <row r="14816">
      <c r="A14816" s="24"/>
      <c r="B14816" s="25"/>
      <c r="C14816" s="24"/>
      <c r="D14816" s="26"/>
      <c r="E14816" s="24"/>
      <c r="F14816" s="24"/>
      <c r="G14816" s="24"/>
      <c r="H14816" s="24"/>
      <c r="I14816" s="24"/>
      <c r="J14816" s="24"/>
      <c r="K14816" s="24"/>
      <c r="L14816" s="24"/>
      <c r="M14816" s="24"/>
      <c r="N14816" s="24"/>
      <c r="O14816" s="24"/>
      <c r="P14816" s="24"/>
      <c r="Q14816" s="24"/>
      <c r="R14816" s="24"/>
      <c r="S14816" s="24"/>
      <c r="T14816" s="24"/>
      <c r="U14816" s="24"/>
      <c r="V14816" s="24"/>
      <c r="W14816" s="24"/>
      <c r="X14816" s="24"/>
      <c r="Y14816" s="24"/>
      <c r="Z14816" s="24"/>
      <c r="AA14816" s="24"/>
    </row>
    <row r="14817">
      <c r="A14817" s="24"/>
      <c r="B14817" s="25"/>
      <c r="C14817" s="24"/>
      <c r="D14817" s="26"/>
      <c r="E14817" s="24"/>
      <c r="F14817" s="24"/>
      <c r="G14817" s="24"/>
      <c r="H14817" s="24"/>
      <c r="I14817" s="24"/>
      <c r="J14817" s="24"/>
      <c r="K14817" s="24"/>
      <c r="L14817" s="24"/>
      <c r="M14817" s="24"/>
      <c r="N14817" s="24"/>
      <c r="O14817" s="24"/>
      <c r="P14817" s="24"/>
      <c r="Q14817" s="24"/>
      <c r="R14817" s="24"/>
      <c r="S14817" s="24"/>
      <c r="T14817" s="24"/>
      <c r="U14817" s="24"/>
      <c r="V14817" s="24"/>
      <c r="W14817" s="24"/>
      <c r="X14817" s="24"/>
      <c r="Y14817" s="24"/>
      <c r="Z14817" s="24"/>
      <c r="AA14817" s="24"/>
    </row>
    <row r="14818">
      <c r="A14818" s="24"/>
      <c r="B14818" s="25"/>
      <c r="C14818" s="24"/>
      <c r="D14818" s="26"/>
      <c r="E14818" s="24"/>
      <c r="F14818" s="24"/>
      <c r="G14818" s="24"/>
      <c r="H14818" s="24"/>
      <c r="I14818" s="24"/>
      <c r="J14818" s="24"/>
      <c r="K14818" s="24"/>
      <c r="L14818" s="24"/>
      <c r="M14818" s="24"/>
      <c r="N14818" s="24"/>
      <c r="O14818" s="24"/>
      <c r="P14818" s="24"/>
      <c r="Q14818" s="24"/>
      <c r="R14818" s="24"/>
      <c r="S14818" s="24"/>
      <c r="T14818" s="24"/>
      <c r="U14818" s="24"/>
      <c r="V14818" s="24"/>
      <c r="W14818" s="24"/>
      <c r="X14818" s="24"/>
      <c r="Y14818" s="24"/>
      <c r="Z14818" s="24"/>
      <c r="AA14818" s="24"/>
    </row>
    <row r="14819">
      <c r="A14819" s="24"/>
      <c r="B14819" s="25"/>
      <c r="C14819" s="24"/>
      <c r="D14819" s="26"/>
      <c r="E14819" s="24"/>
      <c r="F14819" s="24"/>
      <c r="G14819" s="24"/>
      <c r="H14819" s="24"/>
      <c r="I14819" s="24"/>
      <c r="J14819" s="24"/>
      <c r="K14819" s="24"/>
      <c r="L14819" s="24"/>
      <c r="M14819" s="24"/>
      <c r="N14819" s="24"/>
      <c r="O14819" s="24"/>
      <c r="P14819" s="24"/>
      <c r="Q14819" s="24"/>
      <c r="R14819" s="24"/>
      <c r="S14819" s="24"/>
      <c r="T14819" s="24"/>
      <c r="U14819" s="24"/>
      <c r="V14819" s="24"/>
      <c r="W14819" s="24"/>
      <c r="X14819" s="24"/>
      <c r="Y14819" s="24"/>
      <c r="Z14819" s="24"/>
      <c r="AA14819" s="24"/>
    </row>
    <row r="14820">
      <c r="A14820" s="24"/>
      <c r="B14820" s="25"/>
      <c r="C14820" s="24"/>
      <c r="D14820" s="26"/>
      <c r="E14820" s="24"/>
      <c r="F14820" s="24"/>
      <c r="G14820" s="24"/>
      <c r="H14820" s="24"/>
      <c r="I14820" s="24"/>
      <c r="J14820" s="24"/>
      <c r="K14820" s="24"/>
      <c r="L14820" s="24"/>
      <c r="M14820" s="24"/>
      <c r="N14820" s="24"/>
      <c r="O14820" s="24"/>
      <c r="P14820" s="24"/>
      <c r="Q14820" s="24"/>
      <c r="R14820" s="24"/>
      <c r="S14820" s="24"/>
      <c r="T14820" s="24"/>
      <c r="U14820" s="24"/>
      <c r="V14820" s="24"/>
      <c r="W14820" s="24"/>
      <c r="X14820" s="24"/>
      <c r="Y14820" s="24"/>
      <c r="Z14820" s="24"/>
      <c r="AA14820" s="24"/>
    </row>
    <row r="14821">
      <c r="A14821" s="24"/>
      <c r="B14821" s="25"/>
      <c r="C14821" s="24"/>
      <c r="D14821" s="26"/>
      <c r="E14821" s="24"/>
      <c r="F14821" s="24"/>
      <c r="G14821" s="24"/>
      <c r="H14821" s="24"/>
      <c r="I14821" s="24"/>
      <c r="J14821" s="24"/>
      <c r="K14821" s="24"/>
      <c r="L14821" s="24"/>
      <c r="M14821" s="24"/>
      <c r="N14821" s="24"/>
      <c r="O14821" s="24"/>
      <c r="P14821" s="24"/>
      <c r="Q14821" s="24"/>
      <c r="R14821" s="24"/>
      <c r="S14821" s="24"/>
      <c r="T14821" s="24"/>
      <c r="U14821" s="24"/>
      <c r="V14821" s="24"/>
      <c r="W14821" s="24"/>
      <c r="X14821" s="24"/>
      <c r="Y14821" s="24"/>
      <c r="Z14821" s="24"/>
      <c r="AA14821" s="24"/>
    </row>
    <row r="14822">
      <c r="A14822" s="24"/>
      <c r="B14822" s="25"/>
      <c r="C14822" s="24"/>
      <c r="D14822" s="26"/>
      <c r="E14822" s="24"/>
      <c r="F14822" s="24"/>
      <c r="G14822" s="24"/>
      <c r="H14822" s="24"/>
      <c r="I14822" s="24"/>
      <c r="J14822" s="24"/>
      <c r="K14822" s="24"/>
      <c r="L14822" s="24"/>
      <c r="M14822" s="24"/>
      <c r="N14822" s="24"/>
      <c r="O14822" s="24"/>
      <c r="P14822" s="24"/>
      <c r="Q14822" s="24"/>
      <c r="R14822" s="24"/>
      <c r="S14822" s="24"/>
      <c r="T14822" s="24"/>
      <c r="U14822" s="24"/>
      <c r="V14822" s="24"/>
      <c r="W14822" s="24"/>
      <c r="X14822" s="24"/>
      <c r="Y14822" s="24"/>
      <c r="Z14822" s="24"/>
      <c r="AA14822" s="24"/>
    </row>
    <row r="14823">
      <c r="A14823" s="24"/>
      <c r="B14823" s="25"/>
      <c r="C14823" s="24"/>
      <c r="D14823" s="26"/>
      <c r="E14823" s="24"/>
      <c r="F14823" s="24"/>
      <c r="G14823" s="24"/>
      <c r="H14823" s="24"/>
      <c r="I14823" s="24"/>
      <c r="J14823" s="24"/>
      <c r="K14823" s="24"/>
      <c r="L14823" s="24"/>
      <c r="M14823" s="24"/>
      <c r="N14823" s="24"/>
      <c r="O14823" s="24"/>
      <c r="P14823" s="24"/>
      <c r="Q14823" s="24"/>
      <c r="R14823" s="24"/>
      <c r="S14823" s="24"/>
      <c r="T14823" s="24"/>
      <c r="U14823" s="24"/>
      <c r="V14823" s="24"/>
      <c r="W14823" s="24"/>
      <c r="X14823" s="24"/>
      <c r="Y14823" s="24"/>
      <c r="Z14823" s="24"/>
      <c r="AA14823" s="24"/>
    </row>
    <row r="14824">
      <c r="A14824" s="24"/>
      <c r="B14824" s="25"/>
      <c r="C14824" s="24"/>
      <c r="D14824" s="26"/>
      <c r="E14824" s="24"/>
      <c r="F14824" s="24"/>
      <c r="G14824" s="24"/>
      <c r="H14824" s="24"/>
      <c r="I14824" s="24"/>
      <c r="J14824" s="24"/>
      <c r="K14824" s="24"/>
      <c r="L14824" s="24"/>
      <c r="M14824" s="24"/>
      <c r="N14824" s="24"/>
      <c r="O14824" s="24"/>
      <c r="P14824" s="24"/>
      <c r="Q14824" s="24"/>
      <c r="R14824" s="24"/>
      <c r="S14824" s="24"/>
      <c r="T14824" s="24"/>
      <c r="U14824" s="24"/>
      <c r="V14824" s="24"/>
      <c r="W14824" s="24"/>
      <c r="X14824" s="24"/>
      <c r="Y14824" s="24"/>
      <c r="Z14824" s="24"/>
      <c r="AA14824" s="24"/>
    </row>
    <row r="14825">
      <c r="A14825" s="24"/>
      <c r="B14825" s="25"/>
      <c r="C14825" s="24"/>
      <c r="D14825" s="26"/>
      <c r="E14825" s="24"/>
      <c r="F14825" s="24"/>
      <c r="G14825" s="24"/>
      <c r="H14825" s="24"/>
      <c r="I14825" s="24"/>
      <c r="J14825" s="24"/>
      <c r="K14825" s="24"/>
      <c r="L14825" s="24"/>
      <c r="M14825" s="24"/>
      <c r="N14825" s="24"/>
      <c r="O14825" s="24"/>
      <c r="P14825" s="24"/>
      <c r="Q14825" s="24"/>
      <c r="R14825" s="24"/>
      <c r="S14825" s="24"/>
      <c r="T14825" s="24"/>
      <c r="U14825" s="24"/>
      <c r="V14825" s="24"/>
      <c r="W14825" s="24"/>
      <c r="X14825" s="24"/>
      <c r="Y14825" s="24"/>
      <c r="Z14825" s="24"/>
      <c r="AA14825" s="24"/>
    </row>
    <row r="14826">
      <c r="A14826" s="24"/>
      <c r="B14826" s="25"/>
      <c r="C14826" s="24"/>
      <c r="D14826" s="26"/>
      <c r="E14826" s="24"/>
      <c r="F14826" s="24"/>
      <c r="G14826" s="24"/>
      <c r="H14826" s="24"/>
      <c r="I14826" s="24"/>
      <c r="J14826" s="24"/>
      <c r="K14826" s="24"/>
      <c r="L14826" s="24"/>
      <c r="M14826" s="24"/>
      <c r="N14826" s="24"/>
      <c r="O14826" s="24"/>
      <c r="P14826" s="24"/>
      <c r="Q14826" s="24"/>
      <c r="R14826" s="24"/>
      <c r="S14826" s="24"/>
      <c r="T14826" s="24"/>
      <c r="U14826" s="24"/>
      <c r="V14826" s="24"/>
      <c r="W14826" s="24"/>
      <c r="X14826" s="24"/>
      <c r="Y14826" s="24"/>
      <c r="Z14826" s="24"/>
      <c r="AA14826" s="24"/>
    </row>
    <row r="14827">
      <c r="A14827" s="24"/>
      <c r="B14827" s="25"/>
      <c r="C14827" s="24"/>
      <c r="D14827" s="26"/>
      <c r="E14827" s="24"/>
      <c r="F14827" s="24"/>
      <c r="G14827" s="24"/>
      <c r="H14827" s="24"/>
      <c r="I14827" s="24"/>
      <c r="J14827" s="24"/>
      <c r="K14827" s="24"/>
      <c r="L14827" s="24"/>
      <c r="M14827" s="24"/>
      <c r="N14827" s="24"/>
      <c r="O14827" s="24"/>
      <c r="P14827" s="24"/>
      <c r="Q14827" s="24"/>
      <c r="R14827" s="24"/>
      <c r="S14827" s="24"/>
      <c r="T14827" s="24"/>
      <c r="U14827" s="24"/>
      <c r="V14827" s="24"/>
      <c r="W14827" s="24"/>
      <c r="X14827" s="24"/>
      <c r="Y14827" s="24"/>
      <c r="Z14827" s="24"/>
      <c r="AA14827" s="24"/>
    </row>
    <row r="14828">
      <c r="A14828" s="24"/>
      <c r="B14828" s="25"/>
      <c r="C14828" s="24"/>
      <c r="D14828" s="26"/>
      <c r="E14828" s="24"/>
      <c r="F14828" s="24"/>
      <c r="G14828" s="24"/>
      <c r="H14828" s="24"/>
      <c r="I14828" s="24"/>
      <c r="J14828" s="24"/>
      <c r="K14828" s="24"/>
      <c r="L14828" s="24"/>
      <c r="M14828" s="24"/>
      <c r="N14828" s="24"/>
      <c r="O14828" s="24"/>
      <c r="P14828" s="24"/>
      <c r="Q14828" s="24"/>
      <c r="R14828" s="24"/>
      <c r="S14828" s="24"/>
      <c r="T14828" s="24"/>
      <c r="U14828" s="24"/>
      <c r="V14828" s="24"/>
      <c r="W14828" s="24"/>
      <c r="X14828" s="24"/>
      <c r="Y14828" s="24"/>
      <c r="Z14828" s="24"/>
      <c r="AA14828" s="24"/>
    </row>
    <row r="14829">
      <c r="A14829" s="24"/>
      <c r="B14829" s="25"/>
      <c r="C14829" s="24"/>
      <c r="D14829" s="26"/>
      <c r="E14829" s="24"/>
      <c r="F14829" s="24"/>
      <c r="G14829" s="24"/>
      <c r="H14829" s="24"/>
      <c r="I14829" s="24"/>
      <c r="J14829" s="24"/>
      <c r="K14829" s="24"/>
      <c r="L14829" s="24"/>
      <c r="M14829" s="24"/>
      <c r="N14829" s="24"/>
      <c r="O14829" s="24"/>
      <c r="P14829" s="24"/>
      <c r="Q14829" s="24"/>
      <c r="R14829" s="24"/>
      <c r="S14829" s="24"/>
      <c r="T14829" s="24"/>
      <c r="U14829" s="24"/>
      <c r="V14829" s="24"/>
      <c r="W14829" s="24"/>
      <c r="X14829" s="24"/>
      <c r="Y14829" s="24"/>
      <c r="Z14829" s="24"/>
      <c r="AA14829" s="24"/>
    </row>
    <row r="14830">
      <c r="A14830" s="24"/>
      <c r="B14830" s="25"/>
      <c r="C14830" s="24"/>
      <c r="D14830" s="26"/>
      <c r="E14830" s="24"/>
      <c r="F14830" s="24"/>
      <c r="G14830" s="24"/>
      <c r="H14830" s="24"/>
      <c r="I14830" s="24"/>
      <c r="J14830" s="24"/>
      <c r="K14830" s="24"/>
      <c r="L14830" s="24"/>
      <c r="M14830" s="24"/>
      <c r="N14830" s="24"/>
      <c r="O14830" s="24"/>
      <c r="P14830" s="24"/>
      <c r="Q14830" s="24"/>
      <c r="R14830" s="24"/>
      <c r="S14830" s="24"/>
      <c r="T14830" s="24"/>
      <c r="U14830" s="24"/>
      <c r="V14830" s="24"/>
      <c r="W14830" s="24"/>
      <c r="X14830" s="24"/>
      <c r="Y14830" s="24"/>
      <c r="Z14830" s="24"/>
      <c r="AA14830" s="24"/>
    </row>
    <row r="14831">
      <c r="A14831" s="24"/>
      <c r="B14831" s="25"/>
      <c r="C14831" s="24"/>
      <c r="D14831" s="26"/>
      <c r="E14831" s="24"/>
      <c r="F14831" s="24"/>
      <c r="G14831" s="24"/>
      <c r="H14831" s="24"/>
      <c r="I14831" s="24"/>
      <c r="J14831" s="24"/>
      <c r="K14831" s="24"/>
      <c r="L14831" s="24"/>
      <c r="M14831" s="24"/>
      <c r="N14831" s="24"/>
      <c r="O14831" s="24"/>
      <c r="P14831" s="24"/>
      <c r="Q14831" s="24"/>
      <c r="R14831" s="24"/>
      <c r="S14831" s="24"/>
      <c r="T14831" s="24"/>
      <c r="U14831" s="24"/>
      <c r="V14831" s="24"/>
      <c r="W14831" s="24"/>
      <c r="X14831" s="24"/>
      <c r="Y14831" s="24"/>
      <c r="Z14831" s="24"/>
      <c r="AA14831" s="24"/>
    </row>
    <row r="14832">
      <c r="A14832" s="24"/>
      <c r="B14832" s="25"/>
      <c r="C14832" s="24"/>
      <c r="D14832" s="26"/>
      <c r="E14832" s="24"/>
      <c r="F14832" s="24"/>
      <c r="G14832" s="24"/>
      <c r="H14832" s="24"/>
      <c r="I14832" s="24"/>
      <c r="J14832" s="24"/>
      <c r="K14832" s="24"/>
      <c r="L14832" s="24"/>
      <c r="M14832" s="24"/>
      <c r="N14832" s="24"/>
      <c r="O14832" s="24"/>
      <c r="P14832" s="24"/>
      <c r="Q14832" s="24"/>
      <c r="R14832" s="24"/>
      <c r="S14832" s="24"/>
      <c r="T14832" s="24"/>
      <c r="U14832" s="24"/>
      <c r="V14832" s="24"/>
      <c r="W14832" s="24"/>
      <c r="X14832" s="24"/>
      <c r="Y14832" s="24"/>
      <c r="Z14832" s="24"/>
      <c r="AA14832" s="24"/>
    </row>
    <row r="14833">
      <c r="A14833" s="24"/>
      <c r="B14833" s="25"/>
      <c r="C14833" s="24"/>
      <c r="D14833" s="26"/>
      <c r="E14833" s="24"/>
      <c r="F14833" s="24"/>
      <c r="G14833" s="24"/>
      <c r="H14833" s="24"/>
      <c r="I14833" s="24"/>
      <c r="J14833" s="24"/>
      <c r="K14833" s="24"/>
      <c r="L14833" s="24"/>
      <c r="M14833" s="24"/>
      <c r="N14833" s="24"/>
      <c r="O14833" s="24"/>
      <c r="P14833" s="24"/>
      <c r="Q14833" s="24"/>
      <c r="R14833" s="24"/>
      <c r="S14833" s="24"/>
      <c r="T14833" s="24"/>
      <c r="U14833" s="24"/>
      <c r="V14833" s="24"/>
      <c r="W14833" s="24"/>
      <c r="X14833" s="24"/>
      <c r="Y14833" s="24"/>
      <c r="Z14833" s="24"/>
      <c r="AA14833" s="24"/>
    </row>
    <row r="14834">
      <c r="A14834" s="24"/>
      <c r="B14834" s="25"/>
      <c r="C14834" s="24"/>
      <c r="D14834" s="26"/>
      <c r="E14834" s="24"/>
      <c r="F14834" s="24"/>
      <c r="G14834" s="24"/>
      <c r="H14834" s="24"/>
      <c r="I14834" s="24"/>
      <c r="J14834" s="24"/>
      <c r="K14834" s="24"/>
      <c r="L14834" s="24"/>
      <c r="M14834" s="24"/>
      <c r="N14834" s="24"/>
      <c r="O14834" s="24"/>
      <c r="P14834" s="24"/>
      <c r="Q14834" s="24"/>
      <c r="R14834" s="24"/>
      <c r="S14834" s="24"/>
      <c r="T14834" s="24"/>
      <c r="U14834" s="24"/>
      <c r="V14834" s="24"/>
      <c r="W14834" s="24"/>
      <c r="X14834" s="24"/>
      <c r="Y14834" s="24"/>
      <c r="Z14834" s="24"/>
      <c r="AA14834" s="24"/>
    </row>
    <row r="14835">
      <c r="A14835" s="24"/>
      <c r="B14835" s="25"/>
      <c r="C14835" s="24"/>
      <c r="D14835" s="26"/>
      <c r="E14835" s="24"/>
      <c r="F14835" s="24"/>
      <c r="G14835" s="24"/>
      <c r="H14835" s="24"/>
      <c r="I14835" s="24"/>
      <c r="J14835" s="24"/>
      <c r="K14835" s="24"/>
      <c r="L14835" s="24"/>
      <c r="M14835" s="24"/>
      <c r="N14835" s="24"/>
      <c r="O14835" s="24"/>
      <c r="P14835" s="24"/>
      <c r="Q14835" s="24"/>
      <c r="R14835" s="24"/>
      <c r="S14835" s="24"/>
      <c r="T14835" s="24"/>
      <c r="U14835" s="24"/>
      <c r="V14835" s="24"/>
      <c r="W14835" s="24"/>
      <c r="X14835" s="24"/>
      <c r="Y14835" s="24"/>
      <c r="Z14835" s="24"/>
      <c r="AA14835" s="24"/>
    </row>
    <row r="14836">
      <c r="A14836" s="24"/>
      <c r="B14836" s="25"/>
      <c r="C14836" s="24"/>
      <c r="D14836" s="26"/>
      <c r="E14836" s="24"/>
      <c r="F14836" s="24"/>
      <c r="G14836" s="24"/>
      <c r="H14836" s="24"/>
      <c r="I14836" s="24"/>
      <c r="J14836" s="24"/>
      <c r="K14836" s="24"/>
      <c r="L14836" s="24"/>
      <c r="M14836" s="24"/>
      <c r="N14836" s="24"/>
      <c r="O14836" s="24"/>
      <c r="P14836" s="24"/>
      <c r="Q14836" s="24"/>
      <c r="R14836" s="24"/>
      <c r="S14836" s="24"/>
      <c r="T14836" s="24"/>
      <c r="U14836" s="24"/>
      <c r="V14836" s="24"/>
      <c r="W14836" s="24"/>
      <c r="X14836" s="24"/>
      <c r="Y14836" s="24"/>
      <c r="Z14836" s="24"/>
      <c r="AA14836" s="24"/>
    </row>
    <row r="14837">
      <c r="A14837" s="24"/>
      <c r="B14837" s="25"/>
      <c r="C14837" s="24"/>
      <c r="D14837" s="26"/>
      <c r="E14837" s="24"/>
      <c r="F14837" s="24"/>
      <c r="G14837" s="24"/>
      <c r="H14837" s="24"/>
      <c r="I14837" s="24"/>
      <c r="J14837" s="24"/>
      <c r="K14837" s="24"/>
      <c r="L14837" s="24"/>
      <c r="M14837" s="24"/>
      <c r="N14837" s="24"/>
      <c r="O14837" s="24"/>
      <c r="P14837" s="24"/>
      <c r="Q14837" s="24"/>
      <c r="R14837" s="24"/>
      <c r="S14837" s="24"/>
      <c r="T14837" s="24"/>
      <c r="U14837" s="24"/>
      <c r="V14837" s="24"/>
      <c r="W14837" s="24"/>
      <c r="X14837" s="24"/>
      <c r="Y14837" s="24"/>
      <c r="Z14837" s="24"/>
      <c r="AA14837" s="24"/>
    </row>
    <row r="14838">
      <c r="A14838" s="24"/>
      <c r="B14838" s="25"/>
      <c r="C14838" s="24"/>
      <c r="D14838" s="26"/>
      <c r="E14838" s="24"/>
      <c r="F14838" s="24"/>
      <c r="G14838" s="24"/>
      <c r="H14838" s="24"/>
      <c r="I14838" s="24"/>
      <c r="J14838" s="24"/>
      <c r="K14838" s="24"/>
      <c r="L14838" s="24"/>
      <c r="M14838" s="24"/>
      <c r="N14838" s="24"/>
      <c r="O14838" s="24"/>
      <c r="P14838" s="24"/>
      <c r="Q14838" s="24"/>
      <c r="R14838" s="24"/>
      <c r="S14838" s="24"/>
      <c r="T14838" s="24"/>
      <c r="U14838" s="24"/>
      <c r="V14838" s="24"/>
      <c r="W14838" s="24"/>
      <c r="X14838" s="24"/>
      <c r="Y14838" s="24"/>
      <c r="Z14838" s="24"/>
      <c r="AA14838" s="24"/>
    </row>
    <row r="14839">
      <c r="A14839" s="24"/>
      <c r="B14839" s="25"/>
      <c r="C14839" s="24"/>
      <c r="D14839" s="26"/>
      <c r="E14839" s="24"/>
      <c r="F14839" s="24"/>
      <c r="G14839" s="24"/>
      <c r="H14839" s="24"/>
      <c r="I14839" s="24"/>
      <c r="J14839" s="24"/>
      <c r="K14839" s="24"/>
      <c r="L14839" s="24"/>
      <c r="M14839" s="24"/>
      <c r="N14839" s="24"/>
      <c r="O14839" s="24"/>
      <c r="P14839" s="24"/>
      <c r="Q14839" s="24"/>
      <c r="R14839" s="24"/>
      <c r="S14839" s="24"/>
      <c r="T14839" s="24"/>
      <c r="U14839" s="24"/>
      <c r="V14839" s="24"/>
      <c r="W14839" s="24"/>
      <c r="X14839" s="24"/>
      <c r="Y14839" s="24"/>
      <c r="Z14839" s="24"/>
      <c r="AA14839" s="24"/>
    </row>
    <row r="14840">
      <c r="A14840" s="24"/>
      <c r="B14840" s="25"/>
      <c r="C14840" s="24"/>
      <c r="D14840" s="26"/>
      <c r="E14840" s="24"/>
      <c r="F14840" s="24"/>
      <c r="G14840" s="24"/>
      <c r="H14840" s="24"/>
      <c r="I14840" s="24"/>
      <c r="J14840" s="24"/>
      <c r="K14840" s="24"/>
      <c r="L14840" s="24"/>
      <c r="M14840" s="24"/>
      <c r="N14840" s="24"/>
      <c r="O14840" s="24"/>
      <c r="P14840" s="24"/>
      <c r="Q14840" s="24"/>
      <c r="R14840" s="24"/>
      <c r="S14840" s="24"/>
      <c r="T14840" s="24"/>
      <c r="U14840" s="24"/>
      <c r="V14840" s="24"/>
      <c r="W14840" s="24"/>
      <c r="X14840" s="24"/>
      <c r="Y14840" s="24"/>
      <c r="Z14840" s="24"/>
      <c r="AA14840" s="24"/>
    </row>
    <row r="14841">
      <c r="A14841" s="24"/>
      <c r="B14841" s="25"/>
      <c r="C14841" s="24"/>
      <c r="D14841" s="26"/>
      <c r="E14841" s="24"/>
      <c r="F14841" s="24"/>
      <c r="G14841" s="24"/>
      <c r="H14841" s="24"/>
      <c r="I14841" s="24"/>
      <c r="J14841" s="24"/>
      <c r="K14841" s="24"/>
      <c r="L14841" s="24"/>
      <c r="M14841" s="24"/>
      <c r="N14841" s="24"/>
      <c r="O14841" s="24"/>
      <c r="P14841" s="24"/>
      <c r="Q14841" s="24"/>
      <c r="R14841" s="24"/>
      <c r="S14841" s="24"/>
      <c r="T14841" s="24"/>
      <c r="U14841" s="24"/>
      <c r="V14841" s="24"/>
      <c r="W14841" s="24"/>
      <c r="X14841" s="24"/>
      <c r="Y14841" s="24"/>
      <c r="Z14841" s="24"/>
      <c r="AA14841" s="24"/>
    </row>
    <row r="14842">
      <c r="A14842" s="24"/>
      <c r="B14842" s="25"/>
      <c r="C14842" s="24"/>
      <c r="D14842" s="26"/>
      <c r="E14842" s="24"/>
      <c r="F14842" s="24"/>
      <c r="G14842" s="24"/>
      <c r="H14842" s="24"/>
      <c r="I14842" s="24"/>
      <c r="J14842" s="24"/>
      <c r="K14842" s="24"/>
      <c r="L14842" s="24"/>
      <c r="M14842" s="24"/>
      <c r="N14842" s="24"/>
      <c r="O14842" s="24"/>
      <c r="P14842" s="24"/>
      <c r="Q14842" s="24"/>
      <c r="R14842" s="24"/>
      <c r="S14842" s="24"/>
      <c r="T14842" s="24"/>
      <c r="U14842" s="24"/>
      <c r="V14842" s="24"/>
      <c r="W14842" s="24"/>
      <c r="X14842" s="24"/>
      <c r="Y14842" s="24"/>
      <c r="Z14842" s="24"/>
      <c r="AA14842" s="24"/>
    </row>
    <row r="14843">
      <c r="A14843" s="24"/>
      <c r="B14843" s="25"/>
      <c r="C14843" s="24"/>
      <c r="D14843" s="26"/>
      <c r="E14843" s="24"/>
      <c r="F14843" s="24"/>
      <c r="G14843" s="24"/>
      <c r="H14843" s="24"/>
      <c r="I14843" s="24"/>
      <c r="J14843" s="24"/>
      <c r="K14843" s="24"/>
      <c r="L14843" s="24"/>
      <c r="M14843" s="24"/>
      <c r="N14843" s="24"/>
      <c r="O14843" s="24"/>
      <c r="P14843" s="24"/>
      <c r="Q14843" s="24"/>
      <c r="R14843" s="24"/>
      <c r="S14843" s="24"/>
      <c r="T14843" s="24"/>
      <c r="U14843" s="24"/>
      <c r="V14843" s="24"/>
      <c r="W14843" s="24"/>
      <c r="X14843" s="24"/>
      <c r="Y14843" s="24"/>
      <c r="Z14843" s="24"/>
      <c r="AA14843" s="24"/>
    </row>
    <row r="14844">
      <c r="A14844" s="24"/>
      <c r="B14844" s="25"/>
      <c r="C14844" s="24"/>
      <c r="D14844" s="26"/>
      <c r="E14844" s="24"/>
      <c r="F14844" s="24"/>
      <c r="G14844" s="24"/>
      <c r="H14844" s="24"/>
      <c r="I14844" s="24"/>
      <c r="J14844" s="24"/>
      <c r="K14844" s="24"/>
      <c r="L14844" s="24"/>
      <c r="M14844" s="24"/>
      <c r="N14844" s="24"/>
      <c r="O14844" s="24"/>
      <c r="P14844" s="24"/>
      <c r="Q14844" s="24"/>
      <c r="R14844" s="24"/>
      <c r="S14844" s="24"/>
      <c r="T14844" s="24"/>
      <c r="U14844" s="24"/>
      <c r="V14844" s="24"/>
      <c r="W14844" s="24"/>
      <c r="X14844" s="24"/>
      <c r="Y14844" s="24"/>
      <c r="Z14844" s="24"/>
      <c r="AA14844" s="24"/>
    </row>
    <row r="14845">
      <c r="A14845" s="24"/>
      <c r="B14845" s="25"/>
      <c r="C14845" s="24"/>
      <c r="D14845" s="26"/>
      <c r="E14845" s="24"/>
      <c r="F14845" s="24"/>
      <c r="G14845" s="24"/>
      <c r="H14845" s="24"/>
      <c r="I14845" s="24"/>
      <c r="J14845" s="24"/>
      <c r="K14845" s="24"/>
      <c r="L14845" s="24"/>
      <c r="M14845" s="24"/>
      <c r="N14845" s="24"/>
      <c r="O14845" s="24"/>
      <c r="P14845" s="24"/>
      <c r="Q14845" s="24"/>
      <c r="R14845" s="24"/>
      <c r="S14845" s="24"/>
      <c r="T14845" s="24"/>
      <c r="U14845" s="24"/>
      <c r="V14845" s="24"/>
      <c r="W14845" s="24"/>
      <c r="X14845" s="24"/>
      <c r="Y14845" s="24"/>
      <c r="Z14845" s="24"/>
      <c r="AA14845" s="24"/>
    </row>
    <row r="14846">
      <c r="A14846" s="24"/>
      <c r="B14846" s="25"/>
      <c r="C14846" s="24"/>
      <c r="D14846" s="26"/>
      <c r="E14846" s="24"/>
      <c r="F14846" s="24"/>
      <c r="G14846" s="24"/>
      <c r="H14846" s="24"/>
      <c r="I14846" s="24"/>
      <c r="J14846" s="24"/>
      <c r="K14846" s="24"/>
      <c r="L14846" s="24"/>
      <c r="M14846" s="24"/>
      <c r="N14846" s="24"/>
      <c r="O14846" s="24"/>
      <c r="P14846" s="24"/>
      <c r="Q14846" s="24"/>
      <c r="R14846" s="24"/>
      <c r="S14846" s="24"/>
      <c r="T14846" s="24"/>
      <c r="U14846" s="24"/>
      <c r="V14846" s="24"/>
      <c r="W14846" s="24"/>
      <c r="X14846" s="24"/>
      <c r="Y14846" s="24"/>
      <c r="Z14846" s="24"/>
      <c r="AA14846" s="24"/>
    </row>
    <row r="14847">
      <c r="A14847" s="24"/>
      <c r="B14847" s="25"/>
      <c r="C14847" s="24"/>
      <c r="D14847" s="26"/>
      <c r="E14847" s="24"/>
      <c r="F14847" s="24"/>
      <c r="G14847" s="24"/>
      <c r="H14847" s="24"/>
      <c r="I14847" s="24"/>
      <c r="J14847" s="24"/>
      <c r="K14847" s="24"/>
      <c r="L14847" s="24"/>
      <c r="M14847" s="24"/>
      <c r="N14847" s="24"/>
      <c r="O14847" s="24"/>
      <c r="P14847" s="24"/>
      <c r="Q14847" s="24"/>
      <c r="R14847" s="24"/>
      <c r="S14847" s="24"/>
      <c r="T14847" s="24"/>
      <c r="U14847" s="24"/>
      <c r="V14847" s="24"/>
      <c r="W14847" s="24"/>
      <c r="X14847" s="24"/>
      <c r="Y14847" s="24"/>
      <c r="Z14847" s="24"/>
      <c r="AA14847" s="24"/>
    </row>
    <row r="14848">
      <c r="A14848" s="24"/>
      <c r="B14848" s="25"/>
      <c r="C14848" s="24"/>
      <c r="D14848" s="26"/>
      <c r="E14848" s="24"/>
      <c r="F14848" s="24"/>
      <c r="G14848" s="24"/>
      <c r="H14848" s="24"/>
      <c r="I14848" s="24"/>
      <c r="J14848" s="24"/>
      <c r="K14848" s="24"/>
      <c r="L14848" s="24"/>
      <c r="M14848" s="24"/>
      <c r="N14848" s="24"/>
      <c r="O14848" s="24"/>
      <c r="P14848" s="24"/>
      <c r="Q14848" s="24"/>
      <c r="R14848" s="24"/>
      <c r="S14848" s="24"/>
      <c r="T14848" s="24"/>
      <c r="U14848" s="24"/>
      <c r="V14848" s="24"/>
      <c r="W14848" s="24"/>
      <c r="X14848" s="24"/>
      <c r="Y14848" s="24"/>
      <c r="Z14848" s="24"/>
      <c r="AA14848" s="24"/>
    </row>
    <row r="14849">
      <c r="A14849" s="24"/>
      <c r="B14849" s="25"/>
      <c r="C14849" s="24"/>
      <c r="D14849" s="26"/>
      <c r="E14849" s="24"/>
      <c r="F14849" s="24"/>
      <c r="G14849" s="24"/>
      <c r="H14849" s="24"/>
      <c r="I14849" s="24"/>
      <c r="J14849" s="24"/>
      <c r="K14849" s="24"/>
      <c r="L14849" s="24"/>
      <c r="M14849" s="24"/>
      <c r="N14849" s="24"/>
      <c r="O14849" s="24"/>
      <c r="P14849" s="24"/>
      <c r="Q14849" s="24"/>
      <c r="R14849" s="24"/>
      <c r="S14849" s="24"/>
      <c r="T14849" s="24"/>
      <c r="U14849" s="24"/>
      <c r="V14849" s="24"/>
      <c r="W14849" s="24"/>
      <c r="X14849" s="24"/>
      <c r="Y14849" s="24"/>
      <c r="Z14849" s="24"/>
      <c r="AA14849" s="24"/>
    </row>
    <row r="14850">
      <c r="A14850" s="24"/>
      <c r="B14850" s="25"/>
      <c r="C14850" s="24"/>
      <c r="D14850" s="26"/>
      <c r="E14850" s="24"/>
      <c r="F14850" s="24"/>
      <c r="G14850" s="24"/>
      <c r="H14850" s="24"/>
      <c r="I14850" s="24"/>
      <c r="J14850" s="24"/>
      <c r="K14850" s="24"/>
      <c r="L14850" s="24"/>
      <c r="M14850" s="24"/>
      <c r="N14850" s="24"/>
      <c r="O14850" s="24"/>
      <c r="P14850" s="24"/>
      <c r="Q14850" s="24"/>
      <c r="R14850" s="24"/>
      <c r="S14850" s="24"/>
      <c r="T14850" s="24"/>
      <c r="U14850" s="24"/>
      <c r="V14850" s="24"/>
      <c r="W14850" s="24"/>
      <c r="X14850" s="24"/>
      <c r="Y14850" s="24"/>
      <c r="Z14850" s="24"/>
      <c r="AA14850" s="24"/>
    </row>
    <row r="14851">
      <c r="A14851" s="24"/>
      <c r="B14851" s="25"/>
      <c r="C14851" s="24"/>
      <c r="D14851" s="26"/>
      <c r="E14851" s="24"/>
      <c r="F14851" s="24"/>
      <c r="G14851" s="24"/>
      <c r="H14851" s="24"/>
      <c r="I14851" s="24"/>
      <c r="J14851" s="24"/>
      <c r="K14851" s="24"/>
      <c r="L14851" s="24"/>
      <c r="M14851" s="24"/>
      <c r="N14851" s="24"/>
      <c r="O14851" s="24"/>
      <c r="P14851" s="24"/>
      <c r="Q14851" s="24"/>
      <c r="R14851" s="24"/>
      <c r="S14851" s="24"/>
      <c r="T14851" s="24"/>
      <c r="U14851" s="24"/>
      <c r="V14851" s="24"/>
      <c r="W14851" s="24"/>
      <c r="X14851" s="24"/>
      <c r="Y14851" s="24"/>
      <c r="Z14851" s="24"/>
      <c r="AA14851" s="24"/>
    </row>
    <row r="14852">
      <c r="A14852" s="24"/>
      <c r="B14852" s="25"/>
      <c r="C14852" s="24"/>
      <c r="D14852" s="26"/>
      <c r="E14852" s="24"/>
      <c r="F14852" s="24"/>
      <c r="G14852" s="24"/>
      <c r="H14852" s="24"/>
      <c r="I14852" s="24"/>
      <c r="J14852" s="24"/>
      <c r="K14852" s="24"/>
      <c r="L14852" s="24"/>
      <c r="M14852" s="24"/>
      <c r="N14852" s="24"/>
      <c r="O14852" s="24"/>
      <c r="P14852" s="24"/>
      <c r="Q14852" s="24"/>
      <c r="R14852" s="24"/>
      <c r="S14852" s="24"/>
      <c r="T14852" s="24"/>
      <c r="U14852" s="24"/>
      <c r="V14852" s="24"/>
      <c r="W14852" s="24"/>
      <c r="X14852" s="24"/>
      <c r="Y14852" s="24"/>
      <c r="Z14852" s="24"/>
      <c r="AA14852" s="24"/>
    </row>
    <row r="14853">
      <c r="A14853" s="24"/>
      <c r="B14853" s="25"/>
      <c r="C14853" s="24"/>
      <c r="D14853" s="26"/>
      <c r="E14853" s="24"/>
      <c r="F14853" s="24"/>
      <c r="G14853" s="24"/>
      <c r="H14853" s="24"/>
      <c r="I14853" s="24"/>
      <c r="J14853" s="24"/>
      <c r="K14853" s="24"/>
      <c r="L14853" s="24"/>
      <c r="M14853" s="24"/>
      <c r="N14853" s="24"/>
      <c r="O14853" s="24"/>
      <c r="P14853" s="24"/>
      <c r="Q14853" s="24"/>
      <c r="R14853" s="24"/>
      <c r="S14853" s="24"/>
      <c r="T14853" s="24"/>
      <c r="U14853" s="24"/>
      <c r="V14853" s="24"/>
      <c r="W14853" s="24"/>
      <c r="X14853" s="24"/>
      <c r="Y14853" s="24"/>
      <c r="Z14853" s="24"/>
      <c r="AA14853" s="24"/>
    </row>
    <row r="14854">
      <c r="A14854" s="24"/>
      <c r="B14854" s="25"/>
      <c r="C14854" s="24"/>
      <c r="D14854" s="26"/>
      <c r="E14854" s="24"/>
      <c r="F14854" s="24"/>
      <c r="G14854" s="24"/>
      <c r="H14854" s="24"/>
      <c r="I14854" s="24"/>
      <c r="J14854" s="24"/>
      <c r="K14854" s="24"/>
      <c r="L14854" s="24"/>
      <c r="M14854" s="24"/>
      <c r="N14854" s="24"/>
      <c r="O14854" s="24"/>
      <c r="P14854" s="24"/>
      <c r="Q14854" s="24"/>
      <c r="R14854" s="24"/>
      <c r="S14854" s="24"/>
      <c r="T14854" s="24"/>
      <c r="U14854" s="24"/>
      <c r="V14854" s="24"/>
      <c r="W14854" s="24"/>
      <c r="X14854" s="24"/>
      <c r="Y14854" s="24"/>
      <c r="Z14854" s="24"/>
      <c r="AA14854" s="24"/>
    </row>
    <row r="14855">
      <c r="A14855" s="24"/>
      <c r="B14855" s="25"/>
      <c r="C14855" s="24"/>
      <c r="D14855" s="26"/>
      <c r="E14855" s="24"/>
      <c r="F14855" s="24"/>
      <c r="G14855" s="24"/>
      <c r="H14855" s="24"/>
      <c r="I14855" s="24"/>
      <c r="J14855" s="24"/>
      <c r="K14855" s="24"/>
      <c r="L14855" s="24"/>
      <c r="M14855" s="24"/>
      <c r="N14855" s="24"/>
      <c r="O14855" s="24"/>
      <c r="P14855" s="24"/>
      <c r="Q14855" s="24"/>
      <c r="R14855" s="24"/>
      <c r="S14855" s="24"/>
      <c r="T14855" s="24"/>
      <c r="U14855" s="24"/>
      <c r="V14855" s="24"/>
      <c r="W14855" s="24"/>
      <c r="X14855" s="24"/>
      <c r="Y14855" s="24"/>
      <c r="Z14855" s="24"/>
      <c r="AA14855" s="24"/>
    </row>
    <row r="14856">
      <c r="A14856" s="24"/>
      <c r="B14856" s="25"/>
      <c r="C14856" s="24"/>
      <c r="D14856" s="26"/>
      <c r="E14856" s="24"/>
      <c r="F14856" s="24"/>
      <c r="G14856" s="24"/>
      <c r="H14856" s="24"/>
      <c r="I14856" s="24"/>
      <c r="J14856" s="24"/>
      <c r="K14856" s="24"/>
      <c r="L14856" s="24"/>
      <c r="M14856" s="24"/>
      <c r="N14856" s="24"/>
      <c r="O14856" s="24"/>
      <c r="P14856" s="24"/>
      <c r="Q14856" s="24"/>
      <c r="R14856" s="24"/>
      <c r="S14856" s="24"/>
      <c r="T14856" s="24"/>
      <c r="U14856" s="24"/>
      <c r="V14856" s="24"/>
      <c r="W14856" s="24"/>
      <c r="X14856" s="24"/>
      <c r="Y14856" s="24"/>
      <c r="Z14856" s="24"/>
      <c r="AA14856" s="24"/>
    </row>
    <row r="14857">
      <c r="A14857" s="24"/>
      <c r="B14857" s="25"/>
      <c r="C14857" s="24"/>
      <c r="D14857" s="26"/>
      <c r="E14857" s="24"/>
      <c r="F14857" s="24"/>
      <c r="G14857" s="24"/>
      <c r="H14857" s="24"/>
      <c r="I14857" s="24"/>
      <c r="J14857" s="24"/>
      <c r="K14857" s="24"/>
      <c r="L14857" s="24"/>
      <c r="M14857" s="24"/>
      <c r="N14857" s="24"/>
      <c r="O14857" s="24"/>
      <c r="P14857" s="24"/>
      <c r="Q14857" s="24"/>
      <c r="R14857" s="24"/>
      <c r="S14857" s="24"/>
      <c r="T14857" s="24"/>
      <c r="U14857" s="24"/>
      <c r="V14857" s="24"/>
      <c r="W14857" s="24"/>
      <c r="X14857" s="24"/>
      <c r="Y14857" s="24"/>
      <c r="Z14857" s="24"/>
      <c r="AA14857" s="24"/>
    </row>
    <row r="14858">
      <c r="A14858" s="24"/>
      <c r="B14858" s="25"/>
      <c r="C14858" s="24"/>
      <c r="D14858" s="26"/>
      <c r="E14858" s="24"/>
      <c r="F14858" s="24"/>
      <c r="G14858" s="24"/>
      <c r="H14858" s="24"/>
      <c r="I14858" s="24"/>
      <c r="J14858" s="24"/>
      <c r="K14858" s="24"/>
      <c r="L14858" s="24"/>
      <c r="M14858" s="24"/>
      <c r="N14858" s="24"/>
      <c r="O14858" s="24"/>
      <c r="P14858" s="24"/>
      <c r="Q14858" s="24"/>
      <c r="R14858" s="24"/>
      <c r="S14858" s="24"/>
      <c r="T14858" s="24"/>
      <c r="U14858" s="24"/>
      <c r="V14858" s="24"/>
      <c r="W14858" s="24"/>
      <c r="X14858" s="24"/>
      <c r="Y14858" s="24"/>
      <c r="Z14858" s="24"/>
      <c r="AA14858" s="24"/>
    </row>
    <row r="14859">
      <c r="A14859" s="24"/>
      <c r="B14859" s="25"/>
      <c r="C14859" s="24"/>
      <c r="D14859" s="26"/>
      <c r="E14859" s="24"/>
      <c r="F14859" s="24"/>
      <c r="G14859" s="24"/>
      <c r="H14859" s="24"/>
      <c r="I14859" s="24"/>
      <c r="J14859" s="24"/>
      <c r="K14859" s="24"/>
      <c r="L14859" s="24"/>
      <c r="M14859" s="24"/>
      <c r="N14859" s="24"/>
      <c r="O14859" s="24"/>
      <c r="P14859" s="24"/>
      <c r="Q14859" s="24"/>
      <c r="R14859" s="24"/>
      <c r="S14859" s="24"/>
      <c r="T14859" s="24"/>
      <c r="U14859" s="24"/>
      <c r="V14859" s="24"/>
      <c r="W14859" s="24"/>
      <c r="X14859" s="24"/>
      <c r="Y14859" s="24"/>
      <c r="Z14859" s="24"/>
      <c r="AA14859" s="24"/>
    </row>
    <row r="14860">
      <c r="A14860" s="24"/>
      <c r="B14860" s="25"/>
      <c r="C14860" s="24"/>
      <c r="D14860" s="26"/>
      <c r="E14860" s="24"/>
      <c r="F14860" s="24"/>
      <c r="G14860" s="24"/>
      <c r="H14860" s="24"/>
      <c r="I14860" s="24"/>
      <c r="J14860" s="24"/>
      <c r="K14860" s="24"/>
      <c r="L14860" s="24"/>
      <c r="M14860" s="24"/>
      <c r="N14860" s="24"/>
      <c r="O14860" s="24"/>
      <c r="P14860" s="24"/>
      <c r="Q14860" s="24"/>
      <c r="R14860" s="24"/>
      <c r="S14860" s="24"/>
      <c r="T14860" s="24"/>
      <c r="U14860" s="24"/>
      <c r="V14860" s="24"/>
      <c r="W14860" s="24"/>
      <c r="X14860" s="24"/>
      <c r="Y14860" s="24"/>
      <c r="Z14860" s="24"/>
      <c r="AA14860" s="24"/>
    </row>
    <row r="14861">
      <c r="A14861" s="24"/>
      <c r="B14861" s="25"/>
      <c r="C14861" s="24"/>
      <c r="D14861" s="26"/>
      <c r="E14861" s="24"/>
      <c r="F14861" s="24"/>
      <c r="G14861" s="24"/>
      <c r="H14861" s="24"/>
      <c r="I14861" s="24"/>
      <c r="J14861" s="24"/>
      <c r="K14861" s="24"/>
      <c r="L14861" s="24"/>
      <c r="M14861" s="24"/>
      <c r="N14861" s="24"/>
      <c r="O14861" s="24"/>
      <c r="P14861" s="24"/>
      <c r="Q14861" s="24"/>
      <c r="R14861" s="24"/>
      <c r="S14861" s="24"/>
      <c r="T14861" s="24"/>
      <c r="U14861" s="24"/>
      <c r="V14861" s="24"/>
      <c r="W14861" s="24"/>
      <c r="X14861" s="24"/>
      <c r="Y14861" s="24"/>
      <c r="Z14861" s="24"/>
      <c r="AA14861" s="24"/>
    </row>
    <row r="14862">
      <c r="A14862" s="24"/>
      <c r="B14862" s="25"/>
      <c r="C14862" s="24"/>
      <c r="D14862" s="26"/>
      <c r="E14862" s="24"/>
      <c r="F14862" s="24"/>
      <c r="G14862" s="24"/>
      <c r="H14862" s="24"/>
      <c r="I14862" s="24"/>
      <c r="J14862" s="24"/>
      <c r="K14862" s="24"/>
      <c r="L14862" s="24"/>
      <c r="M14862" s="24"/>
      <c r="N14862" s="24"/>
      <c r="O14862" s="24"/>
      <c r="P14862" s="24"/>
      <c r="Q14862" s="24"/>
      <c r="R14862" s="24"/>
      <c r="S14862" s="24"/>
      <c r="T14862" s="24"/>
      <c r="U14862" s="24"/>
      <c r="V14862" s="24"/>
      <c r="W14862" s="24"/>
      <c r="X14862" s="24"/>
      <c r="Y14862" s="24"/>
      <c r="Z14862" s="24"/>
      <c r="AA14862" s="24"/>
    </row>
    <row r="14863">
      <c r="A14863" s="24"/>
      <c r="B14863" s="25"/>
      <c r="C14863" s="24"/>
      <c r="D14863" s="26"/>
      <c r="E14863" s="24"/>
      <c r="F14863" s="24"/>
      <c r="G14863" s="24"/>
      <c r="H14863" s="24"/>
      <c r="I14863" s="24"/>
      <c r="J14863" s="24"/>
      <c r="K14863" s="24"/>
      <c r="L14863" s="24"/>
      <c r="M14863" s="24"/>
      <c r="N14863" s="24"/>
      <c r="O14863" s="24"/>
      <c r="P14863" s="24"/>
      <c r="Q14863" s="24"/>
      <c r="R14863" s="24"/>
      <c r="S14863" s="24"/>
      <c r="T14863" s="24"/>
      <c r="U14863" s="24"/>
      <c r="V14863" s="24"/>
      <c r="W14863" s="24"/>
      <c r="X14863" s="24"/>
      <c r="Y14863" s="24"/>
      <c r="Z14863" s="24"/>
      <c r="AA14863" s="24"/>
    </row>
    <row r="14864">
      <c r="A14864" s="24"/>
      <c r="B14864" s="25"/>
      <c r="C14864" s="24"/>
      <c r="D14864" s="26"/>
      <c r="E14864" s="24"/>
      <c r="F14864" s="24"/>
      <c r="G14864" s="24"/>
      <c r="H14864" s="24"/>
      <c r="I14864" s="24"/>
      <c r="J14864" s="24"/>
      <c r="K14864" s="24"/>
      <c r="L14864" s="24"/>
      <c r="M14864" s="24"/>
      <c r="N14864" s="24"/>
      <c r="O14864" s="24"/>
      <c r="P14864" s="24"/>
      <c r="Q14864" s="24"/>
      <c r="R14864" s="24"/>
      <c r="S14864" s="24"/>
      <c r="T14864" s="24"/>
      <c r="U14864" s="24"/>
      <c r="V14864" s="24"/>
      <c r="W14864" s="24"/>
      <c r="X14864" s="24"/>
      <c r="Y14864" s="24"/>
      <c r="Z14864" s="24"/>
      <c r="AA14864" s="24"/>
    </row>
    <row r="14865">
      <c r="A14865" s="24"/>
      <c r="B14865" s="25"/>
      <c r="C14865" s="24"/>
      <c r="D14865" s="26"/>
      <c r="E14865" s="24"/>
      <c r="F14865" s="24"/>
      <c r="G14865" s="24"/>
      <c r="H14865" s="24"/>
      <c r="I14865" s="24"/>
      <c r="J14865" s="24"/>
      <c r="K14865" s="24"/>
      <c r="L14865" s="24"/>
      <c r="M14865" s="24"/>
      <c r="N14865" s="24"/>
      <c r="O14865" s="24"/>
      <c r="P14865" s="24"/>
      <c r="Q14865" s="24"/>
      <c r="R14865" s="24"/>
      <c r="S14865" s="24"/>
      <c r="T14865" s="24"/>
      <c r="U14865" s="24"/>
      <c r="V14865" s="24"/>
      <c r="W14865" s="24"/>
      <c r="X14865" s="24"/>
      <c r="Y14865" s="24"/>
      <c r="Z14865" s="24"/>
      <c r="AA14865" s="24"/>
    </row>
    <row r="14866">
      <c r="A14866" s="24"/>
      <c r="B14866" s="25"/>
      <c r="C14866" s="24"/>
      <c r="D14866" s="26"/>
      <c r="E14866" s="24"/>
      <c r="F14866" s="24"/>
      <c r="G14866" s="24"/>
      <c r="H14866" s="24"/>
      <c r="I14866" s="24"/>
      <c r="J14866" s="24"/>
      <c r="K14866" s="24"/>
      <c r="L14866" s="24"/>
      <c r="M14866" s="24"/>
      <c r="N14866" s="24"/>
      <c r="O14866" s="24"/>
      <c r="P14866" s="24"/>
      <c r="Q14866" s="24"/>
      <c r="R14866" s="24"/>
      <c r="S14866" s="24"/>
      <c r="T14866" s="24"/>
      <c r="U14866" s="24"/>
      <c r="V14866" s="24"/>
      <c r="W14866" s="24"/>
      <c r="X14866" s="24"/>
      <c r="Y14866" s="24"/>
      <c r="Z14866" s="24"/>
      <c r="AA14866" s="24"/>
    </row>
    <row r="14867">
      <c r="A14867" s="24"/>
      <c r="B14867" s="25"/>
      <c r="C14867" s="24"/>
      <c r="D14867" s="26"/>
      <c r="E14867" s="24"/>
      <c r="F14867" s="24"/>
      <c r="G14867" s="24"/>
      <c r="H14867" s="24"/>
      <c r="I14867" s="24"/>
      <c r="J14867" s="24"/>
      <c r="K14867" s="24"/>
      <c r="L14867" s="24"/>
      <c r="M14867" s="24"/>
      <c r="N14867" s="24"/>
      <c r="O14867" s="24"/>
      <c r="P14867" s="24"/>
      <c r="Q14867" s="24"/>
      <c r="R14867" s="24"/>
      <c r="S14867" s="24"/>
      <c r="T14867" s="24"/>
      <c r="U14867" s="24"/>
      <c r="V14867" s="24"/>
      <c r="W14867" s="24"/>
      <c r="X14867" s="24"/>
      <c r="Y14867" s="24"/>
      <c r="Z14867" s="24"/>
      <c r="AA14867" s="24"/>
    </row>
    <row r="14868">
      <c r="A14868" s="24"/>
      <c r="B14868" s="25"/>
      <c r="C14868" s="24"/>
      <c r="D14868" s="26"/>
      <c r="E14868" s="24"/>
      <c r="F14868" s="24"/>
      <c r="G14868" s="24"/>
      <c r="H14868" s="24"/>
      <c r="I14868" s="24"/>
      <c r="J14868" s="24"/>
      <c r="K14868" s="24"/>
      <c r="L14868" s="24"/>
      <c r="M14868" s="24"/>
      <c r="N14868" s="24"/>
      <c r="O14868" s="24"/>
      <c r="P14868" s="24"/>
      <c r="Q14868" s="24"/>
      <c r="R14868" s="24"/>
      <c r="S14868" s="24"/>
      <c r="T14868" s="24"/>
      <c r="U14868" s="24"/>
      <c r="V14868" s="24"/>
      <c r="W14868" s="24"/>
      <c r="X14868" s="24"/>
      <c r="Y14868" s="24"/>
      <c r="Z14868" s="24"/>
      <c r="AA14868" s="24"/>
    </row>
    <row r="14869">
      <c r="A14869" s="24"/>
      <c r="B14869" s="25"/>
      <c r="C14869" s="24"/>
      <c r="D14869" s="26"/>
      <c r="E14869" s="24"/>
      <c r="F14869" s="24"/>
      <c r="G14869" s="24"/>
      <c r="H14869" s="24"/>
      <c r="I14869" s="24"/>
      <c r="J14869" s="24"/>
      <c r="K14869" s="24"/>
      <c r="L14869" s="24"/>
      <c r="M14869" s="24"/>
      <c r="N14869" s="24"/>
      <c r="O14869" s="24"/>
      <c r="P14869" s="24"/>
      <c r="Q14869" s="24"/>
      <c r="R14869" s="24"/>
      <c r="S14869" s="24"/>
      <c r="T14869" s="24"/>
      <c r="U14869" s="24"/>
      <c r="V14869" s="24"/>
      <c r="W14869" s="24"/>
      <c r="X14869" s="24"/>
      <c r="Y14869" s="24"/>
      <c r="Z14869" s="24"/>
      <c r="AA14869" s="24"/>
    </row>
    <row r="14870">
      <c r="A14870" s="24"/>
      <c r="B14870" s="25"/>
      <c r="C14870" s="24"/>
      <c r="D14870" s="26"/>
      <c r="E14870" s="24"/>
      <c r="F14870" s="24"/>
      <c r="G14870" s="24"/>
      <c r="H14870" s="24"/>
      <c r="I14870" s="24"/>
      <c r="J14870" s="24"/>
      <c r="K14870" s="24"/>
      <c r="L14870" s="24"/>
      <c r="M14870" s="24"/>
      <c r="N14870" s="24"/>
      <c r="O14870" s="24"/>
      <c r="P14870" s="24"/>
      <c r="Q14870" s="24"/>
      <c r="R14870" s="24"/>
      <c r="S14870" s="24"/>
      <c r="T14870" s="24"/>
      <c r="U14870" s="24"/>
      <c r="V14870" s="24"/>
      <c r="W14870" s="24"/>
      <c r="X14870" s="24"/>
      <c r="Y14870" s="24"/>
      <c r="Z14870" s="24"/>
      <c r="AA14870" s="24"/>
    </row>
    <row r="14871">
      <c r="A14871" s="24"/>
      <c r="B14871" s="25"/>
      <c r="C14871" s="24"/>
      <c r="D14871" s="26"/>
      <c r="E14871" s="24"/>
      <c r="F14871" s="24"/>
      <c r="G14871" s="24"/>
      <c r="H14871" s="24"/>
      <c r="I14871" s="24"/>
      <c r="J14871" s="24"/>
      <c r="K14871" s="24"/>
      <c r="L14871" s="24"/>
      <c r="M14871" s="24"/>
      <c r="N14871" s="24"/>
      <c r="O14871" s="24"/>
      <c r="P14871" s="24"/>
      <c r="Q14871" s="24"/>
      <c r="R14871" s="24"/>
      <c r="S14871" s="24"/>
      <c r="T14871" s="24"/>
      <c r="U14871" s="24"/>
      <c r="V14871" s="24"/>
      <c r="W14871" s="24"/>
      <c r="X14871" s="24"/>
      <c r="Y14871" s="24"/>
      <c r="Z14871" s="24"/>
      <c r="AA14871" s="24"/>
    </row>
    <row r="14872">
      <c r="A14872" s="24"/>
      <c r="B14872" s="25"/>
      <c r="C14872" s="24"/>
      <c r="D14872" s="26"/>
      <c r="E14872" s="24"/>
      <c r="F14872" s="24"/>
      <c r="G14872" s="24"/>
      <c r="H14872" s="24"/>
      <c r="I14872" s="24"/>
      <c r="J14872" s="24"/>
      <c r="K14872" s="24"/>
      <c r="L14872" s="24"/>
      <c r="M14872" s="24"/>
      <c r="N14872" s="24"/>
      <c r="O14872" s="24"/>
      <c r="P14872" s="24"/>
      <c r="Q14872" s="24"/>
      <c r="R14872" s="24"/>
      <c r="S14872" s="24"/>
      <c r="T14872" s="24"/>
      <c r="U14872" s="24"/>
      <c r="V14872" s="24"/>
      <c r="W14872" s="24"/>
      <c r="X14872" s="24"/>
      <c r="Y14872" s="24"/>
      <c r="Z14872" s="24"/>
      <c r="AA14872" s="24"/>
    </row>
    <row r="14873">
      <c r="A14873" s="24"/>
      <c r="B14873" s="25"/>
      <c r="C14873" s="24"/>
      <c r="D14873" s="26"/>
      <c r="E14873" s="24"/>
      <c r="F14873" s="24"/>
      <c r="G14873" s="24"/>
      <c r="H14873" s="24"/>
      <c r="I14873" s="24"/>
      <c r="J14873" s="24"/>
      <c r="K14873" s="24"/>
      <c r="L14873" s="24"/>
      <c r="M14873" s="24"/>
      <c r="N14873" s="24"/>
      <c r="O14873" s="24"/>
      <c r="P14873" s="24"/>
      <c r="Q14873" s="24"/>
      <c r="R14873" s="24"/>
      <c r="S14873" s="24"/>
      <c r="T14873" s="24"/>
      <c r="U14873" s="24"/>
      <c r="V14873" s="24"/>
      <c r="W14873" s="24"/>
      <c r="X14873" s="24"/>
      <c r="Y14873" s="24"/>
      <c r="Z14873" s="24"/>
      <c r="AA14873" s="24"/>
    </row>
    <row r="14874">
      <c r="A14874" s="24"/>
      <c r="B14874" s="25"/>
      <c r="C14874" s="24"/>
      <c r="D14874" s="26"/>
      <c r="E14874" s="24"/>
      <c r="F14874" s="24"/>
      <c r="G14874" s="24"/>
      <c r="H14874" s="24"/>
      <c r="I14874" s="24"/>
      <c r="J14874" s="24"/>
      <c r="K14874" s="24"/>
      <c r="L14874" s="24"/>
      <c r="M14874" s="24"/>
      <c r="N14874" s="24"/>
      <c r="O14874" s="24"/>
      <c r="P14874" s="24"/>
      <c r="Q14874" s="24"/>
      <c r="R14874" s="24"/>
      <c r="S14874" s="24"/>
      <c r="T14874" s="24"/>
      <c r="U14874" s="24"/>
      <c r="V14874" s="24"/>
      <c r="W14874" s="24"/>
      <c r="X14874" s="24"/>
      <c r="Y14874" s="24"/>
      <c r="Z14874" s="24"/>
      <c r="AA14874" s="24"/>
    </row>
    <row r="14875">
      <c r="A14875" s="24"/>
      <c r="B14875" s="25"/>
      <c r="C14875" s="24"/>
      <c r="D14875" s="26"/>
      <c r="E14875" s="24"/>
      <c r="F14875" s="24"/>
      <c r="G14875" s="24"/>
      <c r="H14875" s="24"/>
      <c r="I14875" s="24"/>
      <c r="J14875" s="24"/>
      <c r="K14875" s="24"/>
      <c r="L14875" s="24"/>
      <c r="M14875" s="24"/>
      <c r="N14875" s="24"/>
      <c r="O14875" s="24"/>
      <c r="P14875" s="24"/>
      <c r="Q14875" s="24"/>
      <c r="R14875" s="24"/>
      <c r="S14875" s="24"/>
      <c r="T14875" s="24"/>
      <c r="U14875" s="24"/>
      <c r="V14875" s="24"/>
      <c r="W14875" s="24"/>
      <c r="X14875" s="24"/>
      <c r="Y14875" s="24"/>
      <c r="Z14875" s="24"/>
      <c r="AA14875" s="24"/>
    </row>
    <row r="14876">
      <c r="A14876" s="24"/>
      <c r="B14876" s="25"/>
      <c r="C14876" s="24"/>
      <c r="D14876" s="26"/>
      <c r="E14876" s="24"/>
      <c r="F14876" s="24"/>
      <c r="G14876" s="24"/>
      <c r="H14876" s="24"/>
      <c r="I14876" s="24"/>
      <c r="J14876" s="24"/>
      <c r="K14876" s="24"/>
      <c r="L14876" s="24"/>
      <c r="M14876" s="24"/>
      <c r="N14876" s="24"/>
      <c r="O14876" s="24"/>
      <c r="P14876" s="24"/>
      <c r="Q14876" s="24"/>
      <c r="R14876" s="24"/>
      <c r="S14876" s="24"/>
      <c r="T14876" s="24"/>
      <c r="U14876" s="24"/>
      <c r="V14876" s="24"/>
      <c r="W14876" s="24"/>
      <c r="X14876" s="24"/>
      <c r="Y14876" s="24"/>
      <c r="Z14876" s="24"/>
      <c r="AA14876" s="24"/>
    </row>
    <row r="14877">
      <c r="A14877" s="24"/>
      <c r="B14877" s="25"/>
      <c r="C14877" s="24"/>
      <c r="D14877" s="26"/>
      <c r="E14877" s="24"/>
      <c r="F14877" s="24"/>
      <c r="G14877" s="24"/>
      <c r="H14877" s="24"/>
      <c r="I14877" s="24"/>
      <c r="J14877" s="24"/>
      <c r="K14877" s="24"/>
      <c r="L14877" s="24"/>
      <c r="M14877" s="24"/>
      <c r="N14877" s="24"/>
      <c r="O14877" s="24"/>
      <c r="P14877" s="24"/>
      <c r="Q14877" s="24"/>
      <c r="R14877" s="24"/>
      <c r="S14877" s="24"/>
      <c r="T14877" s="24"/>
      <c r="U14877" s="24"/>
      <c r="V14877" s="24"/>
      <c r="W14877" s="24"/>
      <c r="X14877" s="24"/>
      <c r="Y14877" s="24"/>
      <c r="Z14877" s="24"/>
      <c r="AA14877" s="24"/>
    </row>
    <row r="14878">
      <c r="A14878" s="24"/>
      <c r="B14878" s="25"/>
      <c r="C14878" s="24"/>
      <c r="D14878" s="26"/>
      <c r="E14878" s="24"/>
      <c r="F14878" s="24"/>
      <c r="G14878" s="24"/>
      <c r="H14878" s="24"/>
      <c r="I14878" s="24"/>
      <c r="J14878" s="24"/>
      <c r="K14878" s="24"/>
      <c r="L14878" s="24"/>
      <c r="M14878" s="24"/>
      <c r="N14878" s="24"/>
      <c r="O14878" s="24"/>
      <c r="P14878" s="24"/>
      <c r="Q14878" s="24"/>
      <c r="R14878" s="24"/>
      <c r="S14878" s="24"/>
      <c r="T14878" s="24"/>
      <c r="U14878" s="24"/>
      <c r="V14878" s="24"/>
      <c r="W14878" s="24"/>
      <c r="X14878" s="24"/>
      <c r="Y14878" s="24"/>
      <c r="Z14878" s="24"/>
      <c r="AA14878" s="24"/>
    </row>
    <row r="14879">
      <c r="A14879" s="24"/>
      <c r="B14879" s="25"/>
      <c r="C14879" s="24"/>
      <c r="D14879" s="26"/>
      <c r="E14879" s="24"/>
      <c r="F14879" s="24"/>
      <c r="G14879" s="24"/>
      <c r="H14879" s="24"/>
      <c r="I14879" s="24"/>
      <c r="J14879" s="24"/>
      <c r="K14879" s="24"/>
      <c r="L14879" s="24"/>
      <c r="M14879" s="24"/>
      <c r="N14879" s="24"/>
      <c r="O14879" s="24"/>
      <c r="P14879" s="24"/>
      <c r="Q14879" s="24"/>
      <c r="R14879" s="24"/>
      <c r="S14879" s="24"/>
      <c r="T14879" s="24"/>
      <c r="U14879" s="24"/>
      <c r="V14879" s="24"/>
      <c r="W14879" s="24"/>
      <c r="X14879" s="24"/>
      <c r="Y14879" s="24"/>
      <c r="Z14879" s="24"/>
      <c r="AA14879" s="24"/>
    </row>
    <row r="14880">
      <c r="A14880" s="24"/>
      <c r="B14880" s="25"/>
      <c r="C14880" s="24"/>
      <c r="D14880" s="26"/>
      <c r="E14880" s="24"/>
      <c r="F14880" s="24"/>
      <c r="G14880" s="24"/>
      <c r="H14880" s="24"/>
      <c r="I14880" s="24"/>
      <c r="J14880" s="24"/>
      <c r="K14880" s="24"/>
      <c r="L14880" s="24"/>
      <c r="M14880" s="24"/>
      <c r="N14880" s="24"/>
      <c r="O14880" s="24"/>
      <c r="P14880" s="24"/>
      <c r="Q14880" s="24"/>
      <c r="R14880" s="24"/>
      <c r="S14880" s="24"/>
      <c r="T14880" s="24"/>
      <c r="U14880" s="24"/>
      <c r="V14880" s="24"/>
      <c r="W14880" s="24"/>
      <c r="X14880" s="24"/>
      <c r="Y14880" s="24"/>
      <c r="Z14880" s="24"/>
      <c r="AA14880" s="24"/>
    </row>
    <row r="14881">
      <c r="A14881" s="24"/>
      <c r="B14881" s="25"/>
      <c r="C14881" s="24"/>
      <c r="D14881" s="26"/>
      <c r="E14881" s="24"/>
      <c r="F14881" s="24"/>
      <c r="G14881" s="24"/>
      <c r="H14881" s="24"/>
      <c r="I14881" s="24"/>
      <c r="J14881" s="24"/>
      <c r="K14881" s="24"/>
      <c r="L14881" s="24"/>
      <c r="M14881" s="24"/>
      <c r="N14881" s="24"/>
      <c r="O14881" s="24"/>
      <c r="P14881" s="24"/>
      <c r="Q14881" s="24"/>
      <c r="R14881" s="24"/>
      <c r="S14881" s="24"/>
      <c r="T14881" s="24"/>
      <c r="U14881" s="24"/>
      <c r="V14881" s="24"/>
      <c r="W14881" s="24"/>
      <c r="X14881" s="24"/>
      <c r="Y14881" s="24"/>
      <c r="Z14881" s="24"/>
      <c r="AA14881" s="24"/>
    </row>
    <row r="14882">
      <c r="A14882" s="24"/>
      <c r="B14882" s="25"/>
      <c r="C14882" s="24"/>
      <c r="D14882" s="26"/>
      <c r="E14882" s="24"/>
      <c r="F14882" s="24"/>
      <c r="G14882" s="24"/>
      <c r="H14882" s="24"/>
      <c r="I14882" s="24"/>
      <c r="J14882" s="24"/>
      <c r="K14882" s="24"/>
      <c r="L14882" s="24"/>
      <c r="M14882" s="24"/>
      <c r="N14882" s="24"/>
      <c r="O14882" s="24"/>
      <c r="P14882" s="24"/>
      <c r="Q14882" s="24"/>
      <c r="R14882" s="24"/>
      <c r="S14882" s="24"/>
      <c r="T14882" s="24"/>
      <c r="U14882" s="24"/>
      <c r="V14882" s="24"/>
      <c r="W14882" s="24"/>
      <c r="X14882" s="24"/>
      <c r="Y14882" s="24"/>
      <c r="Z14882" s="24"/>
      <c r="AA14882" s="24"/>
    </row>
    <row r="14883">
      <c r="A14883" s="24"/>
      <c r="B14883" s="25"/>
      <c r="C14883" s="24"/>
      <c r="D14883" s="26"/>
      <c r="E14883" s="24"/>
      <c r="F14883" s="24"/>
      <c r="G14883" s="24"/>
      <c r="H14883" s="24"/>
      <c r="I14883" s="24"/>
      <c r="J14883" s="24"/>
      <c r="K14883" s="24"/>
      <c r="L14883" s="24"/>
      <c r="M14883" s="24"/>
      <c r="N14883" s="24"/>
      <c r="O14883" s="24"/>
      <c r="P14883" s="24"/>
      <c r="Q14883" s="24"/>
      <c r="R14883" s="24"/>
      <c r="S14883" s="24"/>
      <c r="T14883" s="24"/>
      <c r="U14883" s="24"/>
      <c r="V14883" s="24"/>
      <c r="W14883" s="24"/>
      <c r="X14883" s="24"/>
      <c r="Y14883" s="24"/>
      <c r="Z14883" s="24"/>
      <c r="AA14883" s="24"/>
    </row>
    <row r="14884">
      <c r="A14884" s="24"/>
      <c r="B14884" s="25"/>
      <c r="C14884" s="24"/>
      <c r="D14884" s="26"/>
      <c r="E14884" s="24"/>
      <c r="F14884" s="24"/>
      <c r="G14884" s="24"/>
      <c r="H14884" s="24"/>
      <c r="I14884" s="24"/>
      <c r="J14884" s="24"/>
      <c r="K14884" s="24"/>
      <c r="L14884" s="24"/>
      <c r="M14884" s="24"/>
      <c r="N14884" s="24"/>
      <c r="O14884" s="24"/>
      <c r="P14884" s="24"/>
      <c r="Q14884" s="24"/>
      <c r="R14884" s="24"/>
      <c r="S14884" s="24"/>
      <c r="T14884" s="24"/>
      <c r="U14884" s="24"/>
      <c r="V14884" s="24"/>
      <c r="W14884" s="24"/>
      <c r="X14884" s="24"/>
      <c r="Y14884" s="24"/>
      <c r="Z14884" s="24"/>
      <c r="AA14884" s="24"/>
    </row>
    <row r="14885">
      <c r="A14885" s="24"/>
      <c r="B14885" s="25"/>
      <c r="C14885" s="24"/>
      <c r="D14885" s="26"/>
      <c r="E14885" s="24"/>
      <c r="F14885" s="24"/>
      <c r="G14885" s="24"/>
      <c r="H14885" s="24"/>
      <c r="I14885" s="24"/>
      <c r="J14885" s="24"/>
      <c r="K14885" s="24"/>
      <c r="L14885" s="24"/>
      <c r="M14885" s="24"/>
      <c r="N14885" s="24"/>
      <c r="O14885" s="24"/>
      <c r="P14885" s="24"/>
      <c r="Q14885" s="24"/>
      <c r="R14885" s="24"/>
      <c r="S14885" s="24"/>
      <c r="T14885" s="24"/>
      <c r="U14885" s="24"/>
      <c r="V14885" s="24"/>
      <c r="W14885" s="24"/>
      <c r="X14885" s="24"/>
      <c r="Y14885" s="24"/>
      <c r="Z14885" s="24"/>
      <c r="AA14885" s="24"/>
    </row>
    <row r="14886">
      <c r="A14886" s="24"/>
      <c r="B14886" s="25"/>
      <c r="C14886" s="24"/>
      <c r="D14886" s="26"/>
      <c r="E14886" s="24"/>
      <c r="F14886" s="24"/>
      <c r="G14886" s="24"/>
      <c r="H14886" s="24"/>
      <c r="I14886" s="24"/>
      <c r="J14886" s="24"/>
      <c r="K14886" s="24"/>
      <c r="L14886" s="24"/>
      <c r="M14886" s="24"/>
      <c r="N14886" s="24"/>
      <c r="O14886" s="24"/>
      <c r="P14886" s="24"/>
      <c r="Q14886" s="24"/>
      <c r="R14886" s="24"/>
      <c r="S14886" s="24"/>
      <c r="T14886" s="24"/>
      <c r="U14886" s="24"/>
      <c r="V14886" s="24"/>
      <c r="W14886" s="24"/>
      <c r="X14886" s="24"/>
      <c r="Y14886" s="24"/>
      <c r="Z14886" s="24"/>
      <c r="AA14886" s="24"/>
    </row>
    <row r="14887">
      <c r="A14887" s="24"/>
      <c r="B14887" s="25"/>
      <c r="C14887" s="24"/>
      <c r="D14887" s="26"/>
      <c r="E14887" s="24"/>
      <c r="F14887" s="24"/>
      <c r="G14887" s="24"/>
      <c r="H14887" s="24"/>
      <c r="I14887" s="24"/>
      <c r="J14887" s="24"/>
      <c r="K14887" s="24"/>
      <c r="L14887" s="24"/>
      <c r="M14887" s="24"/>
      <c r="N14887" s="24"/>
      <c r="O14887" s="24"/>
      <c r="P14887" s="24"/>
      <c r="Q14887" s="24"/>
      <c r="R14887" s="24"/>
      <c r="S14887" s="24"/>
      <c r="T14887" s="24"/>
      <c r="U14887" s="24"/>
      <c r="V14887" s="24"/>
      <c r="W14887" s="24"/>
      <c r="X14887" s="24"/>
      <c r="Y14887" s="24"/>
      <c r="Z14887" s="24"/>
      <c r="AA14887" s="24"/>
    </row>
    <row r="14888">
      <c r="A14888" s="24"/>
      <c r="B14888" s="25"/>
      <c r="C14888" s="24"/>
      <c r="D14888" s="26"/>
      <c r="E14888" s="24"/>
      <c r="F14888" s="24"/>
      <c r="G14888" s="24"/>
      <c r="H14888" s="24"/>
      <c r="I14888" s="24"/>
      <c r="J14888" s="24"/>
      <c r="K14888" s="24"/>
      <c r="L14888" s="24"/>
      <c r="M14888" s="24"/>
      <c r="N14888" s="24"/>
      <c r="O14888" s="24"/>
      <c r="P14888" s="24"/>
      <c r="Q14888" s="24"/>
      <c r="R14888" s="24"/>
      <c r="S14888" s="24"/>
      <c r="T14888" s="24"/>
      <c r="U14888" s="24"/>
      <c r="V14888" s="24"/>
      <c r="W14888" s="24"/>
      <c r="X14888" s="24"/>
      <c r="Y14888" s="24"/>
      <c r="Z14888" s="24"/>
      <c r="AA14888" s="24"/>
    </row>
    <row r="14889">
      <c r="A14889" s="24"/>
      <c r="B14889" s="25"/>
      <c r="C14889" s="24"/>
      <c r="D14889" s="26"/>
      <c r="E14889" s="24"/>
      <c r="F14889" s="24"/>
      <c r="G14889" s="24"/>
      <c r="H14889" s="24"/>
      <c r="I14889" s="24"/>
      <c r="J14889" s="24"/>
      <c r="K14889" s="24"/>
      <c r="L14889" s="24"/>
      <c r="M14889" s="24"/>
      <c r="N14889" s="24"/>
      <c r="O14889" s="24"/>
      <c r="P14889" s="24"/>
      <c r="Q14889" s="24"/>
      <c r="R14889" s="24"/>
      <c r="S14889" s="24"/>
      <c r="T14889" s="24"/>
      <c r="U14889" s="24"/>
      <c r="V14889" s="24"/>
      <c r="W14889" s="24"/>
      <c r="X14889" s="24"/>
      <c r="Y14889" s="24"/>
      <c r="Z14889" s="24"/>
      <c r="AA14889" s="24"/>
    </row>
    <row r="14890">
      <c r="A14890" s="24"/>
      <c r="B14890" s="25"/>
      <c r="C14890" s="24"/>
      <c r="D14890" s="26"/>
      <c r="E14890" s="24"/>
      <c r="F14890" s="24"/>
      <c r="G14890" s="24"/>
      <c r="H14890" s="24"/>
      <c r="I14890" s="24"/>
      <c r="J14890" s="24"/>
      <c r="K14890" s="24"/>
      <c r="L14890" s="24"/>
      <c r="M14890" s="24"/>
      <c r="N14890" s="24"/>
      <c r="O14890" s="24"/>
      <c r="P14890" s="24"/>
      <c r="Q14890" s="24"/>
      <c r="R14890" s="24"/>
      <c r="S14890" s="24"/>
      <c r="T14890" s="24"/>
      <c r="U14890" s="24"/>
      <c r="V14890" s="24"/>
      <c r="W14890" s="24"/>
      <c r="X14890" s="24"/>
      <c r="Y14890" s="24"/>
      <c r="Z14890" s="24"/>
      <c r="AA14890" s="24"/>
    </row>
    <row r="14891">
      <c r="A14891" s="24"/>
      <c r="B14891" s="25"/>
      <c r="C14891" s="24"/>
      <c r="D14891" s="26"/>
      <c r="E14891" s="24"/>
      <c r="F14891" s="24"/>
      <c r="G14891" s="24"/>
      <c r="H14891" s="24"/>
      <c r="I14891" s="24"/>
      <c r="J14891" s="24"/>
      <c r="K14891" s="24"/>
      <c r="L14891" s="24"/>
      <c r="M14891" s="24"/>
      <c r="N14891" s="24"/>
      <c r="O14891" s="24"/>
      <c r="P14891" s="24"/>
      <c r="Q14891" s="24"/>
      <c r="R14891" s="24"/>
      <c r="S14891" s="24"/>
      <c r="T14891" s="24"/>
      <c r="U14891" s="24"/>
      <c r="V14891" s="24"/>
      <c r="W14891" s="24"/>
      <c r="X14891" s="24"/>
      <c r="Y14891" s="24"/>
      <c r="Z14891" s="24"/>
      <c r="AA14891" s="24"/>
    </row>
    <row r="14892">
      <c r="A14892" s="24"/>
      <c r="B14892" s="25"/>
      <c r="C14892" s="24"/>
      <c r="D14892" s="26"/>
      <c r="E14892" s="24"/>
      <c r="F14892" s="24"/>
      <c r="G14892" s="24"/>
      <c r="H14892" s="24"/>
      <c r="I14892" s="24"/>
      <c r="J14892" s="24"/>
      <c r="K14892" s="24"/>
      <c r="L14892" s="24"/>
      <c r="M14892" s="24"/>
      <c r="N14892" s="24"/>
      <c r="O14892" s="24"/>
      <c r="P14892" s="24"/>
      <c r="Q14892" s="24"/>
      <c r="R14892" s="24"/>
      <c r="S14892" s="24"/>
      <c r="T14892" s="24"/>
      <c r="U14892" s="24"/>
      <c r="V14892" s="24"/>
      <c r="W14892" s="24"/>
      <c r="X14892" s="24"/>
      <c r="Y14892" s="24"/>
      <c r="Z14892" s="24"/>
      <c r="AA14892" s="24"/>
    </row>
    <row r="14893">
      <c r="A14893" s="24"/>
      <c r="B14893" s="25"/>
      <c r="C14893" s="24"/>
      <c r="D14893" s="26"/>
      <c r="E14893" s="24"/>
      <c r="F14893" s="24"/>
      <c r="G14893" s="24"/>
      <c r="H14893" s="24"/>
      <c r="I14893" s="24"/>
      <c r="J14893" s="24"/>
      <c r="K14893" s="24"/>
      <c r="L14893" s="24"/>
      <c r="M14893" s="24"/>
      <c r="N14893" s="24"/>
      <c r="O14893" s="24"/>
      <c r="P14893" s="24"/>
      <c r="Q14893" s="24"/>
      <c r="R14893" s="24"/>
      <c r="S14893" s="24"/>
      <c r="T14893" s="24"/>
      <c r="U14893" s="24"/>
      <c r="V14893" s="24"/>
      <c r="W14893" s="24"/>
      <c r="X14893" s="24"/>
      <c r="Y14893" s="24"/>
      <c r="Z14893" s="24"/>
      <c r="AA14893" s="24"/>
    </row>
    <row r="14894">
      <c r="A14894" s="24"/>
      <c r="B14894" s="25"/>
      <c r="C14894" s="24"/>
      <c r="D14894" s="26"/>
      <c r="E14894" s="24"/>
      <c r="F14894" s="24"/>
      <c r="G14894" s="24"/>
      <c r="H14894" s="24"/>
      <c r="I14894" s="24"/>
      <c r="J14894" s="24"/>
      <c r="K14894" s="24"/>
      <c r="L14894" s="24"/>
      <c r="M14894" s="24"/>
      <c r="N14894" s="24"/>
      <c r="O14894" s="24"/>
      <c r="P14894" s="24"/>
      <c r="Q14894" s="24"/>
      <c r="R14894" s="24"/>
      <c r="S14894" s="24"/>
      <c r="T14894" s="24"/>
      <c r="U14894" s="24"/>
      <c r="V14894" s="24"/>
      <c r="W14894" s="24"/>
      <c r="X14894" s="24"/>
      <c r="Y14894" s="24"/>
      <c r="Z14894" s="24"/>
      <c r="AA14894" s="24"/>
    </row>
    <row r="14895">
      <c r="A14895" s="24"/>
      <c r="B14895" s="25"/>
      <c r="C14895" s="24"/>
      <c r="D14895" s="26"/>
      <c r="E14895" s="24"/>
      <c r="F14895" s="24"/>
      <c r="G14895" s="24"/>
      <c r="H14895" s="24"/>
      <c r="I14895" s="24"/>
      <c r="J14895" s="24"/>
      <c r="K14895" s="24"/>
      <c r="L14895" s="24"/>
      <c r="M14895" s="24"/>
      <c r="N14895" s="24"/>
      <c r="O14895" s="24"/>
      <c r="P14895" s="24"/>
      <c r="Q14895" s="24"/>
      <c r="R14895" s="24"/>
      <c r="S14895" s="24"/>
      <c r="T14895" s="24"/>
      <c r="U14895" s="24"/>
      <c r="V14895" s="24"/>
      <c r="W14895" s="24"/>
      <c r="X14895" s="24"/>
      <c r="Y14895" s="24"/>
      <c r="Z14895" s="24"/>
      <c r="AA14895" s="24"/>
    </row>
    <row r="14896">
      <c r="A14896" s="24"/>
      <c r="B14896" s="25"/>
      <c r="C14896" s="24"/>
      <c r="D14896" s="26"/>
      <c r="E14896" s="24"/>
      <c r="F14896" s="24"/>
      <c r="G14896" s="24"/>
      <c r="H14896" s="24"/>
      <c r="I14896" s="24"/>
      <c r="J14896" s="24"/>
      <c r="K14896" s="24"/>
      <c r="L14896" s="24"/>
      <c r="M14896" s="24"/>
      <c r="N14896" s="24"/>
      <c r="O14896" s="24"/>
      <c r="P14896" s="24"/>
      <c r="Q14896" s="24"/>
      <c r="R14896" s="24"/>
      <c r="S14896" s="24"/>
      <c r="T14896" s="24"/>
      <c r="U14896" s="24"/>
      <c r="V14896" s="24"/>
      <c r="W14896" s="24"/>
      <c r="X14896" s="24"/>
      <c r="Y14896" s="24"/>
      <c r="Z14896" s="24"/>
      <c r="AA14896" s="24"/>
    </row>
    <row r="14897">
      <c r="A14897" s="24"/>
      <c r="B14897" s="25"/>
      <c r="C14897" s="24"/>
      <c r="D14897" s="26"/>
      <c r="E14897" s="24"/>
      <c r="F14897" s="24"/>
      <c r="G14897" s="24"/>
      <c r="H14897" s="24"/>
      <c r="I14897" s="24"/>
      <c r="J14897" s="24"/>
      <c r="K14897" s="24"/>
      <c r="L14897" s="24"/>
      <c r="M14897" s="24"/>
      <c r="N14897" s="24"/>
      <c r="O14897" s="24"/>
      <c r="P14897" s="24"/>
      <c r="Q14897" s="24"/>
      <c r="R14897" s="24"/>
      <c r="S14897" s="24"/>
      <c r="T14897" s="24"/>
      <c r="U14897" s="24"/>
      <c r="V14897" s="24"/>
      <c r="W14897" s="24"/>
      <c r="X14897" s="24"/>
      <c r="Y14897" s="24"/>
      <c r="Z14897" s="24"/>
      <c r="AA14897" s="24"/>
    </row>
    <row r="14898">
      <c r="A14898" s="24"/>
      <c r="B14898" s="25"/>
      <c r="C14898" s="24"/>
      <c r="D14898" s="26"/>
      <c r="E14898" s="24"/>
      <c r="F14898" s="24"/>
      <c r="G14898" s="24"/>
      <c r="H14898" s="24"/>
      <c r="I14898" s="24"/>
      <c r="J14898" s="24"/>
      <c r="K14898" s="24"/>
      <c r="L14898" s="24"/>
      <c r="M14898" s="24"/>
      <c r="N14898" s="24"/>
      <c r="O14898" s="24"/>
      <c r="P14898" s="24"/>
      <c r="Q14898" s="24"/>
      <c r="R14898" s="24"/>
      <c r="S14898" s="24"/>
      <c r="T14898" s="24"/>
      <c r="U14898" s="24"/>
      <c r="V14898" s="24"/>
      <c r="W14898" s="24"/>
      <c r="X14898" s="24"/>
      <c r="Y14898" s="24"/>
      <c r="Z14898" s="24"/>
      <c r="AA14898" s="24"/>
    </row>
    <row r="14899">
      <c r="A14899" s="24"/>
      <c r="B14899" s="25"/>
      <c r="C14899" s="24"/>
      <c r="D14899" s="26"/>
      <c r="E14899" s="24"/>
      <c r="F14899" s="24"/>
      <c r="G14899" s="24"/>
      <c r="H14899" s="24"/>
      <c r="I14899" s="24"/>
      <c r="J14899" s="24"/>
      <c r="K14899" s="24"/>
      <c r="L14899" s="24"/>
      <c r="M14899" s="24"/>
      <c r="N14899" s="24"/>
      <c r="O14899" s="24"/>
      <c r="P14899" s="24"/>
      <c r="Q14899" s="24"/>
      <c r="R14899" s="24"/>
      <c r="S14899" s="24"/>
      <c r="T14899" s="24"/>
      <c r="U14899" s="24"/>
      <c r="V14899" s="24"/>
      <c r="W14899" s="24"/>
      <c r="X14899" s="24"/>
      <c r="Y14899" s="24"/>
      <c r="Z14899" s="24"/>
      <c r="AA14899" s="24"/>
    </row>
    <row r="14900">
      <c r="A14900" s="24"/>
      <c r="B14900" s="25"/>
      <c r="C14900" s="24"/>
      <c r="D14900" s="26"/>
      <c r="E14900" s="24"/>
      <c r="F14900" s="24"/>
      <c r="G14900" s="24"/>
      <c r="H14900" s="24"/>
      <c r="I14900" s="24"/>
      <c r="J14900" s="24"/>
      <c r="K14900" s="24"/>
      <c r="L14900" s="24"/>
      <c r="M14900" s="24"/>
      <c r="N14900" s="24"/>
      <c r="O14900" s="24"/>
      <c r="P14900" s="24"/>
      <c r="Q14900" s="24"/>
      <c r="R14900" s="24"/>
      <c r="S14900" s="24"/>
      <c r="T14900" s="24"/>
      <c r="U14900" s="24"/>
      <c r="V14900" s="24"/>
      <c r="W14900" s="24"/>
      <c r="X14900" s="24"/>
      <c r="Y14900" s="24"/>
      <c r="Z14900" s="24"/>
      <c r="AA14900" s="24"/>
    </row>
    <row r="14901">
      <c r="A14901" s="24"/>
      <c r="B14901" s="25"/>
      <c r="C14901" s="24"/>
      <c r="D14901" s="26"/>
      <c r="E14901" s="24"/>
      <c r="F14901" s="24"/>
      <c r="G14901" s="24"/>
      <c r="H14901" s="24"/>
      <c r="I14901" s="24"/>
      <c r="J14901" s="24"/>
      <c r="K14901" s="24"/>
      <c r="L14901" s="24"/>
      <c r="M14901" s="24"/>
      <c r="N14901" s="24"/>
      <c r="O14901" s="24"/>
      <c r="P14901" s="24"/>
      <c r="Q14901" s="24"/>
      <c r="R14901" s="24"/>
      <c r="S14901" s="24"/>
      <c r="T14901" s="24"/>
      <c r="U14901" s="24"/>
      <c r="V14901" s="24"/>
      <c r="W14901" s="24"/>
      <c r="X14901" s="24"/>
      <c r="Y14901" s="24"/>
      <c r="Z14901" s="24"/>
      <c r="AA14901" s="24"/>
    </row>
    <row r="14902">
      <c r="A14902" s="24"/>
      <c r="B14902" s="25"/>
      <c r="C14902" s="24"/>
      <c r="D14902" s="26"/>
      <c r="E14902" s="24"/>
      <c r="F14902" s="24"/>
      <c r="G14902" s="24"/>
      <c r="H14902" s="24"/>
      <c r="I14902" s="24"/>
      <c r="J14902" s="24"/>
      <c r="K14902" s="24"/>
      <c r="L14902" s="24"/>
      <c r="M14902" s="24"/>
      <c r="N14902" s="24"/>
      <c r="O14902" s="24"/>
      <c r="P14902" s="24"/>
      <c r="Q14902" s="24"/>
      <c r="R14902" s="24"/>
      <c r="S14902" s="24"/>
      <c r="T14902" s="24"/>
      <c r="U14902" s="24"/>
      <c r="V14902" s="24"/>
      <c r="W14902" s="24"/>
      <c r="X14902" s="24"/>
      <c r="Y14902" s="24"/>
      <c r="Z14902" s="24"/>
      <c r="AA14902" s="24"/>
    </row>
    <row r="14903">
      <c r="A14903" s="24"/>
      <c r="B14903" s="25"/>
      <c r="C14903" s="24"/>
      <c r="D14903" s="26"/>
      <c r="E14903" s="24"/>
      <c r="F14903" s="24"/>
      <c r="G14903" s="24"/>
      <c r="H14903" s="24"/>
      <c r="I14903" s="24"/>
      <c r="J14903" s="24"/>
      <c r="K14903" s="24"/>
      <c r="L14903" s="24"/>
      <c r="M14903" s="24"/>
      <c r="N14903" s="24"/>
      <c r="O14903" s="24"/>
      <c r="P14903" s="24"/>
      <c r="Q14903" s="24"/>
      <c r="R14903" s="24"/>
      <c r="S14903" s="24"/>
      <c r="T14903" s="24"/>
      <c r="U14903" s="24"/>
      <c r="V14903" s="24"/>
      <c r="W14903" s="24"/>
      <c r="X14903" s="24"/>
      <c r="Y14903" s="24"/>
      <c r="Z14903" s="24"/>
      <c r="AA14903" s="24"/>
    </row>
    <row r="14904">
      <c r="A14904" s="24"/>
      <c r="B14904" s="25"/>
      <c r="C14904" s="24"/>
      <c r="D14904" s="26"/>
      <c r="E14904" s="24"/>
      <c r="F14904" s="24"/>
      <c r="G14904" s="24"/>
      <c r="H14904" s="24"/>
      <c r="I14904" s="24"/>
      <c r="J14904" s="24"/>
      <c r="K14904" s="24"/>
      <c r="L14904" s="24"/>
      <c r="M14904" s="24"/>
      <c r="N14904" s="24"/>
      <c r="O14904" s="24"/>
      <c r="P14904" s="24"/>
      <c r="Q14904" s="24"/>
      <c r="R14904" s="24"/>
      <c r="S14904" s="24"/>
      <c r="T14904" s="24"/>
      <c r="U14904" s="24"/>
      <c r="V14904" s="24"/>
      <c r="W14904" s="24"/>
      <c r="X14904" s="24"/>
      <c r="Y14904" s="24"/>
      <c r="Z14904" s="24"/>
      <c r="AA14904" s="24"/>
    </row>
    <row r="14905">
      <c r="A14905" s="24"/>
      <c r="B14905" s="25"/>
      <c r="C14905" s="24"/>
      <c r="D14905" s="26"/>
      <c r="E14905" s="24"/>
      <c r="F14905" s="24"/>
      <c r="G14905" s="24"/>
      <c r="H14905" s="24"/>
      <c r="I14905" s="24"/>
      <c r="J14905" s="24"/>
      <c r="K14905" s="24"/>
      <c r="L14905" s="24"/>
      <c r="M14905" s="24"/>
      <c r="N14905" s="24"/>
      <c r="O14905" s="24"/>
      <c r="P14905" s="24"/>
      <c r="Q14905" s="24"/>
      <c r="R14905" s="24"/>
      <c r="S14905" s="24"/>
      <c r="T14905" s="24"/>
      <c r="U14905" s="24"/>
      <c r="V14905" s="24"/>
      <c r="W14905" s="24"/>
      <c r="X14905" s="24"/>
      <c r="Y14905" s="24"/>
      <c r="Z14905" s="24"/>
      <c r="AA14905" s="24"/>
    </row>
    <row r="14906">
      <c r="A14906" s="24"/>
      <c r="B14906" s="25"/>
      <c r="C14906" s="24"/>
      <c r="D14906" s="26"/>
      <c r="E14906" s="24"/>
      <c r="F14906" s="24"/>
      <c r="G14906" s="24"/>
      <c r="H14906" s="24"/>
      <c r="I14906" s="24"/>
      <c r="J14906" s="24"/>
      <c r="K14906" s="24"/>
      <c r="L14906" s="24"/>
      <c r="M14906" s="24"/>
      <c r="N14906" s="24"/>
      <c r="O14906" s="24"/>
      <c r="P14906" s="24"/>
      <c r="Q14906" s="24"/>
      <c r="R14906" s="24"/>
      <c r="S14906" s="24"/>
      <c r="T14906" s="24"/>
      <c r="U14906" s="24"/>
      <c r="V14906" s="24"/>
      <c r="W14906" s="24"/>
      <c r="X14906" s="24"/>
      <c r="Y14906" s="24"/>
      <c r="Z14906" s="24"/>
      <c r="AA14906" s="24"/>
    </row>
    <row r="14907">
      <c r="A14907" s="24"/>
      <c r="B14907" s="25"/>
      <c r="C14907" s="24"/>
      <c r="D14907" s="26"/>
      <c r="E14907" s="24"/>
      <c r="F14907" s="24"/>
      <c r="G14907" s="24"/>
      <c r="H14907" s="24"/>
      <c r="I14907" s="24"/>
      <c r="J14907" s="24"/>
      <c r="K14907" s="24"/>
      <c r="L14907" s="24"/>
      <c r="M14907" s="24"/>
      <c r="N14907" s="24"/>
      <c r="O14907" s="24"/>
      <c r="P14907" s="24"/>
      <c r="Q14907" s="24"/>
      <c r="R14907" s="24"/>
      <c r="S14907" s="24"/>
      <c r="T14907" s="24"/>
      <c r="U14907" s="24"/>
      <c r="V14907" s="24"/>
      <c r="W14907" s="24"/>
      <c r="X14907" s="24"/>
      <c r="Y14907" s="24"/>
      <c r="Z14907" s="24"/>
      <c r="AA14907" s="24"/>
    </row>
    <row r="14908">
      <c r="A14908" s="24"/>
      <c r="B14908" s="25"/>
      <c r="C14908" s="24"/>
      <c r="D14908" s="26"/>
      <c r="E14908" s="24"/>
      <c r="F14908" s="24"/>
      <c r="G14908" s="24"/>
      <c r="H14908" s="24"/>
      <c r="I14908" s="24"/>
      <c r="J14908" s="24"/>
      <c r="K14908" s="24"/>
      <c r="L14908" s="24"/>
      <c r="M14908" s="24"/>
      <c r="N14908" s="24"/>
      <c r="O14908" s="24"/>
      <c r="P14908" s="24"/>
      <c r="Q14908" s="24"/>
      <c r="R14908" s="24"/>
      <c r="S14908" s="24"/>
      <c r="T14908" s="24"/>
      <c r="U14908" s="24"/>
      <c r="V14908" s="24"/>
      <c r="W14908" s="24"/>
      <c r="X14908" s="24"/>
      <c r="Y14908" s="24"/>
      <c r="Z14908" s="24"/>
      <c r="AA14908" s="24"/>
    </row>
    <row r="14909">
      <c r="A14909" s="24"/>
      <c r="B14909" s="25"/>
      <c r="C14909" s="24"/>
      <c r="D14909" s="26"/>
      <c r="E14909" s="24"/>
      <c r="F14909" s="24"/>
      <c r="G14909" s="24"/>
      <c r="H14909" s="24"/>
      <c r="I14909" s="24"/>
      <c r="J14909" s="24"/>
      <c r="K14909" s="24"/>
      <c r="L14909" s="24"/>
      <c r="M14909" s="24"/>
      <c r="N14909" s="24"/>
      <c r="O14909" s="24"/>
      <c r="P14909" s="24"/>
      <c r="Q14909" s="24"/>
      <c r="R14909" s="24"/>
      <c r="S14909" s="24"/>
      <c r="T14909" s="24"/>
      <c r="U14909" s="24"/>
      <c r="V14909" s="24"/>
      <c r="W14909" s="24"/>
      <c r="X14909" s="24"/>
      <c r="Y14909" s="24"/>
      <c r="Z14909" s="24"/>
      <c r="AA14909" s="24"/>
    </row>
    <row r="14910">
      <c r="A14910" s="24"/>
      <c r="B14910" s="25"/>
      <c r="C14910" s="24"/>
      <c r="D14910" s="26"/>
      <c r="E14910" s="24"/>
      <c r="F14910" s="24"/>
      <c r="G14910" s="24"/>
      <c r="H14910" s="24"/>
      <c r="I14910" s="24"/>
      <c r="J14910" s="24"/>
      <c r="K14910" s="24"/>
      <c r="L14910" s="24"/>
      <c r="M14910" s="24"/>
      <c r="N14910" s="24"/>
      <c r="O14910" s="24"/>
      <c r="P14910" s="24"/>
      <c r="Q14910" s="24"/>
      <c r="R14910" s="24"/>
      <c r="S14910" s="24"/>
      <c r="T14910" s="24"/>
      <c r="U14910" s="24"/>
      <c r="V14910" s="24"/>
      <c r="W14910" s="24"/>
      <c r="X14910" s="24"/>
      <c r="Y14910" s="24"/>
      <c r="Z14910" s="24"/>
      <c r="AA14910" s="24"/>
    </row>
    <row r="14911">
      <c r="A14911" s="24"/>
      <c r="B14911" s="25"/>
      <c r="C14911" s="24"/>
      <c r="D14911" s="26"/>
      <c r="E14911" s="24"/>
      <c r="F14911" s="24"/>
      <c r="G14911" s="24"/>
      <c r="H14911" s="24"/>
      <c r="I14911" s="24"/>
      <c r="J14911" s="24"/>
      <c r="K14911" s="24"/>
      <c r="L14911" s="24"/>
      <c r="M14911" s="24"/>
      <c r="N14911" s="24"/>
      <c r="O14911" s="24"/>
      <c r="P14911" s="24"/>
      <c r="Q14911" s="24"/>
      <c r="R14911" s="24"/>
      <c r="S14911" s="24"/>
      <c r="T14911" s="24"/>
      <c r="U14911" s="24"/>
      <c r="V14911" s="24"/>
      <c r="W14911" s="24"/>
      <c r="X14911" s="24"/>
      <c r="Y14911" s="24"/>
      <c r="Z14911" s="24"/>
      <c r="AA14911" s="24"/>
    </row>
    <row r="14912">
      <c r="A14912" s="24"/>
      <c r="B14912" s="25"/>
      <c r="C14912" s="24"/>
      <c r="D14912" s="26"/>
      <c r="E14912" s="24"/>
      <c r="F14912" s="24"/>
      <c r="G14912" s="24"/>
      <c r="H14912" s="24"/>
      <c r="I14912" s="24"/>
      <c r="J14912" s="24"/>
      <c r="K14912" s="24"/>
      <c r="L14912" s="24"/>
      <c r="M14912" s="24"/>
      <c r="N14912" s="24"/>
      <c r="O14912" s="24"/>
      <c r="P14912" s="24"/>
      <c r="Q14912" s="24"/>
      <c r="R14912" s="24"/>
      <c r="S14912" s="24"/>
      <c r="T14912" s="24"/>
      <c r="U14912" s="24"/>
      <c r="V14912" s="24"/>
      <c r="W14912" s="24"/>
      <c r="X14912" s="24"/>
      <c r="Y14912" s="24"/>
      <c r="Z14912" s="24"/>
      <c r="AA14912" s="24"/>
    </row>
    <row r="14913">
      <c r="A14913" s="24"/>
      <c r="B14913" s="25"/>
      <c r="C14913" s="24"/>
      <c r="D14913" s="26"/>
      <c r="E14913" s="24"/>
      <c r="F14913" s="24"/>
      <c r="G14913" s="24"/>
      <c r="H14913" s="24"/>
      <c r="I14913" s="24"/>
      <c r="J14913" s="24"/>
      <c r="K14913" s="24"/>
      <c r="L14913" s="24"/>
      <c r="M14913" s="24"/>
      <c r="N14913" s="24"/>
      <c r="O14913" s="24"/>
      <c r="P14913" s="24"/>
      <c r="Q14913" s="24"/>
      <c r="R14913" s="24"/>
      <c r="S14913" s="24"/>
      <c r="T14913" s="24"/>
      <c r="U14913" s="24"/>
      <c r="V14913" s="24"/>
      <c r="W14913" s="24"/>
      <c r="X14913" s="24"/>
      <c r="Y14913" s="24"/>
      <c r="Z14913" s="24"/>
      <c r="AA14913" s="24"/>
    </row>
    <row r="14914">
      <c r="A14914" s="24"/>
      <c r="B14914" s="25"/>
      <c r="C14914" s="24"/>
      <c r="D14914" s="26"/>
      <c r="E14914" s="24"/>
      <c r="F14914" s="24"/>
      <c r="G14914" s="24"/>
      <c r="H14914" s="24"/>
      <c r="I14914" s="24"/>
      <c r="J14914" s="24"/>
      <c r="K14914" s="24"/>
      <c r="L14914" s="24"/>
      <c r="M14914" s="24"/>
      <c r="N14914" s="24"/>
      <c r="O14914" s="24"/>
      <c r="P14914" s="24"/>
      <c r="Q14914" s="24"/>
      <c r="R14914" s="24"/>
      <c r="S14914" s="24"/>
      <c r="T14914" s="24"/>
      <c r="U14914" s="24"/>
      <c r="V14914" s="24"/>
      <c r="W14914" s="24"/>
      <c r="X14914" s="24"/>
      <c r="Y14914" s="24"/>
      <c r="Z14914" s="24"/>
      <c r="AA14914" s="24"/>
    </row>
    <row r="14915">
      <c r="A14915" s="24"/>
      <c r="B14915" s="25"/>
      <c r="C14915" s="24"/>
      <c r="D14915" s="26"/>
      <c r="E14915" s="24"/>
      <c r="F14915" s="24"/>
      <c r="G14915" s="24"/>
      <c r="H14915" s="24"/>
      <c r="I14915" s="24"/>
      <c r="J14915" s="24"/>
      <c r="K14915" s="24"/>
      <c r="L14915" s="24"/>
      <c r="M14915" s="24"/>
      <c r="N14915" s="24"/>
      <c r="O14915" s="24"/>
      <c r="P14915" s="24"/>
      <c r="Q14915" s="24"/>
      <c r="R14915" s="24"/>
      <c r="S14915" s="24"/>
      <c r="T14915" s="24"/>
      <c r="U14915" s="24"/>
      <c r="V14915" s="24"/>
      <c r="W14915" s="24"/>
      <c r="X14915" s="24"/>
      <c r="Y14915" s="24"/>
      <c r="Z14915" s="24"/>
      <c r="AA14915" s="24"/>
    </row>
    <row r="14916">
      <c r="A14916" s="24"/>
      <c r="B14916" s="25"/>
      <c r="C14916" s="24"/>
      <c r="D14916" s="26"/>
      <c r="E14916" s="24"/>
      <c r="F14916" s="24"/>
      <c r="G14916" s="24"/>
      <c r="H14916" s="24"/>
      <c r="I14916" s="24"/>
      <c r="J14916" s="24"/>
      <c r="K14916" s="24"/>
      <c r="L14916" s="24"/>
      <c r="M14916" s="24"/>
      <c r="N14916" s="24"/>
      <c r="O14916" s="24"/>
      <c r="P14916" s="24"/>
      <c r="Q14916" s="24"/>
      <c r="R14916" s="24"/>
      <c r="S14916" s="24"/>
      <c r="T14916" s="24"/>
      <c r="U14916" s="24"/>
      <c r="V14916" s="24"/>
      <c r="W14916" s="24"/>
      <c r="X14916" s="24"/>
      <c r="Y14916" s="24"/>
      <c r="Z14916" s="24"/>
      <c r="AA14916" s="24"/>
    </row>
    <row r="14917">
      <c r="A14917" s="24"/>
      <c r="B14917" s="25"/>
      <c r="C14917" s="24"/>
      <c r="D14917" s="26"/>
      <c r="E14917" s="24"/>
      <c r="F14917" s="24"/>
      <c r="G14917" s="24"/>
      <c r="H14917" s="24"/>
      <c r="I14917" s="24"/>
      <c r="J14917" s="24"/>
      <c r="K14917" s="24"/>
      <c r="L14917" s="24"/>
      <c r="M14917" s="24"/>
      <c r="N14917" s="24"/>
      <c r="O14917" s="24"/>
      <c r="P14917" s="24"/>
      <c r="Q14917" s="24"/>
      <c r="R14917" s="24"/>
      <c r="S14917" s="24"/>
      <c r="T14917" s="24"/>
      <c r="U14917" s="24"/>
      <c r="V14917" s="24"/>
      <c r="W14917" s="24"/>
      <c r="X14917" s="24"/>
      <c r="Y14917" s="24"/>
      <c r="Z14917" s="24"/>
      <c r="AA14917" s="24"/>
    </row>
    <row r="14918">
      <c r="A14918" s="24"/>
      <c r="B14918" s="25"/>
      <c r="C14918" s="24"/>
      <c r="D14918" s="26"/>
      <c r="E14918" s="24"/>
      <c r="F14918" s="24"/>
      <c r="G14918" s="24"/>
      <c r="H14918" s="24"/>
      <c r="I14918" s="24"/>
      <c r="J14918" s="24"/>
      <c r="K14918" s="24"/>
      <c r="L14918" s="24"/>
      <c r="M14918" s="24"/>
      <c r="N14918" s="24"/>
      <c r="O14918" s="24"/>
      <c r="P14918" s="24"/>
      <c r="Q14918" s="24"/>
      <c r="R14918" s="24"/>
      <c r="S14918" s="24"/>
      <c r="T14918" s="24"/>
      <c r="U14918" s="24"/>
      <c r="V14918" s="24"/>
      <c r="W14918" s="24"/>
      <c r="X14918" s="24"/>
      <c r="Y14918" s="24"/>
      <c r="Z14918" s="24"/>
      <c r="AA14918" s="24"/>
    </row>
    <row r="14919">
      <c r="A14919" s="24"/>
      <c r="B14919" s="25"/>
      <c r="C14919" s="24"/>
      <c r="D14919" s="26"/>
      <c r="E14919" s="24"/>
      <c r="F14919" s="24"/>
      <c r="G14919" s="24"/>
      <c r="H14919" s="24"/>
      <c r="I14919" s="24"/>
      <c r="J14919" s="24"/>
      <c r="K14919" s="24"/>
      <c r="L14919" s="24"/>
      <c r="M14919" s="24"/>
      <c r="N14919" s="24"/>
      <c r="O14919" s="24"/>
      <c r="P14919" s="24"/>
      <c r="Q14919" s="24"/>
      <c r="R14919" s="24"/>
      <c r="S14919" s="24"/>
      <c r="T14919" s="24"/>
      <c r="U14919" s="24"/>
      <c r="V14919" s="24"/>
      <c r="W14919" s="24"/>
      <c r="X14919" s="24"/>
      <c r="Y14919" s="24"/>
      <c r="Z14919" s="24"/>
      <c r="AA14919" s="24"/>
    </row>
    <row r="14920">
      <c r="A14920" s="24"/>
      <c r="B14920" s="25"/>
      <c r="C14920" s="24"/>
      <c r="D14920" s="26"/>
      <c r="E14920" s="24"/>
      <c r="F14920" s="24"/>
      <c r="G14920" s="24"/>
      <c r="H14920" s="24"/>
      <c r="I14920" s="24"/>
      <c r="J14920" s="24"/>
      <c r="K14920" s="24"/>
      <c r="L14920" s="24"/>
      <c r="M14920" s="24"/>
      <c r="N14920" s="24"/>
      <c r="O14920" s="24"/>
      <c r="P14920" s="24"/>
      <c r="Q14920" s="24"/>
      <c r="R14920" s="24"/>
      <c r="S14920" s="24"/>
      <c r="T14920" s="24"/>
      <c r="U14920" s="24"/>
      <c r="V14920" s="24"/>
      <c r="W14920" s="24"/>
      <c r="X14920" s="24"/>
      <c r="Y14920" s="24"/>
      <c r="Z14920" s="24"/>
      <c r="AA14920" s="24"/>
    </row>
    <row r="14921">
      <c r="A14921" s="24"/>
      <c r="B14921" s="25"/>
      <c r="C14921" s="24"/>
      <c r="D14921" s="26"/>
      <c r="E14921" s="24"/>
      <c r="F14921" s="24"/>
      <c r="G14921" s="24"/>
      <c r="H14921" s="24"/>
      <c r="I14921" s="24"/>
      <c r="J14921" s="24"/>
      <c r="K14921" s="24"/>
      <c r="L14921" s="24"/>
      <c r="M14921" s="24"/>
      <c r="N14921" s="24"/>
      <c r="O14921" s="24"/>
      <c r="P14921" s="24"/>
      <c r="Q14921" s="24"/>
      <c r="R14921" s="24"/>
      <c r="S14921" s="24"/>
      <c r="T14921" s="24"/>
      <c r="U14921" s="24"/>
      <c r="V14921" s="24"/>
      <c r="W14921" s="24"/>
      <c r="X14921" s="24"/>
      <c r="Y14921" s="24"/>
      <c r="Z14921" s="24"/>
      <c r="AA14921" s="24"/>
    </row>
    <row r="14922">
      <c r="A14922" s="24"/>
      <c r="B14922" s="25"/>
      <c r="C14922" s="24"/>
      <c r="D14922" s="26"/>
      <c r="E14922" s="24"/>
      <c r="F14922" s="24"/>
      <c r="G14922" s="24"/>
      <c r="H14922" s="24"/>
      <c r="I14922" s="24"/>
      <c r="J14922" s="24"/>
      <c r="K14922" s="24"/>
      <c r="L14922" s="24"/>
      <c r="M14922" s="24"/>
      <c r="N14922" s="24"/>
      <c r="O14922" s="24"/>
      <c r="P14922" s="24"/>
      <c r="Q14922" s="24"/>
      <c r="R14922" s="24"/>
      <c r="S14922" s="24"/>
      <c r="T14922" s="24"/>
      <c r="U14922" s="24"/>
      <c r="V14922" s="24"/>
      <c r="W14922" s="24"/>
      <c r="X14922" s="24"/>
      <c r="Y14922" s="24"/>
      <c r="Z14922" s="24"/>
      <c r="AA14922" s="24"/>
    </row>
    <row r="14923">
      <c r="A14923" s="24"/>
      <c r="B14923" s="25"/>
      <c r="C14923" s="24"/>
      <c r="D14923" s="26"/>
      <c r="E14923" s="24"/>
      <c r="F14923" s="24"/>
      <c r="G14923" s="24"/>
      <c r="H14923" s="24"/>
      <c r="I14923" s="24"/>
      <c r="J14923" s="24"/>
      <c r="K14923" s="24"/>
      <c r="L14923" s="24"/>
      <c r="M14923" s="24"/>
      <c r="N14923" s="24"/>
      <c r="O14923" s="24"/>
      <c r="P14923" s="24"/>
      <c r="Q14923" s="24"/>
      <c r="R14923" s="24"/>
      <c r="S14923" s="24"/>
      <c r="T14923" s="24"/>
      <c r="U14923" s="24"/>
      <c r="V14923" s="24"/>
      <c r="W14923" s="24"/>
      <c r="X14923" s="24"/>
      <c r="Y14923" s="24"/>
      <c r="Z14923" s="24"/>
      <c r="AA14923" s="24"/>
    </row>
    <row r="14924">
      <c r="A14924" s="24"/>
      <c r="B14924" s="25"/>
      <c r="C14924" s="24"/>
      <c r="D14924" s="26"/>
      <c r="E14924" s="24"/>
      <c r="F14924" s="24"/>
      <c r="G14924" s="24"/>
      <c r="H14924" s="24"/>
      <c r="I14924" s="24"/>
      <c r="J14924" s="24"/>
      <c r="K14924" s="24"/>
      <c r="L14924" s="24"/>
      <c r="M14924" s="24"/>
      <c r="N14924" s="24"/>
      <c r="O14924" s="24"/>
      <c r="P14924" s="24"/>
      <c r="Q14924" s="24"/>
      <c r="R14924" s="24"/>
      <c r="S14924" s="24"/>
      <c r="T14924" s="24"/>
      <c r="U14924" s="24"/>
      <c r="V14924" s="24"/>
      <c r="W14924" s="24"/>
      <c r="X14924" s="24"/>
      <c r="Y14924" s="24"/>
      <c r="Z14924" s="24"/>
      <c r="AA14924" s="24"/>
    </row>
    <row r="14925">
      <c r="A14925" s="24"/>
      <c r="B14925" s="25"/>
      <c r="C14925" s="24"/>
      <c r="D14925" s="26"/>
      <c r="E14925" s="24"/>
      <c r="F14925" s="24"/>
      <c r="G14925" s="24"/>
      <c r="H14925" s="24"/>
      <c r="I14925" s="24"/>
      <c r="J14925" s="24"/>
      <c r="K14925" s="24"/>
      <c r="L14925" s="24"/>
      <c r="M14925" s="24"/>
      <c r="N14925" s="24"/>
      <c r="O14925" s="24"/>
      <c r="P14925" s="24"/>
      <c r="Q14925" s="24"/>
      <c r="R14925" s="24"/>
      <c r="S14925" s="24"/>
      <c r="T14925" s="24"/>
      <c r="U14925" s="24"/>
      <c r="V14925" s="24"/>
      <c r="W14925" s="24"/>
      <c r="X14925" s="24"/>
      <c r="Y14925" s="24"/>
      <c r="Z14925" s="24"/>
      <c r="AA14925" s="24"/>
    </row>
    <row r="14926">
      <c r="A14926" s="24"/>
      <c r="B14926" s="25"/>
      <c r="C14926" s="24"/>
      <c r="D14926" s="26"/>
      <c r="E14926" s="24"/>
      <c r="F14926" s="24"/>
      <c r="G14926" s="24"/>
      <c r="H14926" s="24"/>
      <c r="I14926" s="24"/>
      <c r="J14926" s="24"/>
      <c r="K14926" s="24"/>
      <c r="L14926" s="24"/>
      <c r="M14926" s="24"/>
      <c r="N14926" s="24"/>
      <c r="O14926" s="24"/>
      <c r="P14926" s="24"/>
      <c r="Q14926" s="24"/>
      <c r="R14926" s="24"/>
      <c r="S14926" s="24"/>
      <c r="T14926" s="24"/>
      <c r="U14926" s="24"/>
      <c r="V14926" s="24"/>
      <c r="W14926" s="24"/>
      <c r="X14926" s="24"/>
      <c r="Y14926" s="24"/>
      <c r="Z14926" s="24"/>
      <c r="AA14926" s="24"/>
    </row>
    <row r="14927">
      <c r="A14927" s="24"/>
      <c r="B14927" s="25"/>
      <c r="C14927" s="24"/>
      <c r="D14927" s="26"/>
      <c r="E14927" s="24"/>
      <c r="F14927" s="24"/>
      <c r="G14927" s="24"/>
      <c r="H14927" s="24"/>
      <c r="I14927" s="24"/>
      <c r="J14927" s="24"/>
      <c r="K14927" s="24"/>
      <c r="L14927" s="24"/>
      <c r="M14927" s="24"/>
      <c r="N14927" s="24"/>
      <c r="O14927" s="24"/>
      <c r="P14927" s="24"/>
      <c r="Q14927" s="24"/>
      <c r="R14927" s="24"/>
      <c r="S14927" s="24"/>
      <c r="T14927" s="24"/>
      <c r="U14927" s="24"/>
      <c r="V14927" s="24"/>
      <c r="W14927" s="24"/>
      <c r="X14927" s="24"/>
      <c r="Y14927" s="24"/>
      <c r="Z14927" s="24"/>
      <c r="AA14927" s="24"/>
    </row>
    <row r="14928">
      <c r="A14928" s="24"/>
      <c r="B14928" s="25"/>
      <c r="C14928" s="24"/>
      <c r="D14928" s="26"/>
      <c r="E14928" s="24"/>
      <c r="F14928" s="24"/>
      <c r="G14928" s="24"/>
      <c r="H14928" s="24"/>
      <c r="I14928" s="24"/>
      <c r="J14928" s="24"/>
      <c r="K14928" s="24"/>
      <c r="L14928" s="24"/>
      <c r="M14928" s="24"/>
      <c r="N14928" s="24"/>
      <c r="O14928" s="24"/>
      <c r="P14928" s="24"/>
      <c r="Q14928" s="24"/>
      <c r="R14928" s="24"/>
      <c r="S14928" s="24"/>
      <c r="T14928" s="24"/>
      <c r="U14928" s="24"/>
      <c r="V14928" s="24"/>
      <c r="W14928" s="24"/>
      <c r="X14928" s="24"/>
      <c r="Y14928" s="24"/>
      <c r="Z14928" s="24"/>
      <c r="AA14928" s="24"/>
    </row>
    <row r="14929">
      <c r="A14929" s="24"/>
      <c r="B14929" s="25"/>
      <c r="C14929" s="24"/>
      <c r="D14929" s="26"/>
      <c r="E14929" s="24"/>
      <c r="F14929" s="24"/>
      <c r="G14929" s="24"/>
      <c r="H14929" s="24"/>
      <c r="I14929" s="24"/>
      <c r="J14929" s="24"/>
      <c r="K14929" s="24"/>
      <c r="L14929" s="24"/>
      <c r="M14929" s="24"/>
      <c r="N14929" s="24"/>
      <c r="O14929" s="24"/>
      <c r="P14929" s="24"/>
      <c r="Q14929" s="24"/>
      <c r="R14929" s="24"/>
      <c r="S14929" s="24"/>
      <c r="T14929" s="24"/>
      <c r="U14929" s="24"/>
      <c r="V14929" s="24"/>
      <c r="W14929" s="24"/>
      <c r="X14929" s="24"/>
      <c r="Y14929" s="24"/>
      <c r="Z14929" s="24"/>
      <c r="AA14929" s="24"/>
    </row>
    <row r="14930">
      <c r="A14930" s="24"/>
      <c r="B14930" s="25"/>
      <c r="C14930" s="24"/>
      <c r="D14930" s="26"/>
      <c r="E14930" s="24"/>
      <c r="F14930" s="24"/>
      <c r="G14930" s="24"/>
      <c r="H14930" s="24"/>
      <c r="I14930" s="24"/>
      <c r="J14930" s="24"/>
      <c r="K14930" s="24"/>
      <c r="L14930" s="24"/>
      <c r="M14930" s="24"/>
      <c r="N14930" s="24"/>
      <c r="O14930" s="24"/>
      <c r="P14930" s="24"/>
      <c r="Q14930" s="24"/>
      <c r="R14930" s="24"/>
      <c r="S14930" s="24"/>
      <c r="T14930" s="24"/>
      <c r="U14930" s="24"/>
      <c r="V14930" s="24"/>
      <c r="W14930" s="24"/>
      <c r="X14930" s="24"/>
      <c r="Y14930" s="24"/>
      <c r="Z14930" s="24"/>
      <c r="AA14930" s="24"/>
    </row>
    <row r="14931">
      <c r="A14931" s="24"/>
      <c r="B14931" s="25"/>
      <c r="C14931" s="24"/>
      <c r="D14931" s="26"/>
      <c r="E14931" s="24"/>
      <c r="F14931" s="24"/>
      <c r="G14931" s="24"/>
      <c r="H14931" s="24"/>
      <c r="I14931" s="24"/>
      <c r="J14931" s="24"/>
      <c r="K14931" s="24"/>
      <c r="L14931" s="24"/>
      <c r="M14931" s="24"/>
      <c r="N14931" s="24"/>
      <c r="O14931" s="24"/>
      <c r="P14931" s="24"/>
      <c r="Q14931" s="24"/>
      <c r="R14931" s="24"/>
      <c r="S14931" s="24"/>
      <c r="T14931" s="24"/>
      <c r="U14931" s="24"/>
      <c r="V14931" s="24"/>
      <c r="W14931" s="24"/>
      <c r="X14931" s="24"/>
      <c r="Y14931" s="24"/>
      <c r="Z14931" s="24"/>
      <c r="AA14931" s="24"/>
    </row>
    <row r="14932">
      <c r="A14932" s="24"/>
      <c r="B14932" s="25"/>
      <c r="C14932" s="24"/>
      <c r="D14932" s="26"/>
      <c r="E14932" s="24"/>
      <c r="F14932" s="24"/>
      <c r="G14932" s="24"/>
      <c r="H14932" s="24"/>
      <c r="I14932" s="24"/>
      <c r="J14932" s="24"/>
      <c r="K14932" s="24"/>
      <c r="L14932" s="24"/>
      <c r="M14932" s="24"/>
      <c r="N14932" s="24"/>
      <c r="O14932" s="24"/>
      <c r="P14932" s="24"/>
      <c r="Q14932" s="24"/>
      <c r="R14932" s="24"/>
      <c r="S14932" s="24"/>
      <c r="T14932" s="24"/>
      <c r="U14932" s="24"/>
      <c r="V14932" s="24"/>
      <c r="W14932" s="24"/>
      <c r="X14932" s="24"/>
      <c r="Y14932" s="24"/>
      <c r="Z14932" s="24"/>
      <c r="AA14932" s="24"/>
    </row>
    <row r="14933">
      <c r="A14933" s="24"/>
      <c r="B14933" s="25"/>
      <c r="C14933" s="24"/>
      <c r="D14933" s="26"/>
      <c r="E14933" s="24"/>
      <c r="F14933" s="24"/>
      <c r="G14933" s="24"/>
      <c r="H14933" s="24"/>
      <c r="I14933" s="24"/>
      <c r="J14933" s="24"/>
      <c r="K14933" s="24"/>
      <c r="L14933" s="24"/>
      <c r="M14933" s="24"/>
      <c r="N14933" s="24"/>
      <c r="O14933" s="24"/>
      <c r="P14933" s="24"/>
      <c r="Q14933" s="24"/>
      <c r="R14933" s="24"/>
      <c r="S14933" s="24"/>
      <c r="T14933" s="24"/>
      <c r="U14933" s="24"/>
      <c r="V14933" s="24"/>
      <c r="W14933" s="24"/>
      <c r="X14933" s="24"/>
      <c r="Y14933" s="24"/>
      <c r="Z14933" s="24"/>
      <c r="AA14933" s="24"/>
    </row>
    <row r="14934">
      <c r="A14934" s="24"/>
      <c r="B14934" s="25"/>
      <c r="C14934" s="24"/>
      <c r="D14934" s="26"/>
      <c r="E14934" s="24"/>
      <c r="F14934" s="24"/>
      <c r="G14934" s="24"/>
      <c r="H14934" s="24"/>
      <c r="I14934" s="24"/>
      <c r="J14934" s="24"/>
      <c r="K14934" s="24"/>
      <c r="L14934" s="24"/>
      <c r="M14934" s="24"/>
      <c r="N14934" s="24"/>
      <c r="O14934" s="24"/>
      <c r="P14934" s="24"/>
      <c r="Q14934" s="24"/>
      <c r="R14934" s="24"/>
      <c r="S14934" s="24"/>
      <c r="T14934" s="24"/>
      <c r="U14934" s="24"/>
      <c r="V14934" s="24"/>
      <c r="W14934" s="24"/>
      <c r="X14934" s="24"/>
      <c r="Y14934" s="24"/>
      <c r="Z14934" s="24"/>
      <c r="AA14934" s="24"/>
    </row>
    <row r="14935">
      <c r="A14935" s="24"/>
      <c r="B14935" s="25"/>
      <c r="C14935" s="24"/>
      <c r="D14935" s="26"/>
      <c r="E14935" s="24"/>
      <c r="F14935" s="24"/>
      <c r="G14935" s="24"/>
      <c r="H14935" s="24"/>
      <c r="I14935" s="24"/>
      <c r="J14935" s="24"/>
      <c r="K14935" s="24"/>
      <c r="L14935" s="24"/>
      <c r="M14935" s="24"/>
      <c r="N14935" s="24"/>
      <c r="O14935" s="24"/>
      <c r="P14935" s="24"/>
      <c r="Q14935" s="24"/>
      <c r="R14935" s="24"/>
      <c r="S14935" s="24"/>
      <c r="T14935" s="24"/>
      <c r="U14935" s="24"/>
      <c r="V14935" s="24"/>
      <c r="W14935" s="24"/>
      <c r="X14935" s="24"/>
      <c r="Y14935" s="24"/>
      <c r="Z14935" s="24"/>
      <c r="AA14935" s="24"/>
    </row>
    <row r="14936">
      <c r="A14936" s="24"/>
      <c r="B14936" s="25"/>
      <c r="C14936" s="24"/>
      <c r="D14936" s="26"/>
      <c r="E14936" s="24"/>
      <c r="F14936" s="24"/>
      <c r="G14936" s="24"/>
      <c r="H14936" s="24"/>
      <c r="I14936" s="24"/>
      <c r="J14936" s="24"/>
      <c r="K14936" s="24"/>
      <c r="L14936" s="24"/>
      <c r="M14936" s="24"/>
      <c r="N14936" s="24"/>
      <c r="O14936" s="24"/>
      <c r="P14936" s="24"/>
      <c r="Q14936" s="24"/>
      <c r="R14936" s="24"/>
      <c r="S14936" s="24"/>
      <c r="T14936" s="24"/>
      <c r="U14936" s="24"/>
      <c r="V14936" s="24"/>
      <c r="W14936" s="24"/>
      <c r="X14936" s="24"/>
      <c r="Y14936" s="24"/>
      <c r="Z14936" s="24"/>
      <c r="AA14936" s="24"/>
    </row>
    <row r="14937">
      <c r="A14937" s="24"/>
      <c r="B14937" s="25"/>
      <c r="C14937" s="24"/>
      <c r="D14937" s="26"/>
      <c r="E14937" s="24"/>
      <c r="F14937" s="24"/>
      <c r="G14937" s="24"/>
      <c r="H14937" s="24"/>
      <c r="I14937" s="24"/>
      <c r="J14937" s="24"/>
      <c r="K14937" s="24"/>
      <c r="L14937" s="24"/>
      <c r="M14937" s="24"/>
      <c r="N14937" s="24"/>
      <c r="O14937" s="24"/>
      <c r="P14937" s="24"/>
      <c r="Q14937" s="24"/>
      <c r="R14937" s="24"/>
      <c r="S14937" s="24"/>
      <c r="T14937" s="24"/>
      <c r="U14937" s="24"/>
      <c r="V14937" s="24"/>
      <c r="W14937" s="24"/>
      <c r="X14937" s="24"/>
      <c r="Y14937" s="24"/>
      <c r="Z14937" s="24"/>
      <c r="AA14937" s="24"/>
    </row>
    <row r="14938">
      <c r="A14938" s="24"/>
      <c r="B14938" s="25"/>
      <c r="C14938" s="24"/>
      <c r="D14938" s="26"/>
      <c r="E14938" s="24"/>
      <c r="F14938" s="24"/>
      <c r="G14938" s="24"/>
      <c r="H14938" s="24"/>
      <c r="I14938" s="24"/>
      <c r="J14938" s="24"/>
      <c r="K14938" s="24"/>
      <c r="L14938" s="24"/>
      <c r="M14938" s="24"/>
      <c r="N14938" s="24"/>
      <c r="O14938" s="24"/>
      <c r="P14938" s="24"/>
      <c r="Q14938" s="24"/>
      <c r="R14938" s="24"/>
      <c r="S14938" s="24"/>
      <c r="T14938" s="24"/>
      <c r="U14938" s="24"/>
      <c r="V14938" s="24"/>
      <c r="W14938" s="24"/>
      <c r="X14938" s="24"/>
      <c r="Y14938" s="24"/>
      <c r="Z14938" s="24"/>
      <c r="AA14938" s="24"/>
    </row>
    <row r="14939">
      <c r="A14939" s="24"/>
      <c r="B14939" s="25"/>
      <c r="C14939" s="24"/>
      <c r="D14939" s="26"/>
      <c r="E14939" s="24"/>
      <c r="F14939" s="24"/>
      <c r="G14939" s="24"/>
      <c r="H14939" s="24"/>
      <c r="I14939" s="24"/>
      <c r="J14939" s="24"/>
      <c r="K14939" s="24"/>
      <c r="L14939" s="24"/>
      <c r="M14939" s="24"/>
      <c r="N14939" s="24"/>
      <c r="O14939" s="24"/>
      <c r="P14939" s="24"/>
      <c r="Q14939" s="24"/>
      <c r="R14939" s="24"/>
      <c r="S14939" s="24"/>
      <c r="T14939" s="24"/>
      <c r="U14939" s="24"/>
      <c r="V14939" s="24"/>
      <c r="W14939" s="24"/>
      <c r="X14939" s="24"/>
      <c r="Y14939" s="24"/>
      <c r="Z14939" s="24"/>
      <c r="AA14939" s="24"/>
    </row>
    <row r="14940">
      <c r="A14940" s="24"/>
      <c r="B14940" s="25"/>
      <c r="C14940" s="24"/>
      <c r="D14940" s="26"/>
      <c r="E14940" s="24"/>
      <c r="F14940" s="24"/>
      <c r="G14940" s="24"/>
      <c r="H14940" s="24"/>
      <c r="I14940" s="24"/>
      <c r="J14940" s="24"/>
      <c r="K14940" s="24"/>
      <c r="L14940" s="24"/>
      <c r="M14940" s="24"/>
      <c r="N14940" s="24"/>
      <c r="O14940" s="24"/>
      <c r="P14940" s="24"/>
      <c r="Q14940" s="24"/>
      <c r="R14940" s="24"/>
      <c r="S14940" s="24"/>
      <c r="T14940" s="24"/>
      <c r="U14940" s="24"/>
      <c r="V14940" s="24"/>
      <c r="W14940" s="24"/>
      <c r="X14940" s="24"/>
      <c r="Y14940" s="24"/>
      <c r="Z14940" s="24"/>
      <c r="AA14940" s="24"/>
    </row>
    <row r="14941">
      <c r="A14941" s="24"/>
      <c r="B14941" s="25"/>
      <c r="C14941" s="24"/>
      <c r="D14941" s="26"/>
      <c r="E14941" s="24"/>
      <c r="F14941" s="24"/>
      <c r="G14941" s="24"/>
      <c r="H14941" s="24"/>
      <c r="I14941" s="24"/>
      <c r="J14941" s="24"/>
      <c r="K14941" s="24"/>
      <c r="L14941" s="24"/>
      <c r="M14941" s="24"/>
      <c r="N14941" s="24"/>
      <c r="O14941" s="24"/>
      <c r="P14941" s="24"/>
      <c r="Q14941" s="24"/>
      <c r="R14941" s="24"/>
      <c r="S14941" s="24"/>
      <c r="T14941" s="24"/>
      <c r="U14941" s="24"/>
      <c r="V14941" s="24"/>
      <c r="W14941" s="24"/>
      <c r="X14941" s="24"/>
      <c r="Y14941" s="24"/>
      <c r="Z14941" s="24"/>
      <c r="AA14941" s="24"/>
    </row>
    <row r="14942">
      <c r="A14942" s="24"/>
      <c r="B14942" s="25"/>
      <c r="C14942" s="24"/>
      <c r="D14942" s="26"/>
      <c r="E14942" s="24"/>
      <c r="F14942" s="24"/>
      <c r="G14942" s="24"/>
      <c r="H14942" s="24"/>
      <c r="I14942" s="24"/>
      <c r="J14942" s="24"/>
      <c r="K14942" s="24"/>
      <c r="L14942" s="24"/>
      <c r="M14942" s="24"/>
      <c r="N14942" s="24"/>
      <c r="O14942" s="24"/>
      <c r="P14942" s="24"/>
      <c r="Q14942" s="24"/>
      <c r="R14942" s="24"/>
      <c r="S14942" s="24"/>
      <c r="T14942" s="24"/>
      <c r="U14942" s="24"/>
      <c r="V14942" s="24"/>
      <c r="W14942" s="24"/>
      <c r="X14942" s="24"/>
      <c r="Y14942" s="24"/>
      <c r="Z14942" s="24"/>
      <c r="AA14942" s="24"/>
    </row>
    <row r="14943">
      <c r="A14943" s="24"/>
      <c r="B14943" s="25"/>
      <c r="C14943" s="24"/>
      <c r="D14943" s="26"/>
      <c r="E14943" s="24"/>
      <c r="F14943" s="24"/>
      <c r="G14943" s="24"/>
      <c r="H14943" s="24"/>
      <c r="I14943" s="24"/>
      <c r="J14943" s="24"/>
      <c r="K14943" s="24"/>
      <c r="L14943" s="24"/>
      <c r="M14943" s="24"/>
      <c r="N14943" s="24"/>
      <c r="O14943" s="24"/>
      <c r="P14943" s="24"/>
      <c r="Q14943" s="24"/>
      <c r="R14943" s="24"/>
      <c r="S14943" s="24"/>
      <c r="T14943" s="24"/>
      <c r="U14943" s="24"/>
      <c r="V14943" s="24"/>
      <c r="W14943" s="24"/>
      <c r="X14943" s="24"/>
      <c r="Y14943" s="24"/>
      <c r="Z14943" s="24"/>
      <c r="AA14943" s="24"/>
    </row>
    <row r="14944">
      <c r="A14944" s="24"/>
      <c r="B14944" s="25"/>
      <c r="C14944" s="24"/>
      <c r="D14944" s="26"/>
      <c r="E14944" s="24"/>
      <c r="F14944" s="24"/>
      <c r="G14944" s="24"/>
      <c r="H14944" s="24"/>
      <c r="I14944" s="24"/>
      <c r="J14944" s="24"/>
      <c r="K14944" s="24"/>
      <c r="L14944" s="24"/>
      <c r="M14944" s="24"/>
      <c r="N14944" s="24"/>
      <c r="O14944" s="24"/>
      <c r="P14944" s="24"/>
      <c r="Q14944" s="24"/>
      <c r="R14944" s="24"/>
      <c r="S14944" s="24"/>
      <c r="T14944" s="24"/>
      <c r="U14944" s="24"/>
      <c r="V14944" s="24"/>
      <c r="W14944" s="24"/>
      <c r="X14944" s="24"/>
      <c r="Y14944" s="24"/>
      <c r="Z14944" s="24"/>
      <c r="AA14944" s="24"/>
    </row>
    <row r="14945">
      <c r="A14945" s="24"/>
      <c r="B14945" s="25"/>
      <c r="C14945" s="24"/>
      <c r="D14945" s="26"/>
      <c r="E14945" s="24"/>
      <c r="F14945" s="24"/>
      <c r="G14945" s="24"/>
      <c r="H14945" s="24"/>
      <c r="I14945" s="24"/>
      <c r="J14945" s="24"/>
      <c r="K14945" s="24"/>
      <c r="L14945" s="24"/>
      <c r="M14945" s="24"/>
      <c r="N14945" s="24"/>
      <c r="O14945" s="24"/>
      <c r="P14945" s="24"/>
      <c r="Q14945" s="24"/>
      <c r="R14945" s="24"/>
      <c r="S14945" s="24"/>
      <c r="T14945" s="24"/>
      <c r="U14945" s="24"/>
      <c r="V14945" s="24"/>
      <c r="W14945" s="24"/>
      <c r="X14945" s="24"/>
      <c r="Y14945" s="24"/>
      <c r="Z14945" s="24"/>
      <c r="AA14945" s="24"/>
    </row>
    <row r="14946">
      <c r="A14946" s="24"/>
      <c r="B14946" s="25"/>
      <c r="C14946" s="24"/>
      <c r="D14946" s="26"/>
      <c r="E14946" s="24"/>
      <c r="F14946" s="24"/>
      <c r="G14946" s="24"/>
      <c r="H14946" s="24"/>
      <c r="I14946" s="24"/>
      <c r="J14946" s="24"/>
      <c r="K14946" s="24"/>
      <c r="L14946" s="24"/>
      <c r="M14946" s="24"/>
      <c r="N14946" s="24"/>
      <c r="O14946" s="24"/>
      <c r="P14946" s="24"/>
      <c r="Q14946" s="24"/>
      <c r="R14946" s="24"/>
      <c r="S14946" s="24"/>
      <c r="T14946" s="24"/>
      <c r="U14946" s="24"/>
      <c r="V14946" s="24"/>
      <c r="W14946" s="24"/>
      <c r="X14946" s="24"/>
      <c r="Y14946" s="24"/>
      <c r="Z14946" s="24"/>
      <c r="AA14946" s="24"/>
    </row>
    <row r="14947">
      <c r="A14947" s="24"/>
      <c r="B14947" s="25"/>
      <c r="C14947" s="24"/>
      <c r="D14947" s="26"/>
      <c r="E14947" s="24"/>
      <c r="F14947" s="24"/>
      <c r="G14947" s="24"/>
      <c r="H14947" s="24"/>
      <c r="I14947" s="24"/>
      <c r="J14947" s="24"/>
      <c r="K14947" s="24"/>
      <c r="L14947" s="24"/>
      <c r="M14947" s="24"/>
      <c r="N14947" s="24"/>
      <c r="O14947" s="24"/>
      <c r="P14947" s="24"/>
      <c r="Q14947" s="24"/>
      <c r="R14947" s="24"/>
      <c r="S14947" s="24"/>
      <c r="T14947" s="24"/>
      <c r="U14947" s="24"/>
      <c r="V14947" s="24"/>
      <c r="W14947" s="24"/>
      <c r="X14947" s="24"/>
      <c r="Y14947" s="24"/>
      <c r="Z14947" s="24"/>
      <c r="AA14947" s="24"/>
    </row>
    <row r="14948">
      <c r="A14948" s="24"/>
      <c r="B14948" s="25"/>
      <c r="C14948" s="24"/>
      <c r="D14948" s="26"/>
      <c r="E14948" s="24"/>
      <c r="F14948" s="24"/>
      <c r="G14948" s="24"/>
      <c r="H14948" s="24"/>
      <c r="I14948" s="24"/>
      <c r="J14948" s="24"/>
      <c r="K14948" s="24"/>
      <c r="L14948" s="24"/>
      <c r="M14948" s="24"/>
      <c r="N14948" s="24"/>
      <c r="O14948" s="24"/>
      <c r="P14948" s="24"/>
      <c r="Q14948" s="24"/>
      <c r="R14948" s="24"/>
      <c r="S14948" s="24"/>
      <c r="T14948" s="24"/>
      <c r="U14948" s="24"/>
      <c r="V14948" s="24"/>
      <c r="W14948" s="24"/>
      <c r="X14948" s="24"/>
      <c r="Y14948" s="24"/>
      <c r="Z14948" s="24"/>
      <c r="AA14948" s="24"/>
    </row>
    <row r="14949">
      <c r="A14949" s="24"/>
      <c r="B14949" s="25"/>
      <c r="C14949" s="24"/>
      <c r="D14949" s="26"/>
      <c r="E14949" s="24"/>
      <c r="F14949" s="24"/>
      <c r="G14949" s="24"/>
      <c r="H14949" s="24"/>
      <c r="I14949" s="24"/>
      <c r="J14949" s="24"/>
      <c r="K14949" s="24"/>
      <c r="L14949" s="24"/>
      <c r="M14949" s="24"/>
      <c r="N14949" s="24"/>
      <c r="O14949" s="24"/>
      <c r="P14949" s="24"/>
      <c r="Q14949" s="24"/>
      <c r="R14949" s="24"/>
      <c r="S14949" s="24"/>
      <c r="T14949" s="24"/>
      <c r="U14949" s="24"/>
      <c r="V14949" s="24"/>
      <c r="W14949" s="24"/>
      <c r="X14949" s="24"/>
      <c r="Y14949" s="24"/>
      <c r="Z14949" s="24"/>
      <c r="AA14949" s="24"/>
    </row>
    <row r="14950">
      <c r="A14950" s="24"/>
      <c r="B14950" s="25"/>
      <c r="C14950" s="24"/>
      <c r="D14950" s="26"/>
      <c r="E14950" s="24"/>
      <c r="F14950" s="24"/>
      <c r="G14950" s="24"/>
      <c r="H14950" s="24"/>
      <c r="I14950" s="24"/>
      <c r="J14950" s="24"/>
      <c r="K14950" s="24"/>
      <c r="L14950" s="24"/>
      <c r="M14950" s="24"/>
      <c r="N14950" s="24"/>
      <c r="O14950" s="24"/>
      <c r="P14950" s="24"/>
      <c r="Q14950" s="24"/>
      <c r="R14950" s="24"/>
      <c r="S14950" s="24"/>
      <c r="T14950" s="24"/>
      <c r="U14950" s="24"/>
      <c r="V14950" s="24"/>
      <c r="W14950" s="24"/>
      <c r="X14950" s="24"/>
      <c r="Y14950" s="24"/>
      <c r="Z14950" s="24"/>
      <c r="AA14950" s="24"/>
    </row>
    <row r="14951">
      <c r="A14951" s="24"/>
      <c r="B14951" s="25"/>
      <c r="C14951" s="24"/>
      <c r="D14951" s="26"/>
      <c r="E14951" s="24"/>
      <c r="F14951" s="24"/>
      <c r="G14951" s="24"/>
      <c r="H14951" s="24"/>
      <c r="I14951" s="24"/>
      <c r="J14951" s="24"/>
      <c r="K14951" s="24"/>
      <c r="L14951" s="24"/>
      <c r="M14951" s="24"/>
      <c r="N14951" s="24"/>
      <c r="O14951" s="24"/>
      <c r="P14951" s="24"/>
      <c r="Q14951" s="24"/>
      <c r="R14951" s="24"/>
      <c r="S14951" s="24"/>
      <c r="T14951" s="24"/>
      <c r="U14951" s="24"/>
      <c r="V14951" s="24"/>
      <c r="W14951" s="24"/>
      <c r="X14951" s="24"/>
      <c r="Y14951" s="24"/>
      <c r="Z14951" s="24"/>
      <c r="AA14951" s="24"/>
    </row>
    <row r="14952">
      <c r="A14952" s="24"/>
      <c r="B14952" s="25"/>
      <c r="C14952" s="24"/>
      <c r="D14952" s="26"/>
      <c r="E14952" s="24"/>
      <c r="F14952" s="24"/>
      <c r="G14952" s="24"/>
      <c r="H14952" s="24"/>
      <c r="I14952" s="24"/>
      <c r="J14952" s="24"/>
      <c r="K14952" s="24"/>
      <c r="L14952" s="24"/>
      <c r="M14952" s="24"/>
      <c r="N14952" s="24"/>
      <c r="O14952" s="24"/>
      <c r="P14952" s="24"/>
      <c r="Q14952" s="24"/>
      <c r="R14952" s="24"/>
      <c r="S14952" s="24"/>
      <c r="T14952" s="24"/>
      <c r="U14952" s="24"/>
      <c r="V14952" s="24"/>
      <c r="W14952" s="24"/>
      <c r="X14952" s="24"/>
      <c r="Y14952" s="24"/>
      <c r="Z14952" s="24"/>
      <c r="AA14952" s="24"/>
    </row>
    <row r="14953">
      <c r="A14953" s="24"/>
      <c r="B14953" s="25"/>
      <c r="C14953" s="24"/>
      <c r="D14953" s="26"/>
      <c r="E14953" s="24"/>
      <c r="F14953" s="24"/>
      <c r="G14953" s="24"/>
      <c r="H14953" s="24"/>
      <c r="I14953" s="24"/>
      <c r="J14953" s="24"/>
      <c r="K14953" s="24"/>
      <c r="L14953" s="24"/>
      <c r="M14953" s="24"/>
      <c r="N14953" s="24"/>
      <c r="O14953" s="24"/>
      <c r="P14953" s="24"/>
      <c r="Q14953" s="24"/>
      <c r="R14953" s="24"/>
      <c r="S14953" s="24"/>
      <c r="T14953" s="24"/>
      <c r="U14953" s="24"/>
      <c r="V14953" s="24"/>
      <c r="W14953" s="24"/>
      <c r="X14953" s="24"/>
      <c r="Y14953" s="24"/>
      <c r="Z14953" s="24"/>
      <c r="AA14953" s="24"/>
    </row>
    <row r="14954">
      <c r="A14954" s="24"/>
      <c r="B14954" s="25"/>
      <c r="C14954" s="24"/>
      <c r="D14954" s="26"/>
      <c r="E14954" s="24"/>
      <c r="F14954" s="24"/>
      <c r="G14954" s="24"/>
      <c r="H14954" s="24"/>
      <c r="I14954" s="24"/>
      <c r="J14954" s="24"/>
      <c r="K14954" s="24"/>
      <c r="L14954" s="24"/>
      <c r="M14954" s="24"/>
      <c r="N14954" s="24"/>
      <c r="O14954" s="24"/>
      <c r="P14954" s="24"/>
      <c r="Q14954" s="24"/>
      <c r="R14954" s="24"/>
      <c r="S14954" s="24"/>
      <c r="T14954" s="24"/>
      <c r="U14954" s="24"/>
      <c r="V14954" s="24"/>
      <c r="W14954" s="24"/>
      <c r="X14954" s="24"/>
      <c r="Y14954" s="24"/>
      <c r="Z14954" s="24"/>
      <c r="AA14954" s="24"/>
    </row>
    <row r="14955">
      <c r="A14955" s="24"/>
      <c r="B14955" s="25"/>
      <c r="C14955" s="24"/>
      <c r="D14955" s="26"/>
      <c r="E14955" s="24"/>
      <c r="F14955" s="24"/>
      <c r="G14955" s="24"/>
      <c r="H14955" s="24"/>
      <c r="I14955" s="24"/>
      <c r="J14955" s="24"/>
      <c r="K14955" s="24"/>
      <c r="L14955" s="24"/>
      <c r="M14955" s="24"/>
      <c r="N14955" s="24"/>
      <c r="O14955" s="24"/>
      <c r="P14955" s="24"/>
      <c r="Q14955" s="24"/>
      <c r="R14955" s="24"/>
      <c r="S14955" s="24"/>
      <c r="T14955" s="24"/>
      <c r="U14955" s="24"/>
      <c r="V14955" s="24"/>
      <c r="W14955" s="24"/>
      <c r="X14955" s="24"/>
      <c r="Y14955" s="24"/>
      <c r="Z14955" s="24"/>
      <c r="AA14955" s="24"/>
    </row>
    <row r="14956">
      <c r="A14956" s="24"/>
      <c r="B14956" s="25"/>
      <c r="C14956" s="24"/>
      <c r="D14956" s="26"/>
      <c r="E14956" s="24"/>
      <c r="F14956" s="24"/>
      <c r="G14956" s="24"/>
      <c r="H14956" s="24"/>
      <c r="I14956" s="24"/>
      <c r="J14956" s="24"/>
      <c r="K14956" s="24"/>
      <c r="L14956" s="24"/>
      <c r="M14956" s="24"/>
      <c r="N14956" s="24"/>
      <c r="O14956" s="24"/>
      <c r="P14956" s="24"/>
      <c r="Q14956" s="24"/>
      <c r="R14956" s="24"/>
      <c r="S14956" s="24"/>
      <c r="T14956" s="24"/>
      <c r="U14956" s="24"/>
      <c r="V14956" s="24"/>
      <c r="W14956" s="24"/>
      <c r="X14956" s="24"/>
      <c r="Y14956" s="24"/>
      <c r="Z14956" s="24"/>
      <c r="AA14956" s="24"/>
    </row>
    <row r="14957">
      <c r="A14957" s="24"/>
      <c r="B14957" s="25"/>
      <c r="C14957" s="24"/>
      <c r="D14957" s="26"/>
      <c r="E14957" s="24"/>
      <c r="F14957" s="24"/>
      <c r="G14957" s="24"/>
      <c r="H14957" s="24"/>
      <c r="I14957" s="24"/>
      <c r="J14957" s="24"/>
      <c r="K14957" s="24"/>
      <c r="L14957" s="24"/>
      <c r="M14957" s="24"/>
      <c r="N14957" s="24"/>
      <c r="O14957" s="24"/>
      <c r="P14957" s="24"/>
      <c r="Q14957" s="24"/>
      <c r="R14957" s="24"/>
      <c r="S14957" s="24"/>
      <c r="T14957" s="24"/>
      <c r="U14957" s="24"/>
      <c r="V14957" s="24"/>
      <c r="W14957" s="24"/>
      <c r="X14957" s="24"/>
      <c r="Y14957" s="24"/>
      <c r="Z14957" s="24"/>
      <c r="AA14957" s="24"/>
    </row>
    <row r="14958">
      <c r="A14958" s="24"/>
      <c r="B14958" s="25"/>
      <c r="C14958" s="24"/>
      <c r="D14958" s="26"/>
      <c r="E14958" s="24"/>
      <c r="F14958" s="24"/>
      <c r="G14958" s="24"/>
      <c r="H14958" s="24"/>
      <c r="I14958" s="24"/>
      <c r="J14958" s="24"/>
      <c r="K14958" s="24"/>
      <c r="L14958" s="24"/>
      <c r="M14958" s="24"/>
      <c r="N14958" s="24"/>
      <c r="O14958" s="24"/>
      <c r="P14958" s="24"/>
      <c r="Q14958" s="24"/>
      <c r="R14958" s="24"/>
      <c r="S14958" s="24"/>
      <c r="T14958" s="24"/>
      <c r="U14958" s="24"/>
      <c r="V14958" s="24"/>
      <c r="W14958" s="24"/>
      <c r="X14958" s="24"/>
      <c r="Y14958" s="24"/>
      <c r="Z14958" s="24"/>
      <c r="AA14958" s="24"/>
    </row>
    <row r="14959">
      <c r="A14959" s="24"/>
      <c r="B14959" s="25"/>
      <c r="C14959" s="24"/>
      <c r="D14959" s="26"/>
      <c r="E14959" s="24"/>
      <c r="F14959" s="24"/>
      <c r="G14959" s="24"/>
      <c r="H14959" s="24"/>
      <c r="I14959" s="24"/>
      <c r="J14959" s="24"/>
      <c r="K14959" s="24"/>
      <c r="L14959" s="24"/>
      <c r="M14959" s="24"/>
      <c r="N14959" s="24"/>
      <c r="O14959" s="24"/>
      <c r="P14959" s="24"/>
      <c r="Q14959" s="24"/>
      <c r="R14959" s="24"/>
      <c r="S14959" s="24"/>
      <c r="T14959" s="24"/>
      <c r="U14959" s="24"/>
      <c r="V14959" s="24"/>
      <c r="W14959" s="24"/>
      <c r="X14959" s="24"/>
      <c r="Y14959" s="24"/>
      <c r="Z14959" s="24"/>
      <c r="AA14959" s="24"/>
    </row>
    <row r="14960">
      <c r="A14960" s="24"/>
      <c r="B14960" s="25"/>
      <c r="C14960" s="24"/>
      <c r="D14960" s="26"/>
      <c r="E14960" s="24"/>
      <c r="F14960" s="24"/>
      <c r="G14960" s="24"/>
      <c r="H14960" s="24"/>
      <c r="I14960" s="24"/>
      <c r="J14960" s="24"/>
      <c r="K14960" s="24"/>
      <c r="L14960" s="24"/>
      <c r="M14960" s="24"/>
      <c r="N14960" s="24"/>
      <c r="O14960" s="24"/>
      <c r="P14960" s="24"/>
      <c r="Q14960" s="24"/>
      <c r="R14960" s="24"/>
      <c r="S14960" s="24"/>
      <c r="T14960" s="24"/>
      <c r="U14960" s="24"/>
      <c r="V14960" s="24"/>
      <c r="W14960" s="24"/>
      <c r="X14960" s="24"/>
      <c r="Y14960" s="24"/>
      <c r="Z14960" s="24"/>
      <c r="AA14960" s="24"/>
    </row>
    <row r="14961">
      <c r="A14961" s="24"/>
      <c r="B14961" s="25"/>
      <c r="C14961" s="24"/>
      <c r="D14961" s="26"/>
      <c r="E14961" s="24"/>
      <c r="F14961" s="24"/>
      <c r="G14961" s="24"/>
      <c r="H14961" s="24"/>
      <c r="I14961" s="24"/>
      <c r="J14961" s="24"/>
      <c r="K14961" s="24"/>
      <c r="L14961" s="24"/>
      <c r="M14961" s="24"/>
      <c r="N14961" s="24"/>
      <c r="O14961" s="24"/>
      <c r="P14961" s="24"/>
      <c r="Q14961" s="24"/>
      <c r="R14961" s="24"/>
      <c r="S14961" s="24"/>
      <c r="T14961" s="24"/>
      <c r="U14961" s="24"/>
      <c r="V14961" s="24"/>
      <c r="W14961" s="24"/>
      <c r="X14961" s="24"/>
      <c r="Y14961" s="24"/>
      <c r="Z14961" s="24"/>
      <c r="AA14961" s="24"/>
    </row>
    <row r="14962">
      <c r="A14962" s="24"/>
      <c r="B14962" s="25"/>
      <c r="C14962" s="24"/>
      <c r="D14962" s="26"/>
      <c r="E14962" s="24"/>
      <c r="F14962" s="24"/>
      <c r="G14962" s="24"/>
      <c r="H14962" s="24"/>
      <c r="I14962" s="24"/>
      <c r="J14962" s="24"/>
      <c r="K14962" s="24"/>
      <c r="L14962" s="24"/>
      <c r="M14962" s="24"/>
      <c r="N14962" s="24"/>
      <c r="O14962" s="24"/>
      <c r="P14962" s="24"/>
      <c r="Q14962" s="24"/>
      <c r="R14962" s="24"/>
      <c r="S14962" s="24"/>
      <c r="T14962" s="24"/>
      <c r="U14962" s="24"/>
      <c r="V14962" s="24"/>
      <c r="W14962" s="24"/>
      <c r="X14962" s="24"/>
      <c r="Y14962" s="24"/>
      <c r="Z14962" s="24"/>
      <c r="AA14962" s="24"/>
    </row>
    <row r="14963">
      <c r="A14963" s="24"/>
      <c r="B14963" s="25"/>
      <c r="C14963" s="24"/>
      <c r="D14963" s="26"/>
      <c r="E14963" s="24"/>
      <c r="F14963" s="24"/>
      <c r="G14963" s="24"/>
      <c r="H14963" s="24"/>
      <c r="I14963" s="24"/>
      <c r="J14963" s="24"/>
      <c r="K14963" s="24"/>
      <c r="L14963" s="24"/>
      <c r="M14963" s="24"/>
      <c r="N14963" s="24"/>
      <c r="O14963" s="24"/>
      <c r="P14963" s="24"/>
      <c r="Q14963" s="24"/>
      <c r="R14963" s="24"/>
      <c r="S14963" s="24"/>
      <c r="T14963" s="24"/>
      <c r="U14963" s="24"/>
      <c r="V14963" s="24"/>
      <c r="W14963" s="24"/>
      <c r="X14963" s="24"/>
      <c r="Y14963" s="24"/>
      <c r="Z14963" s="24"/>
      <c r="AA14963" s="24"/>
    </row>
    <row r="14964">
      <c r="A14964" s="24"/>
      <c r="B14964" s="25"/>
      <c r="C14964" s="24"/>
      <c r="D14964" s="26"/>
      <c r="E14964" s="24"/>
      <c r="F14964" s="24"/>
      <c r="G14964" s="24"/>
      <c r="H14964" s="24"/>
      <c r="I14964" s="24"/>
      <c r="J14964" s="24"/>
      <c r="K14964" s="24"/>
      <c r="L14964" s="24"/>
      <c r="M14964" s="24"/>
      <c r="N14964" s="24"/>
      <c r="O14964" s="24"/>
      <c r="P14964" s="24"/>
      <c r="Q14964" s="24"/>
      <c r="R14964" s="24"/>
      <c r="S14964" s="24"/>
      <c r="T14964" s="24"/>
      <c r="U14964" s="24"/>
      <c r="V14964" s="24"/>
      <c r="W14964" s="24"/>
      <c r="X14964" s="24"/>
      <c r="Y14964" s="24"/>
      <c r="Z14964" s="24"/>
      <c r="AA14964" s="24"/>
    </row>
    <row r="14965">
      <c r="A14965" s="24"/>
      <c r="B14965" s="25"/>
      <c r="C14965" s="24"/>
      <c r="D14965" s="26"/>
      <c r="E14965" s="24"/>
      <c r="F14965" s="24"/>
      <c r="G14965" s="24"/>
      <c r="H14965" s="24"/>
      <c r="I14965" s="24"/>
      <c r="J14965" s="24"/>
      <c r="K14965" s="24"/>
      <c r="L14965" s="24"/>
      <c r="M14965" s="24"/>
      <c r="N14965" s="24"/>
      <c r="O14965" s="24"/>
      <c r="P14965" s="24"/>
      <c r="Q14965" s="24"/>
      <c r="R14965" s="24"/>
      <c r="S14965" s="24"/>
      <c r="T14965" s="24"/>
      <c r="U14965" s="24"/>
      <c r="V14965" s="24"/>
      <c r="W14965" s="24"/>
      <c r="X14965" s="24"/>
      <c r="Y14965" s="24"/>
      <c r="Z14965" s="24"/>
      <c r="AA14965" s="24"/>
    </row>
    <row r="14966">
      <c r="A14966" s="24"/>
      <c r="B14966" s="25"/>
      <c r="C14966" s="24"/>
      <c r="D14966" s="26"/>
      <c r="E14966" s="24"/>
      <c r="F14966" s="24"/>
      <c r="G14966" s="24"/>
      <c r="H14966" s="24"/>
      <c r="I14966" s="24"/>
      <c r="J14966" s="24"/>
      <c r="K14966" s="24"/>
      <c r="L14966" s="24"/>
      <c r="M14966" s="24"/>
      <c r="N14966" s="24"/>
      <c r="O14966" s="24"/>
      <c r="P14966" s="24"/>
      <c r="Q14966" s="24"/>
      <c r="R14966" s="24"/>
      <c r="S14966" s="24"/>
      <c r="T14966" s="24"/>
      <c r="U14966" s="24"/>
      <c r="V14966" s="24"/>
      <c r="W14966" s="24"/>
      <c r="X14966" s="24"/>
      <c r="Y14966" s="24"/>
      <c r="Z14966" s="24"/>
      <c r="AA14966" s="24"/>
    </row>
    <row r="14967">
      <c r="A14967" s="24"/>
      <c r="B14967" s="25"/>
      <c r="C14967" s="24"/>
      <c r="D14967" s="26"/>
      <c r="E14967" s="24"/>
      <c r="F14967" s="24"/>
      <c r="G14967" s="24"/>
      <c r="H14967" s="24"/>
      <c r="I14967" s="24"/>
      <c r="J14967" s="24"/>
      <c r="K14967" s="24"/>
      <c r="L14967" s="24"/>
      <c r="M14967" s="24"/>
      <c r="N14967" s="24"/>
      <c r="O14967" s="24"/>
      <c r="P14967" s="24"/>
      <c r="Q14967" s="24"/>
      <c r="R14967" s="24"/>
      <c r="S14967" s="24"/>
      <c r="T14967" s="24"/>
      <c r="U14967" s="24"/>
      <c r="V14967" s="24"/>
      <c r="W14967" s="24"/>
      <c r="X14967" s="24"/>
      <c r="Y14967" s="24"/>
      <c r="Z14967" s="24"/>
      <c r="AA14967" s="24"/>
    </row>
    <row r="14968">
      <c r="A14968" s="24"/>
      <c r="B14968" s="25"/>
      <c r="C14968" s="24"/>
      <c r="D14968" s="26"/>
      <c r="E14968" s="24"/>
      <c r="F14968" s="24"/>
      <c r="G14968" s="24"/>
      <c r="H14968" s="24"/>
      <c r="I14968" s="24"/>
      <c r="J14968" s="24"/>
      <c r="K14968" s="24"/>
      <c r="L14968" s="24"/>
      <c r="M14968" s="24"/>
      <c r="N14968" s="24"/>
      <c r="O14968" s="24"/>
      <c r="P14968" s="24"/>
      <c r="Q14968" s="24"/>
      <c r="R14968" s="24"/>
      <c r="S14968" s="24"/>
      <c r="T14968" s="24"/>
      <c r="U14968" s="24"/>
      <c r="V14968" s="24"/>
      <c r="W14968" s="24"/>
      <c r="X14968" s="24"/>
      <c r="Y14968" s="24"/>
      <c r="Z14968" s="24"/>
      <c r="AA14968" s="24"/>
    </row>
    <row r="14969">
      <c r="A14969" s="24"/>
      <c r="B14969" s="25"/>
      <c r="C14969" s="24"/>
      <c r="D14969" s="26"/>
      <c r="E14969" s="24"/>
      <c r="F14969" s="24"/>
      <c r="G14969" s="24"/>
      <c r="H14969" s="24"/>
      <c r="I14969" s="24"/>
      <c r="J14969" s="24"/>
      <c r="K14969" s="24"/>
      <c r="L14969" s="24"/>
      <c r="M14969" s="24"/>
      <c r="N14969" s="24"/>
      <c r="O14969" s="24"/>
      <c r="P14969" s="24"/>
      <c r="Q14969" s="24"/>
      <c r="R14969" s="24"/>
      <c r="S14969" s="24"/>
      <c r="T14969" s="24"/>
      <c r="U14969" s="24"/>
      <c r="V14969" s="24"/>
      <c r="W14969" s="24"/>
      <c r="X14969" s="24"/>
      <c r="Y14969" s="24"/>
      <c r="Z14969" s="24"/>
      <c r="AA14969" s="24"/>
    </row>
    <row r="14970">
      <c r="A14970" s="24"/>
      <c r="B14970" s="25"/>
      <c r="C14970" s="24"/>
      <c r="D14970" s="26"/>
      <c r="E14970" s="24"/>
      <c r="F14970" s="24"/>
      <c r="G14970" s="24"/>
      <c r="H14970" s="24"/>
      <c r="I14970" s="24"/>
      <c r="J14970" s="24"/>
      <c r="K14970" s="24"/>
      <c r="L14970" s="24"/>
      <c r="M14970" s="24"/>
      <c r="N14970" s="24"/>
      <c r="O14970" s="24"/>
      <c r="P14970" s="24"/>
      <c r="Q14970" s="24"/>
      <c r="R14970" s="24"/>
      <c r="S14970" s="24"/>
      <c r="T14970" s="24"/>
      <c r="U14970" s="24"/>
      <c r="V14970" s="24"/>
      <c r="W14970" s="24"/>
      <c r="X14970" s="24"/>
      <c r="Y14970" s="24"/>
      <c r="Z14970" s="24"/>
      <c r="AA14970" s="24"/>
    </row>
    <row r="14971">
      <c r="A14971" s="24"/>
      <c r="B14971" s="25"/>
      <c r="C14971" s="24"/>
      <c r="D14971" s="26"/>
      <c r="E14971" s="24"/>
      <c r="F14971" s="24"/>
      <c r="G14971" s="24"/>
      <c r="H14971" s="24"/>
      <c r="I14971" s="24"/>
      <c r="J14971" s="24"/>
      <c r="K14971" s="24"/>
      <c r="L14971" s="24"/>
      <c r="M14971" s="24"/>
      <c r="N14971" s="24"/>
      <c r="O14971" s="24"/>
      <c r="P14971" s="24"/>
      <c r="Q14971" s="24"/>
      <c r="R14971" s="24"/>
      <c r="S14971" s="24"/>
      <c r="T14971" s="24"/>
      <c r="U14971" s="24"/>
      <c r="V14971" s="24"/>
      <c r="W14971" s="24"/>
      <c r="X14971" s="24"/>
      <c r="Y14971" s="24"/>
      <c r="Z14971" s="24"/>
      <c r="AA14971" s="24"/>
    </row>
    <row r="14972">
      <c r="A14972" s="24"/>
      <c r="B14972" s="25"/>
      <c r="C14972" s="24"/>
      <c r="D14972" s="26"/>
      <c r="E14972" s="24"/>
      <c r="F14972" s="24"/>
      <c r="G14972" s="24"/>
      <c r="H14972" s="24"/>
      <c r="I14972" s="24"/>
      <c r="J14972" s="24"/>
      <c r="K14972" s="24"/>
      <c r="L14972" s="24"/>
      <c r="M14972" s="24"/>
      <c r="N14972" s="24"/>
      <c r="O14972" s="24"/>
      <c r="P14972" s="24"/>
      <c r="Q14972" s="24"/>
      <c r="R14972" s="24"/>
      <c r="S14972" s="24"/>
      <c r="T14972" s="24"/>
      <c r="U14972" s="24"/>
      <c r="V14972" s="24"/>
      <c r="W14972" s="24"/>
      <c r="X14972" s="24"/>
      <c r="Y14972" s="24"/>
      <c r="Z14972" s="24"/>
      <c r="AA14972" s="24"/>
    </row>
    <row r="14973">
      <c r="A14973" s="24"/>
      <c r="B14973" s="25"/>
      <c r="C14973" s="24"/>
      <c r="D14973" s="26"/>
      <c r="E14973" s="24"/>
      <c r="F14973" s="24"/>
      <c r="G14973" s="24"/>
      <c r="H14973" s="24"/>
      <c r="I14973" s="24"/>
      <c r="J14973" s="24"/>
      <c r="K14973" s="24"/>
      <c r="L14973" s="24"/>
      <c r="M14973" s="24"/>
      <c r="N14973" s="24"/>
      <c r="O14973" s="24"/>
      <c r="P14973" s="24"/>
      <c r="Q14973" s="24"/>
      <c r="R14973" s="24"/>
      <c r="S14973" s="24"/>
      <c r="T14973" s="24"/>
      <c r="U14973" s="24"/>
      <c r="V14973" s="24"/>
      <c r="W14973" s="24"/>
      <c r="X14973" s="24"/>
      <c r="Y14973" s="24"/>
      <c r="Z14973" s="24"/>
      <c r="AA14973" s="24"/>
    </row>
    <row r="14974">
      <c r="A14974" s="24"/>
      <c r="B14974" s="25"/>
      <c r="C14974" s="24"/>
      <c r="D14974" s="26"/>
      <c r="E14974" s="24"/>
      <c r="F14974" s="24"/>
      <c r="G14974" s="24"/>
      <c r="H14974" s="24"/>
      <c r="I14974" s="24"/>
      <c r="J14974" s="24"/>
      <c r="K14974" s="24"/>
      <c r="L14974" s="24"/>
      <c r="M14974" s="24"/>
      <c r="N14974" s="24"/>
      <c r="O14974" s="24"/>
      <c r="P14974" s="24"/>
      <c r="Q14974" s="24"/>
      <c r="R14974" s="24"/>
      <c r="S14974" s="24"/>
      <c r="T14974" s="24"/>
      <c r="U14974" s="24"/>
      <c r="V14974" s="24"/>
      <c r="W14974" s="24"/>
      <c r="X14974" s="24"/>
      <c r="Y14974" s="24"/>
      <c r="Z14974" s="24"/>
      <c r="AA14974" s="24"/>
    </row>
    <row r="14975">
      <c r="A14975" s="24"/>
      <c r="B14975" s="25"/>
      <c r="C14975" s="24"/>
      <c r="D14975" s="26"/>
      <c r="E14975" s="24"/>
      <c r="F14975" s="24"/>
      <c r="G14975" s="24"/>
      <c r="H14975" s="24"/>
      <c r="I14975" s="24"/>
      <c r="J14975" s="24"/>
      <c r="K14975" s="24"/>
      <c r="L14975" s="24"/>
      <c r="M14975" s="24"/>
      <c r="N14975" s="24"/>
      <c r="O14975" s="24"/>
      <c r="P14975" s="24"/>
      <c r="Q14975" s="24"/>
      <c r="R14975" s="24"/>
      <c r="S14975" s="24"/>
      <c r="T14975" s="24"/>
      <c r="U14975" s="24"/>
      <c r="V14975" s="24"/>
      <c r="W14975" s="24"/>
      <c r="X14975" s="24"/>
      <c r="Y14975" s="24"/>
      <c r="Z14975" s="24"/>
      <c r="AA14975" s="24"/>
    </row>
    <row r="14976">
      <c r="A14976" s="24"/>
      <c r="B14976" s="25"/>
      <c r="C14976" s="24"/>
      <c r="D14976" s="26"/>
      <c r="E14976" s="24"/>
      <c r="F14976" s="24"/>
      <c r="G14976" s="24"/>
      <c r="H14976" s="24"/>
      <c r="I14976" s="24"/>
      <c r="J14976" s="24"/>
      <c r="K14976" s="24"/>
      <c r="L14976" s="24"/>
      <c r="M14976" s="24"/>
      <c r="N14976" s="24"/>
      <c r="O14976" s="24"/>
      <c r="P14976" s="24"/>
      <c r="Q14976" s="24"/>
      <c r="R14976" s="24"/>
      <c r="S14976" s="24"/>
      <c r="T14976" s="24"/>
      <c r="U14976" s="24"/>
      <c r="V14976" s="24"/>
      <c r="W14976" s="24"/>
      <c r="X14976" s="24"/>
      <c r="Y14976" s="24"/>
      <c r="Z14976" s="24"/>
      <c r="AA14976" s="24"/>
    </row>
    <row r="14977">
      <c r="A14977" s="24"/>
      <c r="B14977" s="25"/>
      <c r="C14977" s="24"/>
      <c r="D14977" s="26"/>
      <c r="E14977" s="24"/>
      <c r="F14977" s="24"/>
      <c r="G14977" s="24"/>
      <c r="H14977" s="24"/>
      <c r="I14977" s="24"/>
      <c r="J14977" s="24"/>
      <c r="K14977" s="24"/>
      <c r="L14977" s="24"/>
      <c r="M14977" s="24"/>
      <c r="N14977" s="24"/>
      <c r="O14977" s="24"/>
      <c r="P14977" s="24"/>
      <c r="Q14977" s="24"/>
      <c r="R14977" s="24"/>
      <c r="S14977" s="24"/>
      <c r="T14977" s="24"/>
      <c r="U14977" s="24"/>
      <c r="V14977" s="24"/>
      <c r="W14977" s="24"/>
      <c r="X14977" s="24"/>
      <c r="Y14977" s="24"/>
      <c r="Z14977" s="24"/>
      <c r="AA14977" s="24"/>
    </row>
    <row r="14978">
      <c r="A14978" s="24"/>
      <c r="B14978" s="25"/>
      <c r="C14978" s="24"/>
      <c r="D14978" s="26"/>
      <c r="E14978" s="24"/>
      <c r="F14978" s="24"/>
      <c r="G14978" s="24"/>
      <c r="H14978" s="24"/>
      <c r="I14978" s="24"/>
      <c r="J14978" s="24"/>
      <c r="K14978" s="24"/>
      <c r="L14978" s="24"/>
      <c r="M14978" s="24"/>
      <c r="N14978" s="24"/>
      <c r="O14978" s="24"/>
      <c r="P14978" s="24"/>
      <c r="Q14978" s="24"/>
      <c r="R14978" s="24"/>
      <c r="S14978" s="24"/>
      <c r="T14978" s="24"/>
      <c r="U14978" s="24"/>
      <c r="V14978" s="24"/>
      <c r="W14978" s="24"/>
      <c r="X14978" s="24"/>
      <c r="Y14978" s="24"/>
      <c r="Z14978" s="24"/>
      <c r="AA14978" s="24"/>
    </row>
    <row r="14979">
      <c r="A14979" s="24"/>
      <c r="B14979" s="25"/>
      <c r="C14979" s="24"/>
      <c r="D14979" s="26"/>
      <c r="E14979" s="24"/>
      <c r="F14979" s="24"/>
      <c r="G14979" s="24"/>
      <c r="H14979" s="24"/>
      <c r="I14979" s="24"/>
      <c r="J14979" s="24"/>
      <c r="K14979" s="24"/>
      <c r="L14979" s="24"/>
      <c r="M14979" s="24"/>
      <c r="N14979" s="24"/>
      <c r="O14979" s="24"/>
      <c r="P14979" s="24"/>
      <c r="Q14979" s="24"/>
      <c r="R14979" s="24"/>
      <c r="S14979" s="24"/>
      <c r="T14979" s="24"/>
      <c r="U14979" s="24"/>
      <c r="V14979" s="24"/>
      <c r="W14979" s="24"/>
      <c r="X14979" s="24"/>
      <c r="Y14979" s="24"/>
      <c r="Z14979" s="24"/>
      <c r="AA14979" s="24"/>
    </row>
    <row r="14980">
      <c r="A14980" s="24"/>
      <c r="B14980" s="25"/>
      <c r="C14980" s="24"/>
      <c r="D14980" s="26"/>
      <c r="E14980" s="24"/>
      <c r="F14980" s="24"/>
      <c r="G14980" s="24"/>
      <c r="H14980" s="24"/>
      <c r="I14980" s="24"/>
      <c r="J14980" s="24"/>
      <c r="K14980" s="24"/>
      <c r="L14980" s="24"/>
      <c r="M14980" s="24"/>
      <c r="N14980" s="24"/>
      <c r="O14980" s="24"/>
      <c r="P14980" s="24"/>
      <c r="Q14980" s="24"/>
      <c r="R14980" s="24"/>
      <c r="S14980" s="24"/>
      <c r="T14980" s="24"/>
      <c r="U14980" s="24"/>
      <c r="V14980" s="24"/>
      <c r="W14980" s="24"/>
      <c r="X14980" s="24"/>
      <c r="Y14980" s="24"/>
      <c r="Z14980" s="24"/>
      <c r="AA14980" s="24"/>
    </row>
    <row r="14981">
      <c r="A14981" s="24"/>
      <c r="B14981" s="25"/>
      <c r="C14981" s="24"/>
      <c r="D14981" s="26"/>
      <c r="E14981" s="24"/>
      <c r="F14981" s="24"/>
      <c r="G14981" s="24"/>
      <c r="H14981" s="24"/>
      <c r="I14981" s="24"/>
      <c r="J14981" s="24"/>
      <c r="K14981" s="24"/>
      <c r="L14981" s="24"/>
      <c r="M14981" s="24"/>
      <c r="N14981" s="24"/>
      <c r="O14981" s="24"/>
      <c r="P14981" s="24"/>
      <c r="Q14981" s="24"/>
      <c r="R14981" s="24"/>
      <c r="S14981" s="24"/>
      <c r="T14981" s="24"/>
      <c r="U14981" s="24"/>
      <c r="V14981" s="24"/>
      <c r="W14981" s="24"/>
      <c r="X14981" s="24"/>
      <c r="Y14981" s="24"/>
      <c r="Z14981" s="24"/>
      <c r="AA14981" s="24"/>
    </row>
    <row r="14982">
      <c r="A14982" s="24"/>
      <c r="B14982" s="25"/>
      <c r="C14982" s="24"/>
      <c r="D14982" s="26"/>
      <c r="E14982" s="24"/>
      <c r="F14982" s="24"/>
      <c r="G14982" s="24"/>
      <c r="H14982" s="24"/>
      <c r="I14982" s="24"/>
      <c r="J14982" s="24"/>
      <c r="K14982" s="24"/>
      <c r="L14982" s="24"/>
      <c r="M14982" s="24"/>
      <c r="N14982" s="24"/>
      <c r="O14982" s="24"/>
      <c r="P14982" s="24"/>
      <c r="Q14982" s="24"/>
      <c r="R14982" s="24"/>
      <c r="S14982" s="24"/>
      <c r="T14982" s="24"/>
      <c r="U14982" s="24"/>
      <c r="V14982" s="24"/>
      <c r="W14982" s="24"/>
      <c r="X14982" s="24"/>
      <c r="Y14982" s="24"/>
      <c r="Z14982" s="24"/>
      <c r="AA14982" s="24"/>
    </row>
    <row r="14983">
      <c r="A14983" s="24"/>
      <c r="B14983" s="25"/>
      <c r="C14983" s="24"/>
      <c r="D14983" s="26"/>
      <c r="E14983" s="24"/>
      <c r="F14983" s="24"/>
      <c r="G14983" s="24"/>
      <c r="H14983" s="24"/>
      <c r="I14983" s="24"/>
      <c r="J14983" s="24"/>
      <c r="K14983" s="24"/>
      <c r="L14983" s="24"/>
      <c r="M14983" s="24"/>
      <c r="N14983" s="24"/>
      <c r="O14983" s="24"/>
      <c r="P14983" s="24"/>
      <c r="Q14983" s="24"/>
      <c r="R14983" s="24"/>
      <c r="S14983" s="24"/>
      <c r="T14983" s="24"/>
      <c r="U14983" s="24"/>
      <c r="V14983" s="24"/>
      <c r="W14983" s="24"/>
      <c r="X14983" s="24"/>
      <c r="Y14983" s="24"/>
      <c r="Z14983" s="24"/>
      <c r="AA14983" s="24"/>
    </row>
    <row r="14984">
      <c r="A14984" s="24"/>
      <c r="B14984" s="25"/>
      <c r="C14984" s="24"/>
      <c r="D14984" s="26"/>
      <c r="E14984" s="24"/>
      <c r="F14984" s="24"/>
      <c r="G14984" s="24"/>
      <c r="H14984" s="24"/>
      <c r="I14984" s="24"/>
      <c r="J14984" s="24"/>
      <c r="K14984" s="24"/>
      <c r="L14984" s="24"/>
      <c r="M14984" s="24"/>
      <c r="N14984" s="24"/>
      <c r="O14984" s="24"/>
      <c r="P14984" s="24"/>
      <c r="Q14984" s="24"/>
      <c r="R14984" s="24"/>
      <c r="S14984" s="24"/>
      <c r="T14984" s="24"/>
      <c r="U14984" s="24"/>
      <c r="V14984" s="24"/>
      <c r="W14984" s="24"/>
      <c r="X14984" s="24"/>
      <c r="Y14984" s="24"/>
      <c r="Z14984" s="24"/>
      <c r="AA14984" s="24"/>
    </row>
    <row r="14985">
      <c r="A14985" s="24"/>
      <c r="B14985" s="25"/>
      <c r="C14985" s="24"/>
      <c r="D14985" s="26"/>
      <c r="E14985" s="24"/>
      <c r="F14985" s="24"/>
      <c r="G14985" s="24"/>
      <c r="H14985" s="24"/>
      <c r="I14985" s="24"/>
      <c r="J14985" s="24"/>
      <c r="K14985" s="24"/>
      <c r="L14985" s="24"/>
      <c r="M14985" s="24"/>
      <c r="N14985" s="24"/>
      <c r="O14985" s="24"/>
      <c r="P14985" s="24"/>
      <c r="Q14985" s="24"/>
      <c r="R14985" s="24"/>
      <c r="S14985" s="24"/>
      <c r="T14985" s="24"/>
      <c r="U14985" s="24"/>
      <c r="V14985" s="24"/>
      <c r="W14985" s="24"/>
      <c r="X14985" s="24"/>
      <c r="Y14985" s="24"/>
      <c r="Z14985" s="24"/>
      <c r="AA14985" s="24"/>
    </row>
    <row r="14986">
      <c r="A14986" s="24"/>
      <c r="B14986" s="25"/>
      <c r="C14986" s="24"/>
      <c r="D14986" s="26"/>
      <c r="E14986" s="24"/>
      <c r="F14986" s="24"/>
      <c r="G14986" s="24"/>
      <c r="H14986" s="24"/>
      <c r="I14986" s="24"/>
      <c r="J14986" s="24"/>
      <c r="K14986" s="24"/>
      <c r="L14986" s="24"/>
      <c r="M14986" s="24"/>
      <c r="N14986" s="24"/>
      <c r="O14986" s="24"/>
      <c r="P14986" s="24"/>
      <c r="Q14986" s="24"/>
      <c r="R14986" s="24"/>
      <c r="S14986" s="24"/>
      <c r="T14986" s="24"/>
      <c r="U14986" s="24"/>
      <c r="V14986" s="24"/>
      <c r="W14986" s="24"/>
      <c r="X14986" s="24"/>
      <c r="Y14986" s="24"/>
      <c r="Z14986" s="24"/>
      <c r="AA14986" s="24"/>
    </row>
    <row r="14987">
      <c r="A14987" s="24"/>
      <c r="B14987" s="25"/>
      <c r="C14987" s="24"/>
      <c r="D14987" s="26"/>
      <c r="E14987" s="24"/>
      <c r="F14987" s="24"/>
      <c r="G14987" s="24"/>
      <c r="H14987" s="24"/>
      <c r="I14987" s="24"/>
      <c r="J14987" s="24"/>
      <c r="K14987" s="24"/>
      <c r="L14987" s="24"/>
      <c r="M14987" s="24"/>
      <c r="N14987" s="24"/>
      <c r="O14987" s="24"/>
      <c r="P14987" s="24"/>
      <c r="Q14987" s="24"/>
      <c r="R14987" s="24"/>
      <c r="S14987" s="24"/>
      <c r="T14987" s="24"/>
      <c r="U14987" s="24"/>
      <c r="V14987" s="24"/>
      <c r="W14987" s="24"/>
      <c r="X14987" s="24"/>
      <c r="Y14987" s="24"/>
      <c r="Z14987" s="24"/>
      <c r="AA14987" s="24"/>
    </row>
    <row r="14988">
      <c r="A14988" s="24"/>
      <c r="B14988" s="25"/>
      <c r="C14988" s="24"/>
      <c r="D14988" s="26"/>
      <c r="E14988" s="24"/>
      <c r="F14988" s="24"/>
      <c r="G14988" s="24"/>
      <c r="H14988" s="24"/>
      <c r="I14988" s="24"/>
      <c r="J14988" s="24"/>
      <c r="K14988" s="24"/>
      <c r="L14988" s="24"/>
      <c r="M14988" s="24"/>
      <c r="N14988" s="24"/>
      <c r="O14988" s="24"/>
      <c r="P14988" s="24"/>
      <c r="Q14988" s="24"/>
      <c r="R14988" s="24"/>
      <c r="S14988" s="24"/>
      <c r="T14988" s="24"/>
      <c r="U14988" s="24"/>
      <c r="V14988" s="24"/>
      <c r="W14988" s="24"/>
      <c r="X14988" s="24"/>
      <c r="Y14988" s="24"/>
      <c r="Z14988" s="24"/>
      <c r="AA14988" s="24"/>
    </row>
    <row r="14989">
      <c r="A14989" s="24"/>
      <c r="B14989" s="25"/>
      <c r="C14989" s="24"/>
      <c r="D14989" s="26"/>
      <c r="E14989" s="24"/>
      <c r="F14989" s="24"/>
      <c r="G14989" s="24"/>
      <c r="H14989" s="24"/>
      <c r="I14989" s="24"/>
      <c r="J14989" s="24"/>
      <c r="K14989" s="24"/>
      <c r="L14989" s="24"/>
      <c r="M14989" s="24"/>
      <c r="N14989" s="24"/>
      <c r="O14989" s="24"/>
      <c r="P14989" s="24"/>
      <c r="Q14989" s="24"/>
      <c r="R14989" s="24"/>
      <c r="S14989" s="24"/>
      <c r="T14989" s="24"/>
      <c r="U14989" s="24"/>
      <c r="V14989" s="24"/>
      <c r="W14989" s="24"/>
      <c r="X14989" s="24"/>
      <c r="Y14989" s="24"/>
      <c r="Z14989" s="24"/>
      <c r="AA14989" s="24"/>
    </row>
    <row r="14990">
      <c r="A14990" s="24"/>
      <c r="B14990" s="25"/>
      <c r="C14990" s="24"/>
      <c r="D14990" s="26"/>
      <c r="E14990" s="24"/>
      <c r="F14990" s="24"/>
      <c r="G14990" s="24"/>
      <c r="H14990" s="24"/>
      <c r="I14990" s="24"/>
      <c r="J14990" s="24"/>
      <c r="K14990" s="24"/>
      <c r="L14990" s="24"/>
      <c r="M14990" s="24"/>
      <c r="N14990" s="24"/>
      <c r="O14990" s="24"/>
      <c r="P14990" s="24"/>
      <c r="Q14990" s="24"/>
      <c r="R14990" s="24"/>
      <c r="S14990" s="24"/>
      <c r="T14990" s="24"/>
      <c r="U14990" s="24"/>
      <c r="V14990" s="24"/>
      <c r="W14990" s="24"/>
      <c r="X14990" s="24"/>
      <c r="Y14990" s="24"/>
      <c r="Z14990" s="24"/>
      <c r="AA14990" s="24"/>
    </row>
    <row r="14991">
      <c r="A14991" s="24"/>
      <c r="B14991" s="25"/>
      <c r="C14991" s="24"/>
      <c r="D14991" s="26"/>
      <c r="E14991" s="24"/>
      <c r="F14991" s="24"/>
      <c r="G14991" s="24"/>
      <c r="H14991" s="24"/>
      <c r="I14991" s="24"/>
      <c r="J14991" s="24"/>
      <c r="K14991" s="24"/>
      <c r="L14991" s="24"/>
      <c r="M14991" s="24"/>
      <c r="N14991" s="24"/>
      <c r="O14991" s="24"/>
      <c r="P14991" s="24"/>
      <c r="Q14991" s="24"/>
      <c r="R14991" s="24"/>
      <c r="S14991" s="24"/>
      <c r="T14991" s="24"/>
      <c r="U14991" s="24"/>
      <c r="V14991" s="24"/>
      <c r="W14991" s="24"/>
      <c r="X14991" s="24"/>
      <c r="Y14991" s="24"/>
      <c r="Z14991" s="24"/>
      <c r="AA14991" s="24"/>
    </row>
    <row r="14992">
      <c r="A14992" s="24"/>
      <c r="B14992" s="25"/>
      <c r="C14992" s="24"/>
      <c r="D14992" s="26"/>
      <c r="E14992" s="24"/>
      <c r="F14992" s="24"/>
      <c r="G14992" s="24"/>
      <c r="H14992" s="24"/>
      <c r="I14992" s="24"/>
      <c r="J14992" s="24"/>
      <c r="K14992" s="24"/>
      <c r="L14992" s="24"/>
      <c r="M14992" s="24"/>
      <c r="N14992" s="24"/>
      <c r="O14992" s="24"/>
      <c r="P14992" s="24"/>
      <c r="Q14992" s="24"/>
      <c r="R14992" s="24"/>
      <c r="S14992" s="24"/>
      <c r="T14992" s="24"/>
      <c r="U14992" s="24"/>
      <c r="V14992" s="24"/>
      <c r="W14992" s="24"/>
      <c r="X14992" s="24"/>
      <c r="Y14992" s="24"/>
      <c r="Z14992" s="24"/>
      <c r="AA14992" s="24"/>
    </row>
    <row r="14993">
      <c r="A14993" s="24"/>
      <c r="B14993" s="25"/>
      <c r="C14993" s="24"/>
      <c r="D14993" s="26"/>
      <c r="E14993" s="24"/>
      <c r="F14993" s="24"/>
      <c r="G14993" s="24"/>
      <c r="H14993" s="24"/>
      <c r="I14993" s="24"/>
      <c r="J14993" s="24"/>
      <c r="K14993" s="24"/>
      <c r="L14993" s="24"/>
      <c r="M14993" s="24"/>
      <c r="N14993" s="24"/>
      <c r="O14993" s="24"/>
      <c r="P14993" s="24"/>
      <c r="Q14993" s="24"/>
      <c r="R14993" s="24"/>
      <c r="S14993" s="24"/>
      <c r="T14993" s="24"/>
      <c r="U14993" s="24"/>
      <c r="V14993" s="24"/>
      <c r="W14993" s="24"/>
      <c r="X14993" s="24"/>
      <c r="Y14993" s="24"/>
      <c r="Z14993" s="24"/>
      <c r="AA14993" s="24"/>
    </row>
    <row r="14994">
      <c r="A14994" s="24"/>
      <c r="B14994" s="25"/>
      <c r="C14994" s="24"/>
      <c r="D14994" s="26"/>
      <c r="E14994" s="24"/>
      <c r="F14994" s="24"/>
      <c r="G14994" s="24"/>
      <c r="H14994" s="24"/>
      <c r="I14994" s="24"/>
      <c r="J14994" s="24"/>
      <c r="K14994" s="24"/>
      <c r="L14994" s="24"/>
      <c r="M14994" s="24"/>
      <c r="N14994" s="24"/>
      <c r="O14994" s="24"/>
      <c r="P14994" s="24"/>
      <c r="Q14994" s="24"/>
      <c r="R14994" s="24"/>
      <c r="S14994" s="24"/>
      <c r="T14994" s="24"/>
      <c r="U14994" s="24"/>
      <c r="V14994" s="24"/>
      <c r="W14994" s="24"/>
      <c r="X14994" s="24"/>
      <c r="Y14994" s="24"/>
      <c r="Z14994" s="24"/>
      <c r="AA14994" s="24"/>
    </row>
    <row r="14995">
      <c r="A14995" s="24"/>
      <c r="B14995" s="25"/>
      <c r="C14995" s="24"/>
      <c r="D14995" s="26"/>
      <c r="E14995" s="24"/>
      <c r="F14995" s="24"/>
      <c r="G14995" s="24"/>
      <c r="H14995" s="24"/>
      <c r="I14995" s="24"/>
      <c r="J14995" s="24"/>
      <c r="K14995" s="24"/>
      <c r="L14995" s="24"/>
      <c r="M14995" s="24"/>
      <c r="N14995" s="24"/>
      <c r="O14995" s="24"/>
      <c r="P14995" s="24"/>
      <c r="Q14995" s="24"/>
      <c r="R14995" s="24"/>
      <c r="S14995" s="24"/>
      <c r="T14995" s="24"/>
      <c r="U14995" s="24"/>
      <c r="V14995" s="24"/>
      <c r="W14995" s="24"/>
      <c r="X14995" s="24"/>
      <c r="Y14995" s="24"/>
      <c r="Z14995" s="24"/>
      <c r="AA14995" s="24"/>
    </row>
    <row r="14996">
      <c r="A14996" s="24"/>
      <c r="B14996" s="25"/>
      <c r="C14996" s="24"/>
      <c r="D14996" s="26"/>
      <c r="E14996" s="24"/>
      <c r="F14996" s="24"/>
      <c r="G14996" s="24"/>
      <c r="H14996" s="24"/>
      <c r="I14996" s="24"/>
      <c r="J14996" s="24"/>
      <c r="K14996" s="24"/>
      <c r="L14996" s="24"/>
      <c r="M14996" s="24"/>
      <c r="N14996" s="24"/>
      <c r="O14996" s="24"/>
      <c r="P14996" s="24"/>
      <c r="Q14996" s="24"/>
      <c r="R14996" s="24"/>
      <c r="S14996" s="24"/>
      <c r="T14996" s="24"/>
      <c r="U14996" s="24"/>
      <c r="V14996" s="24"/>
      <c r="W14996" s="24"/>
      <c r="X14996" s="24"/>
      <c r="Y14996" s="24"/>
      <c r="Z14996" s="24"/>
      <c r="AA14996" s="24"/>
    </row>
    <row r="14997">
      <c r="A14997" s="24"/>
      <c r="B14997" s="25"/>
      <c r="C14997" s="24"/>
      <c r="D14997" s="26"/>
      <c r="E14997" s="24"/>
      <c r="F14997" s="24"/>
      <c r="G14997" s="24"/>
      <c r="H14997" s="24"/>
      <c r="I14997" s="24"/>
      <c r="J14997" s="24"/>
      <c r="K14997" s="24"/>
      <c r="L14997" s="24"/>
      <c r="M14997" s="24"/>
      <c r="N14997" s="24"/>
      <c r="O14997" s="24"/>
      <c r="P14997" s="24"/>
      <c r="Q14997" s="24"/>
      <c r="R14997" s="24"/>
      <c r="S14997" s="24"/>
      <c r="T14997" s="24"/>
      <c r="U14997" s="24"/>
      <c r="V14997" s="24"/>
      <c r="W14997" s="24"/>
      <c r="X14997" s="24"/>
      <c r="Y14997" s="24"/>
      <c r="Z14997" s="24"/>
      <c r="AA14997" s="24"/>
    </row>
    <row r="14998">
      <c r="A14998" s="24"/>
      <c r="B14998" s="25"/>
      <c r="C14998" s="24"/>
      <c r="D14998" s="26"/>
      <c r="E14998" s="24"/>
      <c r="F14998" s="24"/>
      <c r="G14998" s="24"/>
      <c r="H14998" s="24"/>
      <c r="I14998" s="24"/>
      <c r="J14998" s="24"/>
      <c r="K14998" s="24"/>
      <c r="L14998" s="24"/>
      <c r="M14998" s="24"/>
      <c r="N14998" s="24"/>
      <c r="O14998" s="24"/>
      <c r="P14998" s="24"/>
      <c r="Q14998" s="24"/>
      <c r="R14998" s="24"/>
      <c r="S14998" s="24"/>
      <c r="T14998" s="24"/>
      <c r="U14998" s="24"/>
      <c r="V14998" s="24"/>
      <c r="W14998" s="24"/>
      <c r="X14998" s="24"/>
      <c r="Y14998" s="24"/>
      <c r="Z14998" s="24"/>
      <c r="AA14998" s="24"/>
    </row>
    <row r="14999">
      <c r="A14999" s="24"/>
      <c r="B14999" s="25"/>
      <c r="C14999" s="24"/>
      <c r="D14999" s="26"/>
      <c r="E14999" s="24"/>
      <c r="F14999" s="24"/>
      <c r="G14999" s="24"/>
      <c r="H14999" s="24"/>
      <c r="I14999" s="24"/>
      <c r="J14999" s="24"/>
      <c r="K14999" s="24"/>
      <c r="L14999" s="24"/>
      <c r="M14999" s="24"/>
      <c r="N14999" s="24"/>
      <c r="O14999" s="24"/>
      <c r="P14999" s="24"/>
      <c r="Q14999" s="24"/>
      <c r="R14999" s="24"/>
      <c r="S14999" s="24"/>
      <c r="T14999" s="24"/>
      <c r="U14999" s="24"/>
      <c r="V14999" s="24"/>
      <c r="W14999" s="24"/>
      <c r="X14999" s="24"/>
      <c r="Y14999" s="24"/>
      <c r="Z14999" s="24"/>
      <c r="AA14999" s="24"/>
    </row>
    <row r="15000">
      <c r="A15000" s="24"/>
      <c r="B15000" s="25"/>
      <c r="C15000" s="24"/>
      <c r="D15000" s="26"/>
      <c r="E15000" s="24"/>
      <c r="F15000" s="24"/>
      <c r="G15000" s="24"/>
      <c r="H15000" s="24"/>
      <c r="I15000" s="24"/>
      <c r="J15000" s="24"/>
      <c r="K15000" s="24"/>
      <c r="L15000" s="24"/>
      <c r="M15000" s="24"/>
      <c r="N15000" s="24"/>
      <c r="O15000" s="24"/>
      <c r="P15000" s="24"/>
      <c r="Q15000" s="24"/>
      <c r="R15000" s="24"/>
      <c r="S15000" s="24"/>
      <c r="T15000" s="24"/>
      <c r="U15000" s="24"/>
      <c r="V15000" s="24"/>
      <c r="W15000" s="24"/>
      <c r="X15000" s="24"/>
      <c r="Y15000" s="24"/>
      <c r="Z15000" s="24"/>
      <c r="AA15000" s="24"/>
    </row>
    <row r="15001">
      <c r="A15001" s="24"/>
      <c r="B15001" s="25"/>
      <c r="C15001" s="24"/>
      <c r="D15001" s="26"/>
      <c r="E15001" s="24"/>
      <c r="F15001" s="24"/>
      <c r="G15001" s="24"/>
      <c r="H15001" s="24"/>
      <c r="I15001" s="24"/>
      <c r="J15001" s="24"/>
      <c r="K15001" s="24"/>
      <c r="L15001" s="24"/>
      <c r="M15001" s="24"/>
      <c r="N15001" s="24"/>
      <c r="O15001" s="24"/>
      <c r="P15001" s="24"/>
      <c r="Q15001" s="24"/>
      <c r="R15001" s="24"/>
      <c r="S15001" s="24"/>
      <c r="T15001" s="24"/>
      <c r="U15001" s="24"/>
      <c r="V15001" s="24"/>
      <c r="W15001" s="24"/>
      <c r="X15001" s="24"/>
      <c r="Y15001" s="24"/>
      <c r="Z15001" s="24"/>
      <c r="AA15001" s="24"/>
    </row>
    <row r="15002">
      <c r="A15002" s="24"/>
      <c r="B15002" s="25"/>
      <c r="C15002" s="24"/>
      <c r="D15002" s="26"/>
      <c r="E15002" s="24"/>
      <c r="F15002" s="24"/>
      <c r="G15002" s="24"/>
      <c r="H15002" s="24"/>
      <c r="I15002" s="24"/>
      <c r="J15002" s="24"/>
      <c r="K15002" s="24"/>
      <c r="L15002" s="24"/>
      <c r="M15002" s="24"/>
      <c r="N15002" s="24"/>
      <c r="O15002" s="24"/>
      <c r="P15002" s="24"/>
      <c r="Q15002" s="24"/>
      <c r="R15002" s="24"/>
      <c r="S15002" s="24"/>
      <c r="T15002" s="24"/>
      <c r="U15002" s="24"/>
      <c r="V15002" s="24"/>
      <c r="W15002" s="24"/>
      <c r="X15002" s="24"/>
      <c r="Y15002" s="24"/>
      <c r="Z15002" s="24"/>
      <c r="AA15002" s="24"/>
    </row>
    <row r="15003">
      <c r="A15003" s="24"/>
      <c r="B15003" s="25"/>
      <c r="C15003" s="24"/>
      <c r="D15003" s="26"/>
      <c r="E15003" s="24"/>
      <c r="F15003" s="24"/>
      <c r="G15003" s="24"/>
      <c r="H15003" s="24"/>
      <c r="I15003" s="24"/>
      <c r="J15003" s="24"/>
      <c r="K15003" s="24"/>
      <c r="L15003" s="24"/>
      <c r="M15003" s="24"/>
      <c r="N15003" s="24"/>
      <c r="O15003" s="24"/>
      <c r="P15003" s="24"/>
      <c r="Q15003" s="24"/>
      <c r="R15003" s="24"/>
      <c r="S15003" s="24"/>
      <c r="T15003" s="24"/>
      <c r="U15003" s="24"/>
      <c r="V15003" s="24"/>
      <c r="W15003" s="24"/>
      <c r="X15003" s="24"/>
      <c r="Y15003" s="24"/>
      <c r="Z15003" s="24"/>
      <c r="AA15003" s="24"/>
    </row>
    <row r="15004">
      <c r="A15004" s="24"/>
      <c r="B15004" s="25"/>
      <c r="C15004" s="24"/>
      <c r="D15004" s="26"/>
      <c r="E15004" s="24"/>
      <c r="F15004" s="24"/>
      <c r="G15004" s="24"/>
      <c r="H15004" s="24"/>
      <c r="I15004" s="24"/>
      <c r="J15004" s="24"/>
      <c r="K15004" s="24"/>
      <c r="L15004" s="24"/>
      <c r="M15004" s="24"/>
      <c r="N15004" s="24"/>
      <c r="O15004" s="24"/>
      <c r="P15004" s="24"/>
      <c r="Q15004" s="24"/>
      <c r="R15004" s="24"/>
      <c r="S15004" s="24"/>
      <c r="T15004" s="24"/>
      <c r="U15004" s="24"/>
      <c r="V15004" s="24"/>
      <c r="W15004" s="24"/>
      <c r="X15004" s="24"/>
      <c r="Y15004" s="24"/>
      <c r="Z15004" s="24"/>
      <c r="AA15004" s="24"/>
    </row>
    <row r="15005">
      <c r="A15005" s="24"/>
      <c r="B15005" s="25"/>
      <c r="C15005" s="24"/>
      <c r="D15005" s="26"/>
      <c r="E15005" s="24"/>
      <c r="F15005" s="24"/>
      <c r="G15005" s="24"/>
      <c r="H15005" s="24"/>
      <c r="I15005" s="24"/>
      <c r="J15005" s="24"/>
      <c r="K15005" s="24"/>
      <c r="L15005" s="24"/>
      <c r="M15005" s="24"/>
      <c r="N15005" s="24"/>
      <c r="O15005" s="24"/>
      <c r="P15005" s="24"/>
      <c r="Q15005" s="24"/>
      <c r="R15005" s="24"/>
      <c r="S15005" s="24"/>
      <c r="T15005" s="24"/>
      <c r="U15005" s="24"/>
      <c r="V15005" s="24"/>
      <c r="W15005" s="24"/>
      <c r="X15005" s="24"/>
      <c r="Y15005" s="24"/>
      <c r="Z15005" s="24"/>
      <c r="AA15005" s="24"/>
    </row>
    <row r="15006">
      <c r="A15006" s="24"/>
      <c r="B15006" s="25"/>
      <c r="C15006" s="24"/>
      <c r="D15006" s="26"/>
      <c r="E15006" s="24"/>
      <c r="F15006" s="24"/>
      <c r="G15006" s="24"/>
      <c r="H15006" s="24"/>
      <c r="I15006" s="24"/>
      <c r="J15006" s="24"/>
      <c r="K15006" s="24"/>
      <c r="L15006" s="24"/>
      <c r="M15006" s="24"/>
      <c r="N15006" s="24"/>
      <c r="O15006" s="24"/>
      <c r="P15006" s="24"/>
      <c r="Q15006" s="24"/>
      <c r="R15006" s="24"/>
      <c r="S15006" s="24"/>
      <c r="T15006" s="24"/>
      <c r="U15006" s="24"/>
      <c r="V15006" s="24"/>
      <c r="W15006" s="24"/>
      <c r="X15006" s="24"/>
      <c r="Y15006" s="24"/>
      <c r="Z15006" s="24"/>
      <c r="AA15006" s="24"/>
    </row>
    <row r="15007">
      <c r="A15007" s="24"/>
      <c r="B15007" s="25"/>
      <c r="C15007" s="24"/>
      <c r="D15007" s="26"/>
      <c r="E15007" s="24"/>
      <c r="F15007" s="24"/>
      <c r="G15007" s="24"/>
      <c r="H15007" s="24"/>
      <c r="I15007" s="24"/>
      <c r="J15007" s="24"/>
      <c r="K15007" s="24"/>
      <c r="L15007" s="24"/>
      <c r="M15007" s="24"/>
      <c r="N15007" s="24"/>
      <c r="O15007" s="24"/>
      <c r="P15007" s="24"/>
      <c r="Q15007" s="24"/>
      <c r="R15007" s="24"/>
      <c r="S15007" s="24"/>
      <c r="T15007" s="24"/>
      <c r="U15007" s="24"/>
      <c r="V15007" s="24"/>
      <c r="W15007" s="24"/>
      <c r="X15007" s="24"/>
      <c r="Y15007" s="24"/>
      <c r="Z15007" s="24"/>
      <c r="AA15007" s="24"/>
    </row>
    <row r="15008">
      <c r="A15008" s="24"/>
      <c r="B15008" s="25"/>
      <c r="C15008" s="24"/>
      <c r="D15008" s="26"/>
      <c r="E15008" s="24"/>
      <c r="F15008" s="24"/>
      <c r="G15008" s="24"/>
      <c r="H15008" s="24"/>
      <c r="I15008" s="24"/>
      <c r="J15008" s="24"/>
      <c r="K15008" s="24"/>
      <c r="L15008" s="24"/>
      <c r="M15008" s="24"/>
      <c r="N15008" s="24"/>
      <c r="O15008" s="24"/>
      <c r="P15008" s="24"/>
      <c r="Q15008" s="24"/>
      <c r="R15008" s="24"/>
      <c r="S15008" s="24"/>
      <c r="T15008" s="24"/>
      <c r="U15008" s="24"/>
      <c r="V15008" s="24"/>
      <c r="W15008" s="24"/>
      <c r="X15008" s="24"/>
      <c r="Y15008" s="24"/>
      <c r="Z15008" s="24"/>
      <c r="AA15008" s="24"/>
    </row>
    <row r="15009">
      <c r="A15009" s="24"/>
      <c r="B15009" s="25"/>
      <c r="C15009" s="24"/>
      <c r="D15009" s="26"/>
      <c r="E15009" s="24"/>
      <c r="F15009" s="24"/>
      <c r="G15009" s="24"/>
      <c r="H15009" s="24"/>
      <c r="I15009" s="24"/>
      <c r="J15009" s="24"/>
      <c r="K15009" s="24"/>
      <c r="L15009" s="24"/>
      <c r="M15009" s="24"/>
      <c r="N15009" s="24"/>
      <c r="O15009" s="24"/>
      <c r="P15009" s="24"/>
      <c r="Q15009" s="24"/>
      <c r="R15009" s="24"/>
      <c r="S15009" s="24"/>
      <c r="T15009" s="24"/>
      <c r="U15009" s="24"/>
      <c r="V15009" s="24"/>
      <c r="W15009" s="24"/>
      <c r="X15009" s="24"/>
      <c r="Y15009" s="24"/>
      <c r="Z15009" s="24"/>
      <c r="AA15009" s="24"/>
    </row>
    <row r="15010">
      <c r="A15010" s="24"/>
      <c r="B15010" s="25"/>
      <c r="C15010" s="24"/>
      <c r="D15010" s="26"/>
      <c r="E15010" s="24"/>
      <c r="F15010" s="24"/>
      <c r="G15010" s="24"/>
      <c r="H15010" s="24"/>
      <c r="I15010" s="24"/>
      <c r="J15010" s="24"/>
      <c r="K15010" s="24"/>
      <c r="L15010" s="24"/>
      <c r="M15010" s="24"/>
      <c r="N15010" s="24"/>
      <c r="O15010" s="24"/>
      <c r="P15010" s="24"/>
      <c r="Q15010" s="24"/>
      <c r="R15010" s="24"/>
      <c r="S15010" s="24"/>
      <c r="T15010" s="24"/>
      <c r="U15010" s="24"/>
      <c r="V15010" s="24"/>
      <c r="W15010" s="24"/>
      <c r="X15010" s="24"/>
      <c r="Y15010" s="24"/>
      <c r="Z15010" s="24"/>
      <c r="AA15010" s="24"/>
    </row>
    <row r="15011">
      <c r="A15011" s="24"/>
      <c r="B15011" s="25"/>
      <c r="C15011" s="24"/>
      <c r="D15011" s="26"/>
      <c r="E15011" s="24"/>
      <c r="F15011" s="24"/>
      <c r="G15011" s="24"/>
      <c r="H15011" s="24"/>
      <c r="I15011" s="24"/>
      <c r="J15011" s="24"/>
      <c r="K15011" s="24"/>
      <c r="L15011" s="24"/>
      <c r="M15011" s="24"/>
      <c r="N15011" s="24"/>
      <c r="O15011" s="24"/>
      <c r="P15011" s="24"/>
      <c r="Q15011" s="24"/>
      <c r="R15011" s="24"/>
      <c r="S15011" s="24"/>
      <c r="T15011" s="24"/>
      <c r="U15011" s="24"/>
      <c r="V15011" s="24"/>
      <c r="W15011" s="24"/>
      <c r="X15011" s="24"/>
      <c r="Y15011" s="24"/>
      <c r="Z15011" s="24"/>
      <c r="AA15011" s="24"/>
    </row>
    <row r="15012">
      <c r="A15012" s="24"/>
      <c r="B15012" s="25"/>
      <c r="C15012" s="24"/>
      <c r="D15012" s="26"/>
      <c r="E15012" s="24"/>
      <c r="F15012" s="24"/>
      <c r="G15012" s="24"/>
      <c r="H15012" s="24"/>
      <c r="I15012" s="24"/>
      <c r="J15012" s="24"/>
      <c r="K15012" s="24"/>
      <c r="L15012" s="24"/>
      <c r="M15012" s="24"/>
      <c r="N15012" s="24"/>
      <c r="O15012" s="24"/>
      <c r="P15012" s="24"/>
      <c r="Q15012" s="24"/>
      <c r="R15012" s="24"/>
      <c r="S15012" s="24"/>
      <c r="T15012" s="24"/>
      <c r="U15012" s="24"/>
      <c r="V15012" s="24"/>
      <c r="W15012" s="24"/>
      <c r="X15012" s="24"/>
      <c r="Y15012" s="24"/>
      <c r="Z15012" s="24"/>
      <c r="AA15012" s="24"/>
    </row>
    <row r="15013">
      <c r="A15013" s="24"/>
      <c r="B15013" s="25"/>
      <c r="C15013" s="24"/>
      <c r="D15013" s="26"/>
      <c r="E15013" s="24"/>
      <c r="F15013" s="24"/>
      <c r="G15013" s="24"/>
      <c r="H15013" s="24"/>
      <c r="I15013" s="24"/>
      <c r="J15013" s="24"/>
      <c r="K15013" s="24"/>
      <c r="L15013" s="24"/>
      <c r="M15013" s="24"/>
      <c r="N15013" s="24"/>
      <c r="O15013" s="24"/>
      <c r="P15013" s="24"/>
      <c r="Q15013" s="24"/>
      <c r="R15013" s="24"/>
      <c r="S15013" s="24"/>
      <c r="T15013" s="24"/>
      <c r="U15013" s="24"/>
      <c r="V15013" s="24"/>
      <c r="W15013" s="24"/>
      <c r="X15013" s="24"/>
      <c r="Y15013" s="24"/>
      <c r="Z15013" s="24"/>
      <c r="AA15013" s="24"/>
    </row>
    <row r="15014">
      <c r="A15014" s="24"/>
      <c r="B15014" s="25"/>
      <c r="C15014" s="24"/>
      <c r="D15014" s="26"/>
      <c r="E15014" s="24"/>
      <c r="F15014" s="24"/>
      <c r="G15014" s="24"/>
      <c r="H15014" s="24"/>
      <c r="I15014" s="24"/>
      <c r="J15014" s="24"/>
      <c r="K15014" s="24"/>
      <c r="L15014" s="24"/>
      <c r="M15014" s="24"/>
      <c r="N15014" s="24"/>
      <c r="O15014" s="24"/>
      <c r="P15014" s="24"/>
      <c r="Q15014" s="24"/>
      <c r="R15014" s="24"/>
      <c r="S15014" s="24"/>
      <c r="T15014" s="24"/>
      <c r="U15014" s="24"/>
      <c r="V15014" s="24"/>
      <c r="W15014" s="24"/>
      <c r="X15014" s="24"/>
      <c r="Y15014" s="24"/>
      <c r="Z15014" s="24"/>
      <c r="AA15014" s="24"/>
    </row>
    <row r="15015">
      <c r="A15015" s="24"/>
      <c r="B15015" s="25"/>
      <c r="C15015" s="24"/>
      <c r="D15015" s="26"/>
      <c r="E15015" s="24"/>
      <c r="F15015" s="24"/>
      <c r="G15015" s="24"/>
      <c r="H15015" s="24"/>
      <c r="I15015" s="24"/>
      <c r="J15015" s="24"/>
      <c r="K15015" s="24"/>
      <c r="L15015" s="24"/>
      <c r="M15015" s="24"/>
      <c r="N15015" s="24"/>
      <c r="O15015" s="24"/>
      <c r="P15015" s="24"/>
      <c r="Q15015" s="24"/>
      <c r="R15015" s="24"/>
      <c r="S15015" s="24"/>
      <c r="T15015" s="24"/>
      <c r="U15015" s="24"/>
      <c r="V15015" s="24"/>
      <c r="W15015" s="24"/>
      <c r="X15015" s="24"/>
      <c r="Y15015" s="24"/>
      <c r="Z15015" s="24"/>
      <c r="AA15015" s="24"/>
    </row>
    <row r="15016">
      <c r="A15016" s="24"/>
      <c r="B15016" s="25"/>
      <c r="C15016" s="24"/>
      <c r="D15016" s="26"/>
      <c r="E15016" s="24"/>
      <c r="F15016" s="24"/>
      <c r="G15016" s="24"/>
      <c r="H15016" s="24"/>
      <c r="I15016" s="24"/>
      <c r="J15016" s="24"/>
      <c r="K15016" s="24"/>
      <c r="L15016" s="24"/>
      <c r="M15016" s="24"/>
      <c r="N15016" s="24"/>
      <c r="O15016" s="24"/>
      <c r="P15016" s="24"/>
      <c r="Q15016" s="24"/>
      <c r="R15016" s="24"/>
      <c r="S15016" s="24"/>
      <c r="T15016" s="24"/>
      <c r="U15016" s="24"/>
      <c r="V15016" s="24"/>
      <c r="W15016" s="24"/>
      <c r="X15016" s="24"/>
      <c r="Y15016" s="24"/>
      <c r="Z15016" s="24"/>
      <c r="AA15016" s="24"/>
    </row>
    <row r="15017">
      <c r="A15017" s="24"/>
      <c r="B15017" s="25"/>
      <c r="C15017" s="24"/>
      <c r="D15017" s="26"/>
      <c r="E15017" s="24"/>
      <c r="F15017" s="24"/>
      <c r="G15017" s="24"/>
      <c r="H15017" s="24"/>
      <c r="I15017" s="24"/>
      <c r="J15017" s="24"/>
      <c r="K15017" s="24"/>
      <c r="L15017" s="24"/>
      <c r="M15017" s="24"/>
      <c r="N15017" s="24"/>
      <c r="O15017" s="24"/>
      <c r="P15017" s="24"/>
      <c r="Q15017" s="24"/>
      <c r="R15017" s="24"/>
      <c r="S15017" s="24"/>
      <c r="T15017" s="24"/>
      <c r="U15017" s="24"/>
      <c r="V15017" s="24"/>
      <c r="W15017" s="24"/>
      <c r="X15017" s="24"/>
      <c r="Y15017" s="24"/>
      <c r="Z15017" s="24"/>
      <c r="AA15017" s="24"/>
    </row>
    <row r="15018">
      <c r="A15018" s="24"/>
      <c r="B15018" s="25"/>
      <c r="C15018" s="24"/>
      <c r="D15018" s="26"/>
      <c r="E15018" s="24"/>
      <c r="F15018" s="24"/>
      <c r="G15018" s="24"/>
      <c r="H15018" s="24"/>
      <c r="I15018" s="24"/>
      <c r="J15018" s="24"/>
      <c r="K15018" s="24"/>
      <c r="L15018" s="24"/>
      <c r="M15018" s="24"/>
      <c r="N15018" s="24"/>
      <c r="O15018" s="24"/>
      <c r="P15018" s="24"/>
      <c r="Q15018" s="24"/>
      <c r="R15018" s="24"/>
      <c r="S15018" s="24"/>
      <c r="T15018" s="24"/>
      <c r="U15018" s="24"/>
      <c r="V15018" s="24"/>
      <c r="W15018" s="24"/>
      <c r="X15018" s="24"/>
      <c r="Y15018" s="24"/>
      <c r="Z15018" s="24"/>
      <c r="AA15018" s="24"/>
    </row>
    <row r="15019">
      <c r="A15019" s="24"/>
      <c r="B15019" s="25"/>
      <c r="C15019" s="24"/>
      <c r="D15019" s="26"/>
      <c r="E15019" s="24"/>
      <c r="F15019" s="24"/>
      <c r="G15019" s="24"/>
      <c r="H15019" s="24"/>
      <c r="I15019" s="24"/>
      <c r="J15019" s="24"/>
      <c r="K15019" s="24"/>
      <c r="L15019" s="24"/>
      <c r="M15019" s="24"/>
      <c r="N15019" s="24"/>
      <c r="O15019" s="24"/>
      <c r="P15019" s="24"/>
      <c r="Q15019" s="24"/>
      <c r="R15019" s="24"/>
      <c r="S15019" s="24"/>
      <c r="T15019" s="24"/>
      <c r="U15019" s="24"/>
      <c r="V15019" s="24"/>
      <c r="W15019" s="24"/>
      <c r="X15019" s="24"/>
      <c r="Y15019" s="24"/>
      <c r="Z15019" s="24"/>
      <c r="AA15019" s="24"/>
    </row>
    <row r="15020">
      <c r="A15020" s="24"/>
      <c r="B15020" s="25"/>
      <c r="C15020" s="24"/>
      <c r="D15020" s="26"/>
      <c r="E15020" s="24"/>
      <c r="F15020" s="24"/>
      <c r="G15020" s="24"/>
      <c r="H15020" s="24"/>
      <c r="I15020" s="24"/>
      <c r="J15020" s="24"/>
      <c r="K15020" s="24"/>
      <c r="L15020" s="24"/>
      <c r="M15020" s="24"/>
      <c r="N15020" s="24"/>
      <c r="O15020" s="24"/>
      <c r="P15020" s="24"/>
      <c r="Q15020" s="24"/>
      <c r="R15020" s="24"/>
      <c r="S15020" s="24"/>
      <c r="T15020" s="24"/>
      <c r="U15020" s="24"/>
      <c r="V15020" s="24"/>
      <c r="W15020" s="24"/>
      <c r="X15020" s="24"/>
      <c r="Y15020" s="24"/>
      <c r="Z15020" s="24"/>
      <c r="AA15020" s="24"/>
    </row>
    <row r="15021">
      <c r="A15021" s="24"/>
      <c r="B15021" s="25"/>
      <c r="C15021" s="24"/>
      <c r="D15021" s="26"/>
      <c r="E15021" s="24"/>
      <c r="F15021" s="24"/>
      <c r="G15021" s="24"/>
      <c r="H15021" s="24"/>
      <c r="I15021" s="24"/>
      <c r="J15021" s="24"/>
      <c r="K15021" s="24"/>
      <c r="L15021" s="24"/>
      <c r="M15021" s="24"/>
      <c r="N15021" s="24"/>
      <c r="O15021" s="24"/>
      <c r="P15021" s="24"/>
      <c r="Q15021" s="24"/>
      <c r="R15021" s="24"/>
      <c r="S15021" s="24"/>
      <c r="T15021" s="24"/>
      <c r="U15021" s="24"/>
      <c r="V15021" s="24"/>
      <c r="W15021" s="24"/>
      <c r="X15021" s="24"/>
      <c r="Y15021" s="24"/>
      <c r="Z15021" s="24"/>
      <c r="AA15021" s="24"/>
    </row>
    <row r="15022">
      <c r="A15022" s="24"/>
      <c r="B15022" s="25"/>
      <c r="C15022" s="24"/>
      <c r="D15022" s="26"/>
      <c r="E15022" s="24"/>
      <c r="F15022" s="24"/>
      <c r="G15022" s="24"/>
      <c r="H15022" s="24"/>
      <c r="I15022" s="24"/>
      <c r="J15022" s="24"/>
      <c r="K15022" s="24"/>
      <c r="L15022" s="24"/>
      <c r="M15022" s="24"/>
      <c r="N15022" s="24"/>
      <c r="O15022" s="24"/>
      <c r="P15022" s="24"/>
      <c r="Q15022" s="24"/>
      <c r="R15022" s="24"/>
      <c r="S15022" s="24"/>
      <c r="T15022" s="24"/>
      <c r="U15022" s="24"/>
      <c r="V15022" s="24"/>
      <c r="W15022" s="24"/>
      <c r="X15022" s="24"/>
      <c r="Y15022" s="24"/>
      <c r="Z15022" s="24"/>
      <c r="AA15022" s="24"/>
    </row>
    <row r="15023">
      <c r="A15023" s="24"/>
      <c r="B15023" s="25"/>
      <c r="C15023" s="24"/>
      <c r="D15023" s="26"/>
      <c r="E15023" s="24"/>
      <c r="F15023" s="24"/>
      <c r="G15023" s="24"/>
      <c r="H15023" s="24"/>
      <c r="I15023" s="24"/>
      <c r="J15023" s="24"/>
      <c r="K15023" s="24"/>
      <c r="L15023" s="24"/>
      <c r="M15023" s="24"/>
      <c r="N15023" s="24"/>
      <c r="O15023" s="24"/>
      <c r="P15023" s="24"/>
      <c r="Q15023" s="24"/>
      <c r="R15023" s="24"/>
      <c r="S15023" s="24"/>
      <c r="T15023" s="24"/>
      <c r="U15023" s="24"/>
      <c r="V15023" s="24"/>
      <c r="W15023" s="24"/>
      <c r="X15023" s="24"/>
      <c r="Y15023" s="24"/>
      <c r="Z15023" s="24"/>
      <c r="AA15023" s="24"/>
    </row>
    <row r="15024">
      <c r="A15024" s="24"/>
      <c r="B15024" s="25"/>
      <c r="C15024" s="24"/>
      <c r="D15024" s="26"/>
      <c r="E15024" s="24"/>
      <c r="F15024" s="24"/>
      <c r="G15024" s="24"/>
      <c r="H15024" s="24"/>
      <c r="I15024" s="24"/>
      <c r="J15024" s="24"/>
      <c r="K15024" s="24"/>
      <c r="L15024" s="24"/>
      <c r="M15024" s="24"/>
      <c r="N15024" s="24"/>
      <c r="O15024" s="24"/>
      <c r="P15024" s="24"/>
      <c r="Q15024" s="24"/>
      <c r="R15024" s="24"/>
      <c r="S15024" s="24"/>
      <c r="T15024" s="24"/>
      <c r="U15024" s="24"/>
      <c r="V15024" s="24"/>
      <c r="W15024" s="24"/>
      <c r="X15024" s="24"/>
      <c r="Y15024" s="24"/>
      <c r="Z15024" s="24"/>
      <c r="AA15024" s="24"/>
    </row>
    <row r="15025">
      <c r="A15025" s="24"/>
      <c r="B15025" s="25"/>
      <c r="C15025" s="24"/>
      <c r="D15025" s="26"/>
      <c r="E15025" s="24"/>
      <c r="F15025" s="24"/>
      <c r="G15025" s="24"/>
      <c r="H15025" s="24"/>
      <c r="I15025" s="24"/>
      <c r="J15025" s="24"/>
      <c r="K15025" s="24"/>
      <c r="L15025" s="24"/>
      <c r="M15025" s="24"/>
      <c r="N15025" s="24"/>
      <c r="O15025" s="24"/>
      <c r="P15025" s="24"/>
      <c r="Q15025" s="24"/>
      <c r="R15025" s="24"/>
      <c r="S15025" s="24"/>
      <c r="T15025" s="24"/>
      <c r="U15025" s="24"/>
      <c r="V15025" s="24"/>
      <c r="W15025" s="24"/>
      <c r="X15025" s="24"/>
      <c r="Y15025" s="24"/>
      <c r="Z15025" s="24"/>
      <c r="AA15025" s="24"/>
    </row>
    <row r="15026">
      <c r="A15026" s="24"/>
      <c r="B15026" s="25"/>
      <c r="C15026" s="24"/>
      <c r="D15026" s="26"/>
      <c r="E15026" s="24"/>
      <c r="F15026" s="24"/>
      <c r="G15026" s="24"/>
      <c r="H15026" s="24"/>
      <c r="I15026" s="24"/>
      <c r="J15026" s="24"/>
      <c r="K15026" s="24"/>
      <c r="L15026" s="24"/>
      <c r="M15026" s="24"/>
      <c r="N15026" s="24"/>
      <c r="O15026" s="24"/>
      <c r="P15026" s="24"/>
      <c r="Q15026" s="24"/>
      <c r="R15026" s="24"/>
      <c r="S15026" s="24"/>
      <c r="T15026" s="24"/>
      <c r="U15026" s="24"/>
      <c r="V15026" s="24"/>
      <c r="W15026" s="24"/>
      <c r="X15026" s="24"/>
      <c r="Y15026" s="24"/>
      <c r="Z15026" s="24"/>
      <c r="AA15026" s="24"/>
    </row>
    <row r="15027">
      <c r="A15027" s="24"/>
      <c r="B15027" s="25"/>
      <c r="C15027" s="24"/>
      <c r="D15027" s="26"/>
      <c r="E15027" s="24"/>
      <c r="F15027" s="24"/>
      <c r="G15027" s="24"/>
      <c r="H15027" s="24"/>
      <c r="I15027" s="24"/>
      <c r="J15027" s="24"/>
      <c r="K15027" s="24"/>
      <c r="L15027" s="24"/>
      <c r="M15027" s="24"/>
      <c r="N15027" s="24"/>
      <c r="O15027" s="24"/>
      <c r="P15027" s="24"/>
      <c r="Q15027" s="24"/>
      <c r="R15027" s="24"/>
      <c r="S15027" s="24"/>
      <c r="T15027" s="24"/>
      <c r="U15027" s="24"/>
      <c r="V15027" s="24"/>
      <c r="W15027" s="24"/>
      <c r="X15027" s="24"/>
      <c r="Y15027" s="24"/>
      <c r="Z15027" s="24"/>
      <c r="AA15027" s="24"/>
    </row>
    <row r="15028">
      <c r="A15028" s="24"/>
      <c r="B15028" s="25"/>
      <c r="C15028" s="24"/>
      <c r="D15028" s="26"/>
      <c r="E15028" s="24"/>
      <c r="F15028" s="24"/>
      <c r="G15028" s="24"/>
      <c r="H15028" s="24"/>
      <c r="I15028" s="24"/>
      <c r="J15028" s="24"/>
      <c r="K15028" s="24"/>
      <c r="L15028" s="24"/>
      <c r="M15028" s="24"/>
      <c r="N15028" s="24"/>
      <c r="O15028" s="24"/>
      <c r="P15028" s="24"/>
      <c r="Q15028" s="24"/>
      <c r="R15028" s="24"/>
      <c r="S15028" s="24"/>
      <c r="T15028" s="24"/>
      <c r="U15028" s="24"/>
      <c r="V15028" s="24"/>
      <c r="W15028" s="24"/>
      <c r="X15028" s="24"/>
      <c r="Y15028" s="24"/>
      <c r="Z15028" s="24"/>
      <c r="AA15028" s="24"/>
    </row>
    <row r="15029">
      <c r="A15029" s="24"/>
      <c r="B15029" s="25"/>
      <c r="C15029" s="24"/>
      <c r="D15029" s="26"/>
      <c r="E15029" s="24"/>
      <c r="F15029" s="24"/>
      <c r="G15029" s="24"/>
      <c r="H15029" s="24"/>
      <c r="I15029" s="24"/>
      <c r="J15029" s="24"/>
      <c r="K15029" s="24"/>
      <c r="L15029" s="24"/>
      <c r="M15029" s="24"/>
      <c r="N15029" s="24"/>
      <c r="O15029" s="24"/>
      <c r="P15029" s="24"/>
      <c r="Q15029" s="24"/>
      <c r="R15029" s="24"/>
      <c r="S15029" s="24"/>
      <c r="T15029" s="24"/>
      <c r="U15029" s="24"/>
      <c r="V15029" s="24"/>
      <c r="W15029" s="24"/>
      <c r="X15029" s="24"/>
      <c r="Y15029" s="24"/>
      <c r="Z15029" s="24"/>
      <c r="AA15029" s="24"/>
    </row>
    <row r="15030">
      <c r="A15030" s="24"/>
      <c r="B15030" s="25"/>
      <c r="C15030" s="24"/>
      <c r="D15030" s="26"/>
      <c r="E15030" s="24"/>
      <c r="F15030" s="24"/>
      <c r="G15030" s="24"/>
      <c r="H15030" s="24"/>
      <c r="I15030" s="24"/>
      <c r="J15030" s="24"/>
      <c r="K15030" s="24"/>
      <c r="L15030" s="24"/>
      <c r="M15030" s="24"/>
      <c r="N15030" s="24"/>
      <c r="O15030" s="24"/>
      <c r="P15030" s="24"/>
      <c r="Q15030" s="24"/>
      <c r="R15030" s="24"/>
      <c r="S15030" s="24"/>
      <c r="T15030" s="24"/>
      <c r="U15030" s="24"/>
      <c r="V15030" s="24"/>
      <c r="W15030" s="24"/>
      <c r="X15030" s="24"/>
      <c r="Y15030" s="24"/>
      <c r="Z15030" s="24"/>
      <c r="AA15030" s="24"/>
    </row>
    <row r="15031">
      <c r="A15031" s="24"/>
      <c r="B15031" s="25"/>
      <c r="C15031" s="24"/>
      <c r="D15031" s="26"/>
      <c r="E15031" s="24"/>
      <c r="F15031" s="24"/>
      <c r="G15031" s="24"/>
      <c r="H15031" s="24"/>
      <c r="I15031" s="24"/>
      <c r="J15031" s="24"/>
      <c r="K15031" s="24"/>
      <c r="L15031" s="24"/>
      <c r="M15031" s="24"/>
      <c r="N15031" s="24"/>
      <c r="O15031" s="24"/>
      <c r="P15031" s="24"/>
      <c r="Q15031" s="24"/>
      <c r="R15031" s="24"/>
      <c r="S15031" s="24"/>
      <c r="T15031" s="24"/>
      <c r="U15031" s="24"/>
      <c r="V15031" s="24"/>
      <c r="W15031" s="24"/>
      <c r="X15031" s="24"/>
      <c r="Y15031" s="24"/>
      <c r="Z15031" s="24"/>
      <c r="AA15031" s="24"/>
    </row>
    <row r="15032">
      <c r="A15032" s="24"/>
      <c r="B15032" s="25"/>
      <c r="C15032" s="24"/>
      <c r="D15032" s="26"/>
      <c r="E15032" s="24"/>
      <c r="F15032" s="24"/>
      <c r="G15032" s="24"/>
      <c r="H15032" s="24"/>
      <c r="I15032" s="24"/>
      <c r="J15032" s="24"/>
      <c r="K15032" s="24"/>
      <c r="L15032" s="24"/>
      <c r="M15032" s="24"/>
      <c r="N15032" s="24"/>
      <c r="O15032" s="24"/>
      <c r="P15032" s="24"/>
      <c r="Q15032" s="24"/>
      <c r="R15032" s="24"/>
      <c r="S15032" s="24"/>
      <c r="T15032" s="24"/>
      <c r="U15032" s="24"/>
      <c r="V15032" s="24"/>
      <c r="W15032" s="24"/>
      <c r="X15032" s="24"/>
      <c r="Y15032" s="24"/>
      <c r="Z15032" s="24"/>
      <c r="AA15032" s="24"/>
    </row>
    <row r="15033">
      <c r="A15033" s="24"/>
      <c r="B15033" s="25"/>
      <c r="C15033" s="24"/>
      <c r="D15033" s="26"/>
      <c r="E15033" s="24"/>
      <c r="F15033" s="24"/>
      <c r="G15033" s="24"/>
      <c r="H15033" s="24"/>
      <c r="I15033" s="24"/>
      <c r="J15033" s="24"/>
      <c r="K15033" s="24"/>
      <c r="L15033" s="24"/>
      <c r="M15033" s="24"/>
      <c r="N15033" s="24"/>
      <c r="O15033" s="24"/>
      <c r="P15033" s="24"/>
      <c r="Q15033" s="24"/>
      <c r="R15033" s="24"/>
      <c r="S15033" s="24"/>
      <c r="T15033" s="24"/>
      <c r="U15033" s="24"/>
      <c r="V15033" s="24"/>
      <c r="W15033" s="24"/>
      <c r="X15033" s="24"/>
      <c r="Y15033" s="24"/>
      <c r="Z15033" s="24"/>
      <c r="AA15033" s="24"/>
    </row>
    <row r="15034">
      <c r="A15034" s="24"/>
      <c r="B15034" s="25"/>
      <c r="C15034" s="24"/>
      <c r="D15034" s="26"/>
      <c r="E15034" s="24"/>
      <c r="F15034" s="24"/>
      <c r="G15034" s="24"/>
      <c r="H15034" s="24"/>
      <c r="I15034" s="24"/>
      <c r="J15034" s="24"/>
      <c r="K15034" s="24"/>
      <c r="L15034" s="24"/>
      <c r="M15034" s="24"/>
      <c r="N15034" s="24"/>
      <c r="O15034" s="24"/>
      <c r="P15034" s="24"/>
      <c r="Q15034" s="24"/>
      <c r="R15034" s="24"/>
      <c r="S15034" s="24"/>
      <c r="T15034" s="24"/>
      <c r="U15034" s="24"/>
      <c r="V15034" s="24"/>
      <c r="W15034" s="24"/>
      <c r="X15034" s="24"/>
      <c r="Y15034" s="24"/>
      <c r="Z15034" s="24"/>
      <c r="AA15034" s="24"/>
    </row>
    <row r="15035">
      <c r="A15035" s="24"/>
      <c r="B15035" s="25"/>
      <c r="C15035" s="24"/>
      <c r="D15035" s="26"/>
      <c r="E15035" s="24"/>
      <c r="F15035" s="24"/>
      <c r="G15035" s="24"/>
      <c r="H15035" s="24"/>
      <c r="I15035" s="24"/>
      <c r="J15035" s="24"/>
      <c r="K15035" s="24"/>
      <c r="L15035" s="24"/>
      <c r="M15035" s="24"/>
      <c r="N15035" s="24"/>
      <c r="O15035" s="24"/>
      <c r="P15035" s="24"/>
      <c r="Q15035" s="24"/>
      <c r="R15035" s="24"/>
      <c r="S15035" s="24"/>
      <c r="T15035" s="24"/>
      <c r="U15035" s="24"/>
      <c r="V15035" s="24"/>
      <c r="W15035" s="24"/>
      <c r="X15035" s="24"/>
      <c r="Y15035" s="24"/>
      <c r="Z15035" s="24"/>
      <c r="AA15035" s="24"/>
    </row>
    <row r="15036">
      <c r="A15036" s="24"/>
      <c r="B15036" s="25"/>
      <c r="C15036" s="24"/>
      <c r="D15036" s="26"/>
      <c r="E15036" s="24"/>
      <c r="F15036" s="24"/>
      <c r="G15036" s="24"/>
      <c r="H15036" s="24"/>
      <c r="I15036" s="24"/>
      <c r="J15036" s="24"/>
      <c r="K15036" s="24"/>
      <c r="L15036" s="24"/>
      <c r="M15036" s="24"/>
      <c r="N15036" s="24"/>
      <c r="O15036" s="24"/>
      <c r="P15036" s="24"/>
      <c r="Q15036" s="24"/>
      <c r="R15036" s="24"/>
      <c r="S15036" s="24"/>
      <c r="T15036" s="24"/>
      <c r="U15036" s="24"/>
      <c r="V15036" s="24"/>
      <c r="W15036" s="24"/>
      <c r="X15036" s="24"/>
      <c r="Y15036" s="24"/>
      <c r="Z15036" s="24"/>
      <c r="AA15036" s="24"/>
    </row>
    <row r="15037">
      <c r="A15037" s="24"/>
      <c r="B15037" s="25"/>
      <c r="C15037" s="24"/>
      <c r="D15037" s="26"/>
      <c r="E15037" s="24"/>
      <c r="F15037" s="24"/>
      <c r="G15037" s="24"/>
      <c r="H15037" s="24"/>
      <c r="I15037" s="24"/>
      <c r="J15037" s="24"/>
      <c r="K15037" s="24"/>
      <c r="L15037" s="24"/>
      <c r="M15037" s="24"/>
      <c r="N15037" s="24"/>
      <c r="O15037" s="24"/>
      <c r="P15037" s="24"/>
      <c r="Q15037" s="24"/>
      <c r="R15037" s="24"/>
      <c r="S15037" s="24"/>
      <c r="T15037" s="24"/>
      <c r="U15037" s="24"/>
      <c r="V15037" s="24"/>
      <c r="W15037" s="24"/>
      <c r="X15037" s="24"/>
      <c r="Y15037" s="24"/>
      <c r="Z15037" s="24"/>
      <c r="AA15037" s="24"/>
    </row>
    <row r="15038">
      <c r="A15038" s="24"/>
      <c r="B15038" s="25"/>
      <c r="C15038" s="24"/>
      <c r="D15038" s="26"/>
      <c r="E15038" s="24"/>
      <c r="F15038" s="24"/>
      <c r="G15038" s="24"/>
      <c r="H15038" s="24"/>
      <c r="I15038" s="24"/>
      <c r="J15038" s="24"/>
      <c r="K15038" s="24"/>
      <c r="L15038" s="24"/>
      <c r="M15038" s="24"/>
      <c r="N15038" s="24"/>
      <c r="O15038" s="24"/>
      <c r="P15038" s="24"/>
      <c r="Q15038" s="24"/>
      <c r="R15038" s="24"/>
      <c r="S15038" s="24"/>
      <c r="T15038" s="24"/>
      <c r="U15038" s="24"/>
      <c r="V15038" s="24"/>
      <c r="W15038" s="24"/>
      <c r="X15038" s="24"/>
      <c r="Y15038" s="24"/>
      <c r="Z15038" s="24"/>
      <c r="AA15038" s="24"/>
    </row>
    <row r="15039">
      <c r="A15039" s="24"/>
      <c r="B15039" s="25"/>
      <c r="C15039" s="24"/>
      <c r="D15039" s="26"/>
      <c r="E15039" s="24"/>
      <c r="F15039" s="24"/>
      <c r="G15039" s="24"/>
      <c r="H15039" s="24"/>
      <c r="I15039" s="24"/>
      <c r="J15039" s="24"/>
      <c r="K15039" s="24"/>
      <c r="L15039" s="24"/>
      <c r="M15039" s="24"/>
      <c r="N15039" s="24"/>
      <c r="O15039" s="24"/>
      <c r="P15039" s="24"/>
      <c r="Q15039" s="24"/>
      <c r="R15039" s="24"/>
      <c r="S15039" s="24"/>
      <c r="T15039" s="24"/>
      <c r="U15039" s="24"/>
      <c r="V15039" s="24"/>
      <c r="W15039" s="24"/>
      <c r="X15039" s="24"/>
      <c r="Y15039" s="24"/>
      <c r="Z15039" s="24"/>
      <c r="AA15039" s="24"/>
    </row>
    <row r="15040">
      <c r="A15040" s="24"/>
      <c r="B15040" s="25"/>
      <c r="C15040" s="24"/>
      <c r="D15040" s="26"/>
      <c r="E15040" s="24"/>
      <c r="F15040" s="24"/>
      <c r="G15040" s="24"/>
      <c r="H15040" s="24"/>
      <c r="I15040" s="24"/>
      <c r="J15040" s="24"/>
      <c r="K15040" s="24"/>
      <c r="L15040" s="24"/>
      <c r="M15040" s="24"/>
      <c r="N15040" s="24"/>
      <c r="O15040" s="24"/>
      <c r="P15040" s="24"/>
      <c r="Q15040" s="24"/>
      <c r="R15040" s="24"/>
      <c r="S15040" s="24"/>
      <c r="T15040" s="24"/>
      <c r="U15040" s="24"/>
      <c r="V15040" s="24"/>
      <c r="W15040" s="24"/>
      <c r="X15040" s="24"/>
      <c r="Y15040" s="24"/>
      <c r="Z15040" s="24"/>
      <c r="AA15040" s="24"/>
    </row>
    <row r="15041">
      <c r="A15041" s="24"/>
      <c r="B15041" s="25"/>
      <c r="C15041" s="24"/>
      <c r="D15041" s="26"/>
      <c r="E15041" s="24"/>
      <c r="F15041" s="24"/>
      <c r="G15041" s="24"/>
      <c r="H15041" s="24"/>
      <c r="I15041" s="24"/>
      <c r="J15041" s="24"/>
      <c r="K15041" s="24"/>
      <c r="L15041" s="24"/>
      <c r="M15041" s="24"/>
      <c r="N15041" s="24"/>
      <c r="O15041" s="24"/>
      <c r="P15041" s="24"/>
      <c r="Q15041" s="24"/>
      <c r="R15041" s="24"/>
      <c r="S15041" s="24"/>
      <c r="T15041" s="24"/>
      <c r="U15041" s="24"/>
      <c r="V15041" s="24"/>
      <c r="W15041" s="24"/>
      <c r="X15041" s="24"/>
      <c r="Y15041" s="24"/>
      <c r="Z15041" s="24"/>
      <c r="AA15041" s="24"/>
    </row>
    <row r="15042">
      <c r="A15042" s="24"/>
      <c r="B15042" s="25"/>
      <c r="C15042" s="24"/>
      <c r="D15042" s="26"/>
      <c r="E15042" s="24"/>
      <c r="F15042" s="24"/>
      <c r="G15042" s="24"/>
      <c r="H15042" s="24"/>
      <c r="I15042" s="24"/>
      <c r="J15042" s="24"/>
      <c r="K15042" s="24"/>
      <c r="L15042" s="24"/>
      <c r="M15042" s="24"/>
      <c r="N15042" s="24"/>
      <c r="O15042" s="24"/>
      <c r="P15042" s="24"/>
      <c r="Q15042" s="24"/>
      <c r="R15042" s="24"/>
      <c r="S15042" s="24"/>
      <c r="T15042" s="24"/>
      <c r="U15042" s="24"/>
      <c r="V15042" s="24"/>
      <c r="W15042" s="24"/>
      <c r="X15042" s="24"/>
      <c r="Y15042" s="24"/>
      <c r="Z15042" s="24"/>
      <c r="AA15042" s="24"/>
    </row>
    <row r="15043">
      <c r="A15043" s="24"/>
      <c r="B15043" s="25"/>
      <c r="C15043" s="24"/>
      <c r="D15043" s="26"/>
      <c r="E15043" s="24"/>
      <c r="F15043" s="24"/>
      <c r="G15043" s="24"/>
      <c r="H15043" s="24"/>
      <c r="I15043" s="24"/>
      <c r="J15043" s="24"/>
      <c r="K15043" s="24"/>
      <c r="L15043" s="24"/>
      <c r="M15043" s="24"/>
      <c r="N15043" s="24"/>
      <c r="O15043" s="24"/>
      <c r="P15043" s="24"/>
      <c r="Q15043" s="24"/>
      <c r="R15043" s="24"/>
      <c r="S15043" s="24"/>
      <c r="T15043" s="24"/>
      <c r="U15043" s="24"/>
      <c r="V15043" s="24"/>
      <c r="W15043" s="24"/>
      <c r="X15043" s="24"/>
      <c r="Y15043" s="24"/>
      <c r="Z15043" s="24"/>
      <c r="AA15043" s="24"/>
    </row>
    <row r="15044">
      <c r="A15044" s="24"/>
      <c r="B15044" s="25"/>
      <c r="C15044" s="24"/>
      <c r="D15044" s="26"/>
      <c r="E15044" s="24"/>
      <c r="F15044" s="24"/>
      <c r="G15044" s="24"/>
      <c r="H15044" s="24"/>
      <c r="I15044" s="24"/>
      <c r="J15044" s="24"/>
      <c r="K15044" s="24"/>
      <c r="L15044" s="24"/>
      <c r="M15044" s="24"/>
      <c r="N15044" s="24"/>
      <c r="O15044" s="24"/>
      <c r="P15044" s="24"/>
      <c r="Q15044" s="24"/>
      <c r="R15044" s="24"/>
      <c r="S15044" s="24"/>
      <c r="T15044" s="24"/>
      <c r="U15044" s="24"/>
      <c r="V15044" s="24"/>
      <c r="W15044" s="24"/>
      <c r="X15044" s="24"/>
      <c r="Y15044" s="24"/>
      <c r="Z15044" s="24"/>
      <c r="AA15044" s="24"/>
    </row>
    <row r="15045">
      <c r="A15045" s="24"/>
      <c r="B15045" s="25"/>
      <c r="C15045" s="24"/>
      <c r="D15045" s="26"/>
      <c r="E15045" s="24"/>
      <c r="F15045" s="24"/>
      <c r="G15045" s="24"/>
      <c r="H15045" s="24"/>
      <c r="I15045" s="24"/>
      <c r="J15045" s="24"/>
      <c r="K15045" s="24"/>
      <c r="L15045" s="24"/>
      <c r="M15045" s="24"/>
      <c r="N15045" s="24"/>
      <c r="O15045" s="24"/>
      <c r="P15045" s="24"/>
      <c r="Q15045" s="24"/>
      <c r="R15045" s="24"/>
      <c r="S15045" s="24"/>
      <c r="T15045" s="24"/>
      <c r="U15045" s="24"/>
      <c r="V15045" s="24"/>
      <c r="W15045" s="24"/>
      <c r="X15045" s="24"/>
      <c r="Y15045" s="24"/>
      <c r="Z15045" s="24"/>
      <c r="AA15045" s="24"/>
    </row>
    <row r="15046">
      <c r="A15046" s="24"/>
      <c r="B15046" s="25"/>
      <c r="C15046" s="24"/>
      <c r="D15046" s="26"/>
      <c r="E15046" s="24"/>
      <c r="F15046" s="24"/>
      <c r="G15046" s="24"/>
      <c r="H15046" s="24"/>
      <c r="I15046" s="24"/>
      <c r="J15046" s="24"/>
      <c r="K15046" s="24"/>
      <c r="L15046" s="24"/>
      <c r="M15046" s="24"/>
      <c r="N15046" s="24"/>
      <c r="O15046" s="24"/>
      <c r="P15046" s="24"/>
      <c r="Q15046" s="24"/>
      <c r="R15046" s="24"/>
      <c r="S15046" s="24"/>
      <c r="T15046" s="24"/>
      <c r="U15046" s="24"/>
      <c r="V15046" s="24"/>
      <c r="W15046" s="24"/>
      <c r="X15046" s="24"/>
      <c r="Y15046" s="24"/>
      <c r="Z15046" s="24"/>
      <c r="AA15046" s="24"/>
    </row>
    <row r="15047">
      <c r="A15047" s="24"/>
      <c r="B15047" s="25"/>
      <c r="C15047" s="24"/>
      <c r="D15047" s="26"/>
      <c r="E15047" s="24"/>
      <c r="F15047" s="24"/>
      <c r="G15047" s="24"/>
      <c r="H15047" s="24"/>
      <c r="I15047" s="24"/>
      <c r="J15047" s="24"/>
      <c r="K15047" s="24"/>
      <c r="L15047" s="24"/>
      <c r="M15047" s="24"/>
      <c r="N15047" s="24"/>
      <c r="O15047" s="24"/>
      <c r="P15047" s="24"/>
      <c r="Q15047" s="24"/>
      <c r="R15047" s="24"/>
      <c r="S15047" s="24"/>
      <c r="T15047" s="24"/>
      <c r="U15047" s="24"/>
      <c r="V15047" s="24"/>
      <c r="W15047" s="24"/>
      <c r="X15047" s="24"/>
      <c r="Y15047" s="24"/>
      <c r="Z15047" s="24"/>
      <c r="AA15047" s="24"/>
    </row>
    <row r="15048">
      <c r="A15048" s="24"/>
      <c r="B15048" s="25"/>
      <c r="C15048" s="24"/>
      <c r="D15048" s="26"/>
      <c r="E15048" s="24"/>
      <c r="F15048" s="24"/>
      <c r="G15048" s="24"/>
      <c r="H15048" s="24"/>
      <c r="I15048" s="24"/>
      <c r="J15048" s="24"/>
      <c r="K15048" s="24"/>
      <c r="L15048" s="24"/>
      <c r="M15048" s="24"/>
      <c r="N15048" s="24"/>
      <c r="O15048" s="24"/>
      <c r="P15048" s="24"/>
      <c r="Q15048" s="24"/>
      <c r="R15048" s="24"/>
      <c r="S15048" s="24"/>
      <c r="T15048" s="24"/>
      <c r="U15048" s="24"/>
      <c r="V15048" s="24"/>
      <c r="W15048" s="24"/>
      <c r="X15048" s="24"/>
      <c r="Y15048" s="24"/>
      <c r="Z15048" s="24"/>
      <c r="AA15048" s="24"/>
    </row>
    <row r="15049">
      <c r="A15049" s="24"/>
      <c r="B15049" s="25"/>
      <c r="C15049" s="24"/>
      <c r="D15049" s="26"/>
      <c r="E15049" s="24"/>
      <c r="F15049" s="24"/>
      <c r="G15049" s="24"/>
      <c r="H15049" s="24"/>
      <c r="I15049" s="24"/>
      <c r="J15049" s="24"/>
      <c r="K15049" s="24"/>
      <c r="L15049" s="24"/>
      <c r="M15049" s="24"/>
      <c r="N15049" s="24"/>
      <c r="O15049" s="24"/>
      <c r="P15049" s="24"/>
      <c r="Q15049" s="24"/>
      <c r="R15049" s="24"/>
      <c r="S15049" s="24"/>
      <c r="T15049" s="24"/>
      <c r="U15049" s="24"/>
      <c r="V15049" s="24"/>
      <c r="W15049" s="24"/>
      <c r="X15049" s="24"/>
      <c r="Y15049" s="24"/>
      <c r="Z15049" s="24"/>
      <c r="AA15049" s="24"/>
    </row>
    <row r="15050">
      <c r="A15050" s="24"/>
      <c r="B15050" s="25"/>
      <c r="C15050" s="24"/>
      <c r="D15050" s="26"/>
      <c r="E15050" s="24"/>
      <c r="F15050" s="24"/>
      <c r="G15050" s="24"/>
      <c r="H15050" s="24"/>
      <c r="I15050" s="24"/>
      <c r="J15050" s="24"/>
      <c r="K15050" s="24"/>
      <c r="L15050" s="24"/>
      <c r="M15050" s="24"/>
      <c r="N15050" s="24"/>
      <c r="O15050" s="24"/>
      <c r="P15050" s="24"/>
      <c r="Q15050" s="24"/>
      <c r="R15050" s="24"/>
      <c r="S15050" s="24"/>
      <c r="T15050" s="24"/>
      <c r="U15050" s="24"/>
      <c r="V15050" s="24"/>
      <c r="W15050" s="24"/>
      <c r="X15050" s="24"/>
      <c r="Y15050" s="24"/>
      <c r="Z15050" s="24"/>
      <c r="AA15050" s="24"/>
    </row>
    <row r="15051">
      <c r="A15051" s="24"/>
      <c r="B15051" s="25"/>
      <c r="C15051" s="24"/>
      <c r="D15051" s="26"/>
      <c r="E15051" s="24"/>
      <c r="F15051" s="24"/>
      <c r="G15051" s="24"/>
      <c r="H15051" s="24"/>
      <c r="I15051" s="24"/>
      <c r="J15051" s="24"/>
      <c r="K15051" s="24"/>
      <c r="L15051" s="24"/>
      <c r="M15051" s="24"/>
      <c r="N15051" s="24"/>
      <c r="O15051" s="24"/>
      <c r="P15051" s="24"/>
      <c r="Q15051" s="24"/>
      <c r="R15051" s="24"/>
      <c r="S15051" s="24"/>
      <c r="T15051" s="24"/>
      <c r="U15051" s="24"/>
      <c r="V15051" s="24"/>
      <c r="W15051" s="24"/>
      <c r="X15051" s="24"/>
      <c r="Y15051" s="24"/>
      <c r="Z15051" s="24"/>
      <c r="AA15051" s="24"/>
    </row>
    <row r="15052">
      <c r="A15052" s="24"/>
      <c r="B15052" s="25"/>
      <c r="C15052" s="24"/>
      <c r="D15052" s="26"/>
      <c r="E15052" s="24"/>
      <c r="F15052" s="24"/>
      <c r="G15052" s="24"/>
      <c r="H15052" s="24"/>
      <c r="I15052" s="24"/>
      <c r="J15052" s="24"/>
      <c r="K15052" s="24"/>
      <c r="L15052" s="24"/>
      <c r="M15052" s="24"/>
      <c r="N15052" s="24"/>
      <c r="O15052" s="24"/>
      <c r="P15052" s="24"/>
      <c r="Q15052" s="24"/>
      <c r="R15052" s="24"/>
      <c r="S15052" s="24"/>
      <c r="T15052" s="24"/>
      <c r="U15052" s="24"/>
      <c r="V15052" s="24"/>
      <c r="W15052" s="24"/>
      <c r="X15052" s="24"/>
      <c r="Y15052" s="24"/>
      <c r="Z15052" s="24"/>
      <c r="AA15052" s="24"/>
    </row>
    <row r="15053">
      <c r="A15053" s="24"/>
      <c r="B15053" s="25"/>
      <c r="C15053" s="24"/>
      <c r="D15053" s="26"/>
      <c r="E15053" s="24"/>
      <c r="F15053" s="24"/>
      <c r="G15053" s="24"/>
      <c r="H15053" s="24"/>
      <c r="I15053" s="24"/>
      <c r="J15053" s="24"/>
      <c r="K15053" s="24"/>
      <c r="L15053" s="24"/>
      <c r="M15053" s="24"/>
      <c r="N15053" s="24"/>
      <c r="O15053" s="24"/>
      <c r="P15053" s="24"/>
      <c r="Q15053" s="24"/>
      <c r="R15053" s="24"/>
      <c r="S15053" s="24"/>
      <c r="T15053" s="24"/>
      <c r="U15053" s="24"/>
      <c r="V15053" s="24"/>
      <c r="W15053" s="24"/>
      <c r="X15053" s="24"/>
      <c r="Y15053" s="24"/>
      <c r="Z15053" s="24"/>
      <c r="AA15053" s="24"/>
    </row>
    <row r="15054">
      <c r="A15054" s="24"/>
      <c r="B15054" s="25"/>
      <c r="C15054" s="24"/>
      <c r="D15054" s="26"/>
      <c r="E15054" s="24"/>
      <c r="F15054" s="24"/>
      <c r="G15054" s="24"/>
      <c r="H15054" s="24"/>
      <c r="I15054" s="24"/>
      <c r="J15054" s="24"/>
      <c r="K15054" s="24"/>
      <c r="L15054" s="24"/>
      <c r="M15054" s="24"/>
      <c r="N15054" s="24"/>
      <c r="O15054" s="24"/>
      <c r="P15054" s="24"/>
      <c r="Q15054" s="24"/>
      <c r="R15054" s="24"/>
      <c r="S15054" s="24"/>
      <c r="T15054" s="24"/>
      <c r="U15054" s="24"/>
      <c r="V15054" s="24"/>
      <c r="W15054" s="24"/>
      <c r="X15054" s="24"/>
      <c r="Y15054" s="24"/>
      <c r="Z15054" s="24"/>
      <c r="AA15054" s="24"/>
    </row>
    <row r="15055">
      <c r="A15055" s="24"/>
      <c r="B15055" s="25"/>
      <c r="C15055" s="24"/>
      <c r="D15055" s="26"/>
      <c r="E15055" s="24"/>
      <c r="F15055" s="24"/>
      <c r="G15055" s="24"/>
      <c r="H15055" s="24"/>
      <c r="I15055" s="24"/>
      <c r="J15055" s="24"/>
      <c r="K15055" s="24"/>
      <c r="L15055" s="24"/>
      <c r="M15055" s="24"/>
      <c r="N15055" s="24"/>
      <c r="O15055" s="24"/>
      <c r="P15055" s="24"/>
      <c r="Q15055" s="24"/>
      <c r="R15055" s="24"/>
      <c r="S15055" s="24"/>
      <c r="T15055" s="24"/>
      <c r="U15055" s="24"/>
      <c r="V15055" s="24"/>
      <c r="W15055" s="24"/>
      <c r="X15055" s="24"/>
      <c r="Y15055" s="24"/>
      <c r="Z15055" s="24"/>
      <c r="AA15055" s="24"/>
    </row>
    <row r="15056">
      <c r="A15056" s="24"/>
      <c r="B15056" s="25"/>
      <c r="C15056" s="24"/>
      <c r="D15056" s="26"/>
      <c r="E15056" s="24"/>
      <c r="F15056" s="24"/>
      <c r="G15056" s="24"/>
      <c r="H15056" s="24"/>
      <c r="I15056" s="24"/>
      <c r="J15056" s="24"/>
      <c r="K15056" s="24"/>
      <c r="L15056" s="24"/>
      <c r="M15056" s="24"/>
      <c r="N15056" s="24"/>
      <c r="O15056" s="24"/>
      <c r="P15056" s="24"/>
      <c r="Q15056" s="24"/>
      <c r="R15056" s="24"/>
      <c r="S15056" s="24"/>
      <c r="T15056" s="24"/>
      <c r="U15056" s="24"/>
      <c r="V15056" s="24"/>
      <c r="W15056" s="24"/>
      <c r="X15056" s="24"/>
      <c r="Y15056" s="24"/>
      <c r="Z15056" s="24"/>
      <c r="AA15056" s="24"/>
    </row>
    <row r="15057">
      <c r="A15057" s="24"/>
      <c r="B15057" s="25"/>
      <c r="C15057" s="24"/>
      <c r="D15057" s="26"/>
      <c r="E15057" s="24"/>
      <c r="F15057" s="24"/>
      <c r="G15057" s="24"/>
      <c r="H15057" s="24"/>
      <c r="I15057" s="24"/>
      <c r="J15057" s="24"/>
      <c r="K15057" s="24"/>
      <c r="L15057" s="24"/>
      <c r="M15057" s="24"/>
      <c r="N15057" s="24"/>
      <c r="O15057" s="24"/>
      <c r="P15057" s="24"/>
      <c r="Q15057" s="24"/>
      <c r="R15057" s="24"/>
      <c r="S15057" s="24"/>
      <c r="T15057" s="24"/>
      <c r="U15057" s="24"/>
      <c r="V15057" s="24"/>
      <c r="W15057" s="24"/>
      <c r="X15057" s="24"/>
      <c r="Y15057" s="24"/>
      <c r="Z15057" s="24"/>
      <c r="AA15057" s="24"/>
    </row>
    <row r="15058">
      <c r="A15058" s="24"/>
      <c r="B15058" s="25"/>
      <c r="C15058" s="24"/>
      <c r="D15058" s="26"/>
      <c r="E15058" s="24"/>
      <c r="F15058" s="24"/>
      <c r="G15058" s="24"/>
      <c r="H15058" s="24"/>
      <c r="I15058" s="24"/>
      <c r="J15058" s="24"/>
      <c r="K15058" s="24"/>
      <c r="L15058" s="24"/>
      <c r="M15058" s="24"/>
      <c r="N15058" s="24"/>
      <c r="O15058" s="24"/>
      <c r="P15058" s="24"/>
      <c r="Q15058" s="24"/>
      <c r="R15058" s="24"/>
      <c r="S15058" s="24"/>
      <c r="T15058" s="24"/>
      <c r="U15058" s="24"/>
      <c r="V15058" s="24"/>
      <c r="W15058" s="24"/>
      <c r="X15058" s="24"/>
      <c r="Y15058" s="24"/>
      <c r="Z15058" s="24"/>
      <c r="AA15058" s="24"/>
    </row>
    <row r="15059">
      <c r="A15059" s="24"/>
      <c r="B15059" s="25"/>
      <c r="C15059" s="24"/>
      <c r="D15059" s="26"/>
      <c r="E15059" s="24"/>
      <c r="F15059" s="24"/>
      <c r="G15059" s="24"/>
      <c r="H15059" s="24"/>
      <c r="I15059" s="24"/>
      <c r="J15059" s="24"/>
      <c r="K15059" s="24"/>
      <c r="L15059" s="24"/>
      <c r="M15059" s="24"/>
      <c r="N15059" s="24"/>
      <c r="O15059" s="24"/>
      <c r="P15059" s="24"/>
      <c r="Q15059" s="24"/>
      <c r="R15059" s="24"/>
      <c r="S15059" s="24"/>
      <c r="T15059" s="24"/>
      <c r="U15059" s="24"/>
      <c r="V15059" s="24"/>
      <c r="W15059" s="24"/>
      <c r="X15059" s="24"/>
      <c r="Y15059" s="24"/>
      <c r="Z15059" s="24"/>
      <c r="AA15059" s="24"/>
    </row>
    <row r="15060">
      <c r="A15060" s="24"/>
      <c r="B15060" s="25"/>
      <c r="C15060" s="24"/>
      <c r="D15060" s="26"/>
      <c r="E15060" s="24"/>
      <c r="F15060" s="24"/>
      <c r="G15060" s="24"/>
      <c r="H15060" s="24"/>
      <c r="I15060" s="24"/>
      <c r="J15060" s="24"/>
      <c r="K15060" s="24"/>
      <c r="L15060" s="24"/>
      <c r="M15060" s="24"/>
      <c r="N15060" s="24"/>
      <c r="O15060" s="24"/>
      <c r="P15060" s="24"/>
      <c r="Q15060" s="24"/>
      <c r="R15060" s="24"/>
      <c r="S15060" s="24"/>
      <c r="T15060" s="24"/>
      <c r="U15060" s="24"/>
      <c r="V15060" s="24"/>
      <c r="W15060" s="24"/>
      <c r="X15060" s="24"/>
      <c r="Y15060" s="24"/>
      <c r="Z15060" s="24"/>
      <c r="AA15060" s="24"/>
    </row>
    <row r="15061">
      <c r="A15061" s="24"/>
      <c r="B15061" s="25"/>
      <c r="C15061" s="24"/>
      <c r="D15061" s="26"/>
      <c r="E15061" s="24"/>
      <c r="F15061" s="24"/>
      <c r="G15061" s="24"/>
      <c r="H15061" s="24"/>
      <c r="I15061" s="24"/>
      <c r="J15061" s="24"/>
      <c r="K15061" s="24"/>
      <c r="L15061" s="24"/>
      <c r="M15061" s="24"/>
      <c r="N15061" s="24"/>
      <c r="O15061" s="24"/>
      <c r="P15061" s="24"/>
      <c r="Q15061" s="24"/>
      <c r="R15061" s="24"/>
      <c r="S15061" s="24"/>
      <c r="T15061" s="24"/>
      <c r="U15061" s="24"/>
      <c r="V15061" s="24"/>
      <c r="W15061" s="24"/>
      <c r="X15061" s="24"/>
      <c r="Y15061" s="24"/>
      <c r="Z15061" s="24"/>
      <c r="AA15061" s="24"/>
    </row>
    <row r="15062">
      <c r="A15062" s="24"/>
      <c r="B15062" s="25"/>
      <c r="C15062" s="24"/>
      <c r="D15062" s="26"/>
      <c r="E15062" s="24"/>
      <c r="F15062" s="24"/>
      <c r="G15062" s="24"/>
      <c r="H15062" s="24"/>
      <c r="I15062" s="24"/>
      <c r="J15062" s="24"/>
      <c r="K15062" s="24"/>
      <c r="L15062" s="24"/>
      <c r="M15062" s="24"/>
      <c r="N15062" s="24"/>
      <c r="O15062" s="24"/>
      <c r="P15062" s="24"/>
      <c r="Q15062" s="24"/>
      <c r="R15062" s="24"/>
      <c r="S15062" s="24"/>
      <c r="T15062" s="24"/>
      <c r="U15062" s="24"/>
      <c r="V15062" s="24"/>
      <c r="W15062" s="24"/>
      <c r="X15062" s="24"/>
      <c r="Y15062" s="24"/>
      <c r="Z15062" s="24"/>
      <c r="AA15062" s="24"/>
    </row>
    <row r="15063">
      <c r="A15063" s="24"/>
      <c r="B15063" s="25"/>
      <c r="C15063" s="24"/>
      <c r="D15063" s="26"/>
      <c r="E15063" s="24"/>
      <c r="F15063" s="24"/>
      <c r="G15063" s="24"/>
      <c r="H15063" s="24"/>
      <c r="I15063" s="24"/>
      <c r="J15063" s="24"/>
      <c r="K15063" s="24"/>
      <c r="L15063" s="24"/>
      <c r="M15063" s="24"/>
      <c r="N15063" s="24"/>
      <c r="O15063" s="24"/>
      <c r="P15063" s="24"/>
      <c r="Q15063" s="24"/>
      <c r="R15063" s="24"/>
      <c r="S15063" s="24"/>
      <c r="T15063" s="24"/>
      <c r="U15063" s="24"/>
      <c r="V15063" s="24"/>
      <c r="W15063" s="24"/>
      <c r="X15063" s="24"/>
      <c r="Y15063" s="24"/>
      <c r="Z15063" s="24"/>
      <c r="AA15063" s="24"/>
    </row>
    <row r="15064">
      <c r="A15064" s="24"/>
      <c r="B15064" s="25"/>
      <c r="C15064" s="24"/>
      <c r="D15064" s="26"/>
      <c r="E15064" s="24"/>
      <c r="F15064" s="24"/>
      <c r="G15064" s="24"/>
      <c r="H15064" s="24"/>
      <c r="I15064" s="24"/>
      <c r="J15064" s="24"/>
      <c r="K15064" s="24"/>
      <c r="L15064" s="24"/>
      <c r="M15064" s="24"/>
      <c r="N15064" s="24"/>
      <c r="O15064" s="24"/>
      <c r="P15064" s="24"/>
      <c r="Q15064" s="24"/>
      <c r="R15064" s="24"/>
      <c r="S15064" s="24"/>
      <c r="T15064" s="24"/>
      <c r="U15064" s="24"/>
      <c r="V15064" s="24"/>
      <c r="W15064" s="24"/>
      <c r="X15064" s="24"/>
      <c r="Y15064" s="24"/>
      <c r="Z15064" s="24"/>
      <c r="AA15064" s="24"/>
    </row>
    <row r="15065">
      <c r="A15065" s="24"/>
      <c r="B15065" s="25"/>
      <c r="C15065" s="24"/>
      <c r="D15065" s="26"/>
      <c r="E15065" s="24"/>
      <c r="F15065" s="24"/>
      <c r="G15065" s="24"/>
      <c r="H15065" s="24"/>
      <c r="I15065" s="24"/>
      <c r="J15065" s="24"/>
      <c r="K15065" s="24"/>
      <c r="L15065" s="24"/>
      <c r="M15065" s="24"/>
      <c r="N15065" s="24"/>
      <c r="O15065" s="24"/>
      <c r="P15065" s="24"/>
      <c r="Q15065" s="24"/>
      <c r="R15065" s="24"/>
      <c r="S15065" s="24"/>
      <c r="T15065" s="24"/>
      <c r="U15065" s="24"/>
      <c r="V15065" s="24"/>
      <c r="W15065" s="24"/>
      <c r="X15065" s="24"/>
      <c r="Y15065" s="24"/>
      <c r="Z15065" s="24"/>
      <c r="AA15065" s="24"/>
    </row>
    <row r="15066">
      <c r="A15066" s="24"/>
      <c r="B15066" s="25"/>
      <c r="C15066" s="24"/>
      <c r="D15066" s="26"/>
      <c r="E15066" s="24"/>
      <c r="F15066" s="24"/>
      <c r="G15066" s="24"/>
      <c r="H15066" s="24"/>
      <c r="I15066" s="24"/>
      <c r="J15066" s="24"/>
      <c r="K15066" s="24"/>
      <c r="L15066" s="24"/>
      <c r="M15066" s="24"/>
      <c r="N15066" s="24"/>
      <c r="O15066" s="24"/>
      <c r="P15066" s="24"/>
      <c r="Q15066" s="24"/>
      <c r="R15066" s="24"/>
      <c r="S15066" s="24"/>
      <c r="T15066" s="24"/>
      <c r="U15066" s="24"/>
      <c r="V15066" s="24"/>
      <c r="W15066" s="24"/>
      <c r="X15066" s="24"/>
      <c r="Y15066" s="24"/>
      <c r="Z15066" s="24"/>
      <c r="AA15066" s="24"/>
    </row>
    <row r="15067">
      <c r="A15067" s="24"/>
      <c r="B15067" s="25"/>
      <c r="C15067" s="24"/>
      <c r="D15067" s="26"/>
      <c r="E15067" s="24"/>
      <c r="F15067" s="24"/>
      <c r="G15067" s="24"/>
      <c r="H15067" s="24"/>
      <c r="I15067" s="24"/>
      <c r="J15067" s="24"/>
      <c r="K15067" s="24"/>
      <c r="L15067" s="24"/>
      <c r="M15067" s="24"/>
      <c r="N15067" s="24"/>
      <c r="O15067" s="24"/>
      <c r="P15067" s="24"/>
      <c r="Q15067" s="24"/>
      <c r="R15067" s="24"/>
      <c r="S15067" s="24"/>
      <c r="T15067" s="24"/>
      <c r="U15067" s="24"/>
      <c r="V15067" s="24"/>
      <c r="W15067" s="24"/>
      <c r="X15067" s="24"/>
      <c r="Y15067" s="24"/>
      <c r="Z15067" s="24"/>
      <c r="AA15067" s="24"/>
    </row>
    <row r="15068">
      <c r="A15068" s="24"/>
      <c r="B15068" s="25"/>
      <c r="C15068" s="24"/>
      <c r="D15068" s="26"/>
      <c r="E15068" s="24"/>
      <c r="F15068" s="24"/>
      <c r="G15068" s="24"/>
      <c r="H15068" s="24"/>
      <c r="I15068" s="24"/>
      <c r="J15068" s="24"/>
      <c r="K15068" s="24"/>
      <c r="L15068" s="24"/>
      <c r="M15068" s="24"/>
      <c r="N15068" s="24"/>
      <c r="O15068" s="24"/>
      <c r="P15068" s="24"/>
      <c r="Q15068" s="24"/>
      <c r="R15068" s="24"/>
      <c r="S15068" s="24"/>
      <c r="T15068" s="24"/>
      <c r="U15068" s="24"/>
      <c r="V15068" s="24"/>
      <c r="W15068" s="24"/>
      <c r="X15068" s="24"/>
      <c r="Y15068" s="24"/>
      <c r="Z15068" s="24"/>
      <c r="AA15068" s="24"/>
    </row>
    <row r="15069">
      <c r="A15069" s="24"/>
      <c r="B15069" s="25"/>
      <c r="C15069" s="24"/>
      <c r="D15069" s="26"/>
      <c r="E15069" s="24"/>
      <c r="F15069" s="24"/>
      <c r="G15069" s="24"/>
      <c r="H15069" s="24"/>
      <c r="I15069" s="24"/>
      <c r="J15069" s="24"/>
      <c r="K15069" s="24"/>
      <c r="L15069" s="24"/>
      <c r="M15069" s="24"/>
      <c r="N15069" s="24"/>
      <c r="O15069" s="24"/>
      <c r="P15069" s="24"/>
      <c r="Q15069" s="24"/>
      <c r="R15069" s="24"/>
      <c r="S15069" s="24"/>
      <c r="T15069" s="24"/>
      <c r="U15069" s="24"/>
      <c r="V15069" s="24"/>
      <c r="W15069" s="24"/>
      <c r="X15069" s="24"/>
      <c r="Y15069" s="24"/>
      <c r="Z15069" s="24"/>
      <c r="AA15069" s="24"/>
    </row>
    <row r="15070">
      <c r="A15070" s="24"/>
      <c r="B15070" s="25"/>
      <c r="C15070" s="24"/>
      <c r="D15070" s="26"/>
      <c r="E15070" s="24"/>
      <c r="F15070" s="24"/>
      <c r="G15070" s="24"/>
      <c r="H15070" s="24"/>
      <c r="I15070" s="24"/>
      <c r="J15070" s="24"/>
      <c r="K15070" s="24"/>
      <c r="L15070" s="24"/>
      <c r="M15070" s="24"/>
      <c r="N15070" s="24"/>
      <c r="O15070" s="24"/>
      <c r="P15070" s="24"/>
      <c r="Q15070" s="24"/>
      <c r="R15070" s="24"/>
      <c r="S15070" s="24"/>
      <c r="T15070" s="24"/>
      <c r="U15070" s="24"/>
      <c r="V15070" s="24"/>
      <c r="W15070" s="24"/>
      <c r="X15070" s="24"/>
      <c r="Y15070" s="24"/>
      <c r="Z15070" s="24"/>
      <c r="AA15070" s="24"/>
    </row>
    <row r="15071">
      <c r="A15071" s="24"/>
      <c r="B15071" s="25"/>
      <c r="C15071" s="24"/>
      <c r="D15071" s="26"/>
      <c r="E15071" s="24"/>
      <c r="F15071" s="24"/>
      <c r="G15071" s="24"/>
      <c r="H15071" s="24"/>
      <c r="I15071" s="24"/>
      <c r="J15071" s="24"/>
      <c r="K15071" s="24"/>
      <c r="L15071" s="24"/>
      <c r="M15071" s="24"/>
      <c r="N15071" s="24"/>
      <c r="O15071" s="24"/>
      <c r="P15071" s="24"/>
      <c r="Q15071" s="24"/>
      <c r="R15071" s="24"/>
      <c r="S15071" s="24"/>
      <c r="T15071" s="24"/>
      <c r="U15071" s="24"/>
      <c r="V15071" s="24"/>
      <c r="W15071" s="24"/>
      <c r="X15071" s="24"/>
      <c r="Y15071" s="24"/>
      <c r="Z15071" s="24"/>
      <c r="AA15071" s="24"/>
    </row>
    <row r="15072">
      <c r="A15072" s="24"/>
      <c r="B15072" s="25"/>
      <c r="C15072" s="24"/>
      <c r="D15072" s="26"/>
      <c r="E15072" s="24"/>
      <c r="F15072" s="24"/>
      <c r="G15072" s="24"/>
      <c r="H15072" s="24"/>
      <c r="I15072" s="24"/>
      <c r="J15072" s="24"/>
      <c r="K15072" s="24"/>
      <c r="L15072" s="24"/>
      <c r="M15072" s="24"/>
      <c r="N15072" s="24"/>
      <c r="O15072" s="24"/>
      <c r="P15072" s="24"/>
      <c r="Q15072" s="24"/>
      <c r="R15072" s="24"/>
      <c r="S15072" s="24"/>
      <c r="T15072" s="24"/>
      <c r="U15072" s="24"/>
      <c r="V15072" s="24"/>
      <c r="W15072" s="24"/>
      <c r="X15072" s="24"/>
      <c r="Y15072" s="24"/>
      <c r="Z15072" s="24"/>
      <c r="AA15072" s="24"/>
    </row>
    <row r="15073">
      <c r="A15073" s="24"/>
      <c r="B15073" s="25"/>
      <c r="C15073" s="24"/>
      <c r="D15073" s="26"/>
      <c r="E15073" s="24"/>
      <c r="F15073" s="24"/>
      <c r="G15073" s="24"/>
      <c r="H15073" s="24"/>
      <c r="I15073" s="24"/>
      <c r="J15073" s="24"/>
      <c r="K15073" s="24"/>
      <c r="L15073" s="24"/>
      <c r="M15073" s="24"/>
      <c r="N15073" s="24"/>
      <c r="O15073" s="24"/>
      <c r="P15073" s="24"/>
      <c r="Q15073" s="24"/>
      <c r="R15073" s="24"/>
      <c r="S15073" s="24"/>
      <c r="T15073" s="24"/>
      <c r="U15073" s="24"/>
      <c r="V15073" s="24"/>
      <c r="W15073" s="24"/>
      <c r="X15073" s="24"/>
      <c r="Y15073" s="24"/>
      <c r="Z15073" s="24"/>
      <c r="AA15073" s="24"/>
    </row>
    <row r="15074">
      <c r="A15074" s="24"/>
      <c r="B15074" s="25"/>
      <c r="C15074" s="24"/>
      <c r="D15074" s="26"/>
      <c r="E15074" s="24"/>
      <c r="F15074" s="24"/>
      <c r="G15074" s="24"/>
      <c r="H15074" s="24"/>
      <c r="I15074" s="24"/>
      <c r="J15074" s="24"/>
      <c r="K15074" s="24"/>
      <c r="L15074" s="24"/>
      <c r="M15074" s="24"/>
      <c r="N15074" s="24"/>
      <c r="O15074" s="24"/>
      <c r="P15074" s="24"/>
      <c r="Q15074" s="24"/>
      <c r="R15074" s="24"/>
      <c r="S15074" s="24"/>
      <c r="T15074" s="24"/>
      <c r="U15074" s="24"/>
      <c r="V15074" s="24"/>
      <c r="W15074" s="24"/>
      <c r="X15074" s="24"/>
      <c r="Y15074" s="24"/>
      <c r="Z15074" s="24"/>
      <c r="AA15074" s="24"/>
    </row>
    <row r="15075">
      <c r="A15075" s="24"/>
      <c r="B15075" s="25"/>
      <c r="C15075" s="24"/>
      <c r="D15075" s="26"/>
      <c r="E15075" s="24"/>
      <c r="F15075" s="24"/>
      <c r="G15075" s="24"/>
      <c r="H15075" s="24"/>
      <c r="I15075" s="24"/>
      <c r="J15075" s="24"/>
      <c r="K15075" s="24"/>
      <c r="L15075" s="24"/>
      <c r="M15075" s="24"/>
      <c r="N15075" s="24"/>
      <c r="O15075" s="24"/>
      <c r="P15075" s="24"/>
      <c r="Q15075" s="24"/>
      <c r="R15075" s="24"/>
      <c r="S15075" s="24"/>
      <c r="T15075" s="24"/>
      <c r="U15075" s="24"/>
      <c r="V15075" s="24"/>
      <c r="W15075" s="24"/>
      <c r="X15075" s="24"/>
      <c r="Y15075" s="24"/>
      <c r="Z15075" s="24"/>
      <c r="AA15075" s="24"/>
    </row>
    <row r="15076">
      <c r="A15076" s="24"/>
      <c r="B15076" s="25"/>
      <c r="C15076" s="24"/>
      <c r="D15076" s="26"/>
      <c r="E15076" s="24"/>
      <c r="F15076" s="24"/>
      <c r="G15076" s="24"/>
      <c r="H15076" s="24"/>
      <c r="I15076" s="24"/>
      <c r="J15076" s="24"/>
      <c r="K15076" s="24"/>
      <c r="L15076" s="24"/>
      <c r="M15076" s="24"/>
      <c r="N15076" s="24"/>
      <c r="O15076" s="24"/>
      <c r="P15076" s="24"/>
      <c r="Q15076" s="24"/>
      <c r="R15076" s="24"/>
      <c r="S15076" s="24"/>
      <c r="T15076" s="24"/>
      <c r="U15076" s="24"/>
      <c r="V15076" s="24"/>
      <c r="W15076" s="24"/>
      <c r="X15076" s="24"/>
      <c r="Y15076" s="24"/>
      <c r="Z15076" s="24"/>
      <c r="AA15076" s="24"/>
    </row>
    <row r="15077">
      <c r="A15077" s="24"/>
      <c r="B15077" s="25"/>
      <c r="C15077" s="24"/>
      <c r="D15077" s="26"/>
      <c r="E15077" s="24"/>
      <c r="F15077" s="24"/>
      <c r="G15077" s="24"/>
      <c r="H15077" s="24"/>
      <c r="I15077" s="24"/>
      <c r="J15077" s="24"/>
      <c r="K15077" s="24"/>
      <c r="L15077" s="24"/>
      <c r="M15077" s="24"/>
      <c r="N15077" s="24"/>
      <c r="O15077" s="24"/>
      <c r="P15077" s="24"/>
      <c r="Q15077" s="24"/>
      <c r="R15077" s="24"/>
      <c r="S15077" s="24"/>
      <c r="T15077" s="24"/>
      <c r="U15077" s="24"/>
      <c r="V15077" s="24"/>
      <c r="W15077" s="24"/>
      <c r="X15077" s="24"/>
      <c r="Y15077" s="24"/>
      <c r="Z15077" s="24"/>
      <c r="AA15077" s="24"/>
    </row>
    <row r="15078">
      <c r="A15078" s="24"/>
      <c r="B15078" s="25"/>
      <c r="C15078" s="24"/>
      <c r="D15078" s="26"/>
      <c r="E15078" s="24"/>
      <c r="F15078" s="24"/>
      <c r="G15078" s="24"/>
      <c r="H15078" s="24"/>
      <c r="I15078" s="24"/>
      <c r="J15078" s="24"/>
      <c r="K15078" s="24"/>
      <c r="L15078" s="24"/>
      <c r="M15078" s="24"/>
      <c r="N15078" s="24"/>
      <c r="O15078" s="24"/>
      <c r="P15078" s="24"/>
      <c r="Q15078" s="24"/>
      <c r="R15078" s="24"/>
      <c r="S15078" s="24"/>
      <c r="T15078" s="24"/>
      <c r="U15078" s="24"/>
      <c r="V15078" s="24"/>
      <c r="W15078" s="24"/>
      <c r="X15078" s="24"/>
      <c r="Y15078" s="24"/>
      <c r="Z15078" s="24"/>
      <c r="AA15078" s="24"/>
    </row>
    <row r="15079">
      <c r="A15079" s="24"/>
      <c r="B15079" s="25"/>
      <c r="C15079" s="24"/>
      <c r="D15079" s="26"/>
      <c r="E15079" s="24"/>
      <c r="F15079" s="24"/>
      <c r="G15079" s="24"/>
      <c r="H15079" s="24"/>
      <c r="I15079" s="24"/>
      <c r="J15079" s="24"/>
      <c r="K15079" s="24"/>
      <c r="L15079" s="24"/>
      <c r="M15079" s="24"/>
      <c r="N15079" s="24"/>
      <c r="O15079" s="24"/>
      <c r="P15079" s="24"/>
      <c r="Q15079" s="24"/>
      <c r="R15079" s="24"/>
      <c r="S15079" s="24"/>
      <c r="T15079" s="24"/>
      <c r="U15079" s="24"/>
      <c r="V15079" s="24"/>
      <c r="W15079" s="24"/>
      <c r="X15079" s="24"/>
      <c r="Y15079" s="24"/>
      <c r="Z15079" s="24"/>
      <c r="AA15079" s="24"/>
    </row>
    <row r="15080">
      <c r="A15080" s="24"/>
      <c r="B15080" s="25"/>
      <c r="C15080" s="24"/>
      <c r="D15080" s="26"/>
      <c r="E15080" s="24"/>
      <c r="F15080" s="24"/>
      <c r="G15080" s="24"/>
      <c r="H15080" s="24"/>
      <c r="I15080" s="24"/>
      <c r="J15080" s="24"/>
      <c r="K15080" s="24"/>
      <c r="L15080" s="24"/>
      <c r="M15080" s="24"/>
      <c r="N15080" s="24"/>
      <c r="O15080" s="24"/>
      <c r="P15080" s="24"/>
      <c r="Q15080" s="24"/>
      <c r="R15080" s="24"/>
      <c r="S15080" s="24"/>
      <c r="T15080" s="24"/>
      <c r="U15080" s="24"/>
      <c r="V15080" s="24"/>
      <c r="W15080" s="24"/>
      <c r="X15080" s="24"/>
      <c r="Y15080" s="24"/>
      <c r="Z15080" s="24"/>
      <c r="AA15080" s="24"/>
    </row>
    <row r="15081">
      <c r="A15081" s="24"/>
      <c r="B15081" s="25"/>
      <c r="C15081" s="24"/>
      <c r="D15081" s="26"/>
      <c r="E15081" s="24"/>
      <c r="F15081" s="24"/>
      <c r="G15081" s="24"/>
      <c r="H15081" s="24"/>
      <c r="I15081" s="24"/>
      <c r="J15081" s="24"/>
      <c r="K15081" s="24"/>
      <c r="L15081" s="24"/>
      <c r="M15081" s="24"/>
      <c r="N15081" s="24"/>
      <c r="O15081" s="24"/>
      <c r="P15081" s="24"/>
      <c r="Q15081" s="24"/>
      <c r="R15081" s="24"/>
      <c r="S15081" s="24"/>
      <c r="T15081" s="24"/>
      <c r="U15081" s="24"/>
      <c r="V15081" s="24"/>
      <c r="W15081" s="24"/>
      <c r="X15081" s="24"/>
      <c r="Y15081" s="24"/>
      <c r="Z15081" s="24"/>
      <c r="AA15081" s="24"/>
    </row>
    <row r="15082">
      <c r="A15082" s="24"/>
      <c r="B15082" s="25"/>
      <c r="C15082" s="24"/>
      <c r="D15082" s="26"/>
      <c r="E15082" s="24"/>
      <c r="F15082" s="24"/>
      <c r="G15082" s="24"/>
      <c r="H15082" s="24"/>
      <c r="I15082" s="24"/>
      <c r="J15082" s="24"/>
      <c r="K15082" s="24"/>
      <c r="L15082" s="24"/>
      <c r="M15082" s="24"/>
      <c r="N15082" s="24"/>
      <c r="O15082" s="24"/>
      <c r="P15082" s="24"/>
      <c r="Q15082" s="24"/>
      <c r="R15082" s="24"/>
      <c r="S15082" s="24"/>
      <c r="T15082" s="24"/>
      <c r="U15082" s="24"/>
      <c r="V15082" s="24"/>
      <c r="W15082" s="24"/>
      <c r="X15082" s="24"/>
      <c r="Y15082" s="24"/>
      <c r="Z15082" s="24"/>
      <c r="AA15082" s="24"/>
    </row>
    <row r="15083">
      <c r="A15083" s="24"/>
      <c r="B15083" s="25"/>
      <c r="C15083" s="24"/>
      <c r="D15083" s="26"/>
      <c r="E15083" s="24"/>
      <c r="F15083" s="24"/>
      <c r="G15083" s="24"/>
      <c r="H15083" s="24"/>
      <c r="I15083" s="24"/>
      <c r="J15083" s="24"/>
      <c r="K15083" s="24"/>
      <c r="L15083" s="24"/>
      <c r="M15083" s="24"/>
      <c r="N15083" s="24"/>
      <c r="O15083" s="24"/>
      <c r="P15083" s="24"/>
      <c r="Q15083" s="24"/>
      <c r="R15083" s="24"/>
      <c r="S15083" s="24"/>
      <c r="T15083" s="24"/>
      <c r="U15083" s="24"/>
      <c r="V15083" s="24"/>
      <c r="W15083" s="24"/>
      <c r="X15083" s="24"/>
      <c r="Y15083" s="24"/>
      <c r="Z15083" s="24"/>
      <c r="AA15083" s="24"/>
    </row>
    <row r="15084">
      <c r="A15084" s="24"/>
      <c r="B15084" s="25"/>
      <c r="C15084" s="24"/>
      <c r="D15084" s="26"/>
      <c r="E15084" s="24"/>
      <c r="F15084" s="24"/>
      <c r="G15084" s="24"/>
      <c r="H15084" s="24"/>
      <c r="I15084" s="24"/>
      <c r="J15084" s="24"/>
      <c r="K15084" s="24"/>
      <c r="L15084" s="24"/>
      <c r="M15084" s="24"/>
      <c r="N15084" s="24"/>
      <c r="O15084" s="24"/>
      <c r="P15084" s="24"/>
      <c r="Q15084" s="24"/>
      <c r="R15084" s="24"/>
      <c r="S15084" s="24"/>
      <c r="T15084" s="24"/>
      <c r="U15084" s="24"/>
      <c r="V15084" s="24"/>
      <c r="W15084" s="24"/>
      <c r="X15084" s="24"/>
      <c r="Y15084" s="24"/>
      <c r="Z15084" s="24"/>
      <c r="AA15084" s="24"/>
    </row>
    <row r="15085">
      <c r="A15085" s="24"/>
      <c r="B15085" s="25"/>
      <c r="C15085" s="24"/>
      <c r="D15085" s="26"/>
      <c r="E15085" s="24"/>
      <c r="F15085" s="24"/>
      <c r="G15085" s="24"/>
      <c r="H15085" s="24"/>
      <c r="I15085" s="24"/>
      <c r="J15085" s="24"/>
      <c r="K15085" s="24"/>
      <c r="L15085" s="24"/>
      <c r="M15085" s="24"/>
      <c r="N15085" s="24"/>
      <c r="O15085" s="24"/>
      <c r="P15085" s="24"/>
      <c r="Q15085" s="24"/>
      <c r="R15085" s="24"/>
      <c r="S15085" s="24"/>
      <c r="T15085" s="24"/>
      <c r="U15085" s="24"/>
      <c r="V15085" s="24"/>
      <c r="W15085" s="24"/>
      <c r="X15085" s="24"/>
      <c r="Y15085" s="24"/>
      <c r="Z15085" s="24"/>
      <c r="AA15085" s="24"/>
    </row>
    <row r="15086">
      <c r="A15086" s="24"/>
      <c r="B15086" s="25"/>
      <c r="C15086" s="24"/>
      <c r="D15086" s="26"/>
      <c r="E15086" s="24"/>
      <c r="F15086" s="24"/>
      <c r="G15086" s="24"/>
      <c r="H15086" s="24"/>
      <c r="I15086" s="24"/>
      <c r="J15086" s="24"/>
      <c r="K15086" s="24"/>
      <c r="L15086" s="24"/>
      <c r="M15086" s="24"/>
      <c r="N15086" s="24"/>
      <c r="O15086" s="24"/>
      <c r="P15086" s="24"/>
      <c r="Q15086" s="24"/>
      <c r="R15086" s="24"/>
      <c r="S15086" s="24"/>
      <c r="T15086" s="24"/>
      <c r="U15086" s="24"/>
      <c r="V15086" s="24"/>
      <c r="W15086" s="24"/>
      <c r="X15086" s="24"/>
      <c r="Y15086" s="24"/>
      <c r="Z15086" s="24"/>
      <c r="AA15086" s="24"/>
    </row>
    <row r="15087">
      <c r="A15087" s="24"/>
      <c r="B15087" s="25"/>
      <c r="C15087" s="24"/>
      <c r="D15087" s="26"/>
      <c r="E15087" s="24"/>
      <c r="F15087" s="24"/>
      <c r="G15087" s="24"/>
      <c r="H15087" s="24"/>
      <c r="I15087" s="24"/>
      <c r="J15087" s="24"/>
      <c r="K15087" s="24"/>
      <c r="L15087" s="24"/>
      <c r="M15087" s="24"/>
      <c r="N15087" s="24"/>
      <c r="O15087" s="24"/>
      <c r="P15087" s="24"/>
      <c r="Q15087" s="24"/>
      <c r="R15087" s="24"/>
      <c r="S15087" s="24"/>
      <c r="T15087" s="24"/>
      <c r="U15087" s="24"/>
      <c r="V15087" s="24"/>
      <c r="W15087" s="24"/>
      <c r="X15087" s="24"/>
      <c r="Y15087" s="24"/>
      <c r="Z15087" s="24"/>
      <c r="AA15087" s="24"/>
    </row>
    <row r="15088">
      <c r="A15088" s="24"/>
      <c r="B15088" s="25"/>
      <c r="C15088" s="24"/>
      <c r="D15088" s="26"/>
      <c r="E15088" s="24"/>
      <c r="F15088" s="24"/>
      <c r="G15088" s="24"/>
      <c r="H15088" s="24"/>
      <c r="I15088" s="24"/>
      <c r="J15088" s="24"/>
      <c r="K15088" s="24"/>
      <c r="L15088" s="24"/>
      <c r="M15088" s="24"/>
      <c r="N15088" s="24"/>
      <c r="O15088" s="24"/>
      <c r="P15088" s="24"/>
      <c r="Q15088" s="24"/>
      <c r="R15088" s="24"/>
      <c r="S15088" s="24"/>
      <c r="T15088" s="24"/>
      <c r="U15088" s="24"/>
      <c r="V15088" s="24"/>
      <c r="W15088" s="24"/>
      <c r="X15088" s="24"/>
      <c r="Y15088" s="24"/>
      <c r="Z15088" s="24"/>
      <c r="AA15088" s="24"/>
    </row>
    <row r="15089">
      <c r="A15089" s="24"/>
      <c r="B15089" s="25"/>
      <c r="C15089" s="24"/>
      <c r="D15089" s="26"/>
      <c r="E15089" s="24"/>
      <c r="F15089" s="24"/>
      <c r="G15089" s="24"/>
      <c r="H15089" s="24"/>
      <c r="I15089" s="24"/>
      <c r="J15089" s="24"/>
      <c r="K15089" s="24"/>
      <c r="L15089" s="24"/>
      <c r="M15089" s="24"/>
      <c r="N15089" s="24"/>
      <c r="O15089" s="24"/>
      <c r="P15089" s="24"/>
      <c r="Q15089" s="24"/>
      <c r="R15089" s="24"/>
      <c r="S15089" s="24"/>
      <c r="T15089" s="24"/>
      <c r="U15089" s="24"/>
      <c r="V15089" s="24"/>
      <c r="W15089" s="24"/>
      <c r="X15089" s="24"/>
      <c r="Y15089" s="24"/>
      <c r="Z15089" s="24"/>
      <c r="AA15089" s="24"/>
    </row>
    <row r="15090">
      <c r="A15090" s="24"/>
      <c r="B15090" s="25"/>
      <c r="C15090" s="24"/>
      <c r="D15090" s="26"/>
      <c r="E15090" s="24"/>
      <c r="F15090" s="24"/>
      <c r="G15090" s="24"/>
      <c r="H15090" s="24"/>
      <c r="I15090" s="24"/>
      <c r="J15090" s="24"/>
      <c r="K15090" s="24"/>
      <c r="L15090" s="24"/>
      <c r="M15090" s="24"/>
      <c r="N15090" s="24"/>
      <c r="O15090" s="24"/>
      <c r="P15090" s="24"/>
      <c r="Q15090" s="24"/>
      <c r="R15090" s="24"/>
      <c r="S15090" s="24"/>
      <c r="T15090" s="24"/>
      <c r="U15090" s="24"/>
      <c r="V15090" s="24"/>
      <c r="W15090" s="24"/>
      <c r="X15090" s="24"/>
      <c r="Y15090" s="24"/>
      <c r="Z15090" s="24"/>
      <c r="AA15090" s="24"/>
    </row>
    <row r="15091">
      <c r="A15091" s="24"/>
      <c r="B15091" s="25"/>
      <c r="C15091" s="24"/>
      <c r="D15091" s="26"/>
      <c r="E15091" s="24"/>
      <c r="F15091" s="24"/>
      <c r="G15091" s="24"/>
      <c r="H15091" s="24"/>
      <c r="I15091" s="24"/>
      <c r="J15091" s="24"/>
      <c r="K15091" s="24"/>
      <c r="L15091" s="24"/>
      <c r="M15091" s="24"/>
      <c r="N15091" s="24"/>
      <c r="O15091" s="24"/>
      <c r="P15091" s="24"/>
      <c r="Q15091" s="24"/>
      <c r="R15091" s="24"/>
      <c r="S15091" s="24"/>
      <c r="T15091" s="24"/>
      <c r="U15091" s="24"/>
      <c r="V15091" s="24"/>
      <c r="W15091" s="24"/>
      <c r="X15091" s="24"/>
      <c r="Y15091" s="24"/>
      <c r="Z15091" s="24"/>
      <c r="AA15091" s="24"/>
    </row>
    <row r="15092">
      <c r="A15092" s="24"/>
      <c r="B15092" s="25"/>
      <c r="C15092" s="24"/>
      <c r="D15092" s="26"/>
      <c r="E15092" s="24"/>
      <c r="F15092" s="24"/>
      <c r="G15092" s="24"/>
      <c r="H15092" s="24"/>
      <c r="I15092" s="24"/>
      <c r="J15092" s="24"/>
      <c r="K15092" s="24"/>
      <c r="L15092" s="24"/>
      <c r="M15092" s="24"/>
      <c r="N15092" s="24"/>
      <c r="O15092" s="24"/>
      <c r="P15092" s="24"/>
      <c r="Q15092" s="24"/>
      <c r="R15092" s="24"/>
      <c r="S15092" s="24"/>
      <c r="T15092" s="24"/>
      <c r="U15092" s="24"/>
      <c r="V15092" s="24"/>
      <c r="W15092" s="24"/>
      <c r="X15092" s="24"/>
      <c r="Y15092" s="24"/>
      <c r="Z15092" s="24"/>
      <c r="AA15092" s="24"/>
    </row>
    <row r="15093">
      <c r="A15093" s="24"/>
      <c r="B15093" s="25"/>
      <c r="C15093" s="24"/>
      <c r="D15093" s="26"/>
      <c r="E15093" s="24"/>
      <c r="F15093" s="24"/>
      <c r="G15093" s="24"/>
      <c r="H15093" s="24"/>
      <c r="I15093" s="24"/>
      <c r="J15093" s="24"/>
      <c r="K15093" s="24"/>
      <c r="L15093" s="24"/>
      <c r="M15093" s="24"/>
      <c r="N15093" s="24"/>
      <c r="O15093" s="24"/>
      <c r="P15093" s="24"/>
      <c r="Q15093" s="24"/>
      <c r="R15093" s="24"/>
      <c r="S15093" s="24"/>
      <c r="T15093" s="24"/>
      <c r="U15093" s="24"/>
      <c r="V15093" s="24"/>
      <c r="W15093" s="24"/>
      <c r="X15093" s="24"/>
      <c r="Y15093" s="24"/>
      <c r="Z15093" s="24"/>
      <c r="AA15093" s="24"/>
    </row>
    <row r="15094">
      <c r="A15094" s="24"/>
      <c r="B15094" s="25"/>
      <c r="C15094" s="24"/>
      <c r="D15094" s="26"/>
      <c r="E15094" s="24"/>
      <c r="F15094" s="24"/>
      <c r="G15094" s="24"/>
      <c r="H15094" s="24"/>
      <c r="I15094" s="24"/>
      <c r="J15094" s="24"/>
      <c r="K15094" s="24"/>
      <c r="L15094" s="24"/>
      <c r="M15094" s="24"/>
      <c r="N15094" s="24"/>
      <c r="O15094" s="24"/>
      <c r="P15094" s="24"/>
      <c r="Q15094" s="24"/>
      <c r="R15094" s="24"/>
      <c r="S15094" s="24"/>
      <c r="T15094" s="24"/>
      <c r="U15094" s="24"/>
      <c r="V15094" s="24"/>
      <c r="W15094" s="24"/>
      <c r="X15094" s="24"/>
      <c r="Y15094" s="24"/>
      <c r="Z15094" s="24"/>
      <c r="AA15094" s="24"/>
    </row>
    <row r="15095">
      <c r="A15095" s="24"/>
      <c r="B15095" s="25"/>
      <c r="C15095" s="24"/>
      <c r="D15095" s="26"/>
      <c r="E15095" s="24"/>
      <c r="F15095" s="24"/>
      <c r="G15095" s="24"/>
      <c r="H15095" s="24"/>
      <c r="I15095" s="24"/>
      <c r="J15095" s="24"/>
      <c r="K15095" s="24"/>
      <c r="L15095" s="24"/>
      <c r="M15095" s="24"/>
      <c r="N15095" s="24"/>
      <c r="O15095" s="24"/>
      <c r="P15095" s="24"/>
      <c r="Q15095" s="24"/>
      <c r="R15095" s="24"/>
      <c r="S15095" s="24"/>
      <c r="T15095" s="24"/>
      <c r="U15095" s="24"/>
      <c r="V15095" s="24"/>
      <c r="W15095" s="24"/>
      <c r="X15095" s="24"/>
      <c r="Y15095" s="24"/>
      <c r="Z15095" s="24"/>
      <c r="AA15095" s="24"/>
    </row>
    <row r="15096">
      <c r="A15096" s="24"/>
      <c r="B15096" s="25"/>
      <c r="C15096" s="24"/>
      <c r="D15096" s="26"/>
      <c r="E15096" s="24"/>
      <c r="F15096" s="24"/>
      <c r="G15096" s="24"/>
      <c r="H15096" s="24"/>
      <c r="I15096" s="24"/>
      <c r="J15096" s="24"/>
      <c r="K15096" s="24"/>
      <c r="L15096" s="24"/>
      <c r="M15096" s="24"/>
      <c r="N15096" s="24"/>
      <c r="O15096" s="24"/>
      <c r="P15096" s="24"/>
      <c r="Q15096" s="24"/>
      <c r="R15096" s="24"/>
      <c r="S15096" s="24"/>
      <c r="T15096" s="24"/>
      <c r="U15096" s="24"/>
      <c r="V15096" s="24"/>
      <c r="W15096" s="24"/>
      <c r="X15096" s="24"/>
      <c r="Y15096" s="24"/>
      <c r="Z15096" s="24"/>
      <c r="AA15096" s="24"/>
    </row>
    <row r="15097">
      <c r="A15097" s="24"/>
      <c r="B15097" s="25"/>
      <c r="C15097" s="24"/>
      <c r="D15097" s="26"/>
      <c r="E15097" s="24"/>
      <c r="F15097" s="24"/>
      <c r="G15097" s="24"/>
      <c r="H15097" s="24"/>
      <c r="I15097" s="24"/>
      <c r="J15097" s="24"/>
      <c r="K15097" s="24"/>
      <c r="L15097" s="24"/>
      <c r="M15097" s="24"/>
      <c r="N15097" s="24"/>
      <c r="O15097" s="24"/>
      <c r="P15097" s="24"/>
      <c r="Q15097" s="24"/>
      <c r="R15097" s="24"/>
      <c r="S15097" s="24"/>
      <c r="T15097" s="24"/>
      <c r="U15097" s="24"/>
      <c r="V15097" s="24"/>
      <c r="W15097" s="24"/>
      <c r="X15097" s="24"/>
      <c r="Y15097" s="24"/>
      <c r="Z15097" s="24"/>
      <c r="AA15097" s="24"/>
    </row>
    <row r="15098">
      <c r="A15098" s="24"/>
      <c r="B15098" s="25"/>
      <c r="C15098" s="24"/>
      <c r="D15098" s="26"/>
      <c r="E15098" s="24"/>
      <c r="F15098" s="24"/>
      <c r="G15098" s="24"/>
      <c r="H15098" s="24"/>
      <c r="I15098" s="24"/>
      <c r="J15098" s="24"/>
      <c r="K15098" s="24"/>
      <c r="L15098" s="24"/>
      <c r="M15098" s="24"/>
      <c r="N15098" s="24"/>
      <c r="O15098" s="24"/>
      <c r="P15098" s="24"/>
      <c r="Q15098" s="24"/>
      <c r="R15098" s="24"/>
      <c r="S15098" s="24"/>
      <c r="T15098" s="24"/>
      <c r="U15098" s="24"/>
      <c r="V15098" s="24"/>
      <c r="W15098" s="24"/>
      <c r="X15098" s="24"/>
      <c r="Y15098" s="24"/>
      <c r="Z15098" s="24"/>
      <c r="AA15098" s="24"/>
    </row>
    <row r="15099">
      <c r="A15099" s="24"/>
      <c r="B15099" s="25"/>
      <c r="C15099" s="24"/>
      <c r="D15099" s="26"/>
      <c r="E15099" s="24"/>
      <c r="F15099" s="24"/>
      <c r="G15099" s="24"/>
      <c r="H15099" s="24"/>
      <c r="I15099" s="24"/>
      <c r="J15099" s="24"/>
      <c r="K15099" s="24"/>
      <c r="L15099" s="24"/>
      <c r="M15099" s="24"/>
      <c r="N15099" s="24"/>
      <c r="O15099" s="24"/>
      <c r="P15099" s="24"/>
      <c r="Q15099" s="24"/>
      <c r="R15099" s="24"/>
      <c r="S15099" s="24"/>
      <c r="T15099" s="24"/>
      <c r="U15099" s="24"/>
      <c r="V15099" s="24"/>
      <c r="W15099" s="24"/>
      <c r="X15099" s="24"/>
      <c r="Y15099" s="24"/>
      <c r="Z15099" s="24"/>
      <c r="AA15099" s="24"/>
    </row>
    <row r="15100">
      <c r="A15100" s="24"/>
      <c r="B15100" s="25"/>
      <c r="C15100" s="24"/>
      <c r="D15100" s="26"/>
      <c r="E15100" s="24"/>
      <c r="F15100" s="24"/>
      <c r="G15100" s="24"/>
      <c r="H15100" s="24"/>
      <c r="I15100" s="24"/>
      <c r="J15100" s="24"/>
      <c r="K15100" s="24"/>
      <c r="L15100" s="24"/>
      <c r="M15100" s="24"/>
      <c r="N15100" s="24"/>
      <c r="O15100" s="24"/>
      <c r="P15100" s="24"/>
      <c r="Q15100" s="24"/>
      <c r="R15100" s="24"/>
      <c r="S15100" s="24"/>
      <c r="T15100" s="24"/>
      <c r="U15100" s="24"/>
      <c r="V15100" s="24"/>
      <c r="W15100" s="24"/>
      <c r="X15100" s="24"/>
      <c r="Y15100" s="24"/>
      <c r="Z15100" s="24"/>
      <c r="AA15100" s="24"/>
    </row>
    <row r="15101">
      <c r="A15101" s="24"/>
      <c r="B15101" s="25"/>
      <c r="C15101" s="24"/>
      <c r="D15101" s="26"/>
      <c r="E15101" s="24"/>
      <c r="F15101" s="24"/>
      <c r="G15101" s="24"/>
      <c r="H15101" s="24"/>
      <c r="I15101" s="24"/>
      <c r="J15101" s="24"/>
      <c r="K15101" s="24"/>
      <c r="L15101" s="24"/>
      <c r="M15101" s="24"/>
      <c r="N15101" s="24"/>
      <c r="O15101" s="24"/>
      <c r="P15101" s="24"/>
      <c r="Q15101" s="24"/>
      <c r="R15101" s="24"/>
      <c r="S15101" s="24"/>
      <c r="T15101" s="24"/>
      <c r="U15101" s="24"/>
      <c r="V15101" s="24"/>
      <c r="W15101" s="24"/>
      <c r="X15101" s="24"/>
      <c r="Y15101" s="24"/>
      <c r="Z15101" s="24"/>
      <c r="AA15101" s="24"/>
    </row>
    <row r="15102">
      <c r="A15102" s="24"/>
      <c r="B15102" s="25"/>
      <c r="C15102" s="24"/>
      <c r="D15102" s="26"/>
      <c r="E15102" s="24"/>
      <c r="F15102" s="24"/>
      <c r="G15102" s="24"/>
      <c r="H15102" s="24"/>
      <c r="I15102" s="24"/>
      <c r="J15102" s="24"/>
      <c r="K15102" s="24"/>
      <c r="L15102" s="24"/>
      <c r="M15102" s="24"/>
      <c r="N15102" s="24"/>
      <c r="O15102" s="24"/>
      <c r="P15102" s="24"/>
      <c r="Q15102" s="24"/>
      <c r="R15102" s="24"/>
      <c r="S15102" s="24"/>
      <c r="T15102" s="24"/>
      <c r="U15102" s="24"/>
      <c r="V15102" s="24"/>
      <c r="W15102" s="24"/>
      <c r="X15102" s="24"/>
      <c r="Y15102" s="24"/>
      <c r="Z15102" s="24"/>
      <c r="AA15102" s="24"/>
    </row>
    <row r="15103">
      <c r="A15103" s="24"/>
      <c r="B15103" s="25"/>
      <c r="C15103" s="24"/>
      <c r="D15103" s="26"/>
      <c r="E15103" s="24"/>
      <c r="F15103" s="24"/>
      <c r="G15103" s="24"/>
      <c r="H15103" s="24"/>
      <c r="I15103" s="24"/>
      <c r="J15103" s="24"/>
      <c r="K15103" s="24"/>
      <c r="L15103" s="24"/>
      <c r="M15103" s="24"/>
      <c r="N15103" s="24"/>
      <c r="O15103" s="24"/>
      <c r="P15103" s="24"/>
      <c r="Q15103" s="24"/>
      <c r="R15103" s="24"/>
      <c r="S15103" s="24"/>
      <c r="T15103" s="24"/>
      <c r="U15103" s="24"/>
      <c r="V15103" s="24"/>
      <c r="W15103" s="24"/>
      <c r="X15103" s="24"/>
      <c r="Y15103" s="24"/>
      <c r="Z15103" s="24"/>
      <c r="AA15103" s="24"/>
    </row>
    <row r="15104">
      <c r="A15104" s="24"/>
      <c r="B15104" s="25"/>
      <c r="C15104" s="24"/>
      <c r="D15104" s="26"/>
      <c r="E15104" s="24"/>
      <c r="F15104" s="24"/>
      <c r="G15104" s="24"/>
      <c r="H15104" s="24"/>
      <c r="I15104" s="24"/>
      <c r="J15104" s="24"/>
      <c r="K15104" s="24"/>
      <c r="L15104" s="24"/>
      <c r="M15104" s="24"/>
      <c r="N15104" s="24"/>
      <c r="O15104" s="24"/>
      <c r="P15104" s="24"/>
      <c r="Q15104" s="24"/>
      <c r="R15104" s="24"/>
      <c r="S15104" s="24"/>
      <c r="T15104" s="24"/>
      <c r="U15104" s="24"/>
      <c r="V15104" s="24"/>
      <c r="W15104" s="24"/>
      <c r="X15104" s="24"/>
      <c r="Y15104" s="24"/>
      <c r="Z15104" s="24"/>
      <c r="AA15104" s="24"/>
    </row>
    <row r="15105">
      <c r="A15105" s="24"/>
      <c r="B15105" s="25"/>
      <c r="C15105" s="24"/>
      <c r="D15105" s="26"/>
      <c r="E15105" s="24"/>
      <c r="F15105" s="24"/>
      <c r="G15105" s="24"/>
      <c r="H15105" s="24"/>
      <c r="I15105" s="24"/>
      <c r="J15105" s="24"/>
      <c r="K15105" s="24"/>
      <c r="L15105" s="24"/>
      <c r="M15105" s="24"/>
      <c r="N15105" s="24"/>
      <c r="O15105" s="24"/>
      <c r="P15105" s="24"/>
      <c r="Q15105" s="24"/>
      <c r="R15105" s="24"/>
      <c r="S15105" s="24"/>
      <c r="T15105" s="24"/>
      <c r="U15105" s="24"/>
      <c r="V15105" s="24"/>
      <c r="W15105" s="24"/>
      <c r="X15105" s="24"/>
      <c r="Y15105" s="24"/>
      <c r="Z15105" s="24"/>
      <c r="AA15105" s="24"/>
    </row>
    <row r="15106">
      <c r="A15106" s="24"/>
      <c r="B15106" s="25"/>
      <c r="C15106" s="24"/>
      <c r="D15106" s="26"/>
      <c r="E15106" s="24"/>
      <c r="F15106" s="24"/>
      <c r="G15106" s="24"/>
      <c r="H15106" s="24"/>
      <c r="I15106" s="24"/>
      <c r="J15106" s="24"/>
      <c r="K15106" s="24"/>
      <c r="L15106" s="24"/>
      <c r="M15106" s="24"/>
      <c r="N15106" s="24"/>
      <c r="O15106" s="24"/>
      <c r="P15106" s="24"/>
      <c r="Q15106" s="24"/>
      <c r="R15106" s="24"/>
      <c r="S15106" s="24"/>
      <c r="T15106" s="24"/>
      <c r="U15106" s="24"/>
      <c r="V15106" s="24"/>
      <c r="W15106" s="24"/>
      <c r="X15106" s="24"/>
      <c r="Y15106" s="24"/>
      <c r="Z15106" s="24"/>
      <c r="AA15106" s="24"/>
    </row>
    <row r="15107">
      <c r="A15107" s="24"/>
      <c r="B15107" s="25"/>
      <c r="C15107" s="24"/>
      <c r="D15107" s="26"/>
      <c r="E15107" s="24"/>
      <c r="F15107" s="24"/>
      <c r="G15107" s="24"/>
      <c r="H15107" s="24"/>
      <c r="I15107" s="24"/>
      <c r="J15107" s="24"/>
      <c r="K15107" s="24"/>
      <c r="L15107" s="24"/>
      <c r="M15107" s="24"/>
      <c r="N15107" s="24"/>
      <c r="O15107" s="24"/>
      <c r="P15107" s="24"/>
      <c r="Q15107" s="24"/>
      <c r="R15107" s="24"/>
      <c r="S15107" s="24"/>
      <c r="T15107" s="24"/>
      <c r="U15107" s="24"/>
      <c r="V15107" s="24"/>
      <c r="W15107" s="24"/>
      <c r="X15107" s="24"/>
      <c r="Y15107" s="24"/>
      <c r="Z15107" s="24"/>
      <c r="AA15107" s="24"/>
    </row>
    <row r="15108">
      <c r="A15108" s="24"/>
      <c r="B15108" s="25"/>
      <c r="C15108" s="24"/>
      <c r="D15108" s="26"/>
      <c r="E15108" s="24"/>
      <c r="F15108" s="24"/>
      <c r="G15108" s="24"/>
      <c r="H15108" s="24"/>
      <c r="I15108" s="24"/>
      <c r="J15108" s="24"/>
      <c r="K15108" s="24"/>
      <c r="L15108" s="24"/>
      <c r="M15108" s="24"/>
      <c r="N15108" s="24"/>
      <c r="O15108" s="24"/>
      <c r="P15108" s="24"/>
      <c r="Q15108" s="24"/>
      <c r="R15108" s="24"/>
      <c r="S15108" s="24"/>
      <c r="T15108" s="24"/>
      <c r="U15108" s="24"/>
      <c r="V15108" s="24"/>
      <c r="W15108" s="24"/>
      <c r="X15108" s="24"/>
      <c r="Y15108" s="24"/>
      <c r="Z15108" s="24"/>
      <c r="AA15108" s="24"/>
    </row>
    <row r="15109">
      <c r="A15109" s="24"/>
      <c r="B15109" s="25"/>
      <c r="C15109" s="24"/>
      <c r="D15109" s="26"/>
      <c r="E15109" s="24"/>
      <c r="F15109" s="24"/>
      <c r="G15109" s="24"/>
      <c r="H15109" s="24"/>
      <c r="I15109" s="24"/>
      <c r="J15109" s="24"/>
      <c r="K15109" s="24"/>
      <c r="L15109" s="24"/>
      <c r="M15109" s="24"/>
      <c r="N15109" s="24"/>
      <c r="O15109" s="24"/>
      <c r="P15109" s="24"/>
      <c r="Q15109" s="24"/>
      <c r="R15109" s="24"/>
      <c r="S15109" s="24"/>
      <c r="T15109" s="24"/>
      <c r="U15109" s="24"/>
      <c r="V15109" s="24"/>
      <c r="W15109" s="24"/>
      <c r="X15109" s="24"/>
      <c r="Y15109" s="24"/>
      <c r="Z15109" s="24"/>
      <c r="AA15109" s="24"/>
    </row>
    <row r="15110">
      <c r="A15110" s="24"/>
      <c r="B15110" s="25"/>
      <c r="C15110" s="24"/>
      <c r="D15110" s="26"/>
      <c r="E15110" s="24"/>
      <c r="F15110" s="24"/>
      <c r="G15110" s="24"/>
      <c r="H15110" s="24"/>
      <c r="I15110" s="24"/>
      <c r="J15110" s="24"/>
      <c r="K15110" s="24"/>
      <c r="L15110" s="24"/>
      <c r="M15110" s="24"/>
      <c r="N15110" s="24"/>
      <c r="O15110" s="24"/>
      <c r="P15110" s="24"/>
      <c r="Q15110" s="24"/>
      <c r="R15110" s="24"/>
      <c r="S15110" s="24"/>
      <c r="T15110" s="24"/>
      <c r="U15110" s="24"/>
      <c r="V15110" s="24"/>
      <c r="W15110" s="24"/>
      <c r="X15110" s="24"/>
      <c r="Y15110" s="24"/>
      <c r="Z15110" s="24"/>
      <c r="AA15110" s="24"/>
    </row>
    <row r="15111">
      <c r="A15111" s="24"/>
      <c r="B15111" s="25"/>
      <c r="C15111" s="24"/>
      <c r="D15111" s="26"/>
      <c r="E15111" s="24"/>
      <c r="F15111" s="24"/>
      <c r="G15111" s="24"/>
      <c r="H15111" s="24"/>
      <c r="I15111" s="24"/>
      <c r="J15111" s="24"/>
      <c r="K15111" s="24"/>
      <c r="L15111" s="24"/>
      <c r="M15111" s="24"/>
      <c r="N15111" s="24"/>
      <c r="O15111" s="24"/>
      <c r="P15111" s="24"/>
      <c r="Q15111" s="24"/>
      <c r="R15111" s="24"/>
      <c r="S15111" s="24"/>
      <c r="T15111" s="24"/>
      <c r="U15111" s="24"/>
      <c r="V15111" s="24"/>
      <c r="W15111" s="24"/>
      <c r="X15111" s="24"/>
      <c r="Y15111" s="24"/>
      <c r="Z15111" s="24"/>
      <c r="AA15111" s="24"/>
    </row>
    <row r="15112">
      <c r="A15112" s="24"/>
      <c r="B15112" s="25"/>
      <c r="C15112" s="24"/>
      <c r="D15112" s="26"/>
      <c r="E15112" s="24"/>
      <c r="F15112" s="24"/>
      <c r="G15112" s="24"/>
      <c r="H15112" s="24"/>
      <c r="I15112" s="24"/>
      <c r="J15112" s="24"/>
      <c r="K15112" s="24"/>
      <c r="L15112" s="24"/>
      <c r="M15112" s="24"/>
      <c r="N15112" s="24"/>
      <c r="O15112" s="24"/>
      <c r="P15112" s="24"/>
      <c r="Q15112" s="24"/>
      <c r="R15112" s="24"/>
      <c r="S15112" s="24"/>
      <c r="T15112" s="24"/>
      <c r="U15112" s="24"/>
      <c r="V15112" s="24"/>
      <c r="W15112" s="24"/>
      <c r="X15112" s="24"/>
      <c r="Y15112" s="24"/>
      <c r="Z15112" s="24"/>
      <c r="AA15112" s="24"/>
    </row>
    <row r="15113">
      <c r="A15113" s="24"/>
      <c r="B15113" s="25"/>
      <c r="C15113" s="24"/>
      <c r="D15113" s="26"/>
      <c r="E15113" s="24"/>
      <c r="F15113" s="24"/>
      <c r="G15113" s="24"/>
      <c r="H15113" s="24"/>
      <c r="I15113" s="24"/>
      <c r="J15113" s="24"/>
      <c r="K15113" s="24"/>
      <c r="L15113" s="24"/>
      <c r="M15113" s="24"/>
      <c r="N15113" s="24"/>
      <c r="O15113" s="24"/>
      <c r="P15113" s="24"/>
      <c r="Q15113" s="24"/>
      <c r="R15113" s="24"/>
      <c r="S15113" s="24"/>
      <c r="T15113" s="24"/>
      <c r="U15113" s="24"/>
      <c r="V15113" s="24"/>
      <c r="W15113" s="24"/>
      <c r="X15113" s="24"/>
      <c r="Y15113" s="24"/>
      <c r="Z15113" s="24"/>
      <c r="AA15113" s="24"/>
    </row>
    <row r="15114">
      <c r="A15114" s="24"/>
      <c r="B15114" s="25"/>
      <c r="C15114" s="24"/>
      <c r="D15114" s="26"/>
      <c r="E15114" s="24"/>
      <c r="F15114" s="24"/>
      <c r="G15114" s="24"/>
      <c r="H15114" s="24"/>
      <c r="I15114" s="24"/>
      <c r="J15114" s="24"/>
      <c r="K15114" s="24"/>
      <c r="L15114" s="24"/>
      <c r="M15114" s="24"/>
      <c r="N15114" s="24"/>
      <c r="O15114" s="24"/>
      <c r="P15114" s="24"/>
      <c r="Q15114" s="24"/>
      <c r="R15114" s="24"/>
      <c r="S15114" s="24"/>
      <c r="T15114" s="24"/>
      <c r="U15114" s="24"/>
      <c r="V15114" s="24"/>
      <c r="W15114" s="24"/>
      <c r="X15114" s="24"/>
      <c r="Y15114" s="24"/>
      <c r="Z15114" s="24"/>
      <c r="AA15114" s="24"/>
    </row>
    <row r="15115">
      <c r="A15115" s="24"/>
      <c r="B15115" s="25"/>
      <c r="C15115" s="24"/>
      <c r="D15115" s="26"/>
      <c r="E15115" s="24"/>
      <c r="F15115" s="24"/>
      <c r="G15115" s="24"/>
      <c r="H15115" s="24"/>
      <c r="I15115" s="24"/>
      <c r="J15115" s="24"/>
      <c r="K15115" s="24"/>
      <c r="L15115" s="24"/>
      <c r="M15115" s="24"/>
      <c r="N15115" s="24"/>
      <c r="O15115" s="24"/>
      <c r="P15115" s="24"/>
      <c r="Q15115" s="24"/>
      <c r="R15115" s="24"/>
      <c r="S15115" s="24"/>
      <c r="T15115" s="24"/>
      <c r="U15115" s="24"/>
      <c r="V15115" s="24"/>
      <c r="W15115" s="24"/>
      <c r="X15115" s="24"/>
      <c r="Y15115" s="24"/>
      <c r="Z15115" s="24"/>
      <c r="AA15115" s="24"/>
    </row>
    <row r="15116">
      <c r="A15116" s="24"/>
      <c r="B15116" s="25"/>
      <c r="C15116" s="24"/>
      <c r="D15116" s="26"/>
      <c r="E15116" s="24"/>
      <c r="F15116" s="24"/>
      <c r="G15116" s="24"/>
      <c r="H15116" s="24"/>
      <c r="I15116" s="24"/>
      <c r="J15116" s="24"/>
      <c r="K15116" s="24"/>
      <c r="L15116" s="24"/>
      <c r="M15116" s="24"/>
      <c r="N15116" s="24"/>
      <c r="O15116" s="24"/>
      <c r="P15116" s="24"/>
      <c r="Q15116" s="24"/>
      <c r="R15116" s="24"/>
      <c r="S15116" s="24"/>
      <c r="T15116" s="24"/>
      <c r="U15116" s="24"/>
      <c r="V15116" s="24"/>
      <c r="W15116" s="24"/>
      <c r="X15116" s="24"/>
      <c r="Y15116" s="24"/>
      <c r="Z15116" s="24"/>
      <c r="AA15116" s="24"/>
    </row>
    <row r="15117">
      <c r="A15117" s="24"/>
      <c r="B15117" s="25"/>
      <c r="C15117" s="24"/>
      <c r="D15117" s="26"/>
      <c r="E15117" s="24"/>
      <c r="F15117" s="24"/>
      <c r="G15117" s="24"/>
      <c r="H15117" s="24"/>
      <c r="I15117" s="24"/>
      <c r="J15117" s="24"/>
      <c r="K15117" s="24"/>
      <c r="L15117" s="24"/>
      <c r="M15117" s="24"/>
      <c r="N15117" s="24"/>
      <c r="O15117" s="24"/>
      <c r="P15117" s="24"/>
      <c r="Q15117" s="24"/>
      <c r="R15117" s="24"/>
      <c r="S15117" s="24"/>
      <c r="T15117" s="24"/>
      <c r="U15117" s="24"/>
      <c r="V15117" s="24"/>
      <c r="W15117" s="24"/>
      <c r="X15117" s="24"/>
      <c r="Y15117" s="24"/>
      <c r="Z15117" s="24"/>
      <c r="AA15117" s="24"/>
    </row>
    <row r="15118">
      <c r="A15118" s="24"/>
      <c r="B15118" s="25"/>
      <c r="C15118" s="24"/>
      <c r="D15118" s="26"/>
      <c r="E15118" s="24"/>
      <c r="F15118" s="24"/>
      <c r="G15118" s="24"/>
      <c r="H15118" s="24"/>
      <c r="I15118" s="24"/>
      <c r="J15118" s="24"/>
      <c r="K15118" s="24"/>
      <c r="L15118" s="24"/>
      <c r="M15118" s="24"/>
      <c r="N15118" s="24"/>
      <c r="O15118" s="24"/>
      <c r="P15118" s="24"/>
      <c r="Q15118" s="24"/>
      <c r="R15118" s="24"/>
      <c r="S15118" s="24"/>
      <c r="T15118" s="24"/>
      <c r="U15118" s="24"/>
      <c r="V15118" s="24"/>
      <c r="W15118" s="24"/>
      <c r="X15118" s="24"/>
      <c r="Y15118" s="24"/>
      <c r="Z15118" s="24"/>
      <c r="AA15118" s="24"/>
    </row>
    <row r="15119">
      <c r="A15119" s="24"/>
      <c r="B15119" s="25"/>
      <c r="C15119" s="24"/>
      <c r="D15119" s="26"/>
      <c r="E15119" s="24"/>
      <c r="F15119" s="24"/>
      <c r="G15119" s="24"/>
      <c r="H15119" s="24"/>
      <c r="I15119" s="24"/>
      <c r="J15119" s="24"/>
      <c r="K15119" s="24"/>
      <c r="L15119" s="24"/>
      <c r="M15119" s="24"/>
      <c r="N15119" s="24"/>
      <c r="O15119" s="24"/>
      <c r="P15119" s="24"/>
      <c r="Q15119" s="24"/>
      <c r="R15119" s="24"/>
      <c r="S15119" s="24"/>
      <c r="T15119" s="24"/>
      <c r="U15119" s="24"/>
      <c r="V15119" s="24"/>
      <c r="W15119" s="24"/>
      <c r="X15119" s="24"/>
      <c r="Y15119" s="24"/>
      <c r="Z15119" s="24"/>
      <c r="AA15119" s="24"/>
    </row>
    <row r="15120">
      <c r="A15120" s="24"/>
      <c r="B15120" s="25"/>
      <c r="C15120" s="24"/>
      <c r="D15120" s="26"/>
      <c r="E15120" s="24"/>
      <c r="F15120" s="24"/>
      <c r="G15120" s="24"/>
      <c r="H15120" s="24"/>
      <c r="I15120" s="24"/>
      <c r="J15120" s="24"/>
      <c r="K15120" s="24"/>
      <c r="L15120" s="24"/>
      <c r="M15120" s="24"/>
      <c r="N15120" s="24"/>
      <c r="O15120" s="24"/>
      <c r="P15120" s="24"/>
      <c r="Q15120" s="24"/>
      <c r="R15120" s="24"/>
      <c r="S15120" s="24"/>
      <c r="T15120" s="24"/>
      <c r="U15120" s="24"/>
      <c r="V15120" s="24"/>
      <c r="W15120" s="24"/>
      <c r="X15120" s="24"/>
      <c r="Y15120" s="24"/>
      <c r="Z15120" s="24"/>
      <c r="AA15120" s="24"/>
    </row>
    <row r="15121">
      <c r="A15121" s="24"/>
      <c r="B15121" s="25"/>
      <c r="C15121" s="24"/>
      <c r="D15121" s="26"/>
      <c r="E15121" s="24"/>
      <c r="F15121" s="24"/>
      <c r="G15121" s="24"/>
      <c r="H15121" s="24"/>
      <c r="I15121" s="24"/>
      <c r="J15121" s="24"/>
      <c r="K15121" s="24"/>
      <c r="L15121" s="24"/>
      <c r="M15121" s="24"/>
      <c r="N15121" s="24"/>
      <c r="O15121" s="24"/>
      <c r="P15121" s="24"/>
      <c r="Q15121" s="24"/>
      <c r="R15121" s="24"/>
      <c r="S15121" s="24"/>
      <c r="T15121" s="24"/>
      <c r="U15121" s="24"/>
      <c r="V15121" s="24"/>
      <c r="W15121" s="24"/>
      <c r="X15121" s="24"/>
      <c r="Y15121" s="24"/>
      <c r="Z15121" s="24"/>
      <c r="AA15121" s="24"/>
    </row>
    <row r="15122">
      <c r="A15122" s="24"/>
      <c r="B15122" s="25"/>
      <c r="C15122" s="24"/>
      <c r="D15122" s="26"/>
      <c r="E15122" s="24"/>
      <c r="F15122" s="24"/>
      <c r="G15122" s="24"/>
      <c r="H15122" s="24"/>
      <c r="I15122" s="24"/>
      <c r="J15122" s="24"/>
      <c r="K15122" s="24"/>
      <c r="L15122" s="24"/>
      <c r="M15122" s="24"/>
      <c r="N15122" s="24"/>
      <c r="O15122" s="24"/>
      <c r="P15122" s="24"/>
      <c r="Q15122" s="24"/>
      <c r="R15122" s="24"/>
      <c r="S15122" s="24"/>
      <c r="T15122" s="24"/>
      <c r="U15122" s="24"/>
      <c r="V15122" s="24"/>
      <c r="W15122" s="24"/>
      <c r="X15122" s="24"/>
      <c r="Y15122" s="24"/>
      <c r="Z15122" s="24"/>
      <c r="AA15122" s="24"/>
    </row>
    <row r="15123">
      <c r="A15123" s="24"/>
      <c r="B15123" s="25"/>
      <c r="C15123" s="24"/>
      <c r="D15123" s="26"/>
      <c r="E15123" s="24"/>
      <c r="F15123" s="24"/>
      <c r="G15123" s="24"/>
      <c r="H15123" s="24"/>
      <c r="I15123" s="24"/>
      <c r="J15123" s="24"/>
      <c r="K15123" s="24"/>
      <c r="L15123" s="24"/>
      <c r="M15123" s="24"/>
      <c r="N15123" s="24"/>
      <c r="O15123" s="24"/>
      <c r="P15123" s="24"/>
      <c r="Q15123" s="24"/>
      <c r="R15123" s="24"/>
      <c r="S15123" s="24"/>
      <c r="T15123" s="24"/>
      <c r="U15123" s="24"/>
      <c r="V15123" s="24"/>
      <c r="W15123" s="24"/>
      <c r="X15123" s="24"/>
      <c r="Y15123" s="24"/>
      <c r="Z15123" s="24"/>
      <c r="AA15123" s="24"/>
    </row>
    <row r="15124">
      <c r="A15124" s="24"/>
      <c r="B15124" s="25"/>
      <c r="C15124" s="24"/>
      <c r="D15124" s="26"/>
      <c r="E15124" s="24"/>
      <c r="F15124" s="24"/>
      <c r="G15124" s="24"/>
      <c r="H15124" s="24"/>
      <c r="I15124" s="24"/>
      <c r="J15124" s="24"/>
      <c r="K15124" s="24"/>
      <c r="L15124" s="24"/>
      <c r="M15124" s="24"/>
      <c r="N15124" s="24"/>
      <c r="O15124" s="24"/>
      <c r="P15124" s="24"/>
      <c r="Q15124" s="24"/>
      <c r="R15124" s="24"/>
      <c r="S15124" s="24"/>
      <c r="T15124" s="24"/>
      <c r="U15124" s="24"/>
      <c r="V15124" s="24"/>
      <c r="W15124" s="24"/>
      <c r="X15124" s="24"/>
      <c r="Y15124" s="24"/>
      <c r="Z15124" s="24"/>
      <c r="AA15124" s="24"/>
    </row>
    <row r="15125">
      <c r="A15125" s="24"/>
      <c r="B15125" s="25"/>
      <c r="C15125" s="24"/>
      <c r="D15125" s="26"/>
      <c r="E15125" s="24"/>
      <c r="F15125" s="24"/>
      <c r="G15125" s="24"/>
      <c r="H15125" s="24"/>
      <c r="I15125" s="24"/>
      <c r="J15125" s="24"/>
      <c r="K15125" s="24"/>
      <c r="L15125" s="24"/>
      <c r="M15125" s="24"/>
      <c r="N15125" s="24"/>
      <c r="O15125" s="24"/>
      <c r="P15125" s="24"/>
      <c r="Q15125" s="24"/>
      <c r="R15125" s="24"/>
      <c r="S15125" s="24"/>
      <c r="T15125" s="24"/>
      <c r="U15125" s="24"/>
      <c r="V15125" s="24"/>
      <c r="W15125" s="24"/>
      <c r="X15125" s="24"/>
      <c r="Y15125" s="24"/>
      <c r="Z15125" s="24"/>
      <c r="AA15125" s="24"/>
    </row>
    <row r="15126">
      <c r="A15126" s="24"/>
      <c r="B15126" s="25"/>
      <c r="C15126" s="24"/>
      <c r="D15126" s="26"/>
      <c r="E15126" s="24"/>
      <c r="F15126" s="24"/>
      <c r="G15126" s="24"/>
      <c r="H15126" s="24"/>
      <c r="I15126" s="24"/>
      <c r="J15126" s="24"/>
      <c r="K15126" s="24"/>
      <c r="L15126" s="24"/>
      <c r="M15126" s="24"/>
      <c r="N15126" s="24"/>
      <c r="O15126" s="24"/>
      <c r="P15126" s="24"/>
      <c r="Q15126" s="24"/>
      <c r="R15126" s="24"/>
      <c r="S15126" s="24"/>
      <c r="T15126" s="24"/>
      <c r="U15126" s="24"/>
      <c r="V15126" s="24"/>
      <c r="W15126" s="24"/>
      <c r="X15126" s="24"/>
      <c r="Y15126" s="24"/>
      <c r="Z15126" s="24"/>
      <c r="AA15126" s="24"/>
    </row>
    <row r="15127">
      <c r="A15127" s="24"/>
      <c r="B15127" s="25"/>
      <c r="C15127" s="24"/>
      <c r="D15127" s="26"/>
      <c r="E15127" s="24"/>
      <c r="F15127" s="24"/>
      <c r="G15127" s="24"/>
      <c r="H15127" s="24"/>
      <c r="I15127" s="24"/>
      <c r="J15127" s="24"/>
      <c r="K15127" s="24"/>
      <c r="L15127" s="24"/>
      <c r="M15127" s="24"/>
      <c r="N15127" s="24"/>
      <c r="O15127" s="24"/>
      <c r="P15127" s="24"/>
      <c r="Q15127" s="24"/>
      <c r="R15127" s="24"/>
      <c r="S15127" s="24"/>
      <c r="T15127" s="24"/>
      <c r="U15127" s="24"/>
      <c r="V15127" s="24"/>
      <c r="W15127" s="24"/>
      <c r="X15127" s="24"/>
      <c r="Y15127" s="24"/>
      <c r="Z15127" s="24"/>
      <c r="AA15127" s="24"/>
    </row>
    <row r="15128">
      <c r="A15128" s="24"/>
      <c r="B15128" s="25"/>
      <c r="C15128" s="24"/>
      <c r="D15128" s="26"/>
      <c r="E15128" s="24"/>
      <c r="F15128" s="24"/>
      <c r="G15128" s="24"/>
      <c r="H15128" s="24"/>
      <c r="I15128" s="24"/>
      <c r="J15128" s="24"/>
      <c r="K15128" s="24"/>
      <c r="L15128" s="24"/>
      <c r="M15128" s="24"/>
      <c r="N15128" s="24"/>
      <c r="O15128" s="24"/>
      <c r="P15128" s="24"/>
      <c r="Q15128" s="24"/>
      <c r="R15128" s="24"/>
      <c r="S15128" s="24"/>
      <c r="T15128" s="24"/>
      <c r="U15128" s="24"/>
      <c r="V15128" s="24"/>
      <c r="W15128" s="24"/>
      <c r="X15128" s="24"/>
      <c r="Y15128" s="24"/>
      <c r="Z15128" s="24"/>
      <c r="AA15128" s="24"/>
    </row>
    <row r="15129">
      <c r="A15129" s="24"/>
      <c r="B15129" s="25"/>
      <c r="C15129" s="24"/>
      <c r="D15129" s="26"/>
      <c r="E15129" s="24"/>
      <c r="F15129" s="24"/>
      <c r="G15129" s="24"/>
      <c r="H15129" s="24"/>
      <c r="I15129" s="24"/>
      <c r="J15129" s="24"/>
      <c r="K15129" s="24"/>
      <c r="L15129" s="24"/>
      <c r="M15129" s="24"/>
      <c r="N15129" s="24"/>
      <c r="O15129" s="24"/>
      <c r="P15129" s="24"/>
      <c r="Q15129" s="24"/>
      <c r="R15129" s="24"/>
      <c r="S15129" s="24"/>
      <c r="T15129" s="24"/>
      <c r="U15129" s="24"/>
      <c r="V15129" s="24"/>
      <c r="W15129" s="24"/>
      <c r="X15129" s="24"/>
      <c r="Y15129" s="24"/>
      <c r="Z15129" s="24"/>
      <c r="AA15129" s="24"/>
    </row>
    <row r="15130">
      <c r="A15130" s="24"/>
      <c r="B15130" s="25"/>
      <c r="C15130" s="24"/>
      <c r="D15130" s="26"/>
      <c r="E15130" s="24"/>
      <c r="F15130" s="24"/>
      <c r="G15130" s="24"/>
      <c r="H15130" s="24"/>
      <c r="I15130" s="24"/>
      <c r="J15130" s="24"/>
      <c r="K15130" s="24"/>
      <c r="L15130" s="24"/>
      <c r="M15130" s="24"/>
      <c r="N15130" s="24"/>
      <c r="O15130" s="24"/>
      <c r="P15130" s="24"/>
      <c r="Q15130" s="24"/>
      <c r="R15130" s="24"/>
      <c r="S15130" s="24"/>
      <c r="T15130" s="24"/>
      <c r="U15130" s="24"/>
      <c r="V15130" s="24"/>
      <c r="W15130" s="24"/>
      <c r="X15130" s="24"/>
      <c r="Y15130" s="24"/>
      <c r="Z15130" s="24"/>
      <c r="AA15130" s="24"/>
    </row>
    <row r="15131">
      <c r="A15131" s="24"/>
      <c r="B15131" s="25"/>
      <c r="C15131" s="24"/>
      <c r="D15131" s="26"/>
      <c r="E15131" s="24"/>
      <c r="F15131" s="24"/>
      <c r="G15131" s="24"/>
      <c r="H15131" s="24"/>
      <c r="I15131" s="24"/>
      <c r="J15131" s="24"/>
      <c r="K15131" s="24"/>
      <c r="L15131" s="24"/>
      <c r="M15131" s="24"/>
      <c r="N15131" s="24"/>
      <c r="O15131" s="24"/>
      <c r="P15131" s="24"/>
      <c r="Q15131" s="24"/>
      <c r="R15131" s="24"/>
      <c r="S15131" s="24"/>
      <c r="T15131" s="24"/>
      <c r="U15131" s="24"/>
      <c r="V15131" s="24"/>
      <c r="W15131" s="24"/>
      <c r="X15131" s="24"/>
      <c r="Y15131" s="24"/>
      <c r="Z15131" s="24"/>
      <c r="AA15131" s="24"/>
    </row>
    <row r="15132">
      <c r="A15132" s="24"/>
      <c r="B15132" s="25"/>
      <c r="C15132" s="24"/>
      <c r="D15132" s="26"/>
      <c r="E15132" s="24"/>
      <c r="F15132" s="24"/>
      <c r="G15132" s="24"/>
      <c r="H15132" s="24"/>
      <c r="I15132" s="24"/>
      <c r="J15132" s="24"/>
      <c r="K15132" s="24"/>
      <c r="L15132" s="24"/>
      <c r="M15132" s="24"/>
      <c r="N15132" s="24"/>
      <c r="O15132" s="24"/>
      <c r="P15132" s="24"/>
      <c r="Q15132" s="24"/>
      <c r="R15132" s="24"/>
      <c r="S15132" s="24"/>
      <c r="T15132" s="24"/>
      <c r="U15132" s="24"/>
      <c r="V15132" s="24"/>
      <c r="W15132" s="24"/>
      <c r="X15132" s="24"/>
      <c r="Y15132" s="24"/>
      <c r="Z15132" s="24"/>
      <c r="AA15132" s="24"/>
    </row>
    <row r="15133">
      <c r="A15133" s="24"/>
      <c r="B15133" s="25"/>
      <c r="C15133" s="24"/>
      <c r="D15133" s="26"/>
      <c r="E15133" s="24"/>
      <c r="F15133" s="24"/>
      <c r="G15133" s="24"/>
      <c r="H15133" s="24"/>
      <c r="I15133" s="24"/>
      <c r="J15133" s="24"/>
      <c r="K15133" s="24"/>
      <c r="L15133" s="24"/>
      <c r="M15133" s="24"/>
      <c r="N15133" s="24"/>
      <c r="O15133" s="24"/>
      <c r="P15133" s="24"/>
      <c r="Q15133" s="24"/>
      <c r="R15133" s="24"/>
      <c r="S15133" s="24"/>
      <c r="T15133" s="24"/>
      <c r="U15133" s="24"/>
      <c r="V15133" s="24"/>
      <c r="W15133" s="24"/>
      <c r="X15133" s="24"/>
      <c r="Y15133" s="24"/>
      <c r="Z15133" s="24"/>
      <c r="AA15133" s="24"/>
    </row>
    <row r="15134">
      <c r="A15134" s="24"/>
      <c r="B15134" s="25"/>
      <c r="C15134" s="24"/>
      <c r="D15134" s="26"/>
      <c r="E15134" s="24"/>
      <c r="F15134" s="24"/>
      <c r="G15134" s="24"/>
      <c r="H15134" s="24"/>
      <c r="I15134" s="24"/>
      <c r="J15134" s="24"/>
      <c r="K15134" s="24"/>
      <c r="L15134" s="24"/>
      <c r="M15134" s="24"/>
      <c r="N15134" s="24"/>
      <c r="O15134" s="24"/>
      <c r="P15134" s="24"/>
      <c r="Q15134" s="24"/>
      <c r="R15134" s="24"/>
      <c r="S15134" s="24"/>
      <c r="T15134" s="24"/>
      <c r="U15134" s="24"/>
      <c r="V15134" s="24"/>
      <c r="W15134" s="24"/>
      <c r="X15134" s="24"/>
      <c r="Y15134" s="24"/>
      <c r="Z15134" s="24"/>
      <c r="AA15134" s="24"/>
    </row>
    <row r="15135">
      <c r="A15135" s="24"/>
      <c r="B15135" s="25"/>
      <c r="C15135" s="24"/>
      <c r="D15135" s="26"/>
      <c r="E15135" s="24"/>
      <c r="F15135" s="24"/>
      <c r="G15135" s="24"/>
      <c r="H15135" s="24"/>
      <c r="I15135" s="24"/>
      <c r="J15135" s="24"/>
      <c r="K15135" s="24"/>
      <c r="L15135" s="24"/>
      <c r="M15135" s="24"/>
      <c r="N15135" s="24"/>
      <c r="O15135" s="24"/>
      <c r="P15135" s="24"/>
      <c r="Q15135" s="24"/>
      <c r="R15135" s="24"/>
      <c r="S15135" s="24"/>
      <c r="T15135" s="24"/>
      <c r="U15135" s="24"/>
      <c r="V15135" s="24"/>
      <c r="W15135" s="24"/>
      <c r="X15135" s="24"/>
      <c r="Y15135" s="24"/>
      <c r="Z15135" s="24"/>
      <c r="AA15135" s="24"/>
    </row>
    <row r="15136">
      <c r="A15136" s="24"/>
      <c r="B15136" s="25"/>
      <c r="C15136" s="24"/>
      <c r="D15136" s="26"/>
      <c r="E15136" s="24"/>
      <c r="F15136" s="24"/>
      <c r="G15136" s="24"/>
      <c r="H15136" s="24"/>
      <c r="I15136" s="24"/>
      <c r="J15136" s="24"/>
      <c r="K15136" s="24"/>
      <c r="L15136" s="24"/>
      <c r="M15136" s="24"/>
      <c r="N15136" s="24"/>
      <c r="O15136" s="24"/>
      <c r="P15136" s="24"/>
      <c r="Q15136" s="24"/>
      <c r="R15136" s="24"/>
      <c r="S15136" s="24"/>
      <c r="T15136" s="24"/>
      <c r="U15136" s="24"/>
      <c r="V15136" s="24"/>
      <c r="W15136" s="24"/>
      <c r="X15136" s="24"/>
      <c r="Y15136" s="24"/>
      <c r="Z15136" s="24"/>
      <c r="AA15136" s="24"/>
    </row>
    <row r="15137">
      <c r="A15137" s="24"/>
      <c r="B15137" s="25"/>
      <c r="C15137" s="24"/>
      <c r="D15137" s="26"/>
      <c r="E15137" s="24"/>
      <c r="F15137" s="24"/>
      <c r="G15137" s="24"/>
      <c r="H15137" s="24"/>
      <c r="I15137" s="24"/>
      <c r="J15137" s="24"/>
      <c r="K15137" s="24"/>
      <c r="L15137" s="24"/>
      <c r="M15137" s="24"/>
      <c r="N15137" s="24"/>
      <c r="O15137" s="24"/>
      <c r="P15137" s="24"/>
      <c r="Q15137" s="24"/>
      <c r="R15137" s="24"/>
      <c r="S15137" s="24"/>
      <c r="T15137" s="24"/>
      <c r="U15137" s="24"/>
      <c r="V15137" s="24"/>
      <c r="W15137" s="24"/>
      <c r="X15137" s="24"/>
      <c r="Y15137" s="24"/>
      <c r="Z15137" s="24"/>
      <c r="AA15137" s="24"/>
    </row>
    <row r="15138">
      <c r="A15138" s="24"/>
      <c r="B15138" s="25"/>
      <c r="C15138" s="24"/>
      <c r="D15138" s="26"/>
      <c r="E15138" s="24"/>
      <c r="F15138" s="24"/>
      <c r="G15138" s="24"/>
      <c r="H15138" s="24"/>
      <c r="I15138" s="24"/>
      <c r="J15138" s="24"/>
      <c r="K15138" s="24"/>
      <c r="L15138" s="24"/>
      <c r="M15138" s="24"/>
      <c r="N15138" s="24"/>
      <c r="O15138" s="24"/>
      <c r="P15138" s="24"/>
      <c r="Q15138" s="24"/>
      <c r="R15138" s="24"/>
      <c r="S15138" s="24"/>
      <c r="T15138" s="24"/>
      <c r="U15138" s="24"/>
      <c r="V15138" s="24"/>
      <c r="W15138" s="24"/>
      <c r="X15138" s="24"/>
      <c r="Y15138" s="24"/>
      <c r="Z15138" s="24"/>
      <c r="AA15138" s="24"/>
    </row>
    <row r="15139">
      <c r="A15139" s="24"/>
      <c r="B15139" s="25"/>
      <c r="C15139" s="24"/>
      <c r="D15139" s="26"/>
      <c r="E15139" s="24"/>
      <c r="F15139" s="24"/>
      <c r="G15139" s="24"/>
      <c r="H15139" s="24"/>
      <c r="I15139" s="24"/>
      <c r="J15139" s="24"/>
      <c r="K15139" s="24"/>
      <c r="L15139" s="24"/>
      <c r="M15139" s="24"/>
      <c r="N15139" s="24"/>
      <c r="O15139" s="24"/>
      <c r="P15139" s="24"/>
      <c r="Q15139" s="24"/>
      <c r="R15139" s="24"/>
      <c r="S15139" s="24"/>
      <c r="T15139" s="24"/>
      <c r="U15139" s="24"/>
      <c r="V15139" s="24"/>
      <c r="W15139" s="24"/>
      <c r="X15139" s="24"/>
      <c r="Y15139" s="24"/>
      <c r="Z15139" s="24"/>
      <c r="AA15139" s="24"/>
    </row>
    <row r="15140">
      <c r="A15140" s="24"/>
      <c r="B15140" s="25"/>
      <c r="C15140" s="24"/>
      <c r="D15140" s="26"/>
      <c r="E15140" s="24"/>
      <c r="F15140" s="24"/>
      <c r="G15140" s="24"/>
      <c r="H15140" s="24"/>
      <c r="I15140" s="24"/>
      <c r="J15140" s="24"/>
      <c r="K15140" s="24"/>
      <c r="L15140" s="24"/>
      <c r="M15140" s="24"/>
      <c r="N15140" s="24"/>
      <c r="O15140" s="24"/>
      <c r="P15140" s="24"/>
      <c r="Q15140" s="24"/>
      <c r="R15140" s="24"/>
      <c r="S15140" s="24"/>
      <c r="T15140" s="24"/>
      <c r="U15140" s="24"/>
      <c r="V15140" s="24"/>
      <c r="W15140" s="24"/>
      <c r="X15140" s="24"/>
      <c r="Y15140" s="24"/>
      <c r="Z15140" s="24"/>
      <c r="AA15140" s="24"/>
    </row>
    <row r="15141">
      <c r="A15141" s="24"/>
      <c r="B15141" s="25"/>
      <c r="C15141" s="24"/>
      <c r="D15141" s="26"/>
      <c r="E15141" s="24"/>
      <c r="F15141" s="24"/>
      <c r="G15141" s="24"/>
      <c r="H15141" s="24"/>
      <c r="I15141" s="24"/>
      <c r="J15141" s="24"/>
      <c r="K15141" s="24"/>
      <c r="L15141" s="24"/>
      <c r="M15141" s="24"/>
      <c r="N15141" s="24"/>
      <c r="O15141" s="24"/>
      <c r="P15141" s="24"/>
      <c r="Q15141" s="24"/>
      <c r="R15141" s="24"/>
      <c r="S15141" s="24"/>
      <c r="T15141" s="24"/>
      <c r="U15141" s="24"/>
      <c r="V15141" s="24"/>
      <c r="W15141" s="24"/>
      <c r="X15141" s="24"/>
      <c r="Y15141" s="24"/>
      <c r="Z15141" s="24"/>
      <c r="AA15141" s="24"/>
    </row>
    <row r="15142">
      <c r="A15142" s="24"/>
      <c r="B15142" s="25"/>
      <c r="C15142" s="24"/>
      <c r="D15142" s="26"/>
      <c r="E15142" s="24"/>
      <c r="F15142" s="24"/>
      <c r="G15142" s="24"/>
      <c r="H15142" s="24"/>
      <c r="I15142" s="24"/>
      <c r="J15142" s="24"/>
      <c r="K15142" s="24"/>
      <c r="L15142" s="24"/>
      <c r="M15142" s="24"/>
      <c r="N15142" s="24"/>
      <c r="O15142" s="24"/>
      <c r="P15142" s="24"/>
      <c r="Q15142" s="24"/>
      <c r="R15142" s="24"/>
      <c r="S15142" s="24"/>
      <c r="T15142" s="24"/>
      <c r="U15142" s="24"/>
      <c r="V15142" s="24"/>
      <c r="W15142" s="24"/>
      <c r="X15142" s="24"/>
      <c r="Y15142" s="24"/>
      <c r="Z15142" s="24"/>
      <c r="AA15142" s="24"/>
    </row>
    <row r="15143">
      <c r="A15143" s="24"/>
      <c r="B15143" s="25"/>
      <c r="C15143" s="24"/>
      <c r="D15143" s="26"/>
      <c r="E15143" s="24"/>
      <c r="F15143" s="24"/>
      <c r="G15143" s="24"/>
      <c r="H15143" s="24"/>
      <c r="I15143" s="24"/>
      <c r="J15143" s="24"/>
      <c r="K15143" s="24"/>
      <c r="L15143" s="24"/>
      <c r="M15143" s="24"/>
      <c r="N15143" s="24"/>
      <c r="O15143" s="24"/>
      <c r="P15143" s="24"/>
      <c r="Q15143" s="24"/>
      <c r="R15143" s="24"/>
      <c r="S15143" s="24"/>
      <c r="T15143" s="24"/>
      <c r="U15143" s="24"/>
      <c r="V15143" s="24"/>
      <c r="W15143" s="24"/>
      <c r="X15143" s="24"/>
      <c r="Y15143" s="24"/>
      <c r="Z15143" s="24"/>
      <c r="AA15143" s="24"/>
    </row>
    <row r="15144">
      <c r="A15144" s="24"/>
      <c r="B15144" s="25"/>
      <c r="C15144" s="24"/>
      <c r="D15144" s="26"/>
      <c r="E15144" s="24"/>
      <c r="F15144" s="24"/>
      <c r="G15144" s="24"/>
      <c r="H15144" s="24"/>
      <c r="I15144" s="24"/>
      <c r="J15144" s="24"/>
      <c r="K15144" s="24"/>
      <c r="L15144" s="24"/>
      <c r="M15144" s="24"/>
      <c r="N15144" s="24"/>
      <c r="O15144" s="24"/>
      <c r="P15144" s="24"/>
      <c r="Q15144" s="24"/>
      <c r="R15144" s="24"/>
      <c r="S15144" s="24"/>
      <c r="T15144" s="24"/>
      <c r="U15144" s="24"/>
      <c r="V15144" s="24"/>
      <c r="W15144" s="24"/>
      <c r="X15144" s="24"/>
      <c r="Y15144" s="24"/>
      <c r="Z15144" s="24"/>
      <c r="AA15144" s="24"/>
    </row>
    <row r="15145">
      <c r="A15145" s="24"/>
      <c r="B15145" s="25"/>
      <c r="C15145" s="24"/>
      <c r="D15145" s="26"/>
      <c r="E15145" s="24"/>
      <c r="F15145" s="24"/>
      <c r="G15145" s="24"/>
      <c r="H15145" s="24"/>
      <c r="I15145" s="24"/>
      <c r="J15145" s="24"/>
      <c r="K15145" s="24"/>
      <c r="L15145" s="24"/>
      <c r="M15145" s="24"/>
      <c r="N15145" s="24"/>
      <c r="O15145" s="24"/>
      <c r="P15145" s="24"/>
      <c r="Q15145" s="24"/>
      <c r="R15145" s="24"/>
      <c r="S15145" s="24"/>
      <c r="T15145" s="24"/>
      <c r="U15145" s="24"/>
      <c r="V15145" s="24"/>
      <c r="W15145" s="24"/>
      <c r="X15145" s="24"/>
      <c r="Y15145" s="24"/>
      <c r="Z15145" s="24"/>
      <c r="AA15145" s="24"/>
    </row>
    <row r="15146">
      <c r="A15146" s="24"/>
      <c r="B15146" s="25"/>
      <c r="C15146" s="24"/>
      <c r="D15146" s="26"/>
      <c r="E15146" s="24"/>
      <c r="F15146" s="24"/>
      <c r="G15146" s="24"/>
      <c r="H15146" s="24"/>
      <c r="I15146" s="24"/>
      <c r="J15146" s="24"/>
      <c r="K15146" s="24"/>
      <c r="L15146" s="24"/>
      <c r="M15146" s="24"/>
      <c r="N15146" s="24"/>
      <c r="O15146" s="24"/>
      <c r="P15146" s="24"/>
      <c r="Q15146" s="24"/>
      <c r="R15146" s="24"/>
      <c r="S15146" s="24"/>
      <c r="T15146" s="24"/>
      <c r="U15146" s="24"/>
      <c r="V15146" s="24"/>
      <c r="W15146" s="24"/>
      <c r="X15146" s="24"/>
      <c r="Y15146" s="24"/>
      <c r="Z15146" s="24"/>
      <c r="AA15146" s="24"/>
    </row>
    <row r="15147">
      <c r="A15147" s="24"/>
      <c r="B15147" s="25"/>
      <c r="C15147" s="24"/>
      <c r="D15147" s="26"/>
      <c r="E15147" s="24"/>
      <c r="F15147" s="24"/>
      <c r="G15147" s="24"/>
      <c r="H15147" s="24"/>
      <c r="I15147" s="24"/>
      <c r="J15147" s="24"/>
      <c r="K15147" s="24"/>
      <c r="L15147" s="24"/>
      <c r="M15147" s="24"/>
      <c r="N15147" s="24"/>
      <c r="O15147" s="24"/>
      <c r="P15147" s="24"/>
      <c r="Q15147" s="24"/>
      <c r="R15147" s="24"/>
      <c r="S15147" s="24"/>
      <c r="T15147" s="24"/>
      <c r="U15147" s="24"/>
      <c r="V15147" s="24"/>
      <c r="W15147" s="24"/>
      <c r="X15147" s="24"/>
      <c r="Y15147" s="24"/>
      <c r="Z15147" s="24"/>
      <c r="AA15147" s="24"/>
    </row>
    <row r="15148">
      <c r="A15148" s="24"/>
      <c r="B15148" s="25"/>
      <c r="C15148" s="24"/>
      <c r="D15148" s="26"/>
      <c r="E15148" s="24"/>
      <c r="F15148" s="24"/>
      <c r="G15148" s="24"/>
      <c r="H15148" s="24"/>
      <c r="I15148" s="24"/>
      <c r="J15148" s="24"/>
      <c r="K15148" s="24"/>
      <c r="L15148" s="24"/>
      <c r="M15148" s="24"/>
      <c r="N15148" s="24"/>
      <c r="O15148" s="24"/>
      <c r="P15148" s="24"/>
      <c r="Q15148" s="24"/>
      <c r="R15148" s="24"/>
      <c r="S15148" s="24"/>
      <c r="T15148" s="24"/>
      <c r="U15148" s="24"/>
      <c r="V15148" s="24"/>
      <c r="W15148" s="24"/>
      <c r="X15148" s="24"/>
      <c r="Y15148" s="24"/>
      <c r="Z15148" s="24"/>
      <c r="AA15148" s="24"/>
    </row>
    <row r="15149">
      <c r="A15149" s="24"/>
      <c r="B15149" s="25"/>
      <c r="C15149" s="24"/>
      <c r="D15149" s="26"/>
      <c r="E15149" s="24"/>
      <c r="F15149" s="24"/>
      <c r="G15149" s="24"/>
      <c r="H15149" s="24"/>
      <c r="I15149" s="24"/>
      <c r="J15149" s="24"/>
      <c r="K15149" s="24"/>
      <c r="L15149" s="24"/>
      <c r="M15149" s="24"/>
      <c r="N15149" s="24"/>
      <c r="O15149" s="24"/>
      <c r="P15149" s="24"/>
      <c r="Q15149" s="24"/>
      <c r="R15149" s="24"/>
      <c r="S15149" s="24"/>
      <c r="T15149" s="24"/>
      <c r="U15149" s="24"/>
      <c r="V15149" s="24"/>
      <c r="W15149" s="24"/>
      <c r="X15149" s="24"/>
      <c r="Y15149" s="24"/>
      <c r="Z15149" s="24"/>
      <c r="AA15149" s="24"/>
    </row>
    <row r="15150">
      <c r="A15150" s="24"/>
      <c r="B15150" s="25"/>
      <c r="C15150" s="24"/>
      <c r="D15150" s="26"/>
      <c r="E15150" s="24"/>
      <c r="F15150" s="24"/>
      <c r="G15150" s="24"/>
      <c r="H15150" s="24"/>
      <c r="I15150" s="24"/>
      <c r="J15150" s="24"/>
      <c r="K15150" s="24"/>
      <c r="L15150" s="24"/>
      <c r="M15150" s="24"/>
      <c r="N15150" s="24"/>
      <c r="O15150" s="24"/>
      <c r="P15150" s="24"/>
      <c r="Q15150" s="24"/>
      <c r="R15150" s="24"/>
      <c r="S15150" s="24"/>
      <c r="T15150" s="24"/>
      <c r="U15150" s="24"/>
      <c r="V15150" s="24"/>
      <c r="W15150" s="24"/>
      <c r="X15150" s="24"/>
      <c r="Y15150" s="24"/>
      <c r="Z15150" s="24"/>
      <c r="AA15150" s="24"/>
    </row>
    <row r="15151">
      <c r="A15151" s="24"/>
      <c r="B15151" s="25"/>
      <c r="C15151" s="24"/>
      <c r="D15151" s="26"/>
      <c r="E15151" s="24"/>
      <c r="F15151" s="24"/>
      <c r="G15151" s="24"/>
      <c r="H15151" s="24"/>
      <c r="I15151" s="24"/>
      <c r="J15151" s="24"/>
      <c r="K15151" s="24"/>
      <c r="L15151" s="24"/>
      <c r="M15151" s="24"/>
      <c r="N15151" s="24"/>
      <c r="O15151" s="24"/>
      <c r="P15151" s="24"/>
      <c r="Q15151" s="24"/>
      <c r="R15151" s="24"/>
      <c r="S15151" s="24"/>
      <c r="T15151" s="24"/>
      <c r="U15151" s="24"/>
      <c r="V15151" s="24"/>
      <c r="W15151" s="24"/>
      <c r="X15151" s="24"/>
      <c r="Y15151" s="24"/>
      <c r="Z15151" s="24"/>
      <c r="AA15151" s="24"/>
    </row>
    <row r="15152">
      <c r="A15152" s="24"/>
      <c r="B15152" s="25"/>
      <c r="C15152" s="24"/>
      <c r="D15152" s="26"/>
      <c r="E15152" s="24"/>
      <c r="F15152" s="24"/>
      <c r="G15152" s="24"/>
      <c r="H15152" s="24"/>
      <c r="I15152" s="24"/>
      <c r="J15152" s="24"/>
      <c r="K15152" s="24"/>
      <c r="L15152" s="24"/>
      <c r="M15152" s="24"/>
      <c r="N15152" s="24"/>
      <c r="O15152" s="24"/>
      <c r="P15152" s="24"/>
      <c r="Q15152" s="24"/>
      <c r="R15152" s="24"/>
      <c r="S15152" s="24"/>
      <c r="T15152" s="24"/>
      <c r="U15152" s="24"/>
      <c r="V15152" s="24"/>
      <c r="W15152" s="24"/>
      <c r="X15152" s="24"/>
      <c r="Y15152" s="24"/>
      <c r="Z15152" s="24"/>
      <c r="AA15152" s="24"/>
    </row>
    <row r="15153">
      <c r="A15153" s="24"/>
      <c r="B15153" s="25"/>
      <c r="C15153" s="24"/>
      <c r="D15153" s="26"/>
      <c r="E15153" s="24"/>
      <c r="F15153" s="24"/>
      <c r="G15153" s="24"/>
      <c r="H15153" s="24"/>
      <c r="I15153" s="24"/>
      <c r="J15153" s="24"/>
      <c r="K15153" s="24"/>
      <c r="L15153" s="24"/>
      <c r="M15153" s="24"/>
      <c r="N15153" s="24"/>
      <c r="O15153" s="24"/>
      <c r="P15153" s="24"/>
      <c r="Q15153" s="24"/>
      <c r="R15153" s="24"/>
      <c r="S15153" s="24"/>
      <c r="T15153" s="24"/>
      <c r="U15153" s="24"/>
      <c r="V15153" s="24"/>
      <c r="W15153" s="24"/>
      <c r="X15153" s="24"/>
      <c r="Y15153" s="24"/>
      <c r="Z15153" s="24"/>
      <c r="AA15153" s="24"/>
    </row>
    <row r="15154">
      <c r="A15154" s="24"/>
      <c r="B15154" s="25"/>
      <c r="C15154" s="24"/>
      <c r="D15154" s="26"/>
      <c r="E15154" s="24"/>
      <c r="F15154" s="24"/>
      <c r="G15154" s="24"/>
      <c r="H15154" s="24"/>
      <c r="I15154" s="24"/>
      <c r="J15154" s="24"/>
      <c r="K15154" s="24"/>
      <c r="L15154" s="24"/>
      <c r="M15154" s="24"/>
      <c r="N15154" s="24"/>
      <c r="O15154" s="24"/>
      <c r="P15154" s="24"/>
      <c r="Q15154" s="24"/>
      <c r="R15154" s="24"/>
      <c r="S15154" s="24"/>
      <c r="T15154" s="24"/>
      <c r="U15154" s="24"/>
      <c r="V15154" s="24"/>
      <c r="W15154" s="24"/>
      <c r="X15154" s="24"/>
      <c r="Y15154" s="24"/>
      <c r="Z15154" s="24"/>
      <c r="AA15154" s="24"/>
    </row>
    <row r="15155">
      <c r="A15155" s="24"/>
      <c r="B15155" s="25"/>
      <c r="C15155" s="24"/>
      <c r="D15155" s="26"/>
      <c r="E15155" s="24"/>
      <c r="F15155" s="24"/>
      <c r="G15155" s="24"/>
      <c r="H15155" s="24"/>
      <c r="I15155" s="24"/>
      <c r="J15155" s="24"/>
      <c r="K15155" s="24"/>
      <c r="L15155" s="24"/>
      <c r="M15155" s="24"/>
      <c r="N15155" s="24"/>
      <c r="O15155" s="24"/>
      <c r="P15155" s="24"/>
      <c r="Q15155" s="24"/>
      <c r="R15155" s="24"/>
      <c r="S15155" s="24"/>
      <c r="T15155" s="24"/>
      <c r="U15155" s="24"/>
      <c r="V15155" s="24"/>
      <c r="W15155" s="24"/>
      <c r="X15155" s="24"/>
      <c r="Y15155" s="24"/>
      <c r="Z15155" s="24"/>
      <c r="AA15155" s="24"/>
    </row>
    <row r="15156">
      <c r="A15156" s="24"/>
      <c r="B15156" s="25"/>
      <c r="C15156" s="24"/>
      <c r="D15156" s="26"/>
      <c r="E15156" s="24"/>
      <c r="F15156" s="24"/>
      <c r="G15156" s="24"/>
      <c r="H15156" s="24"/>
      <c r="I15156" s="24"/>
      <c r="J15156" s="24"/>
      <c r="K15156" s="24"/>
      <c r="L15156" s="24"/>
      <c r="M15156" s="24"/>
      <c r="N15156" s="24"/>
      <c r="O15156" s="24"/>
      <c r="P15156" s="24"/>
      <c r="Q15156" s="24"/>
      <c r="R15156" s="24"/>
      <c r="S15156" s="24"/>
      <c r="T15156" s="24"/>
      <c r="U15156" s="24"/>
      <c r="V15156" s="24"/>
      <c r="W15156" s="24"/>
      <c r="X15156" s="24"/>
      <c r="Y15156" s="24"/>
      <c r="Z15156" s="24"/>
      <c r="AA15156" s="24"/>
    </row>
    <row r="15157">
      <c r="A15157" s="24"/>
      <c r="B15157" s="25"/>
      <c r="C15157" s="24"/>
      <c r="D15157" s="26"/>
      <c r="E15157" s="24"/>
      <c r="F15157" s="24"/>
      <c r="G15157" s="24"/>
      <c r="H15157" s="24"/>
      <c r="I15157" s="24"/>
      <c r="J15157" s="24"/>
      <c r="K15157" s="24"/>
      <c r="L15157" s="24"/>
      <c r="M15157" s="24"/>
      <c r="N15157" s="24"/>
      <c r="O15157" s="24"/>
      <c r="P15157" s="24"/>
      <c r="Q15157" s="24"/>
      <c r="R15157" s="24"/>
      <c r="S15157" s="24"/>
      <c r="T15157" s="24"/>
      <c r="U15157" s="24"/>
      <c r="V15157" s="24"/>
      <c r="W15157" s="24"/>
      <c r="X15157" s="24"/>
      <c r="Y15157" s="24"/>
      <c r="Z15157" s="24"/>
      <c r="AA15157" s="24"/>
    </row>
    <row r="15158">
      <c r="A15158" s="24"/>
      <c r="B15158" s="25"/>
      <c r="C15158" s="24"/>
      <c r="D15158" s="26"/>
      <c r="E15158" s="24"/>
      <c r="F15158" s="24"/>
      <c r="G15158" s="24"/>
      <c r="H15158" s="24"/>
      <c r="I15158" s="24"/>
      <c r="J15158" s="24"/>
      <c r="K15158" s="24"/>
      <c r="L15158" s="24"/>
      <c r="M15158" s="24"/>
      <c r="N15158" s="24"/>
      <c r="O15158" s="24"/>
      <c r="P15158" s="24"/>
      <c r="Q15158" s="24"/>
      <c r="R15158" s="24"/>
      <c r="S15158" s="24"/>
      <c r="T15158" s="24"/>
      <c r="U15158" s="24"/>
      <c r="V15158" s="24"/>
      <c r="W15158" s="24"/>
      <c r="X15158" s="24"/>
      <c r="Y15158" s="24"/>
      <c r="Z15158" s="24"/>
      <c r="AA15158" s="24"/>
    </row>
    <row r="15159">
      <c r="A15159" s="24"/>
      <c r="B15159" s="25"/>
      <c r="C15159" s="24"/>
      <c r="D15159" s="26"/>
      <c r="E15159" s="24"/>
      <c r="F15159" s="24"/>
      <c r="G15159" s="24"/>
      <c r="H15159" s="24"/>
      <c r="I15159" s="24"/>
      <c r="J15159" s="24"/>
      <c r="K15159" s="24"/>
      <c r="L15159" s="24"/>
      <c r="M15159" s="24"/>
      <c r="N15159" s="24"/>
      <c r="O15159" s="24"/>
      <c r="P15159" s="24"/>
      <c r="Q15159" s="24"/>
      <c r="R15159" s="24"/>
      <c r="S15159" s="24"/>
      <c r="T15159" s="24"/>
      <c r="U15159" s="24"/>
      <c r="V15159" s="24"/>
      <c r="W15159" s="24"/>
      <c r="X15159" s="24"/>
      <c r="Y15159" s="24"/>
      <c r="Z15159" s="24"/>
      <c r="AA15159" s="24"/>
    </row>
    <row r="15160">
      <c r="A15160" s="24"/>
      <c r="B15160" s="25"/>
      <c r="C15160" s="24"/>
      <c r="D15160" s="26"/>
      <c r="E15160" s="24"/>
      <c r="F15160" s="24"/>
      <c r="G15160" s="24"/>
      <c r="H15160" s="24"/>
      <c r="I15160" s="24"/>
      <c r="J15160" s="24"/>
      <c r="K15160" s="24"/>
      <c r="L15160" s="24"/>
      <c r="M15160" s="24"/>
      <c r="N15160" s="24"/>
      <c r="O15160" s="24"/>
      <c r="P15160" s="24"/>
      <c r="Q15160" s="24"/>
      <c r="R15160" s="24"/>
      <c r="S15160" s="24"/>
      <c r="T15160" s="24"/>
      <c r="U15160" s="24"/>
      <c r="V15160" s="24"/>
      <c r="W15160" s="24"/>
      <c r="X15160" s="24"/>
      <c r="Y15160" s="24"/>
      <c r="Z15160" s="24"/>
      <c r="AA15160" s="24"/>
    </row>
    <row r="15161">
      <c r="A15161" s="24"/>
      <c r="B15161" s="25"/>
      <c r="C15161" s="24"/>
      <c r="D15161" s="26"/>
      <c r="E15161" s="24"/>
      <c r="F15161" s="24"/>
      <c r="G15161" s="24"/>
      <c r="H15161" s="24"/>
      <c r="I15161" s="24"/>
      <c r="J15161" s="24"/>
      <c r="K15161" s="24"/>
      <c r="L15161" s="24"/>
      <c r="M15161" s="24"/>
      <c r="N15161" s="24"/>
      <c r="O15161" s="24"/>
      <c r="P15161" s="24"/>
      <c r="Q15161" s="24"/>
      <c r="R15161" s="24"/>
      <c r="S15161" s="24"/>
      <c r="T15161" s="24"/>
      <c r="U15161" s="24"/>
      <c r="V15161" s="24"/>
      <c r="W15161" s="24"/>
      <c r="X15161" s="24"/>
      <c r="Y15161" s="24"/>
      <c r="Z15161" s="24"/>
      <c r="AA15161" s="24"/>
    </row>
    <row r="15162">
      <c r="A15162" s="24"/>
      <c r="B15162" s="25"/>
      <c r="C15162" s="24"/>
      <c r="D15162" s="26"/>
      <c r="E15162" s="24"/>
      <c r="F15162" s="24"/>
      <c r="G15162" s="24"/>
      <c r="H15162" s="24"/>
      <c r="I15162" s="24"/>
      <c r="J15162" s="24"/>
      <c r="K15162" s="24"/>
      <c r="L15162" s="24"/>
      <c r="M15162" s="24"/>
      <c r="N15162" s="24"/>
      <c r="O15162" s="24"/>
      <c r="P15162" s="24"/>
      <c r="Q15162" s="24"/>
      <c r="R15162" s="24"/>
      <c r="S15162" s="24"/>
      <c r="T15162" s="24"/>
      <c r="U15162" s="24"/>
      <c r="V15162" s="24"/>
      <c r="W15162" s="24"/>
      <c r="X15162" s="24"/>
      <c r="Y15162" s="24"/>
      <c r="Z15162" s="24"/>
      <c r="AA15162" s="24"/>
    </row>
    <row r="15163">
      <c r="A15163" s="24"/>
      <c r="B15163" s="25"/>
      <c r="C15163" s="24"/>
      <c r="D15163" s="26"/>
      <c r="E15163" s="24"/>
      <c r="F15163" s="24"/>
      <c r="G15163" s="24"/>
      <c r="H15163" s="24"/>
      <c r="I15163" s="24"/>
      <c r="J15163" s="24"/>
      <c r="K15163" s="24"/>
      <c r="L15163" s="24"/>
      <c r="M15163" s="24"/>
      <c r="N15163" s="24"/>
      <c r="O15163" s="24"/>
      <c r="P15163" s="24"/>
      <c r="Q15163" s="24"/>
      <c r="R15163" s="24"/>
      <c r="S15163" s="24"/>
      <c r="T15163" s="24"/>
      <c r="U15163" s="24"/>
      <c r="V15163" s="24"/>
      <c r="W15163" s="24"/>
      <c r="X15163" s="24"/>
      <c r="Y15163" s="24"/>
      <c r="Z15163" s="24"/>
      <c r="AA15163" s="24"/>
    </row>
    <row r="15164">
      <c r="A15164" s="24"/>
      <c r="B15164" s="25"/>
      <c r="C15164" s="24"/>
      <c r="D15164" s="26"/>
      <c r="E15164" s="24"/>
      <c r="F15164" s="24"/>
      <c r="G15164" s="24"/>
      <c r="H15164" s="24"/>
      <c r="I15164" s="24"/>
      <c r="J15164" s="24"/>
      <c r="K15164" s="24"/>
      <c r="L15164" s="24"/>
      <c r="M15164" s="24"/>
      <c r="N15164" s="24"/>
      <c r="O15164" s="24"/>
      <c r="P15164" s="24"/>
      <c r="Q15164" s="24"/>
      <c r="R15164" s="24"/>
      <c r="S15164" s="24"/>
      <c r="T15164" s="24"/>
      <c r="U15164" s="24"/>
      <c r="V15164" s="24"/>
      <c r="W15164" s="24"/>
      <c r="X15164" s="24"/>
      <c r="Y15164" s="24"/>
      <c r="Z15164" s="24"/>
      <c r="AA15164" s="24"/>
    </row>
    <row r="15165">
      <c r="A15165" s="24"/>
      <c r="B15165" s="25"/>
      <c r="C15165" s="24"/>
      <c r="D15165" s="26"/>
      <c r="E15165" s="24"/>
      <c r="F15165" s="24"/>
      <c r="G15165" s="24"/>
      <c r="H15165" s="24"/>
      <c r="I15165" s="24"/>
      <c r="J15165" s="24"/>
      <c r="K15165" s="24"/>
      <c r="L15165" s="24"/>
      <c r="M15165" s="24"/>
      <c r="N15165" s="24"/>
      <c r="O15165" s="24"/>
      <c r="P15165" s="24"/>
      <c r="Q15165" s="24"/>
      <c r="R15165" s="24"/>
      <c r="S15165" s="24"/>
      <c r="T15165" s="24"/>
      <c r="U15165" s="24"/>
      <c r="V15165" s="24"/>
      <c r="W15165" s="24"/>
      <c r="X15165" s="24"/>
      <c r="Y15165" s="24"/>
      <c r="Z15165" s="24"/>
      <c r="AA15165" s="24"/>
    </row>
    <row r="15166">
      <c r="A15166" s="24"/>
      <c r="B15166" s="25"/>
      <c r="C15166" s="24"/>
      <c r="D15166" s="26"/>
      <c r="E15166" s="24"/>
      <c r="F15166" s="24"/>
      <c r="G15166" s="24"/>
      <c r="H15166" s="24"/>
      <c r="I15166" s="24"/>
      <c r="J15166" s="24"/>
      <c r="K15166" s="24"/>
      <c r="L15166" s="24"/>
      <c r="M15166" s="24"/>
      <c r="N15166" s="24"/>
      <c r="O15166" s="24"/>
      <c r="P15166" s="24"/>
      <c r="Q15166" s="24"/>
      <c r="R15166" s="24"/>
      <c r="S15166" s="24"/>
      <c r="T15166" s="24"/>
      <c r="U15166" s="24"/>
      <c r="V15166" s="24"/>
      <c r="W15166" s="24"/>
      <c r="X15166" s="24"/>
      <c r="Y15166" s="24"/>
      <c r="Z15166" s="24"/>
      <c r="AA15166" s="24"/>
    </row>
    <row r="15167">
      <c r="A15167" s="24"/>
      <c r="B15167" s="25"/>
      <c r="C15167" s="24"/>
      <c r="D15167" s="26"/>
      <c r="E15167" s="24"/>
      <c r="F15167" s="24"/>
      <c r="G15167" s="24"/>
      <c r="H15167" s="24"/>
      <c r="I15167" s="24"/>
      <c r="J15167" s="24"/>
      <c r="K15167" s="24"/>
      <c r="L15167" s="24"/>
      <c r="M15167" s="24"/>
      <c r="N15167" s="24"/>
      <c r="O15167" s="24"/>
      <c r="P15167" s="24"/>
      <c r="Q15167" s="24"/>
      <c r="R15167" s="24"/>
      <c r="S15167" s="24"/>
      <c r="T15167" s="24"/>
      <c r="U15167" s="24"/>
      <c r="V15167" s="24"/>
      <c r="W15167" s="24"/>
      <c r="X15167" s="24"/>
      <c r="Y15167" s="24"/>
      <c r="Z15167" s="24"/>
      <c r="AA15167" s="24"/>
    </row>
    <row r="15168">
      <c r="A15168" s="24"/>
      <c r="B15168" s="25"/>
      <c r="C15168" s="24"/>
      <c r="D15168" s="26"/>
      <c r="E15168" s="24"/>
      <c r="F15168" s="24"/>
      <c r="G15168" s="24"/>
      <c r="H15168" s="24"/>
      <c r="I15168" s="24"/>
      <c r="J15168" s="24"/>
      <c r="K15168" s="24"/>
      <c r="L15168" s="24"/>
      <c r="M15168" s="24"/>
      <c r="N15168" s="24"/>
      <c r="O15168" s="24"/>
      <c r="P15168" s="24"/>
      <c r="Q15168" s="24"/>
      <c r="R15168" s="24"/>
      <c r="S15168" s="24"/>
      <c r="T15168" s="24"/>
      <c r="U15168" s="24"/>
      <c r="V15168" s="24"/>
      <c r="W15168" s="24"/>
      <c r="X15168" s="24"/>
      <c r="Y15168" s="24"/>
      <c r="Z15168" s="24"/>
      <c r="AA15168" s="24"/>
    </row>
    <row r="15169">
      <c r="A15169" s="24"/>
      <c r="B15169" s="25"/>
      <c r="C15169" s="24"/>
      <c r="D15169" s="26"/>
      <c r="E15169" s="24"/>
      <c r="F15169" s="24"/>
      <c r="G15169" s="24"/>
      <c r="H15169" s="24"/>
      <c r="I15169" s="24"/>
      <c r="J15169" s="24"/>
      <c r="K15169" s="24"/>
      <c r="L15169" s="24"/>
      <c r="M15169" s="24"/>
      <c r="N15169" s="24"/>
      <c r="O15169" s="24"/>
      <c r="P15169" s="24"/>
      <c r="Q15169" s="24"/>
      <c r="R15169" s="24"/>
      <c r="S15169" s="24"/>
      <c r="T15169" s="24"/>
      <c r="U15169" s="24"/>
      <c r="V15169" s="24"/>
      <c r="W15169" s="24"/>
      <c r="X15169" s="24"/>
      <c r="Y15169" s="24"/>
      <c r="Z15169" s="24"/>
      <c r="AA15169" s="24"/>
    </row>
    <row r="15170">
      <c r="A15170" s="24"/>
      <c r="B15170" s="25"/>
      <c r="C15170" s="24"/>
      <c r="D15170" s="26"/>
      <c r="E15170" s="24"/>
      <c r="F15170" s="24"/>
      <c r="G15170" s="24"/>
      <c r="H15170" s="24"/>
      <c r="I15170" s="24"/>
      <c r="J15170" s="24"/>
      <c r="K15170" s="24"/>
      <c r="L15170" s="24"/>
      <c r="M15170" s="24"/>
      <c r="N15170" s="24"/>
      <c r="O15170" s="24"/>
      <c r="P15170" s="24"/>
      <c r="Q15170" s="24"/>
      <c r="R15170" s="24"/>
      <c r="S15170" s="24"/>
      <c r="T15170" s="24"/>
      <c r="U15170" s="24"/>
      <c r="V15170" s="24"/>
      <c r="W15170" s="24"/>
      <c r="X15170" s="24"/>
      <c r="Y15170" s="24"/>
      <c r="Z15170" s="24"/>
      <c r="AA15170" s="24"/>
    </row>
    <row r="15171">
      <c r="A15171" s="24"/>
      <c r="B15171" s="25"/>
      <c r="C15171" s="24"/>
      <c r="D15171" s="26"/>
      <c r="E15171" s="24"/>
      <c r="F15171" s="24"/>
      <c r="G15171" s="24"/>
      <c r="H15171" s="24"/>
      <c r="I15171" s="24"/>
      <c r="J15171" s="24"/>
      <c r="K15171" s="24"/>
      <c r="L15171" s="24"/>
      <c r="M15171" s="24"/>
      <c r="N15171" s="24"/>
      <c r="O15171" s="24"/>
      <c r="P15171" s="24"/>
      <c r="Q15171" s="24"/>
      <c r="R15171" s="24"/>
      <c r="S15171" s="24"/>
      <c r="T15171" s="24"/>
      <c r="U15171" s="24"/>
      <c r="V15171" s="24"/>
      <c r="W15171" s="24"/>
      <c r="X15171" s="24"/>
      <c r="Y15171" s="24"/>
      <c r="Z15171" s="24"/>
      <c r="AA15171" s="24"/>
    </row>
    <row r="15172">
      <c r="A15172" s="24"/>
      <c r="B15172" s="25"/>
      <c r="C15172" s="24"/>
      <c r="D15172" s="26"/>
      <c r="E15172" s="24"/>
      <c r="F15172" s="24"/>
      <c r="G15172" s="24"/>
      <c r="H15172" s="24"/>
      <c r="I15172" s="24"/>
      <c r="J15172" s="24"/>
      <c r="K15172" s="24"/>
      <c r="L15172" s="24"/>
      <c r="M15172" s="24"/>
      <c r="N15172" s="24"/>
      <c r="O15172" s="24"/>
      <c r="P15172" s="24"/>
      <c r="Q15172" s="24"/>
      <c r="R15172" s="24"/>
      <c r="S15172" s="24"/>
      <c r="T15172" s="24"/>
      <c r="U15172" s="24"/>
      <c r="V15172" s="24"/>
      <c r="W15172" s="24"/>
      <c r="X15172" s="24"/>
      <c r="Y15172" s="24"/>
      <c r="Z15172" s="24"/>
      <c r="AA15172" s="24"/>
    </row>
    <row r="15173">
      <c r="A15173" s="24"/>
      <c r="B15173" s="25"/>
      <c r="C15173" s="24"/>
      <c r="D15173" s="26"/>
      <c r="E15173" s="24"/>
      <c r="F15173" s="24"/>
      <c r="G15173" s="24"/>
      <c r="H15173" s="24"/>
      <c r="I15173" s="24"/>
      <c r="J15173" s="24"/>
      <c r="K15173" s="24"/>
      <c r="L15173" s="24"/>
      <c r="M15173" s="24"/>
      <c r="N15173" s="24"/>
      <c r="O15173" s="24"/>
      <c r="P15173" s="24"/>
      <c r="Q15173" s="24"/>
      <c r="R15173" s="24"/>
      <c r="S15173" s="24"/>
      <c r="T15173" s="24"/>
      <c r="U15173" s="24"/>
      <c r="V15173" s="24"/>
      <c r="W15173" s="24"/>
      <c r="X15173" s="24"/>
      <c r="Y15173" s="24"/>
      <c r="Z15173" s="24"/>
      <c r="AA15173" s="24"/>
    </row>
    <row r="15174">
      <c r="A15174" s="24"/>
      <c r="B15174" s="25"/>
      <c r="C15174" s="24"/>
      <c r="D15174" s="26"/>
      <c r="E15174" s="24"/>
      <c r="F15174" s="24"/>
      <c r="G15174" s="24"/>
      <c r="H15174" s="24"/>
      <c r="I15174" s="24"/>
      <c r="J15174" s="24"/>
      <c r="K15174" s="24"/>
      <c r="L15174" s="24"/>
      <c r="M15174" s="24"/>
      <c r="N15174" s="24"/>
      <c r="O15174" s="24"/>
      <c r="P15174" s="24"/>
      <c r="Q15174" s="24"/>
      <c r="R15174" s="24"/>
      <c r="S15174" s="24"/>
      <c r="T15174" s="24"/>
      <c r="U15174" s="24"/>
      <c r="V15174" s="24"/>
      <c r="W15174" s="24"/>
      <c r="X15174" s="24"/>
      <c r="Y15174" s="24"/>
      <c r="Z15174" s="24"/>
      <c r="AA15174" s="24"/>
    </row>
    <row r="15175">
      <c r="A15175" s="24"/>
      <c r="B15175" s="25"/>
      <c r="C15175" s="24"/>
      <c r="D15175" s="26"/>
      <c r="E15175" s="24"/>
      <c r="F15175" s="24"/>
      <c r="G15175" s="24"/>
      <c r="H15175" s="24"/>
      <c r="I15175" s="24"/>
      <c r="J15175" s="24"/>
      <c r="K15175" s="24"/>
      <c r="L15175" s="24"/>
      <c r="M15175" s="24"/>
      <c r="N15175" s="24"/>
      <c r="O15175" s="24"/>
      <c r="P15175" s="24"/>
      <c r="Q15175" s="24"/>
      <c r="R15175" s="24"/>
      <c r="S15175" s="24"/>
      <c r="T15175" s="24"/>
      <c r="U15175" s="24"/>
      <c r="V15175" s="24"/>
      <c r="W15175" s="24"/>
      <c r="X15175" s="24"/>
      <c r="Y15175" s="24"/>
      <c r="Z15175" s="24"/>
      <c r="AA15175" s="24"/>
    </row>
    <row r="15176">
      <c r="A15176" s="24"/>
      <c r="B15176" s="25"/>
      <c r="C15176" s="24"/>
      <c r="D15176" s="26"/>
      <c r="E15176" s="24"/>
      <c r="F15176" s="24"/>
      <c r="G15176" s="24"/>
      <c r="H15176" s="24"/>
      <c r="I15176" s="24"/>
      <c r="J15176" s="24"/>
      <c r="K15176" s="24"/>
      <c r="L15176" s="24"/>
      <c r="M15176" s="24"/>
      <c r="N15176" s="24"/>
      <c r="O15176" s="24"/>
      <c r="P15176" s="24"/>
      <c r="Q15176" s="24"/>
      <c r="R15176" s="24"/>
      <c r="S15176" s="24"/>
      <c r="T15176" s="24"/>
      <c r="U15176" s="24"/>
      <c r="V15176" s="24"/>
      <c r="W15176" s="24"/>
      <c r="X15176" s="24"/>
      <c r="Y15176" s="24"/>
      <c r="Z15176" s="24"/>
      <c r="AA15176" s="24"/>
    </row>
    <row r="15177">
      <c r="A15177" s="24"/>
      <c r="B15177" s="25"/>
      <c r="C15177" s="24"/>
      <c r="D15177" s="26"/>
      <c r="E15177" s="24"/>
      <c r="F15177" s="24"/>
      <c r="G15177" s="24"/>
      <c r="H15177" s="24"/>
      <c r="I15177" s="24"/>
      <c r="J15177" s="24"/>
      <c r="K15177" s="24"/>
      <c r="L15177" s="24"/>
      <c r="M15177" s="24"/>
      <c r="N15177" s="24"/>
      <c r="O15177" s="24"/>
      <c r="P15177" s="24"/>
      <c r="Q15177" s="24"/>
      <c r="R15177" s="24"/>
      <c r="S15177" s="24"/>
      <c r="T15177" s="24"/>
      <c r="U15177" s="24"/>
      <c r="V15177" s="24"/>
      <c r="W15177" s="24"/>
      <c r="X15177" s="24"/>
      <c r="Y15177" s="24"/>
      <c r="Z15177" s="24"/>
      <c r="AA15177" s="24"/>
    </row>
    <row r="15178">
      <c r="A15178" s="24"/>
      <c r="B15178" s="25"/>
      <c r="C15178" s="24"/>
      <c r="D15178" s="26"/>
      <c r="E15178" s="24"/>
      <c r="F15178" s="24"/>
      <c r="G15178" s="24"/>
      <c r="H15178" s="24"/>
      <c r="I15178" s="24"/>
      <c r="J15178" s="24"/>
      <c r="K15178" s="24"/>
      <c r="L15178" s="24"/>
      <c r="M15178" s="24"/>
      <c r="N15178" s="24"/>
      <c r="O15178" s="24"/>
      <c r="P15178" s="24"/>
      <c r="Q15178" s="24"/>
      <c r="R15178" s="24"/>
      <c r="S15178" s="24"/>
      <c r="T15178" s="24"/>
      <c r="U15178" s="24"/>
      <c r="V15178" s="24"/>
      <c r="W15178" s="24"/>
      <c r="X15178" s="24"/>
      <c r="Y15178" s="24"/>
      <c r="Z15178" s="24"/>
      <c r="AA15178" s="24"/>
    </row>
    <row r="15179">
      <c r="A15179" s="24"/>
      <c r="B15179" s="25"/>
      <c r="C15179" s="24"/>
      <c r="D15179" s="26"/>
      <c r="E15179" s="24"/>
      <c r="F15179" s="24"/>
      <c r="G15179" s="24"/>
      <c r="H15179" s="24"/>
      <c r="I15179" s="24"/>
      <c r="J15179" s="24"/>
      <c r="K15179" s="24"/>
      <c r="L15179" s="24"/>
      <c r="M15179" s="24"/>
      <c r="N15179" s="24"/>
      <c r="O15179" s="24"/>
      <c r="P15179" s="24"/>
      <c r="Q15179" s="24"/>
      <c r="R15179" s="24"/>
      <c r="S15179" s="24"/>
      <c r="T15179" s="24"/>
      <c r="U15179" s="24"/>
      <c r="V15179" s="24"/>
      <c r="W15179" s="24"/>
      <c r="X15179" s="24"/>
      <c r="Y15179" s="24"/>
      <c r="Z15179" s="24"/>
      <c r="AA15179" s="24"/>
    </row>
    <row r="15180">
      <c r="A15180" s="24"/>
      <c r="B15180" s="25"/>
      <c r="C15180" s="24"/>
      <c r="D15180" s="26"/>
      <c r="E15180" s="24"/>
      <c r="F15180" s="24"/>
      <c r="G15180" s="24"/>
      <c r="H15180" s="24"/>
      <c r="I15180" s="24"/>
      <c r="J15180" s="24"/>
      <c r="K15180" s="24"/>
      <c r="L15180" s="24"/>
      <c r="M15180" s="24"/>
      <c r="N15180" s="24"/>
      <c r="O15180" s="24"/>
      <c r="P15180" s="24"/>
      <c r="Q15180" s="24"/>
      <c r="R15180" s="24"/>
      <c r="S15180" s="24"/>
      <c r="T15180" s="24"/>
      <c r="U15180" s="24"/>
      <c r="V15180" s="24"/>
      <c r="W15180" s="24"/>
      <c r="X15180" s="24"/>
      <c r="Y15180" s="24"/>
      <c r="Z15180" s="24"/>
      <c r="AA15180" s="24"/>
    </row>
    <row r="15181">
      <c r="A15181" s="24"/>
      <c r="B15181" s="25"/>
      <c r="C15181" s="24"/>
      <c r="D15181" s="26"/>
      <c r="E15181" s="24"/>
      <c r="F15181" s="24"/>
      <c r="G15181" s="24"/>
      <c r="H15181" s="24"/>
      <c r="I15181" s="24"/>
      <c r="J15181" s="24"/>
      <c r="K15181" s="24"/>
      <c r="L15181" s="24"/>
      <c r="M15181" s="24"/>
      <c r="N15181" s="24"/>
      <c r="O15181" s="24"/>
      <c r="P15181" s="24"/>
      <c r="Q15181" s="24"/>
      <c r="R15181" s="24"/>
      <c r="S15181" s="24"/>
      <c r="T15181" s="24"/>
      <c r="U15181" s="24"/>
      <c r="V15181" s="24"/>
      <c r="W15181" s="24"/>
      <c r="X15181" s="24"/>
      <c r="Y15181" s="24"/>
      <c r="Z15181" s="24"/>
      <c r="AA15181" s="24"/>
    </row>
    <row r="15182">
      <c r="A15182" s="24"/>
      <c r="B15182" s="25"/>
      <c r="C15182" s="24"/>
      <c r="D15182" s="26"/>
      <c r="E15182" s="24"/>
      <c r="F15182" s="24"/>
      <c r="G15182" s="24"/>
      <c r="H15182" s="24"/>
      <c r="I15182" s="24"/>
      <c r="J15182" s="24"/>
      <c r="K15182" s="24"/>
      <c r="L15182" s="24"/>
      <c r="M15182" s="24"/>
      <c r="N15182" s="24"/>
      <c r="O15182" s="24"/>
      <c r="P15182" s="24"/>
      <c r="Q15182" s="24"/>
      <c r="R15182" s="24"/>
      <c r="S15182" s="24"/>
      <c r="T15182" s="24"/>
      <c r="U15182" s="24"/>
      <c r="V15182" s="24"/>
      <c r="W15182" s="24"/>
      <c r="X15182" s="24"/>
      <c r="Y15182" s="24"/>
      <c r="Z15182" s="24"/>
      <c r="AA15182" s="24"/>
    </row>
    <row r="15183">
      <c r="A15183" s="24"/>
      <c r="B15183" s="25"/>
      <c r="C15183" s="24"/>
      <c r="D15183" s="26"/>
      <c r="E15183" s="24"/>
      <c r="F15183" s="24"/>
      <c r="G15183" s="24"/>
      <c r="H15183" s="24"/>
      <c r="I15183" s="24"/>
      <c r="J15183" s="24"/>
      <c r="K15183" s="24"/>
      <c r="L15183" s="24"/>
      <c r="M15183" s="24"/>
      <c r="N15183" s="24"/>
      <c r="O15183" s="24"/>
      <c r="P15183" s="24"/>
      <c r="Q15183" s="24"/>
      <c r="R15183" s="24"/>
      <c r="S15183" s="24"/>
      <c r="T15183" s="24"/>
      <c r="U15183" s="24"/>
      <c r="V15183" s="24"/>
      <c r="W15183" s="24"/>
      <c r="X15183" s="24"/>
      <c r="Y15183" s="24"/>
      <c r="Z15183" s="24"/>
      <c r="AA15183" s="24"/>
    </row>
    <row r="15184">
      <c r="A15184" s="24"/>
      <c r="B15184" s="25"/>
      <c r="C15184" s="24"/>
      <c r="D15184" s="26"/>
      <c r="E15184" s="24"/>
      <c r="F15184" s="24"/>
      <c r="G15184" s="24"/>
      <c r="H15184" s="24"/>
      <c r="I15184" s="24"/>
      <c r="J15184" s="24"/>
      <c r="K15184" s="24"/>
      <c r="L15184" s="24"/>
      <c r="M15184" s="24"/>
      <c r="N15184" s="24"/>
      <c r="O15184" s="24"/>
      <c r="P15184" s="24"/>
      <c r="Q15184" s="24"/>
      <c r="R15184" s="24"/>
      <c r="S15184" s="24"/>
      <c r="T15184" s="24"/>
      <c r="U15184" s="24"/>
      <c r="V15184" s="24"/>
      <c r="W15184" s="24"/>
      <c r="X15184" s="24"/>
      <c r="Y15184" s="24"/>
      <c r="Z15184" s="24"/>
      <c r="AA15184" s="24"/>
    </row>
    <row r="15185">
      <c r="A15185" s="24"/>
      <c r="B15185" s="25"/>
      <c r="C15185" s="24"/>
      <c r="D15185" s="26"/>
      <c r="E15185" s="24"/>
      <c r="F15185" s="24"/>
      <c r="G15185" s="24"/>
      <c r="H15185" s="24"/>
      <c r="I15185" s="24"/>
      <c r="J15185" s="24"/>
      <c r="K15185" s="24"/>
      <c r="L15185" s="24"/>
      <c r="M15185" s="24"/>
      <c r="N15185" s="24"/>
      <c r="O15185" s="24"/>
      <c r="P15185" s="24"/>
      <c r="Q15185" s="24"/>
      <c r="R15185" s="24"/>
      <c r="S15185" s="24"/>
      <c r="T15185" s="24"/>
      <c r="U15185" s="24"/>
      <c r="V15185" s="24"/>
      <c r="W15185" s="24"/>
      <c r="X15185" s="24"/>
      <c r="Y15185" s="24"/>
      <c r="Z15185" s="24"/>
      <c r="AA15185" s="24"/>
    </row>
    <row r="15186">
      <c r="A15186" s="24"/>
      <c r="B15186" s="25"/>
      <c r="C15186" s="24"/>
      <c r="D15186" s="26"/>
      <c r="E15186" s="24"/>
      <c r="F15186" s="24"/>
      <c r="G15186" s="24"/>
      <c r="H15186" s="24"/>
      <c r="I15186" s="24"/>
      <c r="J15186" s="24"/>
      <c r="K15186" s="24"/>
      <c r="L15186" s="24"/>
      <c r="M15186" s="24"/>
      <c r="N15186" s="24"/>
      <c r="O15186" s="24"/>
      <c r="P15186" s="24"/>
      <c r="Q15186" s="24"/>
      <c r="R15186" s="24"/>
      <c r="S15186" s="24"/>
      <c r="T15186" s="24"/>
      <c r="U15186" s="24"/>
      <c r="V15186" s="24"/>
      <c r="W15186" s="24"/>
      <c r="X15186" s="24"/>
      <c r="Y15186" s="24"/>
      <c r="Z15186" s="24"/>
      <c r="AA15186" s="24"/>
    </row>
    <row r="15187">
      <c r="A15187" s="24"/>
      <c r="B15187" s="25"/>
      <c r="C15187" s="24"/>
      <c r="D15187" s="26"/>
      <c r="E15187" s="24"/>
      <c r="F15187" s="24"/>
      <c r="G15187" s="24"/>
      <c r="H15187" s="24"/>
      <c r="I15187" s="24"/>
      <c r="J15187" s="24"/>
      <c r="K15187" s="24"/>
      <c r="L15187" s="24"/>
      <c r="M15187" s="24"/>
      <c r="N15187" s="24"/>
      <c r="O15187" s="24"/>
      <c r="P15187" s="24"/>
      <c r="Q15187" s="24"/>
      <c r="R15187" s="24"/>
      <c r="S15187" s="24"/>
      <c r="T15187" s="24"/>
      <c r="U15187" s="24"/>
      <c r="V15187" s="24"/>
      <c r="W15187" s="24"/>
      <c r="X15187" s="24"/>
      <c r="Y15187" s="24"/>
      <c r="Z15187" s="24"/>
      <c r="AA15187" s="24"/>
    </row>
    <row r="15188">
      <c r="A15188" s="24"/>
      <c r="B15188" s="25"/>
      <c r="C15188" s="24"/>
      <c r="D15188" s="26"/>
      <c r="E15188" s="24"/>
      <c r="F15188" s="24"/>
      <c r="G15188" s="24"/>
      <c r="H15188" s="24"/>
      <c r="I15188" s="24"/>
      <c r="J15188" s="24"/>
      <c r="K15188" s="24"/>
      <c r="L15188" s="24"/>
      <c r="M15188" s="24"/>
      <c r="N15188" s="24"/>
      <c r="O15188" s="24"/>
      <c r="P15188" s="24"/>
      <c r="Q15188" s="24"/>
      <c r="R15188" s="24"/>
      <c r="S15188" s="24"/>
      <c r="T15188" s="24"/>
      <c r="U15188" s="24"/>
      <c r="V15188" s="24"/>
      <c r="W15188" s="24"/>
      <c r="X15188" s="24"/>
      <c r="Y15188" s="24"/>
      <c r="Z15188" s="24"/>
      <c r="AA15188" s="24"/>
    </row>
    <row r="15189">
      <c r="A15189" s="24"/>
      <c r="B15189" s="25"/>
      <c r="C15189" s="24"/>
      <c r="D15189" s="26"/>
      <c r="E15189" s="24"/>
      <c r="F15189" s="24"/>
      <c r="G15189" s="24"/>
      <c r="H15189" s="24"/>
      <c r="I15189" s="24"/>
      <c r="J15189" s="24"/>
      <c r="K15189" s="24"/>
      <c r="L15189" s="24"/>
      <c r="M15189" s="24"/>
      <c r="N15189" s="24"/>
      <c r="O15189" s="24"/>
      <c r="P15189" s="24"/>
      <c r="Q15189" s="24"/>
      <c r="R15189" s="24"/>
      <c r="S15189" s="24"/>
      <c r="T15189" s="24"/>
      <c r="U15189" s="24"/>
      <c r="V15189" s="24"/>
      <c r="W15189" s="24"/>
      <c r="X15189" s="24"/>
      <c r="Y15189" s="24"/>
      <c r="Z15189" s="24"/>
      <c r="AA15189" s="24"/>
    </row>
    <row r="15190">
      <c r="A15190" s="24"/>
      <c r="B15190" s="25"/>
      <c r="C15190" s="24"/>
      <c r="D15190" s="26"/>
      <c r="E15190" s="24"/>
      <c r="F15190" s="24"/>
      <c r="G15190" s="24"/>
      <c r="H15190" s="24"/>
      <c r="I15190" s="24"/>
      <c r="J15190" s="24"/>
      <c r="K15190" s="24"/>
      <c r="L15190" s="24"/>
      <c r="M15190" s="24"/>
      <c r="N15190" s="24"/>
      <c r="O15190" s="24"/>
      <c r="P15190" s="24"/>
      <c r="Q15190" s="24"/>
      <c r="R15190" s="24"/>
      <c r="S15190" s="24"/>
      <c r="T15190" s="24"/>
      <c r="U15190" s="24"/>
      <c r="V15190" s="24"/>
      <c r="W15190" s="24"/>
      <c r="X15190" s="24"/>
      <c r="Y15190" s="24"/>
      <c r="Z15190" s="24"/>
      <c r="AA15190" s="24"/>
    </row>
    <row r="15191">
      <c r="A15191" s="24"/>
      <c r="B15191" s="25"/>
      <c r="C15191" s="24"/>
      <c r="D15191" s="26"/>
      <c r="E15191" s="24"/>
      <c r="F15191" s="24"/>
      <c r="G15191" s="24"/>
      <c r="H15191" s="24"/>
      <c r="I15191" s="24"/>
      <c r="J15191" s="24"/>
      <c r="K15191" s="24"/>
      <c r="L15191" s="24"/>
      <c r="M15191" s="24"/>
      <c r="N15191" s="24"/>
      <c r="O15191" s="24"/>
      <c r="P15191" s="24"/>
      <c r="Q15191" s="24"/>
      <c r="R15191" s="24"/>
      <c r="S15191" s="24"/>
      <c r="T15191" s="24"/>
      <c r="U15191" s="24"/>
      <c r="V15191" s="24"/>
      <c r="W15191" s="24"/>
      <c r="X15191" s="24"/>
      <c r="Y15191" s="24"/>
      <c r="Z15191" s="24"/>
      <c r="AA15191" s="24"/>
    </row>
    <row r="15192">
      <c r="A15192" s="24"/>
      <c r="B15192" s="25"/>
      <c r="C15192" s="24"/>
      <c r="D15192" s="26"/>
      <c r="E15192" s="24"/>
      <c r="F15192" s="24"/>
      <c r="G15192" s="24"/>
      <c r="H15192" s="24"/>
      <c r="I15192" s="24"/>
      <c r="J15192" s="24"/>
      <c r="K15192" s="24"/>
      <c r="L15192" s="24"/>
      <c r="M15192" s="24"/>
      <c r="N15192" s="24"/>
      <c r="O15192" s="24"/>
      <c r="P15192" s="24"/>
      <c r="Q15192" s="24"/>
      <c r="R15192" s="24"/>
      <c r="S15192" s="24"/>
      <c r="T15192" s="24"/>
      <c r="U15192" s="24"/>
      <c r="V15192" s="24"/>
      <c r="W15192" s="24"/>
      <c r="X15192" s="24"/>
      <c r="Y15192" s="24"/>
      <c r="Z15192" s="24"/>
      <c r="AA15192" s="24"/>
    </row>
    <row r="15193">
      <c r="A15193" s="24"/>
      <c r="B15193" s="25"/>
      <c r="C15193" s="24"/>
      <c r="D15193" s="26"/>
      <c r="E15193" s="24"/>
      <c r="F15193" s="24"/>
      <c r="G15193" s="24"/>
      <c r="H15193" s="24"/>
      <c r="I15193" s="24"/>
      <c r="J15193" s="24"/>
      <c r="K15193" s="24"/>
      <c r="L15193" s="24"/>
      <c r="M15193" s="24"/>
      <c r="N15193" s="24"/>
      <c r="O15193" s="24"/>
      <c r="P15193" s="24"/>
      <c r="Q15193" s="24"/>
      <c r="R15193" s="24"/>
      <c r="S15193" s="24"/>
      <c r="T15193" s="24"/>
      <c r="U15193" s="24"/>
      <c r="V15193" s="24"/>
      <c r="W15193" s="24"/>
      <c r="X15193" s="24"/>
      <c r="Y15193" s="24"/>
      <c r="Z15193" s="24"/>
      <c r="AA15193" s="24"/>
    </row>
    <row r="15194">
      <c r="A15194" s="24"/>
      <c r="B15194" s="25"/>
      <c r="C15194" s="24"/>
      <c r="D15194" s="26"/>
      <c r="E15194" s="24"/>
      <c r="F15194" s="24"/>
      <c r="G15194" s="24"/>
      <c r="H15194" s="24"/>
      <c r="I15194" s="24"/>
      <c r="J15194" s="24"/>
      <c r="K15194" s="24"/>
      <c r="L15194" s="24"/>
      <c r="M15194" s="24"/>
      <c r="N15194" s="24"/>
      <c r="O15194" s="24"/>
      <c r="P15194" s="24"/>
      <c r="Q15194" s="24"/>
      <c r="R15194" s="24"/>
      <c r="S15194" s="24"/>
      <c r="T15194" s="24"/>
      <c r="U15194" s="24"/>
      <c r="V15194" s="24"/>
      <c r="W15194" s="24"/>
      <c r="X15194" s="24"/>
      <c r="Y15194" s="24"/>
      <c r="Z15194" s="24"/>
      <c r="AA15194" s="24"/>
    </row>
    <row r="15195">
      <c r="A15195" s="24"/>
      <c r="B15195" s="25"/>
      <c r="C15195" s="24"/>
      <c r="D15195" s="26"/>
      <c r="E15195" s="24"/>
      <c r="F15195" s="24"/>
      <c r="G15195" s="24"/>
      <c r="H15195" s="24"/>
      <c r="I15195" s="24"/>
      <c r="J15195" s="24"/>
      <c r="K15195" s="24"/>
      <c r="L15195" s="24"/>
      <c r="M15195" s="24"/>
      <c r="N15195" s="24"/>
      <c r="O15195" s="24"/>
      <c r="P15195" s="24"/>
      <c r="Q15195" s="24"/>
      <c r="R15195" s="24"/>
      <c r="S15195" s="24"/>
      <c r="T15195" s="24"/>
      <c r="U15195" s="24"/>
      <c r="V15195" s="24"/>
      <c r="W15195" s="24"/>
      <c r="X15195" s="24"/>
      <c r="Y15195" s="24"/>
      <c r="Z15195" s="24"/>
      <c r="AA15195" s="24"/>
    </row>
    <row r="15196">
      <c r="A15196" s="24"/>
      <c r="B15196" s="25"/>
      <c r="C15196" s="24"/>
      <c r="D15196" s="26"/>
      <c r="E15196" s="24"/>
      <c r="F15196" s="24"/>
      <c r="G15196" s="24"/>
      <c r="H15196" s="24"/>
      <c r="I15196" s="24"/>
      <c r="J15196" s="24"/>
      <c r="K15196" s="24"/>
      <c r="L15196" s="24"/>
      <c r="M15196" s="24"/>
      <c r="N15196" s="24"/>
      <c r="O15196" s="24"/>
      <c r="P15196" s="24"/>
      <c r="Q15196" s="24"/>
      <c r="R15196" s="24"/>
      <c r="S15196" s="24"/>
      <c r="T15196" s="24"/>
      <c r="U15196" s="24"/>
      <c r="V15196" s="24"/>
      <c r="W15196" s="24"/>
      <c r="X15196" s="24"/>
      <c r="Y15196" s="24"/>
      <c r="Z15196" s="24"/>
      <c r="AA15196" s="24"/>
    </row>
    <row r="15197">
      <c r="A15197" s="24"/>
      <c r="B15197" s="25"/>
      <c r="C15197" s="24"/>
      <c r="D15197" s="26"/>
      <c r="E15197" s="24"/>
      <c r="F15197" s="24"/>
      <c r="G15197" s="24"/>
      <c r="H15197" s="24"/>
      <c r="I15197" s="24"/>
      <c r="J15197" s="24"/>
      <c r="K15197" s="24"/>
      <c r="L15197" s="24"/>
      <c r="M15197" s="24"/>
      <c r="N15197" s="24"/>
      <c r="O15197" s="24"/>
      <c r="P15197" s="24"/>
      <c r="Q15197" s="24"/>
      <c r="R15197" s="24"/>
      <c r="S15197" s="24"/>
      <c r="T15197" s="24"/>
      <c r="U15197" s="24"/>
      <c r="V15197" s="24"/>
      <c r="W15197" s="24"/>
      <c r="X15197" s="24"/>
      <c r="Y15197" s="24"/>
      <c r="Z15197" s="24"/>
      <c r="AA15197" s="24"/>
    </row>
    <row r="15198">
      <c r="A15198" s="24"/>
      <c r="B15198" s="25"/>
      <c r="C15198" s="24"/>
      <c r="D15198" s="26"/>
      <c r="E15198" s="24"/>
      <c r="F15198" s="24"/>
      <c r="G15198" s="24"/>
      <c r="H15198" s="24"/>
      <c r="I15198" s="24"/>
      <c r="J15198" s="24"/>
      <c r="K15198" s="24"/>
      <c r="L15198" s="24"/>
      <c r="M15198" s="24"/>
      <c r="N15198" s="24"/>
      <c r="O15198" s="24"/>
      <c r="P15198" s="24"/>
      <c r="Q15198" s="24"/>
      <c r="R15198" s="24"/>
      <c r="S15198" s="24"/>
      <c r="T15198" s="24"/>
      <c r="U15198" s="24"/>
      <c r="V15198" s="24"/>
      <c r="W15198" s="24"/>
      <c r="X15198" s="24"/>
      <c r="Y15198" s="24"/>
      <c r="Z15198" s="24"/>
      <c r="AA15198" s="24"/>
    </row>
    <row r="15199">
      <c r="A15199" s="24"/>
      <c r="B15199" s="25"/>
      <c r="C15199" s="24"/>
      <c r="D15199" s="26"/>
      <c r="E15199" s="24"/>
      <c r="F15199" s="24"/>
      <c r="G15199" s="24"/>
      <c r="H15199" s="24"/>
      <c r="I15199" s="24"/>
      <c r="J15199" s="24"/>
      <c r="K15199" s="24"/>
      <c r="L15199" s="24"/>
      <c r="M15199" s="24"/>
      <c r="N15199" s="24"/>
      <c r="O15199" s="24"/>
      <c r="P15199" s="24"/>
      <c r="Q15199" s="24"/>
      <c r="R15199" s="24"/>
      <c r="S15199" s="24"/>
      <c r="T15199" s="24"/>
      <c r="U15199" s="24"/>
      <c r="V15199" s="24"/>
      <c r="W15199" s="24"/>
      <c r="X15199" s="24"/>
      <c r="Y15199" s="24"/>
      <c r="Z15199" s="24"/>
      <c r="AA15199" s="24"/>
    </row>
    <row r="15200">
      <c r="A15200" s="24"/>
      <c r="B15200" s="25"/>
      <c r="C15200" s="24"/>
      <c r="D15200" s="26"/>
      <c r="E15200" s="24"/>
      <c r="F15200" s="24"/>
      <c r="G15200" s="24"/>
      <c r="H15200" s="24"/>
      <c r="I15200" s="24"/>
      <c r="J15200" s="24"/>
      <c r="K15200" s="24"/>
      <c r="L15200" s="24"/>
      <c r="M15200" s="24"/>
      <c r="N15200" s="24"/>
      <c r="O15200" s="24"/>
      <c r="P15200" s="24"/>
      <c r="Q15200" s="24"/>
      <c r="R15200" s="24"/>
      <c r="S15200" s="24"/>
      <c r="T15200" s="24"/>
      <c r="U15200" s="24"/>
      <c r="V15200" s="24"/>
      <c r="W15200" s="24"/>
      <c r="X15200" s="24"/>
      <c r="Y15200" s="24"/>
      <c r="Z15200" s="24"/>
      <c r="AA15200" s="24"/>
    </row>
    <row r="15201">
      <c r="A15201" s="24"/>
      <c r="B15201" s="25"/>
      <c r="C15201" s="24"/>
      <c r="D15201" s="26"/>
      <c r="E15201" s="24"/>
      <c r="F15201" s="24"/>
      <c r="G15201" s="24"/>
      <c r="H15201" s="24"/>
      <c r="I15201" s="24"/>
      <c r="J15201" s="24"/>
      <c r="K15201" s="24"/>
      <c r="L15201" s="24"/>
      <c r="M15201" s="24"/>
      <c r="N15201" s="24"/>
      <c r="O15201" s="24"/>
      <c r="P15201" s="24"/>
      <c r="Q15201" s="24"/>
      <c r="R15201" s="24"/>
      <c r="S15201" s="24"/>
      <c r="T15201" s="24"/>
      <c r="U15201" s="24"/>
      <c r="V15201" s="24"/>
      <c r="W15201" s="24"/>
      <c r="X15201" s="24"/>
      <c r="Y15201" s="24"/>
      <c r="Z15201" s="24"/>
      <c r="AA15201" s="24"/>
    </row>
    <row r="15202">
      <c r="A15202" s="24"/>
      <c r="B15202" s="25"/>
      <c r="C15202" s="24"/>
      <c r="D15202" s="26"/>
      <c r="E15202" s="24"/>
      <c r="F15202" s="24"/>
      <c r="G15202" s="24"/>
      <c r="H15202" s="24"/>
      <c r="I15202" s="24"/>
      <c r="J15202" s="24"/>
      <c r="K15202" s="24"/>
      <c r="L15202" s="24"/>
      <c r="M15202" s="24"/>
      <c r="N15202" s="24"/>
      <c r="O15202" s="24"/>
      <c r="P15202" s="24"/>
      <c r="Q15202" s="24"/>
      <c r="R15202" s="24"/>
      <c r="S15202" s="24"/>
      <c r="T15202" s="24"/>
      <c r="U15202" s="24"/>
      <c r="V15202" s="24"/>
      <c r="W15202" s="24"/>
      <c r="X15202" s="24"/>
      <c r="Y15202" s="24"/>
      <c r="Z15202" s="24"/>
      <c r="AA15202" s="24"/>
    </row>
    <row r="15203">
      <c r="A15203" s="24"/>
      <c r="B15203" s="25"/>
      <c r="C15203" s="24"/>
      <c r="D15203" s="26"/>
      <c r="E15203" s="24"/>
      <c r="F15203" s="24"/>
      <c r="G15203" s="24"/>
      <c r="H15203" s="24"/>
      <c r="I15203" s="24"/>
      <c r="J15203" s="24"/>
      <c r="K15203" s="24"/>
      <c r="L15203" s="24"/>
      <c r="M15203" s="24"/>
      <c r="N15203" s="24"/>
      <c r="O15203" s="24"/>
      <c r="P15203" s="24"/>
      <c r="Q15203" s="24"/>
      <c r="R15203" s="24"/>
      <c r="S15203" s="24"/>
      <c r="T15203" s="24"/>
      <c r="U15203" s="24"/>
      <c r="V15203" s="24"/>
      <c r="W15203" s="24"/>
      <c r="X15203" s="24"/>
      <c r="Y15203" s="24"/>
      <c r="Z15203" s="24"/>
      <c r="AA15203" s="24"/>
    </row>
    <row r="15204">
      <c r="A15204" s="24"/>
      <c r="B15204" s="25"/>
      <c r="C15204" s="24"/>
      <c r="D15204" s="26"/>
      <c r="E15204" s="24"/>
      <c r="F15204" s="24"/>
      <c r="G15204" s="24"/>
      <c r="H15204" s="24"/>
      <c r="I15204" s="24"/>
      <c r="J15204" s="24"/>
      <c r="K15204" s="24"/>
      <c r="L15204" s="24"/>
      <c r="M15204" s="24"/>
      <c r="N15204" s="24"/>
      <c r="O15204" s="24"/>
      <c r="P15204" s="24"/>
      <c r="Q15204" s="24"/>
      <c r="R15204" s="24"/>
      <c r="S15204" s="24"/>
      <c r="T15204" s="24"/>
      <c r="U15204" s="24"/>
      <c r="V15204" s="24"/>
      <c r="W15204" s="24"/>
      <c r="X15204" s="24"/>
      <c r="Y15204" s="24"/>
      <c r="Z15204" s="24"/>
      <c r="AA15204" s="24"/>
    </row>
    <row r="15205">
      <c r="A15205" s="24"/>
      <c r="B15205" s="25"/>
      <c r="C15205" s="24"/>
      <c r="D15205" s="26"/>
      <c r="E15205" s="24"/>
      <c r="F15205" s="24"/>
      <c r="G15205" s="24"/>
      <c r="H15205" s="24"/>
      <c r="I15205" s="24"/>
      <c r="J15205" s="24"/>
      <c r="K15205" s="24"/>
      <c r="L15205" s="24"/>
      <c r="M15205" s="24"/>
      <c r="N15205" s="24"/>
      <c r="O15205" s="24"/>
      <c r="P15205" s="24"/>
      <c r="Q15205" s="24"/>
      <c r="R15205" s="24"/>
      <c r="S15205" s="24"/>
      <c r="T15205" s="24"/>
      <c r="U15205" s="24"/>
      <c r="V15205" s="24"/>
      <c r="W15205" s="24"/>
      <c r="X15205" s="24"/>
      <c r="Y15205" s="24"/>
      <c r="Z15205" s="24"/>
      <c r="AA15205" s="24"/>
    </row>
    <row r="15206">
      <c r="A15206" s="24"/>
      <c r="B15206" s="25"/>
      <c r="C15206" s="24"/>
      <c r="D15206" s="26"/>
      <c r="E15206" s="24"/>
      <c r="F15206" s="24"/>
      <c r="G15206" s="24"/>
      <c r="H15206" s="24"/>
      <c r="I15206" s="24"/>
      <c r="J15206" s="24"/>
      <c r="K15206" s="24"/>
      <c r="L15206" s="24"/>
      <c r="M15206" s="24"/>
      <c r="N15206" s="24"/>
      <c r="O15206" s="24"/>
      <c r="P15206" s="24"/>
      <c r="Q15206" s="24"/>
      <c r="R15206" s="24"/>
      <c r="S15206" s="24"/>
      <c r="T15206" s="24"/>
      <c r="U15206" s="24"/>
      <c r="V15206" s="24"/>
      <c r="W15206" s="24"/>
      <c r="X15206" s="24"/>
      <c r="Y15206" s="24"/>
      <c r="Z15206" s="24"/>
      <c r="AA15206" s="24"/>
    </row>
    <row r="15207">
      <c r="A15207" s="24"/>
      <c r="B15207" s="25"/>
      <c r="C15207" s="24"/>
      <c r="D15207" s="26"/>
      <c r="E15207" s="24"/>
      <c r="F15207" s="24"/>
      <c r="G15207" s="24"/>
      <c r="H15207" s="24"/>
      <c r="I15207" s="24"/>
      <c r="J15207" s="24"/>
      <c r="K15207" s="24"/>
      <c r="L15207" s="24"/>
      <c r="M15207" s="24"/>
      <c r="N15207" s="24"/>
      <c r="O15207" s="24"/>
      <c r="P15207" s="24"/>
      <c r="Q15207" s="24"/>
      <c r="R15207" s="24"/>
      <c r="S15207" s="24"/>
      <c r="T15207" s="24"/>
      <c r="U15207" s="24"/>
      <c r="V15207" s="24"/>
      <c r="W15207" s="24"/>
      <c r="X15207" s="24"/>
      <c r="Y15207" s="24"/>
      <c r="Z15207" s="24"/>
      <c r="AA15207" s="24"/>
    </row>
    <row r="15208">
      <c r="A15208" s="24"/>
      <c r="B15208" s="25"/>
      <c r="C15208" s="24"/>
      <c r="D15208" s="26"/>
      <c r="E15208" s="24"/>
      <c r="F15208" s="24"/>
      <c r="G15208" s="24"/>
      <c r="H15208" s="24"/>
      <c r="I15208" s="24"/>
      <c r="J15208" s="24"/>
      <c r="K15208" s="24"/>
      <c r="L15208" s="24"/>
      <c r="M15208" s="24"/>
      <c r="N15208" s="24"/>
      <c r="O15208" s="24"/>
      <c r="P15208" s="24"/>
      <c r="Q15208" s="24"/>
      <c r="R15208" s="24"/>
      <c r="S15208" s="24"/>
      <c r="T15208" s="24"/>
      <c r="U15208" s="24"/>
      <c r="V15208" s="24"/>
      <c r="W15208" s="24"/>
      <c r="X15208" s="24"/>
      <c r="Y15208" s="24"/>
      <c r="Z15208" s="24"/>
      <c r="AA15208" s="24"/>
    </row>
    <row r="15209">
      <c r="A15209" s="24"/>
      <c r="B15209" s="25"/>
      <c r="C15209" s="24"/>
      <c r="D15209" s="26"/>
      <c r="E15209" s="24"/>
      <c r="F15209" s="24"/>
      <c r="G15209" s="24"/>
      <c r="H15209" s="24"/>
      <c r="I15209" s="24"/>
      <c r="J15209" s="24"/>
      <c r="K15209" s="24"/>
      <c r="L15209" s="24"/>
      <c r="M15209" s="24"/>
      <c r="N15209" s="24"/>
      <c r="O15209" s="24"/>
      <c r="P15209" s="24"/>
      <c r="Q15209" s="24"/>
      <c r="R15209" s="24"/>
      <c r="S15209" s="24"/>
      <c r="T15209" s="24"/>
      <c r="U15209" s="24"/>
      <c r="V15209" s="24"/>
      <c r="W15209" s="24"/>
      <c r="X15209" s="24"/>
      <c r="Y15209" s="24"/>
      <c r="Z15209" s="24"/>
      <c r="AA15209" s="24"/>
    </row>
    <row r="15210">
      <c r="A15210" s="24"/>
      <c r="B15210" s="25"/>
      <c r="C15210" s="24"/>
      <c r="D15210" s="26"/>
      <c r="E15210" s="24"/>
      <c r="F15210" s="24"/>
      <c r="G15210" s="24"/>
      <c r="H15210" s="24"/>
      <c r="I15210" s="24"/>
      <c r="J15210" s="24"/>
      <c r="K15210" s="24"/>
      <c r="L15210" s="24"/>
      <c r="M15210" s="24"/>
      <c r="N15210" s="24"/>
      <c r="O15210" s="24"/>
      <c r="P15210" s="24"/>
      <c r="Q15210" s="24"/>
      <c r="R15210" s="24"/>
      <c r="S15210" s="24"/>
      <c r="T15210" s="24"/>
      <c r="U15210" s="24"/>
      <c r="V15210" s="24"/>
      <c r="W15210" s="24"/>
      <c r="X15210" s="24"/>
      <c r="Y15210" s="24"/>
      <c r="Z15210" s="24"/>
      <c r="AA15210" s="24"/>
    </row>
    <row r="15211">
      <c r="A15211" s="24"/>
      <c r="B15211" s="25"/>
      <c r="C15211" s="24"/>
      <c r="D15211" s="26"/>
      <c r="E15211" s="24"/>
      <c r="F15211" s="24"/>
      <c r="G15211" s="24"/>
      <c r="H15211" s="24"/>
      <c r="I15211" s="24"/>
      <c r="J15211" s="24"/>
      <c r="K15211" s="24"/>
      <c r="L15211" s="24"/>
      <c r="M15211" s="24"/>
      <c r="N15211" s="24"/>
      <c r="O15211" s="24"/>
      <c r="P15211" s="24"/>
      <c r="Q15211" s="24"/>
      <c r="R15211" s="24"/>
      <c r="S15211" s="24"/>
      <c r="T15211" s="24"/>
      <c r="U15211" s="24"/>
      <c r="V15211" s="24"/>
      <c r="W15211" s="24"/>
      <c r="X15211" s="24"/>
      <c r="Y15211" s="24"/>
      <c r="Z15211" s="24"/>
      <c r="AA15211" s="24"/>
    </row>
    <row r="15212">
      <c r="A15212" s="24"/>
      <c r="B15212" s="25"/>
      <c r="C15212" s="24"/>
      <c r="D15212" s="26"/>
      <c r="E15212" s="24"/>
      <c r="F15212" s="24"/>
      <c r="G15212" s="24"/>
      <c r="H15212" s="24"/>
      <c r="I15212" s="24"/>
      <c r="J15212" s="24"/>
      <c r="K15212" s="24"/>
      <c r="L15212" s="24"/>
      <c r="M15212" s="24"/>
      <c r="N15212" s="24"/>
      <c r="O15212" s="24"/>
      <c r="P15212" s="24"/>
      <c r="Q15212" s="24"/>
      <c r="R15212" s="24"/>
      <c r="S15212" s="24"/>
      <c r="T15212" s="24"/>
      <c r="U15212" s="24"/>
      <c r="V15212" s="24"/>
      <c r="W15212" s="24"/>
      <c r="X15212" s="24"/>
      <c r="Y15212" s="24"/>
      <c r="Z15212" s="24"/>
      <c r="AA15212" s="24"/>
    </row>
    <row r="15213">
      <c r="A15213" s="24"/>
      <c r="B15213" s="25"/>
      <c r="C15213" s="24"/>
      <c r="D15213" s="26"/>
      <c r="E15213" s="24"/>
      <c r="F15213" s="24"/>
      <c r="G15213" s="24"/>
      <c r="H15213" s="24"/>
      <c r="I15213" s="24"/>
      <c r="J15213" s="24"/>
      <c r="K15213" s="24"/>
      <c r="L15213" s="24"/>
      <c r="M15213" s="24"/>
      <c r="N15213" s="24"/>
      <c r="O15213" s="24"/>
      <c r="P15213" s="24"/>
      <c r="Q15213" s="24"/>
      <c r="R15213" s="24"/>
      <c r="S15213" s="24"/>
      <c r="T15213" s="24"/>
      <c r="U15213" s="24"/>
      <c r="V15213" s="24"/>
      <c r="W15213" s="24"/>
      <c r="X15213" s="24"/>
      <c r="Y15213" s="24"/>
      <c r="Z15213" s="24"/>
      <c r="AA15213" s="24"/>
    </row>
    <row r="15214">
      <c r="A15214" s="24"/>
      <c r="B15214" s="25"/>
      <c r="C15214" s="24"/>
      <c r="D15214" s="26"/>
      <c r="E15214" s="24"/>
      <c r="F15214" s="24"/>
      <c r="G15214" s="24"/>
      <c r="H15214" s="24"/>
      <c r="I15214" s="24"/>
      <c r="J15214" s="24"/>
      <c r="K15214" s="24"/>
      <c r="L15214" s="24"/>
      <c r="M15214" s="24"/>
      <c r="N15214" s="24"/>
      <c r="O15214" s="24"/>
      <c r="P15214" s="24"/>
      <c r="Q15214" s="24"/>
      <c r="R15214" s="24"/>
      <c r="S15214" s="24"/>
      <c r="T15214" s="24"/>
      <c r="U15214" s="24"/>
      <c r="V15214" s="24"/>
      <c r="W15214" s="24"/>
      <c r="X15214" s="24"/>
      <c r="Y15214" s="24"/>
      <c r="Z15214" s="24"/>
      <c r="AA15214" s="24"/>
    </row>
    <row r="15215">
      <c r="A15215" s="24"/>
      <c r="B15215" s="25"/>
      <c r="C15215" s="24"/>
      <c r="D15215" s="26"/>
      <c r="E15215" s="24"/>
      <c r="F15215" s="24"/>
      <c r="G15215" s="24"/>
      <c r="H15215" s="24"/>
      <c r="I15215" s="24"/>
      <c r="J15215" s="24"/>
      <c r="K15215" s="24"/>
      <c r="L15215" s="24"/>
      <c r="M15215" s="24"/>
      <c r="N15215" s="24"/>
      <c r="O15215" s="24"/>
      <c r="P15215" s="24"/>
      <c r="Q15215" s="24"/>
      <c r="R15215" s="24"/>
      <c r="S15215" s="24"/>
      <c r="T15215" s="24"/>
      <c r="U15215" s="24"/>
      <c r="V15215" s="24"/>
      <c r="W15215" s="24"/>
      <c r="X15215" s="24"/>
      <c r="Y15215" s="24"/>
      <c r="Z15215" s="24"/>
      <c r="AA15215" s="24"/>
    </row>
    <row r="15216">
      <c r="A15216" s="24"/>
      <c r="B15216" s="25"/>
      <c r="C15216" s="24"/>
      <c r="D15216" s="26"/>
      <c r="E15216" s="24"/>
      <c r="F15216" s="24"/>
      <c r="G15216" s="24"/>
      <c r="H15216" s="24"/>
      <c r="I15216" s="24"/>
      <c r="J15216" s="24"/>
      <c r="K15216" s="24"/>
      <c r="L15216" s="24"/>
      <c r="M15216" s="24"/>
      <c r="N15216" s="24"/>
      <c r="O15216" s="24"/>
      <c r="P15216" s="24"/>
      <c r="Q15216" s="24"/>
      <c r="R15216" s="24"/>
      <c r="S15216" s="24"/>
      <c r="T15216" s="24"/>
      <c r="U15216" s="24"/>
      <c r="V15216" s="24"/>
      <c r="W15216" s="24"/>
      <c r="X15216" s="24"/>
      <c r="Y15216" s="24"/>
      <c r="Z15216" s="24"/>
      <c r="AA15216" s="24"/>
    </row>
    <row r="15217">
      <c r="A15217" s="24"/>
      <c r="B15217" s="25"/>
      <c r="C15217" s="24"/>
      <c r="D15217" s="26"/>
      <c r="E15217" s="24"/>
      <c r="F15217" s="24"/>
      <c r="G15217" s="24"/>
      <c r="H15217" s="24"/>
      <c r="I15217" s="24"/>
      <c r="J15217" s="24"/>
      <c r="K15217" s="24"/>
      <c r="L15217" s="24"/>
      <c r="M15217" s="24"/>
      <c r="N15217" s="24"/>
      <c r="O15217" s="24"/>
      <c r="P15217" s="24"/>
      <c r="Q15217" s="24"/>
      <c r="R15217" s="24"/>
      <c r="S15217" s="24"/>
      <c r="T15217" s="24"/>
      <c r="U15217" s="24"/>
      <c r="V15217" s="24"/>
      <c r="W15217" s="24"/>
      <c r="X15217" s="24"/>
      <c r="Y15217" s="24"/>
      <c r="Z15217" s="24"/>
      <c r="AA15217" s="24"/>
    </row>
    <row r="15218">
      <c r="A15218" s="24"/>
      <c r="B15218" s="25"/>
      <c r="C15218" s="24"/>
      <c r="D15218" s="26"/>
      <c r="E15218" s="24"/>
      <c r="F15218" s="24"/>
      <c r="G15218" s="24"/>
      <c r="H15218" s="24"/>
      <c r="I15218" s="24"/>
      <c r="J15218" s="24"/>
      <c r="K15218" s="24"/>
      <c r="L15218" s="24"/>
      <c r="M15218" s="24"/>
      <c r="N15218" s="24"/>
      <c r="O15218" s="24"/>
      <c r="P15218" s="24"/>
      <c r="Q15218" s="24"/>
      <c r="R15218" s="24"/>
      <c r="S15218" s="24"/>
      <c r="T15218" s="24"/>
      <c r="U15218" s="24"/>
      <c r="V15218" s="24"/>
      <c r="W15218" s="24"/>
      <c r="X15218" s="24"/>
      <c r="Y15218" s="24"/>
      <c r="Z15218" s="24"/>
      <c r="AA15218" s="24"/>
    </row>
    <row r="15219">
      <c r="A15219" s="24"/>
      <c r="B15219" s="25"/>
      <c r="C15219" s="24"/>
      <c r="D15219" s="26"/>
      <c r="E15219" s="24"/>
      <c r="F15219" s="24"/>
      <c r="G15219" s="24"/>
      <c r="H15219" s="24"/>
      <c r="I15219" s="24"/>
      <c r="J15219" s="24"/>
      <c r="K15219" s="24"/>
      <c r="L15219" s="24"/>
      <c r="M15219" s="24"/>
      <c r="N15219" s="24"/>
      <c r="O15219" s="24"/>
      <c r="P15219" s="24"/>
      <c r="Q15219" s="24"/>
      <c r="R15219" s="24"/>
      <c r="S15219" s="24"/>
      <c r="T15219" s="24"/>
      <c r="U15219" s="24"/>
      <c r="V15219" s="24"/>
      <c r="W15219" s="24"/>
      <c r="X15219" s="24"/>
      <c r="Y15219" s="24"/>
      <c r="Z15219" s="24"/>
      <c r="AA15219" s="24"/>
    </row>
    <row r="15220">
      <c r="A15220" s="24"/>
      <c r="B15220" s="25"/>
      <c r="C15220" s="24"/>
      <c r="D15220" s="26"/>
      <c r="E15220" s="24"/>
      <c r="F15220" s="24"/>
      <c r="G15220" s="24"/>
      <c r="H15220" s="24"/>
      <c r="I15220" s="24"/>
      <c r="J15220" s="24"/>
      <c r="K15220" s="24"/>
      <c r="L15220" s="24"/>
      <c r="M15220" s="24"/>
      <c r="N15220" s="24"/>
      <c r="O15220" s="24"/>
      <c r="P15220" s="24"/>
      <c r="Q15220" s="24"/>
      <c r="R15220" s="24"/>
      <c r="S15220" s="24"/>
      <c r="T15220" s="24"/>
      <c r="U15220" s="24"/>
      <c r="V15220" s="24"/>
      <c r="W15220" s="24"/>
      <c r="X15220" s="24"/>
      <c r="Y15220" s="24"/>
      <c r="Z15220" s="24"/>
      <c r="AA15220" s="24"/>
    </row>
    <row r="15221">
      <c r="A15221" s="24"/>
      <c r="B15221" s="25"/>
      <c r="C15221" s="24"/>
      <c r="D15221" s="26"/>
      <c r="E15221" s="24"/>
      <c r="F15221" s="24"/>
      <c r="G15221" s="24"/>
      <c r="H15221" s="24"/>
      <c r="I15221" s="24"/>
      <c r="J15221" s="24"/>
      <c r="K15221" s="24"/>
      <c r="L15221" s="24"/>
      <c r="M15221" s="24"/>
      <c r="N15221" s="24"/>
      <c r="O15221" s="24"/>
      <c r="P15221" s="24"/>
      <c r="Q15221" s="24"/>
      <c r="R15221" s="24"/>
      <c r="S15221" s="24"/>
      <c r="T15221" s="24"/>
      <c r="U15221" s="24"/>
      <c r="V15221" s="24"/>
      <c r="W15221" s="24"/>
      <c r="X15221" s="24"/>
      <c r="Y15221" s="24"/>
      <c r="Z15221" s="24"/>
      <c r="AA15221" s="24"/>
    </row>
    <row r="15222">
      <c r="A15222" s="24"/>
      <c r="B15222" s="25"/>
      <c r="C15222" s="24"/>
      <c r="D15222" s="26"/>
      <c r="E15222" s="24"/>
      <c r="F15222" s="24"/>
      <c r="G15222" s="24"/>
      <c r="H15222" s="24"/>
      <c r="I15222" s="24"/>
      <c r="J15222" s="24"/>
      <c r="K15222" s="24"/>
      <c r="L15222" s="24"/>
      <c r="M15222" s="24"/>
      <c r="N15222" s="24"/>
      <c r="O15222" s="24"/>
      <c r="P15222" s="24"/>
      <c r="Q15222" s="24"/>
      <c r="R15222" s="24"/>
      <c r="S15222" s="24"/>
      <c r="T15222" s="24"/>
      <c r="U15222" s="24"/>
      <c r="V15222" s="24"/>
      <c r="W15222" s="24"/>
      <c r="X15222" s="24"/>
      <c r="Y15222" s="24"/>
      <c r="Z15222" s="24"/>
      <c r="AA15222" s="24"/>
    </row>
    <row r="15223">
      <c r="A15223" s="24"/>
      <c r="B15223" s="25"/>
      <c r="C15223" s="24"/>
      <c r="D15223" s="26"/>
      <c r="E15223" s="24"/>
      <c r="F15223" s="24"/>
      <c r="G15223" s="24"/>
      <c r="H15223" s="24"/>
      <c r="I15223" s="24"/>
      <c r="J15223" s="24"/>
      <c r="K15223" s="24"/>
      <c r="L15223" s="24"/>
      <c r="M15223" s="24"/>
      <c r="N15223" s="24"/>
      <c r="O15223" s="24"/>
      <c r="P15223" s="24"/>
      <c r="Q15223" s="24"/>
      <c r="R15223" s="24"/>
      <c r="S15223" s="24"/>
      <c r="T15223" s="24"/>
      <c r="U15223" s="24"/>
      <c r="V15223" s="24"/>
      <c r="W15223" s="24"/>
      <c r="X15223" s="24"/>
      <c r="Y15223" s="24"/>
      <c r="Z15223" s="24"/>
      <c r="AA15223" s="24"/>
    </row>
    <row r="15224">
      <c r="A15224" s="24"/>
      <c r="B15224" s="25"/>
      <c r="C15224" s="24"/>
      <c r="D15224" s="26"/>
      <c r="E15224" s="24"/>
      <c r="F15224" s="24"/>
      <c r="G15224" s="24"/>
      <c r="H15224" s="24"/>
      <c r="I15224" s="24"/>
      <c r="J15224" s="24"/>
      <c r="K15224" s="24"/>
      <c r="L15224" s="24"/>
      <c r="M15224" s="24"/>
      <c r="N15224" s="24"/>
      <c r="O15224" s="24"/>
      <c r="P15224" s="24"/>
      <c r="Q15224" s="24"/>
      <c r="R15224" s="24"/>
      <c r="S15224" s="24"/>
      <c r="T15224" s="24"/>
      <c r="U15224" s="24"/>
      <c r="V15224" s="24"/>
      <c r="W15224" s="24"/>
      <c r="X15224" s="24"/>
      <c r="Y15224" s="24"/>
      <c r="Z15224" s="24"/>
      <c r="AA15224" s="24"/>
    </row>
    <row r="15225">
      <c r="A15225" s="24"/>
      <c r="B15225" s="25"/>
      <c r="C15225" s="24"/>
      <c r="D15225" s="26"/>
      <c r="E15225" s="24"/>
      <c r="F15225" s="24"/>
      <c r="G15225" s="24"/>
      <c r="H15225" s="24"/>
      <c r="I15225" s="24"/>
      <c r="J15225" s="24"/>
      <c r="K15225" s="24"/>
      <c r="L15225" s="24"/>
      <c r="M15225" s="24"/>
      <c r="N15225" s="24"/>
      <c r="O15225" s="24"/>
      <c r="P15225" s="24"/>
      <c r="Q15225" s="24"/>
      <c r="R15225" s="24"/>
      <c r="S15225" s="24"/>
      <c r="T15225" s="24"/>
      <c r="U15225" s="24"/>
      <c r="V15225" s="24"/>
      <c r="W15225" s="24"/>
      <c r="X15225" s="24"/>
      <c r="Y15225" s="24"/>
      <c r="Z15225" s="24"/>
      <c r="AA15225" s="24"/>
    </row>
    <row r="15226">
      <c r="A15226" s="24"/>
      <c r="B15226" s="25"/>
      <c r="C15226" s="24"/>
      <c r="D15226" s="26"/>
      <c r="E15226" s="24"/>
      <c r="F15226" s="24"/>
      <c r="G15226" s="24"/>
      <c r="H15226" s="24"/>
      <c r="I15226" s="24"/>
      <c r="J15226" s="24"/>
      <c r="K15226" s="24"/>
      <c r="L15226" s="24"/>
      <c r="M15226" s="24"/>
      <c r="N15226" s="24"/>
      <c r="O15226" s="24"/>
      <c r="P15226" s="24"/>
      <c r="Q15226" s="24"/>
      <c r="R15226" s="24"/>
      <c r="S15226" s="24"/>
      <c r="T15226" s="24"/>
      <c r="U15226" s="24"/>
      <c r="V15226" s="24"/>
      <c r="W15226" s="24"/>
      <c r="X15226" s="24"/>
      <c r="Y15226" s="24"/>
      <c r="Z15226" s="24"/>
      <c r="AA15226" s="24"/>
    </row>
    <row r="15227">
      <c r="A15227" s="24"/>
      <c r="B15227" s="25"/>
      <c r="C15227" s="24"/>
      <c r="D15227" s="26"/>
      <c r="E15227" s="24"/>
      <c r="F15227" s="24"/>
      <c r="G15227" s="24"/>
      <c r="H15227" s="24"/>
      <c r="I15227" s="24"/>
      <c r="J15227" s="24"/>
      <c r="K15227" s="24"/>
      <c r="L15227" s="24"/>
      <c r="M15227" s="24"/>
      <c r="N15227" s="24"/>
      <c r="O15227" s="24"/>
      <c r="P15227" s="24"/>
      <c r="Q15227" s="24"/>
      <c r="R15227" s="24"/>
      <c r="S15227" s="24"/>
      <c r="T15227" s="24"/>
      <c r="U15227" s="24"/>
      <c r="V15227" s="24"/>
      <c r="W15227" s="24"/>
      <c r="X15227" s="24"/>
      <c r="Y15227" s="24"/>
      <c r="Z15227" s="24"/>
      <c r="AA15227" s="24"/>
    </row>
    <row r="15228">
      <c r="A15228" s="24"/>
      <c r="B15228" s="25"/>
      <c r="C15228" s="24"/>
      <c r="D15228" s="26"/>
      <c r="E15228" s="24"/>
      <c r="F15228" s="24"/>
      <c r="G15228" s="24"/>
      <c r="H15228" s="24"/>
      <c r="I15228" s="24"/>
      <c r="J15228" s="24"/>
      <c r="K15228" s="24"/>
      <c r="L15228" s="24"/>
      <c r="M15228" s="24"/>
      <c r="N15228" s="24"/>
      <c r="O15228" s="24"/>
      <c r="P15228" s="24"/>
      <c r="Q15228" s="24"/>
      <c r="R15228" s="24"/>
      <c r="S15228" s="24"/>
      <c r="T15228" s="24"/>
      <c r="U15228" s="24"/>
      <c r="V15228" s="24"/>
      <c r="W15228" s="24"/>
      <c r="X15228" s="24"/>
      <c r="Y15228" s="24"/>
      <c r="Z15228" s="24"/>
      <c r="AA15228" s="24"/>
    </row>
    <row r="15229">
      <c r="A15229" s="24"/>
      <c r="B15229" s="25"/>
      <c r="C15229" s="24"/>
      <c r="D15229" s="26"/>
      <c r="E15229" s="24"/>
      <c r="F15229" s="24"/>
      <c r="G15229" s="24"/>
      <c r="H15229" s="24"/>
      <c r="I15229" s="24"/>
      <c r="J15229" s="24"/>
      <c r="K15229" s="24"/>
      <c r="L15229" s="24"/>
      <c r="M15229" s="24"/>
      <c r="N15229" s="24"/>
      <c r="O15229" s="24"/>
      <c r="P15229" s="24"/>
      <c r="Q15229" s="24"/>
      <c r="R15229" s="24"/>
      <c r="S15229" s="24"/>
      <c r="T15229" s="24"/>
      <c r="U15229" s="24"/>
      <c r="V15229" s="24"/>
      <c r="W15229" s="24"/>
      <c r="X15229" s="24"/>
      <c r="Y15229" s="24"/>
      <c r="Z15229" s="24"/>
      <c r="AA15229" s="24"/>
    </row>
    <row r="15230">
      <c r="A15230" s="24"/>
      <c r="B15230" s="25"/>
      <c r="C15230" s="24"/>
      <c r="D15230" s="26"/>
      <c r="E15230" s="24"/>
      <c r="F15230" s="24"/>
      <c r="G15230" s="24"/>
      <c r="H15230" s="24"/>
      <c r="I15230" s="24"/>
      <c r="J15230" s="24"/>
      <c r="K15230" s="24"/>
      <c r="L15230" s="24"/>
      <c r="M15230" s="24"/>
      <c r="N15230" s="24"/>
      <c r="O15230" s="24"/>
      <c r="P15230" s="24"/>
      <c r="Q15230" s="24"/>
      <c r="R15230" s="24"/>
      <c r="S15230" s="24"/>
      <c r="T15230" s="24"/>
      <c r="U15230" s="24"/>
      <c r="V15230" s="24"/>
      <c r="W15230" s="24"/>
      <c r="X15230" s="24"/>
      <c r="Y15230" s="24"/>
      <c r="Z15230" s="24"/>
      <c r="AA15230" s="24"/>
    </row>
    <row r="15231">
      <c r="A15231" s="24"/>
      <c r="B15231" s="25"/>
      <c r="C15231" s="24"/>
      <c r="D15231" s="26"/>
      <c r="E15231" s="24"/>
      <c r="F15231" s="24"/>
      <c r="G15231" s="24"/>
      <c r="H15231" s="24"/>
      <c r="I15231" s="24"/>
      <c r="J15231" s="24"/>
      <c r="K15231" s="24"/>
      <c r="L15231" s="24"/>
      <c r="M15231" s="24"/>
      <c r="N15231" s="24"/>
      <c r="O15231" s="24"/>
      <c r="P15231" s="24"/>
      <c r="Q15231" s="24"/>
      <c r="R15231" s="24"/>
      <c r="S15231" s="24"/>
      <c r="T15231" s="24"/>
      <c r="U15231" s="24"/>
      <c r="V15231" s="24"/>
      <c r="W15231" s="24"/>
      <c r="X15231" s="24"/>
      <c r="Y15231" s="24"/>
      <c r="Z15231" s="24"/>
      <c r="AA15231" s="24"/>
    </row>
    <row r="15232">
      <c r="A15232" s="24"/>
      <c r="B15232" s="25"/>
      <c r="C15232" s="24"/>
      <c r="D15232" s="26"/>
      <c r="E15232" s="24"/>
      <c r="F15232" s="24"/>
      <c r="G15232" s="24"/>
      <c r="H15232" s="24"/>
      <c r="I15232" s="24"/>
      <c r="J15232" s="24"/>
      <c r="K15232" s="24"/>
      <c r="L15232" s="24"/>
      <c r="M15232" s="24"/>
      <c r="N15232" s="24"/>
      <c r="O15232" s="24"/>
      <c r="P15232" s="24"/>
      <c r="Q15232" s="24"/>
      <c r="R15232" s="24"/>
      <c r="S15232" s="24"/>
      <c r="T15232" s="24"/>
      <c r="U15232" s="24"/>
      <c r="V15232" s="24"/>
      <c r="W15232" s="24"/>
      <c r="X15232" s="24"/>
      <c r="Y15232" s="24"/>
      <c r="Z15232" s="24"/>
      <c r="AA15232" s="24"/>
    </row>
    <row r="15233">
      <c r="A15233" s="24"/>
      <c r="B15233" s="25"/>
      <c r="C15233" s="24"/>
      <c r="D15233" s="26"/>
      <c r="E15233" s="24"/>
      <c r="F15233" s="24"/>
      <c r="G15233" s="24"/>
      <c r="H15233" s="24"/>
      <c r="I15233" s="24"/>
      <c r="J15233" s="24"/>
      <c r="K15233" s="24"/>
      <c r="L15233" s="24"/>
      <c r="M15233" s="24"/>
      <c r="N15233" s="24"/>
      <c r="O15233" s="24"/>
      <c r="P15233" s="24"/>
      <c r="Q15233" s="24"/>
      <c r="R15233" s="24"/>
      <c r="S15233" s="24"/>
      <c r="T15233" s="24"/>
      <c r="U15233" s="24"/>
      <c r="V15233" s="24"/>
      <c r="W15233" s="24"/>
      <c r="X15233" s="24"/>
      <c r="Y15233" s="24"/>
      <c r="Z15233" s="24"/>
      <c r="AA15233" s="24"/>
    </row>
    <row r="15234">
      <c r="A15234" s="24"/>
      <c r="B15234" s="25"/>
      <c r="C15234" s="24"/>
      <c r="D15234" s="26"/>
      <c r="E15234" s="24"/>
      <c r="F15234" s="24"/>
      <c r="G15234" s="24"/>
      <c r="H15234" s="24"/>
      <c r="I15234" s="24"/>
      <c r="J15234" s="24"/>
      <c r="K15234" s="24"/>
      <c r="L15234" s="24"/>
      <c r="M15234" s="24"/>
      <c r="N15234" s="24"/>
      <c r="O15234" s="24"/>
      <c r="P15234" s="24"/>
      <c r="Q15234" s="24"/>
      <c r="R15234" s="24"/>
      <c r="S15234" s="24"/>
      <c r="T15234" s="24"/>
      <c r="U15234" s="24"/>
      <c r="V15234" s="24"/>
      <c r="W15234" s="24"/>
      <c r="X15234" s="24"/>
      <c r="Y15234" s="24"/>
      <c r="Z15234" s="24"/>
      <c r="AA15234" s="24"/>
    </row>
    <row r="15235">
      <c r="A15235" s="24"/>
      <c r="B15235" s="25"/>
      <c r="C15235" s="24"/>
      <c r="D15235" s="26"/>
      <c r="E15235" s="24"/>
      <c r="F15235" s="24"/>
      <c r="G15235" s="24"/>
      <c r="H15235" s="24"/>
      <c r="I15235" s="24"/>
      <c r="J15235" s="24"/>
      <c r="K15235" s="24"/>
      <c r="L15235" s="24"/>
      <c r="M15235" s="24"/>
      <c r="N15235" s="24"/>
      <c r="O15235" s="24"/>
      <c r="P15235" s="24"/>
      <c r="Q15235" s="24"/>
      <c r="R15235" s="24"/>
      <c r="S15235" s="24"/>
      <c r="T15235" s="24"/>
      <c r="U15235" s="24"/>
      <c r="V15235" s="24"/>
      <c r="W15235" s="24"/>
      <c r="X15235" s="24"/>
      <c r="Y15235" s="24"/>
      <c r="Z15235" s="24"/>
      <c r="AA15235" s="24"/>
    </row>
    <row r="15236">
      <c r="A15236" s="24"/>
      <c r="B15236" s="25"/>
      <c r="C15236" s="24"/>
      <c r="D15236" s="26"/>
      <c r="E15236" s="24"/>
      <c r="F15236" s="24"/>
      <c r="G15236" s="24"/>
      <c r="H15236" s="24"/>
      <c r="I15236" s="24"/>
      <c r="J15236" s="24"/>
      <c r="K15236" s="24"/>
      <c r="L15236" s="24"/>
      <c r="M15236" s="24"/>
      <c r="N15236" s="24"/>
      <c r="O15236" s="24"/>
      <c r="P15236" s="24"/>
      <c r="Q15236" s="24"/>
      <c r="R15236" s="24"/>
      <c r="S15236" s="24"/>
      <c r="T15236" s="24"/>
      <c r="U15236" s="24"/>
      <c r="V15236" s="24"/>
      <c r="W15236" s="24"/>
      <c r="X15236" s="24"/>
      <c r="Y15236" s="24"/>
      <c r="Z15236" s="24"/>
      <c r="AA15236" s="24"/>
    </row>
    <row r="15237">
      <c r="A15237" s="24"/>
      <c r="B15237" s="25"/>
      <c r="C15237" s="24"/>
      <c r="D15237" s="26"/>
      <c r="E15237" s="24"/>
      <c r="F15237" s="24"/>
      <c r="G15237" s="24"/>
      <c r="H15237" s="24"/>
      <c r="I15237" s="24"/>
      <c r="J15237" s="24"/>
      <c r="K15237" s="24"/>
      <c r="L15237" s="24"/>
      <c r="M15237" s="24"/>
      <c r="N15237" s="24"/>
      <c r="O15237" s="24"/>
      <c r="P15237" s="24"/>
      <c r="Q15237" s="24"/>
      <c r="R15237" s="24"/>
      <c r="S15237" s="24"/>
      <c r="T15237" s="24"/>
      <c r="U15237" s="24"/>
      <c r="V15237" s="24"/>
      <c r="W15237" s="24"/>
      <c r="X15237" s="24"/>
      <c r="Y15237" s="24"/>
      <c r="Z15237" s="24"/>
      <c r="AA15237" s="24"/>
    </row>
    <row r="15238">
      <c r="A15238" s="24"/>
      <c r="B15238" s="25"/>
      <c r="C15238" s="24"/>
      <c r="D15238" s="26"/>
      <c r="E15238" s="24"/>
      <c r="F15238" s="24"/>
      <c r="G15238" s="24"/>
      <c r="H15238" s="24"/>
      <c r="I15238" s="24"/>
      <c r="J15238" s="24"/>
      <c r="K15238" s="24"/>
      <c r="L15238" s="24"/>
      <c r="M15238" s="24"/>
      <c r="N15238" s="24"/>
      <c r="O15238" s="24"/>
      <c r="P15238" s="24"/>
      <c r="Q15238" s="24"/>
      <c r="R15238" s="24"/>
      <c r="S15238" s="24"/>
      <c r="T15238" s="24"/>
      <c r="U15238" s="24"/>
      <c r="V15238" s="24"/>
      <c r="W15238" s="24"/>
      <c r="X15238" s="24"/>
      <c r="Y15238" s="24"/>
      <c r="Z15238" s="24"/>
      <c r="AA15238" s="24"/>
    </row>
    <row r="15239">
      <c r="A15239" s="24"/>
      <c r="B15239" s="25"/>
      <c r="C15239" s="24"/>
      <c r="D15239" s="26"/>
      <c r="E15239" s="24"/>
      <c r="F15239" s="24"/>
      <c r="G15239" s="24"/>
      <c r="H15239" s="24"/>
      <c r="I15239" s="24"/>
      <c r="J15239" s="24"/>
      <c r="K15239" s="24"/>
      <c r="L15239" s="24"/>
      <c r="M15239" s="24"/>
      <c r="N15239" s="24"/>
      <c r="O15239" s="24"/>
      <c r="P15239" s="24"/>
      <c r="Q15239" s="24"/>
      <c r="R15239" s="24"/>
      <c r="S15239" s="24"/>
      <c r="T15239" s="24"/>
      <c r="U15239" s="24"/>
      <c r="V15239" s="24"/>
      <c r="W15239" s="24"/>
      <c r="X15239" s="24"/>
      <c r="Y15239" s="24"/>
      <c r="Z15239" s="24"/>
      <c r="AA15239" s="24"/>
    </row>
    <row r="15240">
      <c r="A15240" s="24"/>
      <c r="B15240" s="25"/>
      <c r="C15240" s="24"/>
      <c r="D15240" s="26"/>
      <c r="E15240" s="24"/>
      <c r="F15240" s="24"/>
      <c r="G15240" s="24"/>
      <c r="H15240" s="24"/>
      <c r="I15240" s="24"/>
      <c r="J15240" s="24"/>
      <c r="K15240" s="24"/>
      <c r="L15240" s="24"/>
      <c r="M15240" s="24"/>
      <c r="N15240" s="24"/>
      <c r="O15240" s="24"/>
      <c r="P15240" s="24"/>
      <c r="Q15240" s="24"/>
      <c r="R15240" s="24"/>
      <c r="S15240" s="24"/>
      <c r="T15240" s="24"/>
      <c r="U15240" s="24"/>
      <c r="V15240" s="24"/>
      <c r="W15240" s="24"/>
      <c r="X15240" s="24"/>
      <c r="Y15240" s="24"/>
      <c r="Z15240" s="24"/>
      <c r="AA15240" s="24"/>
    </row>
    <row r="15241">
      <c r="A15241" s="24"/>
      <c r="B15241" s="25"/>
      <c r="C15241" s="24"/>
      <c r="D15241" s="26"/>
      <c r="E15241" s="24"/>
      <c r="F15241" s="24"/>
      <c r="G15241" s="24"/>
      <c r="H15241" s="24"/>
      <c r="I15241" s="24"/>
      <c r="J15241" s="24"/>
      <c r="K15241" s="24"/>
      <c r="L15241" s="24"/>
      <c r="M15241" s="24"/>
      <c r="N15241" s="24"/>
      <c r="O15241" s="24"/>
      <c r="P15241" s="24"/>
      <c r="Q15241" s="24"/>
      <c r="R15241" s="24"/>
      <c r="S15241" s="24"/>
      <c r="T15241" s="24"/>
      <c r="U15241" s="24"/>
      <c r="V15241" s="24"/>
      <c r="W15241" s="24"/>
      <c r="X15241" s="24"/>
      <c r="Y15241" s="24"/>
      <c r="Z15241" s="24"/>
      <c r="AA15241" s="24"/>
    </row>
    <row r="15242">
      <c r="A15242" s="24"/>
      <c r="B15242" s="25"/>
      <c r="C15242" s="24"/>
      <c r="D15242" s="26"/>
      <c r="E15242" s="24"/>
      <c r="F15242" s="24"/>
      <c r="G15242" s="24"/>
      <c r="H15242" s="24"/>
      <c r="I15242" s="24"/>
      <c r="J15242" s="24"/>
      <c r="K15242" s="24"/>
      <c r="L15242" s="24"/>
      <c r="M15242" s="24"/>
      <c r="N15242" s="24"/>
      <c r="O15242" s="24"/>
      <c r="P15242" s="24"/>
      <c r="Q15242" s="24"/>
      <c r="R15242" s="24"/>
      <c r="S15242" s="24"/>
      <c r="T15242" s="24"/>
      <c r="U15242" s="24"/>
      <c r="V15242" s="24"/>
      <c r="W15242" s="24"/>
      <c r="X15242" s="24"/>
      <c r="Y15242" s="24"/>
      <c r="Z15242" s="24"/>
      <c r="AA15242" s="24"/>
    </row>
    <row r="15243">
      <c r="A15243" s="24"/>
      <c r="B15243" s="25"/>
      <c r="C15243" s="24"/>
      <c r="D15243" s="26"/>
      <c r="E15243" s="24"/>
      <c r="F15243" s="24"/>
      <c r="G15243" s="24"/>
      <c r="H15243" s="24"/>
      <c r="I15243" s="24"/>
      <c r="J15243" s="24"/>
      <c r="K15243" s="24"/>
      <c r="L15243" s="24"/>
      <c r="M15243" s="24"/>
      <c r="N15243" s="24"/>
      <c r="O15243" s="24"/>
      <c r="P15243" s="24"/>
      <c r="Q15243" s="24"/>
      <c r="R15243" s="24"/>
      <c r="S15243" s="24"/>
      <c r="T15243" s="24"/>
      <c r="U15243" s="24"/>
      <c r="V15243" s="24"/>
      <c r="W15243" s="24"/>
      <c r="X15243" s="24"/>
      <c r="Y15243" s="24"/>
      <c r="Z15243" s="24"/>
      <c r="AA15243" s="24"/>
    </row>
    <row r="15244">
      <c r="A15244" s="24"/>
      <c r="B15244" s="25"/>
      <c r="C15244" s="24"/>
      <c r="D15244" s="26"/>
      <c r="E15244" s="24"/>
      <c r="F15244" s="24"/>
      <c r="G15244" s="24"/>
      <c r="H15244" s="24"/>
      <c r="I15244" s="24"/>
      <c r="J15244" s="24"/>
      <c r="K15244" s="24"/>
      <c r="L15244" s="24"/>
      <c r="M15244" s="24"/>
      <c r="N15244" s="24"/>
      <c r="O15244" s="24"/>
      <c r="P15244" s="24"/>
      <c r="Q15244" s="24"/>
      <c r="R15244" s="24"/>
      <c r="S15244" s="24"/>
      <c r="T15244" s="24"/>
      <c r="U15244" s="24"/>
      <c r="V15244" s="24"/>
      <c r="W15244" s="24"/>
      <c r="X15244" s="24"/>
      <c r="Y15244" s="24"/>
      <c r="Z15244" s="24"/>
      <c r="AA15244" s="24"/>
    </row>
    <row r="15245">
      <c r="A15245" s="24"/>
      <c r="B15245" s="25"/>
      <c r="C15245" s="24"/>
      <c r="D15245" s="26"/>
      <c r="E15245" s="24"/>
      <c r="F15245" s="24"/>
      <c r="G15245" s="24"/>
      <c r="H15245" s="24"/>
      <c r="I15245" s="24"/>
      <c r="J15245" s="24"/>
      <c r="K15245" s="24"/>
      <c r="L15245" s="24"/>
      <c r="M15245" s="24"/>
      <c r="N15245" s="24"/>
      <c r="O15245" s="24"/>
      <c r="P15245" s="24"/>
      <c r="Q15245" s="24"/>
      <c r="R15245" s="24"/>
      <c r="S15245" s="24"/>
      <c r="T15245" s="24"/>
      <c r="U15245" s="24"/>
      <c r="V15245" s="24"/>
      <c r="W15245" s="24"/>
      <c r="X15245" s="24"/>
      <c r="Y15245" s="24"/>
      <c r="Z15245" s="24"/>
      <c r="AA15245" s="24"/>
    </row>
    <row r="15246">
      <c r="A15246" s="24"/>
      <c r="B15246" s="25"/>
      <c r="C15246" s="24"/>
      <c r="D15246" s="26"/>
      <c r="E15246" s="24"/>
      <c r="F15246" s="24"/>
      <c r="G15246" s="24"/>
      <c r="H15246" s="24"/>
      <c r="I15246" s="24"/>
      <c r="J15246" s="24"/>
      <c r="K15246" s="24"/>
      <c r="L15246" s="24"/>
      <c r="M15246" s="24"/>
      <c r="N15246" s="24"/>
      <c r="O15246" s="24"/>
      <c r="P15246" s="24"/>
      <c r="Q15246" s="24"/>
      <c r="R15246" s="24"/>
      <c r="S15246" s="24"/>
      <c r="T15246" s="24"/>
      <c r="U15246" s="24"/>
      <c r="V15246" s="24"/>
      <c r="W15246" s="24"/>
      <c r="X15246" s="24"/>
      <c r="Y15246" s="24"/>
      <c r="Z15246" s="24"/>
      <c r="AA15246" s="24"/>
    </row>
    <row r="15247">
      <c r="A15247" s="24"/>
      <c r="B15247" s="25"/>
      <c r="C15247" s="24"/>
      <c r="D15247" s="26"/>
      <c r="E15247" s="24"/>
      <c r="F15247" s="24"/>
      <c r="G15247" s="24"/>
      <c r="H15247" s="24"/>
      <c r="I15247" s="24"/>
      <c r="J15247" s="24"/>
      <c r="K15247" s="24"/>
      <c r="L15247" s="24"/>
      <c r="M15247" s="24"/>
      <c r="N15247" s="24"/>
      <c r="O15247" s="24"/>
      <c r="P15247" s="24"/>
      <c r="Q15247" s="24"/>
      <c r="R15247" s="24"/>
      <c r="S15247" s="24"/>
      <c r="T15247" s="24"/>
      <c r="U15247" s="24"/>
      <c r="V15247" s="24"/>
      <c r="W15247" s="24"/>
      <c r="X15247" s="24"/>
      <c r="Y15247" s="24"/>
      <c r="Z15247" s="24"/>
      <c r="AA15247" s="24"/>
    </row>
    <row r="15248">
      <c r="A15248" s="24"/>
      <c r="B15248" s="25"/>
      <c r="C15248" s="24"/>
      <c r="D15248" s="26"/>
      <c r="E15248" s="24"/>
      <c r="F15248" s="24"/>
      <c r="G15248" s="24"/>
      <c r="H15248" s="24"/>
      <c r="I15248" s="24"/>
      <c r="J15248" s="24"/>
      <c r="K15248" s="24"/>
      <c r="L15248" s="24"/>
      <c r="M15248" s="24"/>
      <c r="N15248" s="24"/>
      <c r="O15248" s="24"/>
      <c r="P15248" s="24"/>
      <c r="Q15248" s="24"/>
      <c r="R15248" s="24"/>
      <c r="S15248" s="24"/>
      <c r="T15248" s="24"/>
      <c r="U15248" s="24"/>
      <c r="V15248" s="24"/>
      <c r="W15248" s="24"/>
      <c r="X15248" s="24"/>
      <c r="Y15248" s="24"/>
      <c r="Z15248" s="24"/>
      <c r="AA15248" s="24"/>
    </row>
    <row r="15249">
      <c r="A15249" s="24"/>
      <c r="B15249" s="25"/>
      <c r="C15249" s="24"/>
      <c r="D15249" s="26"/>
      <c r="E15249" s="24"/>
      <c r="F15249" s="24"/>
      <c r="G15249" s="24"/>
      <c r="H15249" s="24"/>
      <c r="I15249" s="24"/>
      <c r="J15249" s="24"/>
      <c r="K15249" s="24"/>
      <c r="L15249" s="24"/>
      <c r="M15249" s="24"/>
      <c r="N15249" s="24"/>
      <c r="O15249" s="24"/>
      <c r="P15249" s="24"/>
      <c r="Q15249" s="24"/>
      <c r="R15249" s="24"/>
      <c r="S15249" s="24"/>
      <c r="T15249" s="24"/>
      <c r="U15249" s="24"/>
      <c r="V15249" s="24"/>
      <c r="W15249" s="24"/>
      <c r="X15249" s="24"/>
      <c r="Y15249" s="24"/>
      <c r="Z15249" s="24"/>
      <c r="AA15249" s="24"/>
    </row>
    <row r="15250">
      <c r="A15250" s="24"/>
      <c r="B15250" s="25"/>
      <c r="C15250" s="24"/>
      <c r="D15250" s="26"/>
      <c r="E15250" s="24"/>
      <c r="F15250" s="24"/>
      <c r="G15250" s="24"/>
      <c r="H15250" s="24"/>
      <c r="I15250" s="24"/>
      <c r="J15250" s="24"/>
      <c r="K15250" s="24"/>
      <c r="L15250" s="24"/>
      <c r="M15250" s="24"/>
      <c r="N15250" s="24"/>
      <c r="O15250" s="24"/>
      <c r="P15250" s="24"/>
      <c r="Q15250" s="24"/>
      <c r="R15250" s="24"/>
      <c r="S15250" s="24"/>
      <c r="T15250" s="24"/>
      <c r="U15250" s="24"/>
      <c r="V15250" s="24"/>
      <c r="W15250" s="24"/>
      <c r="X15250" s="24"/>
      <c r="Y15250" s="24"/>
      <c r="Z15250" s="24"/>
      <c r="AA15250" s="24"/>
    </row>
    <row r="15251">
      <c r="A15251" s="24"/>
      <c r="B15251" s="25"/>
      <c r="C15251" s="24"/>
      <c r="D15251" s="26"/>
      <c r="E15251" s="24"/>
      <c r="F15251" s="24"/>
      <c r="G15251" s="24"/>
      <c r="H15251" s="24"/>
      <c r="I15251" s="24"/>
      <c r="J15251" s="24"/>
      <c r="K15251" s="24"/>
      <c r="L15251" s="24"/>
      <c r="M15251" s="24"/>
      <c r="N15251" s="24"/>
      <c r="O15251" s="24"/>
      <c r="P15251" s="24"/>
      <c r="Q15251" s="24"/>
      <c r="R15251" s="24"/>
      <c r="S15251" s="24"/>
      <c r="T15251" s="24"/>
      <c r="U15251" s="24"/>
      <c r="V15251" s="24"/>
      <c r="W15251" s="24"/>
      <c r="X15251" s="24"/>
      <c r="Y15251" s="24"/>
      <c r="Z15251" s="24"/>
      <c r="AA15251" s="24"/>
    </row>
    <row r="15252">
      <c r="A15252" s="24"/>
      <c r="B15252" s="25"/>
      <c r="C15252" s="24"/>
      <c r="D15252" s="26"/>
      <c r="E15252" s="24"/>
      <c r="F15252" s="24"/>
      <c r="G15252" s="24"/>
      <c r="H15252" s="24"/>
      <c r="I15252" s="24"/>
      <c r="J15252" s="24"/>
      <c r="K15252" s="24"/>
      <c r="L15252" s="24"/>
      <c r="M15252" s="24"/>
      <c r="N15252" s="24"/>
      <c r="O15252" s="24"/>
      <c r="P15252" s="24"/>
      <c r="Q15252" s="24"/>
      <c r="R15252" s="24"/>
      <c r="S15252" s="24"/>
      <c r="T15252" s="24"/>
      <c r="U15252" s="24"/>
      <c r="V15252" s="24"/>
      <c r="W15252" s="24"/>
      <c r="X15252" s="24"/>
      <c r="Y15252" s="24"/>
      <c r="Z15252" s="24"/>
      <c r="AA15252" s="24"/>
    </row>
    <row r="15253">
      <c r="A15253" s="24"/>
      <c r="B15253" s="25"/>
      <c r="C15253" s="24"/>
      <c r="D15253" s="26"/>
      <c r="E15253" s="24"/>
      <c r="F15253" s="24"/>
      <c r="G15253" s="24"/>
      <c r="H15253" s="24"/>
      <c r="I15253" s="24"/>
      <c r="J15253" s="24"/>
      <c r="K15253" s="24"/>
      <c r="L15253" s="24"/>
      <c r="M15253" s="24"/>
      <c r="N15253" s="24"/>
      <c r="O15253" s="24"/>
      <c r="P15253" s="24"/>
      <c r="Q15253" s="24"/>
      <c r="R15253" s="24"/>
      <c r="S15253" s="24"/>
      <c r="T15253" s="24"/>
      <c r="U15253" s="24"/>
      <c r="V15253" s="24"/>
      <c r="W15253" s="24"/>
      <c r="X15253" s="24"/>
      <c r="Y15253" s="24"/>
      <c r="Z15253" s="24"/>
      <c r="AA15253" s="24"/>
    </row>
    <row r="15254">
      <c r="A15254" s="24"/>
      <c r="B15254" s="25"/>
      <c r="C15254" s="24"/>
      <c r="D15254" s="26"/>
      <c r="E15254" s="24"/>
      <c r="F15254" s="24"/>
      <c r="G15254" s="24"/>
      <c r="H15254" s="24"/>
      <c r="I15254" s="24"/>
      <c r="J15254" s="24"/>
      <c r="K15254" s="24"/>
      <c r="L15254" s="24"/>
      <c r="M15254" s="24"/>
      <c r="N15254" s="24"/>
      <c r="O15254" s="24"/>
      <c r="P15254" s="24"/>
      <c r="Q15254" s="24"/>
      <c r="R15254" s="24"/>
      <c r="S15254" s="24"/>
      <c r="T15254" s="24"/>
      <c r="U15254" s="24"/>
      <c r="V15254" s="24"/>
      <c r="W15254" s="24"/>
      <c r="X15254" s="24"/>
      <c r="Y15254" s="24"/>
      <c r="Z15254" s="24"/>
      <c r="AA15254" s="24"/>
    </row>
    <row r="15255">
      <c r="A15255" s="24"/>
      <c r="B15255" s="25"/>
      <c r="C15255" s="24"/>
      <c r="D15255" s="26"/>
      <c r="E15255" s="24"/>
      <c r="F15255" s="24"/>
      <c r="G15255" s="24"/>
      <c r="H15255" s="24"/>
      <c r="I15255" s="24"/>
      <c r="J15255" s="24"/>
      <c r="K15255" s="24"/>
      <c r="L15255" s="24"/>
      <c r="M15255" s="24"/>
      <c r="N15255" s="24"/>
      <c r="O15255" s="24"/>
      <c r="P15255" s="24"/>
      <c r="Q15255" s="24"/>
      <c r="R15255" s="24"/>
      <c r="S15255" s="24"/>
      <c r="T15255" s="24"/>
      <c r="U15255" s="24"/>
      <c r="V15255" s="24"/>
      <c r="W15255" s="24"/>
      <c r="X15255" s="24"/>
      <c r="Y15255" s="24"/>
      <c r="Z15255" s="24"/>
      <c r="AA15255" s="24"/>
    </row>
    <row r="15256">
      <c r="A15256" s="24"/>
      <c r="B15256" s="25"/>
      <c r="C15256" s="24"/>
      <c r="D15256" s="26"/>
      <c r="E15256" s="24"/>
      <c r="F15256" s="24"/>
      <c r="G15256" s="24"/>
      <c r="H15256" s="24"/>
      <c r="I15256" s="24"/>
      <c r="J15256" s="24"/>
      <c r="K15256" s="24"/>
      <c r="L15256" s="24"/>
      <c r="M15256" s="24"/>
      <c r="N15256" s="24"/>
      <c r="O15256" s="24"/>
      <c r="P15256" s="24"/>
      <c r="Q15256" s="24"/>
      <c r="R15256" s="24"/>
      <c r="S15256" s="24"/>
      <c r="T15256" s="24"/>
      <c r="U15256" s="24"/>
      <c r="V15256" s="24"/>
      <c r="W15256" s="24"/>
      <c r="X15256" s="24"/>
      <c r="Y15256" s="24"/>
      <c r="Z15256" s="24"/>
      <c r="AA15256" s="24"/>
    </row>
    <row r="15257">
      <c r="A15257" s="24"/>
      <c r="B15257" s="25"/>
      <c r="C15257" s="24"/>
      <c r="D15257" s="26"/>
      <c r="E15257" s="24"/>
      <c r="F15257" s="24"/>
      <c r="G15257" s="24"/>
      <c r="H15257" s="24"/>
      <c r="I15257" s="24"/>
      <c r="J15257" s="24"/>
      <c r="K15257" s="24"/>
      <c r="L15257" s="24"/>
      <c r="M15257" s="24"/>
      <c r="N15257" s="24"/>
      <c r="O15257" s="24"/>
      <c r="P15257" s="24"/>
      <c r="Q15257" s="24"/>
      <c r="R15257" s="24"/>
      <c r="S15257" s="24"/>
      <c r="T15257" s="24"/>
      <c r="U15257" s="24"/>
      <c r="V15257" s="24"/>
      <c r="W15257" s="24"/>
      <c r="X15257" s="24"/>
      <c r="Y15257" s="24"/>
      <c r="Z15257" s="24"/>
      <c r="AA15257" s="24"/>
    </row>
    <row r="15258">
      <c r="A15258" s="24"/>
      <c r="B15258" s="25"/>
      <c r="C15258" s="24"/>
      <c r="D15258" s="26"/>
      <c r="E15258" s="24"/>
      <c r="F15258" s="24"/>
      <c r="G15258" s="24"/>
      <c r="H15258" s="24"/>
      <c r="I15258" s="24"/>
      <c r="J15258" s="24"/>
      <c r="K15258" s="24"/>
      <c r="L15258" s="24"/>
      <c r="M15258" s="24"/>
      <c r="N15258" s="24"/>
      <c r="O15258" s="24"/>
      <c r="P15258" s="24"/>
      <c r="Q15258" s="24"/>
      <c r="R15258" s="24"/>
      <c r="S15258" s="24"/>
      <c r="T15258" s="24"/>
      <c r="U15258" s="24"/>
      <c r="V15258" s="24"/>
      <c r="W15258" s="24"/>
      <c r="X15258" s="24"/>
      <c r="Y15258" s="24"/>
      <c r="Z15258" s="24"/>
      <c r="AA15258" s="24"/>
    </row>
    <row r="15259">
      <c r="A15259" s="24"/>
      <c r="B15259" s="25"/>
      <c r="C15259" s="24"/>
      <c r="D15259" s="26"/>
      <c r="E15259" s="24"/>
      <c r="F15259" s="24"/>
      <c r="G15259" s="24"/>
      <c r="H15259" s="24"/>
      <c r="I15259" s="24"/>
      <c r="J15259" s="24"/>
      <c r="K15259" s="24"/>
      <c r="L15259" s="24"/>
      <c r="M15259" s="24"/>
      <c r="N15259" s="24"/>
      <c r="O15259" s="24"/>
      <c r="P15259" s="24"/>
      <c r="Q15259" s="24"/>
      <c r="R15259" s="24"/>
      <c r="S15259" s="24"/>
      <c r="T15259" s="24"/>
      <c r="U15259" s="24"/>
      <c r="V15259" s="24"/>
      <c r="W15259" s="24"/>
      <c r="X15259" s="24"/>
      <c r="Y15259" s="24"/>
      <c r="Z15259" s="24"/>
      <c r="AA15259" s="24"/>
    </row>
    <row r="15260">
      <c r="A15260" s="24"/>
      <c r="B15260" s="25"/>
      <c r="C15260" s="24"/>
      <c r="D15260" s="26"/>
      <c r="E15260" s="24"/>
      <c r="F15260" s="24"/>
      <c r="G15260" s="24"/>
      <c r="H15260" s="24"/>
      <c r="I15260" s="24"/>
      <c r="J15260" s="24"/>
      <c r="K15260" s="24"/>
      <c r="L15260" s="24"/>
      <c r="M15260" s="24"/>
      <c r="N15260" s="24"/>
      <c r="O15260" s="24"/>
      <c r="P15260" s="24"/>
      <c r="Q15260" s="24"/>
      <c r="R15260" s="24"/>
      <c r="S15260" s="24"/>
      <c r="T15260" s="24"/>
      <c r="U15260" s="24"/>
      <c r="V15260" s="24"/>
      <c r="W15260" s="24"/>
      <c r="X15260" s="24"/>
      <c r="Y15260" s="24"/>
      <c r="Z15260" s="24"/>
      <c r="AA15260" s="24"/>
    </row>
    <row r="15261">
      <c r="A15261" s="24"/>
      <c r="B15261" s="25"/>
      <c r="C15261" s="24"/>
      <c r="D15261" s="26"/>
      <c r="E15261" s="24"/>
      <c r="F15261" s="24"/>
      <c r="G15261" s="24"/>
      <c r="H15261" s="24"/>
      <c r="I15261" s="24"/>
      <c r="J15261" s="24"/>
      <c r="K15261" s="24"/>
      <c r="L15261" s="24"/>
      <c r="M15261" s="24"/>
      <c r="N15261" s="24"/>
      <c r="O15261" s="24"/>
      <c r="P15261" s="24"/>
      <c r="Q15261" s="24"/>
      <c r="R15261" s="24"/>
      <c r="S15261" s="24"/>
      <c r="T15261" s="24"/>
      <c r="U15261" s="24"/>
      <c r="V15261" s="24"/>
      <c r="W15261" s="24"/>
      <c r="X15261" s="24"/>
      <c r="Y15261" s="24"/>
      <c r="Z15261" s="24"/>
      <c r="AA15261" s="24"/>
    </row>
    <row r="15262">
      <c r="A15262" s="24"/>
      <c r="B15262" s="25"/>
      <c r="C15262" s="24"/>
      <c r="D15262" s="26"/>
      <c r="E15262" s="24"/>
      <c r="F15262" s="24"/>
      <c r="G15262" s="24"/>
      <c r="H15262" s="24"/>
      <c r="I15262" s="24"/>
      <c r="J15262" s="24"/>
      <c r="K15262" s="24"/>
      <c r="L15262" s="24"/>
      <c r="M15262" s="24"/>
      <c r="N15262" s="24"/>
      <c r="O15262" s="24"/>
      <c r="P15262" s="24"/>
      <c r="Q15262" s="24"/>
      <c r="R15262" s="24"/>
      <c r="S15262" s="24"/>
      <c r="T15262" s="24"/>
      <c r="U15262" s="24"/>
      <c r="V15262" s="24"/>
      <c r="W15262" s="24"/>
      <c r="X15262" s="24"/>
      <c r="Y15262" s="24"/>
      <c r="Z15262" s="24"/>
      <c r="AA15262" s="24"/>
    </row>
    <row r="15263">
      <c r="A15263" s="24"/>
      <c r="B15263" s="25"/>
      <c r="C15263" s="24"/>
      <c r="D15263" s="26"/>
      <c r="E15263" s="24"/>
      <c r="F15263" s="24"/>
      <c r="G15263" s="24"/>
      <c r="H15263" s="24"/>
      <c r="I15263" s="24"/>
      <c r="J15263" s="24"/>
      <c r="K15263" s="24"/>
      <c r="L15263" s="24"/>
      <c r="M15263" s="24"/>
      <c r="N15263" s="24"/>
      <c r="O15263" s="24"/>
      <c r="P15263" s="24"/>
      <c r="Q15263" s="24"/>
      <c r="R15263" s="24"/>
      <c r="S15263" s="24"/>
      <c r="T15263" s="24"/>
      <c r="U15263" s="24"/>
      <c r="V15263" s="24"/>
      <c r="W15263" s="24"/>
      <c r="X15263" s="24"/>
      <c r="Y15263" s="24"/>
      <c r="Z15263" s="24"/>
      <c r="AA15263" s="24"/>
    </row>
    <row r="15264">
      <c r="A15264" s="24"/>
      <c r="B15264" s="25"/>
      <c r="C15264" s="24"/>
      <c r="D15264" s="26"/>
      <c r="E15264" s="24"/>
      <c r="F15264" s="24"/>
      <c r="G15264" s="24"/>
      <c r="H15264" s="24"/>
      <c r="I15264" s="24"/>
      <c r="J15264" s="24"/>
      <c r="K15264" s="24"/>
      <c r="L15264" s="24"/>
      <c r="M15264" s="24"/>
      <c r="N15264" s="24"/>
      <c r="O15264" s="24"/>
      <c r="P15264" s="24"/>
      <c r="Q15264" s="24"/>
      <c r="R15264" s="24"/>
      <c r="S15264" s="24"/>
      <c r="T15264" s="24"/>
      <c r="U15264" s="24"/>
      <c r="V15264" s="24"/>
      <c r="W15264" s="24"/>
      <c r="X15264" s="24"/>
      <c r="Y15264" s="24"/>
      <c r="Z15264" s="24"/>
      <c r="AA15264" s="24"/>
    </row>
    <row r="15265">
      <c r="A15265" s="24"/>
      <c r="B15265" s="25"/>
      <c r="C15265" s="24"/>
      <c r="D15265" s="26"/>
      <c r="E15265" s="24"/>
      <c r="F15265" s="24"/>
      <c r="G15265" s="24"/>
      <c r="H15265" s="24"/>
      <c r="I15265" s="24"/>
      <c r="J15265" s="24"/>
      <c r="K15265" s="24"/>
      <c r="L15265" s="24"/>
      <c r="M15265" s="24"/>
      <c r="N15265" s="24"/>
      <c r="O15265" s="24"/>
      <c r="P15265" s="24"/>
      <c r="Q15265" s="24"/>
      <c r="R15265" s="24"/>
      <c r="S15265" s="24"/>
      <c r="T15265" s="24"/>
      <c r="U15265" s="24"/>
      <c r="V15265" s="24"/>
      <c r="W15265" s="24"/>
      <c r="X15265" s="24"/>
      <c r="Y15265" s="24"/>
      <c r="Z15265" s="24"/>
      <c r="AA15265" s="24"/>
    </row>
    <row r="15266">
      <c r="A15266" s="24"/>
      <c r="B15266" s="25"/>
      <c r="C15266" s="24"/>
      <c r="D15266" s="26"/>
      <c r="E15266" s="24"/>
      <c r="F15266" s="24"/>
      <c r="G15266" s="24"/>
      <c r="H15266" s="24"/>
      <c r="I15266" s="24"/>
      <c r="J15266" s="24"/>
      <c r="K15266" s="24"/>
      <c r="L15266" s="24"/>
      <c r="M15266" s="24"/>
      <c r="N15266" s="24"/>
      <c r="O15266" s="24"/>
      <c r="P15266" s="24"/>
      <c r="Q15266" s="24"/>
      <c r="R15266" s="24"/>
      <c r="S15266" s="24"/>
      <c r="T15266" s="24"/>
      <c r="U15266" s="24"/>
      <c r="V15266" s="24"/>
      <c r="W15266" s="24"/>
      <c r="X15266" s="24"/>
      <c r="Y15266" s="24"/>
      <c r="Z15266" s="24"/>
      <c r="AA15266" s="24"/>
    </row>
    <row r="15267">
      <c r="A15267" s="24"/>
      <c r="B15267" s="25"/>
      <c r="C15267" s="24"/>
      <c r="D15267" s="26"/>
      <c r="E15267" s="24"/>
      <c r="F15267" s="24"/>
      <c r="G15267" s="24"/>
      <c r="H15267" s="24"/>
      <c r="I15267" s="24"/>
      <c r="J15267" s="24"/>
      <c r="K15267" s="24"/>
      <c r="L15267" s="24"/>
      <c r="M15267" s="24"/>
      <c r="N15267" s="24"/>
      <c r="O15267" s="24"/>
      <c r="P15267" s="24"/>
      <c r="Q15267" s="24"/>
      <c r="R15267" s="24"/>
      <c r="S15267" s="24"/>
      <c r="T15267" s="24"/>
      <c r="U15267" s="24"/>
      <c r="V15267" s="24"/>
      <c r="W15267" s="24"/>
      <c r="X15267" s="24"/>
      <c r="Y15267" s="24"/>
      <c r="Z15267" s="24"/>
      <c r="AA15267" s="24"/>
    </row>
    <row r="15268">
      <c r="A15268" s="24"/>
      <c r="B15268" s="25"/>
      <c r="C15268" s="24"/>
      <c r="D15268" s="26"/>
      <c r="E15268" s="24"/>
      <c r="F15268" s="24"/>
      <c r="G15268" s="24"/>
      <c r="H15268" s="24"/>
      <c r="I15268" s="24"/>
      <c r="J15268" s="24"/>
      <c r="K15268" s="24"/>
      <c r="L15268" s="24"/>
      <c r="M15268" s="24"/>
      <c r="N15268" s="24"/>
      <c r="O15268" s="24"/>
      <c r="P15268" s="24"/>
      <c r="Q15268" s="24"/>
      <c r="R15268" s="24"/>
      <c r="S15268" s="24"/>
      <c r="T15268" s="24"/>
      <c r="U15268" s="24"/>
      <c r="V15268" s="24"/>
      <c r="W15268" s="24"/>
      <c r="X15268" s="24"/>
      <c r="Y15268" s="24"/>
      <c r="Z15268" s="24"/>
      <c r="AA15268" s="24"/>
    </row>
    <row r="15269">
      <c r="A15269" s="24"/>
      <c r="B15269" s="25"/>
      <c r="C15269" s="24"/>
      <c r="D15269" s="26"/>
      <c r="E15269" s="24"/>
      <c r="F15269" s="24"/>
      <c r="G15269" s="24"/>
      <c r="H15269" s="24"/>
      <c r="I15269" s="24"/>
      <c r="J15269" s="24"/>
      <c r="K15269" s="24"/>
      <c r="L15269" s="24"/>
      <c r="M15269" s="24"/>
      <c r="N15269" s="24"/>
      <c r="O15269" s="24"/>
      <c r="P15269" s="24"/>
      <c r="Q15269" s="24"/>
      <c r="R15269" s="24"/>
      <c r="S15269" s="24"/>
      <c r="T15269" s="24"/>
      <c r="U15269" s="24"/>
      <c r="V15269" s="24"/>
      <c r="W15269" s="24"/>
      <c r="X15269" s="24"/>
      <c r="Y15269" s="24"/>
      <c r="Z15269" s="24"/>
      <c r="AA15269" s="24"/>
    </row>
    <row r="15270">
      <c r="A15270" s="24"/>
      <c r="B15270" s="25"/>
      <c r="C15270" s="24"/>
      <c r="D15270" s="26"/>
      <c r="E15270" s="24"/>
      <c r="F15270" s="24"/>
      <c r="G15270" s="24"/>
      <c r="H15270" s="24"/>
      <c r="I15270" s="24"/>
      <c r="J15270" s="24"/>
      <c r="K15270" s="24"/>
      <c r="L15270" s="24"/>
      <c r="M15270" s="24"/>
      <c r="N15270" s="24"/>
      <c r="O15270" s="24"/>
      <c r="P15270" s="24"/>
      <c r="Q15270" s="24"/>
      <c r="R15270" s="24"/>
      <c r="S15270" s="24"/>
      <c r="T15270" s="24"/>
      <c r="U15270" s="24"/>
      <c r="V15270" s="24"/>
      <c r="W15270" s="24"/>
      <c r="X15270" s="24"/>
      <c r="Y15270" s="24"/>
      <c r="Z15270" s="24"/>
      <c r="AA15270" s="24"/>
    </row>
    <row r="15271">
      <c r="A15271" s="24"/>
      <c r="B15271" s="25"/>
      <c r="C15271" s="24"/>
      <c r="D15271" s="26"/>
      <c r="E15271" s="24"/>
      <c r="F15271" s="24"/>
      <c r="G15271" s="24"/>
      <c r="H15271" s="24"/>
      <c r="I15271" s="24"/>
      <c r="J15271" s="24"/>
      <c r="K15271" s="24"/>
      <c r="L15271" s="24"/>
      <c r="M15271" s="24"/>
      <c r="N15271" s="24"/>
      <c r="O15271" s="24"/>
      <c r="P15271" s="24"/>
      <c r="Q15271" s="24"/>
      <c r="R15271" s="24"/>
      <c r="S15271" s="24"/>
      <c r="T15271" s="24"/>
      <c r="U15271" s="24"/>
      <c r="V15271" s="24"/>
      <c r="W15271" s="24"/>
      <c r="X15271" s="24"/>
      <c r="Y15271" s="24"/>
      <c r="Z15271" s="24"/>
      <c r="AA15271" s="24"/>
    </row>
    <row r="15272">
      <c r="A15272" s="24"/>
      <c r="B15272" s="25"/>
      <c r="C15272" s="24"/>
      <c r="D15272" s="26"/>
      <c r="E15272" s="24"/>
      <c r="F15272" s="24"/>
      <c r="G15272" s="24"/>
      <c r="H15272" s="24"/>
      <c r="I15272" s="24"/>
      <c r="J15272" s="24"/>
      <c r="K15272" s="24"/>
      <c r="L15272" s="24"/>
      <c r="M15272" s="24"/>
      <c r="N15272" s="24"/>
      <c r="O15272" s="24"/>
      <c r="P15272" s="24"/>
      <c r="Q15272" s="24"/>
      <c r="R15272" s="24"/>
      <c r="S15272" s="24"/>
      <c r="T15272" s="24"/>
      <c r="U15272" s="24"/>
      <c r="V15272" s="24"/>
      <c r="W15272" s="24"/>
      <c r="X15272" s="24"/>
      <c r="Y15272" s="24"/>
      <c r="Z15272" s="24"/>
      <c r="AA15272" s="24"/>
    </row>
    <row r="15273">
      <c r="A15273" s="24"/>
      <c r="B15273" s="25"/>
      <c r="C15273" s="24"/>
      <c r="D15273" s="26"/>
      <c r="E15273" s="24"/>
      <c r="F15273" s="24"/>
      <c r="G15273" s="24"/>
      <c r="H15273" s="24"/>
      <c r="I15273" s="24"/>
      <c r="J15273" s="24"/>
      <c r="K15273" s="24"/>
      <c r="L15273" s="24"/>
      <c r="M15273" s="24"/>
      <c r="N15273" s="24"/>
      <c r="O15273" s="24"/>
      <c r="P15273" s="24"/>
      <c r="Q15273" s="24"/>
      <c r="R15273" s="24"/>
      <c r="S15273" s="24"/>
      <c r="T15273" s="24"/>
      <c r="U15273" s="24"/>
      <c r="V15273" s="24"/>
      <c r="W15273" s="24"/>
      <c r="X15273" s="24"/>
      <c r="Y15273" s="24"/>
      <c r="Z15273" s="24"/>
      <c r="AA15273" s="24"/>
    </row>
    <row r="15274">
      <c r="A15274" s="24"/>
      <c r="B15274" s="25"/>
      <c r="C15274" s="24"/>
      <c r="D15274" s="26"/>
      <c r="E15274" s="24"/>
      <c r="F15274" s="24"/>
      <c r="G15274" s="24"/>
      <c r="H15274" s="24"/>
      <c r="I15274" s="24"/>
      <c r="J15274" s="24"/>
      <c r="K15274" s="24"/>
      <c r="L15274" s="24"/>
      <c r="M15274" s="24"/>
      <c r="N15274" s="24"/>
      <c r="O15274" s="24"/>
      <c r="P15274" s="24"/>
      <c r="Q15274" s="24"/>
      <c r="R15274" s="24"/>
      <c r="S15274" s="24"/>
      <c r="T15274" s="24"/>
      <c r="U15274" s="24"/>
      <c r="V15274" s="24"/>
      <c r="W15274" s="24"/>
      <c r="X15274" s="24"/>
      <c r="Y15274" s="24"/>
      <c r="Z15274" s="24"/>
      <c r="AA15274" s="24"/>
    </row>
    <row r="15275">
      <c r="A15275" s="24"/>
      <c r="B15275" s="25"/>
      <c r="C15275" s="24"/>
      <c r="D15275" s="26"/>
      <c r="E15275" s="24"/>
      <c r="F15275" s="24"/>
      <c r="G15275" s="24"/>
      <c r="H15275" s="24"/>
      <c r="I15275" s="24"/>
      <c r="J15275" s="24"/>
      <c r="K15275" s="24"/>
      <c r="L15275" s="24"/>
      <c r="M15275" s="24"/>
      <c r="N15275" s="24"/>
      <c r="O15275" s="24"/>
      <c r="P15275" s="24"/>
      <c r="Q15275" s="24"/>
      <c r="R15275" s="24"/>
      <c r="S15275" s="24"/>
      <c r="T15275" s="24"/>
      <c r="U15275" s="24"/>
      <c r="V15275" s="24"/>
      <c r="W15275" s="24"/>
      <c r="X15275" s="24"/>
      <c r="Y15275" s="24"/>
      <c r="Z15275" s="24"/>
      <c r="AA15275" s="24"/>
    </row>
    <row r="15276">
      <c r="A15276" s="24"/>
      <c r="B15276" s="25"/>
      <c r="C15276" s="24"/>
      <c r="D15276" s="26"/>
      <c r="E15276" s="24"/>
      <c r="F15276" s="24"/>
      <c r="G15276" s="24"/>
      <c r="H15276" s="24"/>
      <c r="I15276" s="24"/>
      <c r="J15276" s="24"/>
      <c r="K15276" s="24"/>
      <c r="L15276" s="24"/>
      <c r="M15276" s="24"/>
      <c r="N15276" s="24"/>
      <c r="O15276" s="24"/>
      <c r="P15276" s="24"/>
      <c r="Q15276" s="24"/>
      <c r="R15276" s="24"/>
      <c r="S15276" s="24"/>
      <c r="T15276" s="24"/>
      <c r="U15276" s="24"/>
      <c r="V15276" s="24"/>
      <c r="W15276" s="24"/>
      <c r="X15276" s="24"/>
      <c r="Y15276" s="24"/>
      <c r="Z15276" s="24"/>
      <c r="AA15276" s="24"/>
    </row>
    <row r="15277">
      <c r="A15277" s="24"/>
      <c r="B15277" s="25"/>
      <c r="C15277" s="24"/>
      <c r="D15277" s="26"/>
      <c r="E15277" s="24"/>
      <c r="F15277" s="24"/>
      <c r="G15277" s="24"/>
      <c r="H15277" s="24"/>
      <c r="I15277" s="24"/>
      <c r="J15277" s="24"/>
      <c r="K15277" s="24"/>
      <c r="L15277" s="24"/>
      <c r="M15277" s="24"/>
      <c r="N15277" s="24"/>
      <c r="O15277" s="24"/>
      <c r="P15277" s="24"/>
      <c r="Q15277" s="24"/>
      <c r="R15277" s="24"/>
      <c r="S15277" s="24"/>
      <c r="T15277" s="24"/>
      <c r="U15277" s="24"/>
      <c r="V15277" s="24"/>
      <c r="W15277" s="24"/>
      <c r="X15277" s="24"/>
      <c r="Y15277" s="24"/>
      <c r="Z15277" s="24"/>
      <c r="AA15277" s="24"/>
    </row>
    <row r="15278">
      <c r="A15278" s="24"/>
      <c r="B15278" s="25"/>
      <c r="C15278" s="24"/>
      <c r="D15278" s="26"/>
      <c r="E15278" s="24"/>
      <c r="F15278" s="24"/>
      <c r="G15278" s="24"/>
      <c r="H15278" s="24"/>
      <c r="I15278" s="24"/>
      <c r="J15278" s="24"/>
      <c r="K15278" s="24"/>
      <c r="L15278" s="24"/>
      <c r="M15278" s="24"/>
      <c r="N15278" s="24"/>
      <c r="O15278" s="24"/>
      <c r="P15278" s="24"/>
      <c r="Q15278" s="24"/>
      <c r="R15278" s="24"/>
      <c r="S15278" s="24"/>
      <c r="T15278" s="24"/>
      <c r="U15278" s="24"/>
      <c r="V15278" s="24"/>
      <c r="W15278" s="24"/>
      <c r="X15278" s="24"/>
      <c r="Y15278" s="24"/>
      <c r="Z15278" s="24"/>
      <c r="AA15278" s="24"/>
    </row>
    <row r="15279">
      <c r="A15279" s="24"/>
      <c r="B15279" s="25"/>
      <c r="C15279" s="24"/>
      <c r="D15279" s="26"/>
      <c r="E15279" s="24"/>
      <c r="F15279" s="24"/>
      <c r="G15279" s="24"/>
      <c r="H15279" s="24"/>
      <c r="I15279" s="24"/>
      <c r="J15279" s="24"/>
      <c r="K15279" s="24"/>
      <c r="L15279" s="24"/>
      <c r="M15279" s="24"/>
      <c r="N15279" s="24"/>
      <c r="O15279" s="24"/>
      <c r="P15279" s="24"/>
      <c r="Q15279" s="24"/>
      <c r="R15279" s="24"/>
      <c r="S15279" s="24"/>
      <c r="T15279" s="24"/>
      <c r="U15279" s="24"/>
      <c r="V15279" s="24"/>
      <c r="W15279" s="24"/>
      <c r="X15279" s="24"/>
      <c r="Y15279" s="24"/>
      <c r="Z15279" s="24"/>
      <c r="AA15279" s="24"/>
    </row>
    <row r="15280">
      <c r="A15280" s="24"/>
      <c r="B15280" s="25"/>
      <c r="C15280" s="24"/>
      <c r="D15280" s="26"/>
      <c r="E15280" s="24"/>
      <c r="F15280" s="24"/>
      <c r="G15280" s="24"/>
      <c r="H15280" s="24"/>
      <c r="I15280" s="24"/>
      <c r="J15280" s="24"/>
      <c r="K15280" s="24"/>
      <c r="L15280" s="24"/>
      <c r="M15280" s="24"/>
      <c r="N15280" s="24"/>
      <c r="O15280" s="24"/>
      <c r="P15280" s="24"/>
      <c r="Q15280" s="24"/>
      <c r="R15280" s="24"/>
      <c r="S15280" s="24"/>
      <c r="T15280" s="24"/>
      <c r="U15280" s="24"/>
      <c r="V15280" s="24"/>
      <c r="W15280" s="24"/>
      <c r="X15280" s="24"/>
      <c r="Y15280" s="24"/>
      <c r="Z15280" s="24"/>
      <c r="AA15280" s="24"/>
    </row>
    <row r="15281">
      <c r="A15281" s="24"/>
      <c r="B15281" s="25"/>
      <c r="C15281" s="24"/>
      <c r="D15281" s="26"/>
      <c r="E15281" s="24"/>
      <c r="F15281" s="24"/>
      <c r="G15281" s="24"/>
      <c r="H15281" s="24"/>
      <c r="I15281" s="24"/>
      <c r="J15281" s="24"/>
      <c r="K15281" s="24"/>
      <c r="L15281" s="24"/>
      <c r="M15281" s="24"/>
      <c r="N15281" s="24"/>
      <c r="O15281" s="24"/>
      <c r="P15281" s="24"/>
      <c r="Q15281" s="24"/>
      <c r="R15281" s="24"/>
      <c r="S15281" s="24"/>
      <c r="T15281" s="24"/>
      <c r="U15281" s="24"/>
      <c r="V15281" s="24"/>
      <c r="W15281" s="24"/>
      <c r="X15281" s="24"/>
      <c r="Y15281" s="24"/>
      <c r="Z15281" s="24"/>
      <c r="AA15281" s="24"/>
    </row>
    <row r="15282">
      <c r="A15282" s="24"/>
      <c r="B15282" s="25"/>
      <c r="C15282" s="24"/>
      <c r="D15282" s="26"/>
      <c r="E15282" s="24"/>
      <c r="F15282" s="24"/>
      <c r="G15282" s="24"/>
      <c r="H15282" s="24"/>
      <c r="I15282" s="24"/>
      <c r="J15282" s="24"/>
      <c r="K15282" s="24"/>
      <c r="L15282" s="24"/>
      <c r="M15282" s="24"/>
      <c r="N15282" s="24"/>
      <c r="O15282" s="24"/>
      <c r="P15282" s="24"/>
      <c r="Q15282" s="24"/>
      <c r="R15282" s="24"/>
      <c r="S15282" s="24"/>
      <c r="T15282" s="24"/>
      <c r="U15282" s="24"/>
      <c r="V15282" s="24"/>
      <c r="W15282" s="24"/>
      <c r="X15282" s="24"/>
      <c r="Y15282" s="24"/>
      <c r="Z15282" s="24"/>
      <c r="AA15282" s="24"/>
    </row>
    <row r="15283">
      <c r="A15283" s="24"/>
      <c r="B15283" s="25"/>
      <c r="C15283" s="24"/>
      <c r="D15283" s="26"/>
      <c r="E15283" s="24"/>
      <c r="F15283" s="24"/>
      <c r="G15283" s="24"/>
      <c r="H15283" s="24"/>
      <c r="I15283" s="24"/>
      <c r="J15283" s="24"/>
      <c r="K15283" s="24"/>
      <c r="L15283" s="24"/>
      <c r="M15283" s="24"/>
      <c r="N15283" s="24"/>
      <c r="O15283" s="24"/>
      <c r="P15283" s="24"/>
      <c r="Q15283" s="24"/>
      <c r="R15283" s="24"/>
      <c r="S15283" s="24"/>
      <c r="T15283" s="24"/>
      <c r="U15283" s="24"/>
      <c r="V15283" s="24"/>
      <c r="W15283" s="24"/>
      <c r="X15283" s="24"/>
      <c r="Y15283" s="24"/>
      <c r="Z15283" s="24"/>
      <c r="AA15283" s="24"/>
    </row>
    <row r="15284">
      <c r="A15284" s="24"/>
      <c r="B15284" s="25"/>
      <c r="C15284" s="24"/>
      <c r="D15284" s="26"/>
      <c r="E15284" s="24"/>
      <c r="F15284" s="24"/>
      <c r="G15284" s="24"/>
      <c r="H15284" s="24"/>
      <c r="I15284" s="24"/>
      <c r="J15284" s="24"/>
      <c r="K15284" s="24"/>
      <c r="L15284" s="24"/>
      <c r="M15284" s="24"/>
      <c r="N15284" s="24"/>
      <c r="O15284" s="24"/>
      <c r="P15284" s="24"/>
      <c r="Q15284" s="24"/>
      <c r="R15284" s="24"/>
      <c r="S15284" s="24"/>
      <c r="T15284" s="24"/>
      <c r="U15284" s="24"/>
      <c r="V15284" s="24"/>
      <c r="W15284" s="24"/>
      <c r="X15284" s="24"/>
      <c r="Y15284" s="24"/>
      <c r="Z15284" s="24"/>
      <c r="AA15284" s="24"/>
    </row>
    <row r="15285">
      <c r="A15285" s="24"/>
      <c r="B15285" s="25"/>
      <c r="C15285" s="24"/>
      <c r="D15285" s="26"/>
      <c r="E15285" s="24"/>
      <c r="F15285" s="24"/>
      <c r="G15285" s="24"/>
      <c r="H15285" s="24"/>
      <c r="I15285" s="24"/>
      <c r="J15285" s="24"/>
      <c r="K15285" s="24"/>
      <c r="L15285" s="24"/>
      <c r="M15285" s="24"/>
      <c r="N15285" s="24"/>
      <c r="O15285" s="24"/>
      <c r="P15285" s="24"/>
      <c r="Q15285" s="24"/>
      <c r="R15285" s="24"/>
      <c r="S15285" s="24"/>
      <c r="T15285" s="24"/>
      <c r="U15285" s="24"/>
      <c r="V15285" s="24"/>
      <c r="W15285" s="24"/>
      <c r="X15285" s="24"/>
      <c r="Y15285" s="24"/>
      <c r="Z15285" s="24"/>
      <c r="AA15285" s="24"/>
    </row>
    <row r="15286">
      <c r="A15286" s="24"/>
      <c r="B15286" s="25"/>
      <c r="C15286" s="24"/>
      <c r="D15286" s="26"/>
      <c r="E15286" s="24"/>
      <c r="F15286" s="24"/>
      <c r="G15286" s="24"/>
      <c r="H15286" s="24"/>
      <c r="I15286" s="24"/>
      <c r="J15286" s="24"/>
      <c r="K15286" s="24"/>
      <c r="L15286" s="24"/>
      <c r="M15286" s="24"/>
      <c r="N15286" s="24"/>
      <c r="O15286" s="24"/>
      <c r="P15286" s="24"/>
      <c r="Q15286" s="24"/>
      <c r="R15286" s="24"/>
      <c r="S15286" s="24"/>
      <c r="T15286" s="24"/>
      <c r="U15286" s="24"/>
      <c r="V15286" s="24"/>
      <c r="W15286" s="24"/>
      <c r="X15286" s="24"/>
      <c r="Y15286" s="24"/>
      <c r="Z15286" s="24"/>
      <c r="AA15286" s="24"/>
    </row>
    <row r="15287">
      <c r="A15287" s="24"/>
      <c r="B15287" s="25"/>
      <c r="C15287" s="24"/>
      <c r="D15287" s="26"/>
      <c r="E15287" s="24"/>
      <c r="F15287" s="24"/>
      <c r="G15287" s="24"/>
      <c r="H15287" s="24"/>
      <c r="I15287" s="24"/>
      <c r="J15287" s="24"/>
      <c r="K15287" s="24"/>
      <c r="L15287" s="24"/>
      <c r="M15287" s="24"/>
      <c r="N15287" s="24"/>
      <c r="O15287" s="24"/>
      <c r="P15287" s="24"/>
      <c r="Q15287" s="24"/>
      <c r="R15287" s="24"/>
      <c r="S15287" s="24"/>
      <c r="T15287" s="24"/>
      <c r="U15287" s="24"/>
      <c r="V15287" s="24"/>
      <c r="W15287" s="24"/>
      <c r="X15287" s="24"/>
      <c r="Y15287" s="24"/>
      <c r="Z15287" s="24"/>
      <c r="AA15287" s="24"/>
    </row>
    <row r="15288">
      <c r="A15288" s="24"/>
      <c r="B15288" s="25"/>
      <c r="C15288" s="24"/>
      <c r="D15288" s="26"/>
      <c r="E15288" s="24"/>
      <c r="F15288" s="24"/>
      <c r="G15288" s="24"/>
      <c r="H15288" s="24"/>
      <c r="I15288" s="24"/>
      <c r="J15288" s="24"/>
      <c r="K15288" s="24"/>
      <c r="L15288" s="24"/>
      <c r="M15288" s="24"/>
      <c r="N15288" s="24"/>
      <c r="O15288" s="24"/>
      <c r="P15288" s="24"/>
      <c r="Q15288" s="24"/>
      <c r="R15288" s="24"/>
      <c r="S15288" s="24"/>
      <c r="T15288" s="24"/>
      <c r="U15288" s="24"/>
      <c r="V15288" s="24"/>
      <c r="W15288" s="24"/>
      <c r="X15288" s="24"/>
      <c r="Y15288" s="24"/>
      <c r="Z15288" s="24"/>
      <c r="AA15288" s="24"/>
    </row>
    <row r="15289">
      <c r="A15289" s="24"/>
      <c r="B15289" s="25"/>
      <c r="C15289" s="24"/>
      <c r="D15289" s="26"/>
      <c r="E15289" s="24"/>
      <c r="F15289" s="24"/>
      <c r="G15289" s="24"/>
      <c r="H15289" s="24"/>
      <c r="I15289" s="24"/>
      <c r="J15289" s="24"/>
      <c r="K15289" s="24"/>
      <c r="L15289" s="24"/>
      <c r="M15289" s="24"/>
      <c r="N15289" s="24"/>
      <c r="O15289" s="24"/>
      <c r="P15289" s="24"/>
      <c r="Q15289" s="24"/>
      <c r="R15289" s="24"/>
      <c r="S15289" s="24"/>
      <c r="T15289" s="24"/>
      <c r="U15289" s="24"/>
      <c r="V15289" s="24"/>
      <c r="W15289" s="24"/>
      <c r="X15289" s="24"/>
      <c r="Y15289" s="24"/>
      <c r="Z15289" s="24"/>
      <c r="AA15289" s="24"/>
    </row>
    <row r="15290">
      <c r="A15290" s="24"/>
      <c r="B15290" s="25"/>
      <c r="C15290" s="24"/>
      <c r="D15290" s="26"/>
      <c r="E15290" s="24"/>
      <c r="F15290" s="24"/>
      <c r="G15290" s="24"/>
      <c r="H15290" s="24"/>
      <c r="I15290" s="24"/>
      <c r="J15290" s="24"/>
      <c r="K15290" s="24"/>
      <c r="L15290" s="24"/>
      <c r="M15290" s="24"/>
      <c r="N15290" s="24"/>
      <c r="O15290" s="24"/>
      <c r="P15290" s="24"/>
      <c r="Q15290" s="24"/>
      <c r="R15290" s="24"/>
      <c r="S15290" s="24"/>
      <c r="T15290" s="24"/>
      <c r="U15290" s="24"/>
      <c r="V15290" s="24"/>
      <c r="W15290" s="24"/>
      <c r="X15290" s="24"/>
      <c r="Y15290" s="24"/>
      <c r="Z15290" s="24"/>
      <c r="AA15290" s="24"/>
    </row>
    <row r="15291">
      <c r="A15291" s="24"/>
      <c r="B15291" s="25"/>
      <c r="C15291" s="24"/>
      <c r="D15291" s="26"/>
      <c r="E15291" s="24"/>
      <c r="F15291" s="24"/>
      <c r="G15291" s="24"/>
      <c r="H15291" s="24"/>
      <c r="I15291" s="24"/>
      <c r="J15291" s="24"/>
      <c r="K15291" s="24"/>
      <c r="L15291" s="24"/>
      <c r="M15291" s="24"/>
      <c r="N15291" s="24"/>
      <c r="O15291" s="24"/>
      <c r="P15291" s="24"/>
      <c r="Q15291" s="24"/>
      <c r="R15291" s="24"/>
      <c r="S15291" s="24"/>
      <c r="T15291" s="24"/>
      <c r="U15291" s="24"/>
      <c r="V15291" s="24"/>
      <c r="W15291" s="24"/>
      <c r="X15291" s="24"/>
      <c r="Y15291" s="24"/>
      <c r="Z15291" s="24"/>
      <c r="AA15291" s="24"/>
    </row>
    <row r="15292">
      <c r="A15292" s="24"/>
      <c r="B15292" s="25"/>
      <c r="C15292" s="24"/>
      <c r="D15292" s="26"/>
      <c r="E15292" s="24"/>
      <c r="F15292" s="24"/>
      <c r="G15292" s="24"/>
      <c r="H15292" s="24"/>
      <c r="I15292" s="24"/>
      <c r="J15292" s="24"/>
      <c r="K15292" s="24"/>
      <c r="L15292" s="24"/>
      <c r="M15292" s="24"/>
      <c r="N15292" s="24"/>
      <c r="O15292" s="24"/>
      <c r="P15292" s="24"/>
      <c r="Q15292" s="24"/>
      <c r="R15292" s="24"/>
      <c r="S15292" s="24"/>
      <c r="T15292" s="24"/>
      <c r="U15292" s="24"/>
      <c r="V15292" s="24"/>
      <c r="W15292" s="24"/>
      <c r="X15292" s="24"/>
      <c r="Y15292" s="24"/>
      <c r="Z15292" s="24"/>
      <c r="AA15292" s="24"/>
    </row>
    <row r="15293">
      <c r="A15293" s="24"/>
      <c r="B15293" s="25"/>
      <c r="C15293" s="24"/>
      <c r="D15293" s="26"/>
      <c r="E15293" s="24"/>
      <c r="F15293" s="24"/>
      <c r="G15293" s="24"/>
      <c r="H15293" s="24"/>
      <c r="I15293" s="24"/>
      <c r="J15293" s="24"/>
      <c r="K15293" s="24"/>
      <c r="L15293" s="24"/>
      <c r="M15293" s="24"/>
      <c r="N15293" s="24"/>
      <c r="O15293" s="24"/>
      <c r="P15293" s="24"/>
      <c r="Q15293" s="24"/>
      <c r="R15293" s="24"/>
      <c r="S15293" s="24"/>
      <c r="T15293" s="24"/>
      <c r="U15293" s="24"/>
      <c r="V15293" s="24"/>
      <c r="W15293" s="24"/>
      <c r="X15293" s="24"/>
      <c r="Y15293" s="24"/>
      <c r="Z15293" s="24"/>
      <c r="AA15293" s="24"/>
    </row>
    <row r="15294">
      <c r="A15294" s="24"/>
      <c r="B15294" s="25"/>
      <c r="C15294" s="24"/>
      <c r="D15294" s="26"/>
      <c r="E15294" s="24"/>
      <c r="F15294" s="24"/>
      <c r="G15294" s="24"/>
      <c r="H15294" s="24"/>
      <c r="I15294" s="24"/>
      <c r="J15294" s="24"/>
      <c r="K15294" s="24"/>
      <c r="L15294" s="24"/>
      <c r="M15294" s="24"/>
      <c r="N15294" s="24"/>
      <c r="O15294" s="24"/>
      <c r="P15294" s="24"/>
      <c r="Q15294" s="24"/>
      <c r="R15294" s="24"/>
      <c r="S15294" s="24"/>
      <c r="T15294" s="24"/>
      <c r="U15294" s="24"/>
      <c r="V15294" s="24"/>
      <c r="W15294" s="24"/>
      <c r="X15294" s="24"/>
      <c r="Y15294" s="24"/>
      <c r="Z15294" s="24"/>
      <c r="AA15294" s="24"/>
    </row>
    <row r="15295">
      <c r="A15295" s="24"/>
      <c r="B15295" s="25"/>
      <c r="C15295" s="24"/>
      <c r="D15295" s="26"/>
      <c r="E15295" s="24"/>
      <c r="F15295" s="24"/>
      <c r="G15295" s="24"/>
      <c r="H15295" s="24"/>
      <c r="I15295" s="24"/>
      <c r="J15295" s="24"/>
      <c r="K15295" s="24"/>
      <c r="L15295" s="24"/>
      <c r="M15295" s="24"/>
      <c r="N15295" s="24"/>
      <c r="O15295" s="24"/>
      <c r="P15295" s="24"/>
      <c r="Q15295" s="24"/>
      <c r="R15295" s="24"/>
      <c r="S15295" s="24"/>
      <c r="T15295" s="24"/>
      <c r="U15295" s="24"/>
      <c r="V15295" s="24"/>
      <c r="W15295" s="24"/>
      <c r="X15295" s="24"/>
      <c r="Y15295" s="24"/>
      <c r="Z15295" s="24"/>
      <c r="AA15295" s="24"/>
    </row>
    <row r="15296">
      <c r="A15296" s="24"/>
      <c r="B15296" s="25"/>
      <c r="C15296" s="24"/>
      <c r="D15296" s="26"/>
      <c r="E15296" s="24"/>
      <c r="F15296" s="24"/>
      <c r="G15296" s="24"/>
      <c r="H15296" s="24"/>
      <c r="I15296" s="24"/>
      <c r="J15296" s="24"/>
      <c r="K15296" s="24"/>
      <c r="L15296" s="24"/>
      <c r="M15296" s="24"/>
      <c r="N15296" s="24"/>
      <c r="O15296" s="24"/>
      <c r="P15296" s="24"/>
      <c r="Q15296" s="24"/>
      <c r="R15296" s="24"/>
      <c r="S15296" s="24"/>
      <c r="T15296" s="24"/>
      <c r="U15296" s="24"/>
      <c r="V15296" s="24"/>
      <c r="W15296" s="24"/>
      <c r="X15296" s="24"/>
      <c r="Y15296" s="24"/>
      <c r="Z15296" s="24"/>
      <c r="AA15296" s="24"/>
    </row>
    <row r="15297">
      <c r="A15297" s="24"/>
      <c r="B15297" s="25"/>
      <c r="C15297" s="24"/>
      <c r="D15297" s="26"/>
      <c r="E15297" s="24"/>
      <c r="F15297" s="24"/>
      <c r="G15297" s="24"/>
      <c r="H15297" s="24"/>
      <c r="I15297" s="24"/>
      <c r="J15297" s="24"/>
      <c r="K15297" s="24"/>
      <c r="L15297" s="24"/>
      <c r="M15297" s="24"/>
      <c r="N15297" s="24"/>
      <c r="O15297" s="24"/>
      <c r="P15297" s="24"/>
      <c r="Q15297" s="24"/>
      <c r="R15297" s="24"/>
      <c r="S15297" s="24"/>
      <c r="T15297" s="24"/>
      <c r="U15297" s="24"/>
      <c r="V15297" s="24"/>
      <c r="W15297" s="24"/>
      <c r="X15297" s="24"/>
      <c r="Y15297" s="24"/>
      <c r="Z15297" s="24"/>
      <c r="AA15297" s="24"/>
    </row>
    <row r="15298">
      <c r="A15298" s="24"/>
      <c r="B15298" s="25"/>
      <c r="C15298" s="24"/>
      <c r="D15298" s="26"/>
      <c r="E15298" s="24"/>
      <c r="F15298" s="24"/>
      <c r="G15298" s="24"/>
      <c r="H15298" s="24"/>
      <c r="I15298" s="24"/>
      <c r="J15298" s="24"/>
      <c r="K15298" s="24"/>
      <c r="L15298" s="24"/>
      <c r="M15298" s="24"/>
      <c r="N15298" s="24"/>
      <c r="O15298" s="24"/>
      <c r="P15298" s="24"/>
      <c r="Q15298" s="24"/>
      <c r="R15298" s="24"/>
      <c r="S15298" s="24"/>
      <c r="T15298" s="24"/>
      <c r="U15298" s="24"/>
      <c r="V15298" s="24"/>
      <c r="W15298" s="24"/>
      <c r="X15298" s="24"/>
      <c r="Y15298" s="24"/>
      <c r="Z15298" s="24"/>
      <c r="AA15298" s="24"/>
    </row>
    <row r="15299">
      <c r="A15299" s="24"/>
      <c r="B15299" s="25"/>
      <c r="C15299" s="24"/>
      <c r="D15299" s="26"/>
      <c r="E15299" s="24"/>
      <c r="F15299" s="24"/>
      <c r="G15299" s="24"/>
      <c r="H15299" s="24"/>
      <c r="I15299" s="24"/>
      <c r="J15299" s="24"/>
      <c r="K15299" s="24"/>
      <c r="L15299" s="24"/>
      <c r="M15299" s="24"/>
      <c r="N15299" s="24"/>
      <c r="O15299" s="24"/>
      <c r="P15299" s="24"/>
      <c r="Q15299" s="24"/>
      <c r="R15299" s="24"/>
      <c r="S15299" s="24"/>
      <c r="T15299" s="24"/>
      <c r="U15299" s="24"/>
      <c r="V15299" s="24"/>
      <c r="W15299" s="24"/>
      <c r="X15299" s="24"/>
      <c r="Y15299" s="24"/>
      <c r="Z15299" s="24"/>
      <c r="AA15299" s="24"/>
    </row>
    <row r="15300">
      <c r="A15300" s="24"/>
      <c r="B15300" s="25"/>
      <c r="C15300" s="24"/>
      <c r="D15300" s="26"/>
      <c r="E15300" s="24"/>
      <c r="F15300" s="24"/>
      <c r="G15300" s="24"/>
      <c r="H15300" s="24"/>
      <c r="I15300" s="24"/>
      <c r="J15300" s="24"/>
      <c r="K15300" s="24"/>
      <c r="L15300" s="24"/>
      <c r="M15300" s="24"/>
      <c r="N15300" s="24"/>
      <c r="O15300" s="24"/>
      <c r="P15300" s="24"/>
      <c r="Q15300" s="24"/>
      <c r="R15300" s="24"/>
      <c r="S15300" s="24"/>
      <c r="T15300" s="24"/>
      <c r="U15300" s="24"/>
      <c r="V15300" s="24"/>
      <c r="W15300" s="24"/>
      <c r="X15300" s="24"/>
      <c r="Y15300" s="24"/>
      <c r="Z15300" s="24"/>
      <c r="AA15300" s="24"/>
    </row>
    <row r="15301">
      <c r="A15301" s="24"/>
      <c r="B15301" s="25"/>
      <c r="C15301" s="24"/>
      <c r="D15301" s="26"/>
      <c r="E15301" s="24"/>
      <c r="F15301" s="24"/>
      <c r="G15301" s="24"/>
      <c r="H15301" s="24"/>
      <c r="I15301" s="24"/>
      <c r="J15301" s="24"/>
      <c r="K15301" s="24"/>
      <c r="L15301" s="24"/>
      <c r="M15301" s="24"/>
      <c r="N15301" s="24"/>
      <c r="O15301" s="24"/>
      <c r="P15301" s="24"/>
      <c r="Q15301" s="24"/>
      <c r="R15301" s="24"/>
      <c r="S15301" s="24"/>
      <c r="T15301" s="24"/>
      <c r="U15301" s="24"/>
      <c r="V15301" s="24"/>
      <c r="W15301" s="24"/>
      <c r="X15301" s="24"/>
      <c r="Y15301" s="24"/>
      <c r="Z15301" s="24"/>
      <c r="AA15301" s="24"/>
    </row>
    <row r="15302">
      <c r="A15302" s="24"/>
      <c r="B15302" s="25"/>
      <c r="C15302" s="24"/>
      <c r="D15302" s="26"/>
      <c r="E15302" s="24"/>
      <c r="F15302" s="24"/>
      <c r="G15302" s="24"/>
      <c r="H15302" s="24"/>
      <c r="I15302" s="24"/>
      <c r="J15302" s="24"/>
      <c r="K15302" s="24"/>
      <c r="L15302" s="24"/>
      <c r="M15302" s="24"/>
      <c r="N15302" s="24"/>
      <c r="O15302" s="24"/>
      <c r="P15302" s="24"/>
      <c r="Q15302" s="24"/>
      <c r="R15302" s="24"/>
      <c r="S15302" s="24"/>
      <c r="T15302" s="24"/>
      <c r="U15302" s="24"/>
      <c r="V15302" s="24"/>
      <c r="W15302" s="24"/>
      <c r="X15302" s="24"/>
      <c r="Y15302" s="24"/>
      <c r="Z15302" s="24"/>
      <c r="AA15302" s="24"/>
    </row>
    <row r="15303">
      <c r="A15303" s="24"/>
      <c r="B15303" s="25"/>
      <c r="C15303" s="24"/>
      <c r="D15303" s="26"/>
      <c r="E15303" s="24"/>
      <c r="F15303" s="24"/>
      <c r="G15303" s="24"/>
      <c r="H15303" s="24"/>
      <c r="I15303" s="24"/>
      <c r="J15303" s="24"/>
      <c r="K15303" s="24"/>
      <c r="L15303" s="24"/>
      <c r="M15303" s="24"/>
      <c r="N15303" s="24"/>
      <c r="O15303" s="24"/>
      <c r="P15303" s="24"/>
      <c r="Q15303" s="24"/>
      <c r="R15303" s="24"/>
      <c r="S15303" s="24"/>
      <c r="T15303" s="24"/>
      <c r="U15303" s="24"/>
      <c r="V15303" s="24"/>
      <c r="W15303" s="24"/>
      <c r="X15303" s="24"/>
      <c r="Y15303" s="24"/>
      <c r="Z15303" s="24"/>
      <c r="AA15303" s="24"/>
    </row>
    <row r="15304">
      <c r="A15304" s="24"/>
      <c r="B15304" s="25"/>
      <c r="C15304" s="24"/>
      <c r="D15304" s="26"/>
      <c r="E15304" s="24"/>
      <c r="F15304" s="24"/>
      <c r="G15304" s="24"/>
      <c r="H15304" s="24"/>
      <c r="I15304" s="24"/>
      <c r="J15304" s="24"/>
      <c r="K15304" s="24"/>
      <c r="L15304" s="24"/>
      <c r="M15304" s="24"/>
      <c r="N15304" s="24"/>
      <c r="O15304" s="24"/>
      <c r="P15304" s="24"/>
      <c r="Q15304" s="24"/>
      <c r="R15304" s="24"/>
      <c r="S15304" s="24"/>
      <c r="T15304" s="24"/>
      <c r="U15304" s="24"/>
      <c r="V15304" s="24"/>
      <c r="W15304" s="24"/>
      <c r="X15304" s="24"/>
      <c r="Y15304" s="24"/>
      <c r="Z15304" s="24"/>
      <c r="AA15304" s="24"/>
    </row>
    <row r="15305">
      <c r="A15305" s="24"/>
      <c r="B15305" s="25"/>
      <c r="C15305" s="24"/>
      <c r="D15305" s="26"/>
      <c r="E15305" s="24"/>
      <c r="F15305" s="24"/>
      <c r="G15305" s="24"/>
      <c r="H15305" s="24"/>
      <c r="I15305" s="24"/>
      <c r="J15305" s="24"/>
      <c r="K15305" s="24"/>
      <c r="L15305" s="24"/>
      <c r="M15305" s="24"/>
      <c r="N15305" s="24"/>
      <c r="O15305" s="24"/>
      <c r="P15305" s="24"/>
      <c r="Q15305" s="24"/>
      <c r="R15305" s="24"/>
      <c r="S15305" s="24"/>
      <c r="T15305" s="24"/>
      <c r="U15305" s="24"/>
      <c r="V15305" s="24"/>
      <c r="W15305" s="24"/>
      <c r="X15305" s="24"/>
      <c r="Y15305" s="24"/>
      <c r="Z15305" s="24"/>
      <c r="AA15305" s="24"/>
    </row>
    <row r="15306">
      <c r="A15306" s="24"/>
      <c r="B15306" s="25"/>
      <c r="C15306" s="24"/>
      <c r="D15306" s="26"/>
      <c r="E15306" s="24"/>
      <c r="F15306" s="24"/>
      <c r="G15306" s="24"/>
      <c r="H15306" s="24"/>
      <c r="I15306" s="24"/>
      <c r="J15306" s="24"/>
      <c r="K15306" s="24"/>
      <c r="L15306" s="24"/>
      <c r="M15306" s="24"/>
      <c r="N15306" s="24"/>
      <c r="O15306" s="24"/>
      <c r="P15306" s="24"/>
      <c r="Q15306" s="24"/>
      <c r="R15306" s="24"/>
      <c r="S15306" s="24"/>
      <c r="T15306" s="24"/>
      <c r="U15306" s="24"/>
      <c r="V15306" s="24"/>
      <c r="W15306" s="24"/>
      <c r="X15306" s="24"/>
      <c r="Y15306" s="24"/>
      <c r="Z15306" s="24"/>
      <c r="AA15306" s="24"/>
    </row>
    <row r="15307">
      <c r="A15307" s="24"/>
      <c r="B15307" s="25"/>
      <c r="C15307" s="24"/>
      <c r="D15307" s="26"/>
      <c r="E15307" s="24"/>
      <c r="F15307" s="24"/>
      <c r="G15307" s="24"/>
      <c r="H15307" s="24"/>
      <c r="I15307" s="24"/>
      <c r="J15307" s="24"/>
      <c r="K15307" s="24"/>
      <c r="L15307" s="24"/>
      <c r="M15307" s="24"/>
      <c r="N15307" s="24"/>
      <c r="O15307" s="24"/>
      <c r="P15307" s="24"/>
      <c r="Q15307" s="24"/>
      <c r="R15307" s="24"/>
      <c r="S15307" s="24"/>
      <c r="T15307" s="24"/>
      <c r="U15307" s="24"/>
      <c r="V15307" s="24"/>
      <c r="W15307" s="24"/>
      <c r="X15307" s="24"/>
      <c r="Y15307" s="24"/>
      <c r="Z15307" s="24"/>
      <c r="AA15307" s="24"/>
    </row>
    <row r="15308">
      <c r="A15308" s="24"/>
      <c r="B15308" s="25"/>
      <c r="C15308" s="24"/>
      <c r="D15308" s="26"/>
      <c r="E15308" s="24"/>
      <c r="F15308" s="24"/>
      <c r="G15308" s="24"/>
      <c r="H15308" s="24"/>
      <c r="I15308" s="24"/>
      <c r="J15308" s="24"/>
      <c r="K15308" s="24"/>
      <c r="L15308" s="24"/>
      <c r="M15308" s="24"/>
      <c r="N15308" s="24"/>
      <c r="O15308" s="24"/>
      <c r="P15308" s="24"/>
      <c r="Q15308" s="24"/>
      <c r="R15308" s="24"/>
      <c r="S15308" s="24"/>
      <c r="T15308" s="24"/>
      <c r="U15308" s="24"/>
      <c r="V15308" s="24"/>
      <c r="W15308" s="24"/>
      <c r="X15308" s="24"/>
      <c r="Y15308" s="24"/>
      <c r="Z15308" s="24"/>
      <c r="AA15308" s="24"/>
    </row>
    <row r="15309">
      <c r="A15309" s="24"/>
      <c r="B15309" s="25"/>
      <c r="C15309" s="24"/>
      <c r="D15309" s="26"/>
      <c r="E15309" s="24"/>
      <c r="F15309" s="24"/>
      <c r="G15309" s="24"/>
      <c r="H15309" s="24"/>
      <c r="I15309" s="24"/>
      <c r="J15309" s="24"/>
      <c r="K15309" s="24"/>
      <c r="L15309" s="24"/>
      <c r="M15309" s="24"/>
      <c r="N15309" s="24"/>
      <c r="O15309" s="24"/>
      <c r="P15309" s="24"/>
      <c r="Q15309" s="24"/>
      <c r="R15309" s="24"/>
      <c r="S15309" s="24"/>
      <c r="T15309" s="24"/>
      <c r="U15309" s="24"/>
      <c r="V15309" s="24"/>
      <c r="W15309" s="24"/>
      <c r="X15309" s="24"/>
      <c r="Y15309" s="24"/>
      <c r="Z15309" s="24"/>
      <c r="AA15309" s="24"/>
    </row>
    <row r="15310">
      <c r="A15310" s="24"/>
      <c r="B15310" s="25"/>
      <c r="C15310" s="24"/>
      <c r="D15310" s="26"/>
      <c r="E15310" s="24"/>
      <c r="F15310" s="24"/>
      <c r="G15310" s="24"/>
      <c r="H15310" s="24"/>
      <c r="I15310" s="24"/>
      <c r="J15310" s="24"/>
      <c r="K15310" s="24"/>
      <c r="L15310" s="24"/>
      <c r="M15310" s="24"/>
      <c r="N15310" s="24"/>
      <c r="O15310" s="24"/>
      <c r="P15310" s="24"/>
      <c r="Q15310" s="24"/>
      <c r="R15310" s="24"/>
      <c r="S15310" s="24"/>
      <c r="T15310" s="24"/>
      <c r="U15310" s="24"/>
      <c r="V15310" s="24"/>
      <c r="W15310" s="24"/>
      <c r="X15310" s="24"/>
      <c r="Y15310" s="24"/>
      <c r="Z15310" s="24"/>
      <c r="AA15310" s="24"/>
    </row>
    <row r="15311">
      <c r="A15311" s="24"/>
      <c r="B15311" s="25"/>
      <c r="C15311" s="24"/>
      <c r="D15311" s="26"/>
      <c r="E15311" s="24"/>
      <c r="F15311" s="24"/>
      <c r="G15311" s="24"/>
      <c r="H15311" s="24"/>
      <c r="I15311" s="24"/>
      <c r="J15311" s="24"/>
      <c r="K15311" s="24"/>
      <c r="L15311" s="24"/>
      <c r="M15311" s="24"/>
      <c r="N15311" s="24"/>
      <c r="O15311" s="24"/>
      <c r="P15311" s="24"/>
      <c r="Q15311" s="24"/>
      <c r="R15311" s="24"/>
      <c r="S15311" s="24"/>
      <c r="T15311" s="24"/>
      <c r="U15311" s="24"/>
      <c r="V15311" s="24"/>
      <c r="W15311" s="24"/>
      <c r="X15311" s="24"/>
      <c r="Y15311" s="24"/>
      <c r="Z15311" s="24"/>
      <c r="AA15311" s="24"/>
    </row>
    <row r="15312">
      <c r="A15312" s="24"/>
      <c r="B15312" s="25"/>
      <c r="C15312" s="24"/>
      <c r="D15312" s="26"/>
      <c r="E15312" s="24"/>
      <c r="F15312" s="24"/>
      <c r="G15312" s="24"/>
      <c r="H15312" s="24"/>
      <c r="I15312" s="24"/>
      <c r="J15312" s="24"/>
      <c r="K15312" s="24"/>
      <c r="L15312" s="24"/>
      <c r="M15312" s="24"/>
      <c r="N15312" s="24"/>
      <c r="O15312" s="24"/>
      <c r="P15312" s="24"/>
      <c r="Q15312" s="24"/>
      <c r="R15312" s="24"/>
      <c r="S15312" s="24"/>
      <c r="T15312" s="24"/>
      <c r="U15312" s="24"/>
      <c r="V15312" s="24"/>
      <c r="W15312" s="24"/>
      <c r="X15312" s="24"/>
      <c r="Y15312" s="24"/>
      <c r="Z15312" s="24"/>
      <c r="AA15312" s="24"/>
    </row>
    <row r="15313">
      <c r="A15313" s="24"/>
      <c r="B15313" s="25"/>
      <c r="C15313" s="24"/>
      <c r="D15313" s="26"/>
      <c r="E15313" s="24"/>
      <c r="F15313" s="24"/>
      <c r="G15313" s="24"/>
      <c r="H15313" s="24"/>
      <c r="I15313" s="24"/>
      <c r="J15313" s="24"/>
      <c r="K15313" s="24"/>
      <c r="L15313" s="24"/>
      <c r="M15313" s="24"/>
      <c r="N15313" s="24"/>
      <c r="O15313" s="24"/>
      <c r="P15313" s="24"/>
      <c r="Q15313" s="24"/>
      <c r="R15313" s="24"/>
      <c r="S15313" s="24"/>
      <c r="T15313" s="24"/>
      <c r="U15313" s="24"/>
      <c r="V15313" s="24"/>
      <c r="W15313" s="24"/>
      <c r="X15313" s="24"/>
      <c r="Y15313" s="24"/>
      <c r="Z15313" s="24"/>
      <c r="AA15313" s="24"/>
    </row>
    <row r="15314">
      <c r="A15314" s="24"/>
      <c r="B15314" s="25"/>
      <c r="C15314" s="24"/>
      <c r="D15314" s="26"/>
      <c r="E15314" s="24"/>
      <c r="F15314" s="24"/>
      <c r="G15314" s="24"/>
      <c r="H15314" s="24"/>
      <c r="I15314" s="24"/>
      <c r="J15314" s="24"/>
      <c r="K15314" s="24"/>
      <c r="L15314" s="24"/>
      <c r="M15314" s="24"/>
      <c r="N15314" s="24"/>
      <c r="O15314" s="24"/>
      <c r="P15314" s="24"/>
      <c r="Q15314" s="24"/>
      <c r="R15314" s="24"/>
      <c r="S15314" s="24"/>
      <c r="T15314" s="24"/>
      <c r="U15314" s="24"/>
      <c r="V15314" s="24"/>
      <c r="W15314" s="24"/>
      <c r="X15314" s="24"/>
      <c r="Y15314" s="24"/>
      <c r="Z15314" s="24"/>
      <c r="AA15314" s="24"/>
    </row>
    <row r="15315">
      <c r="A15315" s="24"/>
      <c r="B15315" s="25"/>
      <c r="C15315" s="24"/>
      <c r="D15315" s="26"/>
      <c r="E15315" s="24"/>
      <c r="F15315" s="24"/>
      <c r="G15315" s="24"/>
      <c r="H15315" s="24"/>
      <c r="I15315" s="24"/>
      <c r="J15315" s="24"/>
      <c r="K15315" s="24"/>
      <c r="L15315" s="24"/>
      <c r="M15315" s="24"/>
      <c r="N15315" s="24"/>
      <c r="O15315" s="24"/>
      <c r="P15315" s="24"/>
      <c r="Q15315" s="24"/>
      <c r="R15315" s="24"/>
      <c r="S15315" s="24"/>
      <c r="T15315" s="24"/>
      <c r="U15315" s="24"/>
      <c r="V15315" s="24"/>
      <c r="W15315" s="24"/>
      <c r="X15315" s="24"/>
      <c r="Y15315" s="24"/>
      <c r="Z15315" s="24"/>
      <c r="AA15315" s="24"/>
    </row>
    <row r="15316">
      <c r="A15316" s="24"/>
      <c r="B15316" s="25"/>
      <c r="C15316" s="24"/>
      <c r="D15316" s="26"/>
      <c r="E15316" s="24"/>
      <c r="F15316" s="24"/>
      <c r="G15316" s="24"/>
      <c r="H15316" s="24"/>
      <c r="I15316" s="24"/>
      <c r="J15316" s="24"/>
      <c r="K15316" s="24"/>
      <c r="L15316" s="24"/>
      <c r="M15316" s="24"/>
      <c r="N15316" s="24"/>
      <c r="O15316" s="24"/>
      <c r="P15316" s="24"/>
      <c r="Q15316" s="24"/>
      <c r="R15316" s="24"/>
      <c r="S15316" s="24"/>
      <c r="T15316" s="24"/>
      <c r="U15316" s="24"/>
      <c r="V15316" s="24"/>
      <c r="W15316" s="24"/>
      <c r="X15316" s="24"/>
      <c r="Y15316" s="24"/>
      <c r="Z15316" s="24"/>
      <c r="AA15316" s="24"/>
    </row>
    <row r="15317">
      <c r="A15317" s="24"/>
      <c r="B15317" s="25"/>
      <c r="C15317" s="24"/>
      <c r="D15317" s="26"/>
      <c r="E15317" s="24"/>
      <c r="F15317" s="24"/>
      <c r="G15317" s="24"/>
      <c r="H15317" s="24"/>
      <c r="I15317" s="24"/>
      <c r="J15317" s="24"/>
      <c r="K15317" s="24"/>
      <c r="L15317" s="24"/>
      <c r="M15317" s="24"/>
      <c r="N15317" s="24"/>
      <c r="O15317" s="24"/>
      <c r="P15317" s="24"/>
      <c r="Q15317" s="24"/>
      <c r="R15317" s="24"/>
      <c r="S15317" s="24"/>
      <c r="T15317" s="24"/>
      <c r="U15317" s="24"/>
      <c r="V15317" s="24"/>
      <c r="W15317" s="24"/>
      <c r="X15317" s="24"/>
      <c r="Y15317" s="24"/>
      <c r="Z15317" s="24"/>
      <c r="AA15317" s="24"/>
    </row>
    <row r="15318">
      <c r="A15318" s="24"/>
      <c r="B15318" s="25"/>
      <c r="C15318" s="24"/>
      <c r="D15318" s="26"/>
      <c r="E15318" s="24"/>
      <c r="F15318" s="24"/>
      <c r="G15318" s="24"/>
      <c r="H15318" s="24"/>
      <c r="I15318" s="24"/>
      <c r="J15318" s="24"/>
      <c r="K15318" s="24"/>
      <c r="L15318" s="24"/>
      <c r="M15318" s="24"/>
      <c r="N15318" s="24"/>
      <c r="O15318" s="24"/>
      <c r="P15318" s="24"/>
      <c r="Q15318" s="24"/>
      <c r="R15318" s="24"/>
      <c r="S15318" s="24"/>
      <c r="T15318" s="24"/>
      <c r="U15318" s="24"/>
      <c r="V15318" s="24"/>
      <c r="W15318" s="24"/>
      <c r="X15318" s="24"/>
      <c r="Y15318" s="24"/>
      <c r="Z15318" s="24"/>
      <c r="AA15318" s="24"/>
    </row>
    <row r="15319">
      <c r="A15319" s="24"/>
      <c r="B15319" s="25"/>
      <c r="C15319" s="24"/>
      <c r="D15319" s="26"/>
      <c r="E15319" s="24"/>
      <c r="F15319" s="24"/>
      <c r="G15319" s="24"/>
      <c r="H15319" s="24"/>
      <c r="I15319" s="24"/>
      <c r="J15319" s="24"/>
      <c r="K15319" s="24"/>
      <c r="L15319" s="24"/>
      <c r="M15319" s="24"/>
      <c r="N15319" s="24"/>
      <c r="O15319" s="24"/>
      <c r="P15319" s="24"/>
      <c r="Q15319" s="24"/>
      <c r="R15319" s="24"/>
      <c r="S15319" s="24"/>
      <c r="T15319" s="24"/>
      <c r="U15319" s="24"/>
      <c r="V15319" s="24"/>
      <c r="W15319" s="24"/>
      <c r="X15319" s="24"/>
      <c r="Y15319" s="24"/>
      <c r="Z15319" s="24"/>
      <c r="AA15319" s="24"/>
    </row>
    <row r="15320">
      <c r="A15320" s="24"/>
      <c r="B15320" s="25"/>
      <c r="C15320" s="24"/>
      <c r="D15320" s="26"/>
      <c r="E15320" s="24"/>
      <c r="F15320" s="24"/>
      <c r="G15320" s="24"/>
      <c r="H15320" s="24"/>
      <c r="I15320" s="24"/>
      <c r="J15320" s="24"/>
      <c r="K15320" s="24"/>
      <c r="L15320" s="24"/>
      <c r="M15320" s="24"/>
      <c r="N15320" s="24"/>
      <c r="O15320" s="24"/>
      <c r="P15320" s="24"/>
      <c r="Q15320" s="24"/>
      <c r="R15320" s="24"/>
      <c r="S15320" s="24"/>
      <c r="T15320" s="24"/>
      <c r="U15320" s="24"/>
      <c r="V15320" s="24"/>
      <c r="W15320" s="24"/>
      <c r="X15320" s="24"/>
      <c r="Y15320" s="24"/>
      <c r="Z15320" s="24"/>
      <c r="AA15320" s="24"/>
    </row>
    <row r="15321">
      <c r="A15321" s="24"/>
      <c r="B15321" s="25"/>
      <c r="C15321" s="24"/>
      <c r="D15321" s="26"/>
      <c r="E15321" s="24"/>
      <c r="F15321" s="24"/>
      <c r="G15321" s="24"/>
      <c r="H15321" s="24"/>
      <c r="I15321" s="24"/>
      <c r="J15321" s="24"/>
      <c r="K15321" s="24"/>
      <c r="L15321" s="24"/>
      <c r="M15321" s="24"/>
      <c r="N15321" s="24"/>
      <c r="O15321" s="24"/>
      <c r="P15321" s="24"/>
      <c r="Q15321" s="24"/>
      <c r="R15321" s="24"/>
      <c r="S15321" s="24"/>
      <c r="T15321" s="24"/>
      <c r="U15321" s="24"/>
      <c r="V15321" s="24"/>
      <c r="W15321" s="24"/>
      <c r="X15321" s="24"/>
      <c r="Y15321" s="24"/>
      <c r="Z15321" s="24"/>
      <c r="AA15321" s="24"/>
    </row>
    <row r="15322">
      <c r="A15322" s="24"/>
      <c r="B15322" s="25"/>
      <c r="C15322" s="24"/>
      <c r="D15322" s="26"/>
      <c r="E15322" s="24"/>
      <c r="F15322" s="24"/>
      <c r="G15322" s="24"/>
      <c r="H15322" s="24"/>
      <c r="I15322" s="24"/>
      <c r="J15322" s="24"/>
      <c r="K15322" s="24"/>
      <c r="L15322" s="24"/>
      <c r="M15322" s="24"/>
      <c r="N15322" s="24"/>
      <c r="O15322" s="24"/>
      <c r="P15322" s="24"/>
      <c r="Q15322" s="24"/>
      <c r="R15322" s="24"/>
      <c r="S15322" s="24"/>
      <c r="T15322" s="24"/>
      <c r="U15322" s="24"/>
      <c r="V15322" s="24"/>
      <c r="W15322" s="24"/>
      <c r="X15322" s="24"/>
      <c r="Y15322" s="24"/>
      <c r="Z15322" s="24"/>
      <c r="AA15322" s="24"/>
    </row>
    <row r="15323">
      <c r="A15323" s="24"/>
      <c r="B15323" s="25"/>
      <c r="C15323" s="24"/>
      <c r="D15323" s="26"/>
      <c r="E15323" s="24"/>
      <c r="F15323" s="24"/>
      <c r="G15323" s="24"/>
      <c r="H15323" s="24"/>
      <c r="I15323" s="24"/>
      <c r="J15323" s="24"/>
      <c r="K15323" s="24"/>
      <c r="L15323" s="24"/>
      <c r="M15323" s="24"/>
      <c r="N15323" s="24"/>
      <c r="O15323" s="24"/>
      <c r="P15323" s="24"/>
      <c r="Q15323" s="24"/>
      <c r="R15323" s="24"/>
      <c r="S15323" s="24"/>
      <c r="T15323" s="24"/>
      <c r="U15323" s="24"/>
      <c r="V15323" s="24"/>
      <c r="W15323" s="24"/>
      <c r="X15323" s="24"/>
      <c r="Y15323" s="24"/>
      <c r="Z15323" s="24"/>
      <c r="AA15323" s="24"/>
    </row>
    <row r="15324">
      <c r="A15324" s="24"/>
      <c r="B15324" s="25"/>
      <c r="C15324" s="24"/>
      <c r="D15324" s="26"/>
      <c r="E15324" s="24"/>
      <c r="F15324" s="24"/>
      <c r="G15324" s="24"/>
      <c r="H15324" s="24"/>
      <c r="I15324" s="24"/>
      <c r="J15324" s="24"/>
      <c r="K15324" s="24"/>
      <c r="L15324" s="24"/>
      <c r="M15324" s="24"/>
      <c r="N15324" s="24"/>
      <c r="O15324" s="24"/>
      <c r="P15324" s="24"/>
      <c r="Q15324" s="24"/>
      <c r="R15324" s="24"/>
      <c r="S15324" s="24"/>
      <c r="T15324" s="24"/>
      <c r="U15324" s="24"/>
      <c r="V15324" s="24"/>
      <c r="W15324" s="24"/>
      <c r="X15324" s="24"/>
      <c r="Y15324" s="24"/>
      <c r="Z15324" s="24"/>
      <c r="AA15324" s="24"/>
    </row>
    <row r="15325">
      <c r="A15325" s="24"/>
      <c r="B15325" s="25"/>
      <c r="C15325" s="24"/>
      <c r="D15325" s="26"/>
      <c r="E15325" s="24"/>
      <c r="F15325" s="24"/>
      <c r="G15325" s="24"/>
      <c r="H15325" s="24"/>
      <c r="I15325" s="24"/>
      <c r="J15325" s="24"/>
      <c r="K15325" s="24"/>
      <c r="L15325" s="24"/>
      <c r="M15325" s="24"/>
      <c r="N15325" s="24"/>
      <c r="O15325" s="24"/>
      <c r="P15325" s="24"/>
      <c r="Q15325" s="24"/>
      <c r="R15325" s="24"/>
      <c r="S15325" s="24"/>
      <c r="T15325" s="24"/>
      <c r="U15325" s="24"/>
      <c r="V15325" s="24"/>
      <c r="W15325" s="24"/>
      <c r="X15325" s="24"/>
      <c r="Y15325" s="24"/>
      <c r="Z15325" s="24"/>
      <c r="AA15325" s="24"/>
    </row>
    <row r="15326">
      <c r="A15326" s="24"/>
      <c r="B15326" s="25"/>
      <c r="C15326" s="24"/>
      <c r="D15326" s="26"/>
      <c r="E15326" s="24"/>
      <c r="F15326" s="24"/>
      <c r="G15326" s="24"/>
      <c r="H15326" s="24"/>
      <c r="I15326" s="24"/>
      <c r="J15326" s="24"/>
      <c r="K15326" s="24"/>
      <c r="L15326" s="24"/>
      <c r="M15326" s="24"/>
      <c r="N15326" s="24"/>
      <c r="O15326" s="24"/>
      <c r="P15326" s="24"/>
      <c r="Q15326" s="24"/>
      <c r="R15326" s="24"/>
      <c r="S15326" s="24"/>
      <c r="T15326" s="24"/>
      <c r="U15326" s="24"/>
      <c r="V15326" s="24"/>
      <c r="W15326" s="24"/>
      <c r="X15326" s="24"/>
      <c r="Y15326" s="24"/>
      <c r="Z15326" s="24"/>
      <c r="AA15326" s="24"/>
    </row>
    <row r="15327">
      <c r="A15327" s="24"/>
      <c r="B15327" s="25"/>
      <c r="C15327" s="24"/>
      <c r="D15327" s="26"/>
      <c r="E15327" s="24"/>
      <c r="F15327" s="24"/>
      <c r="G15327" s="24"/>
      <c r="H15327" s="24"/>
      <c r="I15327" s="24"/>
      <c r="J15327" s="24"/>
      <c r="K15327" s="24"/>
      <c r="L15327" s="24"/>
      <c r="M15327" s="24"/>
      <c r="N15327" s="24"/>
      <c r="O15327" s="24"/>
      <c r="P15327" s="24"/>
      <c r="Q15327" s="24"/>
      <c r="R15327" s="24"/>
      <c r="S15327" s="24"/>
      <c r="T15327" s="24"/>
      <c r="U15327" s="24"/>
      <c r="V15327" s="24"/>
      <c r="W15327" s="24"/>
      <c r="X15327" s="24"/>
      <c r="Y15327" s="24"/>
      <c r="Z15327" s="24"/>
      <c r="AA15327" s="24"/>
    </row>
    <row r="15328">
      <c r="A15328" s="24"/>
      <c r="B15328" s="25"/>
      <c r="C15328" s="24"/>
      <c r="D15328" s="26"/>
      <c r="E15328" s="24"/>
      <c r="F15328" s="24"/>
      <c r="G15328" s="24"/>
      <c r="H15328" s="24"/>
      <c r="I15328" s="24"/>
      <c r="J15328" s="24"/>
      <c r="K15328" s="24"/>
      <c r="L15328" s="24"/>
      <c r="M15328" s="24"/>
      <c r="N15328" s="24"/>
      <c r="O15328" s="24"/>
      <c r="P15328" s="24"/>
      <c r="Q15328" s="24"/>
      <c r="R15328" s="24"/>
      <c r="S15328" s="24"/>
      <c r="T15328" s="24"/>
      <c r="U15328" s="24"/>
      <c r="V15328" s="24"/>
      <c r="W15328" s="24"/>
      <c r="X15328" s="24"/>
      <c r="Y15328" s="24"/>
      <c r="Z15328" s="24"/>
      <c r="AA15328" s="24"/>
    </row>
    <row r="15329">
      <c r="A15329" s="24"/>
      <c r="B15329" s="25"/>
      <c r="C15329" s="24"/>
      <c r="D15329" s="26"/>
      <c r="E15329" s="24"/>
      <c r="F15329" s="24"/>
      <c r="G15329" s="24"/>
      <c r="H15329" s="24"/>
      <c r="I15329" s="24"/>
      <c r="J15329" s="24"/>
      <c r="K15329" s="24"/>
      <c r="L15329" s="24"/>
      <c r="M15329" s="24"/>
      <c r="N15329" s="24"/>
      <c r="O15329" s="24"/>
      <c r="P15329" s="24"/>
      <c r="Q15329" s="24"/>
      <c r="R15329" s="24"/>
      <c r="S15329" s="24"/>
      <c r="T15329" s="24"/>
      <c r="U15329" s="24"/>
      <c r="V15329" s="24"/>
      <c r="W15329" s="24"/>
      <c r="X15329" s="24"/>
      <c r="Y15329" s="24"/>
      <c r="Z15329" s="24"/>
      <c r="AA15329" s="24"/>
    </row>
    <row r="15330">
      <c r="A15330" s="24"/>
      <c r="B15330" s="25"/>
      <c r="C15330" s="24"/>
      <c r="D15330" s="26"/>
      <c r="E15330" s="24"/>
      <c r="F15330" s="24"/>
      <c r="G15330" s="24"/>
      <c r="H15330" s="24"/>
      <c r="I15330" s="24"/>
      <c r="J15330" s="24"/>
      <c r="K15330" s="24"/>
      <c r="L15330" s="24"/>
      <c r="M15330" s="24"/>
      <c r="N15330" s="24"/>
      <c r="O15330" s="24"/>
      <c r="P15330" s="24"/>
      <c r="Q15330" s="24"/>
      <c r="R15330" s="24"/>
      <c r="S15330" s="24"/>
      <c r="T15330" s="24"/>
      <c r="U15330" s="24"/>
      <c r="V15330" s="24"/>
      <c r="W15330" s="24"/>
      <c r="X15330" s="24"/>
      <c r="Y15330" s="24"/>
      <c r="Z15330" s="24"/>
      <c r="AA15330" s="24"/>
    </row>
    <row r="15331">
      <c r="A15331" s="24"/>
      <c r="B15331" s="25"/>
      <c r="C15331" s="24"/>
      <c r="D15331" s="26"/>
      <c r="E15331" s="24"/>
      <c r="F15331" s="24"/>
      <c r="G15331" s="24"/>
      <c r="H15331" s="24"/>
      <c r="I15331" s="24"/>
      <c r="J15331" s="24"/>
      <c r="K15331" s="24"/>
      <c r="L15331" s="24"/>
      <c r="M15331" s="24"/>
      <c r="N15331" s="24"/>
      <c r="O15331" s="24"/>
      <c r="P15331" s="24"/>
      <c r="Q15331" s="24"/>
      <c r="R15331" s="24"/>
      <c r="S15331" s="24"/>
      <c r="T15331" s="24"/>
      <c r="U15331" s="24"/>
      <c r="V15331" s="24"/>
      <c r="W15331" s="24"/>
      <c r="X15331" s="24"/>
      <c r="Y15331" s="24"/>
      <c r="Z15331" s="24"/>
      <c r="AA15331" s="24"/>
    </row>
    <row r="15332">
      <c r="A15332" s="24"/>
      <c r="B15332" s="25"/>
      <c r="C15332" s="24"/>
      <c r="D15332" s="26"/>
      <c r="E15332" s="24"/>
      <c r="F15332" s="24"/>
      <c r="G15332" s="24"/>
      <c r="H15332" s="24"/>
      <c r="I15332" s="24"/>
      <c r="J15332" s="24"/>
      <c r="K15332" s="24"/>
      <c r="L15332" s="24"/>
      <c r="M15332" s="24"/>
      <c r="N15332" s="24"/>
      <c r="O15332" s="24"/>
      <c r="P15332" s="24"/>
      <c r="Q15332" s="24"/>
      <c r="R15332" s="24"/>
      <c r="S15332" s="24"/>
      <c r="T15332" s="24"/>
      <c r="U15332" s="24"/>
      <c r="V15332" s="24"/>
      <c r="W15332" s="24"/>
      <c r="X15332" s="24"/>
      <c r="Y15332" s="24"/>
      <c r="Z15332" s="24"/>
      <c r="AA15332" s="24"/>
    </row>
    <row r="15333">
      <c r="A15333" s="24"/>
      <c r="B15333" s="25"/>
      <c r="C15333" s="24"/>
      <c r="D15333" s="26"/>
      <c r="E15333" s="24"/>
      <c r="F15333" s="24"/>
      <c r="G15333" s="24"/>
      <c r="H15333" s="24"/>
      <c r="I15333" s="24"/>
      <c r="J15333" s="24"/>
      <c r="K15333" s="24"/>
      <c r="L15333" s="24"/>
      <c r="M15333" s="24"/>
      <c r="N15333" s="24"/>
      <c r="O15333" s="24"/>
      <c r="P15333" s="24"/>
      <c r="Q15333" s="24"/>
      <c r="R15333" s="24"/>
      <c r="S15333" s="24"/>
      <c r="T15333" s="24"/>
      <c r="U15333" s="24"/>
      <c r="V15333" s="24"/>
      <c r="W15333" s="24"/>
      <c r="X15333" s="24"/>
      <c r="Y15333" s="24"/>
      <c r="Z15333" s="24"/>
      <c r="AA15333" s="24"/>
    </row>
    <row r="15334">
      <c r="A15334" s="24"/>
      <c r="B15334" s="25"/>
      <c r="C15334" s="24"/>
      <c r="D15334" s="26"/>
      <c r="E15334" s="24"/>
      <c r="F15334" s="24"/>
      <c r="G15334" s="24"/>
      <c r="H15334" s="24"/>
      <c r="I15334" s="24"/>
      <c r="J15334" s="24"/>
      <c r="K15334" s="24"/>
      <c r="L15334" s="24"/>
      <c r="M15334" s="24"/>
      <c r="N15334" s="24"/>
      <c r="O15334" s="24"/>
      <c r="P15334" s="24"/>
      <c r="Q15334" s="24"/>
      <c r="R15334" s="24"/>
      <c r="S15334" s="24"/>
      <c r="T15334" s="24"/>
      <c r="U15334" s="24"/>
      <c r="V15334" s="24"/>
      <c r="W15334" s="24"/>
      <c r="X15334" s="24"/>
      <c r="Y15334" s="24"/>
      <c r="Z15334" s="24"/>
      <c r="AA15334" s="24"/>
    </row>
    <row r="15335">
      <c r="A15335" s="24"/>
      <c r="B15335" s="25"/>
      <c r="C15335" s="24"/>
      <c r="D15335" s="26"/>
      <c r="E15335" s="24"/>
      <c r="F15335" s="24"/>
      <c r="G15335" s="24"/>
      <c r="H15335" s="24"/>
      <c r="I15335" s="24"/>
      <c r="J15335" s="24"/>
      <c r="K15335" s="24"/>
      <c r="L15335" s="24"/>
      <c r="M15335" s="24"/>
      <c r="N15335" s="24"/>
      <c r="O15335" s="24"/>
      <c r="P15335" s="24"/>
      <c r="Q15335" s="24"/>
      <c r="R15335" s="24"/>
      <c r="S15335" s="24"/>
      <c r="T15335" s="24"/>
      <c r="U15335" s="24"/>
      <c r="V15335" s="24"/>
      <c r="W15335" s="24"/>
      <c r="X15335" s="24"/>
      <c r="Y15335" s="24"/>
      <c r="Z15335" s="24"/>
      <c r="AA15335" s="24"/>
    </row>
    <row r="15336">
      <c r="A15336" s="24"/>
      <c r="B15336" s="25"/>
      <c r="C15336" s="24"/>
      <c r="D15336" s="26"/>
      <c r="E15336" s="24"/>
      <c r="F15336" s="24"/>
      <c r="G15336" s="24"/>
      <c r="H15336" s="24"/>
      <c r="I15336" s="24"/>
      <c r="J15336" s="24"/>
      <c r="K15336" s="24"/>
      <c r="L15336" s="24"/>
      <c r="M15336" s="24"/>
      <c r="N15336" s="24"/>
      <c r="O15336" s="24"/>
      <c r="P15336" s="24"/>
      <c r="Q15336" s="24"/>
      <c r="R15336" s="24"/>
      <c r="S15336" s="24"/>
      <c r="T15336" s="24"/>
      <c r="U15336" s="24"/>
      <c r="V15336" s="24"/>
      <c r="W15336" s="24"/>
      <c r="X15336" s="24"/>
      <c r="Y15336" s="24"/>
      <c r="Z15336" s="24"/>
      <c r="AA15336" s="24"/>
    </row>
    <row r="15337">
      <c r="A15337" s="24"/>
      <c r="B15337" s="25"/>
      <c r="C15337" s="24"/>
      <c r="D15337" s="26"/>
      <c r="E15337" s="24"/>
      <c r="F15337" s="24"/>
      <c r="G15337" s="24"/>
      <c r="H15337" s="24"/>
      <c r="I15337" s="24"/>
      <c r="J15337" s="24"/>
      <c r="K15337" s="24"/>
      <c r="L15337" s="24"/>
      <c r="M15337" s="24"/>
      <c r="N15337" s="24"/>
      <c r="O15337" s="24"/>
      <c r="P15337" s="24"/>
      <c r="Q15337" s="24"/>
      <c r="R15337" s="24"/>
      <c r="S15337" s="24"/>
      <c r="T15337" s="24"/>
      <c r="U15337" s="24"/>
      <c r="V15337" s="24"/>
      <c r="W15337" s="24"/>
      <c r="X15337" s="24"/>
      <c r="Y15337" s="24"/>
      <c r="Z15337" s="24"/>
      <c r="AA15337" s="24"/>
    </row>
    <row r="15338">
      <c r="A15338" s="24"/>
      <c r="B15338" s="25"/>
      <c r="C15338" s="24"/>
      <c r="D15338" s="26"/>
      <c r="E15338" s="24"/>
      <c r="F15338" s="24"/>
      <c r="G15338" s="24"/>
      <c r="H15338" s="24"/>
      <c r="I15338" s="24"/>
      <c r="J15338" s="24"/>
      <c r="K15338" s="24"/>
      <c r="L15338" s="24"/>
      <c r="M15338" s="24"/>
      <c r="N15338" s="24"/>
      <c r="O15338" s="24"/>
      <c r="P15338" s="24"/>
      <c r="Q15338" s="24"/>
      <c r="R15338" s="24"/>
      <c r="S15338" s="24"/>
      <c r="T15338" s="24"/>
      <c r="U15338" s="24"/>
      <c r="V15338" s="24"/>
      <c r="W15338" s="24"/>
      <c r="X15338" s="24"/>
      <c r="Y15338" s="24"/>
      <c r="Z15338" s="24"/>
      <c r="AA15338" s="24"/>
    </row>
    <row r="15339">
      <c r="A15339" s="24"/>
      <c r="B15339" s="25"/>
      <c r="C15339" s="24"/>
      <c r="D15339" s="26"/>
      <c r="E15339" s="24"/>
      <c r="F15339" s="24"/>
      <c r="G15339" s="24"/>
      <c r="H15339" s="24"/>
      <c r="I15339" s="24"/>
      <c r="J15339" s="24"/>
      <c r="K15339" s="24"/>
      <c r="L15339" s="24"/>
      <c r="M15339" s="24"/>
      <c r="N15339" s="24"/>
      <c r="O15339" s="24"/>
      <c r="P15339" s="24"/>
      <c r="Q15339" s="24"/>
      <c r="R15339" s="24"/>
      <c r="S15339" s="24"/>
      <c r="T15339" s="24"/>
      <c r="U15339" s="24"/>
      <c r="V15339" s="24"/>
      <c r="W15339" s="24"/>
      <c r="X15339" s="24"/>
      <c r="Y15339" s="24"/>
      <c r="Z15339" s="24"/>
      <c r="AA15339" s="24"/>
    </row>
    <row r="15340">
      <c r="A15340" s="24"/>
      <c r="B15340" s="25"/>
      <c r="C15340" s="24"/>
      <c r="D15340" s="26"/>
      <c r="E15340" s="24"/>
      <c r="F15340" s="24"/>
      <c r="G15340" s="24"/>
      <c r="H15340" s="24"/>
      <c r="I15340" s="24"/>
      <c r="J15340" s="24"/>
      <c r="K15340" s="24"/>
      <c r="L15340" s="24"/>
      <c r="M15340" s="24"/>
      <c r="N15340" s="24"/>
      <c r="O15340" s="24"/>
      <c r="P15340" s="24"/>
      <c r="Q15340" s="24"/>
      <c r="R15340" s="24"/>
      <c r="S15340" s="24"/>
      <c r="T15340" s="24"/>
      <c r="U15340" s="24"/>
      <c r="V15340" s="24"/>
      <c r="W15340" s="24"/>
      <c r="X15340" s="24"/>
      <c r="Y15340" s="24"/>
      <c r="Z15340" s="24"/>
      <c r="AA15340" s="24"/>
    </row>
    <row r="15341">
      <c r="A15341" s="24"/>
      <c r="B15341" s="25"/>
      <c r="C15341" s="24"/>
      <c r="D15341" s="26"/>
      <c r="E15341" s="24"/>
      <c r="F15341" s="24"/>
      <c r="G15341" s="24"/>
      <c r="H15341" s="24"/>
      <c r="I15341" s="24"/>
      <c r="J15341" s="24"/>
      <c r="K15341" s="24"/>
      <c r="L15341" s="24"/>
      <c r="M15341" s="24"/>
      <c r="N15341" s="24"/>
      <c r="O15341" s="24"/>
      <c r="P15341" s="24"/>
      <c r="Q15341" s="24"/>
      <c r="R15341" s="24"/>
      <c r="S15341" s="24"/>
      <c r="T15341" s="24"/>
      <c r="U15341" s="24"/>
      <c r="V15341" s="24"/>
      <c r="W15341" s="24"/>
      <c r="X15341" s="24"/>
      <c r="Y15341" s="24"/>
      <c r="Z15341" s="24"/>
      <c r="AA15341" s="24"/>
    </row>
    <row r="15342">
      <c r="A15342" s="24"/>
      <c r="B15342" s="25"/>
      <c r="C15342" s="24"/>
      <c r="D15342" s="26"/>
      <c r="E15342" s="24"/>
      <c r="F15342" s="24"/>
      <c r="G15342" s="24"/>
      <c r="H15342" s="24"/>
      <c r="I15342" s="24"/>
      <c r="J15342" s="24"/>
      <c r="K15342" s="24"/>
      <c r="L15342" s="24"/>
      <c r="M15342" s="24"/>
      <c r="N15342" s="24"/>
      <c r="O15342" s="24"/>
      <c r="P15342" s="24"/>
      <c r="Q15342" s="24"/>
      <c r="R15342" s="24"/>
      <c r="S15342" s="24"/>
      <c r="T15342" s="24"/>
      <c r="U15342" s="24"/>
      <c r="V15342" s="24"/>
      <c r="W15342" s="24"/>
      <c r="X15342" s="24"/>
      <c r="Y15342" s="24"/>
      <c r="Z15342" s="24"/>
      <c r="AA15342" s="24"/>
    </row>
    <row r="15343">
      <c r="A15343" s="24"/>
      <c r="B15343" s="25"/>
      <c r="C15343" s="24"/>
      <c r="D15343" s="26"/>
      <c r="E15343" s="24"/>
      <c r="F15343" s="24"/>
      <c r="G15343" s="24"/>
      <c r="H15343" s="24"/>
      <c r="I15343" s="24"/>
      <c r="J15343" s="24"/>
      <c r="K15343" s="24"/>
      <c r="L15343" s="24"/>
      <c r="M15343" s="24"/>
      <c r="N15343" s="24"/>
      <c r="O15343" s="24"/>
      <c r="P15343" s="24"/>
      <c r="Q15343" s="24"/>
      <c r="R15343" s="24"/>
      <c r="S15343" s="24"/>
      <c r="T15343" s="24"/>
      <c r="U15343" s="24"/>
      <c r="V15343" s="24"/>
      <c r="W15343" s="24"/>
      <c r="X15343" s="24"/>
      <c r="Y15343" s="24"/>
      <c r="Z15343" s="24"/>
      <c r="AA15343" s="24"/>
    </row>
    <row r="15344">
      <c r="A15344" s="24"/>
      <c r="B15344" s="25"/>
      <c r="C15344" s="24"/>
      <c r="D15344" s="26"/>
      <c r="E15344" s="24"/>
      <c r="F15344" s="24"/>
      <c r="G15344" s="24"/>
      <c r="H15344" s="24"/>
      <c r="I15344" s="24"/>
      <c r="J15344" s="24"/>
      <c r="K15344" s="24"/>
      <c r="L15344" s="24"/>
      <c r="M15344" s="24"/>
      <c r="N15344" s="24"/>
      <c r="O15344" s="24"/>
      <c r="P15344" s="24"/>
      <c r="Q15344" s="24"/>
      <c r="R15344" s="24"/>
      <c r="S15344" s="24"/>
      <c r="T15344" s="24"/>
      <c r="U15344" s="24"/>
      <c r="V15344" s="24"/>
      <c r="W15344" s="24"/>
      <c r="X15344" s="24"/>
      <c r="Y15344" s="24"/>
      <c r="Z15344" s="24"/>
      <c r="AA15344" s="24"/>
    </row>
    <row r="15345">
      <c r="A15345" s="24"/>
      <c r="B15345" s="25"/>
      <c r="C15345" s="24"/>
      <c r="D15345" s="26"/>
      <c r="E15345" s="24"/>
      <c r="F15345" s="24"/>
      <c r="G15345" s="24"/>
      <c r="H15345" s="24"/>
      <c r="I15345" s="24"/>
      <c r="J15345" s="24"/>
      <c r="K15345" s="24"/>
      <c r="L15345" s="24"/>
      <c r="M15345" s="24"/>
      <c r="N15345" s="24"/>
      <c r="O15345" s="24"/>
      <c r="P15345" s="24"/>
      <c r="Q15345" s="24"/>
      <c r="R15345" s="24"/>
      <c r="S15345" s="24"/>
      <c r="T15345" s="24"/>
      <c r="U15345" s="24"/>
      <c r="V15345" s="24"/>
      <c r="W15345" s="24"/>
      <c r="X15345" s="24"/>
      <c r="Y15345" s="24"/>
      <c r="Z15345" s="24"/>
      <c r="AA15345" s="24"/>
    </row>
    <row r="15346">
      <c r="A15346" s="24"/>
      <c r="B15346" s="25"/>
      <c r="C15346" s="24"/>
      <c r="D15346" s="26"/>
      <c r="E15346" s="24"/>
      <c r="F15346" s="24"/>
      <c r="G15346" s="24"/>
      <c r="H15346" s="24"/>
      <c r="I15346" s="24"/>
      <c r="J15346" s="24"/>
      <c r="K15346" s="24"/>
      <c r="L15346" s="24"/>
      <c r="M15346" s="24"/>
      <c r="N15346" s="24"/>
      <c r="O15346" s="24"/>
      <c r="P15346" s="24"/>
      <c r="Q15346" s="24"/>
      <c r="R15346" s="24"/>
      <c r="S15346" s="24"/>
      <c r="T15346" s="24"/>
      <c r="U15346" s="24"/>
      <c r="V15346" s="24"/>
      <c r="W15346" s="24"/>
      <c r="X15346" s="24"/>
      <c r="Y15346" s="24"/>
      <c r="Z15346" s="24"/>
      <c r="AA15346" s="24"/>
    </row>
    <row r="15347">
      <c r="A15347" s="24"/>
      <c r="B15347" s="25"/>
      <c r="C15347" s="24"/>
      <c r="D15347" s="26"/>
      <c r="E15347" s="24"/>
      <c r="F15347" s="24"/>
      <c r="G15347" s="24"/>
      <c r="H15347" s="24"/>
      <c r="I15347" s="24"/>
      <c r="J15347" s="24"/>
      <c r="K15347" s="24"/>
      <c r="L15347" s="24"/>
      <c r="M15347" s="24"/>
      <c r="N15347" s="24"/>
      <c r="O15347" s="24"/>
      <c r="P15347" s="24"/>
      <c r="Q15347" s="24"/>
      <c r="R15347" s="24"/>
      <c r="S15347" s="24"/>
      <c r="T15347" s="24"/>
      <c r="U15347" s="24"/>
      <c r="V15347" s="24"/>
      <c r="W15347" s="24"/>
      <c r="X15347" s="24"/>
      <c r="Y15347" s="24"/>
      <c r="Z15347" s="24"/>
      <c r="AA15347" s="24"/>
    </row>
    <row r="15348">
      <c r="A15348" s="24"/>
      <c r="B15348" s="25"/>
      <c r="C15348" s="24"/>
      <c r="D15348" s="26"/>
      <c r="E15348" s="24"/>
      <c r="F15348" s="24"/>
      <c r="G15348" s="24"/>
      <c r="H15348" s="24"/>
      <c r="I15348" s="24"/>
      <c r="J15348" s="24"/>
      <c r="K15348" s="24"/>
      <c r="L15348" s="24"/>
      <c r="M15348" s="24"/>
      <c r="N15348" s="24"/>
      <c r="O15348" s="24"/>
      <c r="P15348" s="24"/>
      <c r="Q15348" s="24"/>
      <c r="R15348" s="24"/>
      <c r="S15348" s="24"/>
      <c r="T15348" s="24"/>
      <c r="U15348" s="24"/>
      <c r="V15348" s="24"/>
      <c r="W15348" s="24"/>
      <c r="X15348" s="24"/>
      <c r="Y15348" s="24"/>
      <c r="Z15348" s="24"/>
      <c r="AA15348" s="24"/>
    </row>
    <row r="15349">
      <c r="A15349" s="24"/>
      <c r="B15349" s="25"/>
      <c r="C15349" s="24"/>
      <c r="D15349" s="26"/>
      <c r="E15349" s="24"/>
      <c r="F15349" s="24"/>
      <c r="G15349" s="24"/>
      <c r="H15349" s="24"/>
      <c r="I15349" s="24"/>
      <c r="J15349" s="24"/>
      <c r="K15349" s="24"/>
      <c r="L15349" s="24"/>
      <c r="M15349" s="24"/>
      <c r="N15349" s="24"/>
      <c r="O15349" s="24"/>
      <c r="P15349" s="24"/>
      <c r="Q15349" s="24"/>
      <c r="R15349" s="24"/>
      <c r="S15349" s="24"/>
      <c r="T15349" s="24"/>
      <c r="U15349" s="24"/>
      <c r="V15349" s="24"/>
      <c r="W15349" s="24"/>
      <c r="X15349" s="24"/>
      <c r="Y15349" s="24"/>
      <c r="Z15349" s="24"/>
      <c r="AA15349" s="24"/>
    </row>
    <row r="15350">
      <c r="A15350" s="24"/>
      <c r="B15350" s="25"/>
      <c r="C15350" s="24"/>
      <c r="D15350" s="26"/>
      <c r="E15350" s="24"/>
      <c r="F15350" s="24"/>
      <c r="G15350" s="24"/>
      <c r="H15350" s="24"/>
      <c r="I15350" s="24"/>
      <c r="J15350" s="24"/>
      <c r="K15350" s="24"/>
      <c r="L15350" s="24"/>
      <c r="M15350" s="24"/>
      <c r="N15350" s="24"/>
      <c r="O15350" s="24"/>
      <c r="P15350" s="24"/>
      <c r="Q15350" s="24"/>
      <c r="R15350" s="24"/>
      <c r="S15350" s="24"/>
      <c r="T15350" s="24"/>
      <c r="U15350" s="24"/>
      <c r="V15350" s="24"/>
      <c r="W15350" s="24"/>
      <c r="X15350" s="24"/>
      <c r="Y15350" s="24"/>
      <c r="Z15350" s="24"/>
      <c r="AA15350" s="24"/>
    </row>
    <row r="15351">
      <c r="A15351" s="24"/>
      <c r="B15351" s="25"/>
      <c r="C15351" s="24"/>
      <c r="D15351" s="26"/>
      <c r="E15351" s="24"/>
      <c r="F15351" s="24"/>
      <c r="G15351" s="24"/>
      <c r="H15351" s="24"/>
      <c r="I15351" s="24"/>
      <c r="J15351" s="24"/>
      <c r="K15351" s="24"/>
      <c r="L15351" s="24"/>
      <c r="M15351" s="24"/>
      <c r="N15351" s="24"/>
      <c r="O15351" s="24"/>
      <c r="P15351" s="24"/>
      <c r="Q15351" s="24"/>
      <c r="R15351" s="24"/>
      <c r="S15351" s="24"/>
      <c r="T15351" s="24"/>
      <c r="U15351" s="24"/>
      <c r="V15351" s="24"/>
      <c r="W15351" s="24"/>
      <c r="X15351" s="24"/>
      <c r="Y15351" s="24"/>
      <c r="Z15351" s="24"/>
      <c r="AA15351" s="24"/>
    </row>
    <row r="15352">
      <c r="A15352" s="24"/>
      <c r="B15352" s="25"/>
      <c r="C15352" s="24"/>
      <c r="D15352" s="26"/>
      <c r="E15352" s="24"/>
      <c r="F15352" s="24"/>
      <c r="G15352" s="24"/>
      <c r="H15352" s="24"/>
      <c r="I15352" s="24"/>
      <c r="J15352" s="24"/>
      <c r="K15352" s="24"/>
      <c r="L15352" s="24"/>
      <c r="M15352" s="24"/>
      <c r="N15352" s="24"/>
      <c r="O15352" s="24"/>
      <c r="P15352" s="24"/>
      <c r="Q15352" s="24"/>
      <c r="R15352" s="24"/>
      <c r="S15352" s="24"/>
      <c r="T15352" s="24"/>
      <c r="U15352" s="24"/>
      <c r="V15352" s="24"/>
      <c r="W15352" s="24"/>
      <c r="X15352" s="24"/>
      <c r="Y15352" s="24"/>
      <c r="Z15352" s="24"/>
      <c r="AA15352" s="24"/>
    </row>
    <row r="15353">
      <c r="A15353" s="24"/>
      <c r="B15353" s="25"/>
      <c r="C15353" s="24"/>
      <c r="D15353" s="26"/>
      <c r="E15353" s="24"/>
      <c r="F15353" s="24"/>
      <c r="G15353" s="24"/>
      <c r="H15353" s="24"/>
      <c r="I15353" s="24"/>
      <c r="J15353" s="24"/>
      <c r="K15353" s="24"/>
      <c r="L15353" s="24"/>
      <c r="M15353" s="24"/>
      <c r="N15353" s="24"/>
      <c r="O15353" s="24"/>
      <c r="P15353" s="24"/>
      <c r="Q15353" s="24"/>
      <c r="R15353" s="24"/>
      <c r="S15353" s="24"/>
      <c r="T15353" s="24"/>
      <c r="U15353" s="24"/>
      <c r="V15353" s="24"/>
      <c r="W15353" s="24"/>
      <c r="X15353" s="24"/>
      <c r="Y15353" s="24"/>
      <c r="Z15353" s="24"/>
      <c r="AA15353" s="24"/>
    </row>
    <row r="15354">
      <c r="A15354" s="24"/>
      <c r="B15354" s="25"/>
      <c r="C15354" s="24"/>
      <c r="D15354" s="26"/>
      <c r="E15354" s="24"/>
      <c r="F15354" s="24"/>
      <c r="G15354" s="24"/>
      <c r="H15354" s="24"/>
      <c r="I15354" s="24"/>
      <c r="J15354" s="24"/>
      <c r="K15354" s="24"/>
      <c r="L15354" s="24"/>
      <c r="M15354" s="24"/>
      <c r="N15354" s="24"/>
      <c r="O15354" s="24"/>
      <c r="P15354" s="24"/>
      <c r="Q15354" s="24"/>
      <c r="R15354" s="24"/>
      <c r="S15354" s="24"/>
      <c r="T15354" s="24"/>
      <c r="U15354" s="24"/>
      <c r="V15354" s="24"/>
      <c r="W15354" s="24"/>
      <c r="X15354" s="24"/>
      <c r="Y15354" s="24"/>
      <c r="Z15354" s="24"/>
      <c r="AA15354" s="24"/>
    </row>
    <row r="15355">
      <c r="A15355" s="24"/>
      <c r="B15355" s="25"/>
      <c r="C15355" s="24"/>
      <c r="D15355" s="26"/>
      <c r="E15355" s="24"/>
      <c r="F15355" s="24"/>
      <c r="G15355" s="24"/>
      <c r="H15355" s="24"/>
      <c r="I15355" s="24"/>
      <c r="J15355" s="24"/>
      <c r="K15355" s="24"/>
      <c r="L15355" s="24"/>
      <c r="M15355" s="24"/>
      <c r="N15355" s="24"/>
      <c r="O15355" s="24"/>
      <c r="P15355" s="24"/>
      <c r="Q15355" s="24"/>
      <c r="R15355" s="24"/>
      <c r="S15355" s="24"/>
      <c r="T15355" s="24"/>
      <c r="U15355" s="24"/>
      <c r="V15355" s="24"/>
      <c r="W15355" s="24"/>
      <c r="X15355" s="24"/>
      <c r="Y15355" s="24"/>
      <c r="Z15355" s="24"/>
      <c r="AA15355" s="24"/>
    </row>
    <row r="15356">
      <c r="A15356" s="24"/>
      <c r="B15356" s="25"/>
      <c r="C15356" s="24"/>
      <c r="D15356" s="26"/>
      <c r="E15356" s="24"/>
      <c r="F15356" s="24"/>
      <c r="G15356" s="24"/>
      <c r="H15356" s="24"/>
      <c r="I15356" s="24"/>
      <c r="J15356" s="24"/>
      <c r="K15356" s="24"/>
      <c r="L15356" s="24"/>
      <c r="M15356" s="24"/>
      <c r="N15356" s="24"/>
      <c r="O15356" s="24"/>
      <c r="P15356" s="24"/>
      <c r="Q15356" s="24"/>
      <c r="R15356" s="24"/>
      <c r="S15356" s="24"/>
      <c r="T15356" s="24"/>
      <c r="U15356" s="24"/>
      <c r="V15356" s="24"/>
      <c r="W15356" s="24"/>
      <c r="X15356" s="24"/>
      <c r="Y15356" s="24"/>
      <c r="Z15356" s="24"/>
      <c r="AA15356" s="24"/>
    </row>
    <row r="15357">
      <c r="A15357" s="24"/>
      <c r="B15357" s="25"/>
      <c r="C15357" s="24"/>
      <c r="D15357" s="26"/>
      <c r="E15357" s="24"/>
      <c r="F15357" s="24"/>
      <c r="G15357" s="24"/>
      <c r="H15357" s="24"/>
      <c r="I15357" s="24"/>
      <c r="J15357" s="24"/>
      <c r="K15357" s="24"/>
      <c r="L15357" s="24"/>
      <c r="M15357" s="24"/>
      <c r="N15357" s="24"/>
      <c r="O15357" s="24"/>
      <c r="P15357" s="24"/>
      <c r="Q15357" s="24"/>
      <c r="R15357" s="24"/>
      <c r="S15357" s="24"/>
      <c r="T15357" s="24"/>
      <c r="U15357" s="24"/>
      <c r="V15357" s="24"/>
      <c r="W15357" s="24"/>
      <c r="X15357" s="24"/>
      <c r="Y15357" s="24"/>
      <c r="Z15357" s="24"/>
      <c r="AA15357" s="24"/>
    </row>
    <row r="15358">
      <c r="A15358" s="24"/>
      <c r="B15358" s="25"/>
      <c r="C15358" s="24"/>
      <c r="D15358" s="26"/>
      <c r="E15358" s="24"/>
      <c r="F15358" s="24"/>
      <c r="G15358" s="24"/>
      <c r="H15358" s="24"/>
      <c r="I15358" s="24"/>
      <c r="J15358" s="24"/>
      <c r="K15358" s="24"/>
      <c r="L15358" s="24"/>
      <c r="M15358" s="24"/>
      <c r="N15358" s="24"/>
      <c r="O15358" s="24"/>
      <c r="P15358" s="24"/>
      <c r="Q15358" s="24"/>
      <c r="R15358" s="24"/>
      <c r="S15358" s="24"/>
      <c r="T15358" s="24"/>
      <c r="U15358" s="24"/>
      <c r="V15358" s="24"/>
      <c r="W15358" s="24"/>
      <c r="X15358" s="24"/>
      <c r="Y15358" s="24"/>
      <c r="Z15358" s="24"/>
      <c r="AA15358" s="24"/>
    </row>
    <row r="15359">
      <c r="A15359" s="24"/>
      <c r="B15359" s="25"/>
      <c r="C15359" s="24"/>
      <c r="D15359" s="26"/>
      <c r="E15359" s="24"/>
      <c r="F15359" s="24"/>
      <c r="G15359" s="24"/>
      <c r="H15359" s="24"/>
      <c r="I15359" s="24"/>
      <c r="J15359" s="24"/>
      <c r="K15359" s="24"/>
      <c r="L15359" s="24"/>
      <c r="M15359" s="24"/>
      <c r="N15359" s="24"/>
      <c r="O15359" s="24"/>
      <c r="P15359" s="24"/>
      <c r="Q15359" s="24"/>
      <c r="R15359" s="24"/>
      <c r="S15359" s="24"/>
      <c r="T15359" s="24"/>
      <c r="U15359" s="24"/>
      <c r="V15359" s="24"/>
      <c r="W15359" s="24"/>
      <c r="X15359" s="24"/>
      <c r="Y15359" s="24"/>
      <c r="Z15359" s="24"/>
      <c r="AA15359" s="24"/>
    </row>
    <row r="15360">
      <c r="A15360" s="24"/>
      <c r="B15360" s="25"/>
      <c r="C15360" s="24"/>
      <c r="D15360" s="26"/>
      <c r="E15360" s="24"/>
      <c r="F15360" s="24"/>
      <c r="G15360" s="24"/>
      <c r="H15360" s="24"/>
      <c r="I15360" s="24"/>
      <c r="J15360" s="24"/>
      <c r="K15360" s="24"/>
      <c r="L15360" s="24"/>
      <c r="M15360" s="24"/>
      <c r="N15360" s="24"/>
      <c r="O15360" s="24"/>
      <c r="P15360" s="24"/>
      <c r="Q15360" s="24"/>
      <c r="R15360" s="24"/>
      <c r="S15360" s="24"/>
      <c r="T15360" s="24"/>
      <c r="U15360" s="24"/>
      <c r="V15360" s="24"/>
      <c r="W15360" s="24"/>
      <c r="X15360" s="24"/>
      <c r="Y15360" s="24"/>
      <c r="Z15360" s="24"/>
      <c r="AA15360" s="24"/>
    </row>
    <row r="15361">
      <c r="A15361" s="24"/>
      <c r="B15361" s="25"/>
      <c r="C15361" s="24"/>
      <c r="D15361" s="26"/>
      <c r="E15361" s="24"/>
      <c r="F15361" s="24"/>
      <c r="G15361" s="24"/>
      <c r="H15361" s="24"/>
      <c r="I15361" s="24"/>
      <c r="J15361" s="24"/>
      <c r="K15361" s="24"/>
      <c r="L15361" s="24"/>
      <c r="M15361" s="24"/>
      <c r="N15361" s="24"/>
      <c r="O15361" s="24"/>
      <c r="P15361" s="24"/>
      <c r="Q15361" s="24"/>
      <c r="R15361" s="24"/>
      <c r="S15361" s="24"/>
      <c r="T15361" s="24"/>
      <c r="U15361" s="24"/>
      <c r="V15361" s="24"/>
      <c r="W15361" s="24"/>
      <c r="X15361" s="24"/>
      <c r="Y15361" s="24"/>
      <c r="Z15361" s="24"/>
      <c r="AA15361" s="24"/>
    </row>
    <row r="15362">
      <c r="A15362" s="24"/>
      <c r="B15362" s="25"/>
      <c r="C15362" s="24"/>
      <c r="D15362" s="26"/>
      <c r="E15362" s="24"/>
      <c r="F15362" s="24"/>
      <c r="G15362" s="24"/>
      <c r="H15362" s="24"/>
      <c r="I15362" s="24"/>
      <c r="J15362" s="24"/>
      <c r="K15362" s="24"/>
      <c r="L15362" s="24"/>
      <c r="M15362" s="24"/>
      <c r="N15362" s="24"/>
      <c r="O15362" s="24"/>
      <c r="P15362" s="24"/>
      <c r="Q15362" s="24"/>
      <c r="R15362" s="24"/>
      <c r="S15362" s="24"/>
      <c r="T15362" s="24"/>
      <c r="U15362" s="24"/>
      <c r="V15362" s="24"/>
      <c r="W15362" s="24"/>
      <c r="X15362" s="24"/>
      <c r="Y15362" s="24"/>
      <c r="Z15362" s="24"/>
      <c r="AA15362" s="24"/>
    </row>
    <row r="15363">
      <c r="A15363" s="24"/>
      <c r="B15363" s="25"/>
      <c r="C15363" s="24"/>
      <c r="D15363" s="26"/>
      <c r="E15363" s="24"/>
      <c r="F15363" s="24"/>
      <c r="G15363" s="24"/>
      <c r="H15363" s="24"/>
      <c r="I15363" s="24"/>
      <c r="J15363" s="24"/>
      <c r="K15363" s="24"/>
      <c r="L15363" s="24"/>
      <c r="M15363" s="24"/>
      <c r="N15363" s="24"/>
      <c r="O15363" s="24"/>
      <c r="P15363" s="24"/>
      <c r="Q15363" s="24"/>
      <c r="R15363" s="24"/>
      <c r="S15363" s="24"/>
      <c r="T15363" s="24"/>
      <c r="U15363" s="24"/>
      <c r="V15363" s="24"/>
      <c r="W15363" s="24"/>
      <c r="X15363" s="24"/>
      <c r="Y15363" s="24"/>
      <c r="Z15363" s="24"/>
      <c r="AA15363" s="24"/>
    </row>
    <row r="15364">
      <c r="A15364" s="24"/>
      <c r="B15364" s="25"/>
      <c r="C15364" s="24"/>
      <c r="D15364" s="26"/>
      <c r="E15364" s="24"/>
      <c r="F15364" s="24"/>
      <c r="G15364" s="24"/>
      <c r="H15364" s="24"/>
      <c r="I15364" s="24"/>
      <c r="J15364" s="24"/>
      <c r="K15364" s="24"/>
      <c r="L15364" s="24"/>
      <c r="M15364" s="24"/>
      <c r="N15364" s="24"/>
      <c r="O15364" s="24"/>
      <c r="P15364" s="24"/>
      <c r="Q15364" s="24"/>
      <c r="R15364" s="24"/>
      <c r="S15364" s="24"/>
      <c r="T15364" s="24"/>
      <c r="U15364" s="24"/>
      <c r="V15364" s="24"/>
      <c r="W15364" s="24"/>
      <c r="X15364" s="24"/>
      <c r="Y15364" s="24"/>
      <c r="Z15364" s="24"/>
      <c r="AA15364" s="24"/>
    </row>
    <row r="15365">
      <c r="A15365" s="24"/>
      <c r="B15365" s="25"/>
      <c r="C15365" s="24"/>
      <c r="D15365" s="26"/>
      <c r="E15365" s="24"/>
      <c r="F15365" s="24"/>
      <c r="G15365" s="24"/>
      <c r="H15365" s="24"/>
      <c r="I15365" s="24"/>
      <c r="J15365" s="24"/>
      <c r="K15365" s="24"/>
      <c r="L15365" s="24"/>
      <c r="M15365" s="24"/>
      <c r="N15365" s="24"/>
      <c r="O15365" s="24"/>
      <c r="P15365" s="24"/>
      <c r="Q15365" s="24"/>
      <c r="R15365" s="24"/>
      <c r="S15365" s="24"/>
      <c r="T15365" s="24"/>
      <c r="U15365" s="24"/>
      <c r="V15365" s="24"/>
      <c r="W15365" s="24"/>
      <c r="X15365" s="24"/>
      <c r="Y15365" s="24"/>
      <c r="Z15365" s="24"/>
      <c r="AA15365" s="24"/>
    </row>
    <row r="15366">
      <c r="A15366" s="24"/>
      <c r="B15366" s="25"/>
      <c r="C15366" s="24"/>
      <c r="D15366" s="26"/>
      <c r="E15366" s="24"/>
      <c r="F15366" s="24"/>
      <c r="G15366" s="24"/>
      <c r="H15366" s="24"/>
      <c r="I15366" s="24"/>
      <c r="J15366" s="24"/>
      <c r="K15366" s="24"/>
      <c r="L15366" s="24"/>
      <c r="M15366" s="24"/>
      <c r="N15366" s="24"/>
      <c r="O15366" s="24"/>
      <c r="P15366" s="24"/>
      <c r="Q15366" s="24"/>
      <c r="R15366" s="24"/>
      <c r="S15366" s="24"/>
      <c r="T15366" s="24"/>
      <c r="U15366" s="24"/>
      <c r="V15366" s="24"/>
      <c r="W15366" s="24"/>
      <c r="X15366" s="24"/>
      <c r="Y15366" s="24"/>
      <c r="Z15366" s="24"/>
      <c r="AA15366" s="24"/>
    </row>
    <row r="15367">
      <c r="A15367" s="24"/>
      <c r="B15367" s="25"/>
      <c r="C15367" s="24"/>
      <c r="D15367" s="26"/>
      <c r="E15367" s="24"/>
      <c r="F15367" s="24"/>
      <c r="G15367" s="24"/>
      <c r="H15367" s="24"/>
      <c r="I15367" s="24"/>
      <c r="J15367" s="24"/>
      <c r="K15367" s="24"/>
      <c r="L15367" s="24"/>
      <c r="M15367" s="24"/>
      <c r="N15367" s="24"/>
      <c r="O15367" s="24"/>
      <c r="P15367" s="24"/>
      <c r="Q15367" s="24"/>
      <c r="R15367" s="24"/>
      <c r="S15367" s="24"/>
      <c r="T15367" s="24"/>
      <c r="U15367" s="24"/>
      <c r="V15367" s="24"/>
      <c r="W15367" s="24"/>
      <c r="X15367" s="24"/>
      <c r="Y15367" s="24"/>
      <c r="Z15367" s="24"/>
      <c r="AA15367" s="24"/>
    </row>
    <row r="15368">
      <c r="A15368" s="24"/>
      <c r="B15368" s="25"/>
      <c r="C15368" s="24"/>
      <c r="D15368" s="26"/>
      <c r="E15368" s="24"/>
      <c r="F15368" s="24"/>
      <c r="G15368" s="24"/>
      <c r="H15368" s="24"/>
      <c r="I15368" s="24"/>
      <c r="J15368" s="24"/>
      <c r="K15368" s="24"/>
      <c r="L15368" s="24"/>
      <c r="M15368" s="24"/>
      <c r="N15368" s="24"/>
      <c r="O15368" s="24"/>
      <c r="P15368" s="24"/>
      <c r="Q15368" s="24"/>
      <c r="R15368" s="24"/>
      <c r="S15368" s="24"/>
      <c r="T15368" s="24"/>
      <c r="U15368" s="24"/>
      <c r="V15368" s="24"/>
      <c r="W15368" s="24"/>
      <c r="X15368" s="24"/>
      <c r="Y15368" s="24"/>
      <c r="Z15368" s="24"/>
      <c r="AA15368" s="24"/>
    </row>
    <row r="15369">
      <c r="A15369" s="24"/>
      <c r="B15369" s="25"/>
      <c r="C15369" s="24"/>
      <c r="D15369" s="26"/>
      <c r="E15369" s="24"/>
      <c r="F15369" s="24"/>
      <c r="G15369" s="24"/>
      <c r="H15369" s="24"/>
      <c r="I15369" s="24"/>
      <c r="J15369" s="24"/>
      <c r="K15369" s="24"/>
      <c r="L15369" s="24"/>
      <c r="M15369" s="24"/>
      <c r="N15369" s="24"/>
      <c r="O15369" s="24"/>
      <c r="P15369" s="24"/>
      <c r="Q15369" s="24"/>
      <c r="R15369" s="24"/>
      <c r="S15369" s="24"/>
      <c r="T15369" s="24"/>
      <c r="U15369" s="24"/>
      <c r="V15369" s="24"/>
      <c r="W15369" s="24"/>
      <c r="X15369" s="24"/>
      <c r="Y15369" s="24"/>
      <c r="Z15369" s="24"/>
      <c r="AA15369" s="24"/>
    </row>
    <row r="15370">
      <c r="A15370" s="24"/>
      <c r="B15370" s="25"/>
      <c r="C15370" s="24"/>
      <c r="D15370" s="26"/>
      <c r="E15370" s="24"/>
      <c r="F15370" s="24"/>
      <c r="G15370" s="24"/>
      <c r="H15370" s="24"/>
      <c r="I15370" s="24"/>
      <c r="J15370" s="24"/>
      <c r="K15370" s="24"/>
      <c r="L15370" s="24"/>
      <c r="M15370" s="24"/>
      <c r="N15370" s="24"/>
      <c r="O15370" s="24"/>
      <c r="P15370" s="24"/>
      <c r="Q15370" s="24"/>
      <c r="R15370" s="24"/>
      <c r="S15370" s="24"/>
      <c r="T15370" s="24"/>
      <c r="U15370" s="24"/>
      <c r="V15370" s="24"/>
      <c r="W15370" s="24"/>
      <c r="X15370" s="24"/>
      <c r="Y15370" s="24"/>
      <c r="Z15370" s="24"/>
      <c r="AA15370" s="24"/>
    </row>
    <row r="15371">
      <c r="A15371" s="24"/>
      <c r="B15371" s="25"/>
      <c r="C15371" s="24"/>
      <c r="D15371" s="26"/>
      <c r="E15371" s="24"/>
      <c r="F15371" s="24"/>
      <c r="G15371" s="24"/>
      <c r="H15371" s="24"/>
      <c r="I15371" s="24"/>
      <c r="J15371" s="24"/>
      <c r="K15371" s="24"/>
      <c r="L15371" s="24"/>
      <c r="M15371" s="24"/>
      <c r="N15371" s="24"/>
      <c r="O15371" s="24"/>
      <c r="P15371" s="24"/>
      <c r="Q15371" s="24"/>
      <c r="R15371" s="24"/>
      <c r="S15371" s="24"/>
      <c r="T15371" s="24"/>
      <c r="U15371" s="24"/>
      <c r="V15371" s="24"/>
      <c r="W15371" s="24"/>
      <c r="X15371" s="24"/>
      <c r="Y15371" s="24"/>
      <c r="Z15371" s="24"/>
      <c r="AA15371" s="24"/>
    </row>
    <row r="15372">
      <c r="A15372" s="24"/>
      <c r="B15372" s="25"/>
      <c r="C15372" s="24"/>
      <c r="D15372" s="26"/>
      <c r="E15372" s="24"/>
      <c r="F15372" s="24"/>
      <c r="G15372" s="24"/>
      <c r="H15372" s="24"/>
      <c r="I15372" s="24"/>
      <c r="J15372" s="24"/>
      <c r="K15372" s="24"/>
      <c r="L15372" s="24"/>
      <c r="M15372" s="24"/>
      <c r="N15372" s="24"/>
      <c r="O15372" s="24"/>
      <c r="P15372" s="24"/>
      <c r="Q15372" s="24"/>
      <c r="R15372" s="24"/>
      <c r="S15372" s="24"/>
      <c r="T15372" s="24"/>
      <c r="U15372" s="24"/>
      <c r="V15372" s="24"/>
      <c r="W15372" s="24"/>
      <c r="X15372" s="24"/>
      <c r="Y15372" s="24"/>
      <c r="Z15372" s="24"/>
      <c r="AA15372" s="24"/>
    </row>
    <row r="15373">
      <c r="A15373" s="24"/>
      <c r="B15373" s="25"/>
      <c r="C15373" s="24"/>
      <c r="D15373" s="26"/>
      <c r="E15373" s="24"/>
      <c r="F15373" s="24"/>
      <c r="G15373" s="24"/>
      <c r="H15373" s="24"/>
      <c r="I15373" s="24"/>
      <c r="J15373" s="24"/>
      <c r="K15373" s="24"/>
      <c r="L15373" s="24"/>
      <c r="M15373" s="24"/>
      <c r="N15373" s="24"/>
      <c r="O15373" s="24"/>
      <c r="P15373" s="24"/>
      <c r="Q15373" s="24"/>
      <c r="R15373" s="24"/>
      <c r="S15373" s="24"/>
      <c r="T15373" s="24"/>
      <c r="U15373" s="24"/>
      <c r="V15373" s="24"/>
      <c r="W15373" s="24"/>
      <c r="X15373" s="24"/>
      <c r="Y15373" s="24"/>
      <c r="Z15373" s="24"/>
      <c r="AA15373" s="24"/>
    </row>
    <row r="15374">
      <c r="A15374" s="24"/>
      <c r="B15374" s="25"/>
      <c r="C15374" s="24"/>
      <c r="D15374" s="26"/>
      <c r="E15374" s="24"/>
      <c r="F15374" s="24"/>
      <c r="G15374" s="24"/>
      <c r="H15374" s="24"/>
      <c r="I15374" s="24"/>
      <c r="J15374" s="24"/>
      <c r="K15374" s="24"/>
      <c r="L15374" s="24"/>
      <c r="M15374" s="24"/>
      <c r="N15374" s="24"/>
      <c r="O15374" s="24"/>
      <c r="P15374" s="24"/>
      <c r="Q15374" s="24"/>
      <c r="R15374" s="24"/>
      <c r="S15374" s="24"/>
      <c r="T15374" s="24"/>
      <c r="U15374" s="24"/>
      <c r="V15374" s="24"/>
      <c r="W15374" s="24"/>
      <c r="X15374" s="24"/>
      <c r="Y15374" s="24"/>
      <c r="Z15374" s="24"/>
      <c r="AA15374" s="24"/>
    </row>
    <row r="15375">
      <c r="A15375" s="24"/>
      <c r="B15375" s="25"/>
      <c r="C15375" s="24"/>
      <c r="D15375" s="26"/>
      <c r="E15375" s="24"/>
      <c r="F15375" s="24"/>
      <c r="G15375" s="24"/>
      <c r="H15375" s="24"/>
      <c r="I15375" s="24"/>
      <c r="J15375" s="24"/>
      <c r="K15375" s="24"/>
      <c r="L15375" s="24"/>
      <c r="M15375" s="24"/>
      <c r="N15375" s="24"/>
      <c r="O15375" s="24"/>
      <c r="P15375" s="24"/>
      <c r="Q15375" s="24"/>
      <c r="R15375" s="24"/>
      <c r="S15375" s="24"/>
      <c r="T15375" s="24"/>
      <c r="U15375" s="24"/>
      <c r="V15375" s="24"/>
      <c r="W15375" s="24"/>
      <c r="X15375" s="24"/>
      <c r="Y15375" s="24"/>
      <c r="Z15375" s="24"/>
      <c r="AA15375" s="24"/>
    </row>
    <row r="15376">
      <c r="A15376" s="24"/>
      <c r="B15376" s="25"/>
      <c r="C15376" s="24"/>
      <c r="D15376" s="26"/>
      <c r="E15376" s="24"/>
      <c r="F15376" s="24"/>
      <c r="G15376" s="24"/>
      <c r="H15376" s="24"/>
      <c r="I15376" s="24"/>
      <c r="J15376" s="24"/>
      <c r="K15376" s="24"/>
      <c r="L15376" s="24"/>
      <c r="M15376" s="24"/>
      <c r="N15376" s="24"/>
      <c r="O15376" s="24"/>
      <c r="P15376" s="24"/>
      <c r="Q15376" s="24"/>
      <c r="R15376" s="24"/>
      <c r="S15376" s="24"/>
      <c r="T15376" s="24"/>
      <c r="U15376" s="24"/>
      <c r="V15376" s="24"/>
      <c r="W15376" s="24"/>
      <c r="X15376" s="24"/>
      <c r="Y15376" s="24"/>
      <c r="Z15376" s="24"/>
      <c r="AA15376" s="24"/>
    </row>
    <row r="15377">
      <c r="A15377" s="24"/>
      <c r="B15377" s="25"/>
      <c r="C15377" s="24"/>
      <c r="D15377" s="26"/>
      <c r="E15377" s="24"/>
      <c r="F15377" s="24"/>
      <c r="G15377" s="24"/>
      <c r="H15377" s="24"/>
      <c r="I15377" s="24"/>
      <c r="J15377" s="24"/>
      <c r="K15377" s="24"/>
      <c r="L15377" s="24"/>
      <c r="M15377" s="24"/>
      <c r="N15377" s="24"/>
      <c r="O15377" s="24"/>
      <c r="P15377" s="24"/>
      <c r="Q15377" s="24"/>
      <c r="R15377" s="24"/>
      <c r="S15377" s="24"/>
      <c r="T15377" s="24"/>
      <c r="U15377" s="24"/>
      <c r="V15377" s="24"/>
      <c r="W15377" s="24"/>
      <c r="X15377" s="24"/>
      <c r="Y15377" s="24"/>
      <c r="Z15377" s="24"/>
      <c r="AA15377" s="24"/>
    </row>
    <row r="15378">
      <c r="A15378" s="24"/>
      <c r="B15378" s="25"/>
      <c r="C15378" s="24"/>
      <c r="D15378" s="26"/>
      <c r="E15378" s="24"/>
      <c r="F15378" s="24"/>
      <c r="G15378" s="24"/>
      <c r="H15378" s="24"/>
      <c r="I15378" s="24"/>
      <c r="J15378" s="24"/>
      <c r="K15378" s="24"/>
      <c r="L15378" s="24"/>
      <c r="M15378" s="24"/>
      <c r="N15378" s="24"/>
      <c r="O15378" s="24"/>
      <c r="P15378" s="24"/>
      <c r="Q15378" s="24"/>
      <c r="R15378" s="24"/>
      <c r="S15378" s="24"/>
      <c r="T15378" s="24"/>
      <c r="U15378" s="24"/>
      <c r="V15378" s="24"/>
      <c r="W15378" s="24"/>
      <c r="X15378" s="24"/>
      <c r="Y15378" s="24"/>
      <c r="Z15378" s="24"/>
      <c r="AA15378" s="24"/>
    </row>
    <row r="15379">
      <c r="A15379" s="24"/>
      <c r="B15379" s="25"/>
      <c r="C15379" s="24"/>
      <c r="D15379" s="26"/>
      <c r="E15379" s="24"/>
      <c r="F15379" s="24"/>
      <c r="G15379" s="24"/>
      <c r="H15379" s="24"/>
      <c r="I15379" s="24"/>
      <c r="J15379" s="24"/>
      <c r="K15379" s="24"/>
      <c r="L15379" s="24"/>
      <c r="M15379" s="24"/>
      <c r="N15379" s="24"/>
      <c r="O15379" s="24"/>
      <c r="P15379" s="24"/>
      <c r="Q15379" s="24"/>
      <c r="R15379" s="24"/>
      <c r="S15379" s="24"/>
      <c r="T15379" s="24"/>
      <c r="U15379" s="24"/>
      <c r="V15379" s="24"/>
      <c r="W15379" s="24"/>
      <c r="X15379" s="24"/>
      <c r="Y15379" s="24"/>
      <c r="Z15379" s="24"/>
      <c r="AA15379" s="24"/>
    </row>
    <row r="15380">
      <c r="A15380" s="24"/>
      <c r="B15380" s="25"/>
      <c r="C15380" s="24"/>
      <c r="D15380" s="26"/>
      <c r="E15380" s="24"/>
      <c r="F15380" s="24"/>
      <c r="G15380" s="24"/>
      <c r="H15380" s="24"/>
      <c r="I15380" s="24"/>
      <c r="J15380" s="24"/>
      <c r="K15380" s="24"/>
      <c r="L15380" s="24"/>
      <c r="M15380" s="24"/>
      <c r="N15380" s="24"/>
      <c r="O15380" s="24"/>
      <c r="P15380" s="24"/>
      <c r="Q15380" s="24"/>
      <c r="R15380" s="24"/>
      <c r="S15380" s="24"/>
      <c r="T15380" s="24"/>
      <c r="U15380" s="24"/>
      <c r="V15380" s="24"/>
      <c r="W15380" s="24"/>
      <c r="X15380" s="24"/>
      <c r="Y15380" s="24"/>
      <c r="Z15380" s="24"/>
      <c r="AA15380" s="24"/>
    </row>
    <row r="15381">
      <c r="A15381" s="24"/>
      <c r="B15381" s="25"/>
      <c r="C15381" s="24"/>
      <c r="D15381" s="26"/>
      <c r="E15381" s="24"/>
      <c r="F15381" s="24"/>
      <c r="G15381" s="24"/>
      <c r="H15381" s="24"/>
      <c r="I15381" s="24"/>
      <c r="J15381" s="24"/>
      <c r="K15381" s="24"/>
      <c r="L15381" s="24"/>
      <c r="M15381" s="24"/>
      <c r="N15381" s="24"/>
      <c r="O15381" s="24"/>
      <c r="P15381" s="24"/>
      <c r="Q15381" s="24"/>
      <c r="R15381" s="24"/>
      <c r="S15381" s="24"/>
      <c r="T15381" s="24"/>
      <c r="U15381" s="24"/>
      <c r="V15381" s="24"/>
      <c r="W15381" s="24"/>
      <c r="X15381" s="24"/>
      <c r="Y15381" s="24"/>
      <c r="Z15381" s="24"/>
      <c r="AA15381" s="24"/>
    </row>
    <row r="15382">
      <c r="A15382" s="24"/>
      <c r="B15382" s="25"/>
      <c r="C15382" s="24"/>
      <c r="D15382" s="26"/>
      <c r="E15382" s="24"/>
      <c r="F15382" s="24"/>
      <c r="G15382" s="24"/>
      <c r="H15382" s="24"/>
      <c r="I15382" s="24"/>
      <c r="J15382" s="24"/>
      <c r="K15382" s="24"/>
      <c r="L15382" s="24"/>
      <c r="M15382" s="24"/>
      <c r="N15382" s="24"/>
      <c r="O15382" s="24"/>
      <c r="P15382" s="24"/>
      <c r="Q15382" s="24"/>
      <c r="R15382" s="24"/>
      <c r="S15382" s="24"/>
      <c r="T15382" s="24"/>
      <c r="U15382" s="24"/>
      <c r="V15382" s="24"/>
      <c r="W15382" s="24"/>
      <c r="X15382" s="24"/>
      <c r="Y15382" s="24"/>
      <c r="Z15382" s="24"/>
      <c r="AA15382" s="24"/>
    </row>
    <row r="15383">
      <c r="A15383" s="24"/>
      <c r="B15383" s="25"/>
      <c r="C15383" s="24"/>
      <c r="D15383" s="26"/>
      <c r="E15383" s="24"/>
      <c r="F15383" s="24"/>
      <c r="G15383" s="24"/>
      <c r="H15383" s="24"/>
      <c r="I15383" s="24"/>
      <c r="J15383" s="24"/>
      <c r="K15383" s="24"/>
      <c r="L15383" s="24"/>
      <c r="M15383" s="24"/>
      <c r="N15383" s="24"/>
      <c r="O15383" s="24"/>
      <c r="P15383" s="24"/>
      <c r="Q15383" s="24"/>
      <c r="R15383" s="24"/>
      <c r="S15383" s="24"/>
      <c r="T15383" s="24"/>
      <c r="U15383" s="24"/>
      <c r="V15383" s="24"/>
      <c r="W15383" s="24"/>
      <c r="X15383" s="24"/>
      <c r="Y15383" s="24"/>
      <c r="Z15383" s="24"/>
      <c r="AA15383" s="24"/>
    </row>
    <row r="15384">
      <c r="A15384" s="24"/>
      <c r="B15384" s="25"/>
      <c r="C15384" s="24"/>
      <c r="D15384" s="26"/>
      <c r="E15384" s="24"/>
      <c r="F15384" s="24"/>
      <c r="G15384" s="24"/>
      <c r="H15384" s="24"/>
      <c r="I15384" s="24"/>
      <c r="J15384" s="24"/>
      <c r="K15384" s="24"/>
      <c r="L15384" s="24"/>
      <c r="M15384" s="24"/>
      <c r="N15384" s="24"/>
      <c r="O15384" s="24"/>
      <c r="P15384" s="24"/>
      <c r="Q15384" s="24"/>
      <c r="R15384" s="24"/>
      <c r="S15384" s="24"/>
      <c r="T15384" s="24"/>
      <c r="U15384" s="24"/>
      <c r="V15384" s="24"/>
      <c r="W15384" s="24"/>
      <c r="X15384" s="24"/>
      <c r="Y15384" s="24"/>
      <c r="Z15384" s="24"/>
      <c r="AA15384" s="24"/>
    </row>
    <row r="15385">
      <c r="A15385" s="24"/>
      <c r="B15385" s="25"/>
      <c r="C15385" s="24"/>
      <c r="D15385" s="26"/>
      <c r="E15385" s="24"/>
      <c r="F15385" s="24"/>
      <c r="G15385" s="24"/>
      <c r="H15385" s="24"/>
      <c r="I15385" s="24"/>
      <c r="J15385" s="24"/>
      <c r="K15385" s="24"/>
      <c r="L15385" s="24"/>
      <c r="M15385" s="24"/>
      <c r="N15385" s="24"/>
      <c r="O15385" s="24"/>
      <c r="P15385" s="24"/>
      <c r="Q15385" s="24"/>
      <c r="R15385" s="24"/>
      <c r="S15385" s="24"/>
      <c r="T15385" s="24"/>
      <c r="U15385" s="24"/>
      <c r="V15385" s="24"/>
      <c r="W15385" s="24"/>
      <c r="X15385" s="24"/>
      <c r="Y15385" s="24"/>
      <c r="Z15385" s="24"/>
      <c r="AA15385" s="24"/>
    </row>
    <row r="15386">
      <c r="A15386" s="24"/>
      <c r="B15386" s="25"/>
      <c r="C15386" s="24"/>
      <c r="D15386" s="26"/>
      <c r="E15386" s="24"/>
      <c r="F15386" s="24"/>
      <c r="G15386" s="24"/>
      <c r="H15386" s="24"/>
      <c r="I15386" s="24"/>
      <c r="J15386" s="24"/>
      <c r="K15386" s="24"/>
      <c r="L15386" s="24"/>
      <c r="M15386" s="24"/>
      <c r="N15386" s="24"/>
      <c r="O15386" s="24"/>
      <c r="P15386" s="24"/>
      <c r="Q15386" s="24"/>
      <c r="R15386" s="24"/>
      <c r="S15386" s="24"/>
      <c r="T15386" s="24"/>
      <c r="U15386" s="24"/>
      <c r="V15386" s="24"/>
      <c r="W15386" s="24"/>
      <c r="X15386" s="24"/>
      <c r="Y15386" s="24"/>
      <c r="Z15386" s="24"/>
      <c r="AA15386" s="24"/>
    </row>
    <row r="15387">
      <c r="A15387" s="24"/>
      <c r="B15387" s="25"/>
      <c r="C15387" s="24"/>
      <c r="D15387" s="26"/>
      <c r="E15387" s="24"/>
      <c r="F15387" s="24"/>
      <c r="G15387" s="24"/>
      <c r="H15387" s="24"/>
      <c r="I15387" s="24"/>
      <c r="J15387" s="24"/>
      <c r="K15387" s="24"/>
      <c r="L15387" s="24"/>
      <c r="M15387" s="24"/>
      <c r="N15387" s="24"/>
      <c r="O15387" s="24"/>
      <c r="P15387" s="24"/>
      <c r="Q15387" s="24"/>
      <c r="R15387" s="24"/>
      <c r="S15387" s="24"/>
      <c r="T15387" s="24"/>
      <c r="U15387" s="24"/>
      <c r="V15387" s="24"/>
      <c r="W15387" s="24"/>
      <c r="X15387" s="24"/>
      <c r="Y15387" s="24"/>
      <c r="Z15387" s="24"/>
      <c r="AA15387" s="24"/>
    </row>
    <row r="15388">
      <c r="A15388" s="24"/>
      <c r="B15388" s="25"/>
      <c r="C15388" s="24"/>
      <c r="D15388" s="26"/>
      <c r="E15388" s="24"/>
      <c r="F15388" s="24"/>
      <c r="G15388" s="24"/>
      <c r="H15388" s="24"/>
      <c r="I15388" s="24"/>
      <c r="J15388" s="24"/>
      <c r="K15388" s="24"/>
      <c r="L15388" s="24"/>
      <c r="M15388" s="24"/>
      <c r="N15388" s="24"/>
      <c r="O15388" s="24"/>
      <c r="P15388" s="24"/>
      <c r="Q15388" s="24"/>
      <c r="R15388" s="24"/>
      <c r="S15388" s="24"/>
      <c r="T15388" s="24"/>
      <c r="U15388" s="24"/>
      <c r="V15388" s="24"/>
      <c r="W15388" s="24"/>
      <c r="X15388" s="24"/>
      <c r="Y15388" s="24"/>
      <c r="Z15388" s="24"/>
      <c r="AA15388" s="24"/>
    </row>
    <row r="15389">
      <c r="A15389" s="24"/>
      <c r="B15389" s="25"/>
      <c r="C15389" s="24"/>
      <c r="D15389" s="26"/>
      <c r="E15389" s="24"/>
      <c r="F15389" s="24"/>
      <c r="G15389" s="24"/>
      <c r="H15389" s="24"/>
      <c r="I15389" s="24"/>
      <c r="J15389" s="24"/>
      <c r="K15389" s="24"/>
      <c r="L15389" s="24"/>
      <c r="M15389" s="24"/>
      <c r="N15389" s="24"/>
      <c r="O15389" s="24"/>
      <c r="P15389" s="24"/>
      <c r="Q15389" s="24"/>
      <c r="R15389" s="24"/>
      <c r="S15389" s="24"/>
      <c r="T15389" s="24"/>
      <c r="U15389" s="24"/>
      <c r="V15389" s="24"/>
      <c r="W15389" s="24"/>
      <c r="X15389" s="24"/>
      <c r="Y15389" s="24"/>
      <c r="Z15389" s="24"/>
      <c r="AA15389" s="24"/>
    </row>
    <row r="15390">
      <c r="A15390" s="24"/>
      <c r="B15390" s="25"/>
      <c r="C15390" s="24"/>
      <c r="D15390" s="26"/>
      <c r="E15390" s="24"/>
      <c r="F15390" s="24"/>
      <c r="G15390" s="24"/>
      <c r="H15390" s="24"/>
      <c r="I15390" s="24"/>
      <c r="J15390" s="24"/>
      <c r="K15390" s="24"/>
      <c r="L15390" s="24"/>
      <c r="M15390" s="24"/>
      <c r="N15390" s="24"/>
      <c r="O15390" s="24"/>
      <c r="P15390" s="24"/>
      <c r="Q15390" s="24"/>
      <c r="R15390" s="24"/>
      <c r="S15390" s="24"/>
      <c r="T15390" s="24"/>
      <c r="U15390" s="24"/>
      <c r="V15390" s="24"/>
      <c r="W15390" s="24"/>
      <c r="X15390" s="24"/>
      <c r="Y15390" s="24"/>
      <c r="Z15390" s="24"/>
      <c r="AA15390" s="24"/>
    </row>
    <row r="15391">
      <c r="A15391" s="24"/>
      <c r="B15391" s="25"/>
      <c r="C15391" s="24"/>
      <c r="D15391" s="26"/>
      <c r="E15391" s="24"/>
      <c r="F15391" s="24"/>
      <c r="G15391" s="24"/>
      <c r="H15391" s="24"/>
      <c r="I15391" s="24"/>
      <c r="J15391" s="24"/>
      <c r="K15391" s="24"/>
      <c r="L15391" s="24"/>
      <c r="M15391" s="24"/>
      <c r="N15391" s="24"/>
      <c r="O15391" s="24"/>
      <c r="P15391" s="24"/>
      <c r="Q15391" s="24"/>
      <c r="R15391" s="24"/>
      <c r="S15391" s="24"/>
      <c r="T15391" s="24"/>
      <c r="U15391" s="24"/>
      <c r="V15391" s="24"/>
      <c r="W15391" s="24"/>
      <c r="X15391" s="24"/>
      <c r="Y15391" s="24"/>
      <c r="Z15391" s="24"/>
      <c r="AA15391" s="24"/>
    </row>
    <row r="15392">
      <c r="A15392" s="24"/>
      <c r="B15392" s="25"/>
      <c r="C15392" s="24"/>
      <c r="D15392" s="26"/>
      <c r="E15392" s="24"/>
      <c r="F15392" s="24"/>
      <c r="G15392" s="24"/>
      <c r="H15392" s="24"/>
      <c r="I15392" s="24"/>
      <c r="J15392" s="24"/>
      <c r="K15392" s="24"/>
      <c r="L15392" s="24"/>
      <c r="M15392" s="24"/>
      <c r="N15392" s="24"/>
      <c r="O15392" s="24"/>
      <c r="P15392" s="24"/>
      <c r="Q15392" s="24"/>
      <c r="R15392" s="24"/>
      <c r="S15392" s="24"/>
      <c r="T15392" s="24"/>
      <c r="U15392" s="24"/>
      <c r="V15392" s="24"/>
      <c r="W15392" s="24"/>
      <c r="X15392" s="24"/>
      <c r="Y15392" s="24"/>
      <c r="Z15392" s="24"/>
      <c r="AA15392" s="24"/>
    </row>
    <row r="15393">
      <c r="A15393" s="24"/>
      <c r="B15393" s="25"/>
      <c r="C15393" s="24"/>
      <c r="D15393" s="26"/>
      <c r="E15393" s="24"/>
      <c r="F15393" s="24"/>
      <c r="G15393" s="24"/>
      <c r="H15393" s="24"/>
      <c r="I15393" s="24"/>
      <c r="J15393" s="24"/>
      <c r="K15393" s="24"/>
      <c r="L15393" s="24"/>
      <c r="M15393" s="24"/>
      <c r="N15393" s="24"/>
      <c r="O15393" s="24"/>
      <c r="P15393" s="24"/>
      <c r="Q15393" s="24"/>
      <c r="R15393" s="24"/>
      <c r="S15393" s="24"/>
      <c r="T15393" s="24"/>
      <c r="U15393" s="24"/>
      <c r="V15393" s="24"/>
      <c r="W15393" s="24"/>
      <c r="X15393" s="24"/>
      <c r="Y15393" s="24"/>
      <c r="Z15393" s="24"/>
      <c r="AA15393" s="24"/>
    </row>
    <row r="15394">
      <c r="A15394" s="24"/>
      <c r="B15394" s="25"/>
      <c r="C15394" s="24"/>
      <c r="D15394" s="26"/>
      <c r="E15394" s="24"/>
      <c r="F15394" s="24"/>
      <c r="G15394" s="24"/>
      <c r="H15394" s="24"/>
      <c r="I15394" s="24"/>
      <c r="J15394" s="24"/>
      <c r="K15394" s="24"/>
      <c r="L15394" s="24"/>
      <c r="M15394" s="24"/>
      <c r="N15394" s="24"/>
      <c r="O15394" s="24"/>
      <c r="P15394" s="24"/>
      <c r="Q15394" s="24"/>
      <c r="R15394" s="24"/>
      <c r="S15394" s="24"/>
      <c r="T15394" s="24"/>
      <c r="U15394" s="24"/>
      <c r="V15394" s="24"/>
      <c r="W15394" s="24"/>
      <c r="X15394" s="24"/>
      <c r="Y15394" s="24"/>
      <c r="Z15394" s="24"/>
      <c r="AA15394" s="24"/>
    </row>
    <row r="15395">
      <c r="A15395" s="24"/>
      <c r="B15395" s="25"/>
      <c r="C15395" s="24"/>
      <c r="D15395" s="26"/>
      <c r="E15395" s="24"/>
      <c r="F15395" s="24"/>
      <c r="G15395" s="24"/>
      <c r="H15395" s="24"/>
      <c r="I15395" s="24"/>
      <c r="J15395" s="24"/>
      <c r="K15395" s="24"/>
      <c r="L15395" s="24"/>
      <c r="M15395" s="24"/>
      <c r="N15395" s="24"/>
      <c r="O15395" s="24"/>
      <c r="P15395" s="24"/>
      <c r="Q15395" s="24"/>
      <c r="R15395" s="24"/>
      <c r="S15395" s="24"/>
      <c r="T15395" s="24"/>
      <c r="U15395" s="24"/>
      <c r="V15395" s="24"/>
      <c r="W15395" s="24"/>
      <c r="X15395" s="24"/>
      <c r="Y15395" s="24"/>
      <c r="Z15395" s="24"/>
      <c r="AA15395" s="24"/>
    </row>
    <row r="15396">
      <c r="A15396" s="24"/>
      <c r="B15396" s="25"/>
      <c r="C15396" s="24"/>
      <c r="D15396" s="26"/>
      <c r="E15396" s="24"/>
      <c r="F15396" s="24"/>
      <c r="G15396" s="24"/>
      <c r="H15396" s="24"/>
      <c r="I15396" s="24"/>
      <c r="J15396" s="24"/>
      <c r="K15396" s="24"/>
      <c r="L15396" s="24"/>
      <c r="M15396" s="24"/>
      <c r="N15396" s="24"/>
      <c r="O15396" s="24"/>
      <c r="P15396" s="24"/>
      <c r="Q15396" s="24"/>
      <c r="R15396" s="24"/>
      <c r="S15396" s="24"/>
      <c r="T15396" s="24"/>
      <c r="U15396" s="24"/>
      <c r="V15396" s="24"/>
      <c r="W15396" s="24"/>
      <c r="X15396" s="24"/>
      <c r="Y15396" s="24"/>
      <c r="Z15396" s="24"/>
      <c r="AA15396" s="24"/>
    </row>
    <row r="15397">
      <c r="A15397" s="24"/>
      <c r="B15397" s="25"/>
      <c r="C15397" s="24"/>
      <c r="D15397" s="26"/>
      <c r="E15397" s="24"/>
      <c r="F15397" s="24"/>
      <c r="G15397" s="24"/>
      <c r="H15397" s="24"/>
      <c r="I15397" s="24"/>
      <c r="J15397" s="24"/>
      <c r="K15397" s="24"/>
      <c r="L15397" s="24"/>
      <c r="M15397" s="24"/>
      <c r="N15397" s="24"/>
      <c r="O15397" s="24"/>
      <c r="P15397" s="24"/>
      <c r="Q15397" s="24"/>
      <c r="R15397" s="24"/>
      <c r="S15397" s="24"/>
      <c r="T15397" s="24"/>
      <c r="U15397" s="24"/>
      <c r="V15397" s="24"/>
      <c r="W15397" s="24"/>
      <c r="X15397" s="24"/>
      <c r="Y15397" s="24"/>
      <c r="Z15397" s="24"/>
      <c r="AA15397" s="24"/>
    </row>
    <row r="15398">
      <c r="A15398" s="24"/>
      <c r="B15398" s="25"/>
      <c r="C15398" s="24"/>
      <c r="D15398" s="26"/>
      <c r="E15398" s="24"/>
      <c r="F15398" s="24"/>
      <c r="G15398" s="24"/>
      <c r="H15398" s="24"/>
      <c r="I15398" s="24"/>
      <c r="J15398" s="24"/>
      <c r="K15398" s="24"/>
      <c r="L15398" s="24"/>
      <c r="M15398" s="24"/>
      <c r="N15398" s="24"/>
      <c r="O15398" s="24"/>
      <c r="P15398" s="24"/>
      <c r="Q15398" s="24"/>
      <c r="R15398" s="24"/>
      <c r="S15398" s="24"/>
      <c r="T15398" s="24"/>
      <c r="U15398" s="24"/>
      <c r="V15398" s="24"/>
      <c r="W15398" s="24"/>
      <c r="X15398" s="24"/>
      <c r="Y15398" s="24"/>
      <c r="Z15398" s="24"/>
      <c r="AA15398" s="24"/>
    </row>
    <row r="15399">
      <c r="A15399" s="24"/>
      <c r="B15399" s="25"/>
      <c r="C15399" s="24"/>
      <c r="D15399" s="26"/>
      <c r="E15399" s="24"/>
      <c r="F15399" s="24"/>
      <c r="G15399" s="24"/>
      <c r="H15399" s="24"/>
      <c r="I15399" s="24"/>
      <c r="J15399" s="24"/>
      <c r="K15399" s="24"/>
      <c r="L15399" s="24"/>
      <c r="M15399" s="24"/>
      <c r="N15399" s="24"/>
      <c r="O15399" s="24"/>
      <c r="P15399" s="24"/>
      <c r="Q15399" s="24"/>
      <c r="R15399" s="24"/>
      <c r="S15399" s="24"/>
      <c r="T15399" s="24"/>
      <c r="U15399" s="24"/>
      <c r="V15399" s="24"/>
      <c r="W15399" s="24"/>
      <c r="X15399" s="24"/>
      <c r="Y15399" s="24"/>
      <c r="Z15399" s="24"/>
      <c r="AA15399" s="24"/>
    </row>
    <row r="15400">
      <c r="A15400" s="24"/>
      <c r="B15400" s="25"/>
      <c r="C15400" s="24"/>
      <c r="D15400" s="26"/>
      <c r="E15400" s="24"/>
      <c r="F15400" s="24"/>
      <c r="G15400" s="24"/>
      <c r="H15400" s="24"/>
      <c r="I15400" s="24"/>
      <c r="J15400" s="24"/>
      <c r="K15400" s="24"/>
      <c r="L15400" s="24"/>
      <c r="M15400" s="24"/>
      <c r="N15400" s="24"/>
      <c r="O15400" s="24"/>
      <c r="P15400" s="24"/>
      <c r="Q15400" s="24"/>
      <c r="R15400" s="24"/>
      <c r="S15400" s="24"/>
      <c r="T15400" s="24"/>
      <c r="U15400" s="24"/>
      <c r="V15400" s="24"/>
      <c r="W15400" s="24"/>
      <c r="X15400" s="24"/>
      <c r="Y15400" s="24"/>
      <c r="Z15400" s="24"/>
      <c r="AA15400" s="24"/>
    </row>
    <row r="15401">
      <c r="A15401" s="24"/>
      <c r="B15401" s="25"/>
      <c r="C15401" s="24"/>
      <c r="D15401" s="26"/>
      <c r="E15401" s="24"/>
      <c r="F15401" s="24"/>
      <c r="G15401" s="24"/>
      <c r="H15401" s="24"/>
      <c r="I15401" s="24"/>
      <c r="J15401" s="24"/>
      <c r="K15401" s="24"/>
      <c r="L15401" s="24"/>
      <c r="M15401" s="24"/>
      <c r="N15401" s="24"/>
      <c r="O15401" s="24"/>
      <c r="P15401" s="24"/>
      <c r="Q15401" s="24"/>
      <c r="R15401" s="24"/>
      <c r="S15401" s="24"/>
      <c r="T15401" s="24"/>
      <c r="U15401" s="24"/>
      <c r="V15401" s="24"/>
      <c r="W15401" s="24"/>
      <c r="X15401" s="24"/>
      <c r="Y15401" s="24"/>
      <c r="Z15401" s="24"/>
      <c r="AA15401" s="24"/>
    </row>
    <row r="15402">
      <c r="A15402" s="24"/>
      <c r="B15402" s="25"/>
      <c r="C15402" s="24"/>
      <c r="D15402" s="26"/>
      <c r="E15402" s="24"/>
      <c r="F15402" s="24"/>
      <c r="G15402" s="24"/>
      <c r="H15402" s="24"/>
      <c r="I15402" s="24"/>
      <c r="J15402" s="24"/>
      <c r="K15402" s="24"/>
      <c r="L15402" s="24"/>
      <c r="M15402" s="24"/>
      <c r="N15402" s="24"/>
      <c r="O15402" s="24"/>
      <c r="P15402" s="24"/>
      <c r="Q15402" s="24"/>
      <c r="R15402" s="24"/>
      <c r="S15402" s="24"/>
      <c r="T15402" s="24"/>
      <c r="U15402" s="24"/>
      <c r="V15402" s="24"/>
      <c r="W15402" s="24"/>
      <c r="X15402" s="24"/>
      <c r="Y15402" s="24"/>
      <c r="Z15402" s="24"/>
      <c r="AA15402" s="24"/>
    </row>
    <row r="15403">
      <c r="A15403" s="24"/>
      <c r="B15403" s="25"/>
      <c r="C15403" s="24"/>
      <c r="D15403" s="26"/>
      <c r="E15403" s="24"/>
      <c r="F15403" s="24"/>
      <c r="G15403" s="24"/>
      <c r="H15403" s="24"/>
      <c r="I15403" s="24"/>
      <c r="J15403" s="24"/>
      <c r="K15403" s="24"/>
      <c r="L15403" s="24"/>
      <c r="M15403" s="24"/>
      <c r="N15403" s="24"/>
      <c r="O15403" s="24"/>
      <c r="P15403" s="24"/>
      <c r="Q15403" s="24"/>
      <c r="R15403" s="24"/>
      <c r="S15403" s="24"/>
      <c r="T15403" s="24"/>
      <c r="U15403" s="24"/>
      <c r="V15403" s="24"/>
      <c r="W15403" s="24"/>
      <c r="X15403" s="24"/>
      <c r="Y15403" s="24"/>
      <c r="Z15403" s="24"/>
      <c r="AA15403" s="24"/>
    </row>
    <row r="15404">
      <c r="A15404" s="24"/>
      <c r="B15404" s="25"/>
      <c r="C15404" s="24"/>
      <c r="D15404" s="26"/>
      <c r="E15404" s="24"/>
      <c r="F15404" s="24"/>
      <c r="G15404" s="24"/>
      <c r="H15404" s="24"/>
      <c r="I15404" s="24"/>
      <c r="J15404" s="24"/>
      <c r="K15404" s="24"/>
      <c r="L15404" s="24"/>
      <c r="M15404" s="24"/>
      <c r="N15404" s="24"/>
      <c r="O15404" s="24"/>
      <c r="P15404" s="24"/>
      <c r="Q15404" s="24"/>
      <c r="R15404" s="24"/>
      <c r="S15404" s="24"/>
      <c r="T15404" s="24"/>
      <c r="U15404" s="24"/>
      <c r="V15404" s="24"/>
      <c r="W15404" s="24"/>
      <c r="X15404" s="24"/>
      <c r="Y15404" s="24"/>
      <c r="Z15404" s="24"/>
      <c r="AA15404" s="24"/>
    </row>
    <row r="15405">
      <c r="A15405" s="24"/>
      <c r="B15405" s="25"/>
      <c r="C15405" s="24"/>
      <c r="D15405" s="26"/>
      <c r="E15405" s="24"/>
      <c r="F15405" s="24"/>
      <c r="G15405" s="24"/>
      <c r="H15405" s="24"/>
      <c r="I15405" s="24"/>
      <c r="J15405" s="24"/>
      <c r="K15405" s="24"/>
      <c r="L15405" s="24"/>
      <c r="M15405" s="24"/>
      <c r="N15405" s="24"/>
      <c r="O15405" s="24"/>
      <c r="P15405" s="24"/>
      <c r="Q15405" s="24"/>
      <c r="R15405" s="24"/>
      <c r="S15405" s="24"/>
      <c r="T15405" s="24"/>
      <c r="U15405" s="24"/>
      <c r="V15405" s="24"/>
      <c r="W15405" s="24"/>
      <c r="X15405" s="24"/>
      <c r="Y15405" s="24"/>
      <c r="Z15405" s="24"/>
      <c r="AA15405" s="24"/>
    </row>
    <row r="15406">
      <c r="A15406" s="24"/>
      <c r="B15406" s="25"/>
      <c r="C15406" s="24"/>
      <c r="D15406" s="26"/>
      <c r="E15406" s="24"/>
      <c r="F15406" s="24"/>
      <c r="G15406" s="24"/>
      <c r="H15406" s="24"/>
      <c r="I15406" s="24"/>
      <c r="J15406" s="24"/>
      <c r="K15406" s="24"/>
      <c r="L15406" s="24"/>
      <c r="M15406" s="24"/>
      <c r="N15406" s="24"/>
      <c r="O15406" s="24"/>
      <c r="P15406" s="24"/>
      <c r="Q15406" s="24"/>
      <c r="R15406" s="24"/>
      <c r="S15406" s="24"/>
      <c r="T15406" s="24"/>
      <c r="U15406" s="24"/>
      <c r="V15406" s="24"/>
      <c r="W15406" s="24"/>
      <c r="X15406" s="24"/>
      <c r="Y15406" s="24"/>
      <c r="Z15406" s="24"/>
      <c r="AA15406" s="24"/>
    </row>
    <row r="15407">
      <c r="A15407" s="24"/>
      <c r="B15407" s="25"/>
      <c r="C15407" s="24"/>
      <c r="D15407" s="26"/>
      <c r="E15407" s="24"/>
      <c r="F15407" s="24"/>
      <c r="G15407" s="24"/>
      <c r="H15407" s="24"/>
      <c r="I15407" s="24"/>
      <c r="J15407" s="24"/>
      <c r="K15407" s="24"/>
      <c r="L15407" s="24"/>
      <c r="M15407" s="24"/>
      <c r="N15407" s="24"/>
      <c r="O15407" s="24"/>
      <c r="P15407" s="24"/>
      <c r="Q15407" s="24"/>
      <c r="R15407" s="24"/>
      <c r="S15407" s="24"/>
      <c r="T15407" s="24"/>
      <c r="U15407" s="24"/>
      <c r="V15407" s="24"/>
      <c r="W15407" s="24"/>
      <c r="X15407" s="24"/>
      <c r="Y15407" s="24"/>
      <c r="Z15407" s="24"/>
      <c r="AA15407" s="24"/>
    </row>
    <row r="15408">
      <c r="A15408" s="24"/>
      <c r="B15408" s="25"/>
      <c r="C15408" s="24"/>
      <c r="D15408" s="26"/>
      <c r="E15408" s="24"/>
      <c r="F15408" s="24"/>
      <c r="G15408" s="24"/>
      <c r="H15408" s="24"/>
      <c r="I15408" s="24"/>
      <c r="J15408" s="24"/>
      <c r="K15408" s="24"/>
      <c r="L15408" s="24"/>
      <c r="M15408" s="24"/>
      <c r="N15408" s="24"/>
      <c r="O15408" s="24"/>
      <c r="P15408" s="24"/>
      <c r="Q15408" s="24"/>
      <c r="R15408" s="24"/>
      <c r="S15408" s="24"/>
      <c r="T15408" s="24"/>
      <c r="U15408" s="24"/>
      <c r="V15408" s="24"/>
      <c r="W15408" s="24"/>
      <c r="X15408" s="24"/>
      <c r="Y15408" s="24"/>
      <c r="Z15408" s="24"/>
      <c r="AA15408" s="24"/>
    </row>
    <row r="15409">
      <c r="A15409" s="24"/>
      <c r="B15409" s="25"/>
      <c r="C15409" s="24"/>
      <c r="D15409" s="26"/>
      <c r="E15409" s="24"/>
      <c r="F15409" s="24"/>
      <c r="G15409" s="24"/>
      <c r="H15409" s="24"/>
      <c r="I15409" s="24"/>
      <c r="J15409" s="24"/>
      <c r="K15409" s="24"/>
      <c r="L15409" s="24"/>
      <c r="M15409" s="24"/>
      <c r="N15409" s="24"/>
      <c r="O15409" s="24"/>
      <c r="P15409" s="24"/>
      <c r="Q15409" s="24"/>
      <c r="R15409" s="24"/>
      <c r="S15409" s="24"/>
      <c r="T15409" s="24"/>
      <c r="U15409" s="24"/>
      <c r="V15409" s="24"/>
      <c r="W15409" s="24"/>
      <c r="X15409" s="24"/>
      <c r="Y15409" s="24"/>
      <c r="Z15409" s="24"/>
      <c r="AA15409" s="24"/>
    </row>
    <row r="15410">
      <c r="A15410" s="24"/>
      <c r="B15410" s="25"/>
      <c r="C15410" s="24"/>
      <c r="D15410" s="26"/>
      <c r="E15410" s="24"/>
      <c r="F15410" s="24"/>
      <c r="G15410" s="24"/>
      <c r="H15410" s="24"/>
      <c r="I15410" s="24"/>
      <c r="J15410" s="24"/>
      <c r="K15410" s="24"/>
      <c r="L15410" s="24"/>
      <c r="M15410" s="24"/>
      <c r="N15410" s="24"/>
      <c r="O15410" s="24"/>
      <c r="P15410" s="24"/>
      <c r="Q15410" s="24"/>
      <c r="R15410" s="24"/>
      <c r="S15410" s="24"/>
      <c r="T15410" s="24"/>
      <c r="U15410" s="24"/>
      <c r="V15410" s="24"/>
      <c r="W15410" s="24"/>
      <c r="X15410" s="24"/>
      <c r="Y15410" s="24"/>
      <c r="Z15410" s="24"/>
      <c r="AA15410" s="24"/>
    </row>
    <row r="15411">
      <c r="A15411" s="24"/>
      <c r="B15411" s="25"/>
      <c r="C15411" s="24"/>
      <c r="D15411" s="26"/>
      <c r="E15411" s="24"/>
      <c r="F15411" s="24"/>
      <c r="G15411" s="24"/>
      <c r="H15411" s="24"/>
      <c r="I15411" s="24"/>
      <c r="J15411" s="24"/>
      <c r="K15411" s="24"/>
      <c r="L15411" s="24"/>
      <c r="M15411" s="24"/>
      <c r="N15411" s="24"/>
      <c r="O15411" s="24"/>
      <c r="P15411" s="24"/>
      <c r="Q15411" s="24"/>
      <c r="R15411" s="24"/>
      <c r="S15411" s="24"/>
      <c r="T15411" s="24"/>
      <c r="U15411" s="24"/>
      <c r="V15411" s="24"/>
      <c r="W15411" s="24"/>
      <c r="X15411" s="24"/>
      <c r="Y15411" s="24"/>
      <c r="Z15411" s="24"/>
      <c r="AA15411" s="24"/>
    </row>
    <row r="15412">
      <c r="A15412" s="24"/>
      <c r="B15412" s="25"/>
      <c r="C15412" s="24"/>
      <c r="D15412" s="26"/>
      <c r="E15412" s="24"/>
      <c r="F15412" s="24"/>
      <c r="G15412" s="24"/>
      <c r="H15412" s="24"/>
      <c r="I15412" s="24"/>
      <c r="J15412" s="24"/>
      <c r="K15412" s="24"/>
      <c r="L15412" s="24"/>
      <c r="M15412" s="24"/>
      <c r="N15412" s="24"/>
      <c r="O15412" s="24"/>
      <c r="P15412" s="24"/>
      <c r="Q15412" s="24"/>
      <c r="R15412" s="24"/>
      <c r="S15412" s="24"/>
      <c r="T15412" s="24"/>
      <c r="U15412" s="24"/>
      <c r="V15412" s="24"/>
      <c r="W15412" s="24"/>
      <c r="X15412" s="24"/>
      <c r="Y15412" s="24"/>
      <c r="Z15412" s="24"/>
      <c r="AA15412" s="24"/>
    </row>
    <row r="15413">
      <c r="A15413" s="24"/>
      <c r="B15413" s="25"/>
      <c r="C15413" s="24"/>
      <c r="D15413" s="26"/>
      <c r="E15413" s="24"/>
      <c r="F15413" s="24"/>
      <c r="G15413" s="24"/>
      <c r="H15413" s="24"/>
      <c r="I15413" s="24"/>
      <c r="J15413" s="24"/>
      <c r="K15413" s="24"/>
      <c r="L15413" s="24"/>
      <c r="M15413" s="24"/>
      <c r="N15413" s="24"/>
      <c r="O15413" s="24"/>
      <c r="P15413" s="24"/>
      <c r="Q15413" s="24"/>
      <c r="R15413" s="24"/>
      <c r="S15413" s="24"/>
      <c r="T15413" s="24"/>
      <c r="U15413" s="24"/>
      <c r="V15413" s="24"/>
      <c r="W15413" s="24"/>
      <c r="X15413" s="24"/>
      <c r="Y15413" s="24"/>
      <c r="Z15413" s="24"/>
      <c r="AA15413" s="24"/>
    </row>
    <row r="15414">
      <c r="A15414" s="24"/>
      <c r="B15414" s="25"/>
      <c r="C15414" s="24"/>
      <c r="D15414" s="26"/>
      <c r="E15414" s="24"/>
      <c r="F15414" s="24"/>
      <c r="G15414" s="24"/>
      <c r="H15414" s="24"/>
      <c r="I15414" s="24"/>
      <c r="J15414" s="24"/>
      <c r="K15414" s="24"/>
      <c r="L15414" s="24"/>
      <c r="M15414" s="24"/>
      <c r="N15414" s="24"/>
      <c r="O15414" s="24"/>
      <c r="P15414" s="24"/>
      <c r="Q15414" s="24"/>
      <c r="R15414" s="24"/>
      <c r="S15414" s="24"/>
      <c r="T15414" s="24"/>
      <c r="U15414" s="24"/>
      <c r="V15414" s="24"/>
      <c r="W15414" s="24"/>
      <c r="X15414" s="24"/>
      <c r="Y15414" s="24"/>
      <c r="Z15414" s="24"/>
      <c r="AA15414" s="24"/>
    </row>
    <row r="15415">
      <c r="A15415" s="24"/>
      <c r="B15415" s="25"/>
      <c r="C15415" s="24"/>
      <c r="D15415" s="26"/>
      <c r="E15415" s="24"/>
      <c r="F15415" s="24"/>
      <c r="G15415" s="24"/>
      <c r="H15415" s="24"/>
      <c r="I15415" s="24"/>
      <c r="J15415" s="24"/>
      <c r="K15415" s="24"/>
      <c r="L15415" s="24"/>
      <c r="M15415" s="24"/>
      <c r="N15415" s="24"/>
      <c r="O15415" s="24"/>
      <c r="P15415" s="24"/>
      <c r="Q15415" s="24"/>
      <c r="R15415" s="24"/>
      <c r="S15415" s="24"/>
      <c r="T15415" s="24"/>
      <c r="U15415" s="24"/>
      <c r="V15415" s="24"/>
      <c r="W15415" s="24"/>
      <c r="X15415" s="24"/>
      <c r="Y15415" s="24"/>
      <c r="Z15415" s="24"/>
      <c r="AA15415" s="24"/>
    </row>
    <row r="15416">
      <c r="A15416" s="24"/>
      <c r="B15416" s="25"/>
      <c r="C15416" s="24"/>
      <c r="D15416" s="26"/>
      <c r="E15416" s="24"/>
      <c r="F15416" s="24"/>
      <c r="G15416" s="24"/>
      <c r="H15416" s="24"/>
      <c r="I15416" s="24"/>
      <c r="J15416" s="24"/>
      <c r="K15416" s="24"/>
      <c r="L15416" s="24"/>
      <c r="M15416" s="24"/>
      <c r="N15416" s="24"/>
      <c r="O15416" s="24"/>
      <c r="P15416" s="24"/>
      <c r="Q15416" s="24"/>
      <c r="R15416" s="24"/>
      <c r="S15416" s="24"/>
      <c r="T15416" s="24"/>
      <c r="U15416" s="24"/>
      <c r="V15416" s="24"/>
      <c r="W15416" s="24"/>
      <c r="X15416" s="24"/>
      <c r="Y15416" s="24"/>
      <c r="Z15416" s="24"/>
      <c r="AA15416" s="24"/>
    </row>
    <row r="15417">
      <c r="A15417" s="24"/>
      <c r="B15417" s="25"/>
      <c r="C15417" s="24"/>
      <c r="D15417" s="26"/>
      <c r="E15417" s="24"/>
      <c r="F15417" s="24"/>
      <c r="G15417" s="24"/>
      <c r="H15417" s="24"/>
      <c r="I15417" s="24"/>
      <c r="J15417" s="24"/>
      <c r="K15417" s="24"/>
      <c r="L15417" s="24"/>
      <c r="M15417" s="24"/>
      <c r="N15417" s="24"/>
      <c r="O15417" s="24"/>
      <c r="P15417" s="24"/>
      <c r="Q15417" s="24"/>
      <c r="R15417" s="24"/>
      <c r="S15417" s="24"/>
      <c r="T15417" s="24"/>
      <c r="U15417" s="24"/>
      <c r="V15417" s="24"/>
      <c r="W15417" s="24"/>
      <c r="X15417" s="24"/>
      <c r="Y15417" s="24"/>
      <c r="Z15417" s="24"/>
      <c r="AA15417" s="24"/>
    </row>
    <row r="15418">
      <c r="A15418" s="24"/>
      <c r="B15418" s="25"/>
      <c r="C15418" s="24"/>
      <c r="D15418" s="26"/>
      <c r="E15418" s="24"/>
      <c r="F15418" s="24"/>
      <c r="G15418" s="24"/>
      <c r="H15418" s="24"/>
      <c r="I15418" s="24"/>
      <c r="J15418" s="24"/>
      <c r="K15418" s="24"/>
      <c r="L15418" s="24"/>
      <c r="M15418" s="24"/>
      <c r="N15418" s="24"/>
      <c r="O15418" s="24"/>
      <c r="P15418" s="24"/>
      <c r="Q15418" s="24"/>
      <c r="R15418" s="24"/>
      <c r="S15418" s="24"/>
      <c r="T15418" s="24"/>
      <c r="U15418" s="24"/>
      <c r="V15418" s="24"/>
      <c r="W15418" s="24"/>
      <c r="X15418" s="24"/>
      <c r="Y15418" s="24"/>
      <c r="Z15418" s="24"/>
      <c r="AA15418" s="24"/>
    </row>
    <row r="15419">
      <c r="A15419" s="24"/>
      <c r="B15419" s="25"/>
      <c r="C15419" s="24"/>
      <c r="D15419" s="26"/>
      <c r="E15419" s="24"/>
      <c r="F15419" s="24"/>
      <c r="G15419" s="24"/>
      <c r="H15419" s="24"/>
      <c r="I15419" s="24"/>
      <c r="J15419" s="24"/>
      <c r="K15419" s="24"/>
      <c r="L15419" s="24"/>
      <c r="M15419" s="24"/>
      <c r="N15419" s="24"/>
      <c r="O15419" s="24"/>
      <c r="P15419" s="24"/>
      <c r="Q15419" s="24"/>
      <c r="R15419" s="24"/>
      <c r="S15419" s="24"/>
      <c r="T15419" s="24"/>
      <c r="U15419" s="24"/>
      <c r="V15419" s="24"/>
      <c r="W15419" s="24"/>
      <c r="X15419" s="24"/>
      <c r="Y15419" s="24"/>
      <c r="Z15419" s="24"/>
      <c r="AA15419" s="24"/>
    </row>
    <row r="15420">
      <c r="A15420" s="24"/>
      <c r="B15420" s="25"/>
      <c r="C15420" s="24"/>
      <c r="D15420" s="26"/>
      <c r="E15420" s="24"/>
      <c r="F15420" s="24"/>
      <c r="G15420" s="24"/>
      <c r="H15420" s="24"/>
      <c r="I15420" s="24"/>
      <c r="J15420" s="24"/>
      <c r="K15420" s="24"/>
      <c r="L15420" s="24"/>
      <c r="M15420" s="24"/>
      <c r="N15420" s="24"/>
      <c r="O15420" s="24"/>
      <c r="P15420" s="24"/>
      <c r="Q15420" s="24"/>
      <c r="R15420" s="24"/>
      <c r="S15420" s="24"/>
      <c r="T15420" s="24"/>
      <c r="U15420" s="24"/>
      <c r="V15420" s="24"/>
      <c r="W15420" s="24"/>
      <c r="X15420" s="24"/>
      <c r="Y15420" s="24"/>
      <c r="Z15420" s="24"/>
      <c r="AA15420" s="24"/>
    </row>
    <row r="15421">
      <c r="A15421" s="24"/>
      <c r="B15421" s="25"/>
      <c r="C15421" s="24"/>
      <c r="D15421" s="26"/>
      <c r="E15421" s="24"/>
      <c r="F15421" s="24"/>
      <c r="G15421" s="24"/>
      <c r="H15421" s="24"/>
      <c r="I15421" s="24"/>
      <c r="J15421" s="24"/>
      <c r="K15421" s="24"/>
      <c r="L15421" s="24"/>
      <c r="M15421" s="24"/>
      <c r="N15421" s="24"/>
      <c r="O15421" s="24"/>
      <c r="P15421" s="24"/>
      <c r="Q15421" s="24"/>
      <c r="R15421" s="24"/>
      <c r="S15421" s="24"/>
      <c r="T15421" s="24"/>
      <c r="U15421" s="24"/>
      <c r="V15421" s="24"/>
      <c r="W15421" s="24"/>
      <c r="X15421" s="24"/>
      <c r="Y15421" s="24"/>
      <c r="Z15421" s="24"/>
      <c r="AA15421" s="24"/>
    </row>
    <row r="15422">
      <c r="A15422" s="24"/>
      <c r="B15422" s="25"/>
      <c r="C15422" s="24"/>
      <c r="D15422" s="26"/>
      <c r="E15422" s="24"/>
      <c r="F15422" s="24"/>
      <c r="G15422" s="24"/>
      <c r="H15422" s="24"/>
      <c r="I15422" s="24"/>
      <c r="J15422" s="24"/>
      <c r="K15422" s="24"/>
      <c r="L15422" s="24"/>
      <c r="M15422" s="24"/>
      <c r="N15422" s="24"/>
      <c r="O15422" s="24"/>
      <c r="P15422" s="24"/>
      <c r="Q15422" s="24"/>
      <c r="R15422" s="24"/>
      <c r="S15422" s="24"/>
      <c r="T15422" s="24"/>
      <c r="U15422" s="24"/>
      <c r="V15422" s="24"/>
      <c r="W15422" s="24"/>
      <c r="X15422" s="24"/>
      <c r="Y15422" s="24"/>
      <c r="Z15422" s="24"/>
      <c r="AA15422" s="24"/>
    </row>
    <row r="15423">
      <c r="A15423" s="24"/>
      <c r="B15423" s="25"/>
      <c r="C15423" s="24"/>
      <c r="D15423" s="26"/>
      <c r="E15423" s="24"/>
      <c r="F15423" s="24"/>
      <c r="G15423" s="24"/>
      <c r="H15423" s="24"/>
      <c r="I15423" s="24"/>
      <c r="J15423" s="24"/>
      <c r="K15423" s="24"/>
      <c r="L15423" s="24"/>
      <c r="M15423" s="24"/>
      <c r="N15423" s="24"/>
      <c r="O15423" s="24"/>
      <c r="P15423" s="24"/>
      <c r="Q15423" s="24"/>
      <c r="R15423" s="24"/>
      <c r="S15423" s="24"/>
      <c r="T15423" s="24"/>
      <c r="U15423" s="24"/>
      <c r="V15423" s="24"/>
      <c r="W15423" s="24"/>
      <c r="X15423" s="24"/>
      <c r="Y15423" s="24"/>
      <c r="Z15423" s="24"/>
      <c r="AA15423" s="24"/>
    </row>
    <row r="15424">
      <c r="A15424" s="24"/>
      <c r="B15424" s="25"/>
      <c r="C15424" s="24"/>
      <c r="D15424" s="26"/>
      <c r="E15424" s="24"/>
      <c r="F15424" s="24"/>
      <c r="G15424" s="24"/>
      <c r="H15424" s="24"/>
      <c r="I15424" s="24"/>
      <c r="J15424" s="24"/>
      <c r="K15424" s="24"/>
      <c r="L15424" s="24"/>
      <c r="M15424" s="24"/>
      <c r="N15424" s="24"/>
      <c r="O15424" s="24"/>
      <c r="P15424" s="24"/>
      <c r="Q15424" s="24"/>
      <c r="R15424" s="24"/>
      <c r="S15424" s="24"/>
      <c r="T15424" s="24"/>
      <c r="U15424" s="24"/>
      <c r="V15424" s="24"/>
      <c r="W15424" s="24"/>
      <c r="X15424" s="24"/>
      <c r="Y15424" s="24"/>
      <c r="Z15424" s="24"/>
      <c r="AA15424" s="24"/>
    </row>
    <row r="15425">
      <c r="A15425" s="24"/>
      <c r="B15425" s="25"/>
      <c r="C15425" s="24"/>
      <c r="D15425" s="26"/>
      <c r="E15425" s="24"/>
      <c r="F15425" s="24"/>
      <c r="G15425" s="24"/>
      <c r="H15425" s="24"/>
      <c r="I15425" s="24"/>
      <c r="J15425" s="24"/>
      <c r="K15425" s="24"/>
      <c r="L15425" s="24"/>
      <c r="M15425" s="24"/>
      <c r="N15425" s="24"/>
      <c r="O15425" s="24"/>
      <c r="P15425" s="24"/>
      <c r="Q15425" s="24"/>
      <c r="R15425" s="24"/>
      <c r="S15425" s="24"/>
      <c r="T15425" s="24"/>
      <c r="U15425" s="24"/>
      <c r="V15425" s="24"/>
      <c r="W15425" s="24"/>
      <c r="X15425" s="24"/>
      <c r="Y15425" s="24"/>
      <c r="Z15425" s="24"/>
      <c r="AA15425" s="24"/>
    </row>
    <row r="15426">
      <c r="A15426" s="24"/>
      <c r="B15426" s="25"/>
      <c r="C15426" s="24"/>
      <c r="D15426" s="26"/>
      <c r="E15426" s="24"/>
      <c r="F15426" s="24"/>
      <c r="G15426" s="24"/>
      <c r="H15426" s="24"/>
      <c r="I15426" s="24"/>
      <c r="J15426" s="24"/>
      <c r="K15426" s="24"/>
      <c r="L15426" s="24"/>
      <c r="M15426" s="24"/>
      <c r="N15426" s="24"/>
      <c r="O15426" s="24"/>
      <c r="P15426" s="24"/>
      <c r="Q15426" s="24"/>
      <c r="R15426" s="24"/>
      <c r="S15426" s="24"/>
      <c r="T15426" s="24"/>
      <c r="U15426" s="24"/>
      <c r="V15426" s="24"/>
      <c r="W15426" s="24"/>
      <c r="X15426" s="24"/>
      <c r="Y15426" s="24"/>
      <c r="Z15426" s="24"/>
      <c r="AA15426" s="24"/>
    </row>
    <row r="15427">
      <c r="A15427" s="24"/>
      <c r="B15427" s="25"/>
      <c r="C15427" s="24"/>
      <c r="D15427" s="26"/>
      <c r="E15427" s="24"/>
      <c r="F15427" s="24"/>
      <c r="G15427" s="24"/>
      <c r="H15427" s="24"/>
      <c r="I15427" s="24"/>
      <c r="J15427" s="24"/>
      <c r="K15427" s="24"/>
      <c r="L15427" s="24"/>
      <c r="M15427" s="24"/>
      <c r="N15427" s="24"/>
      <c r="O15427" s="24"/>
      <c r="P15427" s="24"/>
      <c r="Q15427" s="24"/>
      <c r="R15427" s="24"/>
      <c r="S15427" s="24"/>
      <c r="T15427" s="24"/>
      <c r="U15427" s="24"/>
      <c r="V15427" s="24"/>
      <c r="W15427" s="24"/>
      <c r="X15427" s="24"/>
      <c r="Y15427" s="24"/>
      <c r="Z15427" s="24"/>
      <c r="AA15427" s="24"/>
    </row>
    <row r="15428">
      <c r="A15428" s="24"/>
      <c r="B15428" s="25"/>
      <c r="C15428" s="24"/>
      <c r="D15428" s="26"/>
      <c r="E15428" s="24"/>
      <c r="F15428" s="24"/>
      <c r="G15428" s="24"/>
      <c r="H15428" s="24"/>
      <c r="I15428" s="24"/>
      <c r="J15428" s="24"/>
      <c r="K15428" s="24"/>
      <c r="L15428" s="24"/>
      <c r="M15428" s="24"/>
      <c r="N15428" s="24"/>
      <c r="O15428" s="24"/>
      <c r="P15428" s="24"/>
      <c r="Q15428" s="24"/>
      <c r="R15428" s="24"/>
      <c r="S15428" s="24"/>
      <c r="T15428" s="24"/>
      <c r="U15428" s="24"/>
      <c r="V15428" s="24"/>
      <c r="W15428" s="24"/>
      <c r="X15428" s="24"/>
      <c r="Y15428" s="24"/>
      <c r="Z15428" s="24"/>
      <c r="AA15428" s="24"/>
    </row>
    <row r="15429">
      <c r="A15429" s="24"/>
      <c r="B15429" s="25"/>
      <c r="C15429" s="24"/>
      <c r="D15429" s="26"/>
      <c r="E15429" s="24"/>
      <c r="F15429" s="24"/>
      <c r="G15429" s="24"/>
      <c r="H15429" s="24"/>
      <c r="I15429" s="24"/>
      <c r="J15429" s="24"/>
      <c r="K15429" s="24"/>
      <c r="L15429" s="24"/>
      <c r="M15429" s="24"/>
      <c r="N15429" s="24"/>
      <c r="O15429" s="24"/>
      <c r="P15429" s="24"/>
      <c r="Q15429" s="24"/>
      <c r="R15429" s="24"/>
      <c r="S15429" s="24"/>
      <c r="T15429" s="24"/>
      <c r="U15429" s="24"/>
      <c r="V15429" s="24"/>
      <c r="W15429" s="24"/>
      <c r="X15429" s="24"/>
      <c r="Y15429" s="24"/>
      <c r="Z15429" s="24"/>
      <c r="AA15429" s="24"/>
    </row>
    <row r="15430">
      <c r="A15430" s="24"/>
      <c r="B15430" s="25"/>
      <c r="C15430" s="24"/>
      <c r="D15430" s="26"/>
      <c r="E15430" s="24"/>
      <c r="F15430" s="24"/>
      <c r="G15430" s="24"/>
      <c r="H15430" s="24"/>
      <c r="I15430" s="24"/>
      <c r="J15430" s="24"/>
      <c r="K15430" s="24"/>
      <c r="L15430" s="24"/>
      <c r="M15430" s="24"/>
      <c r="N15430" s="24"/>
      <c r="O15430" s="24"/>
      <c r="P15430" s="24"/>
      <c r="Q15430" s="24"/>
      <c r="R15430" s="24"/>
      <c r="S15430" s="24"/>
      <c r="T15430" s="24"/>
      <c r="U15430" s="24"/>
      <c r="V15430" s="24"/>
      <c r="W15430" s="24"/>
      <c r="X15430" s="24"/>
      <c r="Y15430" s="24"/>
      <c r="Z15430" s="24"/>
      <c r="AA15430" s="24"/>
    </row>
    <row r="15431">
      <c r="A15431" s="24"/>
      <c r="B15431" s="25"/>
      <c r="C15431" s="24"/>
      <c r="D15431" s="26"/>
      <c r="E15431" s="24"/>
      <c r="F15431" s="24"/>
      <c r="G15431" s="24"/>
      <c r="H15431" s="24"/>
      <c r="I15431" s="24"/>
      <c r="J15431" s="24"/>
      <c r="K15431" s="24"/>
      <c r="L15431" s="24"/>
      <c r="M15431" s="24"/>
      <c r="N15431" s="24"/>
      <c r="O15431" s="24"/>
      <c r="P15431" s="24"/>
      <c r="Q15431" s="24"/>
      <c r="R15431" s="24"/>
      <c r="S15431" s="24"/>
      <c r="T15431" s="24"/>
      <c r="U15431" s="24"/>
      <c r="V15431" s="24"/>
      <c r="W15431" s="24"/>
      <c r="X15431" s="24"/>
      <c r="Y15431" s="24"/>
      <c r="Z15431" s="24"/>
      <c r="AA15431" s="24"/>
    </row>
    <row r="15432">
      <c r="A15432" s="24"/>
      <c r="B15432" s="25"/>
      <c r="C15432" s="24"/>
      <c r="D15432" s="26"/>
      <c r="E15432" s="24"/>
      <c r="F15432" s="24"/>
      <c r="G15432" s="24"/>
      <c r="H15432" s="24"/>
      <c r="I15432" s="24"/>
      <c r="J15432" s="24"/>
      <c r="K15432" s="24"/>
      <c r="L15432" s="24"/>
      <c r="M15432" s="24"/>
      <c r="N15432" s="24"/>
      <c r="O15432" s="24"/>
      <c r="P15432" s="24"/>
      <c r="Q15432" s="24"/>
      <c r="R15432" s="24"/>
      <c r="S15432" s="24"/>
      <c r="T15432" s="24"/>
      <c r="U15432" s="24"/>
      <c r="V15432" s="24"/>
      <c r="W15432" s="24"/>
      <c r="X15432" s="24"/>
      <c r="Y15432" s="24"/>
      <c r="Z15432" s="24"/>
      <c r="AA15432" s="24"/>
    </row>
    <row r="15433">
      <c r="A15433" s="24"/>
      <c r="B15433" s="25"/>
      <c r="C15433" s="24"/>
      <c r="D15433" s="26"/>
      <c r="E15433" s="24"/>
      <c r="F15433" s="24"/>
      <c r="G15433" s="24"/>
      <c r="H15433" s="24"/>
      <c r="I15433" s="24"/>
      <c r="J15433" s="24"/>
      <c r="K15433" s="24"/>
      <c r="L15433" s="24"/>
      <c r="M15433" s="24"/>
      <c r="N15433" s="24"/>
      <c r="O15433" s="24"/>
      <c r="P15433" s="24"/>
      <c r="Q15433" s="24"/>
      <c r="R15433" s="24"/>
      <c r="S15433" s="24"/>
      <c r="T15433" s="24"/>
      <c r="U15433" s="24"/>
      <c r="V15433" s="24"/>
      <c r="W15433" s="24"/>
      <c r="X15433" s="24"/>
      <c r="Y15433" s="24"/>
      <c r="Z15433" s="24"/>
      <c r="AA15433" s="24"/>
    </row>
    <row r="15434">
      <c r="A15434" s="24"/>
      <c r="B15434" s="25"/>
      <c r="C15434" s="24"/>
      <c r="D15434" s="26"/>
      <c r="E15434" s="24"/>
      <c r="F15434" s="24"/>
      <c r="G15434" s="24"/>
      <c r="H15434" s="24"/>
      <c r="I15434" s="24"/>
      <c r="J15434" s="24"/>
      <c r="K15434" s="24"/>
      <c r="L15434" s="24"/>
      <c r="M15434" s="24"/>
      <c r="N15434" s="24"/>
      <c r="O15434" s="24"/>
      <c r="P15434" s="24"/>
      <c r="Q15434" s="24"/>
      <c r="R15434" s="24"/>
      <c r="S15434" s="24"/>
      <c r="T15434" s="24"/>
      <c r="U15434" s="24"/>
      <c r="V15434" s="24"/>
      <c r="W15434" s="24"/>
      <c r="X15434" s="24"/>
      <c r="Y15434" s="24"/>
      <c r="Z15434" s="24"/>
      <c r="AA15434" s="24"/>
    </row>
    <row r="15435">
      <c r="A15435" s="24"/>
      <c r="B15435" s="25"/>
      <c r="C15435" s="24"/>
      <c r="D15435" s="26"/>
      <c r="E15435" s="24"/>
      <c r="F15435" s="24"/>
      <c r="G15435" s="24"/>
      <c r="H15435" s="24"/>
      <c r="I15435" s="24"/>
      <c r="J15435" s="24"/>
      <c r="K15435" s="24"/>
      <c r="L15435" s="24"/>
      <c r="M15435" s="24"/>
      <c r="N15435" s="24"/>
      <c r="O15435" s="24"/>
      <c r="P15435" s="24"/>
      <c r="Q15435" s="24"/>
      <c r="R15435" s="24"/>
      <c r="S15435" s="24"/>
      <c r="T15435" s="24"/>
      <c r="U15435" s="24"/>
      <c r="V15435" s="24"/>
      <c r="W15435" s="24"/>
      <c r="X15435" s="24"/>
      <c r="Y15435" s="24"/>
      <c r="Z15435" s="24"/>
      <c r="AA15435" s="24"/>
    </row>
    <row r="15436">
      <c r="A15436" s="24"/>
      <c r="B15436" s="25"/>
      <c r="C15436" s="24"/>
      <c r="D15436" s="26"/>
      <c r="E15436" s="24"/>
      <c r="F15436" s="24"/>
      <c r="G15436" s="24"/>
      <c r="H15436" s="24"/>
      <c r="I15436" s="24"/>
      <c r="J15436" s="24"/>
      <c r="K15436" s="24"/>
      <c r="L15436" s="24"/>
      <c r="M15436" s="24"/>
      <c r="N15436" s="24"/>
      <c r="O15436" s="24"/>
      <c r="P15436" s="24"/>
      <c r="Q15436" s="24"/>
      <c r="R15436" s="24"/>
      <c r="S15436" s="24"/>
      <c r="T15436" s="24"/>
      <c r="U15436" s="24"/>
      <c r="V15436" s="24"/>
      <c r="W15436" s="24"/>
      <c r="X15436" s="24"/>
      <c r="Y15436" s="24"/>
      <c r="Z15436" s="24"/>
      <c r="AA15436" s="24"/>
    </row>
    <row r="15437">
      <c r="A15437" s="24"/>
      <c r="B15437" s="25"/>
      <c r="C15437" s="24"/>
      <c r="D15437" s="26"/>
      <c r="E15437" s="24"/>
      <c r="F15437" s="24"/>
      <c r="G15437" s="24"/>
      <c r="H15437" s="24"/>
      <c r="I15437" s="24"/>
      <c r="J15437" s="24"/>
      <c r="K15437" s="24"/>
      <c r="L15437" s="24"/>
      <c r="M15437" s="24"/>
      <c r="N15437" s="24"/>
      <c r="O15437" s="24"/>
      <c r="P15437" s="24"/>
      <c r="Q15437" s="24"/>
      <c r="R15437" s="24"/>
      <c r="S15437" s="24"/>
      <c r="T15437" s="24"/>
      <c r="U15437" s="24"/>
      <c r="V15437" s="24"/>
      <c r="W15437" s="24"/>
      <c r="X15437" s="24"/>
      <c r="Y15437" s="24"/>
      <c r="Z15437" s="24"/>
      <c r="AA15437" s="24"/>
    </row>
    <row r="15438">
      <c r="A15438" s="24"/>
      <c r="B15438" s="25"/>
      <c r="C15438" s="24"/>
      <c r="D15438" s="26"/>
      <c r="E15438" s="24"/>
      <c r="F15438" s="24"/>
      <c r="G15438" s="24"/>
      <c r="H15438" s="24"/>
      <c r="I15438" s="24"/>
      <c r="J15438" s="24"/>
      <c r="K15438" s="24"/>
      <c r="L15438" s="24"/>
      <c r="M15438" s="24"/>
      <c r="N15438" s="24"/>
      <c r="O15438" s="24"/>
      <c r="P15438" s="24"/>
      <c r="Q15438" s="24"/>
      <c r="R15438" s="24"/>
      <c r="S15438" s="24"/>
      <c r="T15438" s="24"/>
      <c r="U15438" s="24"/>
      <c r="V15438" s="24"/>
      <c r="W15438" s="24"/>
      <c r="X15438" s="24"/>
      <c r="Y15438" s="24"/>
      <c r="Z15438" s="24"/>
      <c r="AA15438" s="24"/>
    </row>
    <row r="15439">
      <c r="A15439" s="24"/>
      <c r="B15439" s="25"/>
      <c r="C15439" s="24"/>
      <c r="D15439" s="26"/>
      <c r="E15439" s="24"/>
      <c r="F15439" s="24"/>
      <c r="G15439" s="24"/>
      <c r="H15439" s="24"/>
      <c r="I15439" s="24"/>
      <c r="J15439" s="24"/>
      <c r="K15439" s="24"/>
      <c r="L15439" s="24"/>
      <c r="M15439" s="24"/>
      <c r="N15439" s="24"/>
      <c r="O15439" s="24"/>
      <c r="P15439" s="24"/>
      <c r="Q15439" s="24"/>
      <c r="R15439" s="24"/>
      <c r="S15439" s="24"/>
      <c r="T15439" s="24"/>
      <c r="U15439" s="24"/>
      <c r="V15439" s="24"/>
      <c r="W15439" s="24"/>
      <c r="X15439" s="24"/>
      <c r="Y15439" s="24"/>
      <c r="Z15439" s="24"/>
      <c r="AA15439" s="24"/>
    </row>
    <row r="15440">
      <c r="A15440" s="24"/>
      <c r="B15440" s="25"/>
      <c r="C15440" s="24"/>
      <c r="D15440" s="26"/>
      <c r="E15440" s="24"/>
      <c r="F15440" s="24"/>
      <c r="G15440" s="24"/>
      <c r="H15440" s="24"/>
      <c r="I15440" s="24"/>
      <c r="J15440" s="24"/>
      <c r="K15440" s="24"/>
      <c r="L15440" s="24"/>
      <c r="M15440" s="24"/>
      <c r="N15440" s="24"/>
      <c r="O15440" s="24"/>
      <c r="P15440" s="24"/>
      <c r="Q15440" s="24"/>
      <c r="R15440" s="24"/>
      <c r="S15440" s="24"/>
      <c r="T15440" s="24"/>
      <c r="U15440" s="24"/>
      <c r="V15440" s="24"/>
      <c r="W15440" s="24"/>
      <c r="X15440" s="24"/>
      <c r="Y15440" s="24"/>
      <c r="Z15440" s="24"/>
      <c r="AA15440" s="24"/>
    </row>
    <row r="15441">
      <c r="A15441" s="24"/>
      <c r="B15441" s="25"/>
      <c r="C15441" s="24"/>
      <c r="D15441" s="26"/>
      <c r="E15441" s="24"/>
      <c r="F15441" s="24"/>
      <c r="G15441" s="24"/>
      <c r="H15441" s="24"/>
      <c r="I15441" s="24"/>
      <c r="J15441" s="24"/>
      <c r="K15441" s="24"/>
      <c r="L15441" s="24"/>
      <c r="M15441" s="24"/>
      <c r="N15441" s="24"/>
      <c r="O15441" s="24"/>
      <c r="P15441" s="24"/>
      <c r="Q15441" s="24"/>
      <c r="R15441" s="24"/>
      <c r="S15441" s="24"/>
      <c r="T15441" s="24"/>
      <c r="U15441" s="24"/>
      <c r="V15441" s="24"/>
      <c r="W15441" s="24"/>
      <c r="X15441" s="24"/>
      <c r="Y15441" s="24"/>
      <c r="Z15441" s="24"/>
      <c r="AA15441" s="24"/>
    </row>
    <row r="15442">
      <c r="A15442" s="24"/>
      <c r="B15442" s="25"/>
      <c r="C15442" s="24"/>
      <c r="D15442" s="26"/>
      <c r="E15442" s="24"/>
      <c r="F15442" s="24"/>
      <c r="G15442" s="24"/>
      <c r="H15442" s="24"/>
      <c r="I15442" s="24"/>
      <c r="J15442" s="24"/>
      <c r="K15442" s="24"/>
      <c r="L15442" s="24"/>
      <c r="M15442" s="24"/>
      <c r="N15442" s="24"/>
      <c r="O15442" s="24"/>
      <c r="P15442" s="24"/>
      <c r="Q15442" s="24"/>
      <c r="R15442" s="24"/>
      <c r="S15442" s="24"/>
      <c r="T15442" s="24"/>
      <c r="U15442" s="24"/>
      <c r="V15442" s="24"/>
      <c r="W15442" s="24"/>
      <c r="X15442" s="24"/>
      <c r="Y15442" s="24"/>
      <c r="Z15442" s="24"/>
      <c r="AA15442" s="24"/>
    </row>
    <row r="15443">
      <c r="A15443" s="24"/>
      <c r="B15443" s="25"/>
      <c r="C15443" s="24"/>
      <c r="D15443" s="26"/>
      <c r="E15443" s="24"/>
      <c r="F15443" s="24"/>
      <c r="G15443" s="24"/>
      <c r="H15443" s="24"/>
      <c r="I15443" s="24"/>
      <c r="J15443" s="24"/>
      <c r="K15443" s="24"/>
      <c r="L15443" s="24"/>
      <c r="M15443" s="24"/>
      <c r="N15443" s="24"/>
      <c r="O15443" s="24"/>
      <c r="P15443" s="24"/>
      <c r="Q15443" s="24"/>
      <c r="R15443" s="24"/>
      <c r="S15443" s="24"/>
      <c r="T15443" s="24"/>
      <c r="U15443" s="24"/>
      <c r="V15443" s="24"/>
      <c r="W15443" s="24"/>
      <c r="X15443" s="24"/>
      <c r="Y15443" s="24"/>
      <c r="Z15443" s="24"/>
      <c r="AA15443" s="24"/>
    </row>
    <row r="15444">
      <c r="A15444" s="24"/>
      <c r="B15444" s="25"/>
      <c r="C15444" s="24"/>
      <c r="D15444" s="26"/>
      <c r="E15444" s="24"/>
      <c r="F15444" s="24"/>
      <c r="G15444" s="24"/>
      <c r="H15444" s="24"/>
      <c r="I15444" s="24"/>
      <c r="J15444" s="24"/>
      <c r="K15444" s="24"/>
      <c r="L15444" s="24"/>
      <c r="M15444" s="24"/>
      <c r="N15444" s="24"/>
      <c r="O15444" s="24"/>
      <c r="P15444" s="24"/>
      <c r="Q15444" s="24"/>
      <c r="R15444" s="24"/>
      <c r="S15444" s="24"/>
      <c r="T15444" s="24"/>
      <c r="U15444" s="24"/>
      <c r="V15444" s="24"/>
      <c r="W15444" s="24"/>
      <c r="X15444" s="24"/>
      <c r="Y15444" s="24"/>
      <c r="Z15444" s="24"/>
      <c r="AA15444" s="24"/>
    </row>
    <row r="15445">
      <c r="A15445" s="24"/>
      <c r="B15445" s="25"/>
      <c r="C15445" s="24"/>
      <c r="D15445" s="26"/>
      <c r="E15445" s="24"/>
      <c r="F15445" s="24"/>
      <c r="G15445" s="24"/>
      <c r="H15445" s="24"/>
      <c r="I15445" s="24"/>
      <c r="J15445" s="24"/>
      <c r="K15445" s="24"/>
      <c r="L15445" s="24"/>
      <c r="M15445" s="24"/>
      <c r="N15445" s="24"/>
      <c r="O15445" s="24"/>
      <c r="P15445" s="24"/>
      <c r="Q15445" s="24"/>
      <c r="R15445" s="24"/>
      <c r="S15445" s="24"/>
      <c r="T15445" s="24"/>
      <c r="U15445" s="24"/>
      <c r="V15445" s="24"/>
      <c r="W15445" s="24"/>
      <c r="X15445" s="24"/>
      <c r="Y15445" s="24"/>
      <c r="Z15445" s="24"/>
      <c r="AA15445" s="24"/>
    </row>
    <row r="15446">
      <c r="A15446" s="24"/>
      <c r="B15446" s="25"/>
      <c r="C15446" s="24"/>
      <c r="D15446" s="26"/>
      <c r="E15446" s="24"/>
      <c r="F15446" s="24"/>
      <c r="G15446" s="24"/>
      <c r="H15446" s="24"/>
      <c r="I15446" s="24"/>
      <c r="J15446" s="24"/>
      <c r="K15446" s="24"/>
      <c r="L15446" s="24"/>
      <c r="M15446" s="24"/>
      <c r="N15446" s="24"/>
      <c r="O15446" s="24"/>
      <c r="P15446" s="24"/>
      <c r="Q15446" s="24"/>
      <c r="R15446" s="24"/>
      <c r="S15446" s="24"/>
      <c r="T15446" s="24"/>
      <c r="U15446" s="24"/>
      <c r="V15446" s="24"/>
      <c r="W15446" s="24"/>
      <c r="X15446" s="24"/>
      <c r="Y15446" s="24"/>
      <c r="Z15446" s="24"/>
      <c r="AA15446" s="24"/>
    </row>
    <row r="15447">
      <c r="A15447" s="24"/>
      <c r="B15447" s="25"/>
      <c r="C15447" s="24"/>
      <c r="D15447" s="26"/>
      <c r="E15447" s="24"/>
      <c r="F15447" s="24"/>
      <c r="G15447" s="24"/>
      <c r="H15447" s="24"/>
      <c r="I15447" s="24"/>
      <c r="J15447" s="24"/>
      <c r="K15447" s="24"/>
      <c r="L15447" s="24"/>
      <c r="M15447" s="24"/>
      <c r="N15447" s="24"/>
      <c r="O15447" s="24"/>
      <c r="P15447" s="24"/>
      <c r="Q15447" s="24"/>
      <c r="R15447" s="24"/>
      <c r="S15447" s="24"/>
      <c r="T15447" s="24"/>
      <c r="U15447" s="24"/>
      <c r="V15447" s="24"/>
      <c r="W15447" s="24"/>
      <c r="X15447" s="24"/>
      <c r="Y15447" s="24"/>
      <c r="Z15447" s="24"/>
      <c r="AA15447" s="24"/>
    </row>
    <row r="15448">
      <c r="A15448" s="24"/>
      <c r="B15448" s="25"/>
      <c r="C15448" s="24"/>
      <c r="D15448" s="26"/>
      <c r="E15448" s="24"/>
      <c r="F15448" s="24"/>
      <c r="G15448" s="24"/>
      <c r="H15448" s="24"/>
      <c r="I15448" s="24"/>
      <c r="J15448" s="24"/>
      <c r="K15448" s="24"/>
      <c r="L15448" s="24"/>
      <c r="M15448" s="24"/>
      <c r="N15448" s="24"/>
      <c r="O15448" s="24"/>
      <c r="P15448" s="24"/>
      <c r="Q15448" s="24"/>
      <c r="R15448" s="24"/>
      <c r="S15448" s="24"/>
      <c r="T15448" s="24"/>
      <c r="U15448" s="24"/>
      <c r="V15448" s="24"/>
      <c r="W15448" s="24"/>
      <c r="X15448" s="24"/>
      <c r="Y15448" s="24"/>
      <c r="Z15448" s="24"/>
      <c r="AA15448" s="24"/>
    </row>
    <row r="15449">
      <c r="A15449" s="24"/>
      <c r="B15449" s="25"/>
      <c r="C15449" s="24"/>
      <c r="D15449" s="26"/>
      <c r="E15449" s="24"/>
      <c r="F15449" s="24"/>
      <c r="G15449" s="24"/>
      <c r="H15449" s="24"/>
      <c r="I15449" s="24"/>
      <c r="J15449" s="24"/>
      <c r="K15449" s="24"/>
      <c r="L15449" s="24"/>
      <c r="M15449" s="24"/>
      <c r="N15449" s="24"/>
      <c r="O15449" s="24"/>
      <c r="P15449" s="24"/>
      <c r="Q15449" s="24"/>
      <c r="R15449" s="24"/>
      <c r="S15449" s="24"/>
      <c r="T15449" s="24"/>
      <c r="U15449" s="24"/>
      <c r="V15449" s="24"/>
      <c r="W15449" s="24"/>
      <c r="X15449" s="24"/>
      <c r="Y15449" s="24"/>
      <c r="Z15449" s="24"/>
      <c r="AA15449" s="24"/>
    </row>
    <row r="15450">
      <c r="A15450" s="24"/>
      <c r="B15450" s="25"/>
      <c r="C15450" s="24"/>
      <c r="D15450" s="26"/>
      <c r="E15450" s="24"/>
      <c r="F15450" s="24"/>
      <c r="G15450" s="24"/>
      <c r="H15450" s="24"/>
      <c r="I15450" s="24"/>
      <c r="J15450" s="24"/>
      <c r="K15450" s="24"/>
      <c r="L15450" s="24"/>
      <c r="M15450" s="24"/>
      <c r="N15450" s="24"/>
      <c r="O15450" s="24"/>
      <c r="P15450" s="24"/>
      <c r="Q15450" s="24"/>
      <c r="R15450" s="24"/>
      <c r="S15450" s="24"/>
      <c r="T15450" s="24"/>
      <c r="U15450" s="24"/>
      <c r="V15450" s="24"/>
      <c r="W15450" s="24"/>
      <c r="X15450" s="24"/>
      <c r="Y15450" s="24"/>
      <c r="Z15450" s="24"/>
      <c r="AA15450" s="24"/>
    </row>
    <row r="15451">
      <c r="A15451" s="24"/>
      <c r="B15451" s="25"/>
      <c r="C15451" s="24"/>
      <c r="D15451" s="26"/>
      <c r="E15451" s="24"/>
      <c r="F15451" s="24"/>
      <c r="G15451" s="24"/>
      <c r="H15451" s="24"/>
      <c r="I15451" s="24"/>
      <c r="J15451" s="24"/>
      <c r="K15451" s="24"/>
      <c r="L15451" s="24"/>
      <c r="M15451" s="24"/>
      <c r="N15451" s="24"/>
      <c r="O15451" s="24"/>
      <c r="P15451" s="24"/>
      <c r="Q15451" s="24"/>
      <c r="R15451" s="24"/>
      <c r="S15451" s="24"/>
      <c r="T15451" s="24"/>
      <c r="U15451" s="24"/>
      <c r="V15451" s="24"/>
      <c r="W15451" s="24"/>
      <c r="X15451" s="24"/>
      <c r="Y15451" s="24"/>
      <c r="Z15451" s="24"/>
      <c r="AA15451" s="24"/>
    </row>
    <row r="15452">
      <c r="A15452" s="24"/>
      <c r="B15452" s="25"/>
      <c r="C15452" s="24"/>
      <c r="D15452" s="26"/>
      <c r="E15452" s="24"/>
      <c r="F15452" s="24"/>
      <c r="G15452" s="24"/>
      <c r="H15452" s="24"/>
      <c r="I15452" s="24"/>
      <c r="J15452" s="24"/>
      <c r="K15452" s="24"/>
      <c r="L15452" s="24"/>
      <c r="M15452" s="24"/>
      <c r="N15452" s="24"/>
      <c r="O15452" s="24"/>
      <c r="P15452" s="24"/>
      <c r="Q15452" s="24"/>
      <c r="R15452" s="24"/>
      <c r="S15452" s="24"/>
      <c r="T15452" s="24"/>
      <c r="U15452" s="24"/>
      <c r="V15452" s="24"/>
      <c r="W15452" s="24"/>
      <c r="X15452" s="24"/>
      <c r="Y15452" s="24"/>
      <c r="Z15452" s="24"/>
      <c r="AA15452" s="24"/>
    </row>
    <row r="15453">
      <c r="A15453" s="24"/>
      <c r="B15453" s="25"/>
      <c r="C15453" s="24"/>
      <c r="D15453" s="26"/>
      <c r="E15453" s="24"/>
      <c r="F15453" s="24"/>
      <c r="G15453" s="24"/>
      <c r="H15453" s="24"/>
      <c r="I15453" s="24"/>
      <c r="J15453" s="24"/>
      <c r="K15453" s="24"/>
      <c r="L15453" s="24"/>
      <c r="M15453" s="24"/>
      <c r="N15453" s="24"/>
      <c r="O15453" s="24"/>
      <c r="P15453" s="24"/>
      <c r="Q15453" s="24"/>
      <c r="R15453" s="24"/>
      <c r="S15453" s="24"/>
      <c r="T15453" s="24"/>
      <c r="U15453" s="24"/>
      <c r="V15453" s="24"/>
      <c r="W15453" s="24"/>
      <c r="X15453" s="24"/>
      <c r="Y15453" s="24"/>
      <c r="Z15453" s="24"/>
      <c r="AA15453" s="24"/>
    </row>
    <row r="15454">
      <c r="A15454" s="24"/>
      <c r="B15454" s="25"/>
      <c r="C15454" s="24"/>
      <c r="D15454" s="26"/>
      <c r="E15454" s="24"/>
      <c r="F15454" s="24"/>
      <c r="G15454" s="24"/>
      <c r="H15454" s="24"/>
      <c r="I15454" s="24"/>
      <c r="J15454" s="24"/>
      <c r="K15454" s="24"/>
      <c r="L15454" s="24"/>
      <c r="M15454" s="24"/>
      <c r="N15454" s="24"/>
      <c r="O15454" s="24"/>
      <c r="P15454" s="24"/>
      <c r="Q15454" s="24"/>
      <c r="R15454" s="24"/>
      <c r="S15454" s="24"/>
      <c r="T15454" s="24"/>
      <c r="U15454" s="24"/>
      <c r="V15454" s="24"/>
      <c r="W15454" s="24"/>
      <c r="X15454" s="24"/>
      <c r="Y15454" s="24"/>
      <c r="Z15454" s="24"/>
      <c r="AA15454" s="24"/>
    </row>
    <row r="15455">
      <c r="A15455" s="24"/>
      <c r="B15455" s="25"/>
      <c r="C15455" s="24"/>
      <c r="D15455" s="26"/>
      <c r="E15455" s="24"/>
      <c r="F15455" s="24"/>
      <c r="G15455" s="24"/>
      <c r="H15455" s="24"/>
      <c r="I15455" s="24"/>
      <c r="J15455" s="24"/>
      <c r="K15455" s="24"/>
      <c r="L15455" s="24"/>
      <c r="M15455" s="24"/>
      <c r="N15455" s="24"/>
      <c r="O15455" s="24"/>
      <c r="P15455" s="24"/>
      <c r="Q15455" s="24"/>
      <c r="R15455" s="24"/>
      <c r="S15455" s="24"/>
      <c r="T15455" s="24"/>
      <c r="U15455" s="24"/>
      <c r="V15455" s="24"/>
      <c r="W15455" s="24"/>
      <c r="X15455" s="24"/>
      <c r="Y15455" s="24"/>
      <c r="Z15455" s="24"/>
      <c r="AA15455" s="24"/>
    </row>
    <row r="15456">
      <c r="A15456" s="24"/>
      <c r="B15456" s="25"/>
      <c r="C15456" s="24"/>
      <c r="D15456" s="26"/>
      <c r="E15456" s="24"/>
      <c r="F15456" s="24"/>
      <c r="G15456" s="24"/>
      <c r="H15456" s="24"/>
      <c r="I15456" s="24"/>
      <c r="J15456" s="24"/>
      <c r="K15456" s="24"/>
      <c r="L15456" s="24"/>
      <c r="M15456" s="24"/>
      <c r="N15456" s="24"/>
      <c r="O15456" s="24"/>
      <c r="P15456" s="24"/>
      <c r="Q15456" s="24"/>
      <c r="R15456" s="24"/>
      <c r="S15456" s="24"/>
      <c r="T15456" s="24"/>
      <c r="U15456" s="24"/>
      <c r="V15456" s="24"/>
      <c r="W15456" s="24"/>
      <c r="X15456" s="24"/>
      <c r="Y15456" s="24"/>
      <c r="Z15456" s="24"/>
      <c r="AA15456" s="24"/>
    </row>
    <row r="15457">
      <c r="A15457" s="24"/>
      <c r="B15457" s="25"/>
      <c r="C15457" s="24"/>
      <c r="D15457" s="26"/>
      <c r="E15457" s="24"/>
      <c r="F15457" s="24"/>
      <c r="G15457" s="24"/>
      <c r="H15457" s="24"/>
      <c r="I15457" s="24"/>
      <c r="J15457" s="24"/>
      <c r="K15457" s="24"/>
      <c r="L15457" s="24"/>
      <c r="M15457" s="24"/>
      <c r="N15457" s="24"/>
      <c r="O15457" s="24"/>
      <c r="P15457" s="24"/>
      <c r="Q15457" s="24"/>
      <c r="R15457" s="24"/>
      <c r="S15457" s="24"/>
      <c r="T15457" s="24"/>
      <c r="U15457" s="24"/>
      <c r="V15457" s="24"/>
      <c r="W15457" s="24"/>
      <c r="X15457" s="24"/>
      <c r="Y15457" s="24"/>
      <c r="Z15457" s="24"/>
      <c r="AA15457" s="24"/>
    </row>
    <row r="15458">
      <c r="A15458" s="24"/>
      <c r="B15458" s="25"/>
      <c r="C15458" s="24"/>
      <c r="D15458" s="26"/>
      <c r="E15458" s="24"/>
      <c r="F15458" s="24"/>
      <c r="G15458" s="24"/>
      <c r="H15458" s="24"/>
      <c r="I15458" s="24"/>
      <c r="J15458" s="24"/>
      <c r="K15458" s="24"/>
      <c r="L15458" s="24"/>
      <c r="M15458" s="24"/>
      <c r="N15458" s="24"/>
      <c r="O15458" s="24"/>
      <c r="P15458" s="24"/>
      <c r="Q15458" s="24"/>
      <c r="R15458" s="24"/>
      <c r="S15458" s="24"/>
      <c r="T15458" s="24"/>
      <c r="U15458" s="24"/>
      <c r="V15458" s="24"/>
      <c r="W15458" s="24"/>
      <c r="X15458" s="24"/>
      <c r="Y15458" s="24"/>
      <c r="Z15458" s="24"/>
      <c r="AA15458" s="24"/>
    </row>
    <row r="15459">
      <c r="A15459" s="24"/>
      <c r="B15459" s="25"/>
      <c r="C15459" s="24"/>
      <c r="D15459" s="26"/>
      <c r="E15459" s="24"/>
      <c r="F15459" s="24"/>
      <c r="G15459" s="24"/>
      <c r="H15459" s="24"/>
      <c r="I15459" s="24"/>
      <c r="J15459" s="24"/>
      <c r="K15459" s="24"/>
      <c r="L15459" s="24"/>
      <c r="M15459" s="24"/>
      <c r="N15459" s="24"/>
      <c r="O15459" s="24"/>
      <c r="P15459" s="24"/>
      <c r="Q15459" s="24"/>
      <c r="R15459" s="24"/>
      <c r="S15459" s="24"/>
      <c r="T15459" s="24"/>
      <c r="U15459" s="24"/>
      <c r="V15459" s="24"/>
      <c r="W15459" s="24"/>
      <c r="X15459" s="24"/>
      <c r="Y15459" s="24"/>
      <c r="Z15459" s="24"/>
      <c r="AA15459" s="24"/>
    </row>
    <row r="15460">
      <c r="A15460" s="24"/>
      <c r="B15460" s="25"/>
      <c r="C15460" s="24"/>
      <c r="D15460" s="26"/>
      <c r="E15460" s="24"/>
      <c r="F15460" s="24"/>
      <c r="G15460" s="24"/>
      <c r="H15460" s="24"/>
      <c r="I15460" s="24"/>
      <c r="J15460" s="24"/>
      <c r="K15460" s="24"/>
      <c r="L15460" s="24"/>
      <c r="M15460" s="24"/>
      <c r="N15460" s="24"/>
      <c r="O15460" s="24"/>
      <c r="P15460" s="24"/>
      <c r="Q15460" s="24"/>
      <c r="R15460" s="24"/>
      <c r="S15460" s="24"/>
      <c r="T15460" s="24"/>
      <c r="U15460" s="24"/>
      <c r="V15460" s="24"/>
      <c r="W15460" s="24"/>
      <c r="X15460" s="24"/>
      <c r="Y15460" s="24"/>
      <c r="Z15460" s="24"/>
      <c r="AA15460" s="24"/>
    </row>
    <row r="15461">
      <c r="A15461" s="24"/>
      <c r="B15461" s="25"/>
      <c r="C15461" s="24"/>
      <c r="D15461" s="26"/>
      <c r="E15461" s="24"/>
      <c r="F15461" s="24"/>
      <c r="G15461" s="24"/>
      <c r="H15461" s="24"/>
      <c r="I15461" s="24"/>
      <c r="J15461" s="24"/>
      <c r="K15461" s="24"/>
      <c r="L15461" s="24"/>
      <c r="M15461" s="24"/>
      <c r="N15461" s="24"/>
      <c r="O15461" s="24"/>
      <c r="P15461" s="24"/>
      <c r="Q15461" s="24"/>
      <c r="R15461" s="24"/>
      <c r="S15461" s="24"/>
      <c r="T15461" s="24"/>
      <c r="U15461" s="24"/>
      <c r="V15461" s="24"/>
      <c r="W15461" s="24"/>
      <c r="X15461" s="24"/>
      <c r="Y15461" s="24"/>
      <c r="Z15461" s="24"/>
      <c r="AA15461" s="24"/>
    </row>
    <row r="15462">
      <c r="A15462" s="24"/>
      <c r="B15462" s="25"/>
      <c r="C15462" s="24"/>
      <c r="D15462" s="26"/>
      <c r="E15462" s="24"/>
      <c r="F15462" s="24"/>
      <c r="G15462" s="24"/>
      <c r="H15462" s="24"/>
      <c r="I15462" s="24"/>
      <c r="J15462" s="24"/>
      <c r="K15462" s="24"/>
      <c r="L15462" s="24"/>
      <c r="M15462" s="24"/>
      <c r="N15462" s="24"/>
      <c r="O15462" s="24"/>
      <c r="P15462" s="24"/>
      <c r="Q15462" s="24"/>
      <c r="R15462" s="24"/>
      <c r="S15462" s="24"/>
      <c r="T15462" s="24"/>
      <c r="U15462" s="24"/>
      <c r="V15462" s="24"/>
      <c r="W15462" s="24"/>
      <c r="X15462" s="24"/>
      <c r="Y15462" s="24"/>
      <c r="Z15462" s="24"/>
      <c r="AA15462" s="24"/>
    </row>
    <row r="15463">
      <c r="A15463" s="24"/>
      <c r="B15463" s="25"/>
      <c r="C15463" s="24"/>
      <c r="D15463" s="26"/>
      <c r="E15463" s="24"/>
      <c r="F15463" s="24"/>
      <c r="G15463" s="24"/>
      <c r="H15463" s="24"/>
      <c r="I15463" s="24"/>
      <c r="J15463" s="24"/>
      <c r="K15463" s="24"/>
      <c r="L15463" s="24"/>
      <c r="M15463" s="24"/>
      <c r="N15463" s="24"/>
      <c r="O15463" s="24"/>
      <c r="P15463" s="24"/>
      <c r="Q15463" s="24"/>
      <c r="R15463" s="24"/>
      <c r="S15463" s="24"/>
      <c r="T15463" s="24"/>
      <c r="U15463" s="24"/>
      <c r="V15463" s="24"/>
      <c r="W15463" s="24"/>
      <c r="X15463" s="24"/>
      <c r="Y15463" s="24"/>
      <c r="Z15463" s="24"/>
      <c r="AA15463" s="24"/>
    </row>
    <row r="15464">
      <c r="A15464" s="24"/>
      <c r="B15464" s="25"/>
      <c r="C15464" s="24"/>
      <c r="D15464" s="26"/>
      <c r="E15464" s="24"/>
      <c r="F15464" s="24"/>
      <c r="G15464" s="24"/>
      <c r="H15464" s="24"/>
      <c r="I15464" s="24"/>
      <c r="J15464" s="24"/>
      <c r="K15464" s="24"/>
      <c r="L15464" s="24"/>
      <c r="M15464" s="24"/>
      <c r="N15464" s="24"/>
      <c r="O15464" s="24"/>
      <c r="P15464" s="24"/>
      <c r="Q15464" s="24"/>
      <c r="R15464" s="24"/>
      <c r="S15464" s="24"/>
      <c r="T15464" s="24"/>
      <c r="U15464" s="24"/>
      <c r="V15464" s="24"/>
      <c r="W15464" s="24"/>
      <c r="X15464" s="24"/>
      <c r="Y15464" s="24"/>
      <c r="Z15464" s="24"/>
      <c r="AA15464" s="24"/>
    </row>
    <row r="15465">
      <c r="A15465" s="24"/>
      <c r="B15465" s="25"/>
      <c r="C15465" s="24"/>
      <c r="D15465" s="26"/>
      <c r="E15465" s="24"/>
      <c r="F15465" s="24"/>
      <c r="G15465" s="24"/>
      <c r="H15465" s="24"/>
      <c r="I15465" s="24"/>
      <c r="J15465" s="24"/>
      <c r="K15465" s="24"/>
      <c r="L15465" s="24"/>
      <c r="M15465" s="24"/>
      <c r="N15465" s="24"/>
      <c r="O15465" s="24"/>
      <c r="P15465" s="24"/>
      <c r="Q15465" s="24"/>
      <c r="R15465" s="24"/>
      <c r="S15465" s="24"/>
      <c r="T15465" s="24"/>
      <c r="U15465" s="24"/>
      <c r="V15465" s="24"/>
      <c r="W15465" s="24"/>
      <c r="X15465" s="24"/>
      <c r="Y15465" s="24"/>
      <c r="Z15465" s="24"/>
      <c r="AA15465" s="24"/>
    </row>
    <row r="15466">
      <c r="A15466" s="24"/>
      <c r="B15466" s="25"/>
      <c r="C15466" s="24"/>
      <c r="D15466" s="26"/>
      <c r="E15466" s="24"/>
      <c r="F15466" s="24"/>
      <c r="G15466" s="24"/>
      <c r="H15466" s="24"/>
      <c r="I15466" s="24"/>
      <c r="J15466" s="24"/>
      <c r="K15466" s="24"/>
      <c r="L15466" s="24"/>
      <c r="M15466" s="24"/>
      <c r="N15466" s="24"/>
      <c r="O15466" s="24"/>
      <c r="P15466" s="24"/>
      <c r="Q15466" s="24"/>
      <c r="R15466" s="24"/>
      <c r="S15466" s="24"/>
      <c r="T15466" s="24"/>
      <c r="U15466" s="24"/>
      <c r="V15466" s="24"/>
      <c r="W15466" s="24"/>
      <c r="X15466" s="24"/>
      <c r="Y15466" s="24"/>
      <c r="Z15466" s="24"/>
      <c r="AA15466" s="24"/>
    </row>
    <row r="15467">
      <c r="A15467" s="24"/>
      <c r="B15467" s="25"/>
      <c r="C15467" s="24"/>
      <c r="D15467" s="26"/>
      <c r="E15467" s="24"/>
      <c r="F15467" s="24"/>
      <c r="G15467" s="24"/>
      <c r="H15467" s="24"/>
      <c r="I15467" s="24"/>
      <c r="J15467" s="24"/>
      <c r="K15467" s="24"/>
      <c r="L15467" s="24"/>
      <c r="M15467" s="24"/>
      <c r="N15467" s="24"/>
      <c r="O15467" s="24"/>
      <c r="P15467" s="24"/>
      <c r="Q15467" s="24"/>
      <c r="R15467" s="24"/>
      <c r="S15467" s="24"/>
      <c r="T15467" s="24"/>
      <c r="U15467" s="24"/>
      <c r="V15467" s="24"/>
      <c r="W15467" s="24"/>
      <c r="X15467" s="24"/>
      <c r="Y15467" s="24"/>
      <c r="Z15467" s="24"/>
      <c r="AA15467" s="24"/>
    </row>
    <row r="15468">
      <c r="A15468" s="24"/>
      <c r="B15468" s="25"/>
      <c r="C15468" s="24"/>
      <c r="D15468" s="26"/>
      <c r="E15468" s="24"/>
      <c r="F15468" s="24"/>
      <c r="G15468" s="24"/>
      <c r="H15468" s="24"/>
      <c r="I15468" s="24"/>
      <c r="J15468" s="24"/>
      <c r="K15468" s="24"/>
      <c r="L15468" s="24"/>
      <c r="M15468" s="24"/>
      <c r="N15468" s="24"/>
      <c r="O15468" s="24"/>
      <c r="P15468" s="24"/>
      <c r="Q15468" s="24"/>
      <c r="R15468" s="24"/>
      <c r="S15468" s="24"/>
      <c r="T15468" s="24"/>
      <c r="U15468" s="24"/>
      <c r="V15468" s="24"/>
      <c r="W15468" s="24"/>
      <c r="X15468" s="24"/>
      <c r="Y15468" s="24"/>
      <c r="Z15468" s="24"/>
      <c r="AA15468" s="24"/>
    </row>
    <row r="15469">
      <c r="A15469" s="24"/>
      <c r="B15469" s="25"/>
      <c r="C15469" s="24"/>
      <c r="D15469" s="26"/>
      <c r="E15469" s="24"/>
      <c r="F15469" s="24"/>
      <c r="G15469" s="24"/>
      <c r="H15469" s="24"/>
      <c r="I15469" s="24"/>
      <c r="J15469" s="24"/>
      <c r="K15469" s="24"/>
      <c r="L15469" s="24"/>
      <c r="M15469" s="24"/>
      <c r="N15469" s="24"/>
      <c r="O15469" s="24"/>
      <c r="P15469" s="24"/>
      <c r="Q15469" s="24"/>
      <c r="R15469" s="24"/>
      <c r="S15469" s="24"/>
      <c r="T15469" s="24"/>
      <c r="U15469" s="24"/>
      <c r="V15469" s="24"/>
      <c r="W15469" s="24"/>
      <c r="X15469" s="24"/>
      <c r="Y15469" s="24"/>
      <c r="Z15469" s="24"/>
      <c r="AA15469" s="24"/>
    </row>
    <row r="15470">
      <c r="A15470" s="24"/>
      <c r="B15470" s="25"/>
      <c r="C15470" s="24"/>
      <c r="D15470" s="26"/>
      <c r="E15470" s="24"/>
      <c r="F15470" s="24"/>
      <c r="G15470" s="24"/>
      <c r="H15470" s="24"/>
      <c r="I15470" s="24"/>
      <c r="J15470" s="24"/>
      <c r="K15470" s="24"/>
      <c r="L15470" s="24"/>
      <c r="M15470" s="24"/>
      <c r="N15470" s="24"/>
      <c r="O15470" s="24"/>
      <c r="P15470" s="24"/>
      <c r="Q15470" s="24"/>
      <c r="R15470" s="24"/>
      <c r="S15470" s="24"/>
      <c r="T15470" s="24"/>
      <c r="U15470" s="24"/>
      <c r="V15470" s="24"/>
      <c r="W15470" s="24"/>
      <c r="X15470" s="24"/>
      <c r="Y15470" s="24"/>
      <c r="Z15470" s="24"/>
      <c r="AA15470" s="24"/>
    </row>
    <row r="15471">
      <c r="A15471" s="24"/>
      <c r="B15471" s="25"/>
      <c r="C15471" s="24"/>
      <c r="D15471" s="26"/>
      <c r="E15471" s="24"/>
      <c r="F15471" s="24"/>
      <c r="G15471" s="24"/>
      <c r="H15471" s="24"/>
      <c r="I15471" s="24"/>
      <c r="J15471" s="24"/>
      <c r="K15471" s="24"/>
      <c r="L15471" s="24"/>
      <c r="M15471" s="24"/>
      <c r="N15471" s="24"/>
      <c r="O15471" s="24"/>
      <c r="P15471" s="24"/>
      <c r="Q15471" s="24"/>
      <c r="R15471" s="24"/>
      <c r="S15471" s="24"/>
      <c r="T15471" s="24"/>
      <c r="U15471" s="24"/>
      <c r="V15471" s="24"/>
      <c r="W15471" s="24"/>
      <c r="X15471" s="24"/>
      <c r="Y15471" s="24"/>
      <c r="Z15471" s="24"/>
      <c r="AA15471" s="24"/>
    </row>
    <row r="15472">
      <c r="A15472" s="24"/>
      <c r="B15472" s="25"/>
      <c r="C15472" s="24"/>
      <c r="D15472" s="26"/>
      <c r="E15472" s="24"/>
      <c r="F15472" s="24"/>
      <c r="G15472" s="24"/>
      <c r="H15472" s="24"/>
      <c r="I15472" s="24"/>
      <c r="J15472" s="24"/>
      <c r="K15472" s="24"/>
      <c r="L15472" s="24"/>
      <c r="M15472" s="24"/>
      <c r="N15472" s="24"/>
      <c r="O15472" s="24"/>
      <c r="P15472" s="24"/>
      <c r="Q15472" s="24"/>
      <c r="R15472" s="24"/>
      <c r="S15472" s="24"/>
      <c r="T15472" s="24"/>
      <c r="U15472" s="24"/>
      <c r="V15472" s="24"/>
      <c r="W15472" s="24"/>
      <c r="X15472" s="24"/>
      <c r="Y15472" s="24"/>
      <c r="Z15472" s="24"/>
      <c r="AA15472" s="24"/>
    </row>
    <row r="15473">
      <c r="A15473" s="24"/>
      <c r="B15473" s="25"/>
      <c r="C15473" s="24"/>
      <c r="D15473" s="26"/>
      <c r="E15473" s="24"/>
      <c r="F15473" s="24"/>
      <c r="G15473" s="24"/>
      <c r="H15473" s="24"/>
      <c r="I15473" s="24"/>
      <c r="J15473" s="24"/>
      <c r="K15473" s="24"/>
      <c r="L15473" s="24"/>
      <c r="M15473" s="24"/>
      <c r="N15473" s="24"/>
      <c r="O15473" s="24"/>
      <c r="P15473" s="24"/>
      <c r="Q15473" s="24"/>
      <c r="R15473" s="24"/>
      <c r="S15473" s="24"/>
      <c r="T15473" s="24"/>
      <c r="U15473" s="24"/>
      <c r="V15473" s="24"/>
      <c r="W15473" s="24"/>
      <c r="X15473" s="24"/>
      <c r="Y15473" s="24"/>
      <c r="Z15473" s="24"/>
      <c r="AA15473" s="24"/>
    </row>
    <row r="15474">
      <c r="A15474" s="24"/>
      <c r="B15474" s="25"/>
      <c r="C15474" s="24"/>
      <c r="D15474" s="26"/>
      <c r="E15474" s="24"/>
      <c r="F15474" s="24"/>
      <c r="G15474" s="24"/>
      <c r="H15474" s="24"/>
      <c r="I15474" s="24"/>
      <c r="J15474" s="24"/>
      <c r="K15474" s="24"/>
      <c r="L15474" s="24"/>
      <c r="M15474" s="24"/>
      <c r="N15474" s="24"/>
      <c r="O15474" s="24"/>
      <c r="P15474" s="24"/>
      <c r="Q15474" s="24"/>
      <c r="R15474" s="24"/>
      <c r="S15474" s="24"/>
      <c r="T15474" s="24"/>
      <c r="U15474" s="24"/>
      <c r="V15474" s="24"/>
      <c r="W15474" s="24"/>
      <c r="X15474" s="24"/>
      <c r="Y15474" s="24"/>
      <c r="Z15474" s="24"/>
      <c r="AA15474" s="24"/>
    </row>
    <row r="15475">
      <c r="A15475" s="24"/>
      <c r="B15475" s="25"/>
      <c r="C15475" s="24"/>
      <c r="D15475" s="26"/>
      <c r="E15475" s="24"/>
      <c r="F15475" s="24"/>
      <c r="G15475" s="24"/>
      <c r="H15475" s="24"/>
      <c r="I15475" s="24"/>
      <c r="J15475" s="24"/>
      <c r="K15475" s="24"/>
      <c r="L15475" s="24"/>
      <c r="M15475" s="24"/>
      <c r="N15475" s="24"/>
      <c r="O15475" s="24"/>
      <c r="P15475" s="24"/>
      <c r="Q15475" s="24"/>
      <c r="R15475" s="24"/>
      <c r="S15475" s="24"/>
      <c r="T15475" s="24"/>
      <c r="U15475" s="24"/>
      <c r="V15475" s="24"/>
      <c r="W15475" s="24"/>
      <c r="X15475" s="24"/>
      <c r="Y15475" s="24"/>
      <c r="Z15475" s="24"/>
      <c r="AA15475" s="24"/>
    </row>
    <row r="15476">
      <c r="A15476" s="24"/>
      <c r="B15476" s="25"/>
      <c r="C15476" s="24"/>
      <c r="D15476" s="26"/>
      <c r="E15476" s="24"/>
      <c r="F15476" s="24"/>
      <c r="G15476" s="24"/>
      <c r="H15476" s="24"/>
      <c r="I15476" s="24"/>
      <c r="J15476" s="24"/>
      <c r="K15476" s="24"/>
      <c r="L15476" s="24"/>
      <c r="M15476" s="24"/>
      <c r="N15476" s="24"/>
      <c r="O15476" s="24"/>
      <c r="P15476" s="24"/>
      <c r="Q15476" s="24"/>
      <c r="R15476" s="24"/>
      <c r="S15476" s="24"/>
      <c r="T15476" s="24"/>
      <c r="U15476" s="24"/>
      <c r="V15476" s="24"/>
      <c r="W15476" s="24"/>
      <c r="X15476" s="24"/>
      <c r="Y15476" s="24"/>
      <c r="Z15476" s="24"/>
      <c r="AA15476" s="24"/>
    </row>
    <row r="15477">
      <c r="A15477" s="24"/>
      <c r="B15477" s="25"/>
      <c r="C15477" s="24"/>
      <c r="D15477" s="26"/>
      <c r="E15477" s="24"/>
      <c r="F15477" s="24"/>
      <c r="G15477" s="24"/>
      <c r="H15477" s="24"/>
      <c r="I15477" s="24"/>
      <c r="J15477" s="24"/>
      <c r="K15477" s="24"/>
      <c r="L15477" s="24"/>
      <c r="M15477" s="24"/>
      <c r="N15477" s="24"/>
      <c r="O15477" s="24"/>
      <c r="P15477" s="24"/>
      <c r="Q15477" s="24"/>
      <c r="R15477" s="24"/>
      <c r="S15477" s="24"/>
      <c r="T15477" s="24"/>
      <c r="U15477" s="24"/>
      <c r="V15477" s="24"/>
      <c r="W15477" s="24"/>
      <c r="X15477" s="24"/>
      <c r="Y15477" s="24"/>
      <c r="Z15477" s="24"/>
      <c r="AA15477" s="24"/>
    </row>
    <row r="15478">
      <c r="A15478" s="24"/>
      <c r="B15478" s="25"/>
      <c r="C15478" s="24"/>
      <c r="D15478" s="26"/>
      <c r="E15478" s="24"/>
      <c r="F15478" s="24"/>
      <c r="G15478" s="24"/>
      <c r="H15478" s="24"/>
      <c r="I15478" s="24"/>
      <c r="J15478" s="24"/>
      <c r="K15478" s="24"/>
      <c r="L15478" s="24"/>
      <c r="M15478" s="24"/>
      <c r="N15478" s="24"/>
      <c r="O15478" s="24"/>
      <c r="P15478" s="24"/>
      <c r="Q15478" s="24"/>
      <c r="R15478" s="24"/>
      <c r="S15478" s="24"/>
      <c r="T15478" s="24"/>
      <c r="U15478" s="24"/>
      <c r="V15478" s="24"/>
      <c r="W15478" s="24"/>
      <c r="X15478" s="24"/>
      <c r="Y15478" s="24"/>
      <c r="Z15478" s="24"/>
      <c r="AA15478" s="24"/>
    </row>
    <row r="15479">
      <c r="A15479" s="24"/>
      <c r="B15479" s="25"/>
      <c r="C15479" s="24"/>
      <c r="D15479" s="26"/>
      <c r="E15479" s="24"/>
      <c r="F15479" s="24"/>
      <c r="G15479" s="24"/>
      <c r="H15479" s="24"/>
      <c r="I15479" s="24"/>
      <c r="J15479" s="24"/>
      <c r="K15479" s="24"/>
      <c r="L15479" s="24"/>
      <c r="M15479" s="24"/>
      <c r="N15479" s="24"/>
      <c r="O15479" s="24"/>
      <c r="P15479" s="24"/>
      <c r="Q15479" s="24"/>
      <c r="R15479" s="24"/>
      <c r="S15479" s="24"/>
      <c r="T15479" s="24"/>
      <c r="U15479" s="24"/>
      <c r="V15479" s="24"/>
      <c r="W15479" s="24"/>
      <c r="X15479" s="24"/>
      <c r="Y15479" s="24"/>
      <c r="Z15479" s="24"/>
      <c r="AA15479" s="24"/>
    </row>
    <row r="15480">
      <c r="A15480" s="24"/>
      <c r="B15480" s="25"/>
      <c r="C15480" s="24"/>
      <c r="D15480" s="26"/>
      <c r="E15480" s="24"/>
      <c r="F15480" s="24"/>
      <c r="G15480" s="24"/>
      <c r="H15480" s="24"/>
      <c r="I15480" s="24"/>
      <c r="J15480" s="24"/>
      <c r="K15480" s="24"/>
      <c r="L15480" s="24"/>
      <c r="M15480" s="24"/>
      <c r="N15480" s="24"/>
      <c r="O15480" s="24"/>
      <c r="P15480" s="24"/>
      <c r="Q15480" s="24"/>
      <c r="R15480" s="24"/>
      <c r="S15480" s="24"/>
      <c r="T15480" s="24"/>
      <c r="U15480" s="24"/>
      <c r="V15480" s="24"/>
      <c r="W15480" s="24"/>
      <c r="X15480" s="24"/>
      <c r="Y15480" s="24"/>
      <c r="Z15480" s="24"/>
      <c r="AA15480" s="24"/>
    </row>
    <row r="15481">
      <c r="A15481" s="24"/>
      <c r="B15481" s="25"/>
      <c r="C15481" s="24"/>
      <c r="D15481" s="26"/>
      <c r="E15481" s="24"/>
      <c r="F15481" s="24"/>
      <c r="G15481" s="24"/>
      <c r="H15481" s="24"/>
      <c r="I15481" s="24"/>
      <c r="J15481" s="24"/>
      <c r="K15481" s="24"/>
      <c r="L15481" s="24"/>
      <c r="M15481" s="24"/>
      <c r="N15481" s="24"/>
      <c r="O15481" s="24"/>
      <c r="P15481" s="24"/>
      <c r="Q15481" s="24"/>
      <c r="R15481" s="24"/>
      <c r="S15481" s="24"/>
      <c r="T15481" s="24"/>
      <c r="U15481" s="24"/>
      <c r="V15481" s="24"/>
      <c r="W15481" s="24"/>
      <c r="X15481" s="24"/>
      <c r="Y15481" s="24"/>
      <c r="Z15481" s="24"/>
      <c r="AA15481" s="24"/>
    </row>
    <row r="15482">
      <c r="A15482" s="24"/>
      <c r="B15482" s="25"/>
      <c r="C15482" s="24"/>
      <c r="D15482" s="26"/>
      <c r="E15482" s="24"/>
      <c r="F15482" s="24"/>
      <c r="G15482" s="24"/>
      <c r="H15482" s="24"/>
      <c r="I15482" s="24"/>
      <c r="J15482" s="24"/>
      <c r="K15482" s="24"/>
      <c r="L15482" s="24"/>
      <c r="M15482" s="24"/>
      <c r="N15482" s="24"/>
      <c r="O15482" s="24"/>
      <c r="P15482" s="24"/>
      <c r="Q15482" s="24"/>
      <c r="R15482" s="24"/>
      <c r="S15482" s="24"/>
      <c r="T15482" s="24"/>
      <c r="U15482" s="24"/>
      <c r="V15482" s="24"/>
      <c r="W15482" s="24"/>
      <c r="X15482" s="24"/>
      <c r="Y15482" s="24"/>
      <c r="Z15482" s="24"/>
      <c r="AA15482" s="24"/>
    </row>
    <row r="15483">
      <c r="A15483" s="24"/>
      <c r="B15483" s="25"/>
      <c r="C15483" s="24"/>
      <c r="D15483" s="26"/>
      <c r="E15483" s="24"/>
      <c r="F15483" s="24"/>
      <c r="G15483" s="24"/>
      <c r="H15483" s="24"/>
      <c r="I15483" s="24"/>
      <c r="J15483" s="24"/>
      <c r="K15483" s="24"/>
      <c r="L15483" s="24"/>
      <c r="M15483" s="24"/>
      <c r="N15483" s="24"/>
      <c r="O15483" s="24"/>
      <c r="P15483" s="24"/>
      <c r="Q15483" s="24"/>
      <c r="R15483" s="24"/>
      <c r="S15483" s="24"/>
      <c r="T15483" s="24"/>
      <c r="U15483" s="24"/>
      <c r="V15483" s="24"/>
      <c r="W15483" s="24"/>
      <c r="X15483" s="24"/>
      <c r="Y15483" s="24"/>
      <c r="Z15483" s="24"/>
      <c r="AA15483" s="24"/>
    </row>
    <row r="15484">
      <c r="A15484" s="24"/>
      <c r="B15484" s="25"/>
      <c r="C15484" s="24"/>
      <c r="D15484" s="26"/>
      <c r="E15484" s="24"/>
      <c r="F15484" s="24"/>
      <c r="G15484" s="24"/>
      <c r="H15484" s="24"/>
      <c r="I15484" s="24"/>
      <c r="J15484" s="24"/>
      <c r="K15484" s="24"/>
      <c r="L15484" s="24"/>
      <c r="M15484" s="24"/>
      <c r="N15484" s="24"/>
      <c r="O15484" s="24"/>
      <c r="P15484" s="24"/>
      <c r="Q15484" s="24"/>
      <c r="R15484" s="24"/>
      <c r="S15484" s="24"/>
      <c r="T15484" s="24"/>
      <c r="U15484" s="24"/>
      <c r="V15484" s="24"/>
      <c r="W15484" s="24"/>
      <c r="X15484" s="24"/>
      <c r="Y15484" s="24"/>
      <c r="Z15484" s="24"/>
      <c r="AA15484" s="24"/>
    </row>
    <row r="15485">
      <c r="A15485" s="24"/>
      <c r="B15485" s="25"/>
      <c r="C15485" s="24"/>
      <c r="D15485" s="26"/>
      <c r="E15485" s="24"/>
      <c r="F15485" s="24"/>
      <c r="G15485" s="24"/>
      <c r="H15485" s="24"/>
      <c r="I15485" s="24"/>
      <c r="J15485" s="24"/>
      <c r="K15485" s="24"/>
      <c r="L15485" s="24"/>
      <c r="M15485" s="24"/>
      <c r="N15485" s="24"/>
      <c r="O15485" s="24"/>
      <c r="P15485" s="24"/>
      <c r="Q15485" s="24"/>
      <c r="R15485" s="24"/>
      <c r="S15485" s="24"/>
      <c r="T15485" s="24"/>
      <c r="U15485" s="24"/>
      <c r="V15485" s="24"/>
      <c r="W15485" s="24"/>
      <c r="X15485" s="24"/>
      <c r="Y15485" s="24"/>
      <c r="Z15485" s="24"/>
      <c r="AA15485" s="24"/>
    </row>
    <row r="15486">
      <c r="A15486" s="24"/>
      <c r="B15486" s="25"/>
      <c r="C15486" s="24"/>
      <c r="D15486" s="26"/>
      <c r="E15486" s="24"/>
      <c r="F15486" s="24"/>
      <c r="G15486" s="24"/>
      <c r="H15486" s="24"/>
      <c r="I15486" s="24"/>
      <c r="J15486" s="24"/>
      <c r="K15486" s="24"/>
      <c r="L15486" s="24"/>
      <c r="M15486" s="24"/>
      <c r="N15486" s="24"/>
      <c r="O15486" s="24"/>
      <c r="P15486" s="24"/>
      <c r="Q15486" s="24"/>
      <c r="R15486" s="24"/>
      <c r="S15486" s="24"/>
      <c r="T15486" s="24"/>
      <c r="U15486" s="24"/>
      <c r="V15486" s="24"/>
      <c r="W15486" s="24"/>
      <c r="X15486" s="24"/>
      <c r="Y15486" s="24"/>
      <c r="Z15486" s="24"/>
      <c r="AA15486" s="24"/>
    </row>
    <row r="15487">
      <c r="A15487" s="24"/>
      <c r="B15487" s="25"/>
      <c r="C15487" s="24"/>
      <c r="D15487" s="26"/>
      <c r="E15487" s="24"/>
      <c r="F15487" s="24"/>
      <c r="G15487" s="24"/>
      <c r="H15487" s="24"/>
      <c r="I15487" s="24"/>
      <c r="J15487" s="24"/>
      <c r="K15487" s="24"/>
      <c r="L15487" s="24"/>
      <c r="M15487" s="24"/>
      <c r="N15487" s="24"/>
      <c r="O15487" s="24"/>
      <c r="P15487" s="24"/>
      <c r="Q15487" s="24"/>
      <c r="R15487" s="24"/>
      <c r="S15487" s="24"/>
      <c r="T15487" s="24"/>
      <c r="U15487" s="24"/>
      <c r="V15487" s="24"/>
      <c r="W15487" s="24"/>
      <c r="X15487" s="24"/>
      <c r="Y15487" s="24"/>
      <c r="Z15487" s="24"/>
      <c r="AA15487" s="24"/>
    </row>
    <row r="15488">
      <c r="A15488" s="24"/>
      <c r="B15488" s="25"/>
      <c r="C15488" s="24"/>
      <c r="D15488" s="26"/>
      <c r="E15488" s="24"/>
      <c r="F15488" s="24"/>
      <c r="G15488" s="24"/>
      <c r="H15488" s="24"/>
      <c r="I15488" s="24"/>
      <c r="J15488" s="24"/>
      <c r="K15488" s="24"/>
      <c r="L15488" s="24"/>
      <c r="M15488" s="24"/>
      <c r="N15488" s="24"/>
      <c r="O15488" s="24"/>
      <c r="P15488" s="24"/>
      <c r="Q15488" s="24"/>
      <c r="R15488" s="24"/>
      <c r="S15488" s="24"/>
      <c r="T15488" s="24"/>
      <c r="U15488" s="24"/>
      <c r="V15488" s="24"/>
      <c r="W15488" s="24"/>
      <c r="X15488" s="24"/>
      <c r="Y15488" s="24"/>
      <c r="Z15488" s="24"/>
      <c r="AA15488" s="24"/>
    </row>
    <row r="15489">
      <c r="A15489" s="24"/>
      <c r="B15489" s="25"/>
      <c r="C15489" s="24"/>
      <c r="D15489" s="26"/>
      <c r="E15489" s="24"/>
      <c r="F15489" s="24"/>
      <c r="G15489" s="24"/>
      <c r="H15489" s="24"/>
      <c r="I15489" s="24"/>
      <c r="J15489" s="24"/>
      <c r="K15489" s="24"/>
      <c r="L15489" s="24"/>
      <c r="M15489" s="24"/>
      <c r="N15489" s="24"/>
      <c r="O15489" s="24"/>
      <c r="P15489" s="24"/>
      <c r="Q15489" s="24"/>
      <c r="R15489" s="24"/>
      <c r="S15489" s="24"/>
      <c r="T15489" s="24"/>
      <c r="U15489" s="24"/>
      <c r="V15489" s="24"/>
      <c r="W15489" s="24"/>
      <c r="X15489" s="24"/>
      <c r="Y15489" s="24"/>
      <c r="Z15489" s="24"/>
      <c r="AA15489" s="24"/>
    </row>
    <row r="15490">
      <c r="A15490" s="24"/>
      <c r="B15490" s="25"/>
      <c r="C15490" s="24"/>
      <c r="D15490" s="26"/>
      <c r="E15490" s="24"/>
      <c r="F15490" s="24"/>
      <c r="G15490" s="24"/>
      <c r="H15490" s="24"/>
      <c r="I15490" s="24"/>
      <c r="J15490" s="24"/>
      <c r="K15490" s="24"/>
      <c r="L15490" s="24"/>
      <c r="M15490" s="24"/>
      <c r="N15490" s="24"/>
      <c r="O15490" s="24"/>
      <c r="P15490" s="24"/>
      <c r="Q15490" s="24"/>
      <c r="R15490" s="24"/>
      <c r="S15490" s="24"/>
      <c r="T15490" s="24"/>
      <c r="U15490" s="24"/>
      <c r="V15490" s="24"/>
      <c r="W15490" s="24"/>
      <c r="X15490" s="24"/>
      <c r="Y15490" s="24"/>
      <c r="Z15490" s="24"/>
      <c r="AA15490" s="24"/>
    </row>
    <row r="15491">
      <c r="A15491" s="24"/>
      <c r="B15491" s="25"/>
      <c r="C15491" s="24"/>
      <c r="D15491" s="26"/>
      <c r="E15491" s="24"/>
      <c r="F15491" s="24"/>
      <c r="G15491" s="24"/>
      <c r="H15491" s="24"/>
      <c r="I15491" s="24"/>
      <c r="J15491" s="24"/>
      <c r="K15491" s="24"/>
      <c r="L15491" s="24"/>
      <c r="M15491" s="24"/>
      <c r="N15491" s="24"/>
      <c r="O15491" s="24"/>
      <c r="P15491" s="24"/>
      <c r="Q15491" s="24"/>
      <c r="R15491" s="24"/>
      <c r="S15491" s="24"/>
      <c r="T15491" s="24"/>
      <c r="U15491" s="24"/>
      <c r="V15491" s="24"/>
      <c r="W15491" s="24"/>
      <c r="X15491" s="24"/>
      <c r="Y15491" s="24"/>
      <c r="Z15491" s="24"/>
      <c r="AA15491" s="24"/>
    </row>
    <row r="15492">
      <c r="A15492" s="24"/>
      <c r="B15492" s="25"/>
      <c r="C15492" s="24"/>
      <c r="D15492" s="26"/>
      <c r="E15492" s="24"/>
      <c r="F15492" s="24"/>
      <c r="G15492" s="24"/>
      <c r="H15492" s="24"/>
      <c r="I15492" s="24"/>
      <c r="J15492" s="24"/>
      <c r="K15492" s="24"/>
      <c r="L15492" s="24"/>
      <c r="M15492" s="24"/>
      <c r="N15492" s="24"/>
      <c r="O15492" s="24"/>
      <c r="P15492" s="24"/>
      <c r="Q15492" s="24"/>
      <c r="R15492" s="24"/>
      <c r="S15492" s="24"/>
      <c r="T15492" s="24"/>
      <c r="U15492" s="24"/>
      <c r="V15492" s="24"/>
      <c r="W15492" s="24"/>
      <c r="X15492" s="24"/>
      <c r="Y15492" s="24"/>
      <c r="Z15492" s="24"/>
      <c r="AA15492" s="24"/>
    </row>
    <row r="15493">
      <c r="A15493" s="24"/>
      <c r="B15493" s="25"/>
      <c r="C15493" s="24"/>
      <c r="D15493" s="26"/>
      <c r="E15493" s="24"/>
      <c r="F15493" s="24"/>
      <c r="G15493" s="24"/>
      <c r="H15493" s="24"/>
      <c r="I15493" s="24"/>
      <c r="J15493" s="24"/>
      <c r="K15493" s="24"/>
      <c r="L15493" s="24"/>
      <c r="M15493" s="24"/>
      <c r="N15493" s="24"/>
      <c r="O15493" s="24"/>
      <c r="P15493" s="24"/>
      <c r="Q15493" s="24"/>
      <c r="R15493" s="24"/>
      <c r="S15493" s="24"/>
      <c r="T15493" s="24"/>
      <c r="U15493" s="24"/>
      <c r="V15493" s="24"/>
      <c r="W15493" s="24"/>
      <c r="X15493" s="24"/>
      <c r="Y15493" s="24"/>
      <c r="Z15493" s="24"/>
      <c r="AA15493" s="24"/>
    </row>
    <row r="15494">
      <c r="A15494" s="24"/>
      <c r="B15494" s="25"/>
      <c r="C15494" s="24"/>
      <c r="D15494" s="26"/>
      <c r="E15494" s="24"/>
      <c r="F15494" s="24"/>
      <c r="G15494" s="24"/>
      <c r="H15494" s="24"/>
      <c r="I15494" s="24"/>
      <c r="J15494" s="24"/>
      <c r="K15494" s="24"/>
      <c r="L15494" s="24"/>
      <c r="M15494" s="24"/>
      <c r="N15494" s="24"/>
      <c r="O15494" s="24"/>
      <c r="P15494" s="24"/>
      <c r="Q15494" s="24"/>
      <c r="R15494" s="24"/>
      <c r="S15494" s="24"/>
      <c r="T15494" s="24"/>
      <c r="U15494" s="24"/>
      <c r="V15494" s="24"/>
      <c r="W15494" s="24"/>
      <c r="X15494" s="24"/>
      <c r="Y15494" s="24"/>
      <c r="Z15494" s="24"/>
      <c r="AA15494" s="24"/>
    </row>
    <row r="15495">
      <c r="A15495" s="24"/>
      <c r="B15495" s="25"/>
      <c r="C15495" s="24"/>
      <c r="D15495" s="26"/>
      <c r="E15495" s="24"/>
      <c r="F15495" s="24"/>
      <c r="G15495" s="24"/>
      <c r="H15495" s="24"/>
      <c r="I15495" s="24"/>
      <c r="J15495" s="24"/>
      <c r="K15495" s="24"/>
      <c r="L15495" s="24"/>
      <c r="M15495" s="24"/>
      <c r="N15495" s="24"/>
      <c r="O15495" s="24"/>
      <c r="P15495" s="24"/>
      <c r="Q15495" s="24"/>
      <c r="R15495" s="24"/>
      <c r="S15495" s="24"/>
      <c r="T15495" s="24"/>
      <c r="U15495" s="24"/>
      <c r="V15495" s="24"/>
      <c r="W15495" s="24"/>
      <c r="X15495" s="24"/>
      <c r="Y15495" s="24"/>
      <c r="Z15495" s="24"/>
      <c r="AA15495" s="24"/>
    </row>
    <row r="15496">
      <c r="A15496" s="24"/>
      <c r="B15496" s="25"/>
      <c r="C15496" s="24"/>
      <c r="D15496" s="26"/>
      <c r="E15496" s="24"/>
      <c r="F15496" s="24"/>
      <c r="G15496" s="24"/>
      <c r="H15496" s="24"/>
      <c r="I15496" s="24"/>
      <c r="J15496" s="24"/>
      <c r="K15496" s="24"/>
      <c r="L15496" s="24"/>
      <c r="M15496" s="24"/>
      <c r="N15496" s="24"/>
      <c r="O15496" s="24"/>
      <c r="P15496" s="24"/>
      <c r="Q15496" s="24"/>
      <c r="R15496" s="24"/>
      <c r="S15496" s="24"/>
      <c r="T15496" s="24"/>
      <c r="U15496" s="24"/>
      <c r="V15496" s="24"/>
      <c r="W15496" s="24"/>
      <c r="X15496" s="24"/>
      <c r="Y15496" s="24"/>
      <c r="Z15496" s="24"/>
      <c r="AA15496" s="24"/>
    </row>
    <row r="15497">
      <c r="A15497" s="24"/>
      <c r="B15497" s="25"/>
      <c r="C15497" s="24"/>
      <c r="D15497" s="26"/>
      <c r="E15497" s="24"/>
      <c r="F15497" s="24"/>
      <c r="G15497" s="24"/>
      <c r="H15497" s="24"/>
      <c r="I15497" s="24"/>
      <c r="J15497" s="24"/>
      <c r="K15497" s="24"/>
      <c r="L15497" s="24"/>
      <c r="M15497" s="24"/>
      <c r="N15497" s="24"/>
      <c r="O15497" s="24"/>
      <c r="P15497" s="24"/>
      <c r="Q15497" s="24"/>
      <c r="R15497" s="24"/>
      <c r="S15497" s="24"/>
      <c r="T15497" s="24"/>
      <c r="U15497" s="24"/>
      <c r="V15497" s="24"/>
      <c r="W15497" s="24"/>
      <c r="X15497" s="24"/>
      <c r="Y15497" s="24"/>
      <c r="Z15497" s="24"/>
      <c r="AA15497" s="24"/>
    </row>
    <row r="15498">
      <c r="A15498" s="24"/>
      <c r="B15498" s="25"/>
      <c r="C15498" s="24"/>
      <c r="D15498" s="26"/>
      <c r="E15498" s="24"/>
      <c r="F15498" s="24"/>
      <c r="G15498" s="24"/>
      <c r="H15498" s="24"/>
      <c r="I15498" s="24"/>
      <c r="J15498" s="24"/>
      <c r="K15498" s="24"/>
      <c r="L15498" s="24"/>
      <c r="M15498" s="24"/>
      <c r="N15498" s="24"/>
      <c r="O15498" s="24"/>
      <c r="P15498" s="24"/>
      <c r="Q15498" s="24"/>
      <c r="R15498" s="24"/>
      <c r="S15498" s="24"/>
      <c r="T15498" s="24"/>
      <c r="U15498" s="24"/>
      <c r="V15498" s="24"/>
      <c r="W15498" s="24"/>
      <c r="X15498" s="24"/>
      <c r="Y15498" s="24"/>
      <c r="Z15498" s="24"/>
      <c r="AA15498" s="24"/>
    </row>
    <row r="15499">
      <c r="A15499" s="24"/>
      <c r="B15499" s="25"/>
      <c r="C15499" s="24"/>
      <c r="D15499" s="26"/>
      <c r="E15499" s="24"/>
      <c r="F15499" s="24"/>
      <c r="G15499" s="24"/>
      <c r="H15499" s="24"/>
      <c r="I15499" s="24"/>
      <c r="J15499" s="24"/>
      <c r="K15499" s="24"/>
      <c r="L15499" s="24"/>
      <c r="M15499" s="24"/>
      <c r="N15499" s="24"/>
      <c r="O15499" s="24"/>
      <c r="P15499" s="24"/>
      <c r="Q15499" s="24"/>
      <c r="R15499" s="24"/>
      <c r="S15499" s="24"/>
      <c r="T15499" s="24"/>
      <c r="U15499" s="24"/>
      <c r="V15499" s="24"/>
      <c r="W15499" s="24"/>
      <c r="X15499" s="24"/>
      <c r="Y15499" s="24"/>
      <c r="Z15499" s="24"/>
      <c r="AA15499" s="24"/>
    </row>
    <row r="15500">
      <c r="A15500" s="24"/>
      <c r="B15500" s="25"/>
      <c r="C15500" s="24"/>
      <c r="D15500" s="26"/>
      <c r="E15500" s="24"/>
      <c r="F15500" s="24"/>
      <c r="G15500" s="24"/>
      <c r="H15500" s="24"/>
      <c r="I15500" s="24"/>
      <c r="J15500" s="24"/>
      <c r="K15500" s="24"/>
      <c r="L15500" s="24"/>
      <c r="M15500" s="24"/>
      <c r="N15500" s="24"/>
      <c r="O15500" s="24"/>
      <c r="P15500" s="24"/>
      <c r="Q15500" s="24"/>
      <c r="R15500" s="24"/>
      <c r="S15500" s="24"/>
      <c r="T15500" s="24"/>
      <c r="U15500" s="24"/>
      <c r="V15500" s="24"/>
      <c r="W15500" s="24"/>
      <c r="X15500" s="24"/>
      <c r="Y15500" s="24"/>
      <c r="Z15500" s="24"/>
      <c r="AA15500" s="24"/>
    </row>
    <row r="15501">
      <c r="A15501" s="24"/>
      <c r="B15501" s="25"/>
      <c r="C15501" s="24"/>
      <c r="D15501" s="26"/>
      <c r="E15501" s="24"/>
      <c r="F15501" s="24"/>
      <c r="G15501" s="24"/>
      <c r="H15501" s="24"/>
      <c r="I15501" s="24"/>
      <c r="J15501" s="24"/>
      <c r="K15501" s="24"/>
      <c r="L15501" s="24"/>
      <c r="M15501" s="24"/>
      <c r="N15501" s="24"/>
      <c r="O15501" s="24"/>
      <c r="P15501" s="24"/>
      <c r="Q15501" s="24"/>
      <c r="R15501" s="24"/>
      <c r="S15501" s="24"/>
      <c r="T15501" s="24"/>
      <c r="U15501" s="24"/>
      <c r="V15501" s="24"/>
      <c r="W15501" s="24"/>
      <c r="X15501" s="24"/>
      <c r="Y15501" s="24"/>
      <c r="Z15501" s="24"/>
      <c r="AA15501" s="24"/>
    </row>
    <row r="15502">
      <c r="A15502" s="24"/>
      <c r="B15502" s="25"/>
      <c r="C15502" s="24"/>
      <c r="D15502" s="26"/>
      <c r="E15502" s="24"/>
      <c r="F15502" s="24"/>
      <c r="G15502" s="24"/>
      <c r="H15502" s="24"/>
      <c r="I15502" s="24"/>
      <c r="J15502" s="24"/>
      <c r="K15502" s="24"/>
      <c r="L15502" s="24"/>
      <c r="M15502" s="24"/>
      <c r="N15502" s="24"/>
      <c r="O15502" s="24"/>
      <c r="P15502" s="24"/>
      <c r="Q15502" s="24"/>
      <c r="R15502" s="24"/>
      <c r="S15502" s="24"/>
      <c r="T15502" s="24"/>
      <c r="U15502" s="24"/>
      <c r="V15502" s="24"/>
      <c r="W15502" s="24"/>
      <c r="X15502" s="24"/>
      <c r="Y15502" s="24"/>
      <c r="Z15502" s="24"/>
      <c r="AA15502" s="24"/>
    </row>
    <row r="15503">
      <c r="A15503" s="24"/>
      <c r="B15503" s="25"/>
      <c r="C15503" s="24"/>
      <c r="D15503" s="26"/>
      <c r="E15503" s="24"/>
      <c r="F15503" s="24"/>
      <c r="G15503" s="24"/>
      <c r="H15503" s="24"/>
      <c r="I15503" s="24"/>
      <c r="J15503" s="24"/>
      <c r="K15503" s="24"/>
      <c r="L15503" s="24"/>
      <c r="M15503" s="24"/>
      <c r="N15503" s="24"/>
      <c r="O15503" s="24"/>
      <c r="P15503" s="24"/>
      <c r="Q15503" s="24"/>
      <c r="R15503" s="24"/>
      <c r="S15503" s="24"/>
      <c r="T15503" s="24"/>
      <c r="U15503" s="24"/>
      <c r="V15503" s="24"/>
      <c r="W15503" s="24"/>
      <c r="X15503" s="24"/>
      <c r="Y15503" s="24"/>
      <c r="Z15503" s="24"/>
      <c r="AA15503" s="24"/>
    </row>
    <row r="15504">
      <c r="A15504" s="24"/>
      <c r="B15504" s="25"/>
      <c r="C15504" s="24"/>
      <c r="D15504" s="26"/>
      <c r="E15504" s="24"/>
      <c r="F15504" s="24"/>
      <c r="G15504" s="24"/>
      <c r="H15504" s="24"/>
      <c r="I15504" s="24"/>
      <c r="J15504" s="24"/>
      <c r="K15504" s="24"/>
      <c r="L15504" s="24"/>
      <c r="M15504" s="24"/>
      <c r="N15504" s="24"/>
      <c r="O15504" s="24"/>
      <c r="P15504" s="24"/>
      <c r="Q15504" s="24"/>
      <c r="R15504" s="24"/>
      <c r="S15504" s="24"/>
      <c r="T15504" s="24"/>
      <c r="U15504" s="24"/>
      <c r="V15504" s="24"/>
      <c r="W15504" s="24"/>
      <c r="X15504" s="24"/>
      <c r="Y15504" s="24"/>
      <c r="Z15504" s="24"/>
      <c r="AA15504" s="24"/>
    </row>
    <row r="15505">
      <c r="A15505" s="24"/>
      <c r="B15505" s="25"/>
      <c r="C15505" s="24"/>
      <c r="D15505" s="26"/>
      <c r="E15505" s="24"/>
      <c r="F15505" s="24"/>
      <c r="G15505" s="24"/>
      <c r="H15505" s="24"/>
      <c r="I15505" s="24"/>
      <c r="J15505" s="24"/>
      <c r="K15505" s="24"/>
      <c r="L15505" s="24"/>
      <c r="M15505" s="24"/>
      <c r="N15505" s="24"/>
      <c r="O15505" s="24"/>
      <c r="P15505" s="24"/>
      <c r="Q15505" s="24"/>
      <c r="R15505" s="24"/>
      <c r="S15505" s="24"/>
      <c r="T15505" s="24"/>
      <c r="U15505" s="24"/>
      <c r="V15505" s="24"/>
      <c r="W15505" s="24"/>
      <c r="X15505" s="24"/>
      <c r="Y15505" s="24"/>
      <c r="Z15505" s="24"/>
      <c r="AA15505" s="24"/>
    </row>
    <row r="15506">
      <c r="A15506" s="24"/>
      <c r="B15506" s="25"/>
      <c r="C15506" s="24"/>
      <c r="D15506" s="26"/>
      <c r="E15506" s="24"/>
      <c r="F15506" s="24"/>
      <c r="G15506" s="24"/>
      <c r="H15506" s="24"/>
      <c r="I15506" s="24"/>
      <c r="J15506" s="24"/>
      <c r="K15506" s="24"/>
      <c r="L15506" s="24"/>
      <c r="M15506" s="24"/>
      <c r="N15506" s="24"/>
      <c r="O15506" s="24"/>
      <c r="P15506" s="24"/>
      <c r="Q15506" s="24"/>
      <c r="R15506" s="24"/>
      <c r="S15506" s="24"/>
      <c r="T15506" s="24"/>
      <c r="U15506" s="24"/>
      <c r="V15506" s="24"/>
      <c r="W15506" s="24"/>
      <c r="X15506" s="24"/>
      <c r="Y15506" s="24"/>
      <c r="Z15506" s="24"/>
      <c r="AA15506" s="24"/>
    </row>
    <row r="15507">
      <c r="A15507" s="24"/>
      <c r="B15507" s="25"/>
      <c r="C15507" s="24"/>
      <c r="D15507" s="26"/>
      <c r="E15507" s="24"/>
      <c r="F15507" s="24"/>
      <c r="G15507" s="24"/>
      <c r="H15507" s="24"/>
      <c r="I15507" s="24"/>
      <c r="J15507" s="24"/>
      <c r="K15507" s="24"/>
      <c r="L15507" s="24"/>
      <c r="M15507" s="24"/>
      <c r="N15507" s="24"/>
      <c r="O15507" s="24"/>
      <c r="P15507" s="24"/>
      <c r="Q15507" s="24"/>
      <c r="R15507" s="24"/>
      <c r="S15507" s="24"/>
      <c r="T15507" s="24"/>
      <c r="U15507" s="24"/>
      <c r="V15507" s="24"/>
      <c r="W15507" s="24"/>
      <c r="X15507" s="24"/>
      <c r="Y15507" s="24"/>
      <c r="Z15507" s="24"/>
      <c r="AA15507" s="24"/>
    </row>
    <row r="15508">
      <c r="A15508" s="24"/>
      <c r="B15508" s="25"/>
      <c r="C15508" s="24"/>
      <c r="D15508" s="26"/>
      <c r="E15508" s="24"/>
      <c r="F15508" s="24"/>
      <c r="G15508" s="24"/>
      <c r="H15508" s="24"/>
      <c r="I15508" s="24"/>
      <c r="J15508" s="24"/>
      <c r="K15508" s="24"/>
      <c r="L15508" s="24"/>
      <c r="M15508" s="24"/>
      <c r="N15508" s="24"/>
      <c r="O15508" s="24"/>
      <c r="P15508" s="24"/>
      <c r="Q15508" s="24"/>
      <c r="R15508" s="24"/>
      <c r="S15508" s="24"/>
      <c r="T15508" s="24"/>
      <c r="U15508" s="24"/>
      <c r="V15508" s="24"/>
      <c r="W15508" s="24"/>
      <c r="X15508" s="24"/>
      <c r="Y15508" s="24"/>
      <c r="Z15508" s="24"/>
      <c r="AA15508" s="24"/>
    </row>
    <row r="15509">
      <c r="A15509" s="24"/>
      <c r="B15509" s="25"/>
      <c r="C15509" s="24"/>
      <c r="D15509" s="26"/>
      <c r="E15509" s="24"/>
      <c r="F15509" s="24"/>
      <c r="G15509" s="24"/>
      <c r="H15509" s="24"/>
      <c r="I15509" s="24"/>
      <c r="J15509" s="24"/>
      <c r="K15509" s="24"/>
      <c r="L15509" s="24"/>
      <c r="M15509" s="24"/>
      <c r="N15509" s="24"/>
      <c r="O15509" s="24"/>
      <c r="P15509" s="24"/>
      <c r="Q15509" s="24"/>
      <c r="R15509" s="24"/>
      <c r="S15509" s="24"/>
      <c r="T15509" s="24"/>
      <c r="U15509" s="24"/>
      <c r="V15509" s="24"/>
      <c r="W15509" s="24"/>
      <c r="X15509" s="24"/>
      <c r="Y15509" s="24"/>
      <c r="Z15509" s="24"/>
      <c r="AA15509" s="24"/>
    </row>
    <row r="15510">
      <c r="A15510" s="24"/>
      <c r="B15510" s="25"/>
      <c r="C15510" s="24"/>
      <c r="D15510" s="26"/>
      <c r="E15510" s="24"/>
      <c r="F15510" s="24"/>
      <c r="G15510" s="24"/>
      <c r="H15510" s="24"/>
      <c r="I15510" s="24"/>
      <c r="J15510" s="24"/>
      <c r="K15510" s="24"/>
      <c r="L15510" s="24"/>
      <c r="M15510" s="24"/>
      <c r="N15510" s="24"/>
      <c r="O15510" s="24"/>
      <c r="P15510" s="24"/>
      <c r="Q15510" s="24"/>
      <c r="R15510" s="24"/>
      <c r="S15510" s="24"/>
      <c r="T15510" s="24"/>
      <c r="U15510" s="24"/>
      <c r="V15510" s="24"/>
      <c r="W15510" s="24"/>
      <c r="X15510" s="24"/>
      <c r="Y15510" s="24"/>
      <c r="Z15510" s="24"/>
      <c r="AA15510" s="24"/>
    </row>
    <row r="15511">
      <c r="A15511" s="24"/>
      <c r="B15511" s="25"/>
      <c r="C15511" s="24"/>
      <c r="D15511" s="26"/>
      <c r="E15511" s="24"/>
      <c r="F15511" s="24"/>
      <c r="G15511" s="24"/>
      <c r="H15511" s="24"/>
      <c r="I15511" s="24"/>
      <c r="J15511" s="24"/>
      <c r="K15511" s="24"/>
      <c r="L15511" s="24"/>
      <c r="M15511" s="24"/>
      <c r="N15511" s="24"/>
      <c r="O15511" s="24"/>
      <c r="P15511" s="24"/>
      <c r="Q15511" s="24"/>
      <c r="R15511" s="24"/>
      <c r="S15511" s="24"/>
      <c r="T15511" s="24"/>
      <c r="U15511" s="24"/>
      <c r="V15511" s="24"/>
      <c r="W15511" s="24"/>
      <c r="X15511" s="24"/>
      <c r="Y15511" s="24"/>
      <c r="Z15511" s="24"/>
      <c r="AA15511" s="24"/>
    </row>
    <row r="15512">
      <c r="A15512" s="24"/>
      <c r="B15512" s="25"/>
      <c r="C15512" s="24"/>
      <c r="D15512" s="26"/>
      <c r="E15512" s="24"/>
      <c r="F15512" s="24"/>
      <c r="G15512" s="24"/>
      <c r="H15512" s="24"/>
      <c r="I15512" s="24"/>
      <c r="J15512" s="24"/>
      <c r="K15512" s="24"/>
      <c r="L15512" s="24"/>
      <c r="M15512" s="24"/>
      <c r="N15512" s="24"/>
      <c r="O15512" s="24"/>
      <c r="P15512" s="24"/>
      <c r="Q15512" s="24"/>
      <c r="R15512" s="24"/>
      <c r="S15512" s="24"/>
      <c r="T15512" s="24"/>
      <c r="U15512" s="24"/>
      <c r="V15512" s="24"/>
      <c r="W15512" s="24"/>
      <c r="X15512" s="24"/>
      <c r="Y15512" s="24"/>
      <c r="Z15512" s="24"/>
      <c r="AA15512" s="24"/>
    </row>
    <row r="15513">
      <c r="A15513" s="24"/>
      <c r="B15513" s="25"/>
      <c r="C15513" s="24"/>
      <c r="D15513" s="26"/>
      <c r="E15513" s="24"/>
      <c r="F15513" s="24"/>
      <c r="G15513" s="24"/>
      <c r="H15513" s="24"/>
      <c r="I15513" s="24"/>
      <c r="J15513" s="24"/>
      <c r="K15513" s="24"/>
      <c r="L15513" s="24"/>
      <c r="M15513" s="24"/>
      <c r="N15513" s="24"/>
      <c r="O15513" s="24"/>
      <c r="P15513" s="24"/>
      <c r="Q15513" s="24"/>
      <c r="R15513" s="24"/>
      <c r="S15513" s="24"/>
      <c r="T15513" s="24"/>
      <c r="U15513" s="24"/>
      <c r="V15513" s="24"/>
      <c r="W15513" s="24"/>
      <c r="X15513" s="24"/>
      <c r="Y15513" s="24"/>
      <c r="Z15513" s="24"/>
      <c r="AA15513" s="24"/>
    </row>
    <row r="15514">
      <c r="A15514" s="24"/>
      <c r="B15514" s="25"/>
      <c r="C15514" s="24"/>
      <c r="D15514" s="26"/>
      <c r="E15514" s="24"/>
      <c r="F15514" s="24"/>
      <c r="G15514" s="24"/>
      <c r="H15514" s="24"/>
      <c r="I15514" s="24"/>
      <c r="J15514" s="24"/>
      <c r="K15514" s="24"/>
      <c r="L15514" s="24"/>
      <c r="M15514" s="24"/>
      <c r="N15514" s="24"/>
      <c r="O15514" s="24"/>
      <c r="P15514" s="24"/>
      <c r="Q15514" s="24"/>
      <c r="R15514" s="24"/>
      <c r="S15514" s="24"/>
      <c r="T15514" s="24"/>
      <c r="U15514" s="24"/>
      <c r="V15514" s="24"/>
      <c r="W15514" s="24"/>
      <c r="X15514" s="24"/>
      <c r="Y15514" s="24"/>
      <c r="Z15514" s="24"/>
      <c r="AA15514" s="24"/>
    </row>
    <row r="15515">
      <c r="A15515" s="24"/>
      <c r="B15515" s="25"/>
      <c r="C15515" s="24"/>
      <c r="D15515" s="26"/>
      <c r="E15515" s="24"/>
      <c r="F15515" s="24"/>
      <c r="G15515" s="24"/>
      <c r="H15515" s="24"/>
      <c r="I15515" s="24"/>
      <c r="J15515" s="24"/>
      <c r="K15515" s="24"/>
      <c r="L15515" s="24"/>
      <c r="M15515" s="24"/>
      <c r="N15515" s="24"/>
      <c r="O15515" s="24"/>
      <c r="P15515" s="24"/>
      <c r="Q15515" s="24"/>
      <c r="R15515" s="24"/>
      <c r="S15515" s="24"/>
      <c r="T15515" s="24"/>
      <c r="U15515" s="24"/>
      <c r="V15515" s="24"/>
      <c r="W15515" s="24"/>
      <c r="X15515" s="24"/>
      <c r="Y15515" s="24"/>
      <c r="Z15515" s="24"/>
      <c r="AA15515" s="24"/>
    </row>
    <row r="15516">
      <c r="A15516" s="24"/>
      <c r="B15516" s="25"/>
      <c r="C15516" s="24"/>
      <c r="D15516" s="26"/>
      <c r="E15516" s="24"/>
      <c r="F15516" s="24"/>
      <c r="G15516" s="24"/>
      <c r="H15516" s="24"/>
      <c r="I15516" s="24"/>
      <c r="J15516" s="24"/>
      <c r="K15516" s="24"/>
      <c r="L15516" s="24"/>
      <c r="M15516" s="24"/>
      <c r="N15516" s="24"/>
      <c r="O15516" s="24"/>
      <c r="P15516" s="24"/>
      <c r="Q15516" s="24"/>
      <c r="R15516" s="24"/>
      <c r="S15516" s="24"/>
      <c r="T15516" s="24"/>
      <c r="U15516" s="24"/>
      <c r="V15516" s="24"/>
      <c r="W15516" s="24"/>
      <c r="X15516" s="24"/>
      <c r="Y15516" s="24"/>
      <c r="Z15516" s="24"/>
      <c r="AA15516" s="24"/>
    </row>
    <row r="15517">
      <c r="A15517" s="24"/>
      <c r="B15517" s="25"/>
      <c r="C15517" s="24"/>
      <c r="D15517" s="26"/>
      <c r="E15517" s="24"/>
      <c r="F15517" s="24"/>
      <c r="G15517" s="24"/>
      <c r="H15517" s="24"/>
      <c r="I15517" s="24"/>
      <c r="J15517" s="24"/>
      <c r="K15517" s="24"/>
      <c r="L15517" s="24"/>
      <c r="M15517" s="24"/>
      <c r="N15517" s="24"/>
      <c r="O15517" s="24"/>
      <c r="P15517" s="24"/>
      <c r="Q15517" s="24"/>
      <c r="R15517" s="24"/>
      <c r="S15517" s="24"/>
      <c r="T15517" s="24"/>
      <c r="U15517" s="24"/>
      <c r="V15517" s="24"/>
      <c r="W15517" s="24"/>
      <c r="X15517" s="24"/>
      <c r="Y15517" s="24"/>
      <c r="Z15517" s="24"/>
      <c r="AA15517" s="24"/>
    </row>
    <row r="15518">
      <c r="A15518" s="24"/>
      <c r="B15518" s="25"/>
      <c r="C15518" s="24"/>
      <c r="D15518" s="26"/>
      <c r="E15518" s="24"/>
      <c r="F15518" s="24"/>
      <c r="G15518" s="24"/>
      <c r="H15518" s="24"/>
      <c r="I15518" s="24"/>
      <c r="J15518" s="24"/>
      <c r="K15518" s="24"/>
      <c r="L15518" s="24"/>
      <c r="M15518" s="24"/>
      <c r="N15518" s="24"/>
      <c r="O15518" s="24"/>
      <c r="P15518" s="24"/>
      <c r="Q15518" s="24"/>
      <c r="R15518" s="24"/>
      <c r="S15518" s="24"/>
      <c r="T15518" s="24"/>
      <c r="U15518" s="24"/>
      <c r="V15518" s="24"/>
      <c r="W15518" s="24"/>
      <c r="X15518" s="24"/>
      <c r="Y15518" s="24"/>
      <c r="Z15518" s="24"/>
      <c r="AA15518" s="24"/>
    </row>
    <row r="15519">
      <c r="A15519" s="24"/>
      <c r="B15519" s="25"/>
      <c r="C15519" s="24"/>
      <c r="D15519" s="26"/>
      <c r="E15519" s="24"/>
      <c r="F15519" s="24"/>
      <c r="G15519" s="24"/>
      <c r="H15519" s="24"/>
      <c r="I15519" s="24"/>
      <c r="J15519" s="24"/>
      <c r="K15519" s="24"/>
      <c r="L15519" s="24"/>
      <c r="M15519" s="24"/>
      <c r="N15519" s="24"/>
      <c r="O15519" s="24"/>
      <c r="P15519" s="24"/>
      <c r="Q15519" s="24"/>
      <c r="R15519" s="24"/>
      <c r="S15519" s="24"/>
      <c r="T15519" s="24"/>
      <c r="U15519" s="24"/>
      <c r="V15519" s="24"/>
      <c r="W15519" s="24"/>
      <c r="X15519" s="24"/>
      <c r="Y15519" s="24"/>
      <c r="Z15519" s="24"/>
      <c r="AA15519" s="24"/>
    </row>
    <row r="15520">
      <c r="A15520" s="24"/>
      <c r="B15520" s="25"/>
      <c r="C15520" s="24"/>
      <c r="D15520" s="26"/>
      <c r="E15520" s="24"/>
      <c r="F15520" s="24"/>
      <c r="G15520" s="24"/>
      <c r="H15520" s="24"/>
      <c r="I15520" s="24"/>
      <c r="J15520" s="24"/>
      <c r="K15520" s="24"/>
      <c r="L15520" s="24"/>
      <c r="M15520" s="24"/>
      <c r="N15520" s="24"/>
      <c r="O15520" s="24"/>
      <c r="P15520" s="24"/>
      <c r="Q15520" s="24"/>
      <c r="R15520" s="24"/>
      <c r="S15520" s="24"/>
      <c r="T15520" s="24"/>
      <c r="U15520" s="24"/>
      <c r="V15520" s="24"/>
      <c r="W15520" s="24"/>
      <c r="X15520" s="24"/>
      <c r="Y15520" s="24"/>
      <c r="Z15520" s="24"/>
      <c r="AA15520" s="24"/>
    </row>
    <row r="15521">
      <c r="A15521" s="24"/>
      <c r="B15521" s="25"/>
      <c r="C15521" s="24"/>
      <c r="D15521" s="26"/>
      <c r="E15521" s="24"/>
      <c r="F15521" s="24"/>
      <c r="G15521" s="24"/>
      <c r="H15521" s="24"/>
      <c r="I15521" s="24"/>
      <c r="J15521" s="24"/>
      <c r="K15521" s="24"/>
      <c r="L15521" s="24"/>
      <c r="M15521" s="24"/>
      <c r="N15521" s="24"/>
      <c r="O15521" s="24"/>
      <c r="P15521" s="24"/>
      <c r="Q15521" s="24"/>
      <c r="R15521" s="24"/>
      <c r="S15521" s="24"/>
      <c r="T15521" s="24"/>
      <c r="U15521" s="24"/>
      <c r="V15521" s="24"/>
      <c r="W15521" s="24"/>
      <c r="X15521" s="24"/>
      <c r="Y15521" s="24"/>
      <c r="Z15521" s="24"/>
      <c r="AA15521" s="24"/>
    </row>
    <row r="15522">
      <c r="A15522" s="24"/>
      <c r="B15522" s="25"/>
      <c r="C15522" s="24"/>
      <c r="D15522" s="26"/>
      <c r="E15522" s="24"/>
      <c r="F15522" s="24"/>
      <c r="G15522" s="24"/>
      <c r="H15522" s="24"/>
      <c r="I15522" s="24"/>
      <c r="J15522" s="24"/>
      <c r="K15522" s="24"/>
      <c r="L15522" s="24"/>
      <c r="M15522" s="24"/>
      <c r="N15522" s="24"/>
      <c r="O15522" s="24"/>
      <c r="P15522" s="24"/>
      <c r="Q15522" s="24"/>
      <c r="R15522" s="24"/>
      <c r="S15522" s="24"/>
      <c r="T15522" s="24"/>
      <c r="U15522" s="24"/>
      <c r="V15522" s="24"/>
      <c r="W15522" s="24"/>
      <c r="X15522" s="24"/>
      <c r="Y15522" s="24"/>
      <c r="Z15522" s="24"/>
      <c r="AA15522" s="24"/>
    </row>
    <row r="15523">
      <c r="A15523" s="24"/>
      <c r="B15523" s="25"/>
      <c r="C15523" s="24"/>
      <c r="D15523" s="26"/>
      <c r="E15523" s="24"/>
      <c r="F15523" s="24"/>
      <c r="G15523" s="24"/>
      <c r="H15523" s="24"/>
      <c r="I15523" s="24"/>
      <c r="J15523" s="24"/>
      <c r="K15523" s="24"/>
      <c r="L15523" s="24"/>
      <c r="M15523" s="24"/>
      <c r="N15523" s="24"/>
      <c r="O15523" s="24"/>
      <c r="P15523" s="24"/>
      <c r="Q15523" s="24"/>
      <c r="R15523" s="24"/>
      <c r="S15523" s="24"/>
      <c r="T15523" s="24"/>
      <c r="U15523" s="24"/>
      <c r="V15523" s="24"/>
      <c r="W15523" s="24"/>
      <c r="X15523" s="24"/>
      <c r="Y15523" s="24"/>
      <c r="Z15523" s="24"/>
      <c r="AA15523" s="24"/>
    </row>
    <row r="15524">
      <c r="A15524" s="24"/>
      <c r="B15524" s="25"/>
      <c r="C15524" s="24"/>
      <c r="D15524" s="26"/>
      <c r="E15524" s="24"/>
      <c r="F15524" s="24"/>
      <c r="G15524" s="24"/>
      <c r="H15524" s="24"/>
      <c r="I15524" s="24"/>
      <c r="J15524" s="24"/>
      <c r="K15524" s="24"/>
      <c r="L15524" s="24"/>
      <c r="M15524" s="24"/>
      <c r="N15524" s="24"/>
      <c r="O15524" s="24"/>
      <c r="P15524" s="24"/>
      <c r="Q15524" s="24"/>
      <c r="R15524" s="24"/>
      <c r="S15524" s="24"/>
      <c r="T15524" s="24"/>
      <c r="U15524" s="24"/>
      <c r="V15524" s="24"/>
      <c r="W15524" s="24"/>
      <c r="X15524" s="24"/>
      <c r="Y15524" s="24"/>
      <c r="Z15524" s="24"/>
      <c r="AA15524" s="24"/>
    </row>
    <row r="15525">
      <c r="A15525" s="24"/>
      <c r="B15525" s="25"/>
      <c r="C15525" s="24"/>
      <c r="D15525" s="26"/>
      <c r="E15525" s="24"/>
      <c r="F15525" s="24"/>
      <c r="G15525" s="24"/>
      <c r="H15525" s="24"/>
      <c r="I15525" s="24"/>
      <c r="J15525" s="24"/>
      <c r="K15525" s="24"/>
      <c r="L15525" s="24"/>
      <c r="M15525" s="24"/>
      <c r="N15525" s="24"/>
      <c r="O15525" s="24"/>
      <c r="P15525" s="24"/>
      <c r="Q15525" s="24"/>
      <c r="R15525" s="24"/>
      <c r="S15525" s="24"/>
      <c r="T15525" s="24"/>
      <c r="U15525" s="24"/>
      <c r="V15525" s="24"/>
      <c r="W15525" s="24"/>
      <c r="X15525" s="24"/>
      <c r="Y15525" s="24"/>
      <c r="Z15525" s="24"/>
      <c r="AA15525" s="24"/>
    </row>
    <row r="15526">
      <c r="A15526" s="24"/>
      <c r="B15526" s="25"/>
      <c r="C15526" s="24"/>
      <c r="D15526" s="26"/>
      <c r="E15526" s="24"/>
      <c r="F15526" s="24"/>
      <c r="G15526" s="24"/>
      <c r="H15526" s="24"/>
      <c r="I15526" s="24"/>
      <c r="J15526" s="24"/>
      <c r="K15526" s="24"/>
      <c r="L15526" s="24"/>
      <c r="M15526" s="24"/>
      <c r="N15526" s="24"/>
      <c r="O15526" s="24"/>
      <c r="P15526" s="24"/>
      <c r="Q15526" s="24"/>
      <c r="R15526" s="24"/>
      <c r="S15526" s="24"/>
      <c r="T15526" s="24"/>
      <c r="U15526" s="24"/>
      <c r="V15526" s="24"/>
      <c r="W15526" s="24"/>
      <c r="X15526" s="24"/>
      <c r="Y15526" s="24"/>
      <c r="Z15526" s="24"/>
      <c r="AA15526" s="24"/>
    </row>
    <row r="15527">
      <c r="A15527" s="24"/>
      <c r="B15527" s="25"/>
      <c r="C15527" s="24"/>
      <c r="D15527" s="26"/>
      <c r="E15527" s="24"/>
      <c r="F15527" s="24"/>
      <c r="G15527" s="24"/>
      <c r="H15527" s="24"/>
      <c r="I15527" s="24"/>
      <c r="J15527" s="24"/>
      <c r="K15527" s="24"/>
      <c r="L15527" s="24"/>
      <c r="M15527" s="24"/>
      <c r="N15527" s="24"/>
      <c r="O15527" s="24"/>
      <c r="P15527" s="24"/>
      <c r="Q15527" s="24"/>
      <c r="R15527" s="24"/>
      <c r="S15527" s="24"/>
      <c r="T15527" s="24"/>
      <c r="U15527" s="24"/>
      <c r="V15527" s="24"/>
      <c r="W15527" s="24"/>
      <c r="X15527" s="24"/>
      <c r="Y15527" s="24"/>
      <c r="Z15527" s="24"/>
      <c r="AA15527" s="24"/>
    </row>
    <row r="15528">
      <c r="A15528" s="24"/>
      <c r="B15528" s="25"/>
      <c r="C15528" s="24"/>
      <c r="D15528" s="26"/>
      <c r="E15528" s="24"/>
      <c r="F15528" s="24"/>
      <c r="G15528" s="24"/>
      <c r="H15528" s="24"/>
      <c r="I15528" s="24"/>
      <c r="J15528" s="24"/>
      <c r="K15528" s="24"/>
      <c r="L15528" s="24"/>
      <c r="M15528" s="24"/>
      <c r="N15528" s="24"/>
      <c r="O15528" s="24"/>
      <c r="P15528" s="24"/>
      <c r="Q15528" s="24"/>
      <c r="R15528" s="24"/>
      <c r="S15528" s="24"/>
      <c r="T15528" s="24"/>
      <c r="U15528" s="24"/>
      <c r="V15528" s="24"/>
      <c r="W15528" s="24"/>
      <c r="X15528" s="24"/>
      <c r="Y15528" s="24"/>
      <c r="Z15528" s="24"/>
      <c r="AA15528" s="24"/>
    </row>
    <row r="15529">
      <c r="A15529" s="24"/>
      <c r="B15529" s="25"/>
      <c r="C15529" s="24"/>
      <c r="D15529" s="26"/>
      <c r="E15529" s="24"/>
      <c r="F15529" s="24"/>
      <c r="G15529" s="24"/>
      <c r="H15529" s="24"/>
      <c r="I15529" s="24"/>
      <c r="J15529" s="24"/>
      <c r="K15529" s="24"/>
      <c r="L15529" s="24"/>
      <c r="M15529" s="24"/>
      <c r="N15529" s="24"/>
      <c r="O15529" s="24"/>
      <c r="P15529" s="24"/>
      <c r="Q15529" s="24"/>
      <c r="R15529" s="24"/>
      <c r="S15529" s="24"/>
      <c r="T15529" s="24"/>
      <c r="U15529" s="24"/>
      <c r="V15529" s="24"/>
      <c r="W15529" s="24"/>
      <c r="X15529" s="24"/>
      <c r="Y15529" s="24"/>
      <c r="Z15529" s="24"/>
      <c r="AA15529" s="24"/>
    </row>
    <row r="15530">
      <c r="A15530" s="24"/>
      <c r="B15530" s="25"/>
      <c r="C15530" s="24"/>
      <c r="D15530" s="26"/>
      <c r="E15530" s="24"/>
      <c r="F15530" s="24"/>
      <c r="G15530" s="24"/>
      <c r="H15530" s="24"/>
      <c r="I15530" s="24"/>
      <c r="J15530" s="24"/>
      <c r="K15530" s="24"/>
      <c r="L15530" s="24"/>
      <c r="M15530" s="24"/>
      <c r="N15530" s="24"/>
      <c r="O15530" s="24"/>
      <c r="P15530" s="24"/>
      <c r="Q15530" s="24"/>
      <c r="R15530" s="24"/>
      <c r="S15530" s="24"/>
      <c r="T15530" s="24"/>
      <c r="U15530" s="24"/>
      <c r="V15530" s="24"/>
      <c r="W15530" s="24"/>
      <c r="X15530" s="24"/>
      <c r="Y15530" s="24"/>
      <c r="Z15530" s="24"/>
      <c r="AA15530" s="24"/>
    </row>
    <row r="15531">
      <c r="A15531" s="24"/>
      <c r="B15531" s="25"/>
      <c r="C15531" s="24"/>
      <c r="D15531" s="26"/>
      <c r="E15531" s="24"/>
      <c r="F15531" s="24"/>
      <c r="G15531" s="24"/>
      <c r="H15531" s="24"/>
      <c r="I15531" s="24"/>
      <c r="J15531" s="24"/>
      <c r="K15531" s="24"/>
      <c r="L15531" s="24"/>
      <c r="M15531" s="24"/>
      <c r="N15531" s="24"/>
      <c r="O15531" s="24"/>
      <c r="P15531" s="24"/>
      <c r="Q15531" s="24"/>
      <c r="R15531" s="24"/>
      <c r="S15531" s="24"/>
      <c r="T15531" s="24"/>
      <c r="U15531" s="24"/>
      <c r="V15531" s="24"/>
      <c r="W15531" s="24"/>
      <c r="X15531" s="24"/>
      <c r="Y15531" s="24"/>
      <c r="Z15531" s="24"/>
      <c r="AA15531" s="24"/>
    </row>
    <row r="15532">
      <c r="A15532" s="24"/>
      <c r="B15532" s="25"/>
      <c r="C15532" s="24"/>
      <c r="D15532" s="26"/>
      <c r="E15532" s="24"/>
      <c r="F15532" s="24"/>
      <c r="G15532" s="24"/>
      <c r="H15532" s="24"/>
      <c r="I15532" s="24"/>
      <c r="J15532" s="24"/>
      <c r="K15532" s="24"/>
      <c r="L15532" s="24"/>
      <c r="M15532" s="24"/>
      <c r="N15532" s="24"/>
      <c r="O15532" s="24"/>
      <c r="P15532" s="24"/>
      <c r="Q15532" s="24"/>
      <c r="R15532" s="24"/>
      <c r="S15532" s="24"/>
      <c r="T15532" s="24"/>
      <c r="U15532" s="24"/>
      <c r="V15532" s="24"/>
      <c r="W15532" s="24"/>
      <c r="X15532" s="24"/>
      <c r="Y15532" s="24"/>
      <c r="Z15532" s="24"/>
      <c r="AA15532" s="24"/>
    </row>
    <row r="15533">
      <c r="A15533" s="24"/>
      <c r="B15533" s="25"/>
      <c r="C15533" s="24"/>
      <c r="D15533" s="26"/>
      <c r="E15533" s="24"/>
      <c r="F15533" s="24"/>
      <c r="G15533" s="24"/>
      <c r="H15533" s="24"/>
      <c r="I15533" s="24"/>
      <c r="J15533" s="24"/>
      <c r="K15533" s="24"/>
      <c r="L15533" s="24"/>
      <c r="M15533" s="24"/>
      <c r="N15533" s="24"/>
      <c r="O15533" s="24"/>
      <c r="P15533" s="24"/>
      <c r="Q15533" s="24"/>
      <c r="R15533" s="24"/>
      <c r="S15533" s="24"/>
      <c r="T15533" s="24"/>
      <c r="U15533" s="24"/>
      <c r="V15533" s="24"/>
      <c r="W15533" s="24"/>
      <c r="X15533" s="24"/>
      <c r="Y15533" s="24"/>
      <c r="Z15533" s="24"/>
      <c r="AA15533" s="24"/>
    </row>
    <row r="15534">
      <c r="A15534" s="24"/>
      <c r="B15534" s="25"/>
      <c r="C15534" s="24"/>
      <c r="D15534" s="26"/>
      <c r="E15534" s="24"/>
      <c r="F15534" s="24"/>
      <c r="G15534" s="24"/>
      <c r="H15534" s="24"/>
      <c r="I15534" s="24"/>
      <c r="J15534" s="24"/>
      <c r="K15534" s="24"/>
      <c r="L15534" s="24"/>
      <c r="M15534" s="24"/>
      <c r="N15534" s="24"/>
      <c r="O15534" s="24"/>
      <c r="P15534" s="24"/>
      <c r="Q15534" s="24"/>
      <c r="R15534" s="24"/>
      <c r="S15534" s="24"/>
      <c r="T15534" s="24"/>
      <c r="U15534" s="24"/>
      <c r="V15534" s="24"/>
      <c r="W15534" s="24"/>
      <c r="X15534" s="24"/>
      <c r="Y15534" s="24"/>
      <c r="Z15534" s="24"/>
      <c r="AA15534" s="24"/>
    </row>
    <row r="15535">
      <c r="A15535" s="24"/>
      <c r="B15535" s="25"/>
      <c r="C15535" s="24"/>
      <c r="D15535" s="26"/>
      <c r="E15535" s="24"/>
      <c r="F15535" s="24"/>
      <c r="G15535" s="24"/>
      <c r="H15535" s="24"/>
      <c r="I15535" s="24"/>
      <c r="J15535" s="24"/>
      <c r="K15535" s="24"/>
      <c r="L15535" s="24"/>
      <c r="M15535" s="24"/>
      <c r="N15535" s="24"/>
      <c r="O15535" s="24"/>
      <c r="P15535" s="24"/>
      <c r="Q15535" s="24"/>
      <c r="R15535" s="24"/>
      <c r="S15535" s="24"/>
      <c r="T15535" s="24"/>
      <c r="U15535" s="24"/>
      <c r="V15535" s="24"/>
      <c r="W15535" s="24"/>
      <c r="X15535" s="24"/>
      <c r="Y15535" s="24"/>
      <c r="Z15535" s="24"/>
      <c r="AA15535" s="24"/>
    </row>
    <row r="15536">
      <c r="A15536" s="24"/>
      <c r="B15536" s="25"/>
      <c r="C15536" s="24"/>
      <c r="D15536" s="26"/>
      <c r="E15536" s="24"/>
      <c r="F15536" s="24"/>
      <c r="G15536" s="24"/>
      <c r="H15536" s="24"/>
      <c r="I15536" s="24"/>
      <c r="J15536" s="24"/>
      <c r="K15536" s="24"/>
      <c r="L15536" s="24"/>
      <c r="M15536" s="24"/>
      <c r="N15536" s="24"/>
      <c r="O15536" s="24"/>
      <c r="P15536" s="24"/>
      <c r="Q15536" s="24"/>
      <c r="R15536" s="24"/>
      <c r="S15536" s="24"/>
      <c r="T15536" s="24"/>
      <c r="U15536" s="24"/>
      <c r="V15536" s="24"/>
      <c r="W15536" s="24"/>
      <c r="X15536" s="24"/>
      <c r="Y15536" s="24"/>
      <c r="Z15536" s="24"/>
      <c r="AA15536" s="24"/>
    </row>
    <row r="15537">
      <c r="A15537" s="24"/>
      <c r="B15537" s="25"/>
      <c r="C15537" s="24"/>
      <c r="D15537" s="26"/>
      <c r="E15537" s="24"/>
      <c r="F15537" s="24"/>
      <c r="G15537" s="24"/>
      <c r="H15537" s="24"/>
      <c r="I15537" s="24"/>
      <c r="J15537" s="24"/>
      <c r="K15537" s="24"/>
      <c r="L15537" s="24"/>
      <c r="M15537" s="24"/>
      <c r="N15537" s="24"/>
      <c r="O15537" s="24"/>
      <c r="P15537" s="24"/>
      <c r="Q15537" s="24"/>
      <c r="R15537" s="24"/>
      <c r="S15537" s="24"/>
      <c r="T15537" s="24"/>
      <c r="U15537" s="24"/>
      <c r="V15537" s="24"/>
      <c r="W15537" s="24"/>
      <c r="X15537" s="24"/>
      <c r="Y15537" s="24"/>
      <c r="Z15537" s="24"/>
      <c r="AA15537" s="24"/>
    </row>
    <row r="15538">
      <c r="A15538" s="24"/>
      <c r="B15538" s="25"/>
      <c r="C15538" s="24"/>
      <c r="D15538" s="26"/>
      <c r="E15538" s="24"/>
      <c r="F15538" s="24"/>
      <c r="G15538" s="24"/>
      <c r="H15538" s="24"/>
      <c r="I15538" s="24"/>
      <c r="J15538" s="24"/>
      <c r="K15538" s="24"/>
      <c r="L15538" s="24"/>
      <c r="M15538" s="24"/>
      <c r="N15538" s="24"/>
      <c r="O15538" s="24"/>
      <c r="P15538" s="24"/>
      <c r="Q15538" s="24"/>
      <c r="R15538" s="24"/>
      <c r="S15538" s="24"/>
      <c r="T15538" s="24"/>
      <c r="U15538" s="24"/>
      <c r="V15538" s="24"/>
      <c r="W15538" s="24"/>
      <c r="X15538" s="24"/>
      <c r="Y15538" s="24"/>
      <c r="Z15538" s="24"/>
      <c r="AA15538" s="24"/>
    </row>
    <row r="15539">
      <c r="A15539" s="24"/>
      <c r="B15539" s="25"/>
      <c r="C15539" s="24"/>
      <c r="D15539" s="26"/>
      <c r="E15539" s="24"/>
      <c r="F15539" s="24"/>
      <c r="G15539" s="24"/>
      <c r="H15539" s="24"/>
      <c r="I15539" s="24"/>
      <c r="J15539" s="24"/>
      <c r="K15539" s="24"/>
      <c r="L15539" s="24"/>
      <c r="M15539" s="24"/>
      <c r="N15539" s="24"/>
      <c r="O15539" s="24"/>
      <c r="P15539" s="24"/>
      <c r="Q15539" s="24"/>
      <c r="R15539" s="24"/>
      <c r="S15539" s="24"/>
      <c r="T15539" s="24"/>
      <c r="U15539" s="24"/>
      <c r="V15539" s="24"/>
      <c r="W15539" s="24"/>
      <c r="X15539" s="24"/>
      <c r="Y15539" s="24"/>
      <c r="Z15539" s="24"/>
      <c r="AA15539" s="24"/>
    </row>
    <row r="15540">
      <c r="A15540" s="24"/>
      <c r="B15540" s="25"/>
      <c r="C15540" s="24"/>
      <c r="D15540" s="26"/>
      <c r="E15540" s="24"/>
      <c r="F15540" s="24"/>
      <c r="G15540" s="24"/>
      <c r="H15540" s="24"/>
      <c r="I15540" s="24"/>
      <c r="J15540" s="24"/>
      <c r="K15540" s="24"/>
      <c r="L15540" s="24"/>
      <c r="M15540" s="24"/>
      <c r="N15540" s="24"/>
      <c r="O15540" s="24"/>
      <c r="P15540" s="24"/>
      <c r="Q15540" s="24"/>
      <c r="R15540" s="24"/>
      <c r="S15540" s="24"/>
      <c r="T15540" s="24"/>
      <c r="U15540" s="24"/>
      <c r="V15540" s="24"/>
      <c r="W15540" s="24"/>
      <c r="X15540" s="24"/>
      <c r="Y15540" s="24"/>
      <c r="Z15540" s="24"/>
      <c r="AA15540" s="24"/>
    </row>
    <row r="15541">
      <c r="A15541" s="24"/>
      <c r="B15541" s="25"/>
      <c r="C15541" s="24"/>
      <c r="D15541" s="26"/>
      <c r="E15541" s="24"/>
      <c r="F15541" s="24"/>
      <c r="G15541" s="24"/>
      <c r="H15541" s="24"/>
      <c r="I15541" s="24"/>
      <c r="J15541" s="24"/>
      <c r="K15541" s="24"/>
      <c r="L15541" s="24"/>
      <c r="M15541" s="24"/>
      <c r="N15541" s="24"/>
      <c r="O15541" s="24"/>
      <c r="P15541" s="24"/>
      <c r="Q15541" s="24"/>
      <c r="R15541" s="24"/>
      <c r="S15541" s="24"/>
      <c r="T15541" s="24"/>
      <c r="U15541" s="24"/>
      <c r="V15541" s="24"/>
      <c r="W15541" s="24"/>
      <c r="X15541" s="24"/>
      <c r="Y15541" s="24"/>
      <c r="Z15541" s="24"/>
      <c r="AA15541" s="24"/>
    </row>
    <row r="15542">
      <c r="A15542" s="24"/>
      <c r="B15542" s="25"/>
      <c r="C15542" s="24"/>
      <c r="D15542" s="26"/>
      <c r="E15542" s="24"/>
      <c r="F15542" s="24"/>
      <c r="G15542" s="24"/>
      <c r="H15542" s="24"/>
      <c r="I15542" s="24"/>
      <c r="J15542" s="24"/>
      <c r="K15542" s="24"/>
      <c r="L15542" s="24"/>
      <c r="M15542" s="24"/>
      <c r="N15542" s="24"/>
      <c r="O15542" s="24"/>
      <c r="P15542" s="24"/>
      <c r="Q15542" s="24"/>
      <c r="R15542" s="24"/>
      <c r="S15542" s="24"/>
      <c r="T15542" s="24"/>
      <c r="U15542" s="24"/>
      <c r="V15542" s="24"/>
      <c r="W15542" s="24"/>
      <c r="X15542" s="24"/>
      <c r="Y15542" s="24"/>
      <c r="Z15542" s="24"/>
      <c r="AA15542" s="24"/>
    </row>
    <row r="15543">
      <c r="A15543" s="24"/>
      <c r="B15543" s="25"/>
      <c r="C15543" s="24"/>
      <c r="D15543" s="26"/>
      <c r="E15543" s="24"/>
      <c r="F15543" s="24"/>
      <c r="G15543" s="24"/>
      <c r="H15543" s="24"/>
      <c r="I15543" s="24"/>
      <c r="J15543" s="24"/>
      <c r="K15543" s="24"/>
      <c r="L15543" s="24"/>
      <c r="M15543" s="24"/>
      <c r="N15543" s="24"/>
      <c r="O15543" s="24"/>
      <c r="P15543" s="24"/>
      <c r="Q15543" s="24"/>
      <c r="R15543" s="24"/>
      <c r="S15543" s="24"/>
      <c r="T15543" s="24"/>
      <c r="U15543" s="24"/>
      <c r="V15543" s="24"/>
      <c r="W15543" s="24"/>
      <c r="X15543" s="24"/>
      <c r="Y15543" s="24"/>
      <c r="Z15543" s="24"/>
      <c r="AA15543" s="24"/>
    </row>
    <row r="15544">
      <c r="A15544" s="24"/>
      <c r="B15544" s="25"/>
      <c r="C15544" s="24"/>
      <c r="D15544" s="26"/>
      <c r="E15544" s="24"/>
      <c r="F15544" s="24"/>
      <c r="G15544" s="24"/>
      <c r="H15544" s="24"/>
      <c r="I15544" s="24"/>
      <c r="J15544" s="24"/>
      <c r="K15544" s="24"/>
      <c r="L15544" s="24"/>
      <c r="M15544" s="24"/>
      <c r="N15544" s="24"/>
      <c r="O15544" s="24"/>
      <c r="P15544" s="24"/>
      <c r="Q15544" s="24"/>
      <c r="R15544" s="24"/>
      <c r="S15544" s="24"/>
      <c r="T15544" s="24"/>
      <c r="U15544" s="24"/>
      <c r="V15544" s="24"/>
      <c r="W15544" s="24"/>
      <c r="X15544" s="24"/>
      <c r="Y15544" s="24"/>
      <c r="Z15544" s="24"/>
      <c r="AA15544" s="24"/>
    </row>
    <row r="15545">
      <c r="A15545" s="24"/>
      <c r="B15545" s="25"/>
      <c r="C15545" s="24"/>
      <c r="D15545" s="26"/>
      <c r="E15545" s="24"/>
      <c r="F15545" s="24"/>
      <c r="G15545" s="24"/>
      <c r="H15545" s="24"/>
      <c r="I15545" s="24"/>
      <c r="J15545" s="24"/>
      <c r="K15545" s="24"/>
      <c r="L15545" s="24"/>
      <c r="M15545" s="24"/>
      <c r="N15545" s="24"/>
      <c r="O15545" s="24"/>
      <c r="P15545" s="24"/>
      <c r="Q15545" s="24"/>
      <c r="R15545" s="24"/>
      <c r="S15545" s="24"/>
      <c r="T15545" s="24"/>
      <c r="U15545" s="24"/>
      <c r="V15545" s="24"/>
      <c r="W15545" s="24"/>
      <c r="X15545" s="24"/>
      <c r="Y15545" s="24"/>
      <c r="Z15545" s="24"/>
      <c r="AA15545" s="24"/>
    </row>
    <row r="15546">
      <c r="A15546" s="24"/>
      <c r="B15546" s="25"/>
      <c r="C15546" s="24"/>
      <c r="D15546" s="26"/>
      <c r="E15546" s="24"/>
      <c r="F15546" s="24"/>
      <c r="G15546" s="24"/>
      <c r="H15546" s="24"/>
      <c r="I15546" s="24"/>
      <c r="J15546" s="24"/>
      <c r="K15546" s="24"/>
      <c r="L15546" s="24"/>
      <c r="M15546" s="24"/>
      <c r="N15546" s="24"/>
      <c r="O15546" s="24"/>
      <c r="P15546" s="24"/>
      <c r="Q15546" s="24"/>
      <c r="R15546" s="24"/>
      <c r="S15546" s="24"/>
      <c r="T15546" s="24"/>
      <c r="U15546" s="24"/>
      <c r="V15546" s="24"/>
      <c r="W15546" s="24"/>
      <c r="X15546" s="24"/>
      <c r="Y15546" s="24"/>
      <c r="Z15546" s="24"/>
      <c r="AA15546" s="24"/>
    </row>
    <row r="15547">
      <c r="A15547" s="24"/>
      <c r="B15547" s="25"/>
      <c r="C15547" s="24"/>
      <c r="D15547" s="26"/>
      <c r="E15547" s="24"/>
      <c r="F15547" s="24"/>
      <c r="G15547" s="24"/>
      <c r="H15547" s="24"/>
      <c r="I15547" s="24"/>
      <c r="J15547" s="24"/>
      <c r="K15547" s="24"/>
      <c r="L15547" s="24"/>
      <c r="M15547" s="24"/>
      <c r="N15547" s="24"/>
      <c r="O15547" s="24"/>
      <c r="P15547" s="24"/>
      <c r="Q15547" s="24"/>
      <c r="R15547" s="24"/>
      <c r="S15547" s="24"/>
      <c r="T15547" s="24"/>
      <c r="U15547" s="24"/>
      <c r="V15547" s="24"/>
      <c r="W15547" s="24"/>
      <c r="X15547" s="24"/>
      <c r="Y15547" s="24"/>
      <c r="Z15547" s="24"/>
      <c r="AA15547" s="24"/>
    </row>
    <row r="15548">
      <c r="A15548" s="24"/>
      <c r="B15548" s="25"/>
      <c r="C15548" s="24"/>
      <c r="D15548" s="26"/>
      <c r="E15548" s="24"/>
      <c r="F15548" s="24"/>
      <c r="G15548" s="24"/>
      <c r="H15548" s="24"/>
      <c r="I15548" s="24"/>
      <c r="J15548" s="24"/>
      <c r="K15548" s="24"/>
      <c r="L15548" s="24"/>
      <c r="M15548" s="24"/>
      <c r="N15548" s="24"/>
      <c r="O15548" s="24"/>
      <c r="P15548" s="24"/>
      <c r="Q15548" s="24"/>
      <c r="R15548" s="24"/>
      <c r="S15548" s="24"/>
      <c r="T15548" s="24"/>
      <c r="U15548" s="24"/>
      <c r="V15548" s="24"/>
      <c r="W15548" s="24"/>
      <c r="X15548" s="24"/>
      <c r="Y15548" s="24"/>
      <c r="Z15548" s="24"/>
      <c r="AA15548" s="24"/>
    </row>
    <row r="15549">
      <c r="A15549" s="24"/>
      <c r="B15549" s="25"/>
      <c r="C15549" s="24"/>
      <c r="D15549" s="26"/>
      <c r="E15549" s="24"/>
      <c r="F15549" s="24"/>
      <c r="G15549" s="24"/>
      <c r="H15549" s="24"/>
      <c r="I15549" s="24"/>
      <c r="J15549" s="24"/>
      <c r="K15549" s="24"/>
      <c r="L15549" s="24"/>
      <c r="M15549" s="24"/>
      <c r="N15549" s="24"/>
      <c r="O15549" s="24"/>
      <c r="P15549" s="24"/>
      <c r="Q15549" s="24"/>
      <c r="R15549" s="24"/>
      <c r="S15549" s="24"/>
      <c r="T15549" s="24"/>
      <c r="U15549" s="24"/>
      <c r="V15549" s="24"/>
      <c r="W15549" s="24"/>
      <c r="X15549" s="24"/>
      <c r="Y15549" s="24"/>
      <c r="Z15549" s="24"/>
      <c r="AA15549" s="24"/>
    </row>
    <row r="15550">
      <c r="A15550" s="24"/>
      <c r="B15550" s="25"/>
      <c r="C15550" s="24"/>
      <c r="D15550" s="26"/>
      <c r="E15550" s="24"/>
      <c r="F15550" s="24"/>
      <c r="G15550" s="24"/>
      <c r="H15550" s="24"/>
      <c r="I15550" s="24"/>
      <c r="J15550" s="24"/>
      <c r="K15550" s="24"/>
      <c r="L15550" s="24"/>
      <c r="M15550" s="24"/>
      <c r="N15550" s="24"/>
      <c r="O15550" s="24"/>
      <c r="P15550" s="24"/>
      <c r="Q15550" s="24"/>
      <c r="R15550" s="24"/>
      <c r="S15550" s="24"/>
      <c r="T15550" s="24"/>
      <c r="U15550" s="24"/>
      <c r="V15550" s="24"/>
      <c r="W15550" s="24"/>
      <c r="X15550" s="24"/>
      <c r="Y15550" s="24"/>
      <c r="Z15550" s="24"/>
      <c r="AA15550" s="24"/>
    </row>
    <row r="15551">
      <c r="A15551" s="24"/>
      <c r="B15551" s="25"/>
      <c r="C15551" s="24"/>
      <c r="D15551" s="26"/>
      <c r="E15551" s="24"/>
      <c r="F15551" s="24"/>
      <c r="G15551" s="24"/>
      <c r="H15551" s="24"/>
      <c r="I15551" s="24"/>
      <c r="J15551" s="24"/>
      <c r="K15551" s="24"/>
      <c r="L15551" s="24"/>
      <c r="M15551" s="24"/>
      <c r="N15551" s="24"/>
      <c r="O15551" s="24"/>
      <c r="P15551" s="24"/>
      <c r="Q15551" s="24"/>
      <c r="R15551" s="24"/>
      <c r="S15551" s="24"/>
      <c r="T15551" s="24"/>
      <c r="U15551" s="24"/>
      <c r="V15551" s="24"/>
      <c r="W15551" s="24"/>
      <c r="X15551" s="24"/>
      <c r="Y15551" s="24"/>
      <c r="Z15551" s="24"/>
      <c r="AA15551" s="24"/>
    </row>
    <row r="15552">
      <c r="A15552" s="24"/>
      <c r="B15552" s="25"/>
      <c r="C15552" s="24"/>
      <c r="D15552" s="26"/>
      <c r="E15552" s="24"/>
      <c r="F15552" s="24"/>
      <c r="G15552" s="24"/>
      <c r="H15552" s="24"/>
      <c r="I15552" s="24"/>
      <c r="J15552" s="24"/>
      <c r="K15552" s="24"/>
      <c r="L15552" s="24"/>
      <c r="M15552" s="24"/>
      <c r="N15552" s="24"/>
      <c r="O15552" s="24"/>
      <c r="P15552" s="24"/>
      <c r="Q15552" s="24"/>
      <c r="R15552" s="24"/>
      <c r="S15552" s="24"/>
      <c r="T15552" s="24"/>
      <c r="U15552" s="24"/>
      <c r="V15552" s="24"/>
      <c r="W15552" s="24"/>
      <c r="X15552" s="24"/>
      <c r="Y15552" s="24"/>
      <c r="Z15552" s="24"/>
      <c r="AA15552" s="24"/>
    </row>
    <row r="15553">
      <c r="A15553" s="24"/>
      <c r="B15553" s="25"/>
      <c r="C15553" s="24"/>
      <c r="D15553" s="26"/>
      <c r="E15553" s="24"/>
      <c r="F15553" s="24"/>
      <c r="G15553" s="24"/>
      <c r="H15553" s="24"/>
      <c r="I15553" s="24"/>
      <c r="J15553" s="24"/>
      <c r="K15553" s="24"/>
      <c r="L15553" s="24"/>
      <c r="M15553" s="24"/>
      <c r="N15553" s="24"/>
      <c r="O15553" s="24"/>
      <c r="P15553" s="24"/>
      <c r="Q15553" s="24"/>
      <c r="R15553" s="24"/>
      <c r="S15553" s="24"/>
      <c r="T15553" s="24"/>
      <c r="U15553" s="24"/>
      <c r="V15553" s="24"/>
      <c r="W15553" s="24"/>
      <c r="X15553" s="24"/>
      <c r="Y15553" s="24"/>
      <c r="Z15553" s="24"/>
      <c r="AA15553" s="24"/>
    </row>
    <row r="15554">
      <c r="A15554" s="24"/>
      <c r="B15554" s="25"/>
      <c r="C15554" s="24"/>
      <c r="D15554" s="26"/>
      <c r="E15554" s="24"/>
      <c r="F15554" s="24"/>
      <c r="G15554" s="24"/>
      <c r="H15554" s="24"/>
      <c r="I15554" s="24"/>
      <c r="J15554" s="24"/>
      <c r="K15554" s="24"/>
      <c r="L15554" s="24"/>
      <c r="M15554" s="24"/>
      <c r="N15554" s="24"/>
      <c r="O15554" s="24"/>
      <c r="P15554" s="24"/>
      <c r="Q15554" s="24"/>
      <c r="R15554" s="24"/>
      <c r="S15554" s="24"/>
      <c r="T15554" s="24"/>
      <c r="U15554" s="24"/>
      <c r="V15554" s="24"/>
      <c r="W15554" s="24"/>
      <c r="X15554" s="24"/>
      <c r="Y15554" s="24"/>
      <c r="Z15554" s="24"/>
      <c r="AA15554" s="24"/>
    </row>
    <row r="15555">
      <c r="A15555" s="24"/>
      <c r="B15555" s="25"/>
      <c r="C15555" s="24"/>
      <c r="D15555" s="26"/>
      <c r="E15555" s="24"/>
      <c r="F15555" s="24"/>
      <c r="G15555" s="24"/>
      <c r="H15555" s="24"/>
      <c r="I15555" s="24"/>
      <c r="J15555" s="24"/>
      <c r="K15555" s="24"/>
      <c r="L15555" s="24"/>
      <c r="M15555" s="24"/>
      <c r="N15555" s="24"/>
      <c r="O15555" s="24"/>
      <c r="P15555" s="24"/>
      <c r="Q15555" s="24"/>
      <c r="R15555" s="24"/>
      <c r="S15555" s="24"/>
      <c r="T15555" s="24"/>
      <c r="U15555" s="24"/>
      <c r="V15555" s="24"/>
      <c r="W15555" s="24"/>
      <c r="X15555" s="24"/>
      <c r="Y15555" s="24"/>
      <c r="Z15555" s="24"/>
      <c r="AA15555" s="24"/>
    </row>
    <row r="15556">
      <c r="A15556" s="24"/>
      <c r="B15556" s="25"/>
      <c r="C15556" s="24"/>
      <c r="D15556" s="26"/>
      <c r="E15556" s="24"/>
      <c r="F15556" s="24"/>
      <c r="G15556" s="24"/>
      <c r="H15556" s="24"/>
      <c r="I15556" s="24"/>
      <c r="J15556" s="24"/>
      <c r="K15556" s="24"/>
      <c r="L15556" s="24"/>
      <c r="M15556" s="24"/>
      <c r="N15556" s="24"/>
      <c r="O15556" s="24"/>
      <c r="P15556" s="24"/>
      <c r="Q15556" s="24"/>
      <c r="R15556" s="24"/>
      <c r="S15556" s="24"/>
      <c r="T15556" s="24"/>
      <c r="U15556" s="24"/>
      <c r="V15556" s="24"/>
      <c r="W15556" s="24"/>
      <c r="X15556" s="24"/>
      <c r="Y15556" s="24"/>
      <c r="Z15556" s="24"/>
      <c r="AA15556" s="24"/>
    </row>
    <row r="15557">
      <c r="A15557" s="24"/>
      <c r="B15557" s="25"/>
      <c r="C15557" s="24"/>
      <c r="D15557" s="26"/>
      <c r="E15557" s="24"/>
      <c r="F15557" s="24"/>
      <c r="G15557" s="24"/>
      <c r="H15557" s="24"/>
      <c r="I15557" s="24"/>
      <c r="J15557" s="24"/>
      <c r="K15557" s="24"/>
      <c r="L15557" s="24"/>
      <c r="M15557" s="24"/>
      <c r="N15557" s="24"/>
      <c r="O15557" s="24"/>
      <c r="P15557" s="24"/>
      <c r="Q15557" s="24"/>
      <c r="R15557" s="24"/>
      <c r="S15557" s="24"/>
      <c r="T15557" s="24"/>
      <c r="U15557" s="24"/>
      <c r="V15557" s="24"/>
      <c r="W15557" s="24"/>
      <c r="X15557" s="24"/>
      <c r="Y15557" s="24"/>
      <c r="Z15557" s="24"/>
      <c r="AA15557" s="24"/>
    </row>
    <row r="15558">
      <c r="A15558" s="24"/>
      <c r="B15558" s="25"/>
      <c r="C15558" s="24"/>
      <c r="D15558" s="26"/>
      <c r="E15558" s="24"/>
      <c r="F15558" s="24"/>
      <c r="G15558" s="24"/>
      <c r="H15558" s="24"/>
      <c r="I15558" s="24"/>
      <c r="J15558" s="24"/>
      <c r="K15558" s="24"/>
      <c r="L15558" s="24"/>
      <c r="M15558" s="24"/>
      <c r="N15558" s="24"/>
      <c r="O15558" s="24"/>
      <c r="P15558" s="24"/>
      <c r="Q15558" s="24"/>
      <c r="R15558" s="24"/>
      <c r="S15558" s="24"/>
      <c r="T15558" s="24"/>
      <c r="U15558" s="24"/>
      <c r="V15558" s="24"/>
      <c r="W15558" s="24"/>
      <c r="X15558" s="24"/>
      <c r="Y15558" s="24"/>
      <c r="Z15558" s="24"/>
      <c r="AA15558" s="24"/>
    </row>
    <row r="15559">
      <c r="A15559" s="24"/>
      <c r="B15559" s="25"/>
      <c r="C15559" s="24"/>
      <c r="D15559" s="26"/>
      <c r="E15559" s="24"/>
      <c r="F15559" s="24"/>
      <c r="G15559" s="24"/>
      <c r="H15559" s="24"/>
      <c r="I15559" s="24"/>
      <c r="J15559" s="24"/>
      <c r="K15559" s="24"/>
      <c r="L15559" s="24"/>
      <c r="M15559" s="24"/>
      <c r="N15559" s="24"/>
      <c r="O15559" s="24"/>
      <c r="P15559" s="24"/>
      <c r="Q15559" s="24"/>
      <c r="R15559" s="24"/>
      <c r="S15559" s="24"/>
      <c r="T15559" s="24"/>
      <c r="U15559" s="24"/>
      <c r="V15559" s="24"/>
      <c r="W15559" s="24"/>
      <c r="X15559" s="24"/>
      <c r="Y15559" s="24"/>
      <c r="Z15559" s="24"/>
      <c r="AA15559" s="24"/>
    </row>
    <row r="15560">
      <c r="A15560" s="24"/>
      <c r="B15560" s="25"/>
      <c r="C15560" s="24"/>
      <c r="D15560" s="26"/>
      <c r="E15560" s="24"/>
      <c r="F15560" s="24"/>
      <c r="G15560" s="24"/>
      <c r="H15560" s="24"/>
      <c r="I15560" s="24"/>
      <c r="J15560" s="24"/>
      <c r="K15560" s="24"/>
      <c r="L15560" s="24"/>
      <c r="M15560" s="24"/>
      <c r="N15560" s="24"/>
      <c r="O15560" s="24"/>
      <c r="P15560" s="24"/>
      <c r="Q15560" s="24"/>
      <c r="R15560" s="24"/>
      <c r="S15560" s="24"/>
      <c r="T15560" s="24"/>
      <c r="U15560" s="24"/>
      <c r="V15560" s="24"/>
      <c r="W15560" s="24"/>
      <c r="X15560" s="24"/>
      <c r="Y15560" s="24"/>
      <c r="Z15560" s="24"/>
      <c r="AA15560" s="24"/>
    </row>
    <row r="15561">
      <c r="A15561" s="24"/>
      <c r="B15561" s="25"/>
      <c r="C15561" s="24"/>
      <c r="D15561" s="26"/>
      <c r="E15561" s="24"/>
      <c r="F15561" s="24"/>
      <c r="G15561" s="24"/>
      <c r="H15561" s="24"/>
      <c r="I15561" s="24"/>
      <c r="J15561" s="24"/>
      <c r="K15561" s="24"/>
      <c r="L15561" s="24"/>
      <c r="M15561" s="24"/>
      <c r="N15561" s="24"/>
      <c r="O15561" s="24"/>
      <c r="P15561" s="24"/>
      <c r="Q15561" s="24"/>
      <c r="R15561" s="24"/>
      <c r="S15561" s="24"/>
      <c r="T15561" s="24"/>
      <c r="U15561" s="24"/>
      <c r="V15561" s="24"/>
      <c r="W15561" s="24"/>
      <c r="X15561" s="24"/>
      <c r="Y15561" s="24"/>
      <c r="Z15561" s="24"/>
      <c r="AA15561" s="24"/>
    </row>
    <row r="15562">
      <c r="A15562" s="24"/>
      <c r="B15562" s="25"/>
      <c r="C15562" s="24"/>
      <c r="D15562" s="26"/>
      <c r="E15562" s="24"/>
      <c r="F15562" s="24"/>
      <c r="G15562" s="24"/>
      <c r="H15562" s="24"/>
      <c r="I15562" s="24"/>
      <c r="J15562" s="24"/>
      <c r="K15562" s="24"/>
      <c r="L15562" s="24"/>
      <c r="M15562" s="24"/>
      <c r="N15562" s="24"/>
      <c r="O15562" s="24"/>
      <c r="P15562" s="24"/>
      <c r="Q15562" s="24"/>
      <c r="R15562" s="24"/>
      <c r="S15562" s="24"/>
      <c r="T15562" s="24"/>
      <c r="U15562" s="24"/>
      <c r="V15562" s="24"/>
      <c r="W15562" s="24"/>
      <c r="X15562" s="24"/>
      <c r="Y15562" s="24"/>
      <c r="Z15562" s="24"/>
      <c r="AA15562" s="24"/>
    </row>
    <row r="15563">
      <c r="A15563" s="24"/>
      <c r="B15563" s="25"/>
      <c r="C15563" s="24"/>
      <c r="D15563" s="26"/>
      <c r="E15563" s="24"/>
      <c r="F15563" s="24"/>
      <c r="G15563" s="24"/>
      <c r="H15563" s="24"/>
      <c r="I15563" s="24"/>
      <c r="J15563" s="24"/>
      <c r="K15563" s="24"/>
      <c r="L15563" s="24"/>
      <c r="M15563" s="24"/>
      <c r="N15563" s="24"/>
      <c r="O15563" s="24"/>
      <c r="P15563" s="24"/>
      <c r="Q15563" s="24"/>
      <c r="R15563" s="24"/>
      <c r="S15563" s="24"/>
      <c r="T15563" s="24"/>
      <c r="U15563" s="24"/>
      <c r="V15563" s="24"/>
      <c r="W15563" s="24"/>
      <c r="X15563" s="24"/>
      <c r="Y15563" s="24"/>
      <c r="Z15563" s="24"/>
      <c r="AA15563" s="24"/>
    </row>
    <row r="15564">
      <c r="A15564" s="24"/>
      <c r="B15564" s="25"/>
      <c r="C15564" s="24"/>
      <c r="D15564" s="26"/>
      <c r="E15564" s="24"/>
      <c r="F15564" s="24"/>
      <c r="G15564" s="24"/>
      <c r="H15564" s="24"/>
      <c r="I15564" s="24"/>
      <c r="J15564" s="24"/>
      <c r="K15564" s="24"/>
      <c r="L15564" s="24"/>
      <c r="M15564" s="24"/>
      <c r="N15564" s="24"/>
      <c r="O15564" s="24"/>
      <c r="P15564" s="24"/>
      <c r="Q15564" s="24"/>
      <c r="R15564" s="24"/>
      <c r="S15564" s="24"/>
      <c r="T15564" s="24"/>
      <c r="U15564" s="24"/>
      <c r="V15564" s="24"/>
      <c r="W15564" s="24"/>
      <c r="X15564" s="24"/>
      <c r="Y15564" s="24"/>
      <c r="Z15564" s="24"/>
      <c r="AA15564" s="24"/>
    </row>
    <row r="15565">
      <c r="A15565" s="24"/>
      <c r="B15565" s="25"/>
      <c r="C15565" s="24"/>
      <c r="D15565" s="26"/>
      <c r="E15565" s="24"/>
      <c r="F15565" s="24"/>
      <c r="G15565" s="24"/>
      <c r="H15565" s="24"/>
      <c r="I15565" s="24"/>
      <c r="J15565" s="24"/>
      <c r="K15565" s="24"/>
      <c r="L15565" s="24"/>
      <c r="M15565" s="24"/>
      <c r="N15565" s="24"/>
      <c r="O15565" s="24"/>
      <c r="P15565" s="24"/>
      <c r="Q15565" s="24"/>
      <c r="R15565" s="24"/>
      <c r="S15565" s="24"/>
      <c r="T15565" s="24"/>
      <c r="U15565" s="24"/>
      <c r="V15565" s="24"/>
      <c r="W15565" s="24"/>
      <c r="X15565" s="24"/>
      <c r="Y15565" s="24"/>
      <c r="Z15565" s="24"/>
      <c r="AA15565" s="24"/>
    </row>
    <row r="15566">
      <c r="A15566" s="24"/>
      <c r="B15566" s="25"/>
      <c r="C15566" s="24"/>
      <c r="D15566" s="26"/>
      <c r="E15566" s="24"/>
      <c r="F15566" s="24"/>
      <c r="G15566" s="24"/>
      <c r="H15566" s="24"/>
      <c r="I15566" s="24"/>
      <c r="J15566" s="24"/>
      <c r="K15566" s="24"/>
      <c r="L15566" s="24"/>
      <c r="M15566" s="24"/>
      <c r="N15566" s="24"/>
      <c r="O15566" s="24"/>
      <c r="P15566" s="24"/>
      <c r="Q15566" s="24"/>
      <c r="R15566" s="24"/>
      <c r="S15566" s="24"/>
      <c r="T15566" s="24"/>
      <c r="U15566" s="24"/>
      <c r="V15566" s="24"/>
      <c r="W15566" s="24"/>
      <c r="X15566" s="24"/>
      <c r="Y15566" s="24"/>
      <c r="Z15566" s="24"/>
      <c r="AA15566" s="24"/>
    </row>
    <row r="15567">
      <c r="A15567" s="24"/>
      <c r="B15567" s="25"/>
      <c r="C15567" s="24"/>
      <c r="D15567" s="26"/>
      <c r="E15567" s="24"/>
      <c r="F15567" s="24"/>
      <c r="G15567" s="24"/>
      <c r="H15567" s="24"/>
      <c r="I15567" s="24"/>
      <c r="J15567" s="24"/>
      <c r="K15567" s="24"/>
      <c r="L15567" s="24"/>
      <c r="M15567" s="24"/>
      <c r="N15567" s="24"/>
      <c r="O15567" s="24"/>
      <c r="P15567" s="24"/>
      <c r="Q15567" s="24"/>
      <c r="R15567" s="24"/>
      <c r="S15567" s="24"/>
      <c r="T15567" s="24"/>
      <c r="U15567" s="24"/>
      <c r="V15567" s="24"/>
      <c r="W15567" s="24"/>
      <c r="X15567" s="24"/>
      <c r="Y15567" s="24"/>
      <c r="Z15567" s="24"/>
      <c r="AA15567" s="24"/>
    </row>
    <row r="15568">
      <c r="A15568" s="24"/>
      <c r="B15568" s="25"/>
      <c r="C15568" s="24"/>
      <c r="D15568" s="26"/>
      <c r="E15568" s="24"/>
      <c r="F15568" s="24"/>
      <c r="G15568" s="24"/>
      <c r="H15568" s="24"/>
      <c r="I15568" s="24"/>
      <c r="J15568" s="24"/>
      <c r="K15568" s="24"/>
      <c r="L15568" s="24"/>
      <c r="M15568" s="24"/>
      <c r="N15568" s="24"/>
      <c r="O15568" s="24"/>
      <c r="P15568" s="24"/>
      <c r="Q15568" s="24"/>
      <c r="R15568" s="24"/>
      <c r="S15568" s="24"/>
      <c r="T15568" s="24"/>
      <c r="U15568" s="24"/>
      <c r="V15568" s="24"/>
      <c r="W15568" s="24"/>
      <c r="X15568" s="24"/>
      <c r="Y15568" s="24"/>
      <c r="Z15568" s="24"/>
      <c r="AA15568" s="24"/>
    </row>
    <row r="15569">
      <c r="A15569" s="24"/>
      <c r="B15569" s="25"/>
      <c r="C15569" s="24"/>
      <c r="D15569" s="26"/>
      <c r="E15569" s="24"/>
      <c r="F15569" s="24"/>
      <c r="G15569" s="24"/>
      <c r="H15569" s="24"/>
      <c r="I15569" s="24"/>
      <c r="J15569" s="24"/>
      <c r="K15569" s="24"/>
      <c r="L15569" s="24"/>
      <c r="M15569" s="24"/>
      <c r="N15569" s="24"/>
      <c r="O15569" s="24"/>
      <c r="P15569" s="24"/>
      <c r="Q15569" s="24"/>
      <c r="R15569" s="24"/>
      <c r="S15569" s="24"/>
      <c r="T15569" s="24"/>
      <c r="U15569" s="24"/>
      <c r="V15569" s="24"/>
      <c r="W15569" s="24"/>
      <c r="X15569" s="24"/>
      <c r="Y15569" s="24"/>
      <c r="Z15569" s="24"/>
      <c r="AA15569" s="24"/>
    </row>
    <row r="15570">
      <c r="A15570" s="24"/>
      <c r="B15570" s="25"/>
      <c r="C15570" s="24"/>
      <c r="D15570" s="26"/>
      <c r="E15570" s="24"/>
      <c r="F15570" s="24"/>
      <c r="G15570" s="24"/>
      <c r="H15570" s="24"/>
      <c r="I15570" s="24"/>
      <c r="J15570" s="24"/>
      <c r="K15570" s="24"/>
      <c r="L15570" s="24"/>
      <c r="M15570" s="24"/>
      <c r="N15570" s="24"/>
      <c r="O15570" s="24"/>
      <c r="P15570" s="24"/>
      <c r="Q15570" s="24"/>
      <c r="R15570" s="24"/>
      <c r="S15570" s="24"/>
      <c r="T15570" s="24"/>
      <c r="U15570" s="24"/>
      <c r="V15570" s="24"/>
      <c r="W15570" s="24"/>
      <c r="X15570" s="24"/>
      <c r="Y15570" s="24"/>
      <c r="Z15570" s="24"/>
      <c r="AA15570" s="24"/>
    </row>
    <row r="15571">
      <c r="A15571" s="24"/>
      <c r="B15571" s="25"/>
      <c r="C15571" s="24"/>
      <c r="D15571" s="26"/>
      <c r="E15571" s="24"/>
      <c r="F15571" s="24"/>
      <c r="G15571" s="24"/>
      <c r="H15571" s="24"/>
      <c r="I15571" s="24"/>
      <c r="J15571" s="24"/>
      <c r="K15571" s="24"/>
      <c r="L15571" s="24"/>
      <c r="M15571" s="24"/>
      <c r="N15571" s="24"/>
      <c r="O15571" s="24"/>
      <c r="P15571" s="24"/>
      <c r="Q15571" s="24"/>
      <c r="R15571" s="24"/>
      <c r="S15571" s="24"/>
      <c r="T15571" s="24"/>
      <c r="U15571" s="24"/>
      <c r="V15571" s="24"/>
      <c r="W15571" s="24"/>
      <c r="X15571" s="24"/>
      <c r="Y15571" s="24"/>
      <c r="Z15571" s="24"/>
      <c r="AA15571" s="24"/>
    </row>
    <row r="15572">
      <c r="A15572" s="24"/>
      <c r="B15572" s="25"/>
      <c r="C15572" s="24"/>
      <c r="D15572" s="26"/>
      <c r="E15572" s="24"/>
      <c r="F15572" s="24"/>
      <c r="G15572" s="24"/>
      <c r="H15572" s="24"/>
      <c r="I15572" s="24"/>
      <c r="J15572" s="24"/>
      <c r="K15572" s="24"/>
      <c r="L15572" s="24"/>
      <c r="M15572" s="24"/>
      <c r="N15572" s="24"/>
      <c r="O15572" s="24"/>
      <c r="P15572" s="24"/>
      <c r="Q15572" s="24"/>
      <c r="R15572" s="24"/>
      <c r="S15572" s="24"/>
      <c r="T15572" s="24"/>
      <c r="U15572" s="24"/>
      <c r="V15572" s="24"/>
      <c r="W15572" s="24"/>
      <c r="X15572" s="24"/>
      <c r="Y15572" s="24"/>
      <c r="Z15572" s="24"/>
      <c r="AA15572" s="24"/>
    </row>
    <row r="15573">
      <c r="A15573" s="24"/>
      <c r="B15573" s="25"/>
      <c r="C15573" s="24"/>
      <c r="D15573" s="26"/>
      <c r="E15573" s="24"/>
      <c r="F15573" s="24"/>
      <c r="G15573" s="24"/>
      <c r="H15573" s="24"/>
      <c r="I15573" s="24"/>
      <c r="J15573" s="24"/>
      <c r="K15573" s="24"/>
      <c r="L15573" s="24"/>
      <c r="M15573" s="24"/>
      <c r="N15573" s="24"/>
      <c r="O15573" s="24"/>
      <c r="P15573" s="24"/>
      <c r="Q15573" s="24"/>
      <c r="R15573" s="24"/>
      <c r="S15573" s="24"/>
      <c r="T15573" s="24"/>
      <c r="U15573" s="24"/>
      <c r="V15573" s="24"/>
      <c r="W15573" s="24"/>
      <c r="X15573" s="24"/>
      <c r="Y15573" s="24"/>
      <c r="Z15573" s="24"/>
      <c r="AA15573" s="24"/>
    </row>
    <row r="15574">
      <c r="A15574" s="24"/>
      <c r="B15574" s="25"/>
      <c r="C15574" s="24"/>
      <c r="D15574" s="26"/>
      <c r="E15574" s="24"/>
      <c r="F15574" s="24"/>
      <c r="G15574" s="24"/>
      <c r="H15574" s="24"/>
      <c r="I15574" s="24"/>
      <c r="J15574" s="24"/>
      <c r="K15574" s="24"/>
      <c r="L15574" s="24"/>
      <c r="M15574" s="24"/>
      <c r="N15574" s="24"/>
      <c r="O15574" s="24"/>
      <c r="P15574" s="24"/>
      <c r="Q15574" s="24"/>
      <c r="R15574" s="24"/>
      <c r="S15574" s="24"/>
      <c r="T15574" s="24"/>
      <c r="U15574" s="24"/>
      <c r="V15574" s="24"/>
      <c r="W15574" s="24"/>
      <c r="X15574" s="24"/>
      <c r="Y15574" s="24"/>
      <c r="Z15574" s="24"/>
      <c r="AA15574" s="24"/>
    </row>
    <row r="15575">
      <c r="A15575" s="24"/>
      <c r="B15575" s="25"/>
      <c r="C15575" s="24"/>
      <c r="D15575" s="26"/>
      <c r="E15575" s="24"/>
      <c r="F15575" s="24"/>
      <c r="G15575" s="24"/>
      <c r="H15575" s="24"/>
      <c r="I15575" s="24"/>
      <c r="J15575" s="24"/>
      <c r="K15575" s="24"/>
      <c r="L15575" s="24"/>
      <c r="M15575" s="24"/>
      <c r="N15575" s="24"/>
      <c r="O15575" s="24"/>
      <c r="P15575" s="24"/>
      <c r="Q15575" s="24"/>
      <c r="R15575" s="24"/>
      <c r="S15575" s="24"/>
      <c r="T15575" s="24"/>
      <c r="U15575" s="24"/>
      <c r="V15575" s="24"/>
      <c r="W15575" s="24"/>
      <c r="X15575" s="24"/>
      <c r="Y15575" s="24"/>
      <c r="Z15575" s="24"/>
      <c r="AA15575" s="24"/>
    </row>
    <row r="15576">
      <c r="A15576" s="24"/>
      <c r="B15576" s="25"/>
      <c r="C15576" s="24"/>
      <c r="D15576" s="26"/>
      <c r="E15576" s="24"/>
      <c r="F15576" s="24"/>
      <c r="G15576" s="24"/>
      <c r="H15576" s="24"/>
      <c r="I15576" s="24"/>
      <c r="J15576" s="24"/>
      <c r="K15576" s="24"/>
      <c r="L15576" s="24"/>
      <c r="M15576" s="24"/>
      <c r="N15576" s="24"/>
      <c r="O15576" s="24"/>
      <c r="P15576" s="24"/>
      <c r="Q15576" s="24"/>
      <c r="R15576" s="24"/>
      <c r="S15576" s="24"/>
      <c r="T15576" s="24"/>
      <c r="U15576" s="24"/>
      <c r="V15576" s="24"/>
      <c r="W15576" s="24"/>
      <c r="X15576" s="24"/>
      <c r="Y15576" s="24"/>
      <c r="Z15576" s="24"/>
      <c r="AA15576" s="24"/>
    </row>
    <row r="15577">
      <c r="A15577" s="24"/>
      <c r="B15577" s="25"/>
      <c r="C15577" s="24"/>
      <c r="D15577" s="26"/>
      <c r="E15577" s="24"/>
      <c r="F15577" s="24"/>
      <c r="G15577" s="24"/>
      <c r="H15577" s="24"/>
      <c r="I15577" s="24"/>
      <c r="J15577" s="24"/>
      <c r="K15577" s="24"/>
      <c r="L15577" s="24"/>
      <c r="M15577" s="24"/>
      <c r="N15577" s="24"/>
      <c r="O15577" s="24"/>
      <c r="P15577" s="24"/>
      <c r="Q15577" s="24"/>
      <c r="R15577" s="24"/>
      <c r="S15577" s="24"/>
      <c r="T15577" s="24"/>
      <c r="U15577" s="24"/>
      <c r="V15577" s="24"/>
      <c r="W15577" s="24"/>
      <c r="X15577" s="24"/>
      <c r="Y15577" s="24"/>
      <c r="Z15577" s="24"/>
      <c r="AA15577" s="24"/>
    </row>
    <row r="15578">
      <c r="A15578" s="24"/>
      <c r="B15578" s="25"/>
      <c r="C15578" s="24"/>
      <c r="D15578" s="26"/>
      <c r="E15578" s="24"/>
      <c r="F15578" s="24"/>
      <c r="G15578" s="24"/>
      <c r="H15578" s="24"/>
      <c r="I15578" s="24"/>
      <c r="J15578" s="24"/>
      <c r="K15578" s="24"/>
      <c r="L15578" s="24"/>
      <c r="M15578" s="24"/>
      <c r="N15578" s="24"/>
      <c r="O15578" s="24"/>
      <c r="P15578" s="24"/>
      <c r="Q15578" s="24"/>
      <c r="R15578" s="24"/>
      <c r="S15578" s="24"/>
      <c r="T15578" s="24"/>
      <c r="U15578" s="24"/>
      <c r="V15578" s="24"/>
      <c r="W15578" s="24"/>
      <c r="X15578" s="24"/>
      <c r="Y15578" s="24"/>
      <c r="Z15578" s="24"/>
      <c r="AA15578" s="24"/>
    </row>
    <row r="15579">
      <c r="A15579" s="24"/>
      <c r="B15579" s="25"/>
      <c r="C15579" s="24"/>
      <c r="D15579" s="26"/>
      <c r="E15579" s="24"/>
      <c r="F15579" s="24"/>
      <c r="G15579" s="24"/>
      <c r="H15579" s="24"/>
      <c r="I15579" s="24"/>
      <c r="J15579" s="24"/>
      <c r="K15579" s="24"/>
      <c r="L15579" s="24"/>
      <c r="M15579" s="24"/>
      <c r="N15579" s="24"/>
      <c r="O15579" s="24"/>
      <c r="P15579" s="24"/>
      <c r="Q15579" s="24"/>
      <c r="R15579" s="24"/>
      <c r="S15579" s="24"/>
      <c r="T15579" s="24"/>
      <c r="U15579" s="24"/>
      <c r="V15579" s="24"/>
      <c r="W15579" s="24"/>
      <c r="X15579" s="24"/>
      <c r="Y15579" s="24"/>
      <c r="Z15579" s="24"/>
      <c r="AA15579" s="24"/>
    </row>
    <row r="15580">
      <c r="A15580" s="24"/>
      <c r="B15580" s="25"/>
      <c r="C15580" s="24"/>
      <c r="D15580" s="26"/>
      <c r="E15580" s="24"/>
      <c r="F15580" s="24"/>
      <c r="G15580" s="24"/>
      <c r="H15580" s="24"/>
      <c r="I15580" s="24"/>
      <c r="J15580" s="24"/>
      <c r="K15580" s="24"/>
      <c r="L15580" s="24"/>
      <c r="M15580" s="24"/>
      <c r="N15580" s="24"/>
      <c r="O15580" s="24"/>
      <c r="P15580" s="24"/>
      <c r="Q15580" s="24"/>
      <c r="R15580" s="24"/>
      <c r="S15580" s="24"/>
      <c r="T15580" s="24"/>
      <c r="U15580" s="24"/>
      <c r="V15580" s="24"/>
      <c r="W15580" s="24"/>
      <c r="X15580" s="24"/>
      <c r="Y15580" s="24"/>
      <c r="Z15580" s="24"/>
      <c r="AA15580" s="24"/>
    </row>
    <row r="15581">
      <c r="A15581" s="24"/>
      <c r="B15581" s="25"/>
      <c r="C15581" s="24"/>
      <c r="D15581" s="26"/>
      <c r="E15581" s="24"/>
      <c r="F15581" s="24"/>
      <c r="G15581" s="24"/>
      <c r="H15581" s="24"/>
      <c r="I15581" s="24"/>
      <c r="J15581" s="24"/>
      <c r="K15581" s="24"/>
      <c r="L15581" s="24"/>
      <c r="M15581" s="24"/>
      <c r="N15581" s="24"/>
      <c r="O15581" s="24"/>
      <c r="P15581" s="24"/>
      <c r="Q15581" s="24"/>
      <c r="R15581" s="24"/>
      <c r="S15581" s="24"/>
      <c r="T15581" s="24"/>
      <c r="U15581" s="24"/>
      <c r="V15581" s="24"/>
      <c r="W15581" s="24"/>
      <c r="X15581" s="24"/>
      <c r="Y15581" s="24"/>
      <c r="Z15581" s="24"/>
      <c r="AA15581" s="24"/>
    </row>
    <row r="15582">
      <c r="A15582" s="24"/>
      <c r="B15582" s="25"/>
      <c r="C15582" s="24"/>
      <c r="D15582" s="26"/>
      <c r="E15582" s="24"/>
      <c r="F15582" s="24"/>
      <c r="G15582" s="24"/>
      <c r="H15582" s="24"/>
      <c r="I15582" s="24"/>
      <c r="J15582" s="24"/>
      <c r="K15582" s="24"/>
      <c r="L15582" s="24"/>
      <c r="M15582" s="24"/>
      <c r="N15582" s="24"/>
      <c r="O15582" s="24"/>
      <c r="P15582" s="24"/>
      <c r="Q15582" s="24"/>
      <c r="R15582" s="24"/>
      <c r="S15582" s="24"/>
      <c r="T15582" s="24"/>
      <c r="U15582" s="24"/>
      <c r="V15582" s="24"/>
      <c r="W15582" s="24"/>
      <c r="X15582" s="24"/>
      <c r="Y15582" s="24"/>
      <c r="Z15582" s="24"/>
      <c r="AA15582" s="24"/>
    </row>
    <row r="15583">
      <c r="A15583" s="24"/>
      <c r="B15583" s="25"/>
      <c r="C15583" s="24"/>
      <c r="D15583" s="26"/>
      <c r="E15583" s="24"/>
      <c r="F15583" s="24"/>
      <c r="G15583" s="24"/>
      <c r="H15583" s="24"/>
      <c r="I15583" s="24"/>
      <c r="J15583" s="24"/>
      <c r="K15583" s="24"/>
      <c r="L15583" s="24"/>
      <c r="M15583" s="24"/>
      <c r="N15583" s="24"/>
      <c r="O15583" s="24"/>
      <c r="P15583" s="24"/>
      <c r="Q15583" s="24"/>
      <c r="R15583" s="24"/>
      <c r="S15583" s="24"/>
      <c r="T15583" s="24"/>
      <c r="U15583" s="24"/>
      <c r="V15583" s="24"/>
      <c r="W15583" s="24"/>
      <c r="X15583" s="24"/>
      <c r="Y15583" s="24"/>
      <c r="Z15583" s="24"/>
      <c r="AA15583" s="24"/>
    </row>
    <row r="15584">
      <c r="A15584" s="24"/>
      <c r="B15584" s="25"/>
      <c r="C15584" s="24"/>
      <c r="D15584" s="26"/>
      <c r="E15584" s="24"/>
      <c r="F15584" s="24"/>
      <c r="G15584" s="24"/>
      <c r="H15584" s="24"/>
      <c r="I15584" s="24"/>
      <c r="J15584" s="24"/>
      <c r="K15584" s="24"/>
      <c r="L15584" s="24"/>
      <c r="M15584" s="24"/>
      <c r="N15584" s="24"/>
      <c r="O15584" s="24"/>
      <c r="P15584" s="24"/>
      <c r="Q15584" s="24"/>
      <c r="R15584" s="24"/>
      <c r="S15584" s="24"/>
      <c r="T15584" s="24"/>
      <c r="U15584" s="24"/>
      <c r="V15584" s="24"/>
      <c r="W15584" s="24"/>
      <c r="X15584" s="24"/>
      <c r="Y15584" s="24"/>
      <c r="Z15584" s="24"/>
      <c r="AA15584" s="24"/>
    </row>
    <row r="15585">
      <c r="A15585" s="24"/>
      <c r="B15585" s="25"/>
      <c r="C15585" s="24"/>
      <c r="D15585" s="26"/>
      <c r="E15585" s="24"/>
      <c r="F15585" s="24"/>
      <c r="G15585" s="24"/>
      <c r="H15585" s="24"/>
      <c r="I15585" s="24"/>
      <c r="J15585" s="24"/>
      <c r="K15585" s="24"/>
      <c r="L15585" s="24"/>
      <c r="M15585" s="24"/>
      <c r="N15585" s="24"/>
      <c r="O15585" s="24"/>
      <c r="P15585" s="24"/>
      <c r="Q15585" s="24"/>
      <c r="R15585" s="24"/>
      <c r="S15585" s="24"/>
      <c r="T15585" s="24"/>
      <c r="U15585" s="24"/>
      <c r="V15585" s="24"/>
      <c r="W15585" s="24"/>
      <c r="X15585" s="24"/>
      <c r="Y15585" s="24"/>
      <c r="Z15585" s="24"/>
      <c r="AA15585" s="24"/>
    </row>
    <row r="15586">
      <c r="A15586" s="24"/>
      <c r="B15586" s="25"/>
      <c r="C15586" s="24"/>
      <c r="D15586" s="26"/>
      <c r="E15586" s="24"/>
      <c r="F15586" s="24"/>
      <c r="G15586" s="24"/>
      <c r="H15586" s="24"/>
      <c r="I15586" s="24"/>
      <c r="J15586" s="24"/>
      <c r="K15586" s="24"/>
      <c r="L15586" s="24"/>
      <c r="M15586" s="24"/>
      <c r="N15586" s="24"/>
      <c r="O15586" s="24"/>
      <c r="P15586" s="24"/>
      <c r="Q15586" s="24"/>
      <c r="R15586" s="24"/>
      <c r="S15586" s="24"/>
      <c r="T15586" s="24"/>
      <c r="U15586" s="24"/>
      <c r="V15586" s="24"/>
      <c r="W15586" s="24"/>
      <c r="X15586" s="24"/>
      <c r="Y15586" s="24"/>
      <c r="Z15586" s="24"/>
      <c r="AA15586" s="24"/>
    </row>
    <row r="15587">
      <c r="A15587" s="24"/>
      <c r="B15587" s="25"/>
      <c r="C15587" s="24"/>
      <c r="D15587" s="26"/>
      <c r="E15587" s="24"/>
      <c r="F15587" s="24"/>
      <c r="G15587" s="24"/>
      <c r="H15587" s="24"/>
      <c r="I15587" s="24"/>
      <c r="J15587" s="24"/>
      <c r="K15587" s="24"/>
      <c r="L15587" s="24"/>
      <c r="M15587" s="24"/>
      <c r="N15587" s="24"/>
      <c r="O15587" s="24"/>
      <c r="P15587" s="24"/>
      <c r="Q15587" s="24"/>
      <c r="R15587" s="24"/>
      <c r="S15587" s="24"/>
      <c r="T15587" s="24"/>
      <c r="U15587" s="24"/>
      <c r="V15587" s="24"/>
      <c r="W15587" s="24"/>
      <c r="X15587" s="24"/>
      <c r="Y15587" s="24"/>
      <c r="Z15587" s="24"/>
      <c r="AA15587" s="24"/>
    </row>
    <row r="15588">
      <c r="A15588" s="24"/>
      <c r="B15588" s="25"/>
      <c r="C15588" s="24"/>
      <c r="D15588" s="26"/>
      <c r="E15588" s="24"/>
      <c r="F15588" s="24"/>
      <c r="G15588" s="24"/>
      <c r="H15588" s="24"/>
      <c r="I15588" s="24"/>
      <c r="J15588" s="24"/>
      <c r="K15588" s="24"/>
      <c r="L15588" s="24"/>
      <c r="M15588" s="24"/>
      <c r="N15588" s="24"/>
      <c r="O15588" s="24"/>
      <c r="P15588" s="24"/>
      <c r="Q15588" s="24"/>
      <c r="R15588" s="24"/>
      <c r="S15588" s="24"/>
      <c r="T15588" s="24"/>
      <c r="U15588" s="24"/>
      <c r="V15588" s="24"/>
      <c r="W15588" s="24"/>
      <c r="X15588" s="24"/>
      <c r="Y15588" s="24"/>
      <c r="Z15588" s="24"/>
      <c r="AA15588" s="24"/>
    </row>
    <row r="15589">
      <c r="A15589" s="24"/>
      <c r="B15589" s="25"/>
      <c r="C15589" s="24"/>
      <c r="D15589" s="26"/>
      <c r="E15589" s="24"/>
      <c r="F15589" s="24"/>
      <c r="G15589" s="24"/>
      <c r="H15589" s="24"/>
      <c r="I15589" s="24"/>
      <c r="J15589" s="24"/>
      <c r="K15589" s="24"/>
      <c r="L15589" s="24"/>
      <c r="M15589" s="24"/>
      <c r="N15589" s="24"/>
      <c r="O15589" s="24"/>
      <c r="P15589" s="24"/>
      <c r="Q15589" s="24"/>
      <c r="R15589" s="24"/>
      <c r="S15589" s="24"/>
      <c r="T15589" s="24"/>
      <c r="U15589" s="24"/>
      <c r="V15589" s="24"/>
      <c r="W15589" s="24"/>
      <c r="X15589" s="24"/>
      <c r="Y15589" s="24"/>
      <c r="Z15589" s="24"/>
      <c r="AA15589" s="24"/>
    </row>
    <row r="15590">
      <c r="A15590" s="24"/>
      <c r="B15590" s="25"/>
      <c r="C15590" s="24"/>
      <c r="D15590" s="26"/>
      <c r="E15590" s="24"/>
      <c r="F15590" s="24"/>
      <c r="G15590" s="24"/>
      <c r="H15590" s="24"/>
      <c r="I15590" s="24"/>
      <c r="J15590" s="24"/>
      <c r="K15590" s="24"/>
      <c r="L15590" s="24"/>
      <c r="M15590" s="24"/>
      <c r="N15590" s="24"/>
      <c r="O15590" s="24"/>
      <c r="P15590" s="24"/>
      <c r="Q15590" s="24"/>
      <c r="R15590" s="24"/>
      <c r="S15590" s="24"/>
      <c r="T15590" s="24"/>
      <c r="U15590" s="24"/>
      <c r="V15590" s="24"/>
      <c r="W15590" s="24"/>
      <c r="X15590" s="24"/>
      <c r="Y15590" s="24"/>
      <c r="Z15590" s="24"/>
      <c r="AA15590" s="24"/>
    </row>
    <row r="15591">
      <c r="A15591" s="24"/>
      <c r="B15591" s="25"/>
      <c r="C15591" s="24"/>
      <c r="D15591" s="26"/>
      <c r="E15591" s="24"/>
      <c r="F15591" s="24"/>
      <c r="G15591" s="24"/>
      <c r="H15591" s="24"/>
      <c r="I15591" s="24"/>
      <c r="J15591" s="24"/>
      <c r="K15591" s="24"/>
      <c r="L15591" s="24"/>
      <c r="M15591" s="24"/>
      <c r="N15591" s="24"/>
      <c r="O15591" s="24"/>
      <c r="P15591" s="24"/>
      <c r="Q15591" s="24"/>
      <c r="R15591" s="24"/>
      <c r="S15591" s="24"/>
      <c r="T15591" s="24"/>
      <c r="U15591" s="24"/>
      <c r="V15591" s="24"/>
      <c r="W15591" s="24"/>
      <c r="X15591" s="24"/>
      <c r="Y15591" s="24"/>
      <c r="Z15591" s="24"/>
      <c r="AA15591" s="24"/>
    </row>
    <row r="15592">
      <c r="A15592" s="24"/>
      <c r="B15592" s="25"/>
      <c r="C15592" s="24"/>
      <c r="D15592" s="26"/>
      <c r="E15592" s="24"/>
      <c r="F15592" s="24"/>
      <c r="G15592" s="24"/>
      <c r="H15592" s="24"/>
      <c r="I15592" s="24"/>
      <c r="J15592" s="24"/>
      <c r="K15592" s="24"/>
      <c r="L15592" s="24"/>
      <c r="M15592" s="24"/>
      <c r="N15592" s="24"/>
      <c r="O15592" s="24"/>
      <c r="P15592" s="24"/>
      <c r="Q15592" s="24"/>
      <c r="R15592" s="24"/>
      <c r="S15592" s="24"/>
      <c r="T15592" s="24"/>
      <c r="U15592" s="24"/>
      <c r="V15592" s="24"/>
      <c r="W15592" s="24"/>
      <c r="X15592" s="24"/>
      <c r="Y15592" s="24"/>
      <c r="Z15592" s="24"/>
      <c r="AA15592" s="24"/>
    </row>
    <row r="15593">
      <c r="A15593" s="24"/>
      <c r="B15593" s="25"/>
      <c r="C15593" s="24"/>
      <c r="D15593" s="26"/>
      <c r="E15593" s="24"/>
      <c r="F15593" s="24"/>
      <c r="G15593" s="24"/>
      <c r="H15593" s="24"/>
      <c r="I15593" s="24"/>
      <c r="J15593" s="24"/>
      <c r="K15593" s="24"/>
      <c r="L15593" s="24"/>
      <c r="M15593" s="24"/>
      <c r="N15593" s="24"/>
      <c r="O15593" s="24"/>
      <c r="P15593" s="24"/>
      <c r="Q15593" s="24"/>
      <c r="R15593" s="24"/>
      <c r="S15593" s="24"/>
      <c r="T15593" s="24"/>
      <c r="U15593" s="24"/>
      <c r="V15593" s="24"/>
      <c r="W15593" s="24"/>
      <c r="X15593" s="24"/>
      <c r="Y15593" s="24"/>
      <c r="Z15593" s="24"/>
      <c r="AA15593" s="24"/>
    </row>
    <row r="15594">
      <c r="A15594" s="24"/>
      <c r="B15594" s="25"/>
      <c r="C15594" s="24"/>
      <c r="D15594" s="26"/>
      <c r="E15594" s="24"/>
      <c r="F15594" s="24"/>
      <c r="G15594" s="24"/>
      <c r="H15594" s="24"/>
      <c r="I15594" s="24"/>
      <c r="J15594" s="24"/>
      <c r="K15594" s="24"/>
      <c r="L15594" s="24"/>
      <c r="M15594" s="24"/>
      <c r="N15594" s="24"/>
      <c r="O15594" s="24"/>
      <c r="P15594" s="24"/>
      <c r="Q15594" s="24"/>
      <c r="R15594" s="24"/>
      <c r="S15594" s="24"/>
      <c r="T15594" s="24"/>
      <c r="U15594" s="24"/>
      <c r="V15594" s="24"/>
      <c r="W15594" s="24"/>
      <c r="X15594" s="24"/>
      <c r="Y15594" s="24"/>
      <c r="Z15594" s="24"/>
      <c r="AA15594" s="24"/>
    </row>
    <row r="15595">
      <c r="A15595" s="24"/>
      <c r="B15595" s="25"/>
      <c r="C15595" s="24"/>
      <c r="D15595" s="26"/>
      <c r="E15595" s="24"/>
      <c r="F15595" s="24"/>
      <c r="G15595" s="24"/>
      <c r="H15595" s="24"/>
      <c r="I15595" s="24"/>
      <c r="J15595" s="24"/>
      <c r="K15595" s="24"/>
      <c r="L15595" s="24"/>
      <c r="M15595" s="24"/>
      <c r="N15595" s="24"/>
      <c r="O15595" s="24"/>
      <c r="P15595" s="24"/>
      <c r="Q15595" s="24"/>
      <c r="R15595" s="24"/>
      <c r="S15595" s="24"/>
      <c r="T15595" s="24"/>
      <c r="U15595" s="24"/>
      <c r="V15595" s="24"/>
      <c r="W15595" s="24"/>
      <c r="X15595" s="24"/>
      <c r="Y15595" s="24"/>
      <c r="Z15595" s="24"/>
      <c r="AA15595" s="24"/>
    </row>
    <row r="15596">
      <c r="A15596" s="24"/>
      <c r="B15596" s="25"/>
      <c r="C15596" s="24"/>
      <c r="D15596" s="26"/>
      <c r="E15596" s="24"/>
      <c r="F15596" s="24"/>
      <c r="G15596" s="24"/>
      <c r="H15596" s="24"/>
      <c r="I15596" s="24"/>
      <c r="J15596" s="24"/>
      <c r="K15596" s="24"/>
      <c r="L15596" s="24"/>
      <c r="M15596" s="24"/>
      <c r="N15596" s="24"/>
      <c r="O15596" s="24"/>
      <c r="P15596" s="24"/>
      <c r="Q15596" s="24"/>
      <c r="R15596" s="24"/>
      <c r="S15596" s="24"/>
      <c r="T15596" s="24"/>
      <c r="U15596" s="24"/>
      <c r="V15596" s="24"/>
      <c r="W15596" s="24"/>
      <c r="X15596" s="24"/>
      <c r="Y15596" s="24"/>
      <c r="Z15596" s="24"/>
      <c r="AA15596" s="24"/>
    </row>
    <row r="15597">
      <c r="A15597" s="24"/>
      <c r="B15597" s="25"/>
      <c r="C15597" s="24"/>
      <c r="D15597" s="26"/>
      <c r="E15597" s="24"/>
      <c r="F15597" s="24"/>
      <c r="G15597" s="24"/>
      <c r="H15597" s="24"/>
      <c r="I15597" s="24"/>
      <c r="J15597" s="24"/>
      <c r="K15597" s="24"/>
      <c r="L15597" s="24"/>
      <c r="M15597" s="24"/>
      <c r="N15597" s="24"/>
      <c r="O15597" s="24"/>
      <c r="P15597" s="24"/>
      <c r="Q15597" s="24"/>
      <c r="R15597" s="24"/>
      <c r="S15597" s="24"/>
      <c r="T15597" s="24"/>
      <c r="U15597" s="24"/>
      <c r="V15597" s="24"/>
      <c r="W15597" s="24"/>
      <c r="X15597" s="24"/>
      <c r="Y15597" s="24"/>
      <c r="Z15597" s="24"/>
      <c r="AA15597" s="24"/>
    </row>
    <row r="15598">
      <c r="A15598" s="24"/>
      <c r="B15598" s="25"/>
      <c r="C15598" s="24"/>
      <c r="D15598" s="26"/>
      <c r="E15598" s="24"/>
      <c r="F15598" s="24"/>
      <c r="G15598" s="24"/>
      <c r="H15598" s="24"/>
      <c r="I15598" s="24"/>
      <c r="J15598" s="24"/>
      <c r="K15598" s="24"/>
      <c r="L15598" s="24"/>
      <c r="M15598" s="24"/>
      <c r="N15598" s="24"/>
      <c r="O15598" s="24"/>
      <c r="P15598" s="24"/>
      <c r="Q15598" s="24"/>
      <c r="R15598" s="24"/>
      <c r="S15598" s="24"/>
      <c r="T15598" s="24"/>
      <c r="U15598" s="24"/>
      <c r="V15598" s="24"/>
      <c r="W15598" s="24"/>
      <c r="X15598" s="24"/>
      <c r="Y15598" s="24"/>
      <c r="Z15598" s="24"/>
      <c r="AA15598" s="24"/>
    </row>
    <row r="15599">
      <c r="A15599" s="24"/>
      <c r="B15599" s="25"/>
      <c r="C15599" s="24"/>
      <c r="D15599" s="26"/>
      <c r="E15599" s="24"/>
      <c r="F15599" s="24"/>
      <c r="G15599" s="24"/>
      <c r="H15599" s="24"/>
      <c r="I15599" s="24"/>
      <c r="J15599" s="24"/>
      <c r="K15599" s="24"/>
      <c r="L15599" s="24"/>
      <c r="M15599" s="24"/>
      <c r="N15599" s="24"/>
      <c r="O15599" s="24"/>
      <c r="P15599" s="24"/>
      <c r="Q15599" s="24"/>
      <c r="R15599" s="24"/>
      <c r="S15599" s="24"/>
      <c r="T15599" s="24"/>
      <c r="U15599" s="24"/>
      <c r="V15599" s="24"/>
      <c r="W15599" s="24"/>
      <c r="X15599" s="24"/>
      <c r="Y15599" s="24"/>
      <c r="Z15599" s="24"/>
      <c r="AA15599" s="24"/>
    </row>
    <row r="15600">
      <c r="A15600" s="24"/>
      <c r="B15600" s="25"/>
      <c r="C15600" s="24"/>
      <c r="D15600" s="26"/>
      <c r="E15600" s="24"/>
      <c r="F15600" s="24"/>
      <c r="G15600" s="24"/>
      <c r="H15600" s="24"/>
      <c r="I15600" s="24"/>
      <c r="J15600" s="24"/>
      <c r="K15600" s="24"/>
      <c r="L15600" s="24"/>
      <c r="M15600" s="24"/>
      <c r="N15600" s="24"/>
      <c r="O15600" s="24"/>
      <c r="P15600" s="24"/>
      <c r="Q15600" s="24"/>
      <c r="R15600" s="24"/>
      <c r="S15600" s="24"/>
      <c r="T15600" s="24"/>
      <c r="U15600" s="24"/>
      <c r="V15600" s="24"/>
      <c r="W15600" s="24"/>
      <c r="X15600" s="24"/>
      <c r="Y15600" s="24"/>
      <c r="Z15600" s="24"/>
      <c r="AA15600" s="24"/>
    </row>
    <row r="15601">
      <c r="A15601" s="24"/>
      <c r="B15601" s="25"/>
      <c r="C15601" s="24"/>
      <c r="D15601" s="26"/>
      <c r="E15601" s="24"/>
      <c r="F15601" s="24"/>
      <c r="G15601" s="24"/>
      <c r="H15601" s="24"/>
      <c r="I15601" s="24"/>
      <c r="J15601" s="24"/>
      <c r="K15601" s="24"/>
      <c r="L15601" s="24"/>
      <c r="M15601" s="24"/>
      <c r="N15601" s="24"/>
      <c r="O15601" s="24"/>
      <c r="P15601" s="24"/>
      <c r="Q15601" s="24"/>
      <c r="R15601" s="24"/>
      <c r="S15601" s="24"/>
      <c r="T15601" s="24"/>
      <c r="U15601" s="24"/>
      <c r="V15601" s="24"/>
      <c r="W15601" s="24"/>
      <c r="X15601" s="24"/>
      <c r="Y15601" s="24"/>
      <c r="Z15601" s="24"/>
      <c r="AA15601" s="24"/>
    </row>
    <row r="15602">
      <c r="A15602" s="24"/>
      <c r="B15602" s="25"/>
      <c r="C15602" s="24"/>
      <c r="D15602" s="26"/>
      <c r="E15602" s="24"/>
      <c r="F15602" s="24"/>
      <c r="G15602" s="24"/>
      <c r="H15602" s="24"/>
      <c r="I15602" s="24"/>
      <c r="J15602" s="24"/>
      <c r="K15602" s="24"/>
      <c r="L15602" s="24"/>
      <c r="M15602" s="24"/>
      <c r="N15602" s="24"/>
      <c r="O15602" s="24"/>
      <c r="P15602" s="24"/>
      <c r="Q15602" s="24"/>
      <c r="R15602" s="24"/>
      <c r="S15602" s="24"/>
      <c r="T15602" s="24"/>
      <c r="U15602" s="24"/>
      <c r="V15602" s="24"/>
      <c r="W15602" s="24"/>
      <c r="X15602" s="24"/>
      <c r="Y15602" s="24"/>
      <c r="Z15602" s="24"/>
      <c r="AA15602" s="24"/>
    </row>
    <row r="15603">
      <c r="A15603" s="24"/>
      <c r="B15603" s="25"/>
      <c r="C15603" s="24"/>
      <c r="D15603" s="26"/>
      <c r="E15603" s="24"/>
      <c r="F15603" s="24"/>
      <c r="G15603" s="24"/>
      <c r="H15603" s="24"/>
      <c r="I15603" s="24"/>
      <c r="J15603" s="24"/>
      <c r="K15603" s="24"/>
      <c r="L15603" s="24"/>
      <c r="M15603" s="24"/>
      <c r="N15603" s="24"/>
      <c r="O15603" s="24"/>
      <c r="P15603" s="24"/>
      <c r="Q15603" s="24"/>
      <c r="R15603" s="24"/>
      <c r="S15603" s="24"/>
      <c r="T15603" s="24"/>
      <c r="U15603" s="24"/>
      <c r="V15603" s="24"/>
      <c r="W15603" s="24"/>
      <c r="X15603" s="24"/>
      <c r="Y15603" s="24"/>
      <c r="Z15603" s="24"/>
      <c r="AA15603" s="24"/>
    </row>
    <row r="15604">
      <c r="A15604" s="24"/>
      <c r="B15604" s="25"/>
      <c r="C15604" s="24"/>
      <c r="D15604" s="26"/>
      <c r="E15604" s="24"/>
      <c r="F15604" s="24"/>
      <c r="G15604" s="24"/>
      <c r="H15604" s="24"/>
      <c r="I15604" s="24"/>
      <c r="J15604" s="24"/>
      <c r="K15604" s="24"/>
      <c r="L15604" s="24"/>
      <c r="M15604" s="24"/>
      <c r="N15604" s="24"/>
      <c r="O15604" s="24"/>
      <c r="P15604" s="24"/>
      <c r="Q15604" s="24"/>
      <c r="R15604" s="24"/>
      <c r="S15604" s="24"/>
      <c r="T15604" s="24"/>
      <c r="U15604" s="24"/>
      <c r="V15604" s="24"/>
      <c r="W15604" s="24"/>
      <c r="X15604" s="24"/>
      <c r="Y15604" s="24"/>
      <c r="Z15604" s="24"/>
      <c r="AA15604" s="24"/>
    </row>
    <row r="15605">
      <c r="A15605" s="24"/>
      <c r="B15605" s="25"/>
      <c r="C15605" s="24"/>
      <c r="D15605" s="26"/>
      <c r="E15605" s="24"/>
      <c r="F15605" s="24"/>
      <c r="G15605" s="24"/>
      <c r="H15605" s="24"/>
      <c r="I15605" s="24"/>
      <c r="J15605" s="24"/>
      <c r="K15605" s="24"/>
      <c r="L15605" s="24"/>
      <c r="M15605" s="24"/>
      <c r="N15605" s="24"/>
      <c r="O15605" s="24"/>
      <c r="P15605" s="24"/>
      <c r="Q15605" s="24"/>
      <c r="R15605" s="24"/>
      <c r="S15605" s="24"/>
      <c r="T15605" s="24"/>
      <c r="U15605" s="24"/>
      <c r="V15605" s="24"/>
      <c r="W15605" s="24"/>
      <c r="X15605" s="24"/>
      <c r="Y15605" s="24"/>
      <c r="Z15605" s="24"/>
      <c r="AA15605" s="24"/>
    </row>
    <row r="15606">
      <c r="A15606" s="24"/>
      <c r="B15606" s="25"/>
      <c r="C15606" s="24"/>
      <c r="D15606" s="26"/>
      <c r="E15606" s="24"/>
      <c r="F15606" s="24"/>
      <c r="G15606" s="24"/>
      <c r="H15606" s="24"/>
      <c r="I15606" s="24"/>
      <c r="J15606" s="24"/>
      <c r="K15606" s="24"/>
      <c r="L15606" s="24"/>
      <c r="M15606" s="24"/>
      <c r="N15606" s="24"/>
      <c r="O15606" s="24"/>
      <c r="P15606" s="24"/>
      <c r="Q15606" s="24"/>
      <c r="R15606" s="24"/>
      <c r="S15606" s="24"/>
      <c r="T15606" s="24"/>
      <c r="U15606" s="24"/>
      <c r="V15606" s="24"/>
      <c r="W15606" s="24"/>
      <c r="X15606" s="24"/>
      <c r="Y15606" s="24"/>
      <c r="Z15606" s="24"/>
      <c r="AA15606" s="24"/>
    </row>
    <row r="15607">
      <c r="A15607" s="24"/>
      <c r="B15607" s="25"/>
      <c r="C15607" s="24"/>
      <c r="D15607" s="26"/>
      <c r="E15607" s="24"/>
      <c r="F15607" s="24"/>
      <c r="G15607" s="24"/>
      <c r="H15607" s="24"/>
      <c r="I15607" s="24"/>
      <c r="J15607" s="24"/>
      <c r="K15607" s="24"/>
      <c r="L15607" s="24"/>
      <c r="M15607" s="24"/>
      <c r="N15607" s="24"/>
      <c r="O15607" s="24"/>
      <c r="P15607" s="24"/>
      <c r="Q15607" s="24"/>
      <c r="R15607" s="24"/>
      <c r="S15607" s="24"/>
      <c r="T15607" s="24"/>
      <c r="U15607" s="24"/>
      <c r="V15607" s="24"/>
      <c r="W15607" s="24"/>
      <c r="X15607" s="24"/>
      <c r="Y15607" s="24"/>
      <c r="Z15607" s="24"/>
      <c r="AA15607" s="24"/>
    </row>
    <row r="15608">
      <c r="A15608" s="24"/>
      <c r="B15608" s="25"/>
      <c r="C15608" s="24"/>
      <c r="D15608" s="26"/>
      <c r="E15608" s="24"/>
      <c r="F15608" s="24"/>
      <c r="G15608" s="24"/>
      <c r="H15608" s="24"/>
      <c r="I15608" s="24"/>
      <c r="J15608" s="24"/>
      <c r="K15608" s="24"/>
      <c r="L15608" s="24"/>
      <c r="M15608" s="24"/>
      <c r="N15608" s="24"/>
      <c r="O15608" s="24"/>
      <c r="P15608" s="24"/>
      <c r="Q15608" s="24"/>
      <c r="R15608" s="24"/>
      <c r="S15608" s="24"/>
      <c r="T15608" s="24"/>
      <c r="U15608" s="24"/>
      <c r="V15608" s="24"/>
      <c r="W15608" s="24"/>
      <c r="X15608" s="24"/>
      <c r="Y15608" s="24"/>
      <c r="Z15608" s="24"/>
      <c r="AA15608" s="24"/>
    </row>
    <row r="15609">
      <c r="A15609" s="24"/>
      <c r="B15609" s="25"/>
      <c r="C15609" s="24"/>
      <c r="D15609" s="26"/>
      <c r="E15609" s="24"/>
      <c r="F15609" s="24"/>
      <c r="G15609" s="24"/>
      <c r="H15609" s="24"/>
      <c r="I15609" s="24"/>
      <c r="J15609" s="24"/>
      <c r="K15609" s="24"/>
      <c r="L15609" s="24"/>
      <c r="M15609" s="24"/>
      <c r="N15609" s="24"/>
      <c r="O15609" s="24"/>
      <c r="P15609" s="24"/>
      <c r="Q15609" s="24"/>
      <c r="R15609" s="24"/>
      <c r="S15609" s="24"/>
      <c r="T15609" s="24"/>
      <c r="U15609" s="24"/>
      <c r="V15609" s="24"/>
      <c r="W15609" s="24"/>
      <c r="X15609" s="24"/>
      <c r="Y15609" s="24"/>
      <c r="Z15609" s="24"/>
      <c r="AA15609" s="24"/>
    </row>
    <row r="15610">
      <c r="A15610" s="24"/>
      <c r="B15610" s="25"/>
      <c r="C15610" s="24"/>
      <c r="D15610" s="26"/>
      <c r="E15610" s="24"/>
      <c r="F15610" s="24"/>
      <c r="G15610" s="24"/>
      <c r="H15610" s="24"/>
      <c r="I15610" s="24"/>
      <c r="J15610" s="24"/>
      <c r="K15610" s="24"/>
      <c r="L15610" s="24"/>
      <c r="M15610" s="24"/>
      <c r="N15610" s="24"/>
      <c r="O15610" s="24"/>
      <c r="P15610" s="24"/>
      <c r="Q15610" s="24"/>
      <c r="R15610" s="24"/>
      <c r="S15610" s="24"/>
      <c r="T15610" s="24"/>
      <c r="U15610" s="24"/>
      <c r="V15610" s="24"/>
      <c r="W15610" s="24"/>
      <c r="X15610" s="24"/>
      <c r="Y15610" s="24"/>
      <c r="Z15610" s="24"/>
      <c r="AA15610" s="24"/>
    </row>
    <row r="15611">
      <c r="A15611" s="24"/>
      <c r="B15611" s="25"/>
      <c r="C15611" s="24"/>
      <c r="D15611" s="26"/>
      <c r="E15611" s="24"/>
      <c r="F15611" s="24"/>
      <c r="G15611" s="24"/>
      <c r="H15611" s="24"/>
      <c r="I15611" s="24"/>
      <c r="J15611" s="24"/>
      <c r="K15611" s="24"/>
      <c r="L15611" s="24"/>
      <c r="M15611" s="24"/>
      <c r="N15611" s="24"/>
      <c r="O15611" s="24"/>
      <c r="P15611" s="24"/>
      <c r="Q15611" s="24"/>
      <c r="R15611" s="24"/>
      <c r="S15611" s="24"/>
      <c r="T15611" s="24"/>
      <c r="U15611" s="24"/>
      <c r="V15611" s="24"/>
      <c r="W15611" s="24"/>
      <c r="X15611" s="24"/>
      <c r="Y15611" s="24"/>
      <c r="Z15611" s="24"/>
      <c r="AA15611" s="24"/>
    </row>
    <row r="15612">
      <c r="A15612" s="24"/>
      <c r="B15612" s="25"/>
      <c r="C15612" s="24"/>
      <c r="D15612" s="26"/>
      <c r="E15612" s="24"/>
      <c r="F15612" s="24"/>
      <c r="G15612" s="24"/>
      <c r="H15612" s="24"/>
      <c r="I15612" s="24"/>
      <c r="J15612" s="24"/>
      <c r="K15612" s="24"/>
      <c r="L15612" s="24"/>
      <c r="M15612" s="24"/>
      <c r="N15612" s="24"/>
      <c r="O15612" s="24"/>
      <c r="P15612" s="24"/>
      <c r="Q15612" s="24"/>
      <c r="R15612" s="24"/>
      <c r="S15612" s="24"/>
      <c r="T15612" s="24"/>
      <c r="U15612" s="24"/>
      <c r="V15612" s="24"/>
      <c r="W15612" s="24"/>
      <c r="X15612" s="24"/>
      <c r="Y15612" s="24"/>
      <c r="Z15612" s="24"/>
      <c r="AA15612" s="24"/>
    </row>
    <row r="15613">
      <c r="A15613" s="24"/>
      <c r="B15613" s="25"/>
      <c r="C15613" s="24"/>
      <c r="D15613" s="26"/>
      <c r="E15613" s="24"/>
      <c r="F15613" s="24"/>
      <c r="G15613" s="24"/>
      <c r="H15613" s="24"/>
      <c r="I15613" s="24"/>
      <c r="J15613" s="24"/>
      <c r="K15613" s="24"/>
      <c r="L15613" s="24"/>
      <c r="M15613" s="24"/>
      <c r="N15613" s="24"/>
      <c r="O15613" s="24"/>
      <c r="P15613" s="24"/>
      <c r="Q15613" s="24"/>
      <c r="R15613" s="24"/>
      <c r="S15613" s="24"/>
      <c r="T15613" s="24"/>
      <c r="U15613" s="24"/>
      <c r="V15613" s="24"/>
      <c r="W15613" s="24"/>
      <c r="X15613" s="24"/>
      <c r="Y15613" s="24"/>
      <c r="Z15613" s="24"/>
      <c r="AA15613" s="24"/>
    </row>
    <row r="15614">
      <c r="A15614" s="24"/>
      <c r="B15614" s="25"/>
      <c r="C15614" s="24"/>
      <c r="D15614" s="26"/>
      <c r="E15614" s="24"/>
      <c r="F15614" s="24"/>
      <c r="G15614" s="24"/>
      <c r="H15614" s="24"/>
      <c r="I15614" s="24"/>
      <c r="J15614" s="24"/>
      <c r="K15614" s="24"/>
      <c r="L15614" s="24"/>
      <c r="M15614" s="24"/>
      <c r="N15614" s="24"/>
      <c r="O15614" s="24"/>
      <c r="P15614" s="24"/>
      <c r="Q15614" s="24"/>
      <c r="R15614" s="24"/>
      <c r="S15614" s="24"/>
      <c r="T15614" s="24"/>
      <c r="U15614" s="24"/>
      <c r="V15614" s="24"/>
      <c r="W15614" s="24"/>
      <c r="X15614" s="24"/>
      <c r="Y15614" s="24"/>
      <c r="Z15614" s="24"/>
      <c r="AA15614" s="24"/>
    </row>
    <row r="15615">
      <c r="A15615" s="24"/>
      <c r="B15615" s="25"/>
      <c r="C15615" s="24"/>
      <c r="D15615" s="26"/>
      <c r="E15615" s="24"/>
      <c r="F15615" s="24"/>
      <c r="G15615" s="24"/>
      <c r="H15615" s="24"/>
      <c r="I15615" s="24"/>
      <c r="J15615" s="24"/>
      <c r="K15615" s="24"/>
      <c r="L15615" s="24"/>
      <c r="M15615" s="24"/>
      <c r="N15615" s="24"/>
      <c r="O15615" s="24"/>
      <c r="P15615" s="24"/>
      <c r="Q15615" s="24"/>
      <c r="R15615" s="24"/>
      <c r="S15615" s="24"/>
      <c r="T15615" s="24"/>
      <c r="U15615" s="24"/>
      <c r="V15615" s="24"/>
      <c r="W15615" s="24"/>
      <c r="X15615" s="24"/>
      <c r="Y15615" s="24"/>
      <c r="Z15615" s="24"/>
      <c r="AA15615" s="24"/>
    </row>
    <row r="15616">
      <c r="A15616" s="24"/>
      <c r="B15616" s="25"/>
      <c r="C15616" s="24"/>
      <c r="D15616" s="26"/>
      <c r="E15616" s="24"/>
      <c r="F15616" s="24"/>
      <c r="G15616" s="24"/>
      <c r="H15616" s="24"/>
      <c r="I15616" s="24"/>
      <c r="J15616" s="24"/>
      <c r="K15616" s="24"/>
      <c r="L15616" s="24"/>
      <c r="M15616" s="24"/>
      <c r="N15616" s="24"/>
      <c r="O15616" s="24"/>
      <c r="P15616" s="24"/>
      <c r="Q15616" s="24"/>
      <c r="R15616" s="24"/>
      <c r="S15616" s="24"/>
      <c r="T15616" s="24"/>
      <c r="U15616" s="24"/>
      <c r="V15616" s="24"/>
      <c r="W15616" s="24"/>
      <c r="X15616" s="24"/>
      <c r="Y15616" s="24"/>
      <c r="Z15616" s="24"/>
      <c r="AA15616" s="24"/>
    </row>
    <row r="15617">
      <c r="A15617" s="24"/>
      <c r="B15617" s="25"/>
      <c r="C15617" s="24"/>
      <c r="D15617" s="26"/>
      <c r="E15617" s="24"/>
      <c r="F15617" s="24"/>
      <c r="G15617" s="24"/>
      <c r="H15617" s="24"/>
      <c r="I15617" s="24"/>
      <c r="J15617" s="24"/>
      <c r="K15617" s="24"/>
      <c r="L15617" s="24"/>
      <c r="M15617" s="24"/>
      <c r="N15617" s="24"/>
      <c r="O15617" s="24"/>
      <c r="P15617" s="24"/>
      <c r="Q15617" s="24"/>
      <c r="R15617" s="24"/>
      <c r="S15617" s="24"/>
      <c r="T15617" s="24"/>
      <c r="U15617" s="24"/>
      <c r="V15617" s="24"/>
      <c r="W15617" s="24"/>
      <c r="X15617" s="24"/>
      <c r="Y15617" s="24"/>
      <c r="Z15617" s="24"/>
      <c r="AA15617" s="24"/>
    </row>
    <row r="15618">
      <c r="A15618" s="24"/>
      <c r="B15618" s="25"/>
      <c r="C15618" s="24"/>
      <c r="D15618" s="26"/>
      <c r="E15618" s="24"/>
      <c r="F15618" s="24"/>
      <c r="G15618" s="24"/>
      <c r="H15618" s="24"/>
      <c r="I15618" s="24"/>
      <c r="J15618" s="24"/>
      <c r="K15618" s="24"/>
      <c r="L15618" s="24"/>
      <c r="M15618" s="24"/>
      <c r="N15618" s="24"/>
      <c r="O15618" s="24"/>
      <c r="P15618" s="24"/>
      <c r="Q15618" s="24"/>
      <c r="R15618" s="24"/>
      <c r="S15618" s="24"/>
      <c r="T15618" s="24"/>
      <c r="U15618" s="24"/>
      <c r="V15618" s="24"/>
      <c r="W15618" s="24"/>
      <c r="X15618" s="24"/>
      <c r="Y15618" s="24"/>
      <c r="Z15618" s="24"/>
      <c r="AA15618" s="24"/>
    </row>
    <row r="15619">
      <c r="A15619" s="24"/>
      <c r="B15619" s="25"/>
      <c r="C15619" s="24"/>
      <c r="D15619" s="26"/>
      <c r="E15619" s="24"/>
      <c r="F15619" s="24"/>
      <c r="G15619" s="24"/>
      <c r="H15619" s="24"/>
      <c r="I15619" s="24"/>
      <c r="J15619" s="24"/>
      <c r="K15619" s="24"/>
      <c r="L15619" s="24"/>
      <c r="M15619" s="24"/>
      <c r="N15619" s="24"/>
      <c r="O15619" s="24"/>
      <c r="P15619" s="24"/>
      <c r="Q15619" s="24"/>
      <c r="R15619" s="24"/>
      <c r="S15619" s="24"/>
      <c r="T15619" s="24"/>
      <c r="U15619" s="24"/>
      <c r="V15619" s="24"/>
      <c r="W15619" s="24"/>
      <c r="X15619" s="24"/>
      <c r="Y15619" s="24"/>
      <c r="Z15619" s="24"/>
      <c r="AA15619" s="24"/>
    </row>
    <row r="15620">
      <c r="A15620" s="24"/>
      <c r="B15620" s="25"/>
      <c r="C15620" s="24"/>
      <c r="D15620" s="26"/>
      <c r="E15620" s="24"/>
      <c r="F15620" s="24"/>
      <c r="G15620" s="24"/>
      <c r="H15620" s="24"/>
      <c r="I15620" s="24"/>
      <c r="J15620" s="24"/>
      <c r="K15620" s="24"/>
      <c r="L15620" s="24"/>
      <c r="M15620" s="24"/>
      <c r="N15620" s="24"/>
      <c r="O15620" s="24"/>
      <c r="P15620" s="24"/>
      <c r="Q15620" s="24"/>
      <c r="R15620" s="24"/>
      <c r="S15620" s="24"/>
      <c r="T15620" s="24"/>
      <c r="U15620" s="24"/>
      <c r="V15620" s="24"/>
      <c r="W15620" s="24"/>
      <c r="X15620" s="24"/>
      <c r="Y15620" s="24"/>
      <c r="Z15620" s="24"/>
      <c r="AA15620" s="24"/>
    </row>
    <row r="15621">
      <c r="A15621" s="24"/>
      <c r="B15621" s="25"/>
      <c r="C15621" s="24"/>
      <c r="D15621" s="26"/>
      <c r="E15621" s="24"/>
      <c r="F15621" s="24"/>
      <c r="G15621" s="24"/>
      <c r="H15621" s="24"/>
      <c r="I15621" s="24"/>
      <c r="J15621" s="24"/>
      <c r="K15621" s="24"/>
      <c r="L15621" s="24"/>
      <c r="M15621" s="24"/>
      <c r="N15621" s="24"/>
      <c r="O15621" s="24"/>
      <c r="P15621" s="24"/>
      <c r="Q15621" s="24"/>
      <c r="R15621" s="24"/>
      <c r="S15621" s="24"/>
      <c r="T15621" s="24"/>
      <c r="U15621" s="24"/>
      <c r="V15621" s="24"/>
      <c r="W15621" s="24"/>
      <c r="X15621" s="24"/>
      <c r="Y15621" s="24"/>
      <c r="Z15621" s="24"/>
      <c r="AA15621" s="24"/>
    </row>
    <row r="15622">
      <c r="A15622" s="24"/>
      <c r="B15622" s="25"/>
      <c r="C15622" s="24"/>
      <c r="D15622" s="26"/>
      <c r="E15622" s="24"/>
      <c r="F15622" s="24"/>
      <c r="G15622" s="24"/>
      <c r="H15622" s="24"/>
      <c r="I15622" s="24"/>
      <c r="J15622" s="24"/>
      <c r="K15622" s="24"/>
      <c r="L15622" s="24"/>
      <c r="M15622" s="24"/>
      <c r="N15622" s="24"/>
      <c r="O15622" s="24"/>
      <c r="P15622" s="24"/>
      <c r="Q15622" s="24"/>
      <c r="R15622" s="24"/>
      <c r="S15622" s="24"/>
      <c r="T15622" s="24"/>
      <c r="U15622" s="24"/>
      <c r="V15622" s="24"/>
      <c r="W15622" s="24"/>
      <c r="X15622" s="24"/>
      <c r="Y15622" s="24"/>
      <c r="Z15622" s="24"/>
      <c r="AA15622" s="24"/>
    </row>
    <row r="15623">
      <c r="A15623" s="24"/>
      <c r="B15623" s="25"/>
      <c r="C15623" s="24"/>
      <c r="D15623" s="26"/>
      <c r="E15623" s="24"/>
      <c r="F15623" s="24"/>
      <c r="G15623" s="24"/>
      <c r="H15623" s="24"/>
      <c r="I15623" s="24"/>
      <c r="J15623" s="24"/>
      <c r="K15623" s="24"/>
      <c r="L15623" s="24"/>
      <c r="M15623" s="24"/>
      <c r="N15623" s="24"/>
      <c r="O15623" s="24"/>
      <c r="P15623" s="24"/>
      <c r="Q15623" s="24"/>
      <c r="R15623" s="24"/>
      <c r="S15623" s="24"/>
      <c r="T15623" s="24"/>
      <c r="U15623" s="24"/>
      <c r="V15623" s="24"/>
      <c r="W15623" s="24"/>
      <c r="X15623" s="24"/>
      <c r="Y15623" s="24"/>
      <c r="Z15623" s="24"/>
      <c r="AA15623" s="24"/>
    </row>
    <row r="15624">
      <c r="A15624" s="24"/>
      <c r="B15624" s="25"/>
      <c r="C15624" s="24"/>
      <c r="D15624" s="26"/>
      <c r="E15624" s="24"/>
      <c r="F15624" s="24"/>
      <c r="G15624" s="24"/>
      <c r="H15624" s="24"/>
      <c r="I15624" s="24"/>
      <c r="J15624" s="24"/>
      <c r="K15624" s="24"/>
      <c r="L15624" s="24"/>
      <c r="M15624" s="24"/>
      <c r="N15624" s="24"/>
      <c r="O15624" s="24"/>
      <c r="P15624" s="24"/>
      <c r="Q15624" s="24"/>
      <c r="R15624" s="24"/>
      <c r="S15624" s="24"/>
      <c r="T15624" s="24"/>
      <c r="U15624" s="24"/>
      <c r="V15624" s="24"/>
      <c r="W15624" s="24"/>
      <c r="X15624" s="24"/>
      <c r="Y15624" s="24"/>
      <c r="Z15624" s="24"/>
      <c r="AA15624" s="24"/>
    </row>
    <row r="15625">
      <c r="A15625" s="24"/>
      <c r="B15625" s="25"/>
      <c r="C15625" s="24"/>
      <c r="D15625" s="26"/>
      <c r="E15625" s="24"/>
      <c r="F15625" s="24"/>
      <c r="G15625" s="24"/>
      <c r="H15625" s="24"/>
      <c r="I15625" s="24"/>
      <c r="J15625" s="24"/>
      <c r="K15625" s="24"/>
      <c r="L15625" s="24"/>
      <c r="M15625" s="24"/>
      <c r="N15625" s="24"/>
      <c r="O15625" s="24"/>
      <c r="P15625" s="24"/>
      <c r="Q15625" s="24"/>
      <c r="R15625" s="24"/>
      <c r="S15625" s="24"/>
      <c r="T15625" s="24"/>
      <c r="U15625" s="24"/>
      <c r="V15625" s="24"/>
      <c r="W15625" s="24"/>
      <c r="X15625" s="24"/>
      <c r="Y15625" s="24"/>
      <c r="Z15625" s="24"/>
      <c r="AA15625" s="24"/>
    </row>
    <row r="15626">
      <c r="A15626" s="24"/>
      <c r="B15626" s="25"/>
      <c r="C15626" s="24"/>
      <c r="D15626" s="26"/>
      <c r="E15626" s="24"/>
      <c r="F15626" s="24"/>
      <c r="G15626" s="24"/>
      <c r="H15626" s="24"/>
      <c r="I15626" s="24"/>
      <c r="J15626" s="24"/>
      <c r="K15626" s="24"/>
      <c r="L15626" s="24"/>
      <c r="M15626" s="24"/>
      <c r="N15626" s="24"/>
      <c r="O15626" s="24"/>
      <c r="P15626" s="24"/>
      <c r="Q15626" s="24"/>
      <c r="R15626" s="24"/>
      <c r="S15626" s="24"/>
      <c r="T15626" s="24"/>
      <c r="U15626" s="24"/>
      <c r="V15626" s="24"/>
      <c r="W15626" s="24"/>
      <c r="X15626" s="24"/>
      <c r="Y15626" s="24"/>
      <c r="Z15626" s="24"/>
      <c r="AA15626" s="24"/>
    </row>
    <row r="15627">
      <c r="A15627" s="24"/>
      <c r="B15627" s="25"/>
      <c r="C15627" s="24"/>
      <c r="D15627" s="26"/>
      <c r="E15627" s="24"/>
      <c r="F15627" s="24"/>
      <c r="G15627" s="24"/>
      <c r="H15627" s="24"/>
      <c r="I15627" s="24"/>
      <c r="J15627" s="24"/>
      <c r="K15627" s="24"/>
      <c r="L15627" s="24"/>
      <c r="M15627" s="24"/>
      <c r="N15627" s="24"/>
      <c r="O15627" s="24"/>
      <c r="P15627" s="24"/>
      <c r="Q15627" s="24"/>
      <c r="R15627" s="24"/>
      <c r="S15627" s="24"/>
      <c r="T15627" s="24"/>
      <c r="U15627" s="24"/>
      <c r="V15627" s="24"/>
      <c r="W15627" s="24"/>
      <c r="X15627" s="24"/>
      <c r="Y15627" s="24"/>
      <c r="Z15627" s="24"/>
      <c r="AA15627" s="24"/>
    </row>
    <row r="15628">
      <c r="A15628" s="24"/>
      <c r="B15628" s="25"/>
      <c r="C15628" s="24"/>
      <c r="D15628" s="26"/>
      <c r="E15628" s="24"/>
      <c r="F15628" s="24"/>
      <c r="G15628" s="24"/>
      <c r="H15628" s="24"/>
      <c r="I15628" s="24"/>
      <c r="J15628" s="24"/>
      <c r="K15628" s="24"/>
      <c r="L15628" s="24"/>
      <c r="M15628" s="24"/>
      <c r="N15628" s="24"/>
      <c r="O15628" s="24"/>
      <c r="P15628" s="24"/>
      <c r="Q15628" s="24"/>
      <c r="R15628" s="24"/>
      <c r="S15628" s="24"/>
      <c r="T15628" s="24"/>
      <c r="U15628" s="24"/>
      <c r="V15628" s="24"/>
      <c r="W15628" s="24"/>
      <c r="X15628" s="24"/>
      <c r="Y15628" s="24"/>
      <c r="Z15628" s="24"/>
      <c r="AA15628" s="24"/>
    </row>
    <row r="15629">
      <c r="A15629" s="24"/>
      <c r="B15629" s="25"/>
      <c r="C15629" s="24"/>
      <c r="D15629" s="26"/>
      <c r="E15629" s="24"/>
      <c r="F15629" s="24"/>
      <c r="G15629" s="24"/>
      <c r="H15629" s="24"/>
      <c r="I15629" s="24"/>
      <c r="J15629" s="24"/>
      <c r="K15629" s="24"/>
      <c r="L15629" s="24"/>
      <c r="M15629" s="24"/>
      <c r="N15629" s="24"/>
      <c r="O15629" s="24"/>
      <c r="P15629" s="24"/>
      <c r="Q15629" s="24"/>
      <c r="R15629" s="24"/>
      <c r="S15629" s="24"/>
      <c r="T15629" s="24"/>
      <c r="U15629" s="24"/>
      <c r="V15629" s="24"/>
      <c r="W15629" s="24"/>
      <c r="X15629" s="24"/>
      <c r="Y15629" s="24"/>
      <c r="Z15629" s="24"/>
      <c r="AA15629" s="24"/>
    </row>
    <row r="15630">
      <c r="A15630" s="24"/>
      <c r="B15630" s="25"/>
      <c r="C15630" s="24"/>
      <c r="D15630" s="26"/>
      <c r="E15630" s="24"/>
      <c r="F15630" s="24"/>
      <c r="G15630" s="24"/>
      <c r="H15630" s="24"/>
      <c r="I15630" s="24"/>
      <c r="J15630" s="24"/>
      <c r="K15630" s="24"/>
      <c r="L15630" s="24"/>
      <c r="M15630" s="24"/>
      <c r="N15630" s="24"/>
      <c r="O15630" s="24"/>
      <c r="P15630" s="24"/>
      <c r="Q15630" s="24"/>
      <c r="R15630" s="24"/>
      <c r="S15630" s="24"/>
      <c r="T15630" s="24"/>
      <c r="U15630" s="24"/>
      <c r="V15630" s="24"/>
      <c r="W15630" s="24"/>
      <c r="X15630" s="24"/>
      <c r="Y15630" s="24"/>
      <c r="Z15630" s="24"/>
      <c r="AA15630" s="24"/>
    </row>
    <row r="15631">
      <c r="A15631" s="24"/>
      <c r="B15631" s="25"/>
      <c r="C15631" s="24"/>
      <c r="D15631" s="26"/>
      <c r="E15631" s="24"/>
      <c r="F15631" s="24"/>
      <c r="G15631" s="24"/>
      <c r="H15631" s="24"/>
      <c r="I15631" s="24"/>
      <c r="J15631" s="24"/>
      <c r="K15631" s="24"/>
      <c r="L15631" s="24"/>
      <c r="M15631" s="24"/>
      <c r="N15631" s="24"/>
      <c r="O15631" s="24"/>
      <c r="P15631" s="24"/>
      <c r="Q15631" s="24"/>
      <c r="R15631" s="24"/>
      <c r="S15631" s="24"/>
      <c r="T15631" s="24"/>
      <c r="U15631" s="24"/>
      <c r="V15631" s="24"/>
      <c r="W15631" s="24"/>
      <c r="X15631" s="24"/>
      <c r="Y15631" s="24"/>
      <c r="Z15631" s="24"/>
      <c r="AA15631" s="24"/>
    </row>
    <row r="15632">
      <c r="A15632" s="24"/>
      <c r="B15632" s="25"/>
      <c r="C15632" s="24"/>
      <c r="D15632" s="26"/>
      <c r="E15632" s="24"/>
      <c r="F15632" s="24"/>
      <c r="G15632" s="24"/>
      <c r="H15632" s="24"/>
      <c r="I15632" s="24"/>
      <c r="J15632" s="24"/>
      <c r="K15632" s="24"/>
      <c r="L15632" s="24"/>
      <c r="M15632" s="24"/>
      <c r="N15632" s="24"/>
      <c r="O15632" s="24"/>
      <c r="P15632" s="24"/>
      <c r="Q15632" s="24"/>
      <c r="R15632" s="24"/>
      <c r="S15632" s="24"/>
      <c r="T15632" s="24"/>
      <c r="U15632" s="24"/>
      <c r="V15632" s="24"/>
      <c r="W15632" s="24"/>
      <c r="X15632" s="24"/>
      <c r="Y15632" s="24"/>
      <c r="Z15632" s="24"/>
      <c r="AA15632" s="24"/>
    </row>
    <row r="15633">
      <c r="A15633" s="24"/>
      <c r="B15633" s="25"/>
      <c r="C15633" s="24"/>
      <c r="D15633" s="26"/>
      <c r="E15633" s="24"/>
      <c r="F15633" s="24"/>
      <c r="G15633" s="24"/>
      <c r="H15633" s="24"/>
      <c r="I15633" s="24"/>
      <c r="J15633" s="24"/>
      <c r="K15633" s="24"/>
      <c r="L15633" s="24"/>
      <c r="M15633" s="24"/>
      <c r="N15633" s="24"/>
      <c r="O15633" s="24"/>
      <c r="P15633" s="24"/>
      <c r="Q15633" s="24"/>
      <c r="R15633" s="24"/>
      <c r="S15633" s="24"/>
      <c r="T15633" s="24"/>
      <c r="U15633" s="24"/>
      <c r="V15633" s="24"/>
      <c r="W15633" s="24"/>
      <c r="X15633" s="24"/>
      <c r="Y15633" s="24"/>
      <c r="Z15633" s="24"/>
      <c r="AA15633" s="24"/>
    </row>
    <row r="15634">
      <c r="A15634" s="24"/>
      <c r="B15634" s="25"/>
      <c r="C15634" s="24"/>
      <c r="D15634" s="26"/>
      <c r="E15634" s="24"/>
      <c r="F15634" s="24"/>
      <c r="G15634" s="24"/>
      <c r="H15634" s="24"/>
      <c r="I15634" s="24"/>
      <c r="J15634" s="24"/>
      <c r="K15634" s="24"/>
      <c r="L15634" s="24"/>
      <c r="M15634" s="24"/>
      <c r="N15634" s="24"/>
      <c r="O15634" s="24"/>
      <c r="P15634" s="24"/>
      <c r="Q15634" s="24"/>
      <c r="R15634" s="24"/>
      <c r="S15634" s="24"/>
      <c r="T15634" s="24"/>
      <c r="U15634" s="24"/>
      <c r="V15634" s="24"/>
      <c r="W15634" s="24"/>
      <c r="X15634" s="24"/>
      <c r="Y15634" s="24"/>
      <c r="Z15634" s="24"/>
      <c r="AA15634" s="24"/>
    </row>
    <row r="15635">
      <c r="A15635" s="24"/>
      <c r="B15635" s="25"/>
      <c r="C15635" s="24"/>
      <c r="D15635" s="26"/>
      <c r="E15635" s="24"/>
      <c r="F15635" s="24"/>
      <c r="G15635" s="24"/>
      <c r="H15635" s="24"/>
      <c r="I15635" s="24"/>
      <c r="J15635" s="24"/>
      <c r="K15635" s="24"/>
      <c r="L15635" s="24"/>
      <c r="M15635" s="24"/>
      <c r="N15635" s="24"/>
      <c r="O15635" s="24"/>
      <c r="P15635" s="24"/>
      <c r="Q15635" s="24"/>
      <c r="R15635" s="24"/>
      <c r="S15635" s="24"/>
      <c r="T15635" s="24"/>
      <c r="U15635" s="24"/>
      <c r="V15635" s="24"/>
      <c r="W15635" s="24"/>
      <c r="X15635" s="24"/>
      <c r="Y15635" s="24"/>
      <c r="Z15635" s="24"/>
      <c r="AA15635" s="24"/>
    </row>
    <row r="15636">
      <c r="A15636" s="24"/>
      <c r="B15636" s="25"/>
      <c r="C15636" s="24"/>
      <c r="D15636" s="26"/>
      <c r="E15636" s="24"/>
      <c r="F15636" s="24"/>
      <c r="G15636" s="24"/>
      <c r="H15636" s="24"/>
      <c r="I15636" s="24"/>
      <c r="J15636" s="24"/>
      <c r="K15636" s="24"/>
      <c r="L15636" s="24"/>
      <c r="M15636" s="24"/>
      <c r="N15636" s="24"/>
      <c r="O15636" s="24"/>
      <c r="P15636" s="24"/>
      <c r="Q15636" s="24"/>
      <c r="R15636" s="24"/>
      <c r="S15636" s="24"/>
      <c r="T15636" s="24"/>
      <c r="U15636" s="24"/>
      <c r="V15636" s="24"/>
      <c r="W15636" s="24"/>
      <c r="X15636" s="24"/>
      <c r="Y15636" s="24"/>
      <c r="Z15636" s="24"/>
      <c r="AA15636" s="24"/>
    </row>
    <row r="15637">
      <c r="A15637" s="24"/>
      <c r="B15637" s="25"/>
      <c r="C15637" s="24"/>
      <c r="D15637" s="26"/>
      <c r="E15637" s="24"/>
      <c r="F15637" s="24"/>
      <c r="G15637" s="24"/>
      <c r="H15637" s="24"/>
      <c r="I15637" s="24"/>
      <c r="J15637" s="24"/>
      <c r="K15637" s="24"/>
      <c r="L15637" s="24"/>
      <c r="M15637" s="24"/>
      <c r="N15637" s="24"/>
      <c r="O15637" s="24"/>
      <c r="P15637" s="24"/>
      <c r="Q15637" s="24"/>
      <c r="R15637" s="24"/>
      <c r="S15637" s="24"/>
      <c r="T15637" s="24"/>
      <c r="U15637" s="24"/>
      <c r="V15637" s="24"/>
      <c r="W15637" s="24"/>
      <c r="X15637" s="24"/>
      <c r="Y15637" s="24"/>
      <c r="Z15637" s="24"/>
      <c r="AA15637" s="24"/>
    </row>
    <row r="15638">
      <c r="A15638" s="24"/>
      <c r="B15638" s="25"/>
      <c r="C15638" s="24"/>
      <c r="D15638" s="26"/>
      <c r="E15638" s="24"/>
      <c r="F15638" s="24"/>
      <c r="G15638" s="24"/>
      <c r="H15638" s="24"/>
      <c r="I15638" s="24"/>
      <c r="J15638" s="24"/>
      <c r="K15638" s="24"/>
      <c r="L15638" s="24"/>
      <c r="M15638" s="24"/>
      <c r="N15638" s="24"/>
      <c r="O15638" s="24"/>
      <c r="P15638" s="24"/>
      <c r="Q15638" s="24"/>
      <c r="R15638" s="24"/>
      <c r="S15638" s="24"/>
      <c r="T15638" s="24"/>
      <c r="U15638" s="24"/>
      <c r="V15638" s="24"/>
      <c r="W15638" s="24"/>
      <c r="X15638" s="24"/>
      <c r="Y15638" s="24"/>
      <c r="Z15638" s="24"/>
      <c r="AA15638" s="24"/>
    </row>
    <row r="15639">
      <c r="A15639" s="24"/>
      <c r="B15639" s="25"/>
      <c r="C15639" s="24"/>
      <c r="D15639" s="26"/>
      <c r="E15639" s="24"/>
      <c r="F15639" s="24"/>
      <c r="G15639" s="24"/>
      <c r="H15639" s="24"/>
      <c r="I15639" s="24"/>
      <c r="J15639" s="24"/>
      <c r="K15639" s="24"/>
      <c r="L15639" s="24"/>
      <c r="M15639" s="24"/>
      <c r="N15639" s="24"/>
      <c r="O15639" s="24"/>
      <c r="P15639" s="24"/>
      <c r="Q15639" s="24"/>
      <c r="R15639" s="24"/>
      <c r="S15639" s="24"/>
      <c r="T15639" s="24"/>
      <c r="U15639" s="24"/>
      <c r="V15639" s="24"/>
      <c r="W15639" s="24"/>
      <c r="X15639" s="24"/>
      <c r="Y15639" s="24"/>
      <c r="Z15639" s="24"/>
      <c r="AA15639" s="24"/>
    </row>
    <row r="15640">
      <c r="A15640" s="24"/>
      <c r="B15640" s="25"/>
      <c r="C15640" s="24"/>
      <c r="D15640" s="26"/>
      <c r="E15640" s="24"/>
      <c r="F15640" s="24"/>
      <c r="G15640" s="24"/>
      <c r="H15640" s="24"/>
      <c r="I15640" s="24"/>
      <c r="J15640" s="24"/>
      <c r="K15640" s="24"/>
      <c r="L15640" s="24"/>
      <c r="M15640" s="24"/>
      <c r="N15640" s="24"/>
      <c r="O15640" s="24"/>
      <c r="P15640" s="24"/>
      <c r="Q15640" s="24"/>
      <c r="R15640" s="24"/>
      <c r="S15640" s="24"/>
      <c r="T15640" s="24"/>
      <c r="U15640" s="24"/>
      <c r="V15640" s="24"/>
      <c r="W15640" s="24"/>
      <c r="X15640" s="24"/>
      <c r="Y15640" s="24"/>
      <c r="Z15640" s="24"/>
      <c r="AA15640" s="24"/>
    </row>
    <row r="15641">
      <c r="A15641" s="24"/>
      <c r="B15641" s="25"/>
      <c r="C15641" s="24"/>
      <c r="D15641" s="26"/>
      <c r="E15641" s="24"/>
      <c r="F15641" s="24"/>
      <c r="G15641" s="24"/>
      <c r="H15641" s="24"/>
      <c r="I15641" s="24"/>
      <c r="J15641" s="24"/>
      <c r="K15641" s="24"/>
      <c r="L15641" s="24"/>
      <c r="M15641" s="24"/>
      <c r="N15641" s="24"/>
      <c r="O15641" s="24"/>
      <c r="P15641" s="24"/>
      <c r="Q15641" s="24"/>
      <c r="R15641" s="24"/>
      <c r="S15641" s="24"/>
      <c r="T15641" s="24"/>
      <c r="U15641" s="24"/>
      <c r="V15641" s="24"/>
      <c r="W15641" s="24"/>
      <c r="X15641" s="24"/>
      <c r="Y15641" s="24"/>
      <c r="Z15641" s="24"/>
      <c r="AA15641" s="24"/>
    </row>
    <row r="15642">
      <c r="A15642" s="24"/>
      <c r="B15642" s="25"/>
      <c r="C15642" s="24"/>
      <c r="D15642" s="26"/>
      <c r="E15642" s="24"/>
      <c r="F15642" s="24"/>
      <c r="G15642" s="24"/>
      <c r="H15642" s="24"/>
      <c r="I15642" s="24"/>
      <c r="J15642" s="24"/>
      <c r="K15642" s="24"/>
      <c r="L15642" s="24"/>
      <c r="M15642" s="24"/>
      <c r="N15642" s="24"/>
      <c r="O15642" s="24"/>
      <c r="P15642" s="24"/>
      <c r="Q15642" s="24"/>
      <c r="R15642" s="24"/>
      <c r="S15642" s="24"/>
      <c r="T15642" s="24"/>
      <c r="U15642" s="24"/>
      <c r="V15642" s="24"/>
      <c r="W15642" s="24"/>
      <c r="X15642" s="24"/>
      <c r="Y15642" s="24"/>
      <c r="Z15642" s="24"/>
      <c r="AA15642" s="24"/>
    </row>
    <row r="15643">
      <c r="A15643" s="24"/>
      <c r="B15643" s="25"/>
      <c r="C15643" s="24"/>
      <c r="D15643" s="26"/>
      <c r="E15643" s="24"/>
      <c r="F15643" s="24"/>
      <c r="G15643" s="24"/>
      <c r="H15643" s="24"/>
      <c r="I15643" s="24"/>
      <c r="J15643" s="24"/>
      <c r="K15643" s="24"/>
      <c r="L15643" s="24"/>
      <c r="M15643" s="24"/>
      <c r="N15643" s="24"/>
      <c r="O15643" s="24"/>
      <c r="P15643" s="24"/>
      <c r="Q15643" s="24"/>
      <c r="R15643" s="24"/>
      <c r="S15643" s="24"/>
      <c r="T15643" s="24"/>
      <c r="U15643" s="24"/>
      <c r="V15643" s="24"/>
      <c r="W15643" s="24"/>
      <c r="X15643" s="24"/>
      <c r="Y15643" s="24"/>
      <c r="Z15643" s="24"/>
      <c r="AA15643" s="24"/>
    </row>
    <row r="15644">
      <c r="A15644" s="24"/>
      <c r="B15644" s="25"/>
      <c r="C15644" s="24"/>
      <c r="D15644" s="26"/>
      <c r="E15644" s="24"/>
      <c r="F15644" s="24"/>
      <c r="G15644" s="24"/>
      <c r="H15644" s="24"/>
      <c r="I15644" s="24"/>
      <c r="J15644" s="24"/>
      <c r="K15644" s="24"/>
      <c r="L15644" s="24"/>
      <c r="M15644" s="24"/>
      <c r="N15644" s="24"/>
      <c r="O15644" s="24"/>
      <c r="P15644" s="24"/>
      <c r="Q15644" s="24"/>
      <c r="R15644" s="24"/>
      <c r="S15644" s="24"/>
      <c r="T15644" s="24"/>
      <c r="U15644" s="24"/>
      <c r="V15644" s="24"/>
      <c r="W15644" s="24"/>
      <c r="X15644" s="24"/>
      <c r="Y15644" s="24"/>
      <c r="Z15644" s="24"/>
      <c r="AA15644" s="24"/>
    </row>
    <row r="15645">
      <c r="A15645" s="24"/>
      <c r="B15645" s="25"/>
      <c r="C15645" s="24"/>
      <c r="D15645" s="26"/>
      <c r="E15645" s="24"/>
      <c r="F15645" s="24"/>
      <c r="G15645" s="24"/>
      <c r="H15645" s="24"/>
      <c r="I15645" s="24"/>
      <c r="J15645" s="24"/>
      <c r="K15645" s="24"/>
      <c r="L15645" s="24"/>
      <c r="M15645" s="24"/>
      <c r="N15645" s="24"/>
      <c r="O15645" s="24"/>
      <c r="P15645" s="24"/>
      <c r="Q15645" s="24"/>
      <c r="R15645" s="24"/>
      <c r="S15645" s="24"/>
      <c r="T15645" s="24"/>
      <c r="U15645" s="24"/>
      <c r="V15645" s="24"/>
      <c r="W15645" s="24"/>
      <c r="X15645" s="24"/>
      <c r="Y15645" s="24"/>
      <c r="Z15645" s="24"/>
      <c r="AA15645" s="24"/>
    </row>
    <row r="15646">
      <c r="A15646" s="24"/>
      <c r="B15646" s="25"/>
      <c r="C15646" s="24"/>
      <c r="D15646" s="26"/>
      <c r="E15646" s="24"/>
      <c r="F15646" s="24"/>
      <c r="G15646" s="24"/>
      <c r="H15646" s="24"/>
      <c r="I15646" s="24"/>
      <c r="J15646" s="24"/>
      <c r="K15646" s="24"/>
      <c r="L15646" s="24"/>
      <c r="M15646" s="24"/>
      <c r="N15646" s="24"/>
      <c r="O15646" s="24"/>
      <c r="P15646" s="24"/>
      <c r="Q15646" s="24"/>
      <c r="R15646" s="24"/>
      <c r="S15646" s="24"/>
      <c r="T15646" s="24"/>
      <c r="U15646" s="24"/>
      <c r="V15646" s="24"/>
      <c r="W15646" s="24"/>
      <c r="X15646" s="24"/>
      <c r="Y15646" s="24"/>
      <c r="Z15646" s="24"/>
      <c r="AA15646" s="24"/>
    </row>
    <row r="15647">
      <c r="A15647" s="24"/>
      <c r="B15647" s="25"/>
      <c r="C15647" s="24"/>
      <c r="D15647" s="26"/>
      <c r="E15647" s="24"/>
      <c r="F15647" s="24"/>
      <c r="G15647" s="24"/>
      <c r="H15647" s="24"/>
      <c r="I15647" s="24"/>
      <c r="J15647" s="24"/>
      <c r="K15647" s="24"/>
      <c r="L15647" s="24"/>
      <c r="M15647" s="24"/>
      <c r="N15647" s="24"/>
      <c r="O15647" s="24"/>
      <c r="P15647" s="24"/>
      <c r="Q15647" s="24"/>
      <c r="R15647" s="24"/>
      <c r="S15647" s="24"/>
      <c r="T15647" s="24"/>
      <c r="U15647" s="24"/>
      <c r="V15647" s="24"/>
      <c r="W15647" s="24"/>
      <c r="X15647" s="24"/>
      <c r="Y15647" s="24"/>
      <c r="Z15647" s="24"/>
      <c r="AA15647" s="24"/>
    </row>
    <row r="15648">
      <c r="A15648" s="24"/>
      <c r="B15648" s="25"/>
      <c r="C15648" s="24"/>
      <c r="D15648" s="26"/>
      <c r="E15648" s="24"/>
      <c r="F15648" s="24"/>
      <c r="G15648" s="24"/>
      <c r="H15648" s="24"/>
      <c r="I15648" s="24"/>
      <c r="J15648" s="24"/>
      <c r="K15648" s="24"/>
      <c r="L15648" s="24"/>
      <c r="M15648" s="24"/>
      <c r="N15648" s="24"/>
      <c r="O15648" s="24"/>
      <c r="P15648" s="24"/>
      <c r="Q15648" s="24"/>
      <c r="R15648" s="24"/>
      <c r="S15648" s="24"/>
      <c r="T15648" s="24"/>
      <c r="U15648" s="24"/>
      <c r="V15648" s="24"/>
      <c r="W15648" s="24"/>
      <c r="X15648" s="24"/>
      <c r="Y15648" s="24"/>
      <c r="Z15648" s="24"/>
      <c r="AA15648" s="24"/>
    </row>
    <row r="15649">
      <c r="A15649" s="24"/>
      <c r="B15649" s="25"/>
      <c r="C15649" s="24"/>
      <c r="D15649" s="26"/>
      <c r="E15649" s="24"/>
      <c r="F15649" s="24"/>
      <c r="G15649" s="24"/>
      <c r="H15649" s="24"/>
      <c r="I15649" s="24"/>
      <c r="J15649" s="24"/>
      <c r="K15649" s="24"/>
      <c r="L15649" s="24"/>
      <c r="M15649" s="24"/>
      <c r="N15649" s="24"/>
      <c r="O15649" s="24"/>
      <c r="P15649" s="24"/>
      <c r="Q15649" s="24"/>
      <c r="R15649" s="24"/>
      <c r="S15649" s="24"/>
      <c r="T15649" s="24"/>
      <c r="U15649" s="24"/>
      <c r="V15649" s="24"/>
      <c r="W15649" s="24"/>
      <c r="X15649" s="24"/>
      <c r="Y15649" s="24"/>
      <c r="Z15649" s="24"/>
      <c r="AA15649" s="24"/>
    </row>
    <row r="15650">
      <c r="A15650" s="24"/>
      <c r="B15650" s="25"/>
      <c r="C15650" s="24"/>
      <c r="D15650" s="26"/>
      <c r="E15650" s="24"/>
      <c r="F15650" s="24"/>
      <c r="G15650" s="24"/>
      <c r="H15650" s="24"/>
      <c r="I15650" s="24"/>
      <c r="J15650" s="24"/>
      <c r="K15650" s="24"/>
      <c r="L15650" s="24"/>
      <c r="M15650" s="24"/>
      <c r="N15650" s="24"/>
      <c r="O15650" s="24"/>
      <c r="P15650" s="24"/>
      <c r="Q15650" s="24"/>
      <c r="R15650" s="24"/>
      <c r="S15650" s="24"/>
      <c r="T15650" s="24"/>
      <c r="U15650" s="24"/>
      <c r="V15650" s="24"/>
      <c r="W15650" s="24"/>
      <c r="X15650" s="24"/>
      <c r="Y15650" s="24"/>
      <c r="Z15650" s="24"/>
      <c r="AA15650" s="24"/>
    </row>
    <row r="15651">
      <c r="A15651" s="24"/>
      <c r="B15651" s="25"/>
      <c r="C15651" s="24"/>
      <c r="D15651" s="26"/>
      <c r="E15651" s="24"/>
      <c r="F15651" s="24"/>
      <c r="G15651" s="24"/>
      <c r="H15651" s="24"/>
      <c r="I15651" s="24"/>
      <c r="J15651" s="24"/>
      <c r="K15651" s="24"/>
      <c r="L15651" s="24"/>
      <c r="M15651" s="24"/>
      <c r="N15651" s="24"/>
      <c r="O15651" s="24"/>
      <c r="P15651" s="24"/>
      <c r="Q15651" s="24"/>
      <c r="R15651" s="24"/>
      <c r="S15651" s="24"/>
      <c r="T15651" s="24"/>
      <c r="U15651" s="24"/>
      <c r="V15651" s="24"/>
      <c r="W15651" s="24"/>
      <c r="X15651" s="24"/>
      <c r="Y15651" s="24"/>
      <c r="Z15651" s="24"/>
      <c r="AA15651" s="24"/>
    </row>
    <row r="15652">
      <c r="A15652" s="24"/>
      <c r="B15652" s="25"/>
      <c r="C15652" s="24"/>
      <c r="D15652" s="26"/>
      <c r="E15652" s="24"/>
      <c r="F15652" s="24"/>
      <c r="G15652" s="24"/>
      <c r="H15652" s="24"/>
      <c r="I15652" s="24"/>
      <c r="J15652" s="24"/>
      <c r="K15652" s="24"/>
      <c r="L15652" s="24"/>
      <c r="M15652" s="24"/>
      <c r="N15652" s="24"/>
      <c r="O15652" s="24"/>
      <c r="P15652" s="24"/>
      <c r="Q15652" s="24"/>
      <c r="R15652" s="24"/>
      <c r="S15652" s="24"/>
      <c r="T15652" s="24"/>
      <c r="U15652" s="24"/>
      <c r="V15652" s="24"/>
      <c r="W15652" s="24"/>
      <c r="X15652" s="24"/>
      <c r="Y15652" s="24"/>
      <c r="Z15652" s="24"/>
      <c r="AA15652" s="24"/>
    </row>
    <row r="15653">
      <c r="A15653" s="24"/>
      <c r="B15653" s="25"/>
      <c r="C15653" s="24"/>
      <c r="D15653" s="26"/>
      <c r="E15653" s="24"/>
      <c r="F15653" s="24"/>
      <c r="G15653" s="24"/>
      <c r="H15653" s="24"/>
      <c r="I15653" s="24"/>
      <c r="J15653" s="24"/>
      <c r="K15653" s="24"/>
      <c r="L15653" s="24"/>
      <c r="M15653" s="24"/>
      <c r="N15653" s="24"/>
      <c r="O15653" s="24"/>
      <c r="P15653" s="24"/>
      <c r="Q15653" s="24"/>
      <c r="R15653" s="24"/>
      <c r="S15653" s="24"/>
      <c r="T15653" s="24"/>
      <c r="U15653" s="24"/>
      <c r="V15653" s="24"/>
      <c r="W15653" s="24"/>
      <c r="X15653" s="24"/>
      <c r="Y15653" s="24"/>
      <c r="Z15653" s="24"/>
      <c r="AA15653" s="24"/>
    </row>
    <row r="15654">
      <c r="A15654" s="24"/>
      <c r="B15654" s="25"/>
      <c r="C15654" s="24"/>
      <c r="D15654" s="26"/>
      <c r="E15654" s="24"/>
      <c r="F15654" s="24"/>
      <c r="G15654" s="24"/>
      <c r="H15654" s="24"/>
      <c r="I15654" s="24"/>
      <c r="J15654" s="24"/>
      <c r="K15654" s="24"/>
      <c r="L15654" s="24"/>
      <c r="M15654" s="24"/>
      <c r="N15654" s="24"/>
      <c r="O15654" s="24"/>
      <c r="P15654" s="24"/>
      <c r="Q15654" s="24"/>
      <c r="R15654" s="24"/>
      <c r="S15654" s="24"/>
      <c r="T15654" s="24"/>
      <c r="U15654" s="24"/>
      <c r="V15654" s="24"/>
      <c r="W15654" s="24"/>
      <c r="X15654" s="24"/>
      <c r="Y15654" s="24"/>
      <c r="Z15654" s="24"/>
      <c r="AA15654" s="24"/>
    </row>
    <row r="15655">
      <c r="A15655" s="24"/>
      <c r="B15655" s="25"/>
      <c r="C15655" s="24"/>
      <c r="D15655" s="26"/>
      <c r="E15655" s="24"/>
      <c r="F15655" s="24"/>
      <c r="G15655" s="24"/>
      <c r="H15655" s="24"/>
      <c r="I15655" s="24"/>
      <c r="J15655" s="24"/>
      <c r="K15655" s="24"/>
      <c r="L15655" s="24"/>
      <c r="M15655" s="24"/>
      <c r="N15655" s="24"/>
      <c r="O15655" s="24"/>
      <c r="P15655" s="24"/>
      <c r="Q15655" s="24"/>
      <c r="R15655" s="24"/>
      <c r="S15655" s="24"/>
      <c r="T15655" s="24"/>
      <c r="U15655" s="24"/>
      <c r="V15655" s="24"/>
      <c r="W15655" s="24"/>
      <c r="X15655" s="24"/>
      <c r="Y15655" s="24"/>
      <c r="Z15655" s="24"/>
      <c r="AA15655" s="24"/>
    </row>
    <row r="15656">
      <c r="A15656" s="24"/>
      <c r="B15656" s="25"/>
      <c r="C15656" s="24"/>
      <c r="D15656" s="26"/>
      <c r="E15656" s="24"/>
      <c r="F15656" s="24"/>
      <c r="G15656" s="24"/>
      <c r="H15656" s="24"/>
      <c r="I15656" s="24"/>
      <c r="J15656" s="24"/>
      <c r="K15656" s="24"/>
      <c r="L15656" s="24"/>
      <c r="M15656" s="24"/>
      <c r="N15656" s="24"/>
      <c r="O15656" s="24"/>
      <c r="P15656" s="24"/>
      <c r="Q15656" s="24"/>
      <c r="R15656" s="24"/>
      <c r="S15656" s="24"/>
      <c r="T15656" s="24"/>
      <c r="U15656" s="24"/>
      <c r="V15656" s="24"/>
      <c r="W15656" s="24"/>
      <c r="X15656" s="24"/>
      <c r="Y15656" s="24"/>
      <c r="Z15656" s="24"/>
      <c r="AA15656" s="24"/>
    </row>
    <row r="15657">
      <c r="A15657" s="24"/>
      <c r="B15657" s="25"/>
      <c r="C15657" s="24"/>
      <c r="D15657" s="26"/>
      <c r="E15657" s="24"/>
      <c r="F15657" s="24"/>
      <c r="G15657" s="24"/>
      <c r="H15657" s="24"/>
      <c r="I15657" s="24"/>
      <c r="J15657" s="24"/>
      <c r="K15657" s="24"/>
      <c r="L15657" s="24"/>
      <c r="M15657" s="24"/>
      <c r="N15657" s="24"/>
      <c r="O15657" s="24"/>
      <c r="P15657" s="24"/>
      <c r="Q15657" s="24"/>
      <c r="R15657" s="24"/>
      <c r="S15657" s="24"/>
      <c r="T15657" s="24"/>
      <c r="U15657" s="24"/>
      <c r="V15657" s="24"/>
      <c r="W15657" s="24"/>
      <c r="X15657" s="24"/>
      <c r="Y15657" s="24"/>
      <c r="Z15657" s="24"/>
      <c r="AA15657" s="24"/>
    </row>
    <row r="15658">
      <c r="A15658" s="24"/>
      <c r="B15658" s="25"/>
      <c r="C15658" s="24"/>
      <c r="D15658" s="26"/>
      <c r="E15658" s="24"/>
      <c r="F15658" s="24"/>
      <c r="G15658" s="24"/>
      <c r="H15658" s="24"/>
      <c r="I15658" s="24"/>
      <c r="J15658" s="24"/>
      <c r="K15658" s="24"/>
      <c r="L15658" s="24"/>
      <c r="M15658" s="24"/>
      <c r="N15658" s="24"/>
      <c r="O15658" s="24"/>
      <c r="P15658" s="24"/>
      <c r="Q15658" s="24"/>
      <c r="R15658" s="24"/>
      <c r="S15658" s="24"/>
      <c r="T15658" s="24"/>
      <c r="U15658" s="24"/>
      <c r="V15658" s="24"/>
      <c r="W15658" s="24"/>
      <c r="X15658" s="24"/>
      <c r="Y15658" s="24"/>
      <c r="Z15658" s="24"/>
      <c r="AA15658" s="24"/>
    </row>
    <row r="15659">
      <c r="A15659" s="24"/>
      <c r="B15659" s="25"/>
      <c r="C15659" s="24"/>
      <c r="D15659" s="26"/>
      <c r="E15659" s="24"/>
      <c r="F15659" s="24"/>
      <c r="G15659" s="24"/>
      <c r="H15659" s="24"/>
      <c r="I15659" s="24"/>
      <c r="J15659" s="24"/>
      <c r="K15659" s="24"/>
      <c r="L15659" s="24"/>
      <c r="M15659" s="24"/>
      <c r="N15659" s="24"/>
      <c r="O15659" s="24"/>
      <c r="P15659" s="24"/>
      <c r="Q15659" s="24"/>
      <c r="R15659" s="24"/>
      <c r="S15659" s="24"/>
      <c r="T15659" s="24"/>
      <c r="U15659" s="24"/>
      <c r="V15659" s="24"/>
      <c r="W15659" s="24"/>
      <c r="X15659" s="24"/>
      <c r="Y15659" s="24"/>
      <c r="Z15659" s="24"/>
      <c r="AA15659" s="24"/>
    </row>
    <row r="15660">
      <c r="A15660" s="24"/>
      <c r="B15660" s="25"/>
      <c r="C15660" s="24"/>
      <c r="D15660" s="26"/>
      <c r="E15660" s="24"/>
      <c r="F15660" s="24"/>
      <c r="G15660" s="24"/>
      <c r="H15660" s="24"/>
      <c r="I15660" s="24"/>
      <c r="J15660" s="24"/>
      <c r="K15660" s="24"/>
      <c r="L15660" s="24"/>
      <c r="M15660" s="24"/>
      <c r="N15660" s="24"/>
      <c r="O15660" s="24"/>
      <c r="P15660" s="24"/>
      <c r="Q15660" s="24"/>
      <c r="R15660" s="24"/>
      <c r="S15660" s="24"/>
      <c r="T15660" s="24"/>
      <c r="U15660" s="24"/>
      <c r="V15660" s="24"/>
      <c r="W15660" s="24"/>
      <c r="X15660" s="24"/>
      <c r="Y15660" s="24"/>
      <c r="Z15660" s="24"/>
      <c r="AA15660" s="24"/>
    </row>
    <row r="15661">
      <c r="A15661" s="24"/>
      <c r="B15661" s="25"/>
      <c r="C15661" s="24"/>
      <c r="D15661" s="26"/>
      <c r="E15661" s="24"/>
      <c r="F15661" s="24"/>
      <c r="G15661" s="24"/>
      <c r="H15661" s="24"/>
      <c r="I15661" s="24"/>
      <c r="J15661" s="24"/>
      <c r="K15661" s="24"/>
      <c r="L15661" s="24"/>
      <c r="M15661" s="24"/>
      <c r="N15661" s="24"/>
      <c r="O15661" s="24"/>
      <c r="P15661" s="24"/>
      <c r="Q15661" s="24"/>
      <c r="R15661" s="24"/>
      <c r="S15661" s="24"/>
      <c r="T15661" s="24"/>
      <c r="U15661" s="24"/>
      <c r="V15661" s="24"/>
      <c r="W15661" s="24"/>
      <c r="X15661" s="24"/>
      <c r="Y15661" s="24"/>
      <c r="Z15661" s="24"/>
      <c r="AA15661" s="24"/>
    </row>
    <row r="15662">
      <c r="A15662" s="24"/>
      <c r="B15662" s="25"/>
      <c r="C15662" s="24"/>
      <c r="D15662" s="26"/>
      <c r="E15662" s="24"/>
      <c r="F15662" s="24"/>
      <c r="G15662" s="24"/>
      <c r="H15662" s="24"/>
      <c r="I15662" s="24"/>
      <c r="J15662" s="24"/>
      <c r="K15662" s="24"/>
      <c r="L15662" s="24"/>
      <c r="M15662" s="24"/>
      <c r="N15662" s="24"/>
      <c r="O15662" s="24"/>
      <c r="P15662" s="24"/>
      <c r="Q15662" s="24"/>
      <c r="R15662" s="24"/>
      <c r="S15662" s="24"/>
      <c r="T15662" s="24"/>
      <c r="U15662" s="24"/>
      <c r="V15662" s="24"/>
      <c r="W15662" s="24"/>
      <c r="X15662" s="24"/>
      <c r="Y15662" s="24"/>
      <c r="Z15662" s="24"/>
      <c r="AA15662" s="24"/>
    </row>
    <row r="15663">
      <c r="A15663" s="24"/>
      <c r="B15663" s="25"/>
      <c r="C15663" s="24"/>
      <c r="D15663" s="26"/>
      <c r="E15663" s="24"/>
      <c r="F15663" s="24"/>
      <c r="G15663" s="24"/>
      <c r="H15663" s="24"/>
      <c r="I15663" s="24"/>
      <c r="J15663" s="24"/>
      <c r="K15663" s="24"/>
      <c r="L15663" s="24"/>
      <c r="M15663" s="24"/>
      <c r="N15663" s="24"/>
      <c r="O15663" s="24"/>
      <c r="P15663" s="24"/>
      <c r="Q15663" s="24"/>
      <c r="R15663" s="24"/>
      <c r="S15663" s="24"/>
      <c r="T15663" s="24"/>
      <c r="U15663" s="24"/>
      <c r="V15663" s="24"/>
      <c r="W15663" s="24"/>
      <c r="X15663" s="24"/>
      <c r="Y15663" s="24"/>
      <c r="Z15663" s="24"/>
      <c r="AA15663" s="24"/>
    </row>
    <row r="15664">
      <c r="A15664" s="24"/>
      <c r="B15664" s="25"/>
      <c r="C15664" s="24"/>
      <c r="D15664" s="26"/>
      <c r="E15664" s="24"/>
      <c r="F15664" s="24"/>
      <c r="G15664" s="24"/>
      <c r="H15664" s="24"/>
      <c r="I15664" s="24"/>
      <c r="J15664" s="24"/>
      <c r="K15664" s="24"/>
      <c r="L15664" s="24"/>
      <c r="M15664" s="24"/>
      <c r="N15664" s="24"/>
      <c r="O15664" s="24"/>
      <c r="P15664" s="24"/>
      <c r="Q15664" s="24"/>
      <c r="R15664" s="24"/>
      <c r="S15664" s="24"/>
      <c r="T15664" s="24"/>
      <c r="U15664" s="24"/>
      <c r="V15664" s="24"/>
      <c r="W15664" s="24"/>
      <c r="X15664" s="24"/>
      <c r="Y15664" s="24"/>
      <c r="Z15664" s="24"/>
      <c r="AA15664" s="24"/>
    </row>
    <row r="15665">
      <c r="A15665" s="24"/>
      <c r="B15665" s="25"/>
      <c r="C15665" s="24"/>
      <c r="D15665" s="26"/>
      <c r="E15665" s="24"/>
      <c r="F15665" s="24"/>
      <c r="G15665" s="24"/>
      <c r="H15665" s="24"/>
      <c r="I15665" s="24"/>
      <c r="J15665" s="24"/>
      <c r="K15665" s="24"/>
      <c r="L15665" s="24"/>
      <c r="M15665" s="24"/>
      <c r="N15665" s="24"/>
      <c r="O15665" s="24"/>
      <c r="P15665" s="24"/>
      <c r="Q15665" s="24"/>
      <c r="R15665" s="24"/>
      <c r="S15665" s="24"/>
      <c r="T15665" s="24"/>
      <c r="U15665" s="24"/>
      <c r="V15665" s="24"/>
      <c r="W15665" s="24"/>
      <c r="X15665" s="24"/>
      <c r="Y15665" s="24"/>
      <c r="Z15665" s="24"/>
      <c r="AA15665" s="24"/>
    </row>
    <row r="15666">
      <c r="A15666" s="24"/>
      <c r="B15666" s="25"/>
      <c r="C15666" s="24"/>
      <c r="D15666" s="26"/>
      <c r="E15666" s="24"/>
      <c r="F15666" s="24"/>
      <c r="G15666" s="24"/>
      <c r="H15666" s="24"/>
      <c r="I15666" s="24"/>
      <c r="J15666" s="24"/>
      <c r="K15666" s="24"/>
      <c r="L15666" s="24"/>
      <c r="M15666" s="24"/>
      <c r="N15666" s="24"/>
      <c r="O15666" s="24"/>
      <c r="P15666" s="24"/>
      <c r="Q15666" s="24"/>
      <c r="R15666" s="24"/>
      <c r="S15666" s="24"/>
      <c r="T15666" s="24"/>
      <c r="U15666" s="24"/>
      <c r="V15666" s="24"/>
      <c r="W15666" s="24"/>
      <c r="X15666" s="24"/>
      <c r="Y15666" s="24"/>
      <c r="Z15666" s="24"/>
      <c r="AA15666" s="24"/>
    </row>
    <row r="15667">
      <c r="A15667" s="24"/>
      <c r="B15667" s="25"/>
      <c r="C15667" s="24"/>
      <c r="D15667" s="26"/>
      <c r="E15667" s="24"/>
      <c r="F15667" s="24"/>
      <c r="G15667" s="24"/>
      <c r="H15667" s="24"/>
      <c r="I15667" s="24"/>
      <c r="J15667" s="24"/>
      <c r="K15667" s="24"/>
      <c r="L15667" s="24"/>
      <c r="M15667" s="24"/>
      <c r="N15667" s="24"/>
      <c r="O15667" s="24"/>
      <c r="P15667" s="24"/>
      <c r="Q15667" s="24"/>
      <c r="R15667" s="24"/>
      <c r="S15667" s="24"/>
      <c r="T15667" s="24"/>
      <c r="U15667" s="24"/>
      <c r="V15667" s="24"/>
      <c r="W15667" s="24"/>
      <c r="X15667" s="24"/>
      <c r="Y15667" s="24"/>
      <c r="Z15667" s="24"/>
      <c r="AA15667" s="24"/>
    </row>
    <row r="15668">
      <c r="A15668" s="24"/>
      <c r="B15668" s="25"/>
      <c r="C15668" s="24"/>
      <c r="D15668" s="26"/>
      <c r="E15668" s="24"/>
      <c r="F15668" s="24"/>
      <c r="G15668" s="24"/>
      <c r="H15668" s="24"/>
      <c r="I15668" s="24"/>
      <c r="J15668" s="24"/>
      <c r="K15668" s="24"/>
      <c r="L15668" s="24"/>
      <c r="M15668" s="24"/>
      <c r="N15668" s="24"/>
      <c r="O15668" s="24"/>
      <c r="P15668" s="24"/>
      <c r="Q15668" s="24"/>
      <c r="R15668" s="24"/>
      <c r="S15668" s="24"/>
      <c r="T15668" s="24"/>
      <c r="U15668" s="24"/>
      <c r="V15668" s="24"/>
      <c r="W15668" s="24"/>
      <c r="X15668" s="24"/>
      <c r="Y15668" s="24"/>
      <c r="Z15668" s="24"/>
      <c r="AA15668" s="24"/>
    </row>
    <row r="15669">
      <c r="A15669" s="24"/>
      <c r="B15669" s="25"/>
      <c r="C15669" s="24"/>
      <c r="D15669" s="26"/>
      <c r="E15669" s="24"/>
      <c r="F15669" s="24"/>
      <c r="G15669" s="24"/>
      <c r="H15669" s="24"/>
      <c r="I15669" s="24"/>
      <c r="J15669" s="24"/>
      <c r="K15669" s="24"/>
      <c r="L15669" s="24"/>
      <c r="M15669" s="24"/>
      <c r="N15669" s="24"/>
      <c r="O15669" s="24"/>
      <c r="P15669" s="24"/>
      <c r="Q15669" s="24"/>
      <c r="R15669" s="24"/>
      <c r="S15669" s="24"/>
      <c r="T15669" s="24"/>
      <c r="U15669" s="24"/>
      <c r="V15669" s="24"/>
      <c r="W15669" s="24"/>
      <c r="X15669" s="24"/>
      <c r="Y15669" s="24"/>
      <c r="Z15669" s="24"/>
      <c r="AA15669" s="24"/>
    </row>
    <row r="15670">
      <c r="A15670" s="24"/>
      <c r="B15670" s="25"/>
      <c r="C15670" s="24"/>
      <c r="D15670" s="26"/>
      <c r="E15670" s="24"/>
      <c r="F15670" s="24"/>
      <c r="G15670" s="24"/>
      <c r="H15670" s="24"/>
      <c r="I15670" s="24"/>
      <c r="J15670" s="24"/>
      <c r="K15670" s="24"/>
      <c r="L15670" s="24"/>
      <c r="M15670" s="24"/>
      <c r="N15670" s="24"/>
      <c r="O15670" s="24"/>
      <c r="P15670" s="24"/>
      <c r="Q15670" s="24"/>
      <c r="R15670" s="24"/>
      <c r="S15670" s="24"/>
      <c r="T15670" s="24"/>
      <c r="U15670" s="24"/>
      <c r="V15670" s="24"/>
      <c r="W15670" s="24"/>
      <c r="X15670" s="24"/>
      <c r="Y15670" s="24"/>
      <c r="Z15670" s="24"/>
      <c r="AA15670" s="24"/>
    </row>
    <row r="15671">
      <c r="A15671" s="24"/>
      <c r="B15671" s="25"/>
      <c r="C15671" s="24"/>
      <c r="D15671" s="26"/>
      <c r="E15671" s="24"/>
      <c r="F15671" s="24"/>
      <c r="G15671" s="24"/>
      <c r="H15671" s="24"/>
      <c r="I15671" s="24"/>
      <c r="J15671" s="24"/>
      <c r="K15671" s="24"/>
      <c r="L15671" s="24"/>
      <c r="M15671" s="24"/>
      <c r="N15671" s="24"/>
      <c r="O15671" s="24"/>
      <c r="P15671" s="24"/>
      <c r="Q15671" s="24"/>
      <c r="R15671" s="24"/>
      <c r="S15671" s="24"/>
      <c r="T15671" s="24"/>
      <c r="U15671" s="24"/>
      <c r="V15671" s="24"/>
      <c r="W15671" s="24"/>
      <c r="X15671" s="24"/>
      <c r="Y15671" s="24"/>
      <c r="Z15671" s="24"/>
      <c r="AA15671" s="24"/>
    </row>
    <row r="15672">
      <c r="A15672" s="24"/>
      <c r="B15672" s="25"/>
      <c r="C15672" s="24"/>
      <c r="D15672" s="26"/>
      <c r="E15672" s="24"/>
      <c r="F15672" s="24"/>
      <c r="G15672" s="24"/>
      <c r="H15672" s="24"/>
      <c r="I15672" s="24"/>
      <c r="J15672" s="24"/>
      <c r="K15672" s="24"/>
      <c r="L15672" s="24"/>
      <c r="M15672" s="24"/>
      <c r="N15672" s="24"/>
      <c r="O15672" s="24"/>
      <c r="P15672" s="24"/>
      <c r="Q15672" s="24"/>
      <c r="R15672" s="24"/>
      <c r="S15672" s="24"/>
      <c r="T15672" s="24"/>
      <c r="U15672" s="24"/>
      <c r="V15672" s="24"/>
      <c r="W15672" s="24"/>
      <c r="X15672" s="24"/>
      <c r="Y15672" s="24"/>
      <c r="Z15672" s="24"/>
      <c r="AA15672" s="24"/>
    </row>
    <row r="15673">
      <c r="A15673" s="24"/>
      <c r="B15673" s="25"/>
      <c r="C15673" s="24"/>
      <c r="D15673" s="26"/>
      <c r="E15673" s="24"/>
      <c r="F15673" s="24"/>
      <c r="G15673" s="24"/>
      <c r="H15673" s="24"/>
      <c r="I15673" s="24"/>
      <c r="J15673" s="24"/>
      <c r="K15673" s="24"/>
      <c r="L15673" s="24"/>
      <c r="M15673" s="24"/>
      <c r="N15673" s="24"/>
      <c r="O15673" s="24"/>
      <c r="P15673" s="24"/>
      <c r="Q15673" s="24"/>
      <c r="R15673" s="24"/>
      <c r="S15673" s="24"/>
      <c r="T15673" s="24"/>
      <c r="U15673" s="24"/>
      <c r="V15673" s="24"/>
      <c r="W15673" s="24"/>
      <c r="X15673" s="24"/>
      <c r="Y15673" s="24"/>
      <c r="Z15673" s="24"/>
      <c r="AA15673" s="24"/>
    </row>
    <row r="15674">
      <c r="A15674" s="24"/>
      <c r="B15674" s="25"/>
      <c r="C15674" s="24"/>
      <c r="D15674" s="26"/>
      <c r="E15674" s="24"/>
      <c r="F15674" s="24"/>
      <c r="G15674" s="24"/>
      <c r="H15674" s="24"/>
      <c r="I15674" s="24"/>
      <c r="J15674" s="24"/>
      <c r="K15674" s="24"/>
      <c r="L15674" s="24"/>
      <c r="M15674" s="24"/>
      <c r="N15674" s="24"/>
      <c r="O15674" s="24"/>
      <c r="P15674" s="24"/>
      <c r="Q15674" s="24"/>
      <c r="R15674" s="24"/>
      <c r="S15674" s="24"/>
      <c r="T15674" s="24"/>
      <c r="U15674" s="24"/>
      <c r="V15674" s="24"/>
      <c r="W15674" s="24"/>
      <c r="X15674" s="24"/>
      <c r="Y15674" s="24"/>
      <c r="Z15674" s="24"/>
      <c r="AA15674" s="24"/>
    </row>
    <row r="15675">
      <c r="A15675" s="24"/>
      <c r="B15675" s="25"/>
      <c r="C15675" s="24"/>
      <c r="D15675" s="26"/>
      <c r="E15675" s="24"/>
      <c r="F15675" s="24"/>
      <c r="G15675" s="24"/>
      <c r="H15675" s="24"/>
      <c r="I15675" s="24"/>
      <c r="J15675" s="24"/>
      <c r="K15675" s="24"/>
      <c r="L15675" s="24"/>
      <c r="M15675" s="24"/>
      <c r="N15675" s="24"/>
      <c r="O15675" s="24"/>
      <c r="P15675" s="24"/>
      <c r="Q15675" s="24"/>
      <c r="R15675" s="24"/>
      <c r="S15675" s="24"/>
      <c r="T15675" s="24"/>
      <c r="U15675" s="24"/>
      <c r="V15675" s="24"/>
      <c r="W15675" s="24"/>
      <c r="X15675" s="24"/>
      <c r="Y15675" s="24"/>
      <c r="Z15675" s="24"/>
      <c r="AA15675" s="24"/>
    </row>
    <row r="15676">
      <c r="A15676" s="24"/>
      <c r="B15676" s="25"/>
      <c r="C15676" s="24"/>
      <c r="D15676" s="26"/>
      <c r="E15676" s="24"/>
      <c r="F15676" s="24"/>
      <c r="G15676" s="24"/>
      <c r="H15676" s="24"/>
      <c r="I15676" s="24"/>
      <c r="J15676" s="24"/>
      <c r="K15676" s="24"/>
      <c r="L15676" s="24"/>
      <c r="M15676" s="24"/>
      <c r="N15676" s="24"/>
      <c r="O15676" s="24"/>
      <c r="P15676" s="24"/>
      <c r="Q15676" s="24"/>
      <c r="R15676" s="24"/>
      <c r="S15676" s="24"/>
      <c r="T15676" s="24"/>
      <c r="U15676" s="24"/>
      <c r="V15676" s="24"/>
      <c r="W15676" s="24"/>
      <c r="X15676" s="24"/>
      <c r="Y15676" s="24"/>
      <c r="Z15676" s="24"/>
      <c r="AA15676" s="24"/>
    </row>
    <row r="15677">
      <c r="A15677" s="24"/>
      <c r="B15677" s="25"/>
      <c r="C15677" s="24"/>
      <c r="D15677" s="26"/>
      <c r="E15677" s="24"/>
      <c r="F15677" s="24"/>
      <c r="G15677" s="24"/>
      <c r="H15677" s="24"/>
      <c r="I15677" s="24"/>
      <c r="J15677" s="24"/>
      <c r="K15677" s="24"/>
      <c r="L15677" s="24"/>
      <c r="M15677" s="24"/>
      <c r="N15677" s="24"/>
      <c r="O15677" s="24"/>
      <c r="P15677" s="24"/>
      <c r="Q15677" s="24"/>
      <c r="R15677" s="24"/>
      <c r="S15677" s="24"/>
      <c r="T15677" s="24"/>
      <c r="U15677" s="24"/>
      <c r="V15677" s="24"/>
      <c r="W15677" s="24"/>
      <c r="X15677" s="24"/>
      <c r="Y15677" s="24"/>
      <c r="Z15677" s="24"/>
      <c r="AA15677" s="24"/>
    </row>
    <row r="15678">
      <c r="A15678" s="24"/>
      <c r="B15678" s="25"/>
      <c r="C15678" s="24"/>
      <c r="D15678" s="26"/>
      <c r="E15678" s="24"/>
      <c r="F15678" s="24"/>
      <c r="G15678" s="24"/>
      <c r="H15678" s="24"/>
      <c r="I15678" s="24"/>
      <c r="J15678" s="24"/>
      <c r="K15678" s="24"/>
      <c r="L15678" s="24"/>
      <c r="M15678" s="24"/>
      <c r="N15678" s="24"/>
      <c r="O15678" s="24"/>
      <c r="P15678" s="24"/>
      <c r="Q15678" s="24"/>
      <c r="R15678" s="24"/>
      <c r="S15678" s="24"/>
      <c r="T15678" s="24"/>
      <c r="U15678" s="24"/>
      <c r="V15678" s="24"/>
      <c r="W15678" s="24"/>
      <c r="X15678" s="24"/>
      <c r="Y15678" s="24"/>
      <c r="Z15678" s="24"/>
      <c r="AA15678" s="24"/>
    </row>
    <row r="15679">
      <c r="A15679" s="24"/>
      <c r="B15679" s="25"/>
      <c r="C15679" s="24"/>
      <c r="D15679" s="26"/>
      <c r="E15679" s="24"/>
      <c r="F15679" s="24"/>
      <c r="G15679" s="24"/>
      <c r="H15679" s="24"/>
      <c r="I15679" s="24"/>
      <c r="J15679" s="24"/>
      <c r="K15679" s="24"/>
      <c r="L15679" s="24"/>
      <c r="M15679" s="24"/>
      <c r="N15679" s="24"/>
      <c r="O15679" s="24"/>
      <c r="P15679" s="24"/>
      <c r="Q15679" s="24"/>
      <c r="R15679" s="24"/>
      <c r="S15679" s="24"/>
      <c r="T15679" s="24"/>
      <c r="U15679" s="24"/>
      <c r="V15679" s="24"/>
      <c r="W15679" s="24"/>
      <c r="X15679" s="24"/>
      <c r="Y15679" s="24"/>
      <c r="Z15679" s="24"/>
      <c r="AA15679" s="24"/>
    </row>
    <row r="15680">
      <c r="A15680" s="24"/>
      <c r="B15680" s="25"/>
      <c r="C15680" s="24"/>
      <c r="D15680" s="26"/>
      <c r="E15680" s="24"/>
      <c r="F15680" s="24"/>
      <c r="G15680" s="24"/>
      <c r="H15680" s="24"/>
      <c r="I15680" s="24"/>
      <c r="J15680" s="24"/>
      <c r="K15680" s="24"/>
      <c r="L15680" s="24"/>
      <c r="M15680" s="24"/>
      <c r="N15680" s="24"/>
      <c r="O15680" s="24"/>
      <c r="P15680" s="24"/>
      <c r="Q15680" s="24"/>
      <c r="R15680" s="24"/>
      <c r="S15680" s="24"/>
      <c r="T15680" s="24"/>
      <c r="U15680" s="24"/>
      <c r="V15680" s="24"/>
      <c r="W15680" s="24"/>
      <c r="X15680" s="24"/>
      <c r="Y15680" s="24"/>
      <c r="Z15680" s="24"/>
      <c r="AA15680" s="24"/>
    </row>
    <row r="15681">
      <c r="A15681" s="24"/>
      <c r="B15681" s="25"/>
      <c r="C15681" s="24"/>
      <c r="D15681" s="26"/>
      <c r="E15681" s="24"/>
      <c r="F15681" s="24"/>
      <c r="G15681" s="24"/>
      <c r="H15681" s="24"/>
      <c r="I15681" s="24"/>
      <c r="J15681" s="24"/>
      <c r="K15681" s="24"/>
      <c r="L15681" s="24"/>
      <c r="M15681" s="24"/>
      <c r="N15681" s="24"/>
      <c r="O15681" s="24"/>
      <c r="P15681" s="24"/>
      <c r="Q15681" s="24"/>
      <c r="R15681" s="24"/>
      <c r="S15681" s="24"/>
      <c r="T15681" s="24"/>
      <c r="U15681" s="24"/>
      <c r="V15681" s="24"/>
      <c r="W15681" s="24"/>
      <c r="X15681" s="24"/>
      <c r="Y15681" s="24"/>
      <c r="Z15681" s="24"/>
      <c r="AA15681" s="24"/>
    </row>
    <row r="15682">
      <c r="A15682" s="24"/>
      <c r="B15682" s="25"/>
      <c r="C15682" s="24"/>
      <c r="D15682" s="26"/>
      <c r="E15682" s="24"/>
      <c r="F15682" s="24"/>
      <c r="G15682" s="24"/>
      <c r="H15682" s="24"/>
      <c r="I15682" s="24"/>
      <c r="J15682" s="24"/>
      <c r="K15682" s="24"/>
      <c r="L15682" s="24"/>
      <c r="M15682" s="24"/>
      <c r="N15682" s="24"/>
      <c r="O15682" s="24"/>
      <c r="P15682" s="24"/>
      <c r="Q15682" s="24"/>
      <c r="R15682" s="24"/>
      <c r="S15682" s="24"/>
      <c r="T15682" s="24"/>
      <c r="U15682" s="24"/>
      <c r="V15682" s="24"/>
      <c r="W15682" s="24"/>
      <c r="X15682" s="24"/>
      <c r="Y15682" s="24"/>
      <c r="Z15682" s="24"/>
      <c r="AA15682" s="24"/>
    </row>
    <row r="15683">
      <c r="A15683" s="24"/>
      <c r="B15683" s="25"/>
      <c r="C15683" s="24"/>
      <c r="D15683" s="26"/>
      <c r="E15683" s="24"/>
      <c r="F15683" s="24"/>
      <c r="G15683" s="24"/>
      <c r="H15683" s="24"/>
      <c r="I15683" s="24"/>
      <c r="J15683" s="24"/>
      <c r="K15683" s="24"/>
      <c r="L15683" s="24"/>
      <c r="M15683" s="24"/>
      <c r="N15683" s="24"/>
      <c r="O15683" s="24"/>
      <c r="P15683" s="24"/>
      <c r="Q15683" s="24"/>
      <c r="R15683" s="24"/>
      <c r="S15683" s="24"/>
      <c r="T15683" s="24"/>
      <c r="U15683" s="24"/>
      <c r="V15683" s="24"/>
      <c r="W15683" s="24"/>
      <c r="X15683" s="24"/>
      <c r="Y15683" s="24"/>
      <c r="Z15683" s="24"/>
      <c r="AA15683" s="24"/>
    </row>
    <row r="15684">
      <c r="A15684" s="24"/>
      <c r="B15684" s="25"/>
      <c r="C15684" s="24"/>
      <c r="D15684" s="26"/>
      <c r="E15684" s="24"/>
      <c r="F15684" s="24"/>
      <c r="G15684" s="24"/>
      <c r="H15684" s="24"/>
      <c r="I15684" s="24"/>
      <c r="J15684" s="24"/>
      <c r="K15684" s="24"/>
      <c r="L15684" s="24"/>
      <c r="M15684" s="24"/>
      <c r="N15684" s="24"/>
      <c r="O15684" s="24"/>
      <c r="P15684" s="24"/>
      <c r="Q15684" s="24"/>
      <c r="R15684" s="24"/>
      <c r="S15684" s="24"/>
      <c r="T15684" s="24"/>
      <c r="U15684" s="24"/>
      <c r="V15684" s="24"/>
      <c r="W15684" s="24"/>
      <c r="X15684" s="24"/>
      <c r="Y15684" s="24"/>
      <c r="Z15684" s="24"/>
      <c r="AA15684" s="24"/>
    </row>
    <row r="15685">
      <c r="A15685" s="24"/>
      <c r="B15685" s="25"/>
      <c r="C15685" s="24"/>
      <c r="D15685" s="26"/>
      <c r="E15685" s="24"/>
      <c r="F15685" s="24"/>
      <c r="G15685" s="24"/>
      <c r="H15685" s="24"/>
      <c r="I15685" s="24"/>
      <c r="J15685" s="24"/>
      <c r="K15685" s="24"/>
      <c r="L15685" s="24"/>
      <c r="M15685" s="24"/>
      <c r="N15685" s="24"/>
      <c r="O15685" s="24"/>
      <c r="P15685" s="24"/>
      <c r="Q15685" s="24"/>
      <c r="R15685" s="24"/>
      <c r="S15685" s="24"/>
      <c r="T15685" s="24"/>
      <c r="U15685" s="24"/>
      <c r="V15685" s="24"/>
      <c r="W15685" s="24"/>
      <c r="X15685" s="24"/>
      <c r="Y15685" s="24"/>
      <c r="Z15685" s="24"/>
      <c r="AA15685" s="24"/>
    </row>
    <row r="15686">
      <c r="A15686" s="24"/>
      <c r="B15686" s="25"/>
      <c r="C15686" s="24"/>
      <c r="D15686" s="26"/>
      <c r="E15686" s="24"/>
      <c r="F15686" s="24"/>
      <c r="G15686" s="24"/>
      <c r="H15686" s="24"/>
      <c r="I15686" s="24"/>
      <c r="J15686" s="24"/>
      <c r="K15686" s="24"/>
      <c r="L15686" s="24"/>
      <c r="M15686" s="24"/>
      <c r="N15686" s="24"/>
      <c r="O15686" s="24"/>
      <c r="P15686" s="24"/>
      <c r="Q15686" s="24"/>
      <c r="R15686" s="24"/>
      <c r="S15686" s="24"/>
      <c r="T15686" s="24"/>
      <c r="U15686" s="24"/>
      <c r="V15686" s="24"/>
      <c r="W15686" s="24"/>
      <c r="X15686" s="24"/>
      <c r="Y15686" s="24"/>
      <c r="Z15686" s="24"/>
      <c r="AA15686" s="24"/>
    </row>
    <row r="15687">
      <c r="A15687" s="24"/>
      <c r="B15687" s="25"/>
      <c r="C15687" s="24"/>
      <c r="D15687" s="26"/>
      <c r="E15687" s="24"/>
      <c r="F15687" s="24"/>
      <c r="G15687" s="24"/>
      <c r="H15687" s="24"/>
      <c r="I15687" s="24"/>
      <c r="J15687" s="24"/>
      <c r="K15687" s="24"/>
      <c r="L15687" s="24"/>
      <c r="M15687" s="24"/>
      <c r="N15687" s="24"/>
      <c r="O15687" s="24"/>
      <c r="P15687" s="24"/>
      <c r="Q15687" s="24"/>
      <c r="R15687" s="24"/>
      <c r="S15687" s="24"/>
      <c r="T15687" s="24"/>
      <c r="U15687" s="24"/>
      <c r="V15687" s="24"/>
      <c r="W15687" s="24"/>
      <c r="X15687" s="24"/>
      <c r="Y15687" s="24"/>
      <c r="Z15687" s="24"/>
      <c r="AA15687" s="24"/>
    </row>
    <row r="15688">
      <c r="A15688" s="24"/>
      <c r="B15688" s="25"/>
      <c r="C15688" s="24"/>
      <c r="D15688" s="26"/>
      <c r="E15688" s="24"/>
      <c r="F15688" s="24"/>
      <c r="G15688" s="24"/>
      <c r="H15688" s="24"/>
      <c r="I15688" s="24"/>
      <c r="J15688" s="24"/>
      <c r="K15688" s="24"/>
      <c r="L15688" s="24"/>
      <c r="M15688" s="24"/>
      <c r="N15688" s="24"/>
      <c r="O15688" s="24"/>
      <c r="P15688" s="24"/>
      <c r="Q15688" s="24"/>
      <c r="R15688" s="24"/>
      <c r="S15688" s="24"/>
      <c r="T15688" s="24"/>
      <c r="U15688" s="24"/>
      <c r="V15688" s="24"/>
      <c r="W15688" s="24"/>
      <c r="X15688" s="24"/>
      <c r="Y15688" s="24"/>
      <c r="Z15688" s="24"/>
      <c r="AA15688" s="24"/>
    </row>
    <row r="15689">
      <c r="A15689" s="24"/>
      <c r="B15689" s="25"/>
      <c r="C15689" s="24"/>
      <c r="D15689" s="26"/>
      <c r="E15689" s="24"/>
      <c r="F15689" s="24"/>
      <c r="G15689" s="24"/>
      <c r="H15689" s="24"/>
      <c r="I15689" s="24"/>
      <c r="J15689" s="24"/>
      <c r="K15689" s="24"/>
      <c r="L15689" s="24"/>
      <c r="M15689" s="24"/>
      <c r="N15689" s="24"/>
      <c r="O15689" s="24"/>
      <c r="P15689" s="24"/>
      <c r="Q15689" s="24"/>
      <c r="R15689" s="24"/>
      <c r="S15689" s="24"/>
      <c r="T15689" s="24"/>
      <c r="U15689" s="24"/>
      <c r="V15689" s="24"/>
      <c r="W15689" s="24"/>
      <c r="X15689" s="24"/>
      <c r="Y15689" s="24"/>
      <c r="Z15689" s="24"/>
      <c r="AA15689" s="24"/>
    </row>
    <row r="15690">
      <c r="A15690" s="24"/>
      <c r="B15690" s="25"/>
      <c r="C15690" s="24"/>
      <c r="D15690" s="26"/>
      <c r="E15690" s="24"/>
      <c r="F15690" s="24"/>
      <c r="G15690" s="24"/>
      <c r="H15690" s="24"/>
      <c r="I15690" s="24"/>
      <c r="J15690" s="24"/>
      <c r="K15690" s="24"/>
      <c r="L15690" s="24"/>
      <c r="M15690" s="24"/>
      <c r="N15690" s="24"/>
      <c r="O15690" s="24"/>
      <c r="P15690" s="24"/>
      <c r="Q15690" s="24"/>
      <c r="R15690" s="24"/>
      <c r="S15690" s="24"/>
      <c r="T15690" s="24"/>
      <c r="U15690" s="24"/>
      <c r="V15690" s="24"/>
      <c r="W15690" s="24"/>
      <c r="X15690" s="24"/>
      <c r="Y15690" s="24"/>
      <c r="Z15690" s="24"/>
      <c r="AA15690" s="24"/>
    </row>
    <row r="15691">
      <c r="A15691" s="24"/>
      <c r="B15691" s="25"/>
      <c r="C15691" s="24"/>
      <c r="D15691" s="26"/>
      <c r="E15691" s="24"/>
      <c r="F15691" s="24"/>
      <c r="G15691" s="24"/>
      <c r="H15691" s="24"/>
      <c r="I15691" s="24"/>
      <c r="J15691" s="24"/>
      <c r="K15691" s="24"/>
      <c r="L15691" s="24"/>
      <c r="M15691" s="24"/>
      <c r="N15691" s="24"/>
      <c r="O15691" s="24"/>
      <c r="P15691" s="24"/>
      <c r="Q15691" s="24"/>
      <c r="R15691" s="24"/>
      <c r="S15691" s="24"/>
      <c r="T15691" s="24"/>
      <c r="U15691" s="24"/>
      <c r="V15691" s="24"/>
      <c r="W15691" s="24"/>
      <c r="X15691" s="24"/>
      <c r="Y15691" s="24"/>
      <c r="Z15691" s="24"/>
      <c r="AA15691" s="24"/>
    </row>
    <row r="15692">
      <c r="A15692" s="24"/>
      <c r="B15692" s="25"/>
      <c r="C15692" s="24"/>
      <c r="D15692" s="26"/>
      <c r="E15692" s="24"/>
      <c r="F15692" s="24"/>
      <c r="G15692" s="24"/>
      <c r="H15692" s="24"/>
      <c r="I15692" s="24"/>
      <c r="J15692" s="24"/>
      <c r="K15692" s="24"/>
      <c r="L15692" s="24"/>
      <c r="M15692" s="24"/>
      <c r="N15692" s="24"/>
      <c r="O15692" s="24"/>
      <c r="P15692" s="24"/>
      <c r="Q15692" s="24"/>
      <c r="R15692" s="24"/>
      <c r="S15692" s="24"/>
      <c r="T15692" s="24"/>
      <c r="U15692" s="24"/>
      <c r="V15692" s="24"/>
      <c r="W15692" s="24"/>
      <c r="X15692" s="24"/>
      <c r="Y15692" s="24"/>
      <c r="Z15692" s="24"/>
      <c r="AA15692" s="24"/>
    </row>
    <row r="15693">
      <c r="A15693" s="24"/>
      <c r="B15693" s="25"/>
      <c r="C15693" s="24"/>
      <c r="D15693" s="26"/>
      <c r="E15693" s="24"/>
      <c r="F15693" s="24"/>
      <c r="G15693" s="24"/>
      <c r="H15693" s="24"/>
      <c r="I15693" s="24"/>
      <c r="J15693" s="24"/>
      <c r="K15693" s="24"/>
      <c r="L15693" s="24"/>
      <c r="M15693" s="24"/>
      <c r="N15693" s="24"/>
      <c r="O15693" s="24"/>
      <c r="P15693" s="24"/>
      <c r="Q15693" s="24"/>
      <c r="R15693" s="24"/>
      <c r="S15693" s="24"/>
      <c r="T15693" s="24"/>
      <c r="U15693" s="24"/>
      <c r="V15693" s="24"/>
      <c r="W15693" s="24"/>
      <c r="X15693" s="24"/>
      <c r="Y15693" s="24"/>
      <c r="Z15693" s="24"/>
      <c r="AA15693" s="24"/>
    </row>
    <row r="15694">
      <c r="A15694" s="24"/>
      <c r="B15694" s="25"/>
      <c r="C15694" s="24"/>
      <c r="D15694" s="26"/>
      <c r="E15694" s="24"/>
      <c r="F15694" s="24"/>
      <c r="G15694" s="24"/>
      <c r="H15694" s="24"/>
      <c r="I15694" s="24"/>
      <c r="J15694" s="24"/>
      <c r="K15694" s="24"/>
      <c r="L15694" s="24"/>
      <c r="M15694" s="24"/>
      <c r="N15694" s="24"/>
      <c r="O15694" s="24"/>
      <c r="P15694" s="24"/>
      <c r="Q15694" s="24"/>
      <c r="R15694" s="24"/>
      <c r="S15694" s="24"/>
      <c r="T15694" s="24"/>
      <c r="U15694" s="24"/>
      <c r="V15694" s="24"/>
      <c r="W15694" s="24"/>
      <c r="X15694" s="24"/>
      <c r="Y15694" s="24"/>
      <c r="Z15694" s="24"/>
      <c r="AA15694" s="24"/>
    </row>
    <row r="15695">
      <c r="A15695" s="24"/>
      <c r="B15695" s="25"/>
      <c r="C15695" s="24"/>
      <c r="D15695" s="26"/>
      <c r="E15695" s="24"/>
      <c r="F15695" s="24"/>
      <c r="G15695" s="24"/>
      <c r="H15695" s="24"/>
      <c r="I15695" s="24"/>
      <c r="J15695" s="24"/>
      <c r="K15695" s="24"/>
      <c r="L15695" s="24"/>
      <c r="M15695" s="24"/>
      <c r="N15695" s="24"/>
      <c r="O15695" s="24"/>
      <c r="P15695" s="24"/>
      <c r="Q15695" s="24"/>
      <c r="R15695" s="24"/>
      <c r="S15695" s="24"/>
      <c r="T15695" s="24"/>
      <c r="U15695" s="24"/>
      <c r="V15695" s="24"/>
      <c r="W15695" s="24"/>
      <c r="X15695" s="24"/>
      <c r="Y15695" s="24"/>
      <c r="Z15695" s="24"/>
      <c r="AA15695" s="24"/>
    </row>
    <row r="15696">
      <c r="A15696" s="24"/>
      <c r="B15696" s="25"/>
      <c r="C15696" s="24"/>
      <c r="D15696" s="26"/>
      <c r="E15696" s="24"/>
      <c r="F15696" s="24"/>
      <c r="G15696" s="24"/>
      <c r="H15696" s="24"/>
      <c r="I15696" s="24"/>
      <c r="J15696" s="24"/>
      <c r="K15696" s="24"/>
      <c r="L15696" s="24"/>
      <c r="M15696" s="24"/>
      <c r="N15696" s="24"/>
      <c r="O15696" s="24"/>
      <c r="P15696" s="24"/>
      <c r="Q15696" s="24"/>
      <c r="R15696" s="24"/>
      <c r="S15696" s="24"/>
      <c r="T15696" s="24"/>
      <c r="U15696" s="24"/>
      <c r="V15696" s="24"/>
      <c r="W15696" s="24"/>
      <c r="X15696" s="24"/>
      <c r="Y15696" s="24"/>
      <c r="Z15696" s="24"/>
      <c r="AA15696" s="24"/>
    </row>
    <row r="15697">
      <c r="A15697" s="24"/>
      <c r="B15697" s="25"/>
      <c r="C15697" s="24"/>
      <c r="D15697" s="26"/>
      <c r="E15697" s="24"/>
      <c r="F15697" s="24"/>
      <c r="G15697" s="24"/>
      <c r="H15697" s="24"/>
      <c r="I15697" s="24"/>
      <c r="J15697" s="24"/>
      <c r="K15697" s="24"/>
      <c r="L15697" s="24"/>
      <c r="M15697" s="24"/>
      <c r="N15697" s="24"/>
      <c r="O15697" s="24"/>
      <c r="P15697" s="24"/>
      <c r="Q15697" s="24"/>
      <c r="R15697" s="24"/>
      <c r="S15697" s="24"/>
      <c r="T15697" s="24"/>
      <c r="U15697" s="24"/>
      <c r="V15697" s="24"/>
      <c r="W15697" s="24"/>
      <c r="X15697" s="24"/>
      <c r="Y15697" s="24"/>
      <c r="Z15697" s="24"/>
      <c r="AA15697" s="24"/>
    </row>
    <row r="15698">
      <c r="A15698" s="24"/>
      <c r="B15698" s="25"/>
      <c r="C15698" s="24"/>
      <c r="D15698" s="26"/>
      <c r="E15698" s="24"/>
      <c r="F15698" s="24"/>
      <c r="G15698" s="24"/>
      <c r="H15698" s="24"/>
      <c r="I15698" s="24"/>
      <c r="J15698" s="24"/>
      <c r="K15698" s="24"/>
      <c r="L15698" s="24"/>
      <c r="M15698" s="24"/>
      <c r="N15698" s="24"/>
      <c r="O15698" s="24"/>
      <c r="P15698" s="24"/>
      <c r="Q15698" s="24"/>
      <c r="R15698" s="24"/>
      <c r="S15698" s="24"/>
      <c r="T15698" s="24"/>
      <c r="U15698" s="24"/>
      <c r="V15698" s="24"/>
      <c r="W15698" s="24"/>
      <c r="X15698" s="24"/>
      <c r="Y15698" s="24"/>
      <c r="Z15698" s="24"/>
      <c r="AA15698" s="24"/>
    </row>
    <row r="15699">
      <c r="A15699" s="24"/>
      <c r="B15699" s="25"/>
      <c r="C15699" s="24"/>
      <c r="D15699" s="26"/>
      <c r="E15699" s="24"/>
      <c r="F15699" s="24"/>
      <c r="G15699" s="24"/>
      <c r="H15699" s="24"/>
      <c r="I15699" s="24"/>
      <c r="J15699" s="24"/>
      <c r="K15699" s="24"/>
      <c r="L15699" s="24"/>
      <c r="M15699" s="24"/>
      <c r="N15699" s="24"/>
      <c r="O15699" s="24"/>
      <c r="P15699" s="24"/>
      <c r="Q15699" s="24"/>
      <c r="R15699" s="24"/>
      <c r="S15699" s="24"/>
      <c r="T15699" s="24"/>
      <c r="U15699" s="24"/>
      <c r="V15699" s="24"/>
      <c r="W15699" s="24"/>
      <c r="X15699" s="24"/>
      <c r="Y15699" s="24"/>
      <c r="Z15699" s="24"/>
      <c r="AA15699" s="24"/>
    </row>
    <row r="15700">
      <c r="A15700" s="24"/>
      <c r="B15700" s="25"/>
      <c r="C15700" s="24"/>
      <c r="D15700" s="26"/>
      <c r="E15700" s="24"/>
      <c r="F15700" s="24"/>
      <c r="G15700" s="24"/>
      <c r="H15700" s="24"/>
      <c r="I15700" s="24"/>
      <c r="J15700" s="24"/>
      <c r="K15700" s="24"/>
      <c r="L15700" s="24"/>
      <c r="M15700" s="24"/>
      <c r="N15700" s="24"/>
      <c r="O15700" s="24"/>
      <c r="P15700" s="24"/>
      <c r="Q15700" s="24"/>
      <c r="R15700" s="24"/>
      <c r="S15700" s="24"/>
      <c r="T15700" s="24"/>
      <c r="U15700" s="24"/>
      <c r="V15700" s="24"/>
      <c r="W15700" s="24"/>
      <c r="X15700" s="24"/>
      <c r="Y15700" s="24"/>
      <c r="Z15700" s="24"/>
      <c r="AA15700" s="24"/>
    </row>
    <row r="15701">
      <c r="A15701" s="24"/>
      <c r="B15701" s="25"/>
      <c r="C15701" s="24"/>
      <c r="D15701" s="26"/>
      <c r="E15701" s="24"/>
      <c r="F15701" s="24"/>
      <c r="G15701" s="24"/>
      <c r="H15701" s="24"/>
      <c r="I15701" s="24"/>
      <c r="J15701" s="24"/>
      <c r="K15701" s="24"/>
      <c r="L15701" s="24"/>
      <c r="M15701" s="24"/>
      <c r="N15701" s="24"/>
      <c r="O15701" s="24"/>
      <c r="P15701" s="24"/>
      <c r="Q15701" s="24"/>
      <c r="R15701" s="24"/>
      <c r="S15701" s="24"/>
      <c r="T15701" s="24"/>
      <c r="U15701" s="24"/>
      <c r="V15701" s="24"/>
      <c r="W15701" s="24"/>
      <c r="X15701" s="24"/>
      <c r="Y15701" s="24"/>
      <c r="Z15701" s="24"/>
      <c r="AA15701" s="24"/>
    </row>
    <row r="15702">
      <c r="A15702" s="24"/>
      <c r="B15702" s="25"/>
      <c r="C15702" s="24"/>
      <c r="D15702" s="26"/>
      <c r="E15702" s="24"/>
      <c r="F15702" s="24"/>
      <c r="G15702" s="24"/>
      <c r="H15702" s="24"/>
      <c r="I15702" s="24"/>
      <c r="J15702" s="24"/>
      <c r="K15702" s="24"/>
      <c r="L15702" s="24"/>
      <c r="M15702" s="24"/>
      <c r="N15702" s="24"/>
      <c r="O15702" s="24"/>
      <c r="P15702" s="24"/>
      <c r="Q15702" s="24"/>
      <c r="R15702" s="24"/>
      <c r="S15702" s="24"/>
      <c r="T15702" s="24"/>
      <c r="U15702" s="24"/>
      <c r="V15702" s="24"/>
      <c r="W15702" s="24"/>
      <c r="X15702" s="24"/>
      <c r="Y15702" s="24"/>
      <c r="Z15702" s="24"/>
      <c r="AA15702" s="24"/>
    </row>
    <row r="15703">
      <c r="A15703" s="24"/>
      <c r="B15703" s="25"/>
      <c r="C15703" s="24"/>
      <c r="D15703" s="26"/>
      <c r="E15703" s="24"/>
      <c r="F15703" s="24"/>
      <c r="G15703" s="24"/>
      <c r="H15703" s="24"/>
      <c r="I15703" s="24"/>
      <c r="J15703" s="24"/>
      <c r="K15703" s="24"/>
      <c r="L15703" s="24"/>
      <c r="M15703" s="24"/>
      <c r="N15703" s="24"/>
      <c r="O15703" s="24"/>
      <c r="P15703" s="24"/>
      <c r="Q15703" s="24"/>
      <c r="R15703" s="24"/>
      <c r="S15703" s="24"/>
      <c r="T15703" s="24"/>
      <c r="U15703" s="24"/>
      <c r="V15703" s="24"/>
      <c r="W15703" s="24"/>
      <c r="X15703" s="24"/>
      <c r="Y15703" s="24"/>
      <c r="Z15703" s="24"/>
      <c r="AA15703" s="24"/>
    </row>
    <row r="15704">
      <c r="A15704" s="24"/>
      <c r="B15704" s="25"/>
      <c r="C15704" s="24"/>
      <c r="D15704" s="26"/>
      <c r="E15704" s="24"/>
      <c r="F15704" s="24"/>
      <c r="G15704" s="24"/>
      <c r="H15704" s="24"/>
      <c r="I15704" s="24"/>
      <c r="J15704" s="24"/>
      <c r="K15704" s="24"/>
      <c r="L15704" s="24"/>
      <c r="M15704" s="24"/>
      <c r="N15704" s="24"/>
      <c r="O15704" s="24"/>
      <c r="P15704" s="24"/>
      <c r="Q15704" s="24"/>
      <c r="R15704" s="24"/>
      <c r="S15704" s="24"/>
      <c r="T15704" s="24"/>
      <c r="U15704" s="24"/>
      <c r="V15704" s="24"/>
      <c r="W15704" s="24"/>
      <c r="X15704" s="24"/>
      <c r="Y15704" s="24"/>
      <c r="Z15704" s="24"/>
      <c r="AA15704" s="24"/>
    </row>
    <row r="15705">
      <c r="A15705" s="24"/>
      <c r="B15705" s="25"/>
      <c r="C15705" s="24"/>
      <c r="D15705" s="26"/>
      <c r="E15705" s="24"/>
      <c r="F15705" s="24"/>
      <c r="G15705" s="24"/>
      <c r="H15705" s="24"/>
      <c r="I15705" s="24"/>
      <c r="J15705" s="24"/>
      <c r="K15705" s="24"/>
      <c r="L15705" s="24"/>
      <c r="M15705" s="24"/>
      <c r="N15705" s="24"/>
      <c r="O15705" s="24"/>
      <c r="P15705" s="24"/>
      <c r="Q15705" s="24"/>
      <c r="R15705" s="24"/>
      <c r="S15705" s="24"/>
      <c r="T15705" s="24"/>
      <c r="U15705" s="24"/>
      <c r="V15705" s="24"/>
      <c r="W15705" s="24"/>
      <c r="X15705" s="24"/>
      <c r="Y15705" s="24"/>
      <c r="Z15705" s="24"/>
      <c r="AA15705" s="24"/>
    </row>
    <row r="15706">
      <c r="A15706" s="24"/>
      <c r="B15706" s="25"/>
      <c r="C15706" s="24"/>
      <c r="D15706" s="26"/>
      <c r="E15706" s="24"/>
      <c r="F15706" s="24"/>
      <c r="G15706" s="24"/>
      <c r="H15706" s="24"/>
      <c r="I15706" s="24"/>
      <c r="J15706" s="24"/>
      <c r="K15706" s="24"/>
      <c r="L15706" s="24"/>
      <c r="M15706" s="24"/>
      <c r="N15706" s="24"/>
      <c r="O15706" s="24"/>
      <c r="P15706" s="24"/>
      <c r="Q15706" s="24"/>
      <c r="R15706" s="24"/>
      <c r="S15706" s="24"/>
      <c r="T15706" s="24"/>
      <c r="U15706" s="24"/>
      <c r="V15706" s="24"/>
      <c r="W15706" s="24"/>
      <c r="X15706" s="24"/>
      <c r="Y15706" s="24"/>
      <c r="Z15706" s="24"/>
      <c r="AA15706" s="24"/>
    </row>
    <row r="15707">
      <c r="A15707" s="24"/>
      <c r="B15707" s="25"/>
      <c r="C15707" s="24"/>
      <c r="D15707" s="26"/>
      <c r="E15707" s="24"/>
      <c r="F15707" s="24"/>
      <c r="G15707" s="24"/>
      <c r="H15707" s="24"/>
      <c r="I15707" s="24"/>
      <c r="J15707" s="24"/>
      <c r="K15707" s="24"/>
      <c r="L15707" s="24"/>
      <c r="M15707" s="24"/>
      <c r="N15707" s="24"/>
      <c r="O15707" s="24"/>
      <c r="P15707" s="24"/>
      <c r="Q15707" s="24"/>
      <c r="R15707" s="24"/>
      <c r="S15707" s="24"/>
      <c r="T15707" s="24"/>
      <c r="U15707" s="24"/>
      <c r="V15707" s="24"/>
      <c r="W15707" s="24"/>
      <c r="X15707" s="24"/>
      <c r="Y15707" s="24"/>
      <c r="Z15707" s="24"/>
      <c r="AA15707" s="24"/>
    </row>
    <row r="15708">
      <c r="A15708" s="24"/>
      <c r="B15708" s="25"/>
      <c r="C15708" s="24"/>
      <c r="D15708" s="26"/>
      <c r="E15708" s="24"/>
      <c r="F15708" s="24"/>
      <c r="G15708" s="24"/>
      <c r="H15708" s="24"/>
      <c r="I15708" s="24"/>
      <c r="J15708" s="24"/>
      <c r="K15708" s="24"/>
      <c r="L15708" s="24"/>
      <c r="M15708" s="24"/>
      <c r="N15708" s="24"/>
      <c r="O15708" s="24"/>
      <c r="P15708" s="24"/>
      <c r="Q15708" s="24"/>
      <c r="R15708" s="24"/>
      <c r="S15708" s="24"/>
      <c r="T15708" s="24"/>
      <c r="U15708" s="24"/>
      <c r="V15708" s="24"/>
      <c r="W15708" s="24"/>
      <c r="X15708" s="24"/>
      <c r="Y15708" s="24"/>
      <c r="Z15708" s="24"/>
      <c r="AA15708" s="24"/>
    </row>
    <row r="15709">
      <c r="A15709" s="24"/>
      <c r="B15709" s="25"/>
      <c r="C15709" s="24"/>
      <c r="D15709" s="26"/>
      <c r="E15709" s="24"/>
      <c r="F15709" s="24"/>
      <c r="G15709" s="24"/>
      <c r="H15709" s="24"/>
      <c r="I15709" s="24"/>
      <c r="J15709" s="24"/>
      <c r="K15709" s="24"/>
      <c r="L15709" s="24"/>
      <c r="M15709" s="24"/>
      <c r="N15709" s="24"/>
      <c r="O15709" s="24"/>
      <c r="P15709" s="24"/>
      <c r="Q15709" s="24"/>
      <c r="R15709" s="24"/>
      <c r="S15709" s="24"/>
      <c r="T15709" s="24"/>
      <c r="U15709" s="24"/>
      <c r="V15709" s="24"/>
      <c r="W15709" s="24"/>
      <c r="X15709" s="24"/>
      <c r="Y15709" s="24"/>
      <c r="Z15709" s="24"/>
      <c r="AA15709" s="24"/>
    </row>
    <row r="15710">
      <c r="A15710" s="24"/>
      <c r="B15710" s="25"/>
      <c r="C15710" s="24"/>
      <c r="D15710" s="26"/>
      <c r="E15710" s="24"/>
      <c r="F15710" s="24"/>
      <c r="G15710" s="24"/>
      <c r="H15710" s="24"/>
      <c r="I15710" s="24"/>
      <c r="J15710" s="24"/>
      <c r="K15710" s="24"/>
      <c r="L15710" s="24"/>
      <c r="M15710" s="24"/>
      <c r="N15710" s="24"/>
      <c r="O15710" s="24"/>
      <c r="P15710" s="24"/>
      <c r="Q15710" s="24"/>
      <c r="R15710" s="24"/>
      <c r="S15710" s="24"/>
      <c r="T15710" s="24"/>
      <c r="U15710" s="24"/>
      <c r="V15710" s="24"/>
      <c r="W15710" s="24"/>
      <c r="X15710" s="24"/>
      <c r="Y15710" s="24"/>
      <c r="Z15710" s="24"/>
      <c r="AA15710" s="24"/>
    </row>
    <row r="15711">
      <c r="A15711" s="24"/>
      <c r="B15711" s="25"/>
      <c r="C15711" s="24"/>
      <c r="D15711" s="26"/>
      <c r="E15711" s="24"/>
      <c r="F15711" s="24"/>
      <c r="G15711" s="24"/>
      <c r="H15711" s="24"/>
      <c r="I15711" s="24"/>
      <c r="J15711" s="24"/>
      <c r="K15711" s="24"/>
      <c r="L15711" s="24"/>
      <c r="M15711" s="24"/>
      <c r="N15711" s="24"/>
      <c r="O15711" s="24"/>
      <c r="P15711" s="24"/>
      <c r="Q15711" s="24"/>
      <c r="R15711" s="24"/>
      <c r="S15711" s="24"/>
      <c r="T15711" s="24"/>
      <c r="U15711" s="24"/>
      <c r="V15711" s="24"/>
      <c r="W15711" s="24"/>
      <c r="X15711" s="24"/>
      <c r="Y15711" s="24"/>
      <c r="Z15711" s="24"/>
      <c r="AA15711" s="24"/>
    </row>
    <row r="15712">
      <c r="A15712" s="24"/>
      <c r="B15712" s="25"/>
      <c r="C15712" s="24"/>
      <c r="D15712" s="26"/>
      <c r="E15712" s="24"/>
      <c r="F15712" s="24"/>
      <c r="G15712" s="24"/>
      <c r="H15712" s="24"/>
      <c r="I15712" s="24"/>
      <c r="J15712" s="24"/>
      <c r="K15712" s="24"/>
      <c r="L15712" s="24"/>
      <c r="M15712" s="24"/>
      <c r="N15712" s="24"/>
      <c r="O15712" s="24"/>
      <c r="P15712" s="24"/>
      <c r="Q15712" s="24"/>
      <c r="R15712" s="24"/>
      <c r="S15712" s="24"/>
      <c r="T15712" s="24"/>
      <c r="U15712" s="24"/>
      <c r="V15712" s="24"/>
      <c r="W15712" s="24"/>
      <c r="X15712" s="24"/>
      <c r="Y15712" s="24"/>
      <c r="Z15712" s="24"/>
      <c r="AA15712" s="24"/>
    </row>
    <row r="15713">
      <c r="A15713" s="24"/>
      <c r="B15713" s="25"/>
      <c r="C15713" s="24"/>
      <c r="D15713" s="26"/>
      <c r="E15713" s="24"/>
      <c r="F15713" s="24"/>
      <c r="G15713" s="24"/>
      <c r="H15713" s="24"/>
      <c r="I15713" s="24"/>
      <c r="J15713" s="24"/>
      <c r="K15713" s="24"/>
      <c r="L15713" s="24"/>
      <c r="M15713" s="24"/>
      <c r="N15713" s="24"/>
      <c r="O15713" s="24"/>
      <c r="P15713" s="24"/>
      <c r="Q15713" s="24"/>
      <c r="R15713" s="24"/>
      <c r="S15713" s="24"/>
      <c r="T15713" s="24"/>
      <c r="U15713" s="24"/>
      <c r="V15713" s="24"/>
      <c r="W15713" s="24"/>
      <c r="X15713" s="24"/>
      <c r="Y15713" s="24"/>
      <c r="Z15713" s="24"/>
      <c r="AA15713" s="24"/>
    </row>
    <row r="15714">
      <c r="A15714" s="24"/>
      <c r="B15714" s="25"/>
      <c r="C15714" s="24"/>
      <c r="D15714" s="26"/>
      <c r="E15714" s="24"/>
      <c r="F15714" s="24"/>
      <c r="G15714" s="24"/>
      <c r="H15714" s="24"/>
      <c r="I15714" s="24"/>
      <c r="J15714" s="24"/>
      <c r="K15714" s="24"/>
      <c r="L15714" s="24"/>
      <c r="M15714" s="24"/>
      <c r="N15714" s="24"/>
      <c r="O15714" s="24"/>
      <c r="P15714" s="24"/>
      <c r="Q15714" s="24"/>
      <c r="R15714" s="24"/>
      <c r="S15714" s="24"/>
      <c r="T15714" s="24"/>
      <c r="U15714" s="24"/>
      <c r="V15714" s="24"/>
      <c r="W15714" s="24"/>
      <c r="X15714" s="24"/>
      <c r="Y15714" s="24"/>
      <c r="Z15714" s="24"/>
      <c r="AA15714" s="24"/>
    </row>
    <row r="15715">
      <c r="A15715" s="24"/>
      <c r="B15715" s="25"/>
      <c r="C15715" s="24"/>
      <c r="D15715" s="26"/>
      <c r="E15715" s="24"/>
      <c r="F15715" s="24"/>
      <c r="G15715" s="24"/>
      <c r="H15715" s="24"/>
      <c r="I15715" s="24"/>
      <c r="J15715" s="24"/>
      <c r="K15715" s="24"/>
      <c r="L15715" s="24"/>
      <c r="M15715" s="24"/>
      <c r="N15715" s="24"/>
      <c r="O15715" s="24"/>
      <c r="P15715" s="24"/>
      <c r="Q15715" s="24"/>
      <c r="R15715" s="24"/>
      <c r="S15715" s="24"/>
      <c r="T15715" s="24"/>
      <c r="U15715" s="24"/>
      <c r="V15715" s="24"/>
      <c r="W15715" s="24"/>
      <c r="X15715" s="24"/>
      <c r="Y15715" s="24"/>
      <c r="Z15715" s="24"/>
      <c r="AA15715" s="24"/>
    </row>
    <row r="15716">
      <c r="A15716" s="24"/>
      <c r="B15716" s="25"/>
      <c r="C15716" s="24"/>
      <c r="D15716" s="26"/>
      <c r="E15716" s="24"/>
      <c r="F15716" s="24"/>
      <c r="G15716" s="24"/>
      <c r="H15716" s="24"/>
      <c r="I15716" s="24"/>
      <c r="J15716" s="24"/>
      <c r="K15716" s="24"/>
      <c r="L15716" s="24"/>
      <c r="M15716" s="24"/>
      <c r="N15716" s="24"/>
      <c r="O15716" s="24"/>
      <c r="P15716" s="24"/>
      <c r="Q15716" s="24"/>
      <c r="R15716" s="24"/>
      <c r="S15716" s="24"/>
      <c r="T15716" s="24"/>
      <c r="U15716" s="24"/>
      <c r="V15716" s="24"/>
      <c r="W15716" s="24"/>
      <c r="X15716" s="24"/>
      <c r="Y15716" s="24"/>
      <c r="Z15716" s="24"/>
      <c r="AA15716" s="24"/>
    </row>
    <row r="15717">
      <c r="A15717" s="24"/>
      <c r="B15717" s="25"/>
      <c r="C15717" s="24"/>
      <c r="D15717" s="26"/>
      <c r="E15717" s="24"/>
      <c r="F15717" s="24"/>
      <c r="G15717" s="24"/>
      <c r="H15717" s="24"/>
      <c r="I15717" s="24"/>
      <c r="J15717" s="24"/>
      <c r="K15717" s="24"/>
      <c r="L15717" s="24"/>
      <c r="M15717" s="24"/>
      <c r="N15717" s="24"/>
      <c r="O15717" s="24"/>
      <c r="P15717" s="24"/>
      <c r="Q15717" s="24"/>
      <c r="R15717" s="24"/>
      <c r="S15717" s="24"/>
      <c r="T15717" s="24"/>
      <c r="U15717" s="24"/>
      <c r="V15717" s="24"/>
      <c r="W15717" s="24"/>
      <c r="X15717" s="24"/>
      <c r="Y15717" s="24"/>
      <c r="Z15717" s="24"/>
      <c r="AA15717" s="24"/>
    </row>
    <row r="15718">
      <c r="A15718" s="24"/>
      <c r="B15718" s="25"/>
      <c r="C15718" s="24"/>
      <c r="D15718" s="26"/>
      <c r="E15718" s="24"/>
      <c r="F15718" s="24"/>
      <c r="G15718" s="24"/>
      <c r="H15718" s="24"/>
      <c r="I15718" s="24"/>
      <c r="J15718" s="24"/>
      <c r="K15718" s="24"/>
      <c r="L15718" s="24"/>
      <c r="M15718" s="24"/>
      <c r="N15718" s="24"/>
      <c r="O15718" s="24"/>
      <c r="P15718" s="24"/>
      <c r="Q15718" s="24"/>
      <c r="R15718" s="24"/>
      <c r="S15718" s="24"/>
      <c r="T15718" s="24"/>
      <c r="U15718" s="24"/>
      <c r="V15718" s="24"/>
      <c r="W15718" s="24"/>
      <c r="X15718" s="24"/>
      <c r="Y15718" s="24"/>
      <c r="Z15718" s="24"/>
      <c r="AA15718" s="24"/>
    </row>
    <row r="15719">
      <c r="A15719" s="24"/>
      <c r="B15719" s="25"/>
      <c r="C15719" s="24"/>
      <c r="D15719" s="26"/>
      <c r="E15719" s="24"/>
      <c r="F15719" s="24"/>
      <c r="G15719" s="24"/>
      <c r="H15719" s="24"/>
      <c r="I15719" s="24"/>
      <c r="J15719" s="24"/>
      <c r="K15719" s="24"/>
      <c r="L15719" s="24"/>
      <c r="M15719" s="24"/>
      <c r="N15719" s="24"/>
      <c r="O15719" s="24"/>
      <c r="P15719" s="24"/>
      <c r="Q15719" s="24"/>
      <c r="R15719" s="24"/>
      <c r="S15719" s="24"/>
      <c r="T15719" s="24"/>
      <c r="U15719" s="24"/>
      <c r="V15719" s="24"/>
      <c r="W15719" s="24"/>
      <c r="X15719" s="24"/>
      <c r="Y15719" s="24"/>
      <c r="Z15719" s="24"/>
      <c r="AA15719" s="24"/>
    </row>
    <row r="15720">
      <c r="A15720" s="24"/>
      <c r="B15720" s="25"/>
      <c r="C15720" s="24"/>
      <c r="D15720" s="26"/>
      <c r="E15720" s="24"/>
      <c r="F15720" s="24"/>
      <c r="G15720" s="24"/>
      <c r="H15720" s="24"/>
      <c r="I15720" s="24"/>
      <c r="J15720" s="24"/>
      <c r="K15720" s="24"/>
      <c r="L15720" s="24"/>
      <c r="M15720" s="24"/>
      <c r="N15720" s="24"/>
      <c r="O15720" s="24"/>
      <c r="P15720" s="24"/>
      <c r="Q15720" s="24"/>
      <c r="R15720" s="24"/>
      <c r="S15720" s="24"/>
      <c r="T15720" s="24"/>
      <c r="U15720" s="24"/>
      <c r="V15720" s="24"/>
      <c r="W15720" s="24"/>
      <c r="X15720" s="24"/>
      <c r="Y15720" s="24"/>
      <c r="Z15720" s="24"/>
      <c r="AA15720" s="24"/>
    </row>
    <row r="15721">
      <c r="A15721" s="24"/>
      <c r="B15721" s="25"/>
      <c r="C15721" s="24"/>
      <c r="D15721" s="26"/>
      <c r="E15721" s="24"/>
      <c r="F15721" s="24"/>
      <c r="G15721" s="24"/>
      <c r="H15721" s="24"/>
      <c r="I15721" s="24"/>
      <c r="J15721" s="24"/>
      <c r="K15721" s="24"/>
      <c r="L15721" s="24"/>
      <c r="M15721" s="24"/>
      <c r="N15721" s="24"/>
      <c r="O15721" s="24"/>
      <c r="P15721" s="24"/>
      <c r="Q15721" s="24"/>
      <c r="R15721" s="24"/>
      <c r="S15721" s="24"/>
      <c r="T15721" s="24"/>
      <c r="U15721" s="24"/>
      <c r="V15721" s="24"/>
      <c r="W15721" s="24"/>
      <c r="X15721" s="24"/>
      <c r="Y15721" s="24"/>
      <c r="Z15721" s="24"/>
      <c r="AA15721" s="24"/>
    </row>
    <row r="15722">
      <c r="A15722" s="24"/>
      <c r="B15722" s="25"/>
      <c r="C15722" s="24"/>
      <c r="D15722" s="26"/>
      <c r="E15722" s="24"/>
      <c r="F15722" s="24"/>
      <c r="G15722" s="24"/>
      <c r="H15722" s="24"/>
      <c r="I15722" s="24"/>
      <c r="J15722" s="24"/>
      <c r="K15722" s="24"/>
      <c r="L15722" s="24"/>
      <c r="M15722" s="24"/>
      <c r="N15722" s="24"/>
      <c r="O15722" s="24"/>
      <c r="P15722" s="24"/>
      <c r="Q15722" s="24"/>
      <c r="R15722" s="24"/>
      <c r="S15722" s="24"/>
      <c r="T15722" s="24"/>
      <c r="U15722" s="24"/>
      <c r="V15722" s="24"/>
      <c r="W15722" s="24"/>
      <c r="X15722" s="24"/>
      <c r="Y15722" s="24"/>
      <c r="Z15722" s="24"/>
      <c r="AA15722" s="24"/>
    </row>
    <row r="15723">
      <c r="A15723" s="24"/>
      <c r="B15723" s="25"/>
      <c r="C15723" s="24"/>
      <c r="D15723" s="26"/>
      <c r="E15723" s="24"/>
      <c r="F15723" s="24"/>
      <c r="G15723" s="24"/>
      <c r="H15723" s="24"/>
      <c r="I15723" s="24"/>
      <c r="J15723" s="24"/>
      <c r="K15723" s="24"/>
      <c r="L15723" s="24"/>
      <c r="M15723" s="24"/>
      <c r="N15723" s="24"/>
      <c r="O15723" s="24"/>
      <c r="P15723" s="24"/>
      <c r="Q15723" s="24"/>
      <c r="R15723" s="24"/>
      <c r="S15723" s="24"/>
      <c r="T15723" s="24"/>
      <c r="U15723" s="24"/>
      <c r="V15723" s="24"/>
      <c r="W15723" s="24"/>
      <c r="X15723" s="24"/>
      <c r="Y15723" s="24"/>
      <c r="Z15723" s="24"/>
      <c r="AA15723" s="24"/>
    </row>
    <row r="15724">
      <c r="A15724" s="24"/>
      <c r="B15724" s="25"/>
      <c r="C15724" s="24"/>
      <c r="D15724" s="26"/>
      <c r="E15724" s="24"/>
      <c r="F15724" s="24"/>
      <c r="G15724" s="24"/>
      <c r="H15724" s="24"/>
      <c r="I15724" s="24"/>
      <c r="J15724" s="24"/>
      <c r="K15724" s="24"/>
      <c r="L15724" s="24"/>
      <c r="M15724" s="24"/>
      <c r="N15724" s="24"/>
      <c r="O15724" s="24"/>
      <c r="P15724" s="24"/>
      <c r="Q15724" s="24"/>
      <c r="R15724" s="24"/>
      <c r="S15724" s="24"/>
      <c r="T15724" s="24"/>
      <c r="U15724" s="24"/>
      <c r="V15724" s="24"/>
      <c r="W15724" s="24"/>
      <c r="X15724" s="24"/>
      <c r="Y15724" s="24"/>
      <c r="Z15724" s="24"/>
      <c r="AA15724" s="24"/>
    </row>
    <row r="15725">
      <c r="A15725" s="24"/>
      <c r="B15725" s="25"/>
      <c r="C15725" s="24"/>
      <c r="D15725" s="26"/>
      <c r="E15725" s="24"/>
      <c r="F15725" s="24"/>
      <c r="G15725" s="24"/>
      <c r="H15725" s="24"/>
      <c r="I15725" s="24"/>
      <c r="J15725" s="24"/>
      <c r="K15725" s="24"/>
      <c r="L15725" s="24"/>
      <c r="M15725" s="24"/>
      <c r="N15725" s="24"/>
      <c r="O15725" s="24"/>
      <c r="P15725" s="24"/>
      <c r="Q15725" s="24"/>
      <c r="R15725" s="24"/>
      <c r="S15725" s="24"/>
      <c r="T15725" s="24"/>
      <c r="U15725" s="24"/>
      <c r="V15725" s="24"/>
      <c r="W15725" s="24"/>
      <c r="X15725" s="24"/>
      <c r="Y15725" s="24"/>
      <c r="Z15725" s="24"/>
      <c r="AA15725" s="24"/>
    </row>
    <row r="15726">
      <c r="A15726" s="24"/>
      <c r="B15726" s="25"/>
      <c r="C15726" s="24"/>
      <c r="D15726" s="26"/>
      <c r="E15726" s="24"/>
      <c r="F15726" s="24"/>
      <c r="G15726" s="24"/>
      <c r="H15726" s="24"/>
      <c r="I15726" s="24"/>
      <c r="J15726" s="24"/>
      <c r="K15726" s="24"/>
      <c r="L15726" s="24"/>
      <c r="M15726" s="24"/>
      <c r="N15726" s="24"/>
      <c r="O15726" s="24"/>
      <c r="P15726" s="24"/>
      <c r="Q15726" s="24"/>
      <c r="R15726" s="24"/>
      <c r="S15726" s="24"/>
      <c r="T15726" s="24"/>
      <c r="U15726" s="24"/>
      <c r="V15726" s="24"/>
      <c r="W15726" s="24"/>
      <c r="X15726" s="24"/>
      <c r="Y15726" s="24"/>
      <c r="Z15726" s="24"/>
      <c r="AA15726" s="24"/>
    </row>
    <row r="15727">
      <c r="A15727" s="24"/>
      <c r="B15727" s="25"/>
      <c r="C15727" s="24"/>
      <c r="D15727" s="26"/>
      <c r="E15727" s="24"/>
      <c r="F15727" s="24"/>
      <c r="G15727" s="24"/>
      <c r="H15727" s="24"/>
      <c r="I15727" s="24"/>
      <c r="J15727" s="24"/>
      <c r="K15727" s="24"/>
      <c r="L15727" s="24"/>
      <c r="M15727" s="24"/>
      <c r="N15727" s="24"/>
      <c r="O15727" s="24"/>
      <c r="P15727" s="24"/>
      <c r="Q15727" s="24"/>
      <c r="R15727" s="24"/>
      <c r="S15727" s="24"/>
      <c r="T15727" s="24"/>
      <c r="U15727" s="24"/>
      <c r="V15727" s="24"/>
      <c r="W15727" s="24"/>
      <c r="X15727" s="24"/>
      <c r="Y15727" s="24"/>
      <c r="Z15727" s="24"/>
      <c r="AA15727" s="24"/>
    </row>
    <row r="15728">
      <c r="A15728" s="24"/>
      <c r="B15728" s="25"/>
      <c r="C15728" s="24"/>
      <c r="D15728" s="26"/>
      <c r="E15728" s="24"/>
      <c r="F15728" s="24"/>
      <c r="G15728" s="24"/>
      <c r="H15728" s="24"/>
      <c r="I15728" s="24"/>
      <c r="J15728" s="24"/>
      <c r="K15728" s="24"/>
      <c r="L15728" s="24"/>
      <c r="M15728" s="24"/>
      <c r="N15728" s="24"/>
      <c r="O15728" s="24"/>
      <c r="P15728" s="24"/>
      <c r="Q15728" s="24"/>
      <c r="R15728" s="24"/>
      <c r="S15728" s="24"/>
      <c r="T15728" s="24"/>
      <c r="U15728" s="24"/>
      <c r="V15728" s="24"/>
      <c r="W15728" s="24"/>
      <c r="X15728" s="24"/>
      <c r="Y15728" s="24"/>
      <c r="Z15728" s="24"/>
      <c r="AA15728" s="24"/>
    </row>
    <row r="15729">
      <c r="A15729" s="24"/>
      <c r="B15729" s="25"/>
      <c r="C15729" s="24"/>
      <c r="D15729" s="26"/>
      <c r="E15729" s="24"/>
      <c r="F15729" s="24"/>
      <c r="G15729" s="24"/>
      <c r="H15729" s="24"/>
      <c r="I15729" s="24"/>
      <c r="J15729" s="24"/>
      <c r="K15729" s="24"/>
      <c r="L15729" s="24"/>
      <c r="M15729" s="24"/>
      <c r="N15729" s="24"/>
      <c r="O15729" s="24"/>
      <c r="P15729" s="24"/>
      <c r="Q15729" s="24"/>
      <c r="R15729" s="24"/>
      <c r="S15729" s="24"/>
      <c r="T15729" s="24"/>
      <c r="U15729" s="24"/>
      <c r="V15729" s="24"/>
      <c r="W15729" s="24"/>
      <c r="X15729" s="24"/>
      <c r="Y15729" s="24"/>
      <c r="Z15729" s="24"/>
      <c r="AA15729" s="24"/>
    </row>
    <row r="15730">
      <c r="A15730" s="24"/>
      <c r="B15730" s="25"/>
      <c r="C15730" s="24"/>
      <c r="D15730" s="26"/>
      <c r="E15730" s="24"/>
      <c r="F15730" s="24"/>
      <c r="G15730" s="24"/>
      <c r="H15730" s="24"/>
      <c r="I15730" s="24"/>
      <c r="J15730" s="24"/>
      <c r="K15730" s="24"/>
      <c r="L15730" s="24"/>
      <c r="M15730" s="24"/>
      <c r="N15730" s="24"/>
      <c r="O15730" s="24"/>
      <c r="P15730" s="24"/>
      <c r="Q15730" s="24"/>
      <c r="R15730" s="24"/>
      <c r="S15730" s="24"/>
      <c r="T15730" s="24"/>
      <c r="U15730" s="24"/>
      <c r="V15730" s="24"/>
      <c r="W15730" s="24"/>
      <c r="X15730" s="24"/>
      <c r="Y15730" s="24"/>
      <c r="Z15730" s="24"/>
      <c r="AA15730" s="24"/>
    </row>
    <row r="15731">
      <c r="A15731" s="24"/>
      <c r="B15731" s="25"/>
      <c r="C15731" s="24"/>
      <c r="D15731" s="26"/>
      <c r="E15731" s="24"/>
      <c r="F15731" s="24"/>
      <c r="G15731" s="24"/>
      <c r="H15731" s="24"/>
      <c r="I15731" s="24"/>
      <c r="J15731" s="24"/>
      <c r="K15731" s="24"/>
      <c r="L15731" s="24"/>
      <c r="M15731" s="24"/>
      <c r="N15731" s="24"/>
      <c r="O15731" s="24"/>
      <c r="P15731" s="24"/>
      <c r="Q15731" s="24"/>
      <c r="R15731" s="24"/>
      <c r="S15731" s="24"/>
      <c r="T15731" s="24"/>
      <c r="U15731" s="24"/>
      <c r="V15731" s="24"/>
      <c r="W15731" s="24"/>
      <c r="X15731" s="24"/>
      <c r="Y15731" s="24"/>
      <c r="Z15731" s="24"/>
      <c r="AA15731" s="24"/>
    </row>
    <row r="15732">
      <c r="A15732" s="24"/>
      <c r="B15732" s="25"/>
      <c r="C15732" s="24"/>
      <c r="D15732" s="26"/>
      <c r="E15732" s="24"/>
      <c r="F15732" s="24"/>
      <c r="G15732" s="24"/>
      <c r="H15732" s="24"/>
      <c r="I15732" s="24"/>
      <c r="J15732" s="24"/>
      <c r="K15732" s="24"/>
      <c r="L15732" s="24"/>
      <c r="M15732" s="24"/>
      <c r="N15732" s="24"/>
      <c r="O15732" s="24"/>
      <c r="P15732" s="24"/>
      <c r="Q15732" s="24"/>
      <c r="R15732" s="24"/>
      <c r="S15732" s="24"/>
      <c r="T15732" s="24"/>
      <c r="U15732" s="24"/>
      <c r="V15732" s="24"/>
      <c r="W15732" s="24"/>
      <c r="X15732" s="24"/>
      <c r="Y15732" s="24"/>
      <c r="Z15732" s="24"/>
      <c r="AA15732" s="24"/>
    </row>
    <row r="15733">
      <c r="A15733" s="24"/>
      <c r="B15733" s="25"/>
      <c r="C15733" s="24"/>
      <c r="D15733" s="26"/>
      <c r="E15733" s="24"/>
      <c r="F15733" s="24"/>
      <c r="G15733" s="24"/>
      <c r="H15733" s="24"/>
      <c r="I15733" s="24"/>
      <c r="J15733" s="24"/>
      <c r="K15733" s="24"/>
      <c r="L15733" s="24"/>
      <c r="M15733" s="24"/>
      <c r="N15733" s="24"/>
      <c r="O15733" s="24"/>
      <c r="P15733" s="24"/>
      <c r="Q15733" s="24"/>
      <c r="R15733" s="24"/>
      <c r="S15733" s="24"/>
      <c r="T15733" s="24"/>
      <c r="U15733" s="24"/>
      <c r="V15733" s="24"/>
      <c r="W15733" s="24"/>
      <c r="X15733" s="24"/>
      <c r="Y15733" s="24"/>
      <c r="Z15733" s="24"/>
      <c r="AA15733" s="24"/>
    </row>
    <row r="15734">
      <c r="A15734" s="24"/>
      <c r="B15734" s="25"/>
      <c r="C15734" s="24"/>
      <c r="D15734" s="26"/>
      <c r="E15734" s="24"/>
      <c r="F15734" s="24"/>
      <c r="G15734" s="24"/>
      <c r="H15734" s="24"/>
      <c r="I15734" s="24"/>
      <c r="J15734" s="24"/>
      <c r="K15734" s="24"/>
      <c r="L15734" s="24"/>
      <c r="M15734" s="24"/>
      <c r="N15734" s="24"/>
      <c r="O15734" s="24"/>
      <c r="P15734" s="24"/>
      <c r="Q15734" s="24"/>
      <c r="R15734" s="24"/>
      <c r="S15734" s="24"/>
      <c r="T15734" s="24"/>
      <c r="U15734" s="24"/>
      <c r="V15734" s="24"/>
      <c r="W15734" s="24"/>
      <c r="X15734" s="24"/>
      <c r="Y15734" s="24"/>
      <c r="Z15734" s="24"/>
      <c r="AA15734" s="24"/>
    </row>
    <row r="15735">
      <c r="A15735" s="24"/>
      <c r="B15735" s="25"/>
      <c r="C15735" s="24"/>
      <c r="D15735" s="26"/>
      <c r="E15735" s="24"/>
      <c r="F15735" s="24"/>
      <c r="G15735" s="24"/>
      <c r="H15735" s="24"/>
      <c r="I15735" s="24"/>
      <c r="J15735" s="24"/>
      <c r="K15735" s="24"/>
      <c r="L15735" s="24"/>
      <c r="M15735" s="24"/>
      <c r="N15735" s="24"/>
      <c r="O15735" s="24"/>
      <c r="P15735" s="24"/>
      <c r="Q15735" s="24"/>
      <c r="R15735" s="24"/>
      <c r="S15735" s="24"/>
      <c r="T15735" s="24"/>
      <c r="U15735" s="24"/>
      <c r="V15735" s="24"/>
      <c r="W15735" s="24"/>
      <c r="X15735" s="24"/>
      <c r="Y15735" s="24"/>
      <c r="Z15735" s="24"/>
      <c r="AA15735" s="24"/>
    </row>
    <row r="15736">
      <c r="A15736" s="24"/>
      <c r="B15736" s="25"/>
      <c r="C15736" s="24"/>
      <c r="D15736" s="26"/>
      <c r="E15736" s="24"/>
      <c r="F15736" s="24"/>
      <c r="G15736" s="24"/>
      <c r="H15736" s="24"/>
      <c r="I15736" s="24"/>
      <c r="J15736" s="24"/>
      <c r="K15736" s="24"/>
      <c r="L15736" s="24"/>
      <c r="M15736" s="24"/>
      <c r="N15736" s="24"/>
      <c r="O15736" s="24"/>
      <c r="P15736" s="24"/>
      <c r="Q15736" s="24"/>
      <c r="R15736" s="24"/>
      <c r="S15736" s="24"/>
      <c r="T15736" s="24"/>
      <c r="U15736" s="24"/>
      <c r="V15736" s="24"/>
      <c r="W15736" s="24"/>
      <c r="X15736" s="24"/>
      <c r="Y15736" s="24"/>
      <c r="Z15736" s="24"/>
      <c r="AA15736" s="24"/>
    </row>
    <row r="15737">
      <c r="A15737" s="24"/>
      <c r="B15737" s="25"/>
      <c r="C15737" s="24"/>
      <c r="D15737" s="26"/>
      <c r="E15737" s="24"/>
      <c r="F15737" s="24"/>
      <c r="G15737" s="24"/>
      <c r="H15737" s="24"/>
      <c r="I15737" s="24"/>
      <c r="J15737" s="24"/>
      <c r="K15737" s="24"/>
      <c r="L15737" s="24"/>
      <c r="M15737" s="24"/>
      <c r="N15737" s="24"/>
      <c r="O15737" s="24"/>
      <c r="P15737" s="24"/>
      <c r="Q15737" s="24"/>
      <c r="R15737" s="24"/>
      <c r="S15737" s="24"/>
      <c r="T15737" s="24"/>
      <c r="U15737" s="24"/>
      <c r="V15737" s="24"/>
      <c r="W15737" s="24"/>
      <c r="X15737" s="24"/>
      <c r="Y15737" s="24"/>
      <c r="Z15737" s="24"/>
      <c r="AA15737" s="24"/>
    </row>
    <row r="15738">
      <c r="A15738" s="24"/>
      <c r="B15738" s="25"/>
      <c r="C15738" s="24"/>
      <c r="D15738" s="26"/>
      <c r="E15738" s="24"/>
      <c r="F15738" s="24"/>
      <c r="G15738" s="24"/>
      <c r="H15738" s="24"/>
      <c r="I15738" s="24"/>
      <c r="J15738" s="24"/>
      <c r="K15738" s="24"/>
      <c r="L15738" s="24"/>
      <c r="M15738" s="24"/>
      <c r="N15738" s="24"/>
      <c r="O15738" s="24"/>
      <c r="P15738" s="24"/>
      <c r="Q15738" s="24"/>
      <c r="R15738" s="24"/>
      <c r="S15738" s="24"/>
      <c r="T15738" s="24"/>
      <c r="U15738" s="24"/>
      <c r="V15738" s="24"/>
      <c r="W15738" s="24"/>
      <c r="X15738" s="24"/>
      <c r="Y15738" s="24"/>
      <c r="Z15738" s="24"/>
      <c r="AA15738" s="24"/>
    </row>
    <row r="15739">
      <c r="A15739" s="24"/>
      <c r="B15739" s="25"/>
      <c r="C15739" s="24"/>
      <c r="D15739" s="26"/>
      <c r="E15739" s="24"/>
      <c r="F15739" s="24"/>
      <c r="G15739" s="24"/>
      <c r="H15739" s="24"/>
      <c r="I15739" s="24"/>
      <c r="J15739" s="24"/>
      <c r="K15739" s="24"/>
      <c r="L15739" s="24"/>
      <c r="M15739" s="24"/>
      <c r="N15739" s="24"/>
      <c r="O15739" s="24"/>
      <c r="P15739" s="24"/>
      <c r="Q15739" s="24"/>
      <c r="R15739" s="24"/>
      <c r="S15739" s="24"/>
      <c r="T15739" s="24"/>
      <c r="U15739" s="24"/>
      <c r="V15739" s="24"/>
      <c r="W15739" s="24"/>
      <c r="X15739" s="24"/>
      <c r="Y15739" s="24"/>
      <c r="Z15739" s="24"/>
      <c r="AA15739" s="24"/>
    </row>
    <row r="15740">
      <c r="A15740" s="24"/>
      <c r="B15740" s="25"/>
      <c r="C15740" s="24"/>
      <c r="D15740" s="26"/>
      <c r="E15740" s="24"/>
      <c r="F15740" s="24"/>
      <c r="G15740" s="24"/>
      <c r="H15740" s="24"/>
      <c r="I15740" s="24"/>
      <c r="J15740" s="24"/>
      <c r="K15740" s="24"/>
      <c r="L15740" s="24"/>
      <c r="M15740" s="24"/>
      <c r="N15740" s="24"/>
      <c r="O15740" s="24"/>
      <c r="P15740" s="24"/>
      <c r="Q15740" s="24"/>
      <c r="R15740" s="24"/>
      <c r="S15740" s="24"/>
      <c r="T15740" s="24"/>
      <c r="U15740" s="24"/>
      <c r="V15740" s="24"/>
      <c r="W15740" s="24"/>
      <c r="X15740" s="24"/>
      <c r="Y15740" s="24"/>
      <c r="Z15740" s="24"/>
      <c r="AA15740" s="24"/>
    </row>
    <row r="15741">
      <c r="A15741" s="24"/>
      <c r="B15741" s="25"/>
      <c r="C15741" s="24"/>
      <c r="D15741" s="26"/>
      <c r="E15741" s="24"/>
      <c r="F15741" s="24"/>
      <c r="G15741" s="24"/>
      <c r="H15741" s="24"/>
      <c r="I15741" s="24"/>
      <c r="J15741" s="24"/>
      <c r="K15741" s="24"/>
      <c r="L15741" s="24"/>
      <c r="M15741" s="24"/>
      <c r="N15741" s="24"/>
      <c r="O15741" s="24"/>
      <c r="P15741" s="24"/>
      <c r="Q15741" s="24"/>
      <c r="R15741" s="24"/>
      <c r="S15741" s="24"/>
      <c r="T15741" s="24"/>
      <c r="U15741" s="24"/>
      <c r="V15741" s="24"/>
      <c r="W15741" s="24"/>
      <c r="X15741" s="24"/>
      <c r="Y15741" s="24"/>
      <c r="Z15741" s="24"/>
      <c r="AA15741" s="24"/>
    </row>
    <row r="15742">
      <c r="A15742" s="24"/>
      <c r="B15742" s="25"/>
      <c r="C15742" s="24"/>
      <c r="D15742" s="26"/>
      <c r="E15742" s="24"/>
      <c r="F15742" s="24"/>
      <c r="G15742" s="24"/>
      <c r="H15742" s="24"/>
      <c r="I15742" s="24"/>
      <c r="J15742" s="24"/>
      <c r="K15742" s="24"/>
      <c r="L15742" s="24"/>
      <c r="M15742" s="24"/>
      <c r="N15742" s="24"/>
      <c r="O15742" s="24"/>
      <c r="P15742" s="24"/>
      <c r="Q15742" s="24"/>
      <c r="R15742" s="24"/>
      <c r="S15742" s="24"/>
      <c r="T15742" s="24"/>
      <c r="U15742" s="24"/>
      <c r="V15742" s="24"/>
      <c r="W15742" s="24"/>
      <c r="X15742" s="24"/>
      <c r="Y15742" s="24"/>
      <c r="Z15742" s="24"/>
      <c r="AA15742" s="24"/>
    </row>
    <row r="15743">
      <c r="A15743" s="24"/>
      <c r="B15743" s="25"/>
      <c r="C15743" s="24"/>
      <c r="D15743" s="26"/>
      <c r="E15743" s="24"/>
      <c r="F15743" s="24"/>
      <c r="G15743" s="24"/>
      <c r="H15743" s="24"/>
      <c r="I15743" s="24"/>
      <c r="J15743" s="24"/>
      <c r="K15743" s="24"/>
      <c r="L15743" s="24"/>
      <c r="M15743" s="24"/>
      <c r="N15743" s="24"/>
      <c r="O15743" s="24"/>
      <c r="P15743" s="24"/>
      <c r="Q15743" s="24"/>
      <c r="R15743" s="24"/>
      <c r="S15743" s="24"/>
      <c r="T15743" s="24"/>
      <c r="U15743" s="24"/>
      <c r="V15743" s="24"/>
      <c r="W15743" s="24"/>
      <c r="X15743" s="24"/>
      <c r="Y15743" s="24"/>
      <c r="Z15743" s="24"/>
      <c r="AA15743" s="24"/>
    </row>
    <row r="15744">
      <c r="A15744" s="24"/>
      <c r="B15744" s="25"/>
      <c r="C15744" s="24"/>
      <c r="D15744" s="26"/>
      <c r="E15744" s="24"/>
      <c r="F15744" s="24"/>
      <c r="G15744" s="24"/>
      <c r="H15744" s="24"/>
      <c r="I15744" s="24"/>
      <c r="J15744" s="24"/>
      <c r="K15744" s="24"/>
      <c r="L15744" s="24"/>
      <c r="M15744" s="24"/>
      <c r="N15744" s="24"/>
      <c r="O15744" s="24"/>
      <c r="P15744" s="24"/>
      <c r="Q15744" s="24"/>
      <c r="R15744" s="24"/>
      <c r="S15744" s="24"/>
      <c r="T15744" s="24"/>
      <c r="U15744" s="24"/>
      <c r="V15744" s="24"/>
      <c r="W15744" s="24"/>
      <c r="X15744" s="24"/>
      <c r="Y15744" s="24"/>
      <c r="Z15744" s="24"/>
      <c r="AA15744" s="24"/>
    </row>
    <row r="15745">
      <c r="A15745" s="24"/>
      <c r="B15745" s="25"/>
      <c r="C15745" s="24"/>
      <c r="D15745" s="26"/>
      <c r="E15745" s="24"/>
      <c r="F15745" s="24"/>
      <c r="G15745" s="24"/>
      <c r="H15745" s="24"/>
      <c r="I15745" s="24"/>
      <c r="J15745" s="24"/>
      <c r="K15745" s="24"/>
      <c r="L15745" s="24"/>
      <c r="M15745" s="24"/>
      <c r="N15745" s="24"/>
      <c r="O15745" s="24"/>
      <c r="P15745" s="24"/>
      <c r="Q15745" s="24"/>
      <c r="R15745" s="24"/>
      <c r="S15745" s="24"/>
      <c r="T15745" s="24"/>
      <c r="U15745" s="24"/>
      <c r="V15745" s="24"/>
      <c r="W15745" s="24"/>
      <c r="X15745" s="24"/>
      <c r="Y15745" s="24"/>
      <c r="Z15745" s="24"/>
      <c r="AA15745" s="24"/>
    </row>
    <row r="15746">
      <c r="A15746" s="24"/>
      <c r="B15746" s="25"/>
      <c r="C15746" s="24"/>
      <c r="D15746" s="26"/>
      <c r="E15746" s="24"/>
      <c r="F15746" s="24"/>
      <c r="G15746" s="24"/>
      <c r="H15746" s="24"/>
      <c r="I15746" s="24"/>
      <c r="J15746" s="24"/>
      <c r="K15746" s="24"/>
      <c r="L15746" s="24"/>
      <c r="M15746" s="24"/>
      <c r="N15746" s="24"/>
      <c r="O15746" s="24"/>
      <c r="P15746" s="24"/>
      <c r="Q15746" s="24"/>
      <c r="R15746" s="24"/>
      <c r="S15746" s="24"/>
      <c r="T15746" s="24"/>
      <c r="U15746" s="24"/>
      <c r="V15746" s="24"/>
      <c r="W15746" s="24"/>
      <c r="X15746" s="24"/>
      <c r="Y15746" s="24"/>
      <c r="Z15746" s="24"/>
      <c r="AA15746" s="24"/>
    </row>
    <row r="15747">
      <c r="A15747" s="24"/>
      <c r="B15747" s="25"/>
      <c r="C15747" s="24"/>
      <c r="D15747" s="26"/>
      <c r="E15747" s="24"/>
      <c r="F15747" s="24"/>
      <c r="G15747" s="24"/>
      <c r="H15747" s="24"/>
      <c r="I15747" s="24"/>
      <c r="J15747" s="24"/>
      <c r="K15747" s="24"/>
      <c r="L15747" s="24"/>
      <c r="M15747" s="24"/>
      <c r="N15747" s="24"/>
      <c r="O15747" s="24"/>
      <c r="P15747" s="24"/>
      <c r="Q15747" s="24"/>
      <c r="R15747" s="24"/>
      <c r="S15747" s="24"/>
      <c r="T15747" s="24"/>
      <c r="U15747" s="24"/>
      <c r="V15747" s="24"/>
      <c r="W15747" s="24"/>
      <c r="X15747" s="24"/>
      <c r="Y15747" s="24"/>
      <c r="Z15747" s="24"/>
      <c r="AA15747" s="24"/>
    </row>
    <row r="15748">
      <c r="A15748" s="24"/>
      <c r="B15748" s="25"/>
      <c r="C15748" s="24"/>
      <c r="D15748" s="26"/>
      <c r="E15748" s="24"/>
      <c r="F15748" s="24"/>
      <c r="G15748" s="24"/>
      <c r="H15748" s="24"/>
      <c r="I15748" s="24"/>
      <c r="J15748" s="24"/>
      <c r="K15748" s="24"/>
      <c r="L15748" s="24"/>
      <c r="M15748" s="24"/>
      <c r="N15748" s="24"/>
      <c r="O15748" s="24"/>
      <c r="P15748" s="24"/>
      <c r="Q15748" s="24"/>
      <c r="R15748" s="24"/>
      <c r="S15748" s="24"/>
      <c r="T15748" s="24"/>
      <c r="U15748" s="24"/>
      <c r="V15748" s="24"/>
      <c r="W15748" s="24"/>
      <c r="X15748" s="24"/>
      <c r="Y15748" s="24"/>
      <c r="Z15748" s="24"/>
      <c r="AA15748" s="24"/>
    </row>
    <row r="15749">
      <c r="A15749" s="24"/>
      <c r="B15749" s="25"/>
      <c r="C15749" s="24"/>
      <c r="D15749" s="26"/>
      <c r="E15749" s="24"/>
      <c r="F15749" s="24"/>
      <c r="G15749" s="24"/>
      <c r="H15749" s="24"/>
      <c r="I15749" s="24"/>
      <c r="J15749" s="24"/>
      <c r="K15749" s="24"/>
      <c r="L15749" s="24"/>
      <c r="M15749" s="24"/>
      <c r="N15749" s="24"/>
      <c r="O15749" s="24"/>
      <c r="P15749" s="24"/>
      <c r="Q15749" s="24"/>
      <c r="R15749" s="24"/>
      <c r="S15749" s="24"/>
      <c r="T15749" s="24"/>
      <c r="U15749" s="24"/>
      <c r="V15749" s="24"/>
      <c r="W15749" s="24"/>
      <c r="X15749" s="24"/>
      <c r="Y15749" s="24"/>
      <c r="Z15749" s="24"/>
      <c r="AA15749" s="24"/>
    </row>
    <row r="15750">
      <c r="A15750" s="24"/>
      <c r="B15750" s="25"/>
      <c r="C15750" s="24"/>
      <c r="D15750" s="26"/>
      <c r="E15750" s="24"/>
      <c r="F15750" s="24"/>
      <c r="G15750" s="24"/>
      <c r="H15750" s="24"/>
      <c r="I15750" s="24"/>
      <c r="J15750" s="24"/>
      <c r="K15750" s="24"/>
      <c r="L15750" s="24"/>
      <c r="M15750" s="24"/>
      <c r="N15750" s="24"/>
      <c r="O15750" s="24"/>
      <c r="P15750" s="24"/>
      <c r="Q15750" s="24"/>
      <c r="R15750" s="24"/>
      <c r="S15750" s="24"/>
      <c r="T15750" s="24"/>
      <c r="U15750" s="24"/>
      <c r="V15750" s="24"/>
      <c r="W15750" s="24"/>
      <c r="X15750" s="24"/>
      <c r="Y15750" s="24"/>
      <c r="Z15750" s="24"/>
      <c r="AA15750" s="24"/>
    </row>
    <row r="15751">
      <c r="A15751" s="24"/>
      <c r="B15751" s="25"/>
      <c r="C15751" s="24"/>
      <c r="D15751" s="26"/>
      <c r="E15751" s="24"/>
      <c r="F15751" s="24"/>
      <c r="G15751" s="24"/>
      <c r="H15751" s="24"/>
      <c r="I15751" s="24"/>
      <c r="J15751" s="24"/>
      <c r="K15751" s="24"/>
      <c r="L15751" s="24"/>
      <c r="M15751" s="24"/>
      <c r="N15751" s="24"/>
      <c r="O15751" s="24"/>
      <c r="P15751" s="24"/>
      <c r="Q15751" s="24"/>
      <c r="R15751" s="24"/>
      <c r="S15751" s="24"/>
      <c r="T15751" s="24"/>
      <c r="U15751" s="24"/>
      <c r="V15751" s="24"/>
      <c r="W15751" s="24"/>
      <c r="X15751" s="24"/>
      <c r="Y15751" s="24"/>
      <c r="Z15751" s="24"/>
      <c r="AA15751" s="24"/>
    </row>
    <row r="15752">
      <c r="A15752" s="24"/>
      <c r="B15752" s="25"/>
      <c r="C15752" s="24"/>
      <c r="D15752" s="26"/>
      <c r="E15752" s="24"/>
      <c r="F15752" s="24"/>
      <c r="G15752" s="24"/>
      <c r="H15752" s="24"/>
      <c r="I15752" s="24"/>
      <c r="J15752" s="24"/>
      <c r="K15752" s="24"/>
      <c r="L15752" s="24"/>
      <c r="M15752" s="24"/>
      <c r="N15752" s="24"/>
      <c r="O15752" s="24"/>
      <c r="P15752" s="24"/>
      <c r="Q15752" s="24"/>
      <c r="R15752" s="24"/>
      <c r="S15752" s="24"/>
      <c r="T15752" s="24"/>
      <c r="U15752" s="24"/>
      <c r="V15752" s="24"/>
      <c r="W15752" s="24"/>
      <c r="X15752" s="24"/>
      <c r="Y15752" s="24"/>
      <c r="Z15752" s="24"/>
      <c r="AA15752" s="24"/>
    </row>
    <row r="15753">
      <c r="A15753" s="24"/>
      <c r="B15753" s="25"/>
      <c r="C15753" s="24"/>
      <c r="D15753" s="26"/>
      <c r="E15753" s="24"/>
      <c r="F15753" s="24"/>
      <c r="G15753" s="24"/>
      <c r="H15753" s="24"/>
      <c r="I15753" s="24"/>
      <c r="J15753" s="24"/>
      <c r="K15753" s="24"/>
      <c r="L15753" s="24"/>
      <c r="M15753" s="24"/>
      <c r="N15753" s="24"/>
      <c r="O15753" s="24"/>
      <c r="P15753" s="24"/>
      <c r="Q15753" s="24"/>
      <c r="R15753" s="24"/>
      <c r="S15753" s="24"/>
      <c r="T15753" s="24"/>
      <c r="U15753" s="24"/>
      <c r="V15753" s="24"/>
      <c r="W15753" s="24"/>
      <c r="X15753" s="24"/>
      <c r="Y15753" s="24"/>
      <c r="Z15753" s="24"/>
      <c r="AA15753" s="24"/>
    </row>
    <row r="15754">
      <c r="A15754" s="24"/>
      <c r="B15754" s="25"/>
      <c r="C15754" s="24"/>
      <c r="D15754" s="26"/>
      <c r="E15754" s="24"/>
      <c r="F15754" s="24"/>
      <c r="G15754" s="24"/>
      <c r="H15754" s="24"/>
      <c r="I15754" s="24"/>
      <c r="J15754" s="24"/>
      <c r="K15754" s="24"/>
      <c r="L15754" s="24"/>
      <c r="M15754" s="24"/>
      <c r="N15754" s="24"/>
      <c r="O15754" s="24"/>
      <c r="P15754" s="24"/>
      <c r="Q15754" s="24"/>
      <c r="R15754" s="24"/>
      <c r="S15754" s="24"/>
      <c r="T15754" s="24"/>
      <c r="U15754" s="24"/>
      <c r="V15754" s="24"/>
      <c r="W15754" s="24"/>
      <c r="X15754" s="24"/>
      <c r="Y15754" s="24"/>
      <c r="Z15754" s="24"/>
      <c r="AA15754" s="24"/>
    </row>
    <row r="15755">
      <c r="A15755" s="24"/>
      <c r="B15755" s="25"/>
      <c r="C15755" s="24"/>
      <c r="D15755" s="26"/>
      <c r="E15755" s="24"/>
      <c r="F15755" s="24"/>
      <c r="G15755" s="24"/>
      <c r="H15755" s="24"/>
      <c r="I15755" s="24"/>
      <c r="J15755" s="24"/>
      <c r="K15755" s="24"/>
      <c r="L15755" s="24"/>
      <c r="M15755" s="24"/>
      <c r="N15755" s="24"/>
      <c r="O15755" s="24"/>
      <c r="P15755" s="24"/>
      <c r="Q15755" s="24"/>
      <c r="R15755" s="24"/>
      <c r="S15755" s="24"/>
      <c r="T15755" s="24"/>
      <c r="U15755" s="24"/>
      <c r="V15755" s="24"/>
      <c r="W15755" s="24"/>
      <c r="X15755" s="24"/>
      <c r="Y15755" s="24"/>
      <c r="Z15755" s="24"/>
      <c r="AA15755" s="24"/>
    </row>
    <row r="15756">
      <c r="A15756" s="24"/>
      <c r="B15756" s="25"/>
      <c r="C15756" s="24"/>
      <c r="D15756" s="26"/>
      <c r="E15756" s="24"/>
      <c r="F15756" s="24"/>
      <c r="G15756" s="24"/>
      <c r="H15756" s="24"/>
      <c r="I15756" s="24"/>
      <c r="J15756" s="24"/>
      <c r="K15756" s="24"/>
      <c r="L15756" s="24"/>
      <c r="M15756" s="24"/>
      <c r="N15756" s="24"/>
      <c r="O15756" s="24"/>
      <c r="P15756" s="24"/>
      <c r="Q15756" s="24"/>
      <c r="R15756" s="24"/>
      <c r="S15756" s="24"/>
      <c r="T15756" s="24"/>
      <c r="U15756" s="24"/>
      <c r="V15756" s="24"/>
      <c r="W15756" s="24"/>
      <c r="X15756" s="24"/>
      <c r="Y15756" s="24"/>
      <c r="Z15756" s="24"/>
      <c r="AA15756" s="24"/>
    </row>
    <row r="15757">
      <c r="A15757" s="24"/>
      <c r="B15757" s="25"/>
      <c r="C15757" s="24"/>
      <c r="D15757" s="26"/>
      <c r="E15757" s="24"/>
      <c r="F15757" s="24"/>
      <c r="G15757" s="24"/>
      <c r="H15757" s="24"/>
      <c r="I15757" s="24"/>
      <c r="J15757" s="24"/>
      <c r="K15757" s="24"/>
      <c r="L15757" s="24"/>
      <c r="M15757" s="24"/>
      <c r="N15757" s="24"/>
      <c r="O15757" s="24"/>
      <c r="P15757" s="24"/>
      <c r="Q15757" s="24"/>
      <c r="R15757" s="24"/>
      <c r="S15757" s="24"/>
      <c r="T15757" s="24"/>
      <c r="U15757" s="24"/>
      <c r="V15757" s="24"/>
      <c r="W15757" s="24"/>
      <c r="X15757" s="24"/>
      <c r="Y15757" s="24"/>
      <c r="Z15757" s="24"/>
      <c r="AA15757" s="24"/>
    </row>
    <row r="15758">
      <c r="A15758" s="24"/>
      <c r="B15758" s="25"/>
      <c r="C15758" s="24"/>
      <c r="D15758" s="26"/>
      <c r="E15758" s="24"/>
      <c r="F15758" s="24"/>
      <c r="G15758" s="24"/>
      <c r="H15758" s="24"/>
      <c r="I15758" s="24"/>
      <c r="J15758" s="24"/>
      <c r="K15758" s="24"/>
      <c r="L15758" s="24"/>
      <c r="M15758" s="24"/>
      <c r="N15758" s="24"/>
      <c r="O15758" s="24"/>
      <c r="P15758" s="24"/>
      <c r="Q15758" s="24"/>
      <c r="R15758" s="24"/>
      <c r="S15758" s="24"/>
      <c r="T15758" s="24"/>
      <c r="U15758" s="24"/>
      <c r="V15758" s="24"/>
      <c r="W15758" s="24"/>
      <c r="X15758" s="24"/>
      <c r="Y15758" s="24"/>
      <c r="Z15758" s="24"/>
      <c r="AA15758" s="24"/>
    </row>
    <row r="15759">
      <c r="A15759" s="24"/>
      <c r="B15759" s="25"/>
      <c r="C15759" s="24"/>
      <c r="D15759" s="26"/>
      <c r="E15759" s="24"/>
      <c r="F15759" s="24"/>
      <c r="G15759" s="24"/>
      <c r="H15759" s="24"/>
      <c r="I15759" s="24"/>
      <c r="J15759" s="24"/>
      <c r="K15759" s="24"/>
      <c r="L15759" s="24"/>
      <c r="M15759" s="24"/>
      <c r="N15759" s="24"/>
      <c r="O15759" s="24"/>
      <c r="P15759" s="24"/>
      <c r="Q15759" s="24"/>
      <c r="R15759" s="24"/>
      <c r="S15759" s="24"/>
      <c r="T15759" s="24"/>
      <c r="U15759" s="24"/>
      <c r="V15759" s="24"/>
      <c r="W15759" s="24"/>
      <c r="X15759" s="24"/>
      <c r="Y15759" s="24"/>
      <c r="Z15759" s="24"/>
      <c r="AA15759" s="24"/>
    </row>
    <row r="15760">
      <c r="A15760" s="24"/>
      <c r="B15760" s="25"/>
      <c r="C15760" s="24"/>
      <c r="D15760" s="26"/>
      <c r="E15760" s="24"/>
      <c r="F15760" s="24"/>
      <c r="G15760" s="24"/>
      <c r="H15760" s="24"/>
      <c r="I15760" s="24"/>
      <c r="J15760" s="24"/>
      <c r="K15760" s="24"/>
      <c r="L15760" s="24"/>
      <c r="M15760" s="24"/>
      <c r="N15760" s="24"/>
      <c r="O15760" s="24"/>
      <c r="P15760" s="24"/>
      <c r="Q15760" s="24"/>
      <c r="R15760" s="24"/>
      <c r="S15760" s="24"/>
      <c r="T15760" s="24"/>
      <c r="U15760" s="24"/>
      <c r="V15760" s="24"/>
      <c r="W15760" s="24"/>
      <c r="X15760" s="24"/>
      <c r="Y15760" s="24"/>
      <c r="Z15760" s="24"/>
      <c r="AA15760" s="24"/>
    </row>
    <row r="15761">
      <c r="A15761" s="24"/>
      <c r="B15761" s="25"/>
      <c r="C15761" s="24"/>
      <c r="D15761" s="26"/>
      <c r="E15761" s="24"/>
      <c r="F15761" s="24"/>
      <c r="G15761" s="24"/>
      <c r="H15761" s="24"/>
      <c r="I15761" s="24"/>
      <c r="J15761" s="24"/>
      <c r="K15761" s="24"/>
      <c r="L15761" s="24"/>
      <c r="M15761" s="24"/>
      <c r="N15761" s="24"/>
      <c r="O15761" s="24"/>
      <c r="P15761" s="24"/>
      <c r="Q15761" s="24"/>
      <c r="R15761" s="24"/>
      <c r="S15761" s="24"/>
      <c r="T15761" s="24"/>
      <c r="U15761" s="24"/>
      <c r="V15761" s="24"/>
      <c r="W15761" s="24"/>
      <c r="X15761" s="24"/>
      <c r="Y15761" s="24"/>
      <c r="Z15761" s="24"/>
      <c r="AA15761" s="24"/>
    </row>
    <row r="15762">
      <c r="A15762" s="24"/>
      <c r="B15762" s="25"/>
      <c r="C15762" s="24"/>
      <c r="D15762" s="26"/>
      <c r="E15762" s="24"/>
      <c r="F15762" s="24"/>
      <c r="G15762" s="24"/>
      <c r="H15762" s="24"/>
      <c r="I15762" s="24"/>
      <c r="J15762" s="24"/>
      <c r="K15762" s="24"/>
      <c r="L15762" s="24"/>
      <c r="M15762" s="24"/>
      <c r="N15762" s="24"/>
      <c r="O15762" s="24"/>
      <c r="P15762" s="24"/>
      <c r="Q15762" s="24"/>
      <c r="R15762" s="24"/>
      <c r="S15762" s="24"/>
      <c r="T15762" s="24"/>
      <c r="U15762" s="24"/>
      <c r="V15762" s="24"/>
      <c r="W15762" s="24"/>
      <c r="X15762" s="24"/>
      <c r="Y15762" s="24"/>
      <c r="Z15762" s="24"/>
      <c r="AA15762" s="24"/>
    </row>
    <row r="15763">
      <c r="A15763" s="24"/>
      <c r="B15763" s="25"/>
      <c r="C15763" s="24"/>
      <c r="D15763" s="26"/>
      <c r="E15763" s="24"/>
      <c r="F15763" s="24"/>
      <c r="G15763" s="24"/>
      <c r="H15763" s="24"/>
      <c r="I15763" s="24"/>
      <c r="J15763" s="24"/>
      <c r="K15763" s="24"/>
      <c r="L15763" s="24"/>
      <c r="M15763" s="24"/>
      <c r="N15763" s="24"/>
      <c r="O15763" s="24"/>
      <c r="P15763" s="24"/>
      <c r="Q15763" s="24"/>
      <c r="R15763" s="24"/>
      <c r="S15763" s="24"/>
      <c r="T15763" s="24"/>
      <c r="U15763" s="24"/>
      <c r="V15763" s="24"/>
      <c r="W15763" s="24"/>
      <c r="X15763" s="24"/>
      <c r="Y15763" s="24"/>
      <c r="Z15763" s="24"/>
      <c r="AA15763" s="24"/>
    </row>
    <row r="15764">
      <c r="A15764" s="24"/>
      <c r="B15764" s="25"/>
      <c r="C15764" s="24"/>
      <c r="D15764" s="26"/>
      <c r="E15764" s="24"/>
      <c r="F15764" s="24"/>
      <c r="G15764" s="24"/>
      <c r="H15764" s="24"/>
      <c r="I15764" s="24"/>
      <c r="J15764" s="24"/>
      <c r="K15764" s="24"/>
      <c r="L15764" s="24"/>
      <c r="M15764" s="24"/>
      <c r="N15764" s="24"/>
      <c r="O15764" s="24"/>
      <c r="P15764" s="24"/>
      <c r="Q15764" s="24"/>
      <c r="R15764" s="24"/>
      <c r="S15764" s="24"/>
      <c r="T15764" s="24"/>
      <c r="U15764" s="24"/>
      <c r="V15764" s="24"/>
      <c r="W15764" s="24"/>
      <c r="X15764" s="24"/>
      <c r="Y15764" s="24"/>
      <c r="Z15764" s="24"/>
      <c r="AA15764" s="24"/>
    </row>
    <row r="15765">
      <c r="A15765" s="24"/>
      <c r="B15765" s="25"/>
      <c r="C15765" s="24"/>
      <c r="D15765" s="26"/>
      <c r="E15765" s="24"/>
      <c r="F15765" s="24"/>
      <c r="G15765" s="24"/>
      <c r="H15765" s="24"/>
      <c r="I15765" s="24"/>
      <c r="J15765" s="24"/>
      <c r="K15765" s="24"/>
      <c r="L15765" s="24"/>
      <c r="M15765" s="24"/>
      <c r="N15765" s="24"/>
      <c r="O15765" s="24"/>
      <c r="P15765" s="24"/>
      <c r="Q15765" s="24"/>
      <c r="R15765" s="24"/>
      <c r="S15765" s="24"/>
      <c r="T15765" s="24"/>
      <c r="U15765" s="24"/>
      <c r="V15765" s="24"/>
      <c r="W15765" s="24"/>
      <c r="X15765" s="24"/>
      <c r="Y15765" s="24"/>
      <c r="Z15765" s="24"/>
      <c r="AA15765" s="24"/>
    </row>
    <row r="15766">
      <c r="A15766" s="24"/>
      <c r="B15766" s="25"/>
      <c r="C15766" s="24"/>
      <c r="D15766" s="26"/>
      <c r="E15766" s="24"/>
      <c r="F15766" s="24"/>
      <c r="G15766" s="24"/>
      <c r="H15766" s="24"/>
      <c r="I15766" s="24"/>
      <c r="J15766" s="24"/>
      <c r="K15766" s="24"/>
      <c r="L15766" s="24"/>
      <c r="M15766" s="24"/>
      <c r="N15766" s="24"/>
      <c r="O15766" s="24"/>
      <c r="P15766" s="24"/>
      <c r="Q15766" s="24"/>
      <c r="R15766" s="24"/>
      <c r="S15766" s="24"/>
      <c r="T15766" s="24"/>
      <c r="U15766" s="24"/>
      <c r="V15766" s="24"/>
      <c r="W15766" s="24"/>
      <c r="X15766" s="24"/>
      <c r="Y15766" s="24"/>
      <c r="Z15766" s="24"/>
      <c r="AA15766" s="24"/>
    </row>
    <row r="15767">
      <c r="A15767" s="24"/>
      <c r="B15767" s="25"/>
      <c r="C15767" s="24"/>
      <c r="D15767" s="26"/>
      <c r="E15767" s="24"/>
      <c r="F15767" s="24"/>
      <c r="G15767" s="24"/>
      <c r="H15767" s="24"/>
      <c r="I15767" s="24"/>
      <c r="J15767" s="24"/>
      <c r="K15767" s="24"/>
      <c r="L15767" s="24"/>
      <c r="M15767" s="24"/>
      <c r="N15767" s="24"/>
      <c r="O15767" s="24"/>
      <c r="P15767" s="24"/>
      <c r="Q15767" s="24"/>
      <c r="R15767" s="24"/>
      <c r="S15767" s="24"/>
      <c r="T15767" s="24"/>
      <c r="U15767" s="24"/>
      <c r="V15767" s="24"/>
      <c r="W15767" s="24"/>
      <c r="X15767" s="24"/>
      <c r="Y15767" s="24"/>
      <c r="Z15767" s="24"/>
      <c r="AA15767" s="24"/>
    </row>
    <row r="15768">
      <c r="A15768" s="24"/>
      <c r="B15768" s="25"/>
      <c r="C15768" s="24"/>
      <c r="D15768" s="26"/>
      <c r="E15768" s="24"/>
      <c r="F15768" s="24"/>
      <c r="G15768" s="24"/>
      <c r="H15768" s="24"/>
      <c r="I15768" s="24"/>
      <c r="J15768" s="24"/>
      <c r="K15768" s="24"/>
      <c r="L15768" s="24"/>
      <c r="M15768" s="24"/>
      <c r="N15768" s="24"/>
      <c r="O15768" s="24"/>
      <c r="P15768" s="24"/>
      <c r="Q15768" s="24"/>
      <c r="R15768" s="24"/>
      <c r="S15768" s="24"/>
      <c r="T15768" s="24"/>
      <c r="U15768" s="24"/>
      <c r="V15768" s="24"/>
      <c r="W15768" s="24"/>
      <c r="X15768" s="24"/>
      <c r="Y15768" s="24"/>
      <c r="Z15768" s="24"/>
      <c r="AA15768" s="24"/>
    </row>
    <row r="15769">
      <c r="A15769" s="24"/>
      <c r="B15769" s="25"/>
      <c r="C15769" s="24"/>
      <c r="D15769" s="26"/>
      <c r="E15769" s="24"/>
      <c r="F15769" s="24"/>
      <c r="G15769" s="24"/>
      <c r="H15769" s="24"/>
      <c r="I15769" s="24"/>
      <c r="J15769" s="24"/>
      <c r="K15769" s="24"/>
      <c r="L15769" s="24"/>
      <c r="M15769" s="24"/>
      <c r="N15769" s="24"/>
      <c r="O15769" s="24"/>
      <c r="P15769" s="24"/>
      <c r="Q15769" s="24"/>
      <c r="R15769" s="24"/>
      <c r="S15769" s="24"/>
      <c r="T15769" s="24"/>
      <c r="U15769" s="24"/>
      <c r="V15769" s="24"/>
      <c r="W15769" s="24"/>
      <c r="X15769" s="24"/>
      <c r="Y15769" s="24"/>
      <c r="Z15769" s="24"/>
      <c r="AA15769" s="24"/>
    </row>
    <row r="15770">
      <c r="A15770" s="24"/>
      <c r="B15770" s="25"/>
      <c r="C15770" s="24"/>
      <c r="D15770" s="26"/>
      <c r="E15770" s="24"/>
      <c r="F15770" s="24"/>
      <c r="G15770" s="24"/>
      <c r="H15770" s="24"/>
      <c r="I15770" s="24"/>
      <c r="J15770" s="24"/>
      <c r="K15770" s="24"/>
      <c r="L15770" s="24"/>
      <c r="M15770" s="24"/>
      <c r="N15770" s="24"/>
      <c r="O15770" s="24"/>
      <c r="P15770" s="24"/>
      <c r="Q15770" s="24"/>
      <c r="R15770" s="24"/>
      <c r="S15770" s="24"/>
      <c r="T15770" s="24"/>
      <c r="U15770" s="24"/>
      <c r="V15770" s="24"/>
      <c r="W15770" s="24"/>
      <c r="X15770" s="24"/>
      <c r="Y15770" s="24"/>
      <c r="Z15770" s="24"/>
      <c r="AA15770" s="24"/>
    </row>
    <row r="15771">
      <c r="A15771" s="24"/>
      <c r="B15771" s="25"/>
      <c r="C15771" s="24"/>
      <c r="D15771" s="26"/>
      <c r="E15771" s="24"/>
      <c r="F15771" s="24"/>
      <c r="G15771" s="24"/>
      <c r="H15771" s="24"/>
      <c r="I15771" s="24"/>
      <c r="J15771" s="24"/>
      <c r="K15771" s="24"/>
      <c r="L15771" s="24"/>
      <c r="M15771" s="24"/>
      <c r="N15771" s="24"/>
      <c r="O15771" s="24"/>
      <c r="P15771" s="24"/>
      <c r="Q15771" s="24"/>
      <c r="R15771" s="24"/>
      <c r="S15771" s="24"/>
      <c r="T15771" s="24"/>
      <c r="U15771" s="24"/>
      <c r="V15771" s="24"/>
      <c r="W15771" s="24"/>
      <c r="X15771" s="24"/>
      <c r="Y15771" s="24"/>
      <c r="Z15771" s="24"/>
      <c r="AA15771" s="24"/>
    </row>
    <row r="15772">
      <c r="A15772" s="24"/>
      <c r="B15772" s="25"/>
      <c r="C15772" s="24"/>
      <c r="D15772" s="26"/>
      <c r="E15772" s="24"/>
      <c r="F15772" s="24"/>
      <c r="G15772" s="24"/>
      <c r="H15772" s="24"/>
      <c r="I15772" s="24"/>
      <c r="J15772" s="24"/>
      <c r="K15772" s="24"/>
      <c r="L15772" s="24"/>
      <c r="M15772" s="24"/>
      <c r="N15772" s="24"/>
      <c r="O15772" s="24"/>
      <c r="P15772" s="24"/>
      <c r="Q15772" s="24"/>
      <c r="R15772" s="24"/>
      <c r="S15772" s="24"/>
      <c r="T15772" s="24"/>
      <c r="U15772" s="24"/>
      <c r="V15772" s="24"/>
      <c r="W15772" s="24"/>
      <c r="X15772" s="24"/>
      <c r="Y15772" s="24"/>
      <c r="Z15772" s="24"/>
      <c r="AA15772" s="24"/>
    </row>
    <row r="15773">
      <c r="A15773" s="24"/>
      <c r="B15773" s="25"/>
      <c r="C15773" s="24"/>
      <c r="D15773" s="26"/>
      <c r="E15773" s="24"/>
      <c r="F15773" s="24"/>
      <c r="G15773" s="24"/>
      <c r="H15773" s="24"/>
      <c r="I15773" s="24"/>
      <c r="J15773" s="24"/>
      <c r="K15773" s="24"/>
      <c r="L15773" s="24"/>
      <c r="M15773" s="24"/>
      <c r="N15773" s="24"/>
      <c r="O15773" s="24"/>
      <c r="P15773" s="24"/>
      <c r="Q15773" s="24"/>
      <c r="R15773" s="24"/>
      <c r="S15773" s="24"/>
      <c r="T15773" s="24"/>
      <c r="U15773" s="24"/>
      <c r="V15773" s="24"/>
      <c r="W15773" s="24"/>
      <c r="X15773" s="24"/>
      <c r="Y15773" s="24"/>
      <c r="Z15773" s="24"/>
      <c r="AA15773" s="24"/>
    </row>
    <row r="15774">
      <c r="A15774" s="24"/>
      <c r="B15774" s="25"/>
      <c r="C15774" s="24"/>
      <c r="D15774" s="26"/>
      <c r="E15774" s="24"/>
      <c r="F15774" s="24"/>
      <c r="G15774" s="24"/>
      <c r="H15774" s="24"/>
      <c r="I15774" s="24"/>
      <c r="J15774" s="24"/>
      <c r="K15774" s="24"/>
      <c r="L15774" s="24"/>
      <c r="M15774" s="24"/>
      <c r="N15774" s="24"/>
      <c r="O15774" s="24"/>
      <c r="P15774" s="24"/>
      <c r="Q15774" s="24"/>
      <c r="R15774" s="24"/>
      <c r="S15774" s="24"/>
      <c r="T15774" s="24"/>
      <c r="U15774" s="24"/>
      <c r="V15774" s="24"/>
      <c r="W15774" s="24"/>
      <c r="X15774" s="24"/>
      <c r="Y15774" s="24"/>
      <c r="Z15774" s="24"/>
      <c r="AA15774" s="24"/>
    </row>
    <row r="15775">
      <c r="A15775" s="24"/>
      <c r="B15775" s="25"/>
      <c r="C15775" s="24"/>
      <c r="D15775" s="26"/>
      <c r="E15775" s="24"/>
      <c r="F15775" s="24"/>
      <c r="G15775" s="24"/>
      <c r="H15775" s="24"/>
      <c r="I15775" s="24"/>
      <c r="J15775" s="24"/>
      <c r="K15775" s="24"/>
      <c r="L15775" s="24"/>
      <c r="M15775" s="24"/>
      <c r="N15775" s="24"/>
      <c r="O15775" s="24"/>
      <c r="P15775" s="24"/>
      <c r="Q15775" s="24"/>
      <c r="R15775" s="24"/>
      <c r="S15775" s="24"/>
      <c r="T15775" s="24"/>
      <c r="U15775" s="24"/>
      <c r="V15775" s="24"/>
      <c r="W15775" s="24"/>
      <c r="X15775" s="24"/>
      <c r="Y15775" s="24"/>
      <c r="Z15775" s="24"/>
      <c r="AA15775" s="24"/>
    </row>
    <row r="15776">
      <c r="A15776" s="24"/>
      <c r="B15776" s="25"/>
      <c r="C15776" s="24"/>
      <c r="D15776" s="26"/>
      <c r="E15776" s="24"/>
      <c r="F15776" s="24"/>
      <c r="G15776" s="24"/>
      <c r="H15776" s="24"/>
      <c r="I15776" s="24"/>
      <c r="J15776" s="24"/>
      <c r="K15776" s="24"/>
      <c r="L15776" s="24"/>
      <c r="M15776" s="24"/>
      <c r="N15776" s="24"/>
      <c r="O15776" s="24"/>
      <c r="P15776" s="24"/>
      <c r="Q15776" s="24"/>
      <c r="R15776" s="24"/>
      <c r="S15776" s="24"/>
      <c r="T15776" s="24"/>
      <c r="U15776" s="24"/>
      <c r="V15776" s="24"/>
      <c r="W15776" s="24"/>
      <c r="X15776" s="24"/>
      <c r="Y15776" s="24"/>
      <c r="Z15776" s="24"/>
      <c r="AA15776" s="24"/>
    </row>
    <row r="15777">
      <c r="A15777" s="24"/>
      <c r="B15777" s="25"/>
      <c r="C15777" s="24"/>
      <c r="D15777" s="26"/>
      <c r="E15777" s="24"/>
      <c r="F15777" s="24"/>
      <c r="G15777" s="24"/>
      <c r="H15777" s="24"/>
      <c r="I15777" s="24"/>
      <c r="J15777" s="24"/>
      <c r="K15777" s="24"/>
      <c r="L15777" s="24"/>
      <c r="M15777" s="24"/>
      <c r="N15777" s="24"/>
      <c r="O15777" s="24"/>
      <c r="P15777" s="24"/>
      <c r="Q15777" s="24"/>
      <c r="R15777" s="24"/>
      <c r="S15777" s="24"/>
      <c r="T15777" s="24"/>
      <c r="U15777" s="24"/>
      <c r="V15777" s="24"/>
      <c r="W15777" s="24"/>
      <c r="X15777" s="24"/>
      <c r="Y15777" s="24"/>
      <c r="Z15777" s="24"/>
      <c r="AA15777" s="24"/>
    </row>
    <row r="15778">
      <c r="A15778" s="24"/>
      <c r="B15778" s="25"/>
      <c r="C15778" s="24"/>
      <c r="D15778" s="26"/>
      <c r="E15778" s="24"/>
      <c r="F15778" s="24"/>
      <c r="G15778" s="24"/>
      <c r="H15778" s="24"/>
      <c r="I15778" s="24"/>
      <c r="J15778" s="24"/>
      <c r="K15778" s="24"/>
      <c r="L15778" s="24"/>
      <c r="M15778" s="24"/>
      <c r="N15778" s="24"/>
      <c r="O15778" s="24"/>
      <c r="P15778" s="24"/>
      <c r="Q15778" s="24"/>
      <c r="R15778" s="24"/>
      <c r="S15778" s="24"/>
      <c r="T15778" s="24"/>
      <c r="U15778" s="24"/>
      <c r="V15778" s="24"/>
      <c r="W15778" s="24"/>
      <c r="X15778" s="24"/>
      <c r="Y15778" s="24"/>
      <c r="Z15778" s="24"/>
      <c r="AA15778" s="24"/>
    </row>
    <row r="15779">
      <c r="A15779" s="24"/>
      <c r="B15779" s="25"/>
      <c r="C15779" s="24"/>
      <c r="D15779" s="26"/>
      <c r="E15779" s="24"/>
      <c r="F15779" s="24"/>
      <c r="G15779" s="24"/>
      <c r="H15779" s="24"/>
      <c r="I15779" s="24"/>
      <c r="J15779" s="24"/>
      <c r="K15779" s="24"/>
      <c r="L15779" s="24"/>
      <c r="M15779" s="24"/>
      <c r="N15779" s="24"/>
      <c r="O15779" s="24"/>
      <c r="P15779" s="24"/>
      <c r="Q15779" s="24"/>
      <c r="R15779" s="24"/>
      <c r="S15779" s="24"/>
      <c r="T15779" s="24"/>
      <c r="U15779" s="24"/>
      <c r="V15779" s="24"/>
      <c r="W15779" s="24"/>
      <c r="X15779" s="24"/>
      <c r="Y15779" s="24"/>
      <c r="Z15779" s="24"/>
      <c r="AA15779" s="24"/>
    </row>
    <row r="15780">
      <c r="A15780" s="24"/>
      <c r="B15780" s="25"/>
      <c r="C15780" s="24"/>
      <c r="D15780" s="26"/>
      <c r="E15780" s="24"/>
      <c r="F15780" s="24"/>
      <c r="G15780" s="24"/>
      <c r="H15780" s="24"/>
      <c r="I15780" s="24"/>
      <c r="J15780" s="24"/>
      <c r="K15780" s="24"/>
      <c r="L15780" s="24"/>
      <c r="M15780" s="24"/>
      <c r="N15780" s="24"/>
      <c r="O15780" s="24"/>
      <c r="P15780" s="24"/>
      <c r="Q15780" s="24"/>
      <c r="R15780" s="24"/>
      <c r="S15780" s="24"/>
      <c r="T15780" s="24"/>
      <c r="U15780" s="24"/>
      <c r="V15780" s="24"/>
      <c r="W15780" s="24"/>
      <c r="X15780" s="24"/>
      <c r="Y15780" s="24"/>
      <c r="Z15780" s="24"/>
      <c r="AA15780" s="24"/>
    </row>
    <row r="15781">
      <c r="A15781" s="24"/>
      <c r="B15781" s="25"/>
      <c r="C15781" s="24"/>
      <c r="D15781" s="26"/>
      <c r="E15781" s="24"/>
      <c r="F15781" s="24"/>
      <c r="G15781" s="24"/>
      <c r="H15781" s="24"/>
      <c r="I15781" s="24"/>
      <c r="J15781" s="24"/>
      <c r="K15781" s="24"/>
      <c r="L15781" s="24"/>
      <c r="M15781" s="24"/>
      <c r="N15781" s="24"/>
      <c r="O15781" s="24"/>
      <c r="P15781" s="24"/>
      <c r="Q15781" s="24"/>
      <c r="R15781" s="24"/>
      <c r="S15781" s="24"/>
      <c r="T15781" s="24"/>
      <c r="U15781" s="24"/>
      <c r="V15781" s="24"/>
      <c r="W15781" s="24"/>
      <c r="X15781" s="24"/>
      <c r="Y15781" s="24"/>
      <c r="Z15781" s="24"/>
      <c r="AA15781" s="24"/>
    </row>
    <row r="15782">
      <c r="A15782" s="24"/>
      <c r="B15782" s="25"/>
      <c r="C15782" s="24"/>
      <c r="D15782" s="26"/>
      <c r="E15782" s="24"/>
      <c r="F15782" s="24"/>
      <c r="G15782" s="24"/>
      <c r="H15782" s="24"/>
      <c r="I15782" s="24"/>
      <c r="J15782" s="24"/>
      <c r="K15782" s="24"/>
      <c r="L15782" s="24"/>
      <c r="M15782" s="24"/>
      <c r="N15782" s="24"/>
      <c r="O15782" s="24"/>
      <c r="P15782" s="24"/>
      <c r="Q15782" s="24"/>
      <c r="R15782" s="24"/>
      <c r="S15782" s="24"/>
      <c r="T15782" s="24"/>
      <c r="U15782" s="24"/>
      <c r="V15782" s="24"/>
      <c r="W15782" s="24"/>
      <c r="X15782" s="24"/>
      <c r="Y15782" s="24"/>
      <c r="Z15782" s="24"/>
      <c r="AA15782" s="24"/>
    </row>
    <row r="15783">
      <c r="A15783" s="24"/>
      <c r="B15783" s="25"/>
      <c r="C15783" s="24"/>
      <c r="D15783" s="26"/>
      <c r="E15783" s="24"/>
      <c r="F15783" s="24"/>
      <c r="G15783" s="24"/>
      <c r="H15783" s="24"/>
      <c r="I15783" s="24"/>
      <c r="J15783" s="24"/>
      <c r="K15783" s="24"/>
      <c r="L15783" s="24"/>
      <c r="M15783" s="24"/>
      <c r="N15783" s="24"/>
      <c r="O15783" s="24"/>
      <c r="P15783" s="24"/>
      <c r="Q15783" s="24"/>
      <c r="R15783" s="24"/>
      <c r="S15783" s="24"/>
      <c r="T15783" s="24"/>
      <c r="U15783" s="24"/>
      <c r="V15783" s="24"/>
      <c r="W15783" s="24"/>
      <c r="X15783" s="24"/>
      <c r="Y15783" s="24"/>
      <c r="Z15783" s="24"/>
      <c r="AA15783" s="24"/>
    </row>
    <row r="15784">
      <c r="A15784" s="24"/>
      <c r="B15784" s="25"/>
      <c r="C15784" s="24"/>
      <c r="D15784" s="26"/>
      <c r="E15784" s="24"/>
      <c r="F15784" s="24"/>
      <c r="G15784" s="24"/>
      <c r="H15784" s="24"/>
      <c r="I15784" s="24"/>
      <c r="J15784" s="24"/>
      <c r="K15784" s="24"/>
      <c r="L15784" s="24"/>
      <c r="M15784" s="24"/>
      <c r="N15784" s="24"/>
      <c r="O15784" s="24"/>
      <c r="P15784" s="24"/>
      <c r="Q15784" s="24"/>
      <c r="R15784" s="24"/>
      <c r="S15784" s="24"/>
      <c r="T15784" s="24"/>
      <c r="U15784" s="24"/>
      <c r="V15784" s="24"/>
      <c r="W15784" s="24"/>
      <c r="X15784" s="24"/>
      <c r="Y15784" s="24"/>
      <c r="Z15784" s="24"/>
      <c r="AA15784" s="24"/>
    </row>
    <row r="15785">
      <c r="A15785" s="24"/>
      <c r="B15785" s="25"/>
      <c r="C15785" s="24"/>
      <c r="D15785" s="26"/>
      <c r="E15785" s="24"/>
      <c r="F15785" s="24"/>
      <c r="G15785" s="24"/>
      <c r="H15785" s="24"/>
      <c r="I15785" s="24"/>
      <c r="J15785" s="24"/>
      <c r="K15785" s="24"/>
      <c r="L15785" s="24"/>
      <c r="M15785" s="24"/>
      <c r="N15785" s="24"/>
      <c r="O15785" s="24"/>
      <c r="P15785" s="24"/>
      <c r="Q15785" s="24"/>
      <c r="R15785" s="24"/>
      <c r="S15785" s="24"/>
      <c r="T15785" s="24"/>
      <c r="U15785" s="24"/>
      <c r="V15785" s="24"/>
      <c r="W15785" s="24"/>
      <c r="X15785" s="24"/>
      <c r="Y15785" s="24"/>
      <c r="Z15785" s="24"/>
      <c r="AA15785" s="24"/>
    </row>
    <row r="15786">
      <c r="A15786" s="24"/>
      <c r="B15786" s="25"/>
      <c r="C15786" s="24"/>
      <c r="D15786" s="26"/>
      <c r="E15786" s="24"/>
      <c r="F15786" s="24"/>
      <c r="G15786" s="24"/>
      <c r="H15786" s="24"/>
      <c r="I15786" s="24"/>
      <c r="J15786" s="24"/>
      <c r="K15786" s="24"/>
      <c r="L15786" s="24"/>
      <c r="M15786" s="24"/>
      <c r="N15786" s="24"/>
      <c r="O15786" s="24"/>
      <c r="P15786" s="24"/>
      <c r="Q15786" s="24"/>
      <c r="R15786" s="24"/>
      <c r="S15786" s="24"/>
      <c r="T15786" s="24"/>
      <c r="U15786" s="24"/>
      <c r="V15786" s="24"/>
      <c r="W15786" s="24"/>
      <c r="X15786" s="24"/>
      <c r="Y15786" s="24"/>
      <c r="Z15786" s="24"/>
      <c r="AA15786" s="24"/>
    </row>
    <row r="15787">
      <c r="A15787" s="24"/>
      <c r="B15787" s="25"/>
      <c r="C15787" s="24"/>
      <c r="D15787" s="26"/>
      <c r="E15787" s="24"/>
      <c r="F15787" s="24"/>
      <c r="G15787" s="24"/>
      <c r="H15787" s="24"/>
      <c r="I15787" s="24"/>
      <c r="J15787" s="24"/>
      <c r="K15787" s="24"/>
      <c r="L15787" s="24"/>
      <c r="M15787" s="24"/>
      <c r="N15787" s="24"/>
      <c r="O15787" s="24"/>
      <c r="P15787" s="24"/>
      <c r="Q15787" s="24"/>
      <c r="R15787" s="24"/>
      <c r="S15787" s="24"/>
      <c r="T15787" s="24"/>
      <c r="U15787" s="24"/>
      <c r="V15787" s="24"/>
      <c r="W15787" s="24"/>
      <c r="X15787" s="24"/>
      <c r="Y15787" s="24"/>
      <c r="Z15787" s="24"/>
      <c r="AA15787" s="24"/>
    </row>
    <row r="15788">
      <c r="A15788" s="24"/>
      <c r="B15788" s="25"/>
      <c r="C15788" s="24"/>
      <c r="D15788" s="26"/>
      <c r="E15788" s="24"/>
      <c r="F15788" s="24"/>
      <c r="G15788" s="24"/>
      <c r="H15788" s="24"/>
      <c r="I15788" s="24"/>
      <c r="J15788" s="24"/>
      <c r="K15788" s="24"/>
      <c r="L15788" s="24"/>
      <c r="M15788" s="24"/>
      <c r="N15788" s="24"/>
      <c r="O15788" s="24"/>
      <c r="P15788" s="24"/>
      <c r="Q15788" s="24"/>
      <c r="R15788" s="24"/>
      <c r="S15788" s="24"/>
      <c r="T15788" s="24"/>
      <c r="U15788" s="24"/>
      <c r="V15788" s="24"/>
      <c r="W15788" s="24"/>
      <c r="X15788" s="24"/>
      <c r="Y15788" s="24"/>
      <c r="Z15788" s="24"/>
      <c r="AA15788" s="24"/>
    </row>
    <row r="15789">
      <c r="A15789" s="24"/>
      <c r="B15789" s="25"/>
      <c r="C15789" s="24"/>
      <c r="D15789" s="26"/>
      <c r="E15789" s="24"/>
      <c r="F15789" s="24"/>
      <c r="G15789" s="24"/>
      <c r="H15789" s="24"/>
      <c r="I15789" s="24"/>
      <c r="J15789" s="24"/>
      <c r="K15789" s="24"/>
      <c r="L15789" s="24"/>
      <c r="M15789" s="24"/>
      <c r="N15789" s="24"/>
      <c r="O15789" s="24"/>
      <c r="P15789" s="24"/>
      <c r="Q15789" s="24"/>
      <c r="R15789" s="24"/>
      <c r="S15789" s="24"/>
      <c r="T15789" s="24"/>
      <c r="U15789" s="24"/>
      <c r="V15789" s="24"/>
      <c r="W15789" s="24"/>
      <c r="X15789" s="24"/>
      <c r="Y15789" s="24"/>
      <c r="Z15789" s="24"/>
      <c r="AA15789" s="24"/>
    </row>
    <row r="15790">
      <c r="A15790" s="24"/>
      <c r="B15790" s="25"/>
      <c r="C15790" s="24"/>
      <c r="D15790" s="26"/>
      <c r="E15790" s="24"/>
      <c r="F15790" s="24"/>
      <c r="G15790" s="24"/>
      <c r="H15790" s="24"/>
      <c r="I15790" s="24"/>
      <c r="J15790" s="24"/>
      <c r="K15790" s="24"/>
      <c r="L15790" s="24"/>
      <c r="M15790" s="24"/>
      <c r="N15790" s="24"/>
      <c r="O15790" s="24"/>
      <c r="P15790" s="24"/>
      <c r="Q15790" s="24"/>
      <c r="R15790" s="24"/>
      <c r="S15790" s="24"/>
      <c r="T15790" s="24"/>
      <c r="U15790" s="24"/>
      <c r="V15790" s="24"/>
      <c r="W15790" s="24"/>
      <c r="X15790" s="24"/>
      <c r="Y15790" s="24"/>
      <c r="Z15790" s="24"/>
      <c r="AA15790" s="24"/>
    </row>
    <row r="15791">
      <c r="A15791" s="24"/>
      <c r="B15791" s="25"/>
      <c r="C15791" s="24"/>
      <c r="D15791" s="26"/>
      <c r="E15791" s="24"/>
      <c r="F15791" s="24"/>
      <c r="G15791" s="24"/>
      <c r="H15791" s="24"/>
      <c r="I15791" s="24"/>
      <c r="J15791" s="24"/>
      <c r="K15791" s="24"/>
      <c r="L15791" s="24"/>
      <c r="M15791" s="24"/>
      <c r="N15791" s="24"/>
      <c r="O15791" s="24"/>
      <c r="P15791" s="24"/>
      <c r="Q15791" s="24"/>
      <c r="R15791" s="24"/>
      <c r="S15791" s="24"/>
      <c r="T15791" s="24"/>
      <c r="U15791" s="24"/>
      <c r="V15791" s="24"/>
      <c r="W15791" s="24"/>
      <c r="X15791" s="24"/>
      <c r="Y15791" s="24"/>
      <c r="Z15791" s="24"/>
      <c r="AA15791" s="24"/>
    </row>
    <row r="15792">
      <c r="A15792" s="24"/>
      <c r="B15792" s="25"/>
      <c r="C15792" s="24"/>
      <c r="D15792" s="26"/>
      <c r="E15792" s="24"/>
      <c r="F15792" s="24"/>
      <c r="G15792" s="24"/>
      <c r="H15792" s="24"/>
      <c r="I15792" s="24"/>
      <c r="J15792" s="24"/>
      <c r="K15792" s="24"/>
      <c r="L15792" s="24"/>
      <c r="M15792" s="24"/>
      <c r="N15792" s="24"/>
      <c r="O15792" s="24"/>
      <c r="P15792" s="24"/>
      <c r="Q15792" s="24"/>
      <c r="R15792" s="24"/>
      <c r="S15792" s="24"/>
      <c r="T15792" s="24"/>
      <c r="U15792" s="24"/>
      <c r="V15792" s="24"/>
      <c r="W15792" s="24"/>
      <c r="X15792" s="24"/>
      <c r="Y15792" s="24"/>
      <c r="Z15792" s="24"/>
      <c r="AA15792" s="24"/>
    </row>
    <row r="15793">
      <c r="A15793" s="24"/>
      <c r="B15793" s="25"/>
      <c r="C15793" s="24"/>
      <c r="D15793" s="26"/>
      <c r="E15793" s="24"/>
      <c r="F15793" s="24"/>
      <c r="G15793" s="24"/>
      <c r="H15793" s="24"/>
      <c r="I15793" s="24"/>
      <c r="J15793" s="24"/>
      <c r="K15793" s="24"/>
      <c r="L15793" s="24"/>
      <c r="M15793" s="24"/>
      <c r="N15793" s="24"/>
      <c r="O15793" s="24"/>
      <c r="P15793" s="24"/>
      <c r="Q15793" s="24"/>
      <c r="R15793" s="24"/>
      <c r="S15793" s="24"/>
      <c r="T15793" s="24"/>
      <c r="U15793" s="24"/>
      <c r="V15793" s="24"/>
      <c r="W15793" s="24"/>
      <c r="X15793" s="24"/>
      <c r="Y15793" s="24"/>
      <c r="Z15793" s="24"/>
      <c r="AA15793" s="24"/>
    </row>
    <row r="15794">
      <c r="A15794" s="24"/>
      <c r="B15794" s="25"/>
      <c r="C15794" s="24"/>
      <c r="D15794" s="26"/>
      <c r="E15794" s="24"/>
      <c r="F15794" s="24"/>
      <c r="G15794" s="24"/>
      <c r="H15794" s="24"/>
      <c r="I15794" s="24"/>
      <c r="J15794" s="24"/>
      <c r="K15794" s="24"/>
      <c r="L15794" s="24"/>
      <c r="M15794" s="24"/>
      <c r="N15794" s="24"/>
      <c r="O15794" s="24"/>
      <c r="P15794" s="24"/>
      <c r="Q15794" s="24"/>
      <c r="R15794" s="24"/>
      <c r="S15794" s="24"/>
      <c r="T15794" s="24"/>
      <c r="U15794" s="24"/>
      <c r="V15794" s="24"/>
      <c r="W15794" s="24"/>
      <c r="X15794" s="24"/>
      <c r="Y15794" s="24"/>
      <c r="Z15794" s="24"/>
      <c r="AA15794" s="24"/>
    </row>
    <row r="15795">
      <c r="A15795" s="24"/>
      <c r="B15795" s="25"/>
      <c r="C15795" s="24"/>
      <c r="D15795" s="26"/>
      <c r="E15795" s="24"/>
      <c r="F15795" s="24"/>
      <c r="G15795" s="24"/>
      <c r="H15795" s="24"/>
      <c r="I15795" s="24"/>
      <c r="J15795" s="24"/>
      <c r="K15795" s="24"/>
      <c r="L15795" s="24"/>
      <c r="M15795" s="24"/>
      <c r="N15795" s="24"/>
      <c r="O15795" s="24"/>
      <c r="P15795" s="24"/>
      <c r="Q15795" s="24"/>
      <c r="R15795" s="24"/>
      <c r="S15795" s="24"/>
      <c r="T15795" s="24"/>
      <c r="U15795" s="24"/>
      <c r="V15795" s="24"/>
      <c r="W15795" s="24"/>
      <c r="X15795" s="24"/>
      <c r="Y15795" s="24"/>
      <c r="Z15795" s="24"/>
      <c r="AA15795" s="24"/>
    </row>
    <row r="15796">
      <c r="A15796" s="24"/>
      <c r="B15796" s="25"/>
      <c r="C15796" s="24"/>
      <c r="D15796" s="26"/>
      <c r="E15796" s="24"/>
      <c r="F15796" s="24"/>
      <c r="G15796" s="24"/>
      <c r="H15796" s="24"/>
      <c r="I15796" s="24"/>
      <c r="J15796" s="24"/>
      <c r="K15796" s="24"/>
      <c r="L15796" s="24"/>
      <c r="M15796" s="24"/>
      <c r="N15796" s="24"/>
      <c r="O15796" s="24"/>
      <c r="P15796" s="24"/>
      <c r="Q15796" s="24"/>
      <c r="R15796" s="24"/>
      <c r="S15796" s="24"/>
      <c r="T15796" s="24"/>
      <c r="U15796" s="24"/>
      <c r="V15796" s="24"/>
      <c r="W15796" s="24"/>
      <c r="X15796" s="24"/>
      <c r="Y15796" s="24"/>
      <c r="Z15796" s="24"/>
      <c r="AA15796" s="24"/>
    </row>
    <row r="15797">
      <c r="A15797" s="24"/>
      <c r="B15797" s="25"/>
      <c r="C15797" s="24"/>
      <c r="D15797" s="26"/>
      <c r="E15797" s="24"/>
      <c r="F15797" s="24"/>
      <c r="G15797" s="24"/>
      <c r="H15797" s="24"/>
      <c r="I15797" s="24"/>
      <c r="J15797" s="24"/>
      <c r="K15797" s="24"/>
      <c r="L15797" s="24"/>
      <c r="M15797" s="24"/>
      <c r="N15797" s="24"/>
      <c r="O15797" s="24"/>
      <c r="P15797" s="24"/>
      <c r="Q15797" s="24"/>
      <c r="R15797" s="24"/>
      <c r="S15797" s="24"/>
      <c r="T15797" s="24"/>
      <c r="U15797" s="24"/>
      <c r="V15797" s="24"/>
      <c r="W15797" s="24"/>
      <c r="X15797" s="24"/>
      <c r="Y15797" s="24"/>
      <c r="Z15797" s="24"/>
      <c r="AA15797" s="24"/>
    </row>
    <row r="15798">
      <c r="A15798" s="24"/>
      <c r="B15798" s="25"/>
      <c r="C15798" s="24"/>
      <c r="D15798" s="26"/>
      <c r="E15798" s="24"/>
      <c r="F15798" s="24"/>
      <c r="G15798" s="24"/>
      <c r="H15798" s="24"/>
      <c r="I15798" s="24"/>
      <c r="J15798" s="24"/>
      <c r="K15798" s="24"/>
      <c r="L15798" s="24"/>
      <c r="M15798" s="24"/>
      <c r="N15798" s="24"/>
      <c r="O15798" s="24"/>
      <c r="P15798" s="24"/>
      <c r="Q15798" s="24"/>
      <c r="R15798" s="24"/>
      <c r="S15798" s="24"/>
      <c r="T15798" s="24"/>
      <c r="U15798" s="24"/>
      <c r="V15798" s="24"/>
      <c r="W15798" s="24"/>
      <c r="X15798" s="24"/>
      <c r="Y15798" s="24"/>
      <c r="Z15798" s="24"/>
      <c r="AA15798" s="24"/>
    </row>
    <row r="15799">
      <c r="A15799" s="24"/>
      <c r="B15799" s="25"/>
      <c r="C15799" s="24"/>
      <c r="D15799" s="26"/>
      <c r="E15799" s="24"/>
      <c r="F15799" s="24"/>
      <c r="G15799" s="24"/>
      <c r="H15799" s="24"/>
      <c r="I15799" s="24"/>
      <c r="J15799" s="24"/>
      <c r="K15799" s="24"/>
      <c r="L15799" s="24"/>
      <c r="M15799" s="24"/>
      <c r="N15799" s="24"/>
      <c r="O15799" s="24"/>
      <c r="P15799" s="24"/>
      <c r="Q15799" s="24"/>
      <c r="R15799" s="24"/>
      <c r="S15799" s="24"/>
      <c r="T15799" s="24"/>
      <c r="U15799" s="24"/>
      <c r="V15799" s="24"/>
      <c r="W15799" s="24"/>
      <c r="X15799" s="24"/>
      <c r="Y15799" s="24"/>
      <c r="Z15799" s="24"/>
      <c r="AA15799" s="24"/>
    </row>
    <row r="15800">
      <c r="A15800" s="24"/>
      <c r="B15800" s="25"/>
      <c r="C15800" s="24"/>
      <c r="D15800" s="26"/>
      <c r="E15800" s="24"/>
      <c r="F15800" s="24"/>
      <c r="G15800" s="24"/>
      <c r="H15800" s="24"/>
      <c r="I15800" s="24"/>
      <c r="J15800" s="24"/>
      <c r="K15800" s="24"/>
      <c r="L15800" s="24"/>
      <c r="M15800" s="24"/>
      <c r="N15800" s="24"/>
      <c r="O15800" s="24"/>
      <c r="P15800" s="24"/>
      <c r="Q15800" s="24"/>
      <c r="R15800" s="24"/>
      <c r="S15800" s="24"/>
      <c r="T15800" s="24"/>
      <c r="U15800" s="24"/>
      <c r="V15800" s="24"/>
      <c r="W15800" s="24"/>
      <c r="X15800" s="24"/>
      <c r="Y15800" s="24"/>
      <c r="Z15800" s="24"/>
      <c r="AA15800" s="24"/>
    </row>
    <row r="15801">
      <c r="A15801" s="24"/>
      <c r="B15801" s="25"/>
      <c r="C15801" s="24"/>
      <c r="D15801" s="26"/>
      <c r="E15801" s="24"/>
      <c r="F15801" s="24"/>
      <c r="G15801" s="24"/>
      <c r="H15801" s="24"/>
      <c r="I15801" s="24"/>
      <c r="J15801" s="24"/>
      <c r="K15801" s="24"/>
      <c r="L15801" s="24"/>
      <c r="M15801" s="24"/>
      <c r="N15801" s="24"/>
      <c r="O15801" s="24"/>
      <c r="P15801" s="24"/>
      <c r="Q15801" s="24"/>
      <c r="R15801" s="24"/>
      <c r="S15801" s="24"/>
      <c r="T15801" s="24"/>
      <c r="U15801" s="24"/>
      <c r="V15801" s="24"/>
      <c r="W15801" s="24"/>
      <c r="X15801" s="24"/>
      <c r="Y15801" s="24"/>
      <c r="Z15801" s="24"/>
      <c r="AA15801" s="24"/>
    </row>
    <row r="15802">
      <c r="A15802" s="24"/>
      <c r="B15802" s="25"/>
      <c r="C15802" s="24"/>
      <c r="D15802" s="26"/>
      <c r="E15802" s="24"/>
      <c r="F15802" s="24"/>
      <c r="G15802" s="24"/>
      <c r="H15802" s="24"/>
      <c r="I15802" s="24"/>
      <c r="J15802" s="24"/>
      <c r="K15802" s="24"/>
      <c r="L15802" s="24"/>
      <c r="M15802" s="24"/>
      <c r="N15802" s="24"/>
      <c r="O15802" s="24"/>
      <c r="P15802" s="24"/>
      <c r="Q15802" s="24"/>
      <c r="R15802" s="24"/>
      <c r="S15802" s="24"/>
      <c r="T15802" s="24"/>
      <c r="U15802" s="24"/>
      <c r="V15802" s="24"/>
      <c r="W15802" s="24"/>
      <c r="X15802" s="24"/>
      <c r="Y15802" s="24"/>
      <c r="Z15802" s="24"/>
      <c r="AA15802" s="24"/>
    </row>
    <row r="15803">
      <c r="A15803" s="24"/>
      <c r="B15803" s="25"/>
      <c r="C15803" s="24"/>
      <c r="D15803" s="26"/>
      <c r="E15803" s="24"/>
      <c r="F15803" s="24"/>
      <c r="G15803" s="24"/>
      <c r="H15803" s="24"/>
      <c r="I15803" s="24"/>
      <c r="J15803" s="24"/>
      <c r="K15803" s="24"/>
      <c r="L15803" s="24"/>
      <c r="M15803" s="24"/>
      <c r="N15803" s="24"/>
      <c r="O15803" s="24"/>
      <c r="P15803" s="24"/>
      <c r="Q15803" s="24"/>
      <c r="R15803" s="24"/>
      <c r="S15803" s="24"/>
      <c r="T15803" s="24"/>
      <c r="U15803" s="24"/>
      <c r="V15803" s="24"/>
      <c r="W15803" s="24"/>
      <c r="X15803" s="24"/>
      <c r="Y15803" s="24"/>
      <c r="Z15803" s="24"/>
      <c r="AA15803" s="24"/>
    </row>
    <row r="15804">
      <c r="A15804" s="24"/>
      <c r="B15804" s="25"/>
      <c r="C15804" s="24"/>
      <c r="D15804" s="26"/>
      <c r="E15804" s="24"/>
      <c r="F15804" s="24"/>
      <c r="G15804" s="24"/>
      <c r="H15804" s="24"/>
      <c r="I15804" s="24"/>
      <c r="J15804" s="24"/>
      <c r="K15804" s="24"/>
      <c r="L15804" s="24"/>
      <c r="M15804" s="24"/>
      <c r="N15804" s="24"/>
      <c r="O15804" s="24"/>
      <c r="P15804" s="24"/>
      <c r="Q15804" s="24"/>
      <c r="R15804" s="24"/>
      <c r="S15804" s="24"/>
      <c r="T15804" s="24"/>
      <c r="U15804" s="24"/>
      <c r="V15804" s="24"/>
      <c r="W15804" s="24"/>
      <c r="X15804" s="24"/>
      <c r="Y15804" s="24"/>
      <c r="Z15804" s="24"/>
      <c r="AA15804" s="24"/>
    </row>
    <row r="15805">
      <c r="A15805" s="24"/>
      <c r="B15805" s="25"/>
      <c r="C15805" s="24"/>
      <c r="D15805" s="26"/>
      <c r="E15805" s="24"/>
      <c r="F15805" s="24"/>
      <c r="G15805" s="24"/>
      <c r="H15805" s="24"/>
      <c r="I15805" s="24"/>
      <c r="J15805" s="24"/>
      <c r="K15805" s="24"/>
      <c r="L15805" s="24"/>
      <c r="M15805" s="24"/>
      <c r="N15805" s="24"/>
      <c r="O15805" s="24"/>
      <c r="P15805" s="24"/>
      <c r="Q15805" s="24"/>
      <c r="R15805" s="24"/>
      <c r="S15805" s="24"/>
      <c r="T15805" s="24"/>
      <c r="U15805" s="24"/>
      <c r="V15805" s="24"/>
      <c r="W15805" s="24"/>
      <c r="X15805" s="24"/>
      <c r="Y15805" s="24"/>
      <c r="Z15805" s="24"/>
      <c r="AA15805" s="24"/>
    </row>
    <row r="15806">
      <c r="A15806" s="24"/>
      <c r="B15806" s="25"/>
      <c r="C15806" s="24"/>
      <c r="D15806" s="26"/>
      <c r="E15806" s="24"/>
      <c r="F15806" s="24"/>
      <c r="G15806" s="24"/>
      <c r="H15806" s="24"/>
      <c r="I15806" s="24"/>
      <c r="J15806" s="24"/>
      <c r="K15806" s="24"/>
      <c r="L15806" s="24"/>
      <c r="M15806" s="24"/>
      <c r="N15806" s="24"/>
      <c r="O15806" s="24"/>
      <c r="P15806" s="24"/>
      <c r="Q15806" s="24"/>
      <c r="R15806" s="24"/>
      <c r="S15806" s="24"/>
      <c r="T15806" s="24"/>
      <c r="U15806" s="24"/>
      <c r="V15806" s="24"/>
      <c r="W15806" s="24"/>
      <c r="X15806" s="24"/>
      <c r="Y15806" s="24"/>
      <c r="Z15806" s="24"/>
      <c r="AA15806" s="24"/>
    </row>
    <row r="15807">
      <c r="A15807" s="24"/>
      <c r="B15807" s="25"/>
      <c r="C15807" s="24"/>
      <c r="D15807" s="26"/>
      <c r="E15807" s="24"/>
      <c r="F15807" s="24"/>
      <c r="G15807" s="24"/>
      <c r="H15807" s="24"/>
      <c r="I15807" s="24"/>
      <c r="J15807" s="24"/>
      <c r="K15807" s="24"/>
      <c r="L15807" s="24"/>
      <c r="M15807" s="24"/>
      <c r="N15807" s="24"/>
      <c r="O15807" s="24"/>
      <c r="P15807" s="24"/>
      <c r="Q15807" s="24"/>
      <c r="R15807" s="24"/>
      <c r="S15807" s="24"/>
      <c r="T15807" s="24"/>
      <c r="U15807" s="24"/>
      <c r="V15807" s="24"/>
      <c r="W15807" s="24"/>
      <c r="X15807" s="24"/>
      <c r="Y15807" s="24"/>
      <c r="Z15807" s="24"/>
      <c r="AA15807" s="24"/>
    </row>
    <row r="15808">
      <c r="A15808" s="24"/>
      <c r="B15808" s="25"/>
      <c r="C15808" s="24"/>
      <c r="D15808" s="26"/>
      <c r="E15808" s="24"/>
      <c r="F15808" s="24"/>
      <c r="G15808" s="24"/>
      <c r="H15808" s="24"/>
      <c r="I15808" s="24"/>
      <c r="J15808" s="24"/>
      <c r="K15808" s="24"/>
      <c r="L15808" s="24"/>
      <c r="M15808" s="24"/>
      <c r="N15808" s="24"/>
      <c r="O15808" s="24"/>
      <c r="P15808" s="24"/>
      <c r="Q15808" s="24"/>
      <c r="R15808" s="24"/>
      <c r="S15808" s="24"/>
      <c r="T15808" s="24"/>
      <c r="U15808" s="24"/>
      <c r="V15808" s="24"/>
      <c r="W15808" s="24"/>
      <c r="X15808" s="24"/>
      <c r="Y15808" s="24"/>
      <c r="Z15808" s="24"/>
      <c r="AA15808" s="24"/>
    </row>
    <row r="15809">
      <c r="A15809" s="24"/>
      <c r="B15809" s="25"/>
      <c r="C15809" s="24"/>
      <c r="D15809" s="26"/>
      <c r="E15809" s="24"/>
      <c r="F15809" s="24"/>
      <c r="G15809" s="24"/>
      <c r="H15809" s="24"/>
      <c r="I15809" s="24"/>
      <c r="J15809" s="24"/>
      <c r="K15809" s="24"/>
      <c r="L15809" s="24"/>
      <c r="M15809" s="24"/>
      <c r="N15809" s="24"/>
      <c r="O15809" s="24"/>
      <c r="P15809" s="24"/>
      <c r="Q15809" s="24"/>
      <c r="R15809" s="24"/>
      <c r="S15809" s="24"/>
      <c r="T15809" s="24"/>
      <c r="U15809" s="24"/>
      <c r="V15809" s="24"/>
      <c r="W15809" s="24"/>
      <c r="X15809" s="24"/>
      <c r="Y15809" s="24"/>
      <c r="Z15809" s="24"/>
      <c r="AA15809" s="24"/>
    </row>
    <row r="15810">
      <c r="A15810" s="24"/>
      <c r="B15810" s="25"/>
      <c r="C15810" s="24"/>
      <c r="D15810" s="26"/>
      <c r="E15810" s="24"/>
      <c r="F15810" s="24"/>
      <c r="G15810" s="24"/>
      <c r="H15810" s="24"/>
      <c r="I15810" s="24"/>
      <c r="J15810" s="24"/>
      <c r="K15810" s="24"/>
      <c r="L15810" s="24"/>
      <c r="M15810" s="24"/>
      <c r="N15810" s="24"/>
      <c r="O15810" s="24"/>
      <c r="P15810" s="24"/>
      <c r="Q15810" s="24"/>
      <c r="R15810" s="24"/>
      <c r="S15810" s="24"/>
      <c r="T15810" s="24"/>
      <c r="U15810" s="24"/>
      <c r="V15810" s="24"/>
      <c r="W15810" s="24"/>
      <c r="X15810" s="24"/>
      <c r="Y15810" s="24"/>
      <c r="Z15810" s="24"/>
      <c r="AA15810" s="24"/>
    </row>
    <row r="15811">
      <c r="A15811" s="24"/>
      <c r="B15811" s="25"/>
      <c r="C15811" s="24"/>
      <c r="D15811" s="26"/>
      <c r="E15811" s="24"/>
      <c r="F15811" s="24"/>
      <c r="G15811" s="24"/>
      <c r="H15811" s="24"/>
      <c r="I15811" s="24"/>
      <c r="J15811" s="24"/>
      <c r="K15811" s="24"/>
      <c r="L15811" s="24"/>
      <c r="M15811" s="24"/>
      <c r="N15811" s="24"/>
      <c r="O15811" s="24"/>
      <c r="P15811" s="24"/>
      <c r="Q15811" s="24"/>
      <c r="R15811" s="24"/>
      <c r="S15811" s="24"/>
      <c r="T15811" s="24"/>
      <c r="U15811" s="24"/>
      <c r="V15811" s="24"/>
      <c r="W15811" s="24"/>
      <c r="X15811" s="24"/>
      <c r="Y15811" s="24"/>
      <c r="Z15811" s="24"/>
      <c r="AA15811" s="24"/>
    </row>
    <row r="15812">
      <c r="A15812" s="24"/>
      <c r="B15812" s="25"/>
      <c r="C15812" s="24"/>
      <c r="D15812" s="26"/>
      <c r="E15812" s="24"/>
      <c r="F15812" s="24"/>
      <c r="G15812" s="24"/>
      <c r="H15812" s="24"/>
      <c r="I15812" s="24"/>
      <c r="J15812" s="24"/>
      <c r="K15812" s="24"/>
      <c r="L15812" s="24"/>
      <c r="M15812" s="24"/>
      <c r="N15812" s="24"/>
      <c r="O15812" s="24"/>
      <c r="P15812" s="24"/>
      <c r="Q15812" s="24"/>
      <c r="R15812" s="24"/>
      <c r="S15812" s="24"/>
      <c r="T15812" s="24"/>
      <c r="U15812" s="24"/>
      <c r="V15812" s="24"/>
      <c r="W15812" s="24"/>
      <c r="X15812" s="24"/>
      <c r="Y15812" s="24"/>
      <c r="Z15812" s="24"/>
      <c r="AA15812" s="24"/>
    </row>
    <row r="15813">
      <c r="A15813" s="24"/>
      <c r="B15813" s="25"/>
      <c r="C15813" s="24"/>
      <c r="D15813" s="26"/>
      <c r="E15813" s="24"/>
      <c r="F15813" s="24"/>
      <c r="G15813" s="24"/>
      <c r="H15813" s="24"/>
      <c r="I15813" s="24"/>
      <c r="J15813" s="24"/>
      <c r="K15813" s="24"/>
      <c r="L15813" s="24"/>
      <c r="M15813" s="24"/>
      <c r="N15813" s="24"/>
      <c r="O15813" s="24"/>
      <c r="P15813" s="24"/>
      <c r="Q15813" s="24"/>
      <c r="R15813" s="24"/>
      <c r="S15813" s="24"/>
      <c r="T15813" s="24"/>
      <c r="U15813" s="24"/>
      <c r="V15813" s="24"/>
      <c r="W15813" s="24"/>
      <c r="X15813" s="24"/>
      <c r="Y15813" s="24"/>
      <c r="Z15813" s="24"/>
      <c r="AA15813" s="24"/>
    </row>
    <row r="15814">
      <c r="A15814" s="24"/>
      <c r="B15814" s="25"/>
      <c r="C15814" s="24"/>
      <c r="D15814" s="26"/>
      <c r="E15814" s="24"/>
      <c r="F15814" s="24"/>
      <c r="G15814" s="24"/>
      <c r="H15814" s="24"/>
      <c r="I15814" s="24"/>
      <c r="J15814" s="24"/>
      <c r="K15814" s="24"/>
      <c r="L15814" s="24"/>
      <c r="M15814" s="24"/>
      <c r="N15814" s="24"/>
      <c r="O15814" s="24"/>
      <c r="P15814" s="24"/>
      <c r="Q15814" s="24"/>
      <c r="R15814" s="24"/>
      <c r="S15814" s="24"/>
      <c r="T15814" s="24"/>
      <c r="U15814" s="24"/>
      <c r="V15814" s="24"/>
      <c r="W15814" s="24"/>
      <c r="X15814" s="24"/>
      <c r="Y15814" s="24"/>
      <c r="Z15814" s="24"/>
      <c r="AA15814" s="24"/>
    </row>
    <row r="15815">
      <c r="A15815" s="24"/>
      <c r="B15815" s="25"/>
      <c r="C15815" s="24"/>
      <c r="D15815" s="26"/>
      <c r="E15815" s="24"/>
      <c r="F15815" s="24"/>
      <c r="G15815" s="24"/>
      <c r="H15815" s="24"/>
      <c r="I15815" s="24"/>
      <c r="J15815" s="24"/>
      <c r="K15815" s="24"/>
      <c r="L15815" s="24"/>
      <c r="M15815" s="24"/>
      <c r="N15815" s="24"/>
      <c r="O15815" s="24"/>
      <c r="P15815" s="24"/>
      <c r="Q15815" s="24"/>
      <c r="R15815" s="24"/>
      <c r="S15815" s="24"/>
      <c r="T15815" s="24"/>
      <c r="U15815" s="24"/>
      <c r="V15815" s="24"/>
      <c r="W15815" s="24"/>
      <c r="X15815" s="24"/>
      <c r="Y15815" s="24"/>
      <c r="Z15815" s="24"/>
      <c r="AA15815" s="24"/>
    </row>
    <row r="15816">
      <c r="A15816" s="24"/>
      <c r="B15816" s="25"/>
      <c r="C15816" s="24"/>
      <c r="D15816" s="26"/>
      <c r="E15816" s="24"/>
      <c r="F15816" s="24"/>
      <c r="G15816" s="24"/>
      <c r="H15816" s="24"/>
      <c r="I15816" s="24"/>
      <c r="J15816" s="24"/>
      <c r="K15816" s="24"/>
      <c r="L15816" s="24"/>
      <c r="M15816" s="24"/>
      <c r="N15816" s="24"/>
      <c r="O15816" s="24"/>
      <c r="P15816" s="24"/>
      <c r="Q15816" s="24"/>
      <c r="R15816" s="24"/>
      <c r="S15816" s="24"/>
      <c r="T15816" s="24"/>
      <c r="U15816" s="24"/>
      <c r="V15816" s="24"/>
      <c r="W15816" s="24"/>
      <c r="X15816" s="24"/>
      <c r="Y15816" s="24"/>
      <c r="Z15816" s="24"/>
      <c r="AA15816" s="24"/>
    </row>
    <row r="15817">
      <c r="A15817" s="24"/>
      <c r="B15817" s="25"/>
      <c r="C15817" s="24"/>
      <c r="D15817" s="26"/>
      <c r="E15817" s="24"/>
      <c r="F15817" s="24"/>
      <c r="G15817" s="24"/>
      <c r="H15817" s="24"/>
      <c r="I15817" s="24"/>
      <c r="J15817" s="24"/>
      <c r="K15817" s="24"/>
      <c r="L15817" s="24"/>
      <c r="M15817" s="24"/>
      <c r="N15817" s="24"/>
      <c r="O15817" s="24"/>
      <c r="P15817" s="24"/>
      <c r="Q15817" s="24"/>
      <c r="R15817" s="24"/>
      <c r="S15817" s="24"/>
      <c r="T15817" s="24"/>
      <c r="U15817" s="24"/>
      <c r="V15817" s="24"/>
      <c r="W15817" s="24"/>
      <c r="X15817" s="24"/>
      <c r="Y15817" s="24"/>
      <c r="Z15817" s="24"/>
      <c r="AA15817" s="24"/>
    </row>
    <row r="15818">
      <c r="A15818" s="24"/>
      <c r="B15818" s="25"/>
      <c r="C15818" s="24"/>
      <c r="D15818" s="26"/>
      <c r="E15818" s="24"/>
      <c r="F15818" s="24"/>
      <c r="G15818" s="24"/>
      <c r="H15818" s="24"/>
      <c r="I15818" s="24"/>
      <c r="J15818" s="24"/>
      <c r="K15818" s="24"/>
      <c r="L15818" s="24"/>
      <c r="M15818" s="24"/>
      <c r="N15818" s="24"/>
      <c r="O15818" s="24"/>
      <c r="P15818" s="24"/>
      <c r="Q15818" s="24"/>
      <c r="R15818" s="24"/>
      <c r="S15818" s="24"/>
      <c r="T15818" s="24"/>
      <c r="U15818" s="24"/>
      <c r="V15818" s="24"/>
      <c r="W15818" s="24"/>
      <c r="X15818" s="24"/>
      <c r="Y15818" s="24"/>
      <c r="Z15818" s="24"/>
      <c r="AA15818" s="24"/>
    </row>
    <row r="15819">
      <c r="A15819" s="24"/>
      <c r="B15819" s="25"/>
      <c r="C15819" s="24"/>
      <c r="D15819" s="26"/>
      <c r="E15819" s="24"/>
      <c r="F15819" s="24"/>
      <c r="G15819" s="24"/>
      <c r="H15819" s="24"/>
      <c r="I15819" s="24"/>
      <c r="J15819" s="24"/>
      <c r="K15819" s="24"/>
      <c r="L15819" s="24"/>
      <c r="M15819" s="24"/>
      <c r="N15819" s="24"/>
      <c r="O15819" s="24"/>
      <c r="P15819" s="24"/>
      <c r="Q15819" s="24"/>
      <c r="R15819" s="24"/>
      <c r="S15819" s="24"/>
      <c r="T15819" s="24"/>
      <c r="U15819" s="24"/>
      <c r="V15819" s="24"/>
      <c r="W15819" s="24"/>
      <c r="X15819" s="24"/>
      <c r="Y15819" s="24"/>
      <c r="Z15819" s="24"/>
      <c r="AA15819" s="24"/>
    </row>
    <row r="15820">
      <c r="A15820" s="24"/>
      <c r="B15820" s="25"/>
      <c r="C15820" s="24"/>
      <c r="D15820" s="26"/>
      <c r="E15820" s="24"/>
      <c r="F15820" s="24"/>
      <c r="G15820" s="24"/>
      <c r="H15820" s="24"/>
      <c r="I15820" s="24"/>
      <c r="J15820" s="24"/>
      <c r="K15820" s="24"/>
      <c r="L15820" s="24"/>
      <c r="M15820" s="24"/>
      <c r="N15820" s="24"/>
      <c r="O15820" s="24"/>
      <c r="P15820" s="24"/>
      <c r="Q15820" s="24"/>
      <c r="R15820" s="24"/>
      <c r="S15820" s="24"/>
      <c r="T15820" s="24"/>
      <c r="U15820" s="24"/>
      <c r="V15820" s="24"/>
      <c r="W15820" s="24"/>
      <c r="X15820" s="24"/>
      <c r="Y15820" s="24"/>
      <c r="Z15820" s="24"/>
      <c r="AA15820" s="24"/>
    </row>
    <row r="15821">
      <c r="A15821" s="24"/>
      <c r="B15821" s="25"/>
      <c r="C15821" s="24"/>
      <c r="D15821" s="26"/>
      <c r="E15821" s="24"/>
      <c r="F15821" s="24"/>
      <c r="G15821" s="24"/>
      <c r="H15821" s="24"/>
      <c r="I15821" s="24"/>
      <c r="J15821" s="24"/>
      <c r="K15821" s="24"/>
      <c r="L15821" s="24"/>
      <c r="M15821" s="24"/>
      <c r="N15821" s="24"/>
      <c r="O15821" s="24"/>
      <c r="P15821" s="24"/>
      <c r="Q15821" s="24"/>
      <c r="R15821" s="24"/>
      <c r="S15821" s="24"/>
      <c r="T15821" s="24"/>
      <c r="U15821" s="24"/>
      <c r="V15821" s="24"/>
      <c r="W15821" s="24"/>
      <c r="X15821" s="24"/>
      <c r="Y15821" s="24"/>
      <c r="Z15821" s="24"/>
      <c r="AA15821" s="24"/>
    </row>
    <row r="15822">
      <c r="A15822" s="24"/>
      <c r="B15822" s="25"/>
      <c r="C15822" s="24"/>
      <c r="D15822" s="26"/>
      <c r="E15822" s="24"/>
      <c r="F15822" s="24"/>
      <c r="G15822" s="24"/>
      <c r="H15822" s="24"/>
      <c r="I15822" s="24"/>
      <c r="J15822" s="24"/>
      <c r="K15822" s="24"/>
      <c r="L15822" s="24"/>
      <c r="M15822" s="24"/>
      <c r="N15822" s="24"/>
      <c r="O15822" s="24"/>
      <c r="P15822" s="24"/>
      <c r="Q15822" s="24"/>
      <c r="R15822" s="24"/>
      <c r="S15822" s="24"/>
      <c r="T15822" s="24"/>
      <c r="U15822" s="24"/>
      <c r="V15822" s="24"/>
      <c r="W15822" s="24"/>
      <c r="X15822" s="24"/>
      <c r="Y15822" s="24"/>
      <c r="Z15822" s="24"/>
      <c r="AA15822" s="24"/>
    </row>
    <row r="15823">
      <c r="A15823" s="24"/>
      <c r="B15823" s="25"/>
      <c r="C15823" s="24"/>
      <c r="D15823" s="26"/>
      <c r="E15823" s="24"/>
      <c r="F15823" s="24"/>
      <c r="G15823" s="24"/>
      <c r="H15823" s="24"/>
      <c r="I15823" s="24"/>
      <c r="J15823" s="24"/>
      <c r="K15823" s="24"/>
      <c r="L15823" s="24"/>
      <c r="M15823" s="24"/>
      <c r="N15823" s="24"/>
      <c r="O15823" s="24"/>
      <c r="P15823" s="24"/>
      <c r="Q15823" s="24"/>
      <c r="R15823" s="24"/>
      <c r="S15823" s="24"/>
      <c r="T15823" s="24"/>
      <c r="U15823" s="24"/>
      <c r="V15823" s="24"/>
      <c r="W15823" s="24"/>
      <c r="X15823" s="24"/>
      <c r="Y15823" s="24"/>
      <c r="Z15823" s="24"/>
      <c r="AA15823" s="24"/>
    </row>
    <row r="15824">
      <c r="A15824" s="24"/>
      <c r="B15824" s="25"/>
      <c r="C15824" s="24"/>
      <c r="D15824" s="26"/>
      <c r="E15824" s="24"/>
      <c r="F15824" s="24"/>
      <c r="G15824" s="24"/>
      <c r="H15824" s="24"/>
      <c r="I15824" s="24"/>
      <c r="J15824" s="24"/>
      <c r="K15824" s="24"/>
      <c r="L15824" s="24"/>
      <c r="M15824" s="24"/>
      <c r="N15824" s="24"/>
      <c r="O15824" s="24"/>
      <c r="P15824" s="24"/>
      <c r="Q15824" s="24"/>
      <c r="R15824" s="24"/>
      <c r="S15824" s="24"/>
      <c r="T15824" s="24"/>
      <c r="U15824" s="24"/>
      <c r="V15824" s="24"/>
      <c r="W15824" s="24"/>
      <c r="X15824" s="24"/>
      <c r="Y15824" s="24"/>
      <c r="Z15824" s="24"/>
      <c r="AA15824" s="24"/>
    </row>
    <row r="15825">
      <c r="A15825" s="24"/>
      <c r="B15825" s="25"/>
      <c r="C15825" s="24"/>
      <c r="D15825" s="26"/>
      <c r="E15825" s="24"/>
      <c r="F15825" s="24"/>
      <c r="G15825" s="24"/>
      <c r="H15825" s="24"/>
      <c r="I15825" s="24"/>
      <c r="J15825" s="24"/>
      <c r="K15825" s="24"/>
      <c r="L15825" s="24"/>
      <c r="M15825" s="24"/>
      <c r="N15825" s="24"/>
      <c r="O15825" s="24"/>
      <c r="P15825" s="24"/>
      <c r="Q15825" s="24"/>
      <c r="R15825" s="24"/>
      <c r="S15825" s="24"/>
      <c r="T15825" s="24"/>
      <c r="U15825" s="24"/>
      <c r="V15825" s="24"/>
      <c r="W15825" s="24"/>
      <c r="X15825" s="24"/>
      <c r="Y15825" s="24"/>
      <c r="Z15825" s="24"/>
      <c r="AA15825" s="24"/>
    </row>
    <row r="15826">
      <c r="A15826" s="24"/>
      <c r="B15826" s="25"/>
      <c r="C15826" s="24"/>
      <c r="D15826" s="26"/>
      <c r="E15826" s="24"/>
      <c r="F15826" s="24"/>
      <c r="G15826" s="24"/>
      <c r="H15826" s="24"/>
      <c r="I15826" s="24"/>
      <c r="J15826" s="24"/>
      <c r="K15826" s="24"/>
      <c r="L15826" s="24"/>
      <c r="M15826" s="24"/>
      <c r="N15826" s="24"/>
      <c r="O15826" s="24"/>
      <c r="P15826" s="24"/>
      <c r="Q15826" s="24"/>
      <c r="R15826" s="24"/>
      <c r="S15826" s="24"/>
      <c r="T15826" s="24"/>
      <c r="U15826" s="24"/>
      <c r="V15826" s="24"/>
      <c r="W15826" s="24"/>
      <c r="X15826" s="24"/>
      <c r="Y15826" s="24"/>
      <c r="Z15826" s="24"/>
      <c r="AA15826" s="24"/>
    </row>
    <row r="15827">
      <c r="A15827" s="24"/>
      <c r="B15827" s="25"/>
      <c r="C15827" s="24"/>
      <c r="D15827" s="26"/>
      <c r="E15827" s="24"/>
      <c r="F15827" s="24"/>
      <c r="G15827" s="24"/>
      <c r="H15827" s="24"/>
      <c r="I15827" s="24"/>
      <c r="J15827" s="24"/>
      <c r="K15827" s="24"/>
      <c r="L15827" s="24"/>
      <c r="M15827" s="24"/>
      <c r="N15827" s="24"/>
      <c r="O15827" s="24"/>
      <c r="P15827" s="24"/>
      <c r="Q15827" s="24"/>
      <c r="R15827" s="24"/>
      <c r="S15827" s="24"/>
      <c r="T15827" s="24"/>
      <c r="U15827" s="24"/>
      <c r="V15827" s="24"/>
      <c r="W15827" s="24"/>
      <c r="X15827" s="24"/>
      <c r="Y15827" s="24"/>
      <c r="Z15827" s="24"/>
      <c r="AA15827" s="24"/>
    </row>
    <row r="15828">
      <c r="A15828" s="24"/>
      <c r="B15828" s="25"/>
      <c r="C15828" s="24"/>
      <c r="D15828" s="26"/>
      <c r="E15828" s="24"/>
      <c r="F15828" s="24"/>
      <c r="G15828" s="24"/>
      <c r="H15828" s="24"/>
      <c r="I15828" s="24"/>
      <c r="J15828" s="24"/>
      <c r="K15828" s="24"/>
      <c r="L15828" s="24"/>
      <c r="M15828" s="24"/>
      <c r="N15828" s="24"/>
      <c r="O15828" s="24"/>
      <c r="P15828" s="24"/>
      <c r="Q15828" s="24"/>
      <c r="R15828" s="24"/>
      <c r="S15828" s="24"/>
      <c r="T15828" s="24"/>
      <c r="U15828" s="24"/>
      <c r="V15828" s="24"/>
      <c r="W15828" s="24"/>
      <c r="X15828" s="24"/>
      <c r="Y15828" s="24"/>
      <c r="Z15828" s="24"/>
      <c r="AA15828" s="24"/>
    </row>
    <row r="15829">
      <c r="A15829" s="24"/>
      <c r="B15829" s="25"/>
      <c r="C15829" s="24"/>
      <c r="D15829" s="26"/>
      <c r="E15829" s="24"/>
      <c r="F15829" s="24"/>
      <c r="G15829" s="24"/>
      <c r="H15829" s="24"/>
      <c r="I15829" s="24"/>
      <c r="J15829" s="24"/>
      <c r="K15829" s="24"/>
      <c r="L15829" s="24"/>
      <c r="M15829" s="24"/>
      <c r="N15829" s="24"/>
      <c r="O15829" s="24"/>
      <c r="P15829" s="24"/>
      <c r="Q15829" s="24"/>
      <c r="R15829" s="24"/>
      <c r="S15829" s="24"/>
      <c r="T15829" s="24"/>
      <c r="U15829" s="24"/>
      <c r="V15829" s="24"/>
      <c r="W15829" s="24"/>
      <c r="X15829" s="24"/>
      <c r="Y15829" s="24"/>
      <c r="Z15829" s="24"/>
      <c r="AA15829" s="24"/>
    </row>
    <row r="15830">
      <c r="A15830" s="24"/>
      <c r="B15830" s="25"/>
      <c r="C15830" s="24"/>
      <c r="D15830" s="26"/>
      <c r="E15830" s="24"/>
      <c r="F15830" s="24"/>
      <c r="G15830" s="24"/>
      <c r="H15830" s="24"/>
      <c r="I15830" s="24"/>
      <c r="J15830" s="24"/>
      <c r="K15830" s="24"/>
      <c r="L15830" s="24"/>
      <c r="M15830" s="24"/>
      <c r="N15830" s="24"/>
      <c r="O15830" s="24"/>
      <c r="P15830" s="24"/>
      <c r="Q15830" s="24"/>
      <c r="R15830" s="24"/>
      <c r="S15830" s="24"/>
      <c r="T15830" s="24"/>
      <c r="U15830" s="24"/>
      <c r="V15830" s="24"/>
      <c r="W15830" s="24"/>
      <c r="X15830" s="24"/>
      <c r="Y15830" s="24"/>
      <c r="Z15830" s="24"/>
      <c r="AA15830" s="24"/>
    </row>
    <row r="15831">
      <c r="A15831" s="24"/>
      <c r="B15831" s="25"/>
      <c r="C15831" s="24"/>
      <c r="D15831" s="26"/>
      <c r="E15831" s="24"/>
      <c r="F15831" s="24"/>
      <c r="G15831" s="24"/>
      <c r="H15831" s="24"/>
      <c r="I15831" s="24"/>
      <c r="J15831" s="24"/>
      <c r="K15831" s="24"/>
      <c r="L15831" s="24"/>
      <c r="M15831" s="24"/>
      <c r="N15831" s="24"/>
      <c r="O15831" s="24"/>
      <c r="P15831" s="24"/>
      <c r="Q15831" s="24"/>
      <c r="R15831" s="24"/>
      <c r="S15831" s="24"/>
      <c r="T15831" s="24"/>
      <c r="U15831" s="24"/>
      <c r="V15831" s="24"/>
      <c r="W15831" s="24"/>
      <c r="X15831" s="24"/>
      <c r="Y15831" s="24"/>
      <c r="Z15831" s="24"/>
      <c r="AA15831" s="24"/>
    </row>
    <row r="15832">
      <c r="A15832" s="24"/>
      <c r="B15832" s="25"/>
      <c r="C15832" s="24"/>
      <c r="D15832" s="26"/>
      <c r="E15832" s="24"/>
      <c r="F15832" s="24"/>
      <c r="G15832" s="24"/>
      <c r="H15832" s="24"/>
      <c r="I15832" s="24"/>
      <c r="J15832" s="24"/>
      <c r="K15832" s="24"/>
      <c r="L15832" s="24"/>
      <c r="M15832" s="24"/>
      <c r="N15832" s="24"/>
      <c r="O15832" s="24"/>
      <c r="P15832" s="24"/>
      <c r="Q15832" s="24"/>
      <c r="R15832" s="24"/>
      <c r="S15832" s="24"/>
      <c r="T15832" s="24"/>
      <c r="U15832" s="24"/>
      <c r="V15832" s="24"/>
      <c r="W15832" s="24"/>
      <c r="X15832" s="24"/>
      <c r="Y15832" s="24"/>
      <c r="Z15832" s="24"/>
      <c r="AA15832" s="24"/>
    </row>
    <row r="15833">
      <c r="A15833" s="24"/>
      <c r="B15833" s="25"/>
      <c r="C15833" s="24"/>
      <c r="D15833" s="26"/>
      <c r="E15833" s="24"/>
      <c r="F15833" s="24"/>
      <c r="G15833" s="24"/>
      <c r="H15833" s="24"/>
      <c r="I15833" s="24"/>
      <c r="J15833" s="24"/>
      <c r="K15833" s="24"/>
      <c r="L15833" s="24"/>
      <c r="M15833" s="24"/>
      <c r="N15833" s="24"/>
      <c r="O15833" s="24"/>
      <c r="P15833" s="24"/>
      <c r="Q15833" s="24"/>
      <c r="R15833" s="24"/>
      <c r="S15833" s="24"/>
      <c r="T15833" s="24"/>
      <c r="U15833" s="24"/>
      <c r="V15833" s="24"/>
      <c r="W15833" s="24"/>
      <c r="X15833" s="24"/>
      <c r="Y15833" s="24"/>
      <c r="Z15833" s="24"/>
      <c r="AA15833" s="24"/>
    </row>
    <row r="15834">
      <c r="A15834" s="24"/>
      <c r="B15834" s="25"/>
      <c r="C15834" s="24"/>
      <c r="D15834" s="26"/>
      <c r="E15834" s="24"/>
      <c r="F15834" s="24"/>
      <c r="G15834" s="24"/>
      <c r="H15834" s="24"/>
      <c r="I15834" s="24"/>
      <c r="J15834" s="24"/>
      <c r="K15834" s="24"/>
      <c r="L15834" s="24"/>
      <c r="M15834" s="24"/>
      <c r="N15834" s="24"/>
      <c r="O15834" s="24"/>
      <c r="P15834" s="24"/>
      <c r="Q15834" s="24"/>
      <c r="R15834" s="24"/>
      <c r="S15834" s="24"/>
      <c r="T15834" s="24"/>
      <c r="U15834" s="24"/>
      <c r="V15834" s="24"/>
      <c r="W15834" s="24"/>
      <c r="X15834" s="24"/>
      <c r="Y15834" s="24"/>
      <c r="Z15834" s="24"/>
      <c r="AA15834" s="24"/>
    </row>
    <row r="15835">
      <c r="A15835" s="24"/>
      <c r="B15835" s="25"/>
      <c r="C15835" s="24"/>
      <c r="D15835" s="26"/>
      <c r="E15835" s="24"/>
      <c r="F15835" s="24"/>
      <c r="G15835" s="24"/>
      <c r="H15835" s="24"/>
      <c r="I15835" s="24"/>
      <c r="J15835" s="24"/>
      <c r="K15835" s="24"/>
      <c r="L15835" s="24"/>
      <c r="M15835" s="24"/>
      <c r="N15835" s="24"/>
      <c r="O15835" s="24"/>
      <c r="P15835" s="24"/>
      <c r="Q15835" s="24"/>
      <c r="R15835" s="24"/>
      <c r="S15835" s="24"/>
      <c r="T15835" s="24"/>
      <c r="U15835" s="24"/>
      <c r="V15835" s="24"/>
      <c r="W15835" s="24"/>
      <c r="X15835" s="24"/>
      <c r="Y15835" s="24"/>
      <c r="Z15835" s="24"/>
      <c r="AA15835" s="24"/>
    </row>
    <row r="15836">
      <c r="A15836" s="24"/>
      <c r="B15836" s="25"/>
      <c r="C15836" s="24"/>
      <c r="D15836" s="26"/>
      <c r="E15836" s="24"/>
      <c r="F15836" s="24"/>
      <c r="G15836" s="24"/>
      <c r="H15836" s="24"/>
      <c r="I15836" s="24"/>
      <c r="J15836" s="24"/>
      <c r="K15836" s="24"/>
      <c r="L15836" s="24"/>
      <c r="M15836" s="24"/>
      <c r="N15836" s="24"/>
      <c r="O15836" s="24"/>
      <c r="P15836" s="24"/>
      <c r="Q15836" s="24"/>
      <c r="R15836" s="24"/>
      <c r="S15836" s="24"/>
      <c r="T15836" s="24"/>
      <c r="U15836" s="24"/>
      <c r="V15836" s="24"/>
      <c r="W15836" s="24"/>
      <c r="X15836" s="24"/>
      <c r="Y15836" s="24"/>
      <c r="Z15836" s="24"/>
      <c r="AA15836" s="24"/>
    </row>
    <row r="15837">
      <c r="A15837" s="24"/>
      <c r="B15837" s="25"/>
      <c r="C15837" s="24"/>
      <c r="D15837" s="26"/>
      <c r="E15837" s="24"/>
      <c r="F15837" s="24"/>
      <c r="G15837" s="24"/>
      <c r="H15837" s="24"/>
      <c r="I15837" s="24"/>
      <c r="J15837" s="24"/>
      <c r="K15837" s="24"/>
      <c r="L15837" s="24"/>
      <c r="M15837" s="24"/>
      <c r="N15837" s="24"/>
      <c r="O15837" s="24"/>
      <c r="P15837" s="24"/>
      <c r="Q15837" s="24"/>
      <c r="R15837" s="24"/>
      <c r="S15837" s="24"/>
      <c r="T15837" s="24"/>
      <c r="U15837" s="24"/>
      <c r="V15837" s="24"/>
      <c r="W15837" s="24"/>
      <c r="X15837" s="24"/>
      <c r="Y15837" s="24"/>
      <c r="Z15837" s="24"/>
      <c r="AA15837" s="24"/>
    </row>
    <row r="15838">
      <c r="A15838" s="24"/>
      <c r="B15838" s="25"/>
      <c r="C15838" s="24"/>
      <c r="D15838" s="26"/>
      <c r="E15838" s="24"/>
      <c r="F15838" s="24"/>
      <c r="G15838" s="24"/>
      <c r="H15838" s="24"/>
      <c r="I15838" s="24"/>
      <c r="J15838" s="24"/>
      <c r="K15838" s="24"/>
      <c r="L15838" s="24"/>
      <c r="M15838" s="24"/>
      <c r="N15838" s="24"/>
      <c r="O15838" s="24"/>
      <c r="P15838" s="24"/>
      <c r="Q15838" s="24"/>
      <c r="R15838" s="24"/>
      <c r="S15838" s="24"/>
      <c r="T15838" s="24"/>
      <c r="U15838" s="24"/>
      <c r="V15838" s="24"/>
      <c r="W15838" s="24"/>
      <c r="X15838" s="24"/>
      <c r="Y15838" s="24"/>
      <c r="Z15838" s="24"/>
      <c r="AA15838" s="24"/>
    </row>
    <row r="15839">
      <c r="A15839" s="24"/>
      <c r="B15839" s="25"/>
      <c r="C15839" s="24"/>
      <c r="D15839" s="26"/>
      <c r="E15839" s="24"/>
      <c r="F15839" s="24"/>
      <c r="G15839" s="24"/>
      <c r="H15839" s="24"/>
      <c r="I15839" s="24"/>
      <c r="J15839" s="24"/>
      <c r="K15839" s="24"/>
      <c r="L15839" s="24"/>
      <c r="M15839" s="24"/>
      <c r="N15839" s="24"/>
      <c r="O15839" s="24"/>
      <c r="P15839" s="24"/>
      <c r="Q15839" s="24"/>
      <c r="R15839" s="24"/>
      <c r="S15839" s="24"/>
      <c r="T15839" s="24"/>
      <c r="U15839" s="24"/>
      <c r="V15839" s="24"/>
      <c r="W15839" s="24"/>
      <c r="X15839" s="24"/>
      <c r="Y15839" s="24"/>
      <c r="Z15839" s="24"/>
      <c r="AA15839" s="24"/>
    </row>
    <row r="15840">
      <c r="A15840" s="24"/>
      <c r="B15840" s="25"/>
      <c r="C15840" s="24"/>
      <c r="D15840" s="26"/>
      <c r="E15840" s="24"/>
      <c r="F15840" s="24"/>
      <c r="G15840" s="24"/>
      <c r="H15840" s="24"/>
      <c r="I15840" s="24"/>
      <c r="J15840" s="24"/>
      <c r="K15840" s="24"/>
      <c r="L15840" s="24"/>
      <c r="M15840" s="24"/>
      <c r="N15840" s="24"/>
      <c r="O15840" s="24"/>
      <c r="P15840" s="24"/>
      <c r="Q15840" s="24"/>
      <c r="R15840" s="24"/>
      <c r="S15840" s="24"/>
      <c r="T15840" s="24"/>
      <c r="U15840" s="24"/>
      <c r="V15840" s="24"/>
      <c r="W15840" s="24"/>
      <c r="X15840" s="24"/>
      <c r="Y15840" s="24"/>
      <c r="Z15840" s="24"/>
      <c r="AA15840" s="24"/>
    </row>
    <row r="15841">
      <c r="A15841" s="24"/>
      <c r="B15841" s="25"/>
      <c r="C15841" s="24"/>
      <c r="D15841" s="26"/>
      <c r="E15841" s="24"/>
      <c r="F15841" s="24"/>
      <c r="G15841" s="24"/>
      <c r="H15841" s="24"/>
      <c r="I15841" s="24"/>
      <c r="J15841" s="24"/>
      <c r="K15841" s="24"/>
      <c r="L15841" s="24"/>
      <c r="M15841" s="24"/>
      <c r="N15841" s="24"/>
      <c r="O15841" s="24"/>
      <c r="P15841" s="24"/>
      <c r="Q15841" s="24"/>
      <c r="R15841" s="24"/>
      <c r="S15841" s="24"/>
      <c r="T15841" s="24"/>
      <c r="U15841" s="24"/>
      <c r="V15841" s="24"/>
      <c r="W15841" s="24"/>
      <c r="X15841" s="24"/>
      <c r="Y15841" s="24"/>
      <c r="Z15841" s="24"/>
      <c r="AA15841" s="24"/>
    </row>
    <row r="15842">
      <c r="A15842" s="24"/>
      <c r="B15842" s="25"/>
      <c r="C15842" s="24"/>
      <c r="D15842" s="26"/>
      <c r="E15842" s="24"/>
      <c r="F15842" s="24"/>
      <c r="G15842" s="24"/>
      <c r="H15842" s="24"/>
      <c r="I15842" s="24"/>
      <c r="J15842" s="24"/>
      <c r="K15842" s="24"/>
      <c r="L15842" s="24"/>
      <c r="M15842" s="24"/>
      <c r="N15842" s="24"/>
      <c r="O15842" s="24"/>
      <c r="P15842" s="24"/>
      <c r="Q15842" s="24"/>
      <c r="R15842" s="24"/>
      <c r="S15842" s="24"/>
      <c r="T15842" s="24"/>
      <c r="U15842" s="24"/>
      <c r="V15842" s="24"/>
      <c r="W15842" s="24"/>
      <c r="X15842" s="24"/>
      <c r="Y15842" s="24"/>
      <c r="Z15842" s="24"/>
      <c r="AA15842" s="24"/>
    </row>
    <row r="15843">
      <c r="A15843" s="24"/>
      <c r="B15843" s="25"/>
      <c r="C15843" s="24"/>
      <c r="D15843" s="26"/>
      <c r="E15843" s="24"/>
      <c r="F15843" s="24"/>
      <c r="G15843" s="24"/>
      <c r="H15843" s="24"/>
      <c r="I15843" s="24"/>
      <c r="J15843" s="24"/>
      <c r="K15843" s="24"/>
      <c r="L15843" s="24"/>
      <c r="M15843" s="24"/>
      <c r="N15843" s="24"/>
      <c r="O15843" s="24"/>
      <c r="P15843" s="24"/>
      <c r="Q15843" s="24"/>
      <c r="R15843" s="24"/>
      <c r="S15843" s="24"/>
      <c r="T15843" s="24"/>
      <c r="U15843" s="24"/>
      <c r="V15843" s="24"/>
      <c r="W15843" s="24"/>
      <c r="X15843" s="24"/>
      <c r="Y15843" s="24"/>
      <c r="Z15843" s="24"/>
      <c r="AA15843" s="24"/>
    </row>
    <row r="15844">
      <c r="A15844" s="24"/>
      <c r="B15844" s="25"/>
      <c r="C15844" s="24"/>
      <c r="D15844" s="26"/>
      <c r="E15844" s="24"/>
      <c r="F15844" s="24"/>
      <c r="G15844" s="24"/>
      <c r="H15844" s="24"/>
      <c r="I15844" s="24"/>
      <c r="J15844" s="24"/>
      <c r="K15844" s="24"/>
      <c r="L15844" s="24"/>
      <c r="M15844" s="24"/>
      <c r="N15844" s="24"/>
      <c r="O15844" s="24"/>
      <c r="P15844" s="24"/>
      <c r="Q15844" s="24"/>
      <c r="R15844" s="24"/>
      <c r="S15844" s="24"/>
      <c r="T15844" s="24"/>
      <c r="U15844" s="24"/>
      <c r="V15844" s="24"/>
      <c r="W15844" s="24"/>
      <c r="X15844" s="24"/>
      <c r="Y15844" s="24"/>
      <c r="Z15844" s="24"/>
      <c r="AA15844" s="24"/>
    </row>
    <row r="15845">
      <c r="A15845" s="24"/>
      <c r="B15845" s="25"/>
      <c r="C15845" s="24"/>
      <c r="D15845" s="26"/>
      <c r="E15845" s="24"/>
      <c r="F15845" s="24"/>
      <c r="G15845" s="24"/>
      <c r="H15845" s="24"/>
      <c r="I15845" s="24"/>
      <c r="J15845" s="24"/>
      <c r="K15845" s="24"/>
      <c r="L15845" s="24"/>
      <c r="M15845" s="24"/>
      <c r="N15845" s="24"/>
      <c r="O15845" s="24"/>
      <c r="P15845" s="24"/>
      <c r="Q15845" s="24"/>
      <c r="R15845" s="24"/>
      <c r="S15845" s="24"/>
      <c r="T15845" s="24"/>
      <c r="U15845" s="24"/>
      <c r="V15845" s="24"/>
      <c r="W15845" s="24"/>
      <c r="X15845" s="24"/>
      <c r="Y15845" s="24"/>
      <c r="Z15845" s="24"/>
      <c r="AA15845" s="24"/>
    </row>
    <row r="15846">
      <c r="A15846" s="24"/>
      <c r="B15846" s="25"/>
      <c r="C15846" s="24"/>
      <c r="D15846" s="26"/>
      <c r="E15846" s="24"/>
      <c r="F15846" s="24"/>
      <c r="G15846" s="24"/>
      <c r="H15846" s="24"/>
      <c r="I15846" s="24"/>
      <c r="J15846" s="24"/>
      <c r="K15846" s="24"/>
      <c r="L15846" s="24"/>
      <c r="M15846" s="24"/>
      <c r="N15846" s="24"/>
      <c r="O15846" s="24"/>
      <c r="P15846" s="24"/>
      <c r="Q15846" s="24"/>
      <c r="R15846" s="24"/>
      <c r="S15846" s="24"/>
      <c r="T15846" s="24"/>
      <c r="U15846" s="24"/>
      <c r="V15846" s="24"/>
      <c r="W15846" s="24"/>
      <c r="X15846" s="24"/>
      <c r="Y15846" s="24"/>
      <c r="Z15846" s="24"/>
      <c r="AA15846" s="24"/>
    </row>
    <row r="15847">
      <c r="A15847" s="24"/>
      <c r="B15847" s="25"/>
      <c r="C15847" s="24"/>
      <c r="D15847" s="26"/>
      <c r="E15847" s="24"/>
      <c r="F15847" s="24"/>
      <c r="G15847" s="24"/>
      <c r="H15847" s="24"/>
      <c r="I15847" s="24"/>
      <c r="J15847" s="24"/>
      <c r="K15847" s="24"/>
      <c r="L15847" s="24"/>
      <c r="M15847" s="24"/>
      <c r="N15847" s="24"/>
      <c r="O15847" s="24"/>
      <c r="P15847" s="24"/>
      <c r="Q15847" s="24"/>
      <c r="R15847" s="24"/>
      <c r="S15847" s="24"/>
      <c r="T15847" s="24"/>
      <c r="U15847" s="24"/>
      <c r="V15847" s="24"/>
      <c r="W15847" s="24"/>
      <c r="X15847" s="24"/>
      <c r="Y15847" s="24"/>
      <c r="Z15847" s="24"/>
      <c r="AA15847" s="24"/>
    </row>
    <row r="15848">
      <c r="A15848" s="24"/>
      <c r="B15848" s="25"/>
      <c r="C15848" s="24"/>
      <c r="D15848" s="26"/>
      <c r="E15848" s="24"/>
      <c r="F15848" s="24"/>
      <c r="G15848" s="24"/>
      <c r="H15848" s="24"/>
      <c r="I15848" s="24"/>
      <c r="J15848" s="24"/>
      <c r="K15848" s="24"/>
      <c r="L15848" s="24"/>
      <c r="M15848" s="24"/>
      <c r="N15848" s="24"/>
      <c r="O15848" s="24"/>
      <c r="P15848" s="24"/>
      <c r="Q15848" s="24"/>
      <c r="R15848" s="24"/>
      <c r="S15848" s="24"/>
      <c r="T15848" s="24"/>
      <c r="U15848" s="24"/>
      <c r="V15848" s="24"/>
      <c r="W15848" s="24"/>
      <c r="X15848" s="24"/>
      <c r="Y15848" s="24"/>
      <c r="Z15848" s="24"/>
      <c r="AA15848" s="24"/>
    </row>
    <row r="15849">
      <c r="A15849" s="24"/>
      <c r="B15849" s="25"/>
      <c r="C15849" s="24"/>
      <c r="D15849" s="26"/>
      <c r="E15849" s="24"/>
      <c r="F15849" s="24"/>
      <c r="G15849" s="24"/>
      <c r="H15849" s="24"/>
      <c r="I15849" s="24"/>
      <c r="J15849" s="24"/>
      <c r="K15849" s="24"/>
      <c r="L15849" s="24"/>
      <c r="M15849" s="24"/>
      <c r="N15849" s="24"/>
      <c r="O15849" s="24"/>
      <c r="P15849" s="24"/>
      <c r="Q15849" s="24"/>
      <c r="R15849" s="24"/>
      <c r="S15849" s="24"/>
      <c r="T15849" s="24"/>
      <c r="U15849" s="24"/>
      <c r="V15849" s="24"/>
      <c r="W15849" s="24"/>
      <c r="X15849" s="24"/>
      <c r="Y15849" s="24"/>
      <c r="Z15849" s="24"/>
      <c r="AA15849" s="24"/>
    </row>
    <row r="15850">
      <c r="A15850" s="24"/>
      <c r="B15850" s="25"/>
      <c r="C15850" s="24"/>
      <c r="D15850" s="26"/>
      <c r="E15850" s="24"/>
      <c r="F15850" s="24"/>
      <c r="G15850" s="24"/>
      <c r="H15850" s="24"/>
      <c r="I15850" s="24"/>
      <c r="J15850" s="24"/>
      <c r="K15850" s="24"/>
      <c r="L15850" s="24"/>
      <c r="M15850" s="24"/>
      <c r="N15850" s="24"/>
      <c r="O15850" s="24"/>
      <c r="P15850" s="24"/>
      <c r="Q15850" s="24"/>
      <c r="R15850" s="24"/>
      <c r="S15850" s="24"/>
      <c r="T15850" s="24"/>
      <c r="U15850" s="24"/>
      <c r="V15850" s="24"/>
      <c r="W15850" s="24"/>
      <c r="X15850" s="24"/>
      <c r="Y15850" s="24"/>
      <c r="Z15850" s="24"/>
      <c r="AA15850" s="24"/>
    </row>
    <row r="15851">
      <c r="A15851" s="24"/>
      <c r="B15851" s="25"/>
      <c r="C15851" s="24"/>
      <c r="D15851" s="26"/>
      <c r="E15851" s="24"/>
      <c r="F15851" s="24"/>
      <c r="G15851" s="24"/>
      <c r="H15851" s="24"/>
      <c r="I15851" s="24"/>
      <c r="J15851" s="24"/>
      <c r="K15851" s="24"/>
      <c r="L15851" s="24"/>
      <c r="M15851" s="24"/>
      <c r="N15851" s="24"/>
      <c r="O15851" s="24"/>
      <c r="P15851" s="24"/>
      <c r="Q15851" s="24"/>
      <c r="R15851" s="24"/>
      <c r="S15851" s="24"/>
      <c r="T15851" s="24"/>
      <c r="U15851" s="24"/>
      <c r="V15851" s="24"/>
      <c r="W15851" s="24"/>
      <c r="X15851" s="24"/>
      <c r="Y15851" s="24"/>
      <c r="Z15851" s="24"/>
      <c r="AA15851" s="24"/>
    </row>
    <row r="15852">
      <c r="A15852" s="24"/>
      <c r="B15852" s="25"/>
      <c r="C15852" s="24"/>
      <c r="D15852" s="26"/>
      <c r="E15852" s="24"/>
      <c r="F15852" s="24"/>
      <c r="G15852" s="24"/>
      <c r="H15852" s="24"/>
      <c r="I15852" s="24"/>
      <c r="J15852" s="24"/>
      <c r="K15852" s="24"/>
      <c r="L15852" s="24"/>
      <c r="M15852" s="24"/>
      <c r="N15852" s="24"/>
      <c r="O15852" s="24"/>
      <c r="P15852" s="24"/>
      <c r="Q15852" s="24"/>
      <c r="R15852" s="24"/>
      <c r="S15852" s="24"/>
      <c r="T15852" s="24"/>
      <c r="U15852" s="24"/>
      <c r="V15852" s="24"/>
      <c r="W15852" s="24"/>
      <c r="X15852" s="24"/>
      <c r="Y15852" s="24"/>
      <c r="Z15852" s="24"/>
      <c r="AA15852" s="24"/>
    </row>
    <row r="15853">
      <c r="A15853" s="24"/>
      <c r="B15853" s="25"/>
      <c r="C15853" s="24"/>
      <c r="D15853" s="26"/>
      <c r="E15853" s="24"/>
      <c r="F15853" s="24"/>
      <c r="G15853" s="24"/>
      <c r="H15853" s="24"/>
      <c r="I15853" s="24"/>
      <c r="J15853" s="24"/>
      <c r="K15853" s="24"/>
      <c r="L15853" s="24"/>
      <c r="M15853" s="24"/>
      <c r="N15853" s="24"/>
      <c r="O15853" s="24"/>
      <c r="P15853" s="24"/>
      <c r="Q15853" s="24"/>
      <c r="R15853" s="24"/>
      <c r="S15853" s="24"/>
      <c r="T15853" s="24"/>
      <c r="U15853" s="24"/>
      <c r="V15853" s="24"/>
      <c r="W15853" s="24"/>
      <c r="X15853" s="24"/>
      <c r="Y15853" s="24"/>
      <c r="Z15853" s="24"/>
      <c r="AA15853" s="24"/>
    </row>
    <row r="15854">
      <c r="A15854" s="24"/>
      <c r="B15854" s="25"/>
      <c r="C15854" s="24"/>
      <c r="D15854" s="26"/>
      <c r="E15854" s="24"/>
      <c r="F15854" s="24"/>
      <c r="G15854" s="24"/>
      <c r="H15854" s="24"/>
      <c r="I15854" s="24"/>
      <c r="J15854" s="24"/>
      <c r="K15854" s="24"/>
      <c r="L15854" s="24"/>
      <c r="M15854" s="24"/>
      <c r="N15854" s="24"/>
      <c r="O15854" s="24"/>
      <c r="P15854" s="24"/>
      <c r="Q15854" s="24"/>
      <c r="R15854" s="24"/>
      <c r="S15854" s="24"/>
      <c r="T15854" s="24"/>
      <c r="U15854" s="24"/>
      <c r="V15854" s="24"/>
      <c r="W15854" s="24"/>
      <c r="X15854" s="24"/>
      <c r="Y15854" s="24"/>
      <c r="Z15854" s="24"/>
      <c r="AA15854" s="24"/>
    </row>
    <row r="15855">
      <c r="A15855" s="24"/>
      <c r="B15855" s="25"/>
      <c r="C15855" s="24"/>
      <c r="D15855" s="26"/>
      <c r="E15855" s="24"/>
      <c r="F15855" s="24"/>
      <c r="G15855" s="24"/>
      <c r="H15855" s="24"/>
      <c r="I15855" s="24"/>
      <c r="J15855" s="24"/>
      <c r="K15855" s="24"/>
      <c r="L15855" s="24"/>
      <c r="M15855" s="24"/>
      <c r="N15855" s="24"/>
      <c r="O15855" s="24"/>
      <c r="P15855" s="24"/>
      <c r="Q15855" s="24"/>
      <c r="R15855" s="24"/>
      <c r="S15855" s="24"/>
      <c r="T15855" s="24"/>
      <c r="U15855" s="24"/>
      <c r="V15855" s="24"/>
      <c r="W15855" s="24"/>
      <c r="X15855" s="24"/>
      <c r="Y15855" s="24"/>
      <c r="Z15855" s="24"/>
      <c r="AA15855" s="24"/>
    </row>
    <row r="15856">
      <c r="A15856" s="24"/>
      <c r="B15856" s="25"/>
      <c r="C15856" s="24"/>
      <c r="D15856" s="26"/>
      <c r="E15856" s="24"/>
      <c r="F15856" s="24"/>
      <c r="G15856" s="24"/>
      <c r="H15856" s="24"/>
      <c r="I15856" s="24"/>
      <c r="J15856" s="24"/>
      <c r="K15856" s="24"/>
      <c r="L15856" s="24"/>
      <c r="M15856" s="24"/>
      <c r="N15856" s="24"/>
      <c r="O15856" s="24"/>
      <c r="P15856" s="24"/>
      <c r="Q15856" s="24"/>
      <c r="R15856" s="24"/>
      <c r="S15856" s="24"/>
      <c r="T15856" s="24"/>
      <c r="U15856" s="24"/>
      <c r="V15856" s="24"/>
      <c r="W15856" s="24"/>
      <c r="X15856" s="24"/>
      <c r="Y15856" s="24"/>
      <c r="Z15856" s="24"/>
      <c r="AA15856" s="24"/>
    </row>
    <row r="15857">
      <c r="A15857" s="24"/>
      <c r="B15857" s="25"/>
      <c r="C15857" s="24"/>
      <c r="D15857" s="26"/>
      <c r="E15857" s="24"/>
      <c r="F15857" s="24"/>
      <c r="G15857" s="24"/>
      <c r="H15857" s="24"/>
      <c r="I15857" s="24"/>
      <c r="J15857" s="24"/>
      <c r="K15857" s="24"/>
      <c r="L15857" s="24"/>
      <c r="M15857" s="24"/>
      <c r="N15857" s="24"/>
      <c r="O15857" s="24"/>
      <c r="P15857" s="24"/>
      <c r="Q15857" s="24"/>
      <c r="R15857" s="24"/>
      <c r="S15857" s="24"/>
      <c r="T15857" s="24"/>
      <c r="U15857" s="24"/>
      <c r="V15857" s="24"/>
      <c r="W15857" s="24"/>
      <c r="X15857" s="24"/>
      <c r="Y15857" s="24"/>
      <c r="Z15857" s="24"/>
      <c r="AA15857" s="24"/>
    </row>
    <row r="15858">
      <c r="A15858" s="24"/>
      <c r="B15858" s="25"/>
      <c r="C15858" s="24"/>
      <c r="D15858" s="26"/>
      <c r="E15858" s="24"/>
      <c r="F15858" s="24"/>
      <c r="G15858" s="24"/>
      <c r="H15858" s="24"/>
      <c r="I15858" s="24"/>
      <c r="J15858" s="24"/>
      <c r="K15858" s="24"/>
      <c r="L15858" s="24"/>
      <c r="M15858" s="24"/>
      <c r="N15858" s="24"/>
      <c r="O15858" s="24"/>
      <c r="P15858" s="24"/>
      <c r="Q15858" s="24"/>
      <c r="R15858" s="24"/>
      <c r="S15858" s="24"/>
      <c r="T15858" s="24"/>
      <c r="U15858" s="24"/>
      <c r="V15858" s="24"/>
      <c r="W15858" s="24"/>
      <c r="X15858" s="24"/>
      <c r="Y15858" s="24"/>
      <c r="Z15858" s="24"/>
      <c r="AA15858" s="24"/>
    </row>
    <row r="15859">
      <c r="A15859" s="24"/>
      <c r="B15859" s="25"/>
      <c r="C15859" s="24"/>
      <c r="D15859" s="26"/>
      <c r="E15859" s="24"/>
      <c r="F15859" s="24"/>
      <c r="G15859" s="24"/>
      <c r="H15859" s="24"/>
      <c r="I15859" s="24"/>
      <c r="J15859" s="24"/>
      <c r="K15859" s="24"/>
      <c r="L15859" s="24"/>
      <c r="M15859" s="24"/>
      <c r="N15859" s="24"/>
      <c r="O15859" s="24"/>
      <c r="P15859" s="24"/>
      <c r="Q15859" s="24"/>
      <c r="R15859" s="24"/>
      <c r="S15859" s="24"/>
      <c r="T15859" s="24"/>
      <c r="U15859" s="24"/>
      <c r="V15859" s="24"/>
      <c r="W15859" s="24"/>
      <c r="X15859" s="24"/>
      <c r="Y15859" s="24"/>
      <c r="Z15859" s="24"/>
      <c r="AA15859" s="24"/>
    </row>
    <row r="15860">
      <c r="A15860" s="24"/>
      <c r="B15860" s="25"/>
      <c r="C15860" s="24"/>
      <c r="D15860" s="26"/>
      <c r="E15860" s="24"/>
      <c r="F15860" s="24"/>
      <c r="G15860" s="24"/>
      <c r="H15860" s="24"/>
      <c r="I15860" s="24"/>
      <c r="J15860" s="24"/>
      <c r="K15860" s="24"/>
      <c r="L15860" s="24"/>
      <c r="M15860" s="24"/>
      <c r="N15860" s="24"/>
      <c r="O15860" s="24"/>
      <c r="P15860" s="24"/>
      <c r="Q15860" s="24"/>
      <c r="R15860" s="24"/>
      <c r="S15860" s="24"/>
      <c r="T15860" s="24"/>
      <c r="U15860" s="24"/>
      <c r="V15860" s="24"/>
      <c r="W15860" s="24"/>
      <c r="X15860" s="24"/>
      <c r="Y15860" s="24"/>
      <c r="Z15860" s="24"/>
      <c r="AA15860" s="24"/>
    </row>
    <row r="15861">
      <c r="A15861" s="24"/>
      <c r="B15861" s="25"/>
      <c r="C15861" s="24"/>
      <c r="D15861" s="26"/>
      <c r="E15861" s="24"/>
      <c r="F15861" s="24"/>
      <c r="G15861" s="24"/>
      <c r="H15861" s="24"/>
      <c r="I15861" s="24"/>
      <c r="J15861" s="24"/>
      <c r="K15861" s="24"/>
      <c r="L15861" s="24"/>
      <c r="M15861" s="24"/>
      <c r="N15861" s="24"/>
      <c r="O15861" s="24"/>
      <c r="P15861" s="24"/>
      <c r="Q15861" s="24"/>
      <c r="R15861" s="24"/>
      <c r="S15861" s="24"/>
      <c r="T15861" s="24"/>
      <c r="U15861" s="24"/>
      <c r="V15861" s="24"/>
      <c r="W15861" s="24"/>
      <c r="X15861" s="24"/>
      <c r="Y15861" s="24"/>
      <c r="Z15861" s="24"/>
      <c r="AA15861" s="24"/>
    </row>
    <row r="15862">
      <c r="A15862" s="24"/>
      <c r="B15862" s="25"/>
      <c r="C15862" s="24"/>
      <c r="D15862" s="26"/>
      <c r="E15862" s="24"/>
      <c r="F15862" s="24"/>
      <c r="G15862" s="24"/>
      <c r="H15862" s="24"/>
      <c r="I15862" s="24"/>
      <c r="J15862" s="24"/>
      <c r="K15862" s="24"/>
      <c r="L15862" s="24"/>
      <c r="M15862" s="24"/>
      <c r="N15862" s="24"/>
      <c r="O15862" s="24"/>
      <c r="P15862" s="24"/>
      <c r="Q15862" s="24"/>
      <c r="R15862" s="24"/>
      <c r="S15862" s="24"/>
      <c r="T15862" s="24"/>
      <c r="U15862" s="24"/>
      <c r="V15862" s="24"/>
      <c r="W15862" s="24"/>
      <c r="X15862" s="24"/>
      <c r="Y15862" s="24"/>
      <c r="Z15862" s="24"/>
      <c r="AA15862" s="24"/>
    </row>
    <row r="15863">
      <c r="A15863" s="24"/>
      <c r="B15863" s="25"/>
      <c r="C15863" s="24"/>
      <c r="D15863" s="26"/>
      <c r="E15863" s="24"/>
      <c r="F15863" s="24"/>
      <c r="G15863" s="24"/>
      <c r="H15863" s="24"/>
      <c r="I15863" s="24"/>
      <c r="J15863" s="24"/>
      <c r="K15863" s="24"/>
      <c r="L15863" s="24"/>
      <c r="M15863" s="24"/>
      <c r="N15863" s="24"/>
      <c r="O15863" s="24"/>
      <c r="P15863" s="24"/>
      <c r="Q15863" s="24"/>
      <c r="R15863" s="24"/>
      <c r="S15863" s="24"/>
      <c r="T15863" s="24"/>
      <c r="U15863" s="24"/>
      <c r="V15863" s="24"/>
      <c r="W15863" s="24"/>
      <c r="X15863" s="24"/>
      <c r="Y15863" s="24"/>
      <c r="Z15863" s="24"/>
      <c r="AA15863" s="24"/>
    </row>
    <row r="15864">
      <c r="A15864" s="24"/>
      <c r="B15864" s="25"/>
      <c r="C15864" s="24"/>
      <c r="D15864" s="26"/>
      <c r="E15864" s="24"/>
      <c r="F15864" s="24"/>
      <c r="G15864" s="24"/>
      <c r="H15864" s="24"/>
      <c r="I15864" s="24"/>
      <c r="J15864" s="24"/>
      <c r="K15864" s="24"/>
      <c r="L15864" s="24"/>
      <c r="M15864" s="24"/>
      <c r="N15864" s="24"/>
      <c r="O15864" s="24"/>
      <c r="P15864" s="24"/>
      <c r="Q15864" s="24"/>
      <c r="R15864" s="24"/>
      <c r="S15864" s="24"/>
      <c r="T15864" s="24"/>
      <c r="U15864" s="24"/>
      <c r="V15864" s="24"/>
      <c r="W15864" s="24"/>
      <c r="X15864" s="24"/>
      <c r="Y15864" s="24"/>
      <c r="Z15864" s="24"/>
      <c r="AA15864" s="24"/>
    </row>
    <row r="15865">
      <c r="A15865" s="24"/>
      <c r="B15865" s="25"/>
      <c r="C15865" s="24"/>
      <c r="D15865" s="26"/>
      <c r="E15865" s="24"/>
      <c r="F15865" s="24"/>
      <c r="G15865" s="24"/>
      <c r="H15865" s="24"/>
      <c r="I15865" s="24"/>
      <c r="J15865" s="24"/>
      <c r="K15865" s="24"/>
      <c r="L15865" s="24"/>
      <c r="M15865" s="24"/>
      <c r="N15865" s="24"/>
      <c r="O15865" s="24"/>
      <c r="P15865" s="24"/>
      <c r="Q15865" s="24"/>
      <c r="R15865" s="24"/>
      <c r="S15865" s="24"/>
      <c r="T15865" s="24"/>
      <c r="U15865" s="24"/>
      <c r="V15865" s="24"/>
      <c r="W15865" s="24"/>
      <c r="X15865" s="24"/>
      <c r="Y15865" s="24"/>
      <c r="Z15865" s="24"/>
      <c r="AA15865" s="24"/>
    </row>
    <row r="15866">
      <c r="A15866" s="24"/>
      <c r="B15866" s="25"/>
      <c r="C15866" s="24"/>
      <c r="D15866" s="26"/>
      <c r="E15866" s="24"/>
      <c r="F15866" s="24"/>
      <c r="G15866" s="24"/>
      <c r="H15866" s="24"/>
      <c r="I15866" s="24"/>
      <c r="J15866" s="24"/>
      <c r="K15866" s="24"/>
      <c r="L15866" s="24"/>
      <c r="M15866" s="24"/>
      <c r="N15866" s="24"/>
      <c r="O15866" s="24"/>
      <c r="P15866" s="24"/>
      <c r="Q15866" s="24"/>
      <c r="R15866" s="24"/>
      <c r="S15866" s="24"/>
      <c r="T15866" s="24"/>
      <c r="U15866" s="24"/>
      <c r="V15866" s="24"/>
      <c r="W15866" s="24"/>
      <c r="X15866" s="24"/>
      <c r="Y15866" s="24"/>
      <c r="Z15866" s="24"/>
      <c r="AA15866" s="24"/>
    </row>
    <row r="15867">
      <c r="A15867" s="24"/>
      <c r="B15867" s="25"/>
      <c r="C15867" s="24"/>
      <c r="D15867" s="26"/>
      <c r="E15867" s="24"/>
      <c r="F15867" s="24"/>
      <c r="G15867" s="24"/>
      <c r="H15867" s="24"/>
      <c r="I15867" s="24"/>
      <c r="J15867" s="24"/>
      <c r="K15867" s="24"/>
      <c r="L15867" s="24"/>
      <c r="M15867" s="24"/>
      <c r="N15867" s="24"/>
      <c r="O15867" s="24"/>
      <c r="P15867" s="24"/>
      <c r="Q15867" s="24"/>
      <c r="R15867" s="24"/>
      <c r="S15867" s="24"/>
      <c r="T15867" s="24"/>
      <c r="U15867" s="24"/>
      <c r="V15867" s="24"/>
      <c r="W15867" s="24"/>
      <c r="X15867" s="24"/>
      <c r="Y15867" s="24"/>
      <c r="Z15867" s="24"/>
      <c r="AA15867" s="24"/>
    </row>
    <row r="15868">
      <c r="A15868" s="24"/>
      <c r="B15868" s="25"/>
      <c r="C15868" s="24"/>
      <c r="D15868" s="26"/>
      <c r="E15868" s="24"/>
      <c r="F15868" s="24"/>
      <c r="G15868" s="24"/>
      <c r="H15868" s="24"/>
      <c r="I15868" s="24"/>
      <c r="J15868" s="24"/>
      <c r="K15868" s="24"/>
      <c r="L15868" s="24"/>
      <c r="M15868" s="24"/>
      <c r="N15868" s="24"/>
      <c r="O15868" s="24"/>
      <c r="P15868" s="24"/>
      <c r="Q15868" s="24"/>
      <c r="R15868" s="24"/>
      <c r="S15868" s="24"/>
      <c r="T15868" s="24"/>
      <c r="U15868" s="24"/>
      <c r="V15868" s="24"/>
      <c r="W15868" s="24"/>
      <c r="X15868" s="24"/>
      <c r="Y15868" s="24"/>
      <c r="Z15868" s="24"/>
      <c r="AA15868" s="24"/>
    </row>
    <row r="15869">
      <c r="A15869" s="24"/>
      <c r="B15869" s="25"/>
      <c r="C15869" s="24"/>
      <c r="D15869" s="26"/>
      <c r="E15869" s="24"/>
      <c r="F15869" s="24"/>
      <c r="G15869" s="24"/>
      <c r="H15869" s="24"/>
      <c r="I15869" s="24"/>
      <c r="J15869" s="24"/>
      <c r="K15869" s="24"/>
      <c r="L15869" s="24"/>
      <c r="M15869" s="24"/>
      <c r="N15869" s="24"/>
      <c r="O15869" s="24"/>
      <c r="P15869" s="24"/>
      <c r="Q15869" s="24"/>
      <c r="R15869" s="24"/>
      <c r="S15869" s="24"/>
      <c r="T15869" s="24"/>
      <c r="U15869" s="24"/>
      <c r="V15869" s="24"/>
      <c r="W15869" s="24"/>
      <c r="X15869" s="24"/>
      <c r="Y15869" s="24"/>
      <c r="Z15869" s="24"/>
      <c r="AA15869" s="24"/>
    </row>
    <row r="15870">
      <c r="A15870" s="24"/>
      <c r="B15870" s="25"/>
      <c r="C15870" s="24"/>
      <c r="D15870" s="26"/>
      <c r="E15870" s="24"/>
      <c r="F15870" s="24"/>
      <c r="G15870" s="24"/>
      <c r="H15870" s="24"/>
      <c r="I15870" s="24"/>
      <c r="J15870" s="24"/>
      <c r="K15870" s="24"/>
      <c r="L15870" s="24"/>
      <c r="M15870" s="24"/>
      <c r="N15870" s="24"/>
      <c r="O15870" s="24"/>
      <c r="P15870" s="24"/>
      <c r="Q15870" s="24"/>
      <c r="R15870" s="24"/>
      <c r="S15870" s="24"/>
      <c r="T15870" s="24"/>
      <c r="U15870" s="24"/>
      <c r="V15870" s="24"/>
      <c r="W15870" s="24"/>
      <c r="X15870" s="24"/>
      <c r="Y15870" s="24"/>
      <c r="Z15870" s="24"/>
      <c r="AA15870" s="24"/>
    </row>
    <row r="15871">
      <c r="A15871" s="24"/>
      <c r="B15871" s="25"/>
      <c r="C15871" s="24"/>
      <c r="D15871" s="26"/>
      <c r="E15871" s="24"/>
      <c r="F15871" s="24"/>
      <c r="G15871" s="24"/>
      <c r="H15871" s="24"/>
      <c r="I15871" s="24"/>
      <c r="J15871" s="24"/>
      <c r="K15871" s="24"/>
      <c r="L15871" s="24"/>
      <c r="M15871" s="24"/>
      <c r="N15871" s="24"/>
      <c r="O15871" s="24"/>
      <c r="P15871" s="24"/>
      <c r="Q15871" s="24"/>
      <c r="R15871" s="24"/>
      <c r="S15871" s="24"/>
      <c r="T15871" s="24"/>
      <c r="U15871" s="24"/>
      <c r="V15871" s="24"/>
      <c r="W15871" s="24"/>
      <c r="X15871" s="24"/>
      <c r="Y15871" s="24"/>
      <c r="Z15871" s="24"/>
      <c r="AA15871" s="24"/>
    </row>
    <row r="15872">
      <c r="A15872" s="24"/>
      <c r="B15872" s="25"/>
      <c r="C15872" s="24"/>
      <c r="D15872" s="26"/>
      <c r="E15872" s="24"/>
      <c r="F15872" s="24"/>
      <c r="G15872" s="24"/>
      <c r="H15872" s="24"/>
      <c r="I15872" s="24"/>
      <c r="J15872" s="24"/>
      <c r="K15872" s="24"/>
      <c r="L15872" s="24"/>
      <c r="M15872" s="24"/>
      <c r="N15872" s="24"/>
      <c r="O15872" s="24"/>
      <c r="P15872" s="24"/>
      <c r="Q15872" s="24"/>
      <c r="R15872" s="24"/>
      <c r="S15872" s="24"/>
      <c r="T15872" s="24"/>
      <c r="U15872" s="24"/>
      <c r="V15872" s="24"/>
      <c r="W15872" s="24"/>
      <c r="X15872" s="24"/>
      <c r="Y15872" s="24"/>
      <c r="Z15872" s="24"/>
      <c r="AA15872" s="24"/>
    </row>
    <row r="15873">
      <c r="A15873" s="24"/>
      <c r="B15873" s="25"/>
      <c r="C15873" s="24"/>
      <c r="D15873" s="26"/>
      <c r="E15873" s="24"/>
      <c r="F15873" s="24"/>
      <c r="G15873" s="24"/>
      <c r="H15873" s="24"/>
      <c r="I15873" s="24"/>
      <c r="J15873" s="24"/>
      <c r="K15873" s="24"/>
      <c r="L15873" s="24"/>
      <c r="M15873" s="24"/>
      <c r="N15873" s="24"/>
      <c r="O15873" s="24"/>
      <c r="P15873" s="24"/>
      <c r="Q15873" s="24"/>
      <c r="R15873" s="24"/>
      <c r="S15873" s="24"/>
      <c r="T15873" s="24"/>
      <c r="U15873" s="24"/>
      <c r="V15873" s="24"/>
      <c r="W15873" s="24"/>
      <c r="X15873" s="24"/>
      <c r="Y15873" s="24"/>
      <c r="Z15873" s="24"/>
      <c r="AA15873" s="24"/>
    </row>
    <row r="15874">
      <c r="A15874" s="24"/>
      <c r="B15874" s="25"/>
      <c r="C15874" s="24"/>
      <c r="D15874" s="26"/>
      <c r="E15874" s="24"/>
      <c r="F15874" s="24"/>
      <c r="G15874" s="24"/>
      <c r="H15874" s="24"/>
      <c r="I15874" s="24"/>
      <c r="J15874" s="24"/>
      <c r="K15874" s="24"/>
      <c r="L15874" s="24"/>
      <c r="M15874" s="24"/>
      <c r="N15874" s="24"/>
      <c r="O15874" s="24"/>
      <c r="P15874" s="24"/>
      <c r="Q15874" s="24"/>
      <c r="R15874" s="24"/>
      <c r="S15874" s="24"/>
      <c r="T15874" s="24"/>
      <c r="U15874" s="24"/>
      <c r="V15874" s="24"/>
      <c r="W15874" s="24"/>
      <c r="X15874" s="24"/>
      <c r="Y15874" s="24"/>
      <c r="Z15874" s="24"/>
      <c r="AA15874" s="24"/>
    </row>
    <row r="15875">
      <c r="A15875" s="24"/>
      <c r="B15875" s="25"/>
      <c r="C15875" s="24"/>
      <c r="D15875" s="26"/>
      <c r="E15875" s="24"/>
      <c r="F15875" s="24"/>
      <c r="G15875" s="24"/>
      <c r="H15875" s="24"/>
      <c r="I15875" s="24"/>
      <c r="J15875" s="24"/>
      <c r="K15875" s="24"/>
      <c r="L15875" s="24"/>
      <c r="M15875" s="24"/>
      <c r="N15875" s="24"/>
      <c r="O15875" s="24"/>
      <c r="P15875" s="24"/>
      <c r="Q15875" s="24"/>
      <c r="R15875" s="24"/>
      <c r="S15875" s="24"/>
      <c r="T15875" s="24"/>
      <c r="U15875" s="24"/>
      <c r="V15875" s="24"/>
      <c r="W15875" s="24"/>
      <c r="X15875" s="24"/>
      <c r="Y15875" s="24"/>
      <c r="Z15875" s="24"/>
      <c r="AA15875" s="24"/>
    </row>
    <row r="15876">
      <c r="A15876" s="24"/>
      <c r="B15876" s="25"/>
      <c r="C15876" s="24"/>
      <c r="D15876" s="26"/>
      <c r="E15876" s="24"/>
      <c r="F15876" s="24"/>
      <c r="G15876" s="24"/>
      <c r="H15876" s="24"/>
      <c r="I15876" s="24"/>
      <c r="J15876" s="24"/>
      <c r="K15876" s="24"/>
      <c r="L15876" s="24"/>
      <c r="M15876" s="24"/>
      <c r="N15876" s="24"/>
      <c r="O15876" s="24"/>
      <c r="P15876" s="24"/>
      <c r="Q15876" s="24"/>
      <c r="R15876" s="24"/>
      <c r="S15876" s="24"/>
      <c r="T15876" s="24"/>
      <c r="U15876" s="24"/>
      <c r="V15876" s="24"/>
      <c r="W15876" s="24"/>
      <c r="X15876" s="24"/>
      <c r="Y15876" s="24"/>
      <c r="Z15876" s="24"/>
      <c r="AA15876" s="24"/>
    </row>
    <row r="15877">
      <c r="A15877" s="24"/>
      <c r="B15877" s="25"/>
      <c r="C15877" s="24"/>
      <c r="D15877" s="26"/>
      <c r="E15877" s="24"/>
      <c r="F15877" s="24"/>
      <c r="G15877" s="24"/>
      <c r="H15877" s="24"/>
      <c r="I15877" s="24"/>
      <c r="J15877" s="24"/>
      <c r="K15877" s="24"/>
      <c r="L15877" s="24"/>
      <c r="M15877" s="24"/>
      <c r="N15877" s="24"/>
      <c r="O15877" s="24"/>
      <c r="P15877" s="24"/>
      <c r="Q15877" s="24"/>
      <c r="R15877" s="24"/>
      <c r="S15877" s="24"/>
      <c r="T15877" s="24"/>
      <c r="U15877" s="24"/>
      <c r="V15877" s="24"/>
      <c r="W15877" s="24"/>
      <c r="X15877" s="24"/>
      <c r="Y15877" s="24"/>
      <c r="Z15877" s="24"/>
      <c r="AA15877" s="24"/>
    </row>
    <row r="15878">
      <c r="A15878" s="24"/>
      <c r="B15878" s="25"/>
      <c r="C15878" s="24"/>
      <c r="D15878" s="26"/>
      <c r="E15878" s="24"/>
      <c r="F15878" s="24"/>
      <c r="G15878" s="24"/>
      <c r="H15878" s="24"/>
      <c r="I15878" s="24"/>
      <c r="J15878" s="24"/>
      <c r="K15878" s="24"/>
      <c r="L15878" s="24"/>
      <c r="M15878" s="24"/>
      <c r="N15878" s="24"/>
      <c r="O15878" s="24"/>
      <c r="P15878" s="24"/>
      <c r="Q15878" s="24"/>
      <c r="R15878" s="24"/>
      <c r="S15878" s="24"/>
      <c r="T15878" s="24"/>
      <c r="U15878" s="24"/>
      <c r="V15878" s="24"/>
      <c r="W15878" s="24"/>
      <c r="X15878" s="24"/>
      <c r="Y15878" s="24"/>
      <c r="Z15878" s="24"/>
      <c r="AA15878" s="24"/>
    </row>
    <row r="15879">
      <c r="A15879" s="24"/>
      <c r="B15879" s="25"/>
      <c r="C15879" s="24"/>
      <c r="D15879" s="26"/>
      <c r="E15879" s="24"/>
      <c r="F15879" s="24"/>
      <c r="G15879" s="24"/>
      <c r="H15879" s="24"/>
      <c r="I15879" s="24"/>
      <c r="J15879" s="24"/>
      <c r="K15879" s="24"/>
      <c r="L15879" s="24"/>
      <c r="M15879" s="24"/>
      <c r="N15879" s="24"/>
      <c r="O15879" s="24"/>
      <c r="P15879" s="24"/>
      <c r="Q15879" s="24"/>
      <c r="R15879" s="24"/>
      <c r="S15879" s="24"/>
      <c r="T15879" s="24"/>
      <c r="U15879" s="24"/>
      <c r="V15879" s="24"/>
      <c r="W15879" s="24"/>
      <c r="X15879" s="24"/>
      <c r="Y15879" s="24"/>
      <c r="Z15879" s="24"/>
      <c r="AA15879" s="24"/>
    </row>
    <row r="15880">
      <c r="A15880" s="24"/>
      <c r="B15880" s="25"/>
      <c r="C15880" s="24"/>
      <c r="D15880" s="26"/>
      <c r="E15880" s="24"/>
      <c r="F15880" s="24"/>
      <c r="G15880" s="24"/>
      <c r="H15880" s="24"/>
      <c r="I15880" s="24"/>
      <c r="J15880" s="24"/>
      <c r="K15880" s="24"/>
      <c r="L15880" s="24"/>
      <c r="M15880" s="24"/>
      <c r="N15880" s="24"/>
      <c r="O15880" s="24"/>
      <c r="P15880" s="24"/>
      <c r="Q15880" s="24"/>
      <c r="R15880" s="24"/>
      <c r="S15880" s="24"/>
      <c r="T15880" s="24"/>
      <c r="U15880" s="24"/>
      <c r="V15880" s="24"/>
      <c r="W15880" s="24"/>
      <c r="X15880" s="24"/>
      <c r="Y15880" s="24"/>
      <c r="Z15880" s="24"/>
      <c r="AA15880" s="24"/>
    </row>
    <row r="15881">
      <c r="A15881" s="24"/>
      <c r="B15881" s="25"/>
      <c r="C15881" s="24"/>
      <c r="D15881" s="26"/>
      <c r="E15881" s="24"/>
      <c r="F15881" s="24"/>
      <c r="G15881" s="24"/>
      <c r="H15881" s="24"/>
      <c r="I15881" s="24"/>
      <c r="J15881" s="24"/>
      <c r="K15881" s="24"/>
      <c r="L15881" s="24"/>
      <c r="M15881" s="24"/>
      <c r="N15881" s="24"/>
      <c r="O15881" s="24"/>
      <c r="P15881" s="24"/>
      <c r="Q15881" s="24"/>
      <c r="R15881" s="24"/>
      <c r="S15881" s="24"/>
      <c r="T15881" s="24"/>
      <c r="U15881" s="24"/>
      <c r="V15881" s="24"/>
      <c r="W15881" s="24"/>
      <c r="X15881" s="24"/>
      <c r="Y15881" s="24"/>
      <c r="Z15881" s="24"/>
      <c r="AA15881" s="24"/>
    </row>
    <row r="15882">
      <c r="A15882" s="24"/>
      <c r="B15882" s="25"/>
      <c r="C15882" s="24"/>
      <c r="D15882" s="26"/>
      <c r="E15882" s="24"/>
      <c r="F15882" s="24"/>
      <c r="G15882" s="24"/>
      <c r="H15882" s="24"/>
      <c r="I15882" s="24"/>
      <c r="J15882" s="24"/>
      <c r="K15882" s="24"/>
      <c r="L15882" s="24"/>
      <c r="M15882" s="24"/>
      <c r="N15882" s="24"/>
      <c r="O15882" s="24"/>
      <c r="P15882" s="24"/>
      <c r="Q15882" s="24"/>
      <c r="R15882" s="24"/>
      <c r="S15882" s="24"/>
      <c r="T15882" s="24"/>
      <c r="U15882" s="24"/>
      <c r="V15882" s="24"/>
      <c r="W15882" s="24"/>
      <c r="X15882" s="24"/>
      <c r="Y15882" s="24"/>
      <c r="Z15882" s="24"/>
      <c r="AA15882" s="24"/>
    </row>
    <row r="15883">
      <c r="A15883" s="24"/>
      <c r="B15883" s="25"/>
      <c r="C15883" s="24"/>
      <c r="D15883" s="26"/>
      <c r="E15883" s="24"/>
      <c r="F15883" s="24"/>
      <c r="G15883" s="24"/>
      <c r="H15883" s="24"/>
      <c r="I15883" s="24"/>
      <c r="J15883" s="24"/>
      <c r="K15883" s="24"/>
      <c r="L15883" s="24"/>
      <c r="M15883" s="24"/>
      <c r="N15883" s="24"/>
      <c r="O15883" s="24"/>
      <c r="P15883" s="24"/>
      <c r="Q15883" s="24"/>
      <c r="R15883" s="24"/>
      <c r="S15883" s="24"/>
      <c r="T15883" s="24"/>
      <c r="U15883" s="24"/>
      <c r="V15883" s="24"/>
      <c r="W15883" s="24"/>
      <c r="X15883" s="24"/>
      <c r="Y15883" s="24"/>
      <c r="Z15883" s="24"/>
      <c r="AA15883" s="24"/>
    </row>
    <row r="15884">
      <c r="A15884" s="24"/>
      <c r="B15884" s="25"/>
      <c r="C15884" s="24"/>
      <c r="D15884" s="26"/>
      <c r="E15884" s="24"/>
      <c r="F15884" s="24"/>
      <c r="G15884" s="24"/>
      <c r="H15884" s="24"/>
      <c r="I15884" s="24"/>
      <c r="J15884" s="24"/>
      <c r="K15884" s="24"/>
      <c r="L15884" s="24"/>
      <c r="M15884" s="24"/>
      <c r="N15884" s="24"/>
      <c r="O15884" s="24"/>
      <c r="P15884" s="24"/>
      <c r="Q15884" s="24"/>
      <c r="R15884" s="24"/>
      <c r="S15884" s="24"/>
      <c r="T15884" s="24"/>
      <c r="U15884" s="24"/>
      <c r="V15884" s="24"/>
      <c r="W15884" s="24"/>
      <c r="X15884" s="24"/>
      <c r="Y15884" s="24"/>
      <c r="Z15884" s="24"/>
      <c r="AA15884" s="24"/>
    </row>
    <row r="15885">
      <c r="A15885" s="24"/>
      <c r="B15885" s="25"/>
      <c r="C15885" s="24"/>
      <c r="D15885" s="26"/>
      <c r="E15885" s="24"/>
      <c r="F15885" s="24"/>
      <c r="G15885" s="24"/>
      <c r="H15885" s="24"/>
      <c r="I15885" s="24"/>
      <c r="J15885" s="24"/>
      <c r="K15885" s="24"/>
      <c r="L15885" s="24"/>
      <c r="M15885" s="24"/>
      <c r="N15885" s="24"/>
      <c r="O15885" s="24"/>
      <c r="P15885" s="24"/>
      <c r="Q15885" s="24"/>
      <c r="R15885" s="24"/>
      <c r="S15885" s="24"/>
      <c r="T15885" s="24"/>
      <c r="U15885" s="24"/>
      <c r="V15885" s="24"/>
      <c r="W15885" s="24"/>
      <c r="X15885" s="24"/>
      <c r="Y15885" s="24"/>
      <c r="Z15885" s="24"/>
      <c r="AA15885" s="24"/>
    </row>
    <row r="15886">
      <c r="A15886" s="24"/>
      <c r="B15886" s="25"/>
      <c r="C15886" s="24"/>
      <c r="D15886" s="26"/>
      <c r="E15886" s="24"/>
      <c r="F15886" s="24"/>
      <c r="G15886" s="24"/>
      <c r="H15886" s="24"/>
      <c r="I15886" s="24"/>
      <c r="J15886" s="24"/>
      <c r="K15886" s="24"/>
      <c r="L15886" s="24"/>
      <c r="M15886" s="24"/>
      <c r="N15886" s="24"/>
      <c r="O15886" s="24"/>
      <c r="P15886" s="24"/>
      <c r="Q15886" s="24"/>
      <c r="R15886" s="24"/>
      <c r="S15886" s="24"/>
      <c r="T15886" s="24"/>
      <c r="U15886" s="24"/>
      <c r="V15886" s="24"/>
      <c r="W15886" s="24"/>
      <c r="X15886" s="24"/>
      <c r="Y15886" s="24"/>
      <c r="Z15886" s="24"/>
      <c r="AA15886" s="24"/>
    </row>
    <row r="15887">
      <c r="A15887" s="24"/>
      <c r="B15887" s="25"/>
      <c r="C15887" s="24"/>
      <c r="D15887" s="26"/>
      <c r="E15887" s="24"/>
      <c r="F15887" s="24"/>
      <c r="G15887" s="24"/>
      <c r="H15887" s="24"/>
      <c r="I15887" s="24"/>
      <c r="J15887" s="24"/>
      <c r="K15887" s="24"/>
      <c r="L15887" s="24"/>
      <c r="M15887" s="24"/>
      <c r="N15887" s="24"/>
      <c r="O15887" s="24"/>
      <c r="P15887" s="24"/>
      <c r="Q15887" s="24"/>
      <c r="R15887" s="24"/>
      <c r="S15887" s="24"/>
      <c r="T15887" s="24"/>
      <c r="U15887" s="24"/>
      <c r="V15887" s="24"/>
      <c r="W15887" s="24"/>
      <c r="X15887" s="24"/>
      <c r="Y15887" s="24"/>
      <c r="Z15887" s="24"/>
      <c r="AA15887" s="24"/>
    </row>
    <row r="15888">
      <c r="A15888" s="24"/>
      <c r="B15888" s="25"/>
      <c r="C15888" s="24"/>
      <c r="D15888" s="26"/>
      <c r="E15888" s="24"/>
      <c r="F15888" s="24"/>
      <c r="G15888" s="24"/>
      <c r="H15888" s="24"/>
      <c r="I15888" s="24"/>
      <c r="J15888" s="24"/>
      <c r="K15888" s="24"/>
      <c r="L15888" s="24"/>
      <c r="M15888" s="24"/>
      <c r="N15888" s="24"/>
      <c r="O15888" s="24"/>
      <c r="P15888" s="24"/>
      <c r="Q15888" s="24"/>
      <c r="R15888" s="24"/>
      <c r="S15888" s="24"/>
      <c r="T15888" s="24"/>
      <c r="U15888" s="24"/>
      <c r="V15888" s="24"/>
      <c r="W15888" s="24"/>
      <c r="X15888" s="24"/>
      <c r="Y15888" s="24"/>
      <c r="Z15888" s="24"/>
      <c r="AA15888" s="24"/>
    </row>
    <row r="15889">
      <c r="A15889" s="24"/>
      <c r="B15889" s="25"/>
      <c r="C15889" s="24"/>
      <c r="D15889" s="26"/>
      <c r="E15889" s="24"/>
      <c r="F15889" s="24"/>
      <c r="G15889" s="24"/>
      <c r="H15889" s="24"/>
      <c r="I15889" s="24"/>
      <c r="J15889" s="24"/>
      <c r="K15889" s="24"/>
      <c r="L15889" s="24"/>
      <c r="M15889" s="24"/>
      <c r="N15889" s="24"/>
      <c r="O15889" s="24"/>
      <c r="P15889" s="24"/>
      <c r="Q15889" s="24"/>
      <c r="R15889" s="24"/>
      <c r="S15889" s="24"/>
      <c r="T15889" s="24"/>
      <c r="U15889" s="24"/>
      <c r="V15889" s="24"/>
      <c r="W15889" s="24"/>
      <c r="X15889" s="24"/>
      <c r="Y15889" s="24"/>
      <c r="Z15889" s="24"/>
      <c r="AA15889" s="24"/>
    </row>
    <row r="15890">
      <c r="A15890" s="24"/>
      <c r="B15890" s="25"/>
      <c r="C15890" s="24"/>
      <c r="D15890" s="26"/>
      <c r="E15890" s="24"/>
      <c r="F15890" s="24"/>
      <c r="G15890" s="24"/>
      <c r="H15890" s="24"/>
      <c r="I15890" s="24"/>
      <c r="J15890" s="24"/>
      <c r="K15890" s="24"/>
      <c r="L15890" s="24"/>
      <c r="M15890" s="24"/>
      <c r="N15890" s="24"/>
      <c r="O15890" s="24"/>
      <c r="P15890" s="24"/>
      <c r="Q15890" s="24"/>
      <c r="R15890" s="24"/>
      <c r="S15890" s="24"/>
      <c r="T15890" s="24"/>
      <c r="U15890" s="24"/>
      <c r="V15890" s="24"/>
      <c r="W15890" s="24"/>
      <c r="X15890" s="24"/>
      <c r="Y15890" s="24"/>
      <c r="Z15890" s="24"/>
      <c r="AA15890" s="24"/>
    </row>
    <row r="15891">
      <c r="A15891" s="24"/>
      <c r="B15891" s="25"/>
      <c r="C15891" s="24"/>
      <c r="D15891" s="26"/>
      <c r="E15891" s="24"/>
      <c r="F15891" s="24"/>
      <c r="G15891" s="24"/>
      <c r="H15891" s="24"/>
      <c r="I15891" s="24"/>
      <c r="J15891" s="24"/>
      <c r="K15891" s="24"/>
      <c r="L15891" s="24"/>
      <c r="M15891" s="24"/>
      <c r="N15891" s="24"/>
      <c r="O15891" s="24"/>
      <c r="P15891" s="24"/>
      <c r="Q15891" s="24"/>
      <c r="R15891" s="24"/>
      <c r="S15891" s="24"/>
      <c r="T15891" s="24"/>
      <c r="U15891" s="24"/>
      <c r="V15891" s="24"/>
      <c r="W15891" s="24"/>
      <c r="X15891" s="24"/>
      <c r="Y15891" s="24"/>
      <c r="Z15891" s="24"/>
      <c r="AA15891" s="24"/>
    </row>
    <row r="15892">
      <c r="A15892" s="24"/>
      <c r="B15892" s="25"/>
      <c r="C15892" s="24"/>
      <c r="D15892" s="26"/>
      <c r="E15892" s="24"/>
      <c r="F15892" s="24"/>
      <c r="G15892" s="24"/>
      <c r="H15892" s="24"/>
      <c r="I15892" s="24"/>
      <c r="J15892" s="24"/>
      <c r="K15892" s="24"/>
      <c r="L15892" s="24"/>
      <c r="M15892" s="24"/>
      <c r="N15892" s="24"/>
      <c r="O15892" s="24"/>
      <c r="P15892" s="24"/>
      <c r="Q15892" s="24"/>
      <c r="R15892" s="24"/>
      <c r="S15892" s="24"/>
      <c r="T15892" s="24"/>
      <c r="U15892" s="24"/>
      <c r="V15892" s="24"/>
      <c r="W15892" s="24"/>
      <c r="X15892" s="24"/>
      <c r="Y15892" s="24"/>
      <c r="Z15892" s="24"/>
      <c r="AA15892" s="24"/>
    </row>
    <row r="15893">
      <c r="A15893" s="24"/>
      <c r="B15893" s="25"/>
      <c r="C15893" s="24"/>
      <c r="D15893" s="26"/>
      <c r="E15893" s="24"/>
      <c r="F15893" s="24"/>
      <c r="G15893" s="24"/>
      <c r="H15893" s="24"/>
      <c r="I15893" s="24"/>
      <c r="J15893" s="24"/>
      <c r="K15893" s="24"/>
      <c r="L15893" s="24"/>
      <c r="M15893" s="24"/>
      <c r="N15893" s="24"/>
      <c r="O15893" s="24"/>
      <c r="P15893" s="24"/>
      <c r="Q15893" s="24"/>
      <c r="R15893" s="24"/>
      <c r="S15893" s="24"/>
      <c r="T15893" s="24"/>
      <c r="U15893" s="24"/>
      <c r="V15893" s="24"/>
      <c r="W15893" s="24"/>
      <c r="X15893" s="24"/>
      <c r="Y15893" s="24"/>
      <c r="Z15893" s="24"/>
      <c r="AA15893" s="24"/>
    </row>
    <row r="15894">
      <c r="A15894" s="24"/>
      <c r="B15894" s="25"/>
      <c r="C15894" s="24"/>
      <c r="D15894" s="26"/>
      <c r="E15894" s="24"/>
      <c r="F15894" s="24"/>
      <c r="G15894" s="24"/>
      <c r="H15894" s="24"/>
      <c r="I15894" s="24"/>
      <c r="J15894" s="24"/>
      <c r="K15894" s="24"/>
      <c r="L15894" s="24"/>
      <c r="M15894" s="24"/>
      <c r="N15894" s="24"/>
      <c r="O15894" s="24"/>
      <c r="P15894" s="24"/>
      <c r="Q15894" s="24"/>
      <c r="R15894" s="24"/>
      <c r="S15894" s="24"/>
      <c r="T15894" s="24"/>
      <c r="U15894" s="24"/>
      <c r="V15894" s="24"/>
      <c r="W15894" s="24"/>
      <c r="X15894" s="24"/>
      <c r="Y15894" s="24"/>
      <c r="Z15894" s="24"/>
      <c r="AA15894" s="24"/>
    </row>
    <row r="15895">
      <c r="A15895" s="24"/>
      <c r="B15895" s="25"/>
      <c r="C15895" s="24"/>
      <c r="D15895" s="26"/>
      <c r="E15895" s="24"/>
      <c r="F15895" s="24"/>
      <c r="G15895" s="24"/>
      <c r="H15895" s="24"/>
      <c r="I15895" s="24"/>
      <c r="J15895" s="24"/>
      <c r="K15895" s="24"/>
      <c r="L15895" s="24"/>
      <c r="M15895" s="24"/>
      <c r="N15895" s="24"/>
      <c r="O15895" s="24"/>
      <c r="P15895" s="24"/>
      <c r="Q15895" s="24"/>
      <c r="R15895" s="24"/>
      <c r="S15895" s="24"/>
      <c r="T15895" s="24"/>
      <c r="U15895" s="24"/>
      <c r="V15895" s="24"/>
      <c r="W15895" s="24"/>
      <c r="X15895" s="24"/>
      <c r="Y15895" s="24"/>
      <c r="Z15895" s="24"/>
      <c r="AA15895" s="24"/>
    </row>
    <row r="15896">
      <c r="A15896" s="24"/>
      <c r="B15896" s="25"/>
      <c r="C15896" s="24"/>
      <c r="D15896" s="26"/>
      <c r="E15896" s="24"/>
      <c r="F15896" s="24"/>
      <c r="G15896" s="24"/>
      <c r="H15896" s="24"/>
      <c r="I15896" s="24"/>
      <c r="J15896" s="24"/>
      <c r="K15896" s="24"/>
      <c r="L15896" s="24"/>
      <c r="M15896" s="24"/>
      <c r="N15896" s="24"/>
      <c r="O15896" s="24"/>
      <c r="P15896" s="24"/>
      <c r="Q15896" s="24"/>
      <c r="R15896" s="24"/>
      <c r="S15896" s="24"/>
      <c r="T15896" s="24"/>
      <c r="U15896" s="24"/>
      <c r="V15896" s="24"/>
      <c r="W15896" s="24"/>
      <c r="X15896" s="24"/>
      <c r="Y15896" s="24"/>
      <c r="Z15896" s="24"/>
      <c r="AA15896" s="24"/>
    </row>
    <row r="15897">
      <c r="A15897" s="24"/>
      <c r="B15897" s="25"/>
      <c r="C15897" s="24"/>
      <c r="D15897" s="26"/>
      <c r="E15897" s="24"/>
      <c r="F15897" s="24"/>
      <c r="G15897" s="24"/>
      <c r="H15897" s="24"/>
      <c r="I15897" s="24"/>
      <c r="J15897" s="24"/>
      <c r="K15897" s="24"/>
      <c r="L15897" s="24"/>
      <c r="M15897" s="24"/>
      <c r="N15897" s="24"/>
      <c r="O15897" s="24"/>
      <c r="P15897" s="24"/>
      <c r="Q15897" s="24"/>
      <c r="R15897" s="24"/>
      <c r="S15897" s="24"/>
      <c r="T15897" s="24"/>
      <c r="U15897" s="24"/>
      <c r="V15897" s="24"/>
      <c r="W15897" s="24"/>
      <c r="X15897" s="24"/>
      <c r="Y15897" s="24"/>
      <c r="Z15897" s="24"/>
      <c r="AA15897" s="24"/>
    </row>
    <row r="15898">
      <c r="A15898" s="24"/>
      <c r="B15898" s="25"/>
      <c r="C15898" s="24"/>
      <c r="D15898" s="26"/>
      <c r="E15898" s="24"/>
      <c r="F15898" s="24"/>
      <c r="G15898" s="24"/>
      <c r="H15898" s="24"/>
      <c r="I15898" s="24"/>
      <c r="J15898" s="24"/>
      <c r="K15898" s="24"/>
      <c r="L15898" s="24"/>
      <c r="M15898" s="24"/>
      <c r="N15898" s="24"/>
      <c r="O15898" s="24"/>
      <c r="P15898" s="24"/>
      <c r="Q15898" s="24"/>
      <c r="R15898" s="24"/>
      <c r="S15898" s="24"/>
      <c r="T15898" s="24"/>
      <c r="U15898" s="24"/>
      <c r="V15898" s="24"/>
      <c r="W15898" s="24"/>
      <c r="X15898" s="24"/>
      <c r="Y15898" s="24"/>
      <c r="Z15898" s="24"/>
      <c r="AA15898" s="24"/>
    </row>
    <row r="15899">
      <c r="A15899" s="24"/>
      <c r="B15899" s="25"/>
      <c r="C15899" s="24"/>
      <c r="D15899" s="26"/>
      <c r="E15899" s="24"/>
      <c r="F15899" s="24"/>
      <c r="G15899" s="24"/>
      <c r="H15899" s="24"/>
      <c r="I15899" s="24"/>
      <c r="J15899" s="24"/>
      <c r="K15899" s="24"/>
      <c r="L15899" s="24"/>
      <c r="M15899" s="24"/>
      <c r="N15899" s="24"/>
      <c r="O15899" s="24"/>
      <c r="P15899" s="24"/>
      <c r="Q15899" s="24"/>
      <c r="R15899" s="24"/>
      <c r="S15899" s="24"/>
      <c r="T15899" s="24"/>
      <c r="U15899" s="24"/>
      <c r="V15899" s="24"/>
      <c r="W15899" s="24"/>
      <c r="X15899" s="24"/>
      <c r="Y15899" s="24"/>
      <c r="Z15899" s="24"/>
      <c r="AA15899" s="24"/>
    </row>
    <row r="15900">
      <c r="A15900" s="24"/>
      <c r="B15900" s="25"/>
      <c r="C15900" s="24"/>
      <c r="D15900" s="26"/>
      <c r="E15900" s="24"/>
      <c r="F15900" s="24"/>
      <c r="G15900" s="24"/>
      <c r="H15900" s="24"/>
      <c r="I15900" s="24"/>
      <c r="J15900" s="24"/>
      <c r="K15900" s="24"/>
      <c r="L15900" s="24"/>
      <c r="M15900" s="24"/>
      <c r="N15900" s="24"/>
      <c r="O15900" s="24"/>
      <c r="P15900" s="24"/>
      <c r="Q15900" s="24"/>
      <c r="R15900" s="24"/>
      <c r="S15900" s="24"/>
      <c r="T15900" s="24"/>
      <c r="U15900" s="24"/>
      <c r="V15900" s="24"/>
      <c r="W15900" s="24"/>
      <c r="X15900" s="24"/>
      <c r="Y15900" s="24"/>
      <c r="Z15900" s="24"/>
      <c r="AA15900" s="24"/>
    </row>
    <row r="15901">
      <c r="A15901" s="24"/>
      <c r="B15901" s="25"/>
      <c r="C15901" s="24"/>
      <c r="D15901" s="26"/>
      <c r="E15901" s="24"/>
      <c r="F15901" s="24"/>
      <c r="G15901" s="24"/>
      <c r="H15901" s="24"/>
      <c r="I15901" s="24"/>
      <c r="J15901" s="24"/>
      <c r="K15901" s="24"/>
      <c r="L15901" s="24"/>
      <c r="M15901" s="24"/>
      <c r="N15901" s="24"/>
      <c r="O15901" s="24"/>
      <c r="P15901" s="24"/>
      <c r="Q15901" s="24"/>
      <c r="R15901" s="24"/>
      <c r="S15901" s="24"/>
      <c r="T15901" s="24"/>
      <c r="U15901" s="24"/>
      <c r="V15901" s="24"/>
      <c r="W15901" s="24"/>
      <c r="X15901" s="24"/>
      <c r="Y15901" s="24"/>
      <c r="Z15901" s="24"/>
      <c r="AA15901" s="24"/>
    </row>
    <row r="15902">
      <c r="A15902" s="24"/>
      <c r="B15902" s="25"/>
      <c r="C15902" s="24"/>
      <c r="D15902" s="26"/>
      <c r="E15902" s="24"/>
      <c r="F15902" s="24"/>
      <c r="G15902" s="24"/>
      <c r="H15902" s="24"/>
      <c r="I15902" s="24"/>
      <c r="J15902" s="24"/>
      <c r="K15902" s="24"/>
      <c r="L15902" s="24"/>
      <c r="M15902" s="24"/>
      <c r="N15902" s="24"/>
      <c r="O15902" s="24"/>
      <c r="P15902" s="24"/>
      <c r="Q15902" s="24"/>
      <c r="R15902" s="24"/>
      <c r="S15902" s="24"/>
      <c r="T15902" s="24"/>
      <c r="U15902" s="24"/>
      <c r="V15902" s="24"/>
      <c r="W15902" s="24"/>
      <c r="X15902" s="24"/>
      <c r="Y15902" s="24"/>
      <c r="Z15902" s="24"/>
      <c r="AA15902" s="24"/>
    </row>
    <row r="15903">
      <c r="A15903" s="24"/>
      <c r="B15903" s="25"/>
      <c r="C15903" s="24"/>
      <c r="D15903" s="26"/>
      <c r="E15903" s="24"/>
      <c r="F15903" s="24"/>
      <c r="G15903" s="24"/>
      <c r="H15903" s="24"/>
      <c r="I15903" s="24"/>
      <c r="J15903" s="24"/>
      <c r="K15903" s="24"/>
      <c r="L15903" s="24"/>
      <c r="M15903" s="24"/>
      <c r="N15903" s="24"/>
      <c r="O15903" s="24"/>
      <c r="P15903" s="24"/>
      <c r="Q15903" s="24"/>
      <c r="R15903" s="24"/>
      <c r="S15903" s="24"/>
      <c r="T15903" s="24"/>
      <c r="U15903" s="24"/>
      <c r="V15903" s="24"/>
      <c r="W15903" s="24"/>
      <c r="X15903" s="24"/>
      <c r="Y15903" s="24"/>
      <c r="Z15903" s="24"/>
      <c r="AA15903" s="24"/>
    </row>
    <row r="15904">
      <c r="A15904" s="24"/>
      <c r="B15904" s="25"/>
      <c r="C15904" s="24"/>
      <c r="D15904" s="26"/>
      <c r="E15904" s="24"/>
      <c r="F15904" s="24"/>
      <c r="G15904" s="24"/>
      <c r="H15904" s="24"/>
      <c r="I15904" s="24"/>
      <c r="J15904" s="24"/>
      <c r="K15904" s="24"/>
      <c r="L15904" s="24"/>
      <c r="M15904" s="24"/>
      <c r="N15904" s="24"/>
      <c r="O15904" s="24"/>
      <c r="P15904" s="24"/>
      <c r="Q15904" s="24"/>
      <c r="R15904" s="24"/>
      <c r="S15904" s="24"/>
      <c r="T15904" s="24"/>
      <c r="U15904" s="24"/>
      <c r="V15904" s="24"/>
      <c r="W15904" s="24"/>
      <c r="X15904" s="24"/>
      <c r="Y15904" s="24"/>
      <c r="Z15904" s="24"/>
      <c r="AA15904" s="24"/>
    </row>
    <row r="15905">
      <c r="A15905" s="24"/>
      <c r="B15905" s="25"/>
      <c r="C15905" s="24"/>
      <c r="D15905" s="26"/>
      <c r="E15905" s="24"/>
      <c r="F15905" s="24"/>
      <c r="G15905" s="24"/>
      <c r="H15905" s="24"/>
      <c r="I15905" s="24"/>
      <c r="J15905" s="24"/>
      <c r="K15905" s="24"/>
      <c r="L15905" s="24"/>
      <c r="M15905" s="24"/>
      <c r="N15905" s="24"/>
      <c r="O15905" s="24"/>
      <c r="P15905" s="24"/>
      <c r="Q15905" s="24"/>
      <c r="R15905" s="24"/>
      <c r="S15905" s="24"/>
      <c r="T15905" s="24"/>
      <c r="U15905" s="24"/>
      <c r="V15905" s="24"/>
      <c r="W15905" s="24"/>
      <c r="X15905" s="24"/>
      <c r="Y15905" s="24"/>
      <c r="Z15905" s="24"/>
      <c r="AA15905" s="24"/>
    </row>
    <row r="15906">
      <c r="A15906" s="24"/>
      <c r="B15906" s="25"/>
      <c r="C15906" s="24"/>
      <c r="D15906" s="26"/>
      <c r="E15906" s="24"/>
      <c r="F15906" s="24"/>
      <c r="G15906" s="24"/>
      <c r="H15906" s="24"/>
      <c r="I15906" s="24"/>
      <c r="J15906" s="24"/>
      <c r="K15906" s="24"/>
      <c r="L15906" s="24"/>
      <c r="M15906" s="24"/>
      <c r="N15906" s="24"/>
      <c r="O15906" s="24"/>
      <c r="P15906" s="24"/>
      <c r="Q15906" s="24"/>
      <c r="R15906" s="24"/>
      <c r="S15906" s="24"/>
      <c r="T15906" s="24"/>
      <c r="U15906" s="24"/>
      <c r="V15906" s="24"/>
      <c r="W15906" s="24"/>
      <c r="X15906" s="24"/>
      <c r="Y15906" s="24"/>
      <c r="Z15906" s="24"/>
      <c r="AA15906" s="24"/>
    </row>
    <row r="15907">
      <c r="A15907" s="24"/>
      <c r="B15907" s="25"/>
      <c r="C15907" s="24"/>
      <c r="D15907" s="26"/>
      <c r="E15907" s="24"/>
      <c r="F15907" s="24"/>
      <c r="G15907" s="24"/>
      <c r="H15907" s="24"/>
      <c r="I15907" s="24"/>
      <c r="J15907" s="24"/>
      <c r="K15907" s="24"/>
      <c r="L15907" s="24"/>
      <c r="M15907" s="24"/>
      <c r="N15907" s="24"/>
      <c r="O15907" s="24"/>
      <c r="P15907" s="24"/>
      <c r="Q15907" s="24"/>
      <c r="R15907" s="24"/>
      <c r="S15907" s="24"/>
      <c r="T15907" s="24"/>
      <c r="U15907" s="24"/>
      <c r="V15907" s="24"/>
      <c r="W15907" s="24"/>
      <c r="X15907" s="24"/>
      <c r="Y15907" s="24"/>
      <c r="Z15907" s="24"/>
      <c r="AA15907" s="24"/>
    </row>
    <row r="15908">
      <c r="A15908" s="24"/>
      <c r="B15908" s="25"/>
      <c r="C15908" s="24"/>
      <c r="D15908" s="26"/>
      <c r="E15908" s="24"/>
      <c r="F15908" s="24"/>
      <c r="G15908" s="24"/>
      <c r="H15908" s="24"/>
      <c r="I15908" s="24"/>
      <c r="J15908" s="24"/>
      <c r="K15908" s="24"/>
      <c r="L15908" s="24"/>
      <c r="M15908" s="24"/>
      <c r="N15908" s="24"/>
      <c r="O15908" s="24"/>
      <c r="P15908" s="24"/>
      <c r="Q15908" s="24"/>
      <c r="R15908" s="24"/>
      <c r="S15908" s="24"/>
      <c r="T15908" s="24"/>
      <c r="U15908" s="24"/>
      <c r="V15908" s="24"/>
      <c r="W15908" s="24"/>
      <c r="X15908" s="24"/>
      <c r="Y15908" s="24"/>
      <c r="Z15908" s="24"/>
      <c r="AA15908" s="24"/>
    </row>
    <row r="15909">
      <c r="A15909" s="24"/>
      <c r="B15909" s="25"/>
      <c r="C15909" s="24"/>
      <c r="D15909" s="26"/>
      <c r="E15909" s="24"/>
      <c r="F15909" s="24"/>
      <c r="G15909" s="24"/>
      <c r="H15909" s="24"/>
      <c r="I15909" s="24"/>
      <c r="J15909" s="24"/>
      <c r="K15909" s="24"/>
      <c r="L15909" s="24"/>
      <c r="M15909" s="24"/>
      <c r="N15909" s="24"/>
      <c r="O15909" s="24"/>
      <c r="P15909" s="24"/>
      <c r="Q15909" s="24"/>
      <c r="R15909" s="24"/>
      <c r="S15909" s="24"/>
      <c r="T15909" s="24"/>
      <c r="U15909" s="24"/>
      <c r="V15909" s="24"/>
      <c r="W15909" s="24"/>
      <c r="X15909" s="24"/>
      <c r="Y15909" s="24"/>
      <c r="Z15909" s="24"/>
      <c r="AA15909" s="24"/>
    </row>
    <row r="15910">
      <c r="A15910" s="24"/>
      <c r="B15910" s="25"/>
      <c r="C15910" s="24"/>
      <c r="D15910" s="26"/>
      <c r="E15910" s="24"/>
      <c r="F15910" s="24"/>
      <c r="G15910" s="24"/>
      <c r="H15910" s="24"/>
      <c r="I15910" s="24"/>
      <c r="J15910" s="24"/>
      <c r="K15910" s="24"/>
      <c r="L15910" s="24"/>
      <c r="M15910" s="24"/>
      <c r="N15910" s="24"/>
      <c r="O15910" s="24"/>
      <c r="P15910" s="24"/>
      <c r="Q15910" s="24"/>
      <c r="R15910" s="24"/>
      <c r="S15910" s="24"/>
      <c r="T15910" s="24"/>
      <c r="U15910" s="24"/>
      <c r="V15910" s="24"/>
      <c r="W15910" s="24"/>
      <c r="X15910" s="24"/>
      <c r="Y15910" s="24"/>
      <c r="Z15910" s="24"/>
      <c r="AA15910" s="24"/>
    </row>
    <row r="15911">
      <c r="A15911" s="24"/>
      <c r="B15911" s="25"/>
      <c r="C15911" s="24"/>
      <c r="D15911" s="26"/>
      <c r="E15911" s="24"/>
      <c r="F15911" s="24"/>
      <c r="G15911" s="24"/>
      <c r="H15911" s="24"/>
      <c r="I15911" s="24"/>
      <c r="J15911" s="24"/>
      <c r="K15911" s="24"/>
      <c r="L15911" s="24"/>
      <c r="M15911" s="24"/>
      <c r="N15911" s="24"/>
      <c r="O15911" s="24"/>
      <c r="P15911" s="24"/>
      <c r="Q15911" s="24"/>
      <c r="R15911" s="24"/>
      <c r="S15911" s="24"/>
      <c r="T15911" s="24"/>
      <c r="U15911" s="24"/>
      <c r="V15911" s="24"/>
      <c r="W15911" s="24"/>
      <c r="X15911" s="24"/>
      <c r="Y15911" s="24"/>
      <c r="Z15911" s="24"/>
      <c r="AA15911" s="24"/>
    </row>
    <row r="15912">
      <c r="A15912" s="24"/>
      <c r="B15912" s="25"/>
      <c r="C15912" s="24"/>
      <c r="D15912" s="26"/>
      <c r="E15912" s="24"/>
      <c r="F15912" s="24"/>
      <c r="G15912" s="24"/>
      <c r="H15912" s="24"/>
      <c r="I15912" s="24"/>
      <c r="J15912" s="24"/>
      <c r="K15912" s="24"/>
      <c r="L15912" s="24"/>
      <c r="M15912" s="24"/>
      <c r="N15912" s="24"/>
      <c r="O15912" s="24"/>
      <c r="P15912" s="24"/>
      <c r="Q15912" s="24"/>
      <c r="R15912" s="24"/>
      <c r="S15912" s="24"/>
      <c r="T15912" s="24"/>
      <c r="U15912" s="24"/>
      <c r="V15912" s="24"/>
      <c r="W15912" s="24"/>
      <c r="X15912" s="24"/>
      <c r="Y15912" s="24"/>
      <c r="Z15912" s="24"/>
      <c r="AA15912" s="24"/>
    </row>
    <row r="15913">
      <c r="A15913" s="24"/>
      <c r="B15913" s="25"/>
      <c r="C15913" s="24"/>
      <c r="D15913" s="26"/>
      <c r="E15913" s="24"/>
      <c r="F15913" s="24"/>
      <c r="G15913" s="24"/>
      <c r="H15913" s="24"/>
      <c r="I15913" s="24"/>
      <c r="J15913" s="24"/>
      <c r="K15913" s="24"/>
      <c r="L15913" s="24"/>
      <c r="M15913" s="24"/>
      <c r="N15913" s="24"/>
      <c r="O15913" s="24"/>
      <c r="P15913" s="24"/>
      <c r="Q15913" s="24"/>
      <c r="R15913" s="24"/>
      <c r="S15913" s="24"/>
      <c r="T15913" s="24"/>
      <c r="U15913" s="24"/>
      <c r="V15913" s="24"/>
      <c r="W15913" s="24"/>
      <c r="X15913" s="24"/>
      <c r="Y15913" s="24"/>
      <c r="Z15913" s="24"/>
      <c r="AA15913" s="24"/>
    </row>
    <row r="15914">
      <c r="A15914" s="24"/>
      <c r="B15914" s="25"/>
      <c r="C15914" s="24"/>
      <c r="D15914" s="26"/>
      <c r="E15914" s="24"/>
      <c r="F15914" s="24"/>
      <c r="G15914" s="24"/>
      <c r="H15914" s="24"/>
      <c r="I15914" s="24"/>
      <c r="J15914" s="24"/>
      <c r="K15914" s="24"/>
      <c r="L15914" s="24"/>
      <c r="M15914" s="24"/>
      <c r="N15914" s="24"/>
      <c r="O15914" s="24"/>
      <c r="P15914" s="24"/>
      <c r="Q15914" s="24"/>
      <c r="R15914" s="24"/>
      <c r="S15914" s="24"/>
      <c r="T15914" s="24"/>
      <c r="U15914" s="24"/>
      <c r="V15914" s="24"/>
      <c r="W15914" s="24"/>
      <c r="X15914" s="24"/>
      <c r="Y15914" s="24"/>
      <c r="Z15914" s="24"/>
      <c r="AA15914" s="24"/>
    </row>
    <row r="15915">
      <c r="A15915" s="24"/>
      <c r="B15915" s="25"/>
      <c r="C15915" s="24"/>
      <c r="D15915" s="26"/>
      <c r="E15915" s="24"/>
      <c r="F15915" s="24"/>
      <c r="G15915" s="24"/>
      <c r="H15915" s="24"/>
      <c r="I15915" s="24"/>
      <c r="J15915" s="24"/>
      <c r="K15915" s="24"/>
      <c r="L15915" s="24"/>
      <c r="M15915" s="24"/>
      <c r="N15915" s="24"/>
      <c r="O15915" s="24"/>
      <c r="P15915" s="24"/>
      <c r="Q15915" s="24"/>
      <c r="R15915" s="24"/>
      <c r="S15915" s="24"/>
      <c r="T15915" s="24"/>
      <c r="U15915" s="24"/>
      <c r="V15915" s="24"/>
      <c r="W15915" s="24"/>
      <c r="X15915" s="24"/>
      <c r="Y15915" s="24"/>
      <c r="Z15915" s="24"/>
      <c r="AA15915" s="24"/>
    </row>
    <row r="15916">
      <c r="A15916" s="24"/>
      <c r="B15916" s="25"/>
      <c r="C15916" s="24"/>
      <c r="D15916" s="26"/>
      <c r="E15916" s="24"/>
      <c r="F15916" s="24"/>
      <c r="G15916" s="24"/>
      <c r="H15916" s="24"/>
      <c r="I15916" s="24"/>
      <c r="J15916" s="24"/>
      <c r="K15916" s="24"/>
      <c r="L15916" s="24"/>
      <c r="M15916" s="24"/>
      <c r="N15916" s="24"/>
      <c r="O15916" s="24"/>
      <c r="P15916" s="24"/>
      <c r="Q15916" s="24"/>
      <c r="R15916" s="24"/>
      <c r="S15916" s="24"/>
      <c r="T15916" s="24"/>
      <c r="U15916" s="24"/>
      <c r="V15916" s="24"/>
      <c r="W15916" s="24"/>
      <c r="X15916" s="24"/>
      <c r="Y15916" s="24"/>
      <c r="Z15916" s="24"/>
      <c r="AA15916" s="24"/>
    </row>
    <row r="15917">
      <c r="A15917" s="24"/>
      <c r="B15917" s="25"/>
      <c r="C15917" s="24"/>
      <c r="D15917" s="26"/>
      <c r="E15917" s="24"/>
      <c r="F15917" s="24"/>
      <c r="G15917" s="24"/>
      <c r="H15917" s="24"/>
      <c r="I15917" s="24"/>
      <c r="J15917" s="24"/>
      <c r="K15917" s="24"/>
      <c r="L15917" s="24"/>
      <c r="M15917" s="24"/>
      <c r="N15917" s="24"/>
      <c r="O15917" s="24"/>
      <c r="P15917" s="24"/>
      <c r="Q15917" s="24"/>
      <c r="R15917" s="24"/>
      <c r="S15917" s="24"/>
      <c r="T15917" s="24"/>
      <c r="U15917" s="24"/>
      <c r="V15917" s="24"/>
      <c r="W15917" s="24"/>
      <c r="X15917" s="24"/>
      <c r="Y15917" s="24"/>
      <c r="Z15917" s="24"/>
      <c r="AA15917" s="24"/>
    </row>
    <row r="15918">
      <c r="A15918" s="24"/>
      <c r="B15918" s="25"/>
      <c r="C15918" s="24"/>
      <c r="D15918" s="26"/>
      <c r="E15918" s="24"/>
      <c r="F15918" s="24"/>
      <c r="G15918" s="24"/>
      <c r="H15918" s="24"/>
      <c r="I15918" s="24"/>
      <c r="J15918" s="24"/>
      <c r="K15918" s="24"/>
      <c r="L15918" s="24"/>
      <c r="M15918" s="24"/>
      <c r="N15918" s="24"/>
      <c r="O15918" s="24"/>
      <c r="P15918" s="24"/>
      <c r="Q15918" s="24"/>
      <c r="R15918" s="24"/>
      <c r="S15918" s="24"/>
      <c r="T15918" s="24"/>
      <c r="U15918" s="24"/>
      <c r="V15918" s="24"/>
      <c r="W15918" s="24"/>
      <c r="X15918" s="24"/>
      <c r="Y15918" s="24"/>
      <c r="Z15918" s="24"/>
      <c r="AA15918" s="24"/>
    </row>
    <row r="15919">
      <c r="A15919" s="24"/>
      <c r="B15919" s="25"/>
      <c r="C15919" s="24"/>
      <c r="D15919" s="26"/>
      <c r="E15919" s="24"/>
      <c r="F15919" s="24"/>
      <c r="G15919" s="24"/>
      <c r="H15919" s="24"/>
      <c r="I15919" s="24"/>
      <c r="J15919" s="24"/>
      <c r="K15919" s="24"/>
      <c r="L15919" s="24"/>
      <c r="M15919" s="24"/>
      <c r="N15919" s="24"/>
      <c r="O15919" s="24"/>
      <c r="P15919" s="24"/>
      <c r="Q15919" s="24"/>
      <c r="R15919" s="24"/>
      <c r="S15919" s="24"/>
      <c r="T15919" s="24"/>
      <c r="U15919" s="24"/>
      <c r="V15919" s="24"/>
      <c r="W15919" s="24"/>
      <c r="X15919" s="24"/>
      <c r="Y15919" s="24"/>
      <c r="Z15919" s="24"/>
      <c r="AA15919" s="24"/>
    </row>
    <row r="15920">
      <c r="A15920" s="24"/>
      <c r="B15920" s="25"/>
      <c r="C15920" s="24"/>
      <c r="D15920" s="26"/>
      <c r="E15920" s="24"/>
      <c r="F15920" s="24"/>
      <c r="G15920" s="24"/>
      <c r="H15920" s="24"/>
      <c r="I15920" s="24"/>
      <c r="J15920" s="24"/>
      <c r="K15920" s="24"/>
      <c r="L15920" s="24"/>
      <c r="M15920" s="24"/>
      <c r="N15920" s="24"/>
      <c r="O15920" s="24"/>
      <c r="P15920" s="24"/>
      <c r="Q15920" s="24"/>
      <c r="R15920" s="24"/>
      <c r="S15920" s="24"/>
      <c r="T15920" s="24"/>
      <c r="U15920" s="24"/>
      <c r="V15920" s="24"/>
      <c r="W15920" s="24"/>
      <c r="X15920" s="24"/>
      <c r="Y15920" s="24"/>
      <c r="Z15920" s="24"/>
      <c r="AA15920" s="24"/>
    </row>
    <row r="15921">
      <c r="A15921" s="24"/>
      <c r="B15921" s="25"/>
      <c r="C15921" s="24"/>
      <c r="D15921" s="26"/>
      <c r="E15921" s="24"/>
      <c r="F15921" s="24"/>
      <c r="G15921" s="24"/>
      <c r="H15921" s="24"/>
      <c r="I15921" s="24"/>
      <c r="J15921" s="24"/>
      <c r="K15921" s="24"/>
      <c r="L15921" s="24"/>
      <c r="M15921" s="24"/>
      <c r="N15921" s="24"/>
      <c r="O15921" s="24"/>
      <c r="P15921" s="24"/>
      <c r="Q15921" s="24"/>
      <c r="R15921" s="24"/>
      <c r="S15921" s="24"/>
      <c r="T15921" s="24"/>
      <c r="U15921" s="24"/>
      <c r="V15921" s="24"/>
      <c r="W15921" s="24"/>
      <c r="X15921" s="24"/>
      <c r="Y15921" s="24"/>
      <c r="Z15921" s="24"/>
      <c r="AA15921" s="24"/>
    </row>
    <row r="15922">
      <c r="A15922" s="24"/>
      <c r="B15922" s="25"/>
      <c r="C15922" s="24"/>
      <c r="D15922" s="26"/>
      <c r="E15922" s="24"/>
      <c r="F15922" s="24"/>
      <c r="G15922" s="24"/>
      <c r="H15922" s="24"/>
      <c r="I15922" s="24"/>
      <c r="J15922" s="24"/>
      <c r="K15922" s="24"/>
      <c r="L15922" s="24"/>
      <c r="M15922" s="24"/>
      <c r="N15922" s="24"/>
      <c r="O15922" s="24"/>
      <c r="P15922" s="24"/>
      <c r="Q15922" s="24"/>
      <c r="R15922" s="24"/>
      <c r="S15922" s="24"/>
      <c r="T15922" s="24"/>
      <c r="U15922" s="24"/>
      <c r="V15922" s="24"/>
      <c r="W15922" s="24"/>
      <c r="X15922" s="24"/>
      <c r="Y15922" s="24"/>
      <c r="Z15922" s="24"/>
      <c r="AA15922" s="24"/>
    </row>
    <row r="15923">
      <c r="A15923" s="24"/>
      <c r="B15923" s="25"/>
      <c r="C15923" s="24"/>
      <c r="D15923" s="26"/>
      <c r="E15923" s="24"/>
      <c r="F15923" s="24"/>
      <c r="G15923" s="24"/>
      <c r="H15923" s="24"/>
      <c r="I15923" s="24"/>
      <c r="J15923" s="24"/>
      <c r="K15923" s="24"/>
      <c r="L15923" s="24"/>
      <c r="M15923" s="24"/>
      <c r="N15923" s="24"/>
      <c r="O15923" s="24"/>
      <c r="P15923" s="24"/>
      <c r="Q15923" s="24"/>
      <c r="R15923" s="24"/>
      <c r="S15923" s="24"/>
      <c r="T15923" s="24"/>
      <c r="U15923" s="24"/>
      <c r="V15923" s="24"/>
      <c r="W15923" s="24"/>
      <c r="X15923" s="24"/>
      <c r="Y15923" s="24"/>
      <c r="Z15923" s="24"/>
      <c r="AA15923" s="24"/>
    </row>
    <row r="15924">
      <c r="A15924" s="24"/>
      <c r="B15924" s="25"/>
      <c r="C15924" s="24"/>
      <c r="D15924" s="26"/>
      <c r="E15924" s="24"/>
      <c r="F15924" s="24"/>
      <c r="G15924" s="24"/>
      <c r="H15924" s="24"/>
      <c r="I15924" s="24"/>
      <c r="J15924" s="24"/>
      <c r="K15924" s="24"/>
      <c r="L15924" s="24"/>
      <c r="M15924" s="24"/>
      <c r="N15924" s="24"/>
      <c r="O15924" s="24"/>
      <c r="P15924" s="24"/>
      <c r="Q15924" s="24"/>
      <c r="R15924" s="24"/>
      <c r="S15924" s="24"/>
      <c r="T15924" s="24"/>
      <c r="U15924" s="24"/>
      <c r="V15924" s="24"/>
      <c r="W15924" s="24"/>
      <c r="X15924" s="24"/>
      <c r="Y15924" s="24"/>
      <c r="Z15924" s="24"/>
      <c r="AA15924" s="24"/>
    </row>
    <row r="15925">
      <c r="A15925" s="24"/>
      <c r="B15925" s="25"/>
      <c r="C15925" s="24"/>
      <c r="D15925" s="26"/>
      <c r="E15925" s="24"/>
      <c r="F15925" s="24"/>
      <c r="G15925" s="24"/>
      <c r="H15925" s="24"/>
      <c r="I15925" s="24"/>
      <c r="J15925" s="24"/>
      <c r="K15925" s="24"/>
      <c r="L15925" s="24"/>
      <c r="M15925" s="24"/>
      <c r="N15925" s="24"/>
      <c r="O15925" s="24"/>
      <c r="P15925" s="24"/>
      <c r="Q15925" s="24"/>
      <c r="R15925" s="24"/>
      <c r="S15925" s="24"/>
      <c r="T15925" s="24"/>
      <c r="U15925" s="24"/>
      <c r="V15925" s="24"/>
      <c r="W15925" s="24"/>
      <c r="X15925" s="24"/>
      <c r="Y15925" s="24"/>
      <c r="Z15925" s="24"/>
      <c r="AA15925" s="24"/>
    </row>
    <row r="15926">
      <c r="A15926" s="24"/>
      <c r="B15926" s="25"/>
      <c r="C15926" s="24"/>
      <c r="D15926" s="26"/>
      <c r="E15926" s="24"/>
      <c r="F15926" s="24"/>
      <c r="G15926" s="24"/>
      <c r="H15926" s="24"/>
      <c r="I15926" s="24"/>
      <c r="J15926" s="24"/>
      <c r="K15926" s="24"/>
      <c r="L15926" s="24"/>
      <c r="M15926" s="24"/>
      <c r="N15926" s="24"/>
      <c r="O15926" s="24"/>
      <c r="P15926" s="24"/>
      <c r="Q15926" s="24"/>
      <c r="R15926" s="24"/>
      <c r="S15926" s="24"/>
      <c r="T15926" s="24"/>
      <c r="U15926" s="24"/>
      <c r="V15926" s="24"/>
      <c r="W15926" s="24"/>
      <c r="X15926" s="24"/>
      <c r="Y15926" s="24"/>
      <c r="Z15926" s="24"/>
      <c r="AA15926" s="24"/>
    </row>
    <row r="15927">
      <c r="A15927" s="24"/>
      <c r="B15927" s="25"/>
      <c r="C15927" s="24"/>
      <c r="D15927" s="26"/>
      <c r="E15927" s="24"/>
      <c r="F15927" s="24"/>
      <c r="G15927" s="24"/>
      <c r="H15927" s="24"/>
      <c r="I15927" s="24"/>
      <c r="J15927" s="24"/>
      <c r="K15927" s="24"/>
      <c r="L15927" s="24"/>
      <c r="M15927" s="24"/>
      <c r="N15927" s="24"/>
      <c r="O15927" s="24"/>
      <c r="P15927" s="24"/>
      <c r="Q15927" s="24"/>
      <c r="R15927" s="24"/>
      <c r="S15927" s="24"/>
      <c r="T15927" s="24"/>
      <c r="U15927" s="24"/>
      <c r="V15927" s="24"/>
      <c r="W15927" s="24"/>
      <c r="X15927" s="24"/>
      <c r="Y15927" s="24"/>
      <c r="Z15927" s="24"/>
      <c r="AA15927" s="24"/>
    </row>
    <row r="15928">
      <c r="A15928" s="24"/>
      <c r="B15928" s="25"/>
      <c r="C15928" s="24"/>
      <c r="D15928" s="26"/>
      <c r="E15928" s="24"/>
      <c r="F15928" s="24"/>
      <c r="G15928" s="24"/>
      <c r="H15928" s="24"/>
      <c r="I15928" s="24"/>
      <c r="J15928" s="24"/>
      <c r="K15928" s="24"/>
      <c r="L15928" s="24"/>
      <c r="M15928" s="24"/>
      <c r="N15928" s="24"/>
      <c r="O15928" s="24"/>
      <c r="P15928" s="24"/>
      <c r="Q15928" s="24"/>
      <c r="R15928" s="24"/>
      <c r="S15928" s="24"/>
      <c r="T15928" s="24"/>
      <c r="U15928" s="24"/>
      <c r="V15928" s="24"/>
      <c r="W15928" s="24"/>
      <c r="X15928" s="24"/>
      <c r="Y15928" s="24"/>
      <c r="Z15928" s="24"/>
      <c r="AA15928" s="24"/>
    </row>
    <row r="15929">
      <c r="A15929" s="24"/>
      <c r="B15929" s="25"/>
      <c r="C15929" s="24"/>
      <c r="D15929" s="26"/>
      <c r="E15929" s="24"/>
      <c r="F15929" s="24"/>
      <c r="G15929" s="24"/>
      <c r="H15929" s="24"/>
      <c r="I15929" s="24"/>
      <c r="J15929" s="24"/>
      <c r="K15929" s="24"/>
      <c r="L15929" s="24"/>
      <c r="M15929" s="24"/>
      <c r="N15929" s="24"/>
      <c r="O15929" s="24"/>
      <c r="P15929" s="24"/>
      <c r="Q15929" s="24"/>
      <c r="R15929" s="24"/>
      <c r="S15929" s="24"/>
      <c r="T15929" s="24"/>
      <c r="U15929" s="24"/>
      <c r="V15929" s="24"/>
      <c r="W15929" s="24"/>
      <c r="X15929" s="24"/>
      <c r="Y15929" s="24"/>
      <c r="Z15929" s="24"/>
      <c r="AA15929" s="24"/>
    </row>
    <row r="15930">
      <c r="A15930" s="24"/>
      <c r="B15930" s="25"/>
      <c r="C15930" s="24"/>
      <c r="D15930" s="26"/>
      <c r="E15930" s="24"/>
      <c r="F15930" s="24"/>
      <c r="G15930" s="24"/>
      <c r="H15930" s="24"/>
      <c r="I15930" s="24"/>
      <c r="J15930" s="24"/>
      <c r="K15930" s="24"/>
      <c r="L15930" s="24"/>
      <c r="M15930" s="24"/>
      <c r="N15930" s="24"/>
      <c r="O15930" s="24"/>
      <c r="P15930" s="24"/>
      <c r="Q15930" s="24"/>
      <c r="R15930" s="24"/>
      <c r="S15930" s="24"/>
      <c r="T15930" s="24"/>
      <c r="U15930" s="24"/>
      <c r="V15930" s="24"/>
      <c r="W15930" s="24"/>
      <c r="X15930" s="24"/>
      <c r="Y15930" s="24"/>
      <c r="Z15930" s="24"/>
      <c r="AA15930" s="24"/>
    </row>
    <row r="15931">
      <c r="A15931" s="24"/>
      <c r="B15931" s="25"/>
      <c r="C15931" s="24"/>
      <c r="D15931" s="26"/>
      <c r="E15931" s="24"/>
      <c r="F15931" s="24"/>
      <c r="G15931" s="24"/>
      <c r="H15931" s="24"/>
      <c r="I15931" s="24"/>
      <c r="J15931" s="24"/>
      <c r="K15931" s="24"/>
      <c r="L15931" s="24"/>
      <c r="M15931" s="24"/>
      <c r="N15931" s="24"/>
      <c r="O15931" s="24"/>
      <c r="P15931" s="24"/>
      <c r="Q15931" s="24"/>
      <c r="R15931" s="24"/>
      <c r="S15931" s="24"/>
      <c r="T15931" s="24"/>
      <c r="U15931" s="24"/>
      <c r="V15931" s="24"/>
      <c r="W15931" s="24"/>
      <c r="X15931" s="24"/>
      <c r="Y15931" s="24"/>
      <c r="Z15931" s="24"/>
      <c r="AA15931" s="24"/>
    </row>
    <row r="15932">
      <c r="A15932" s="24"/>
      <c r="B15932" s="25"/>
      <c r="C15932" s="24"/>
      <c r="D15932" s="26"/>
      <c r="E15932" s="24"/>
      <c r="F15932" s="24"/>
      <c r="G15932" s="24"/>
      <c r="H15932" s="24"/>
      <c r="I15932" s="24"/>
      <c r="J15932" s="24"/>
      <c r="K15932" s="24"/>
      <c r="L15932" s="24"/>
      <c r="M15932" s="24"/>
      <c r="N15932" s="24"/>
      <c r="O15932" s="24"/>
      <c r="P15932" s="24"/>
      <c r="Q15932" s="24"/>
      <c r="R15932" s="24"/>
      <c r="S15932" s="24"/>
      <c r="T15932" s="24"/>
      <c r="U15932" s="24"/>
      <c r="V15932" s="24"/>
      <c r="W15932" s="24"/>
      <c r="X15932" s="24"/>
      <c r="Y15932" s="24"/>
      <c r="Z15932" s="24"/>
      <c r="AA15932" s="24"/>
    </row>
    <row r="15933">
      <c r="A15933" s="24"/>
      <c r="B15933" s="25"/>
      <c r="C15933" s="24"/>
      <c r="D15933" s="26"/>
      <c r="E15933" s="24"/>
      <c r="F15933" s="24"/>
      <c r="G15933" s="24"/>
      <c r="H15933" s="24"/>
      <c r="I15933" s="24"/>
      <c r="J15933" s="24"/>
      <c r="K15933" s="24"/>
      <c r="L15933" s="24"/>
      <c r="M15933" s="24"/>
      <c r="N15933" s="24"/>
      <c r="O15933" s="24"/>
      <c r="P15933" s="24"/>
      <c r="Q15933" s="24"/>
      <c r="R15933" s="24"/>
      <c r="S15933" s="24"/>
      <c r="T15933" s="24"/>
      <c r="U15933" s="24"/>
      <c r="V15933" s="24"/>
      <c r="W15933" s="24"/>
      <c r="X15933" s="24"/>
      <c r="Y15933" s="24"/>
      <c r="Z15933" s="24"/>
      <c r="AA15933" s="24"/>
    </row>
    <row r="15934">
      <c r="A15934" s="24"/>
      <c r="B15934" s="25"/>
      <c r="C15934" s="24"/>
      <c r="D15934" s="26"/>
      <c r="E15934" s="24"/>
      <c r="F15934" s="24"/>
      <c r="G15934" s="24"/>
      <c r="H15934" s="24"/>
      <c r="I15934" s="24"/>
      <c r="J15934" s="24"/>
      <c r="K15934" s="24"/>
      <c r="L15934" s="24"/>
      <c r="M15934" s="24"/>
      <c r="N15934" s="24"/>
      <c r="O15934" s="24"/>
      <c r="P15934" s="24"/>
      <c r="Q15934" s="24"/>
      <c r="R15934" s="24"/>
      <c r="S15934" s="24"/>
      <c r="T15934" s="24"/>
      <c r="U15934" s="24"/>
      <c r="V15934" s="24"/>
      <c r="W15934" s="24"/>
      <c r="X15934" s="24"/>
      <c r="Y15934" s="24"/>
      <c r="Z15934" s="24"/>
      <c r="AA15934" s="24"/>
    </row>
    <row r="15935">
      <c r="A15935" s="24"/>
      <c r="B15935" s="25"/>
      <c r="C15935" s="24"/>
      <c r="D15935" s="26"/>
      <c r="E15935" s="24"/>
      <c r="F15935" s="24"/>
      <c r="G15935" s="24"/>
      <c r="H15935" s="24"/>
      <c r="I15935" s="24"/>
      <c r="J15935" s="24"/>
      <c r="K15935" s="24"/>
      <c r="L15935" s="24"/>
      <c r="M15935" s="24"/>
      <c r="N15935" s="24"/>
      <c r="O15935" s="24"/>
      <c r="P15935" s="24"/>
      <c r="Q15935" s="24"/>
      <c r="R15935" s="24"/>
      <c r="S15935" s="24"/>
      <c r="T15935" s="24"/>
      <c r="U15935" s="24"/>
      <c r="V15935" s="24"/>
      <c r="W15935" s="24"/>
      <c r="X15935" s="24"/>
      <c r="Y15935" s="24"/>
      <c r="Z15935" s="24"/>
      <c r="AA15935" s="24"/>
    </row>
    <row r="15936">
      <c r="A15936" s="24"/>
      <c r="B15936" s="25"/>
      <c r="C15936" s="24"/>
      <c r="D15936" s="26"/>
      <c r="E15936" s="24"/>
      <c r="F15936" s="24"/>
      <c r="G15936" s="24"/>
      <c r="H15936" s="24"/>
      <c r="I15936" s="24"/>
      <c r="J15936" s="24"/>
      <c r="K15936" s="24"/>
      <c r="L15936" s="24"/>
      <c r="M15936" s="24"/>
      <c r="N15936" s="24"/>
      <c r="O15936" s="24"/>
      <c r="P15936" s="24"/>
      <c r="Q15936" s="24"/>
      <c r="R15936" s="24"/>
      <c r="S15936" s="24"/>
      <c r="T15936" s="24"/>
      <c r="U15936" s="24"/>
      <c r="V15936" s="24"/>
      <c r="W15936" s="24"/>
      <c r="X15936" s="24"/>
      <c r="Y15936" s="24"/>
      <c r="Z15936" s="24"/>
      <c r="AA15936" s="24"/>
    </row>
    <row r="15937">
      <c r="A15937" s="24"/>
      <c r="B15937" s="25"/>
      <c r="C15937" s="24"/>
      <c r="D15937" s="26"/>
      <c r="E15937" s="24"/>
      <c r="F15937" s="24"/>
      <c r="G15937" s="24"/>
      <c r="H15937" s="24"/>
      <c r="I15937" s="24"/>
      <c r="J15937" s="24"/>
      <c r="K15937" s="24"/>
      <c r="L15937" s="24"/>
      <c r="M15937" s="24"/>
      <c r="N15937" s="24"/>
      <c r="O15937" s="24"/>
      <c r="P15937" s="24"/>
      <c r="Q15937" s="24"/>
      <c r="R15937" s="24"/>
      <c r="S15937" s="24"/>
      <c r="T15937" s="24"/>
      <c r="U15937" s="24"/>
      <c r="V15937" s="24"/>
      <c r="W15937" s="24"/>
      <c r="X15937" s="24"/>
      <c r="Y15937" s="24"/>
      <c r="Z15937" s="24"/>
      <c r="AA15937" s="24"/>
    </row>
    <row r="15938">
      <c r="A15938" s="24"/>
      <c r="B15938" s="25"/>
      <c r="C15938" s="24"/>
      <c r="D15938" s="26"/>
      <c r="E15938" s="24"/>
      <c r="F15938" s="24"/>
      <c r="G15938" s="24"/>
      <c r="H15938" s="24"/>
      <c r="I15938" s="24"/>
      <c r="J15938" s="24"/>
      <c r="K15938" s="24"/>
      <c r="L15938" s="24"/>
      <c r="M15938" s="24"/>
      <c r="N15938" s="24"/>
      <c r="O15938" s="24"/>
      <c r="P15938" s="24"/>
      <c r="Q15938" s="24"/>
      <c r="R15938" s="24"/>
      <c r="S15938" s="24"/>
      <c r="T15938" s="24"/>
      <c r="U15938" s="24"/>
      <c r="V15938" s="24"/>
      <c r="W15938" s="24"/>
      <c r="X15938" s="24"/>
      <c r="Y15938" s="24"/>
      <c r="Z15938" s="24"/>
      <c r="AA15938" s="24"/>
    </row>
    <row r="15939">
      <c r="A15939" s="24"/>
      <c r="B15939" s="25"/>
      <c r="C15939" s="24"/>
      <c r="D15939" s="26"/>
      <c r="E15939" s="24"/>
      <c r="F15939" s="24"/>
      <c r="G15939" s="24"/>
      <c r="H15939" s="24"/>
      <c r="I15939" s="24"/>
      <c r="J15939" s="24"/>
      <c r="K15939" s="24"/>
      <c r="L15939" s="24"/>
      <c r="M15939" s="24"/>
      <c r="N15939" s="24"/>
      <c r="O15939" s="24"/>
      <c r="P15939" s="24"/>
      <c r="Q15939" s="24"/>
      <c r="R15939" s="24"/>
      <c r="S15939" s="24"/>
      <c r="T15939" s="24"/>
      <c r="U15939" s="24"/>
      <c r="V15939" s="24"/>
      <c r="W15939" s="24"/>
      <c r="X15939" s="24"/>
      <c r="Y15939" s="24"/>
      <c r="Z15939" s="24"/>
      <c r="AA15939" s="24"/>
    </row>
    <row r="15940">
      <c r="A15940" s="24"/>
      <c r="B15940" s="25"/>
      <c r="C15940" s="24"/>
      <c r="D15940" s="26"/>
      <c r="E15940" s="24"/>
      <c r="F15940" s="24"/>
      <c r="G15940" s="24"/>
      <c r="H15940" s="24"/>
      <c r="I15940" s="24"/>
      <c r="J15940" s="24"/>
      <c r="K15940" s="24"/>
      <c r="L15940" s="24"/>
      <c r="M15940" s="24"/>
      <c r="N15940" s="24"/>
      <c r="O15940" s="24"/>
      <c r="P15940" s="24"/>
      <c r="Q15940" s="24"/>
      <c r="R15940" s="24"/>
      <c r="S15940" s="24"/>
      <c r="T15940" s="24"/>
      <c r="U15940" s="24"/>
      <c r="V15940" s="24"/>
      <c r="W15940" s="24"/>
      <c r="X15940" s="24"/>
      <c r="Y15940" s="24"/>
      <c r="Z15940" s="24"/>
      <c r="AA15940" s="24"/>
    </row>
    <row r="15941">
      <c r="A15941" s="24"/>
      <c r="B15941" s="25"/>
      <c r="C15941" s="24"/>
      <c r="D15941" s="26"/>
      <c r="E15941" s="24"/>
      <c r="F15941" s="24"/>
      <c r="G15941" s="24"/>
      <c r="H15941" s="24"/>
      <c r="I15941" s="24"/>
      <c r="J15941" s="24"/>
      <c r="K15941" s="24"/>
      <c r="L15941" s="24"/>
      <c r="M15941" s="24"/>
      <c r="N15941" s="24"/>
      <c r="O15941" s="24"/>
      <c r="P15941" s="24"/>
      <c r="Q15941" s="24"/>
      <c r="R15941" s="24"/>
      <c r="S15941" s="24"/>
      <c r="T15941" s="24"/>
      <c r="U15941" s="24"/>
      <c r="V15941" s="24"/>
      <c r="W15941" s="24"/>
      <c r="X15941" s="24"/>
      <c r="Y15941" s="24"/>
      <c r="Z15941" s="24"/>
      <c r="AA15941" s="24"/>
    </row>
    <row r="15942">
      <c r="A15942" s="24"/>
      <c r="B15942" s="25"/>
      <c r="C15942" s="24"/>
      <c r="D15942" s="26"/>
      <c r="E15942" s="24"/>
      <c r="F15942" s="24"/>
      <c r="G15942" s="24"/>
      <c r="H15942" s="24"/>
      <c r="I15942" s="24"/>
      <c r="J15942" s="24"/>
      <c r="K15942" s="24"/>
      <c r="L15942" s="24"/>
      <c r="M15942" s="24"/>
      <c r="N15942" s="24"/>
      <c r="O15942" s="24"/>
      <c r="P15942" s="24"/>
      <c r="Q15942" s="24"/>
      <c r="R15942" s="24"/>
      <c r="S15942" s="24"/>
      <c r="T15942" s="24"/>
      <c r="U15942" s="24"/>
      <c r="V15942" s="24"/>
      <c r="W15942" s="24"/>
      <c r="X15942" s="24"/>
      <c r="Y15942" s="24"/>
      <c r="Z15942" s="24"/>
      <c r="AA15942" s="24"/>
    </row>
    <row r="15943">
      <c r="A15943" s="24"/>
      <c r="B15943" s="25"/>
      <c r="C15943" s="24"/>
      <c r="D15943" s="26"/>
      <c r="E15943" s="24"/>
      <c r="F15943" s="24"/>
      <c r="G15943" s="24"/>
      <c r="H15943" s="24"/>
      <c r="I15943" s="24"/>
      <c r="J15943" s="24"/>
      <c r="K15943" s="24"/>
      <c r="L15943" s="24"/>
      <c r="M15943" s="24"/>
      <c r="N15943" s="24"/>
      <c r="O15943" s="24"/>
      <c r="P15943" s="24"/>
      <c r="Q15943" s="24"/>
      <c r="R15943" s="24"/>
      <c r="S15943" s="24"/>
      <c r="T15943" s="24"/>
      <c r="U15943" s="24"/>
      <c r="V15943" s="24"/>
      <c r="W15943" s="24"/>
      <c r="X15943" s="24"/>
      <c r="Y15943" s="24"/>
      <c r="Z15943" s="24"/>
      <c r="AA15943" s="24"/>
    </row>
    <row r="15944">
      <c r="A15944" s="24"/>
      <c r="B15944" s="25"/>
      <c r="C15944" s="24"/>
      <c r="D15944" s="26"/>
      <c r="E15944" s="24"/>
      <c r="F15944" s="24"/>
      <c r="G15944" s="24"/>
      <c r="H15944" s="24"/>
      <c r="I15944" s="24"/>
      <c r="J15944" s="24"/>
      <c r="K15944" s="24"/>
      <c r="L15944" s="24"/>
      <c r="M15944" s="24"/>
      <c r="N15944" s="24"/>
      <c r="O15944" s="24"/>
      <c r="P15944" s="24"/>
      <c r="Q15944" s="24"/>
      <c r="R15944" s="24"/>
      <c r="S15944" s="24"/>
      <c r="T15944" s="24"/>
      <c r="U15944" s="24"/>
      <c r="V15944" s="24"/>
      <c r="W15944" s="24"/>
      <c r="X15944" s="24"/>
      <c r="Y15944" s="24"/>
      <c r="Z15944" s="24"/>
      <c r="AA15944" s="24"/>
    </row>
    <row r="15945">
      <c r="A15945" s="24"/>
      <c r="B15945" s="25"/>
      <c r="C15945" s="24"/>
      <c r="D15945" s="26"/>
      <c r="E15945" s="24"/>
      <c r="F15945" s="24"/>
      <c r="G15945" s="24"/>
      <c r="H15945" s="24"/>
      <c r="I15945" s="24"/>
      <c r="J15945" s="24"/>
      <c r="K15945" s="24"/>
      <c r="L15945" s="24"/>
      <c r="M15945" s="24"/>
      <c r="N15945" s="24"/>
      <c r="O15945" s="24"/>
      <c r="P15945" s="24"/>
      <c r="Q15945" s="24"/>
      <c r="R15945" s="24"/>
      <c r="S15945" s="24"/>
      <c r="T15945" s="24"/>
      <c r="U15945" s="24"/>
      <c r="V15945" s="24"/>
      <c r="W15945" s="24"/>
      <c r="X15945" s="24"/>
      <c r="Y15945" s="24"/>
      <c r="Z15945" s="24"/>
      <c r="AA15945" s="24"/>
    </row>
    <row r="15946">
      <c r="A15946" s="24"/>
      <c r="B15946" s="25"/>
      <c r="C15946" s="24"/>
      <c r="D15946" s="26"/>
      <c r="E15946" s="24"/>
      <c r="F15946" s="24"/>
      <c r="G15946" s="24"/>
      <c r="H15946" s="24"/>
      <c r="I15946" s="24"/>
      <c r="J15946" s="24"/>
      <c r="K15946" s="24"/>
      <c r="L15946" s="24"/>
      <c r="M15946" s="24"/>
      <c r="N15946" s="24"/>
      <c r="O15946" s="24"/>
      <c r="P15946" s="24"/>
      <c r="Q15946" s="24"/>
      <c r="R15946" s="24"/>
      <c r="S15946" s="24"/>
      <c r="T15946" s="24"/>
      <c r="U15946" s="24"/>
      <c r="V15946" s="24"/>
      <c r="W15946" s="24"/>
      <c r="X15946" s="24"/>
      <c r="Y15946" s="24"/>
      <c r="Z15946" s="24"/>
      <c r="AA15946" s="24"/>
    </row>
    <row r="15947">
      <c r="A15947" s="24"/>
      <c r="B15947" s="25"/>
      <c r="C15947" s="24"/>
      <c r="D15947" s="26"/>
      <c r="E15947" s="24"/>
      <c r="F15947" s="24"/>
      <c r="G15947" s="24"/>
      <c r="H15947" s="24"/>
      <c r="I15947" s="24"/>
      <c r="J15947" s="24"/>
      <c r="K15947" s="24"/>
      <c r="L15947" s="24"/>
      <c r="M15947" s="24"/>
      <c r="N15947" s="24"/>
      <c r="O15947" s="24"/>
      <c r="P15947" s="24"/>
      <c r="Q15947" s="24"/>
      <c r="R15947" s="24"/>
      <c r="S15947" s="24"/>
      <c r="T15947" s="24"/>
      <c r="U15947" s="24"/>
      <c r="V15947" s="24"/>
      <c r="W15947" s="24"/>
      <c r="X15947" s="24"/>
      <c r="Y15947" s="24"/>
      <c r="Z15947" s="24"/>
      <c r="AA15947" s="24"/>
    </row>
    <row r="15948">
      <c r="A15948" s="24"/>
      <c r="B15948" s="25"/>
      <c r="C15948" s="24"/>
      <c r="D15948" s="26"/>
      <c r="E15948" s="24"/>
      <c r="F15948" s="24"/>
      <c r="G15948" s="24"/>
      <c r="H15948" s="24"/>
      <c r="I15948" s="24"/>
      <c r="J15948" s="24"/>
      <c r="K15948" s="24"/>
      <c r="L15948" s="24"/>
      <c r="M15948" s="24"/>
      <c r="N15948" s="24"/>
      <c r="O15948" s="24"/>
      <c r="P15948" s="24"/>
      <c r="Q15948" s="24"/>
      <c r="R15948" s="24"/>
      <c r="S15948" s="24"/>
      <c r="T15948" s="24"/>
      <c r="U15948" s="24"/>
      <c r="V15948" s="24"/>
      <c r="W15948" s="24"/>
      <c r="X15948" s="24"/>
      <c r="Y15948" s="24"/>
      <c r="Z15948" s="24"/>
      <c r="AA15948" s="24"/>
    </row>
    <row r="15949">
      <c r="A15949" s="24"/>
      <c r="B15949" s="25"/>
      <c r="C15949" s="24"/>
      <c r="D15949" s="26"/>
      <c r="E15949" s="24"/>
      <c r="F15949" s="24"/>
      <c r="G15949" s="24"/>
      <c r="H15949" s="24"/>
      <c r="I15949" s="24"/>
      <c r="J15949" s="24"/>
      <c r="K15949" s="24"/>
      <c r="L15949" s="24"/>
      <c r="M15949" s="24"/>
      <c r="N15949" s="24"/>
      <c r="O15949" s="24"/>
      <c r="P15949" s="24"/>
      <c r="Q15949" s="24"/>
      <c r="R15949" s="24"/>
      <c r="S15949" s="24"/>
      <c r="T15949" s="24"/>
      <c r="U15949" s="24"/>
      <c r="V15949" s="24"/>
      <c r="W15949" s="24"/>
      <c r="X15949" s="24"/>
      <c r="Y15949" s="24"/>
      <c r="Z15949" s="24"/>
      <c r="AA15949" s="24"/>
    </row>
    <row r="15950">
      <c r="A15950" s="24"/>
      <c r="B15950" s="25"/>
      <c r="C15950" s="24"/>
      <c r="D15950" s="26"/>
      <c r="E15950" s="24"/>
      <c r="F15950" s="24"/>
      <c r="G15950" s="24"/>
      <c r="H15950" s="24"/>
      <c r="I15950" s="24"/>
      <c r="J15950" s="24"/>
      <c r="K15950" s="24"/>
      <c r="L15950" s="24"/>
      <c r="M15950" s="24"/>
      <c r="N15950" s="24"/>
      <c r="O15950" s="24"/>
      <c r="P15950" s="24"/>
      <c r="Q15950" s="24"/>
      <c r="R15950" s="24"/>
      <c r="S15950" s="24"/>
      <c r="T15950" s="24"/>
      <c r="U15950" s="24"/>
      <c r="V15950" s="24"/>
      <c r="W15950" s="24"/>
      <c r="X15950" s="24"/>
      <c r="Y15950" s="24"/>
      <c r="Z15950" s="24"/>
      <c r="AA15950" s="24"/>
    </row>
    <row r="15951">
      <c r="A15951" s="24"/>
      <c r="B15951" s="25"/>
      <c r="C15951" s="24"/>
      <c r="D15951" s="26"/>
      <c r="E15951" s="24"/>
      <c r="F15951" s="24"/>
      <c r="G15951" s="24"/>
      <c r="H15951" s="24"/>
      <c r="I15951" s="24"/>
      <c r="J15951" s="24"/>
      <c r="K15951" s="24"/>
      <c r="L15951" s="24"/>
      <c r="M15951" s="24"/>
      <c r="N15951" s="24"/>
      <c r="O15951" s="24"/>
      <c r="P15951" s="24"/>
      <c r="Q15951" s="24"/>
      <c r="R15951" s="24"/>
      <c r="S15951" s="24"/>
      <c r="T15951" s="24"/>
      <c r="U15951" s="24"/>
      <c r="V15951" s="24"/>
      <c r="W15951" s="24"/>
      <c r="X15951" s="24"/>
      <c r="Y15951" s="24"/>
      <c r="Z15951" s="24"/>
      <c r="AA15951" s="24"/>
    </row>
    <row r="15952">
      <c r="A15952" s="24"/>
      <c r="B15952" s="25"/>
      <c r="C15952" s="24"/>
      <c r="D15952" s="26"/>
      <c r="E15952" s="24"/>
      <c r="F15952" s="24"/>
      <c r="G15952" s="24"/>
      <c r="H15952" s="24"/>
      <c r="I15952" s="24"/>
      <c r="J15952" s="24"/>
      <c r="K15952" s="24"/>
      <c r="L15952" s="24"/>
      <c r="M15952" s="24"/>
      <c r="N15952" s="24"/>
      <c r="O15952" s="24"/>
      <c r="P15952" s="24"/>
      <c r="Q15952" s="24"/>
      <c r="R15952" s="24"/>
      <c r="S15952" s="24"/>
      <c r="T15952" s="24"/>
      <c r="U15952" s="24"/>
      <c r="V15952" s="24"/>
      <c r="W15952" s="24"/>
      <c r="X15952" s="24"/>
      <c r="Y15952" s="24"/>
      <c r="Z15952" s="24"/>
      <c r="AA15952" s="24"/>
    </row>
    <row r="15953">
      <c r="A15953" s="24"/>
      <c r="B15953" s="25"/>
      <c r="C15953" s="24"/>
      <c r="D15953" s="26"/>
      <c r="E15953" s="24"/>
      <c r="F15953" s="24"/>
      <c r="G15953" s="24"/>
      <c r="H15953" s="24"/>
      <c r="I15953" s="24"/>
      <c r="J15953" s="24"/>
      <c r="K15953" s="24"/>
      <c r="L15953" s="24"/>
      <c r="M15953" s="24"/>
      <c r="N15953" s="24"/>
      <c r="O15953" s="24"/>
      <c r="P15953" s="24"/>
      <c r="Q15953" s="24"/>
      <c r="R15953" s="24"/>
      <c r="S15953" s="24"/>
      <c r="T15953" s="24"/>
      <c r="U15953" s="24"/>
      <c r="V15953" s="24"/>
      <c r="W15953" s="24"/>
      <c r="X15953" s="24"/>
      <c r="Y15953" s="24"/>
      <c r="Z15953" s="24"/>
      <c r="AA15953" s="24"/>
    </row>
    <row r="15954">
      <c r="A15954" s="24"/>
      <c r="B15954" s="25"/>
      <c r="C15954" s="24"/>
      <c r="D15954" s="26"/>
      <c r="E15954" s="24"/>
      <c r="F15954" s="24"/>
      <c r="G15954" s="24"/>
      <c r="H15954" s="24"/>
      <c r="I15954" s="24"/>
      <c r="J15954" s="24"/>
      <c r="K15954" s="24"/>
      <c r="L15954" s="24"/>
      <c r="M15954" s="24"/>
      <c r="N15954" s="24"/>
      <c r="O15954" s="24"/>
      <c r="P15954" s="24"/>
      <c r="Q15954" s="24"/>
      <c r="R15954" s="24"/>
      <c r="S15954" s="24"/>
      <c r="T15954" s="24"/>
      <c r="U15954" s="24"/>
      <c r="V15954" s="24"/>
      <c r="W15954" s="24"/>
      <c r="X15954" s="24"/>
      <c r="Y15954" s="24"/>
      <c r="Z15954" s="24"/>
      <c r="AA15954" s="24"/>
    </row>
    <row r="15955">
      <c r="A15955" s="24"/>
      <c r="B15955" s="25"/>
      <c r="C15955" s="24"/>
      <c r="D15955" s="26"/>
      <c r="E15955" s="24"/>
      <c r="F15955" s="24"/>
      <c r="G15955" s="24"/>
      <c r="H15955" s="24"/>
      <c r="I15955" s="24"/>
      <c r="J15955" s="24"/>
      <c r="K15955" s="24"/>
      <c r="L15955" s="24"/>
      <c r="M15955" s="24"/>
      <c r="N15955" s="24"/>
      <c r="O15955" s="24"/>
      <c r="P15955" s="24"/>
      <c r="Q15955" s="24"/>
      <c r="R15955" s="24"/>
      <c r="S15955" s="24"/>
      <c r="T15955" s="24"/>
      <c r="U15955" s="24"/>
      <c r="V15955" s="24"/>
      <c r="W15955" s="24"/>
      <c r="X15955" s="24"/>
      <c r="Y15955" s="24"/>
      <c r="Z15955" s="24"/>
      <c r="AA15955" s="24"/>
    </row>
    <row r="15956">
      <c r="A15956" s="24"/>
      <c r="B15956" s="25"/>
      <c r="C15956" s="24"/>
      <c r="D15956" s="26"/>
      <c r="E15956" s="24"/>
      <c r="F15956" s="24"/>
      <c r="G15956" s="24"/>
      <c r="H15956" s="24"/>
      <c r="I15956" s="24"/>
      <c r="J15956" s="24"/>
      <c r="K15956" s="24"/>
      <c r="L15956" s="24"/>
      <c r="M15956" s="24"/>
      <c r="N15956" s="24"/>
      <c r="O15956" s="24"/>
      <c r="P15956" s="24"/>
      <c r="Q15956" s="24"/>
      <c r="R15956" s="24"/>
      <c r="S15956" s="24"/>
      <c r="T15956" s="24"/>
      <c r="U15956" s="24"/>
      <c r="V15956" s="24"/>
      <c r="W15956" s="24"/>
      <c r="X15956" s="24"/>
      <c r="Y15956" s="24"/>
      <c r="Z15956" s="24"/>
      <c r="AA15956" s="24"/>
    </row>
    <row r="15957">
      <c r="A15957" s="24"/>
      <c r="B15957" s="25"/>
      <c r="C15957" s="24"/>
      <c r="D15957" s="26"/>
      <c r="E15957" s="24"/>
      <c r="F15957" s="24"/>
      <c r="G15957" s="24"/>
      <c r="H15957" s="24"/>
      <c r="I15957" s="24"/>
      <c r="J15957" s="24"/>
      <c r="K15957" s="24"/>
      <c r="L15957" s="24"/>
      <c r="M15957" s="24"/>
      <c r="N15957" s="24"/>
      <c r="O15957" s="24"/>
      <c r="P15957" s="24"/>
      <c r="Q15957" s="24"/>
      <c r="R15957" s="24"/>
      <c r="S15957" s="24"/>
      <c r="T15957" s="24"/>
      <c r="U15957" s="24"/>
      <c r="V15957" s="24"/>
      <c r="W15957" s="24"/>
      <c r="X15957" s="24"/>
      <c r="Y15957" s="24"/>
      <c r="Z15957" s="24"/>
      <c r="AA15957" s="24"/>
    </row>
    <row r="15958">
      <c r="A15958" s="24"/>
      <c r="B15958" s="25"/>
      <c r="C15958" s="24"/>
      <c r="D15958" s="26"/>
      <c r="E15958" s="24"/>
      <c r="F15958" s="24"/>
      <c r="G15958" s="24"/>
      <c r="H15958" s="24"/>
      <c r="I15958" s="24"/>
      <c r="J15958" s="24"/>
      <c r="K15958" s="24"/>
      <c r="L15958" s="24"/>
      <c r="M15958" s="24"/>
      <c r="N15958" s="24"/>
      <c r="O15958" s="24"/>
      <c r="P15958" s="24"/>
      <c r="Q15958" s="24"/>
      <c r="R15958" s="24"/>
      <c r="S15958" s="24"/>
      <c r="T15958" s="24"/>
      <c r="U15958" s="24"/>
      <c r="V15958" s="24"/>
      <c r="W15958" s="24"/>
      <c r="X15958" s="24"/>
      <c r="Y15958" s="24"/>
      <c r="Z15958" s="24"/>
      <c r="AA15958" s="24"/>
    </row>
    <row r="15959">
      <c r="A15959" s="24"/>
      <c r="B15959" s="25"/>
      <c r="C15959" s="24"/>
      <c r="D15959" s="26"/>
      <c r="E15959" s="24"/>
      <c r="F15959" s="24"/>
      <c r="G15959" s="24"/>
      <c r="H15959" s="24"/>
      <c r="I15959" s="24"/>
      <c r="J15959" s="24"/>
      <c r="K15959" s="24"/>
      <c r="L15959" s="24"/>
      <c r="M15959" s="24"/>
      <c r="N15959" s="24"/>
      <c r="O15959" s="24"/>
      <c r="P15959" s="24"/>
      <c r="Q15959" s="24"/>
      <c r="R15959" s="24"/>
      <c r="S15959" s="24"/>
      <c r="T15959" s="24"/>
      <c r="U15959" s="24"/>
      <c r="V15959" s="24"/>
      <c r="W15959" s="24"/>
      <c r="X15959" s="24"/>
      <c r="Y15959" s="24"/>
      <c r="Z15959" s="24"/>
      <c r="AA15959" s="24"/>
    </row>
    <row r="15960">
      <c r="A15960" s="24"/>
      <c r="B15960" s="25"/>
      <c r="C15960" s="24"/>
      <c r="D15960" s="26"/>
      <c r="E15960" s="24"/>
      <c r="F15960" s="24"/>
      <c r="G15960" s="24"/>
      <c r="H15960" s="24"/>
      <c r="I15960" s="24"/>
      <c r="J15960" s="24"/>
      <c r="K15960" s="24"/>
      <c r="L15960" s="24"/>
      <c r="M15960" s="24"/>
      <c r="N15960" s="24"/>
      <c r="O15960" s="24"/>
      <c r="P15960" s="24"/>
      <c r="Q15960" s="24"/>
      <c r="R15960" s="24"/>
      <c r="S15960" s="24"/>
      <c r="T15960" s="24"/>
      <c r="U15960" s="24"/>
      <c r="V15960" s="24"/>
      <c r="W15960" s="24"/>
      <c r="X15960" s="24"/>
      <c r="Y15960" s="24"/>
      <c r="Z15960" s="24"/>
      <c r="AA15960" s="24"/>
    </row>
    <row r="15961">
      <c r="A15961" s="24"/>
      <c r="B15961" s="25"/>
      <c r="C15961" s="24"/>
      <c r="D15961" s="26"/>
      <c r="E15961" s="24"/>
      <c r="F15961" s="24"/>
      <c r="G15961" s="24"/>
      <c r="H15961" s="24"/>
      <c r="I15961" s="24"/>
      <c r="J15961" s="24"/>
      <c r="K15961" s="24"/>
      <c r="L15961" s="24"/>
      <c r="M15961" s="24"/>
      <c r="N15961" s="24"/>
      <c r="O15961" s="24"/>
      <c r="P15961" s="24"/>
      <c r="Q15961" s="24"/>
      <c r="R15961" s="24"/>
      <c r="S15961" s="24"/>
      <c r="T15961" s="24"/>
      <c r="U15961" s="24"/>
      <c r="V15961" s="24"/>
      <c r="W15961" s="24"/>
      <c r="X15961" s="24"/>
      <c r="Y15961" s="24"/>
      <c r="Z15961" s="24"/>
      <c r="AA15961" s="24"/>
    </row>
    <row r="15962">
      <c r="A15962" s="24"/>
      <c r="B15962" s="25"/>
      <c r="C15962" s="24"/>
      <c r="D15962" s="26"/>
      <c r="E15962" s="24"/>
      <c r="F15962" s="24"/>
      <c r="G15962" s="24"/>
      <c r="H15962" s="24"/>
      <c r="I15962" s="24"/>
      <c r="J15962" s="24"/>
      <c r="K15962" s="24"/>
      <c r="L15962" s="24"/>
      <c r="M15962" s="24"/>
      <c r="N15962" s="24"/>
      <c r="O15962" s="24"/>
      <c r="P15962" s="24"/>
      <c r="Q15962" s="24"/>
      <c r="R15962" s="24"/>
      <c r="S15962" s="24"/>
      <c r="T15962" s="24"/>
      <c r="U15962" s="24"/>
      <c r="V15962" s="24"/>
      <c r="W15962" s="24"/>
      <c r="X15962" s="24"/>
      <c r="Y15962" s="24"/>
      <c r="Z15962" s="24"/>
      <c r="AA15962" s="24"/>
    </row>
    <row r="15963">
      <c r="A15963" s="24"/>
      <c r="B15963" s="25"/>
      <c r="C15963" s="24"/>
      <c r="D15963" s="26"/>
      <c r="E15963" s="24"/>
      <c r="F15963" s="24"/>
      <c r="G15963" s="24"/>
      <c r="H15963" s="24"/>
      <c r="I15963" s="24"/>
      <c r="J15963" s="24"/>
      <c r="K15963" s="24"/>
      <c r="L15963" s="24"/>
      <c r="M15963" s="24"/>
      <c r="N15963" s="24"/>
      <c r="O15963" s="24"/>
      <c r="P15963" s="24"/>
      <c r="Q15963" s="24"/>
      <c r="R15963" s="24"/>
      <c r="S15963" s="24"/>
      <c r="T15963" s="24"/>
      <c r="U15963" s="24"/>
      <c r="V15963" s="24"/>
      <c r="W15963" s="24"/>
      <c r="X15963" s="24"/>
      <c r="Y15963" s="24"/>
      <c r="Z15963" s="24"/>
      <c r="AA15963" s="24"/>
    </row>
    <row r="15964">
      <c r="A15964" s="24"/>
      <c r="B15964" s="25"/>
      <c r="C15964" s="24"/>
      <c r="D15964" s="26"/>
      <c r="E15964" s="24"/>
      <c r="F15964" s="24"/>
      <c r="G15964" s="24"/>
      <c r="H15964" s="24"/>
      <c r="I15964" s="24"/>
      <c r="J15964" s="24"/>
      <c r="K15964" s="24"/>
      <c r="L15964" s="24"/>
      <c r="M15964" s="24"/>
      <c r="N15964" s="24"/>
      <c r="O15964" s="24"/>
      <c r="P15964" s="24"/>
      <c r="Q15964" s="24"/>
      <c r="R15964" s="24"/>
      <c r="S15964" s="24"/>
      <c r="T15964" s="24"/>
      <c r="U15964" s="24"/>
      <c r="V15964" s="24"/>
      <c r="W15964" s="24"/>
      <c r="X15964" s="24"/>
      <c r="Y15964" s="24"/>
      <c r="Z15964" s="24"/>
      <c r="AA15964" s="24"/>
    </row>
    <row r="15965">
      <c r="A15965" s="24"/>
      <c r="B15965" s="25"/>
      <c r="C15965" s="24"/>
      <c r="D15965" s="26"/>
      <c r="E15965" s="24"/>
      <c r="F15965" s="24"/>
      <c r="G15965" s="24"/>
      <c r="H15965" s="24"/>
      <c r="I15965" s="24"/>
      <c r="J15965" s="24"/>
      <c r="K15965" s="24"/>
      <c r="L15965" s="24"/>
      <c r="M15965" s="24"/>
      <c r="N15965" s="24"/>
      <c r="O15965" s="24"/>
      <c r="P15965" s="24"/>
      <c r="Q15965" s="24"/>
      <c r="R15965" s="24"/>
      <c r="S15965" s="24"/>
      <c r="T15965" s="24"/>
      <c r="U15965" s="24"/>
      <c r="V15965" s="24"/>
      <c r="W15965" s="24"/>
      <c r="X15965" s="24"/>
      <c r="Y15965" s="24"/>
      <c r="Z15965" s="24"/>
      <c r="AA15965" s="24"/>
    </row>
    <row r="15966">
      <c r="A15966" s="24"/>
      <c r="B15966" s="25"/>
      <c r="C15966" s="24"/>
      <c r="D15966" s="26"/>
      <c r="E15966" s="24"/>
      <c r="F15966" s="24"/>
      <c r="G15966" s="24"/>
      <c r="H15966" s="24"/>
      <c r="I15966" s="24"/>
      <c r="J15966" s="24"/>
      <c r="K15966" s="24"/>
      <c r="L15966" s="24"/>
      <c r="M15966" s="24"/>
      <c r="N15966" s="24"/>
      <c r="O15966" s="24"/>
      <c r="P15966" s="24"/>
      <c r="Q15966" s="24"/>
      <c r="R15966" s="24"/>
      <c r="S15966" s="24"/>
      <c r="T15966" s="24"/>
      <c r="U15966" s="24"/>
      <c r="V15966" s="24"/>
      <c r="W15966" s="24"/>
      <c r="X15966" s="24"/>
      <c r="Y15966" s="24"/>
      <c r="Z15966" s="24"/>
      <c r="AA15966" s="24"/>
    </row>
    <row r="15967">
      <c r="A15967" s="24"/>
      <c r="B15967" s="25"/>
      <c r="C15967" s="24"/>
      <c r="D15967" s="26"/>
      <c r="E15967" s="24"/>
      <c r="F15967" s="24"/>
      <c r="G15967" s="24"/>
      <c r="H15967" s="24"/>
      <c r="I15967" s="24"/>
      <c r="J15967" s="24"/>
      <c r="K15967" s="24"/>
      <c r="L15967" s="24"/>
      <c r="M15967" s="24"/>
      <c r="N15967" s="24"/>
      <c r="O15967" s="24"/>
      <c r="P15967" s="24"/>
      <c r="Q15967" s="24"/>
      <c r="R15967" s="24"/>
      <c r="S15967" s="24"/>
      <c r="T15967" s="24"/>
      <c r="U15967" s="24"/>
      <c r="V15967" s="24"/>
      <c r="W15967" s="24"/>
      <c r="X15967" s="24"/>
      <c r="Y15967" s="24"/>
      <c r="Z15967" s="24"/>
      <c r="AA15967" s="24"/>
    </row>
    <row r="15968">
      <c r="A15968" s="24"/>
      <c r="B15968" s="25"/>
      <c r="C15968" s="24"/>
      <c r="D15968" s="26"/>
      <c r="E15968" s="24"/>
      <c r="F15968" s="24"/>
      <c r="G15968" s="24"/>
      <c r="H15968" s="24"/>
      <c r="I15968" s="24"/>
      <c r="J15968" s="24"/>
      <c r="K15968" s="24"/>
      <c r="L15968" s="24"/>
      <c r="M15968" s="24"/>
      <c r="N15968" s="24"/>
      <c r="O15968" s="24"/>
      <c r="P15968" s="24"/>
      <c r="Q15968" s="24"/>
      <c r="R15968" s="24"/>
      <c r="S15968" s="24"/>
      <c r="T15968" s="24"/>
      <c r="U15968" s="24"/>
      <c r="V15968" s="24"/>
      <c r="W15968" s="24"/>
      <c r="X15968" s="24"/>
      <c r="Y15968" s="24"/>
      <c r="Z15968" s="24"/>
      <c r="AA15968" s="24"/>
    </row>
    <row r="15969">
      <c r="A15969" s="24"/>
      <c r="B15969" s="25"/>
      <c r="C15969" s="24"/>
      <c r="D15969" s="26"/>
      <c r="E15969" s="24"/>
      <c r="F15969" s="24"/>
      <c r="G15969" s="24"/>
      <c r="H15969" s="24"/>
      <c r="I15969" s="24"/>
      <c r="J15969" s="24"/>
      <c r="K15969" s="24"/>
      <c r="L15969" s="24"/>
      <c r="M15969" s="24"/>
      <c r="N15969" s="24"/>
      <c r="O15969" s="24"/>
      <c r="P15969" s="24"/>
      <c r="Q15969" s="24"/>
      <c r="R15969" s="24"/>
      <c r="S15969" s="24"/>
      <c r="T15969" s="24"/>
      <c r="U15969" s="24"/>
      <c r="V15969" s="24"/>
      <c r="W15969" s="24"/>
      <c r="X15969" s="24"/>
      <c r="Y15969" s="24"/>
      <c r="Z15969" s="24"/>
      <c r="AA15969" s="24"/>
    </row>
    <row r="15970">
      <c r="A15970" s="24"/>
      <c r="B15970" s="25"/>
      <c r="C15970" s="24"/>
      <c r="D15970" s="26"/>
      <c r="E15970" s="24"/>
      <c r="F15970" s="24"/>
      <c r="G15970" s="24"/>
      <c r="H15970" s="24"/>
      <c r="I15970" s="24"/>
      <c r="J15970" s="24"/>
      <c r="K15970" s="24"/>
      <c r="L15970" s="24"/>
      <c r="M15970" s="24"/>
      <c r="N15970" s="24"/>
      <c r="O15970" s="24"/>
      <c r="P15970" s="24"/>
      <c r="Q15970" s="24"/>
      <c r="R15970" s="24"/>
      <c r="S15970" s="24"/>
      <c r="T15970" s="24"/>
      <c r="U15970" s="24"/>
      <c r="V15970" s="24"/>
      <c r="W15970" s="24"/>
      <c r="X15970" s="24"/>
      <c r="Y15970" s="24"/>
      <c r="Z15970" s="24"/>
      <c r="AA15970" s="24"/>
    </row>
    <row r="15971">
      <c r="A15971" s="24"/>
      <c r="B15971" s="25"/>
      <c r="C15971" s="24"/>
      <c r="D15971" s="26"/>
      <c r="E15971" s="24"/>
      <c r="F15971" s="24"/>
      <c r="G15971" s="24"/>
      <c r="H15971" s="24"/>
      <c r="I15971" s="24"/>
      <c r="J15971" s="24"/>
      <c r="K15971" s="24"/>
      <c r="L15971" s="24"/>
      <c r="M15971" s="24"/>
      <c r="N15971" s="24"/>
      <c r="O15971" s="24"/>
      <c r="P15971" s="24"/>
      <c r="Q15971" s="24"/>
      <c r="R15971" s="24"/>
      <c r="S15971" s="24"/>
      <c r="T15971" s="24"/>
      <c r="U15971" s="24"/>
      <c r="V15971" s="24"/>
      <c r="W15971" s="24"/>
      <c r="X15971" s="24"/>
      <c r="Y15971" s="24"/>
      <c r="Z15971" s="24"/>
      <c r="AA15971" s="24"/>
    </row>
    <row r="15972">
      <c r="A15972" s="24"/>
      <c r="B15972" s="25"/>
      <c r="C15972" s="24"/>
      <c r="D15972" s="26"/>
      <c r="E15972" s="24"/>
      <c r="F15972" s="24"/>
      <c r="G15972" s="24"/>
      <c r="H15972" s="24"/>
      <c r="I15972" s="24"/>
      <c r="J15972" s="24"/>
      <c r="K15972" s="24"/>
      <c r="L15972" s="24"/>
      <c r="M15972" s="24"/>
      <c r="N15972" s="24"/>
      <c r="O15972" s="24"/>
      <c r="P15972" s="24"/>
      <c r="Q15972" s="24"/>
      <c r="R15972" s="24"/>
      <c r="S15972" s="24"/>
      <c r="T15972" s="24"/>
      <c r="U15972" s="24"/>
      <c r="V15972" s="24"/>
      <c r="W15972" s="24"/>
      <c r="X15972" s="24"/>
      <c r="Y15972" s="24"/>
      <c r="Z15972" s="24"/>
      <c r="AA15972" s="24"/>
    </row>
    <row r="15973">
      <c r="A15973" s="24"/>
      <c r="B15973" s="25"/>
      <c r="C15973" s="24"/>
      <c r="D15973" s="26"/>
      <c r="E15973" s="24"/>
      <c r="F15973" s="24"/>
      <c r="G15973" s="24"/>
      <c r="H15973" s="24"/>
      <c r="I15973" s="24"/>
      <c r="J15973" s="24"/>
      <c r="K15973" s="24"/>
      <c r="L15973" s="24"/>
      <c r="M15973" s="24"/>
      <c r="N15973" s="24"/>
      <c r="O15973" s="24"/>
      <c r="P15973" s="24"/>
      <c r="Q15973" s="24"/>
      <c r="R15973" s="24"/>
      <c r="S15973" s="24"/>
      <c r="T15973" s="24"/>
      <c r="U15973" s="24"/>
      <c r="V15973" s="24"/>
      <c r="W15973" s="24"/>
      <c r="X15973" s="24"/>
      <c r="Y15973" s="24"/>
      <c r="Z15973" s="24"/>
      <c r="AA15973" s="24"/>
    </row>
    <row r="15974">
      <c r="A15974" s="24"/>
      <c r="B15974" s="25"/>
      <c r="C15974" s="24"/>
      <c r="D15974" s="26"/>
      <c r="E15974" s="24"/>
      <c r="F15974" s="24"/>
      <c r="G15974" s="24"/>
      <c r="H15974" s="24"/>
      <c r="I15974" s="24"/>
      <c r="J15974" s="24"/>
      <c r="K15974" s="24"/>
      <c r="L15974" s="24"/>
      <c r="M15974" s="24"/>
      <c r="N15974" s="24"/>
      <c r="O15974" s="24"/>
      <c r="P15974" s="24"/>
      <c r="Q15974" s="24"/>
      <c r="R15974" s="24"/>
      <c r="S15974" s="24"/>
      <c r="T15974" s="24"/>
      <c r="U15974" s="24"/>
      <c r="V15974" s="24"/>
      <c r="W15974" s="24"/>
      <c r="X15974" s="24"/>
      <c r="Y15974" s="24"/>
      <c r="Z15974" s="24"/>
      <c r="AA15974" s="24"/>
    </row>
    <row r="15975">
      <c r="A15975" s="24"/>
      <c r="B15975" s="25"/>
      <c r="C15975" s="24"/>
      <c r="D15975" s="26"/>
      <c r="E15975" s="24"/>
      <c r="F15975" s="24"/>
      <c r="G15975" s="24"/>
      <c r="H15975" s="24"/>
      <c r="I15975" s="24"/>
      <c r="J15975" s="24"/>
      <c r="K15975" s="24"/>
      <c r="L15975" s="24"/>
      <c r="M15975" s="24"/>
      <c r="N15975" s="24"/>
      <c r="O15975" s="24"/>
      <c r="P15975" s="24"/>
      <c r="Q15975" s="24"/>
      <c r="R15975" s="24"/>
      <c r="S15975" s="24"/>
      <c r="T15975" s="24"/>
      <c r="U15975" s="24"/>
      <c r="V15975" s="24"/>
      <c r="W15975" s="24"/>
      <c r="X15975" s="24"/>
      <c r="Y15975" s="24"/>
      <c r="Z15975" s="24"/>
      <c r="AA15975" s="24"/>
    </row>
    <row r="15976">
      <c r="A15976" s="24"/>
      <c r="B15976" s="25"/>
      <c r="C15976" s="24"/>
      <c r="D15976" s="26"/>
      <c r="E15976" s="24"/>
      <c r="F15976" s="24"/>
      <c r="G15976" s="24"/>
      <c r="H15976" s="24"/>
      <c r="I15976" s="24"/>
      <c r="J15976" s="24"/>
      <c r="K15976" s="24"/>
      <c r="L15976" s="24"/>
      <c r="M15976" s="24"/>
      <c r="N15976" s="24"/>
      <c r="O15976" s="24"/>
      <c r="P15976" s="24"/>
      <c r="Q15976" s="24"/>
      <c r="R15976" s="24"/>
      <c r="S15976" s="24"/>
      <c r="T15976" s="24"/>
      <c r="U15976" s="24"/>
      <c r="V15976" s="24"/>
      <c r="W15976" s="24"/>
      <c r="X15976" s="24"/>
      <c r="Y15976" s="24"/>
      <c r="Z15976" s="24"/>
      <c r="AA15976" s="24"/>
    </row>
    <row r="15977">
      <c r="A15977" s="24"/>
      <c r="B15977" s="25"/>
      <c r="C15977" s="24"/>
      <c r="D15977" s="26"/>
      <c r="E15977" s="24"/>
      <c r="F15977" s="24"/>
      <c r="G15977" s="24"/>
      <c r="H15977" s="24"/>
      <c r="I15977" s="24"/>
      <c r="J15977" s="24"/>
      <c r="K15977" s="24"/>
      <c r="L15977" s="24"/>
      <c r="M15977" s="24"/>
      <c r="N15977" s="24"/>
      <c r="O15977" s="24"/>
      <c r="P15977" s="24"/>
      <c r="Q15977" s="24"/>
      <c r="R15977" s="24"/>
      <c r="S15977" s="24"/>
      <c r="T15977" s="24"/>
      <c r="U15977" s="24"/>
      <c r="V15977" s="24"/>
      <c r="W15977" s="24"/>
      <c r="X15977" s="24"/>
      <c r="Y15977" s="24"/>
      <c r="Z15977" s="24"/>
      <c r="AA15977" s="24"/>
    </row>
    <row r="15978">
      <c r="A15978" s="24"/>
      <c r="B15978" s="25"/>
      <c r="C15978" s="24"/>
      <c r="D15978" s="26"/>
      <c r="E15978" s="24"/>
      <c r="F15978" s="24"/>
      <c r="G15978" s="24"/>
      <c r="H15978" s="24"/>
      <c r="I15978" s="24"/>
      <c r="J15978" s="24"/>
      <c r="K15978" s="24"/>
      <c r="L15978" s="24"/>
      <c r="M15978" s="24"/>
      <c r="N15978" s="24"/>
      <c r="O15978" s="24"/>
      <c r="P15978" s="24"/>
      <c r="Q15978" s="24"/>
      <c r="R15978" s="24"/>
      <c r="S15978" s="24"/>
      <c r="T15978" s="24"/>
      <c r="U15978" s="24"/>
      <c r="V15978" s="24"/>
      <c r="W15978" s="24"/>
      <c r="X15978" s="24"/>
      <c r="Y15978" s="24"/>
      <c r="Z15978" s="24"/>
      <c r="AA15978" s="24"/>
    </row>
    <row r="15979">
      <c r="A15979" s="24"/>
      <c r="B15979" s="25"/>
      <c r="C15979" s="24"/>
      <c r="D15979" s="26"/>
      <c r="E15979" s="24"/>
      <c r="F15979" s="24"/>
      <c r="G15979" s="24"/>
      <c r="H15979" s="24"/>
      <c r="I15979" s="24"/>
      <c r="J15979" s="24"/>
      <c r="K15979" s="24"/>
      <c r="L15979" s="24"/>
      <c r="M15979" s="24"/>
      <c r="N15979" s="24"/>
      <c r="O15979" s="24"/>
      <c r="P15979" s="24"/>
      <c r="Q15979" s="24"/>
      <c r="R15979" s="24"/>
      <c r="S15979" s="24"/>
      <c r="T15979" s="24"/>
      <c r="U15979" s="24"/>
      <c r="V15979" s="24"/>
      <c r="W15979" s="24"/>
      <c r="X15979" s="24"/>
      <c r="Y15979" s="24"/>
      <c r="Z15979" s="24"/>
      <c r="AA15979" s="24"/>
    </row>
    <row r="15980">
      <c r="A15980" s="24"/>
      <c r="B15980" s="25"/>
      <c r="C15980" s="24"/>
      <c r="D15980" s="26"/>
      <c r="E15980" s="24"/>
      <c r="F15980" s="24"/>
      <c r="G15980" s="24"/>
      <c r="H15980" s="24"/>
      <c r="I15980" s="24"/>
      <c r="J15980" s="24"/>
      <c r="K15980" s="24"/>
      <c r="L15980" s="24"/>
      <c r="M15980" s="24"/>
      <c r="N15980" s="24"/>
      <c r="O15980" s="24"/>
      <c r="P15980" s="24"/>
      <c r="Q15980" s="24"/>
      <c r="R15980" s="24"/>
      <c r="S15980" s="24"/>
      <c r="T15980" s="24"/>
      <c r="U15980" s="24"/>
      <c r="V15980" s="24"/>
      <c r="W15980" s="24"/>
      <c r="X15980" s="24"/>
      <c r="Y15980" s="24"/>
      <c r="Z15980" s="24"/>
      <c r="AA15980" s="24"/>
    </row>
    <row r="15981">
      <c r="A15981" s="24"/>
      <c r="B15981" s="25"/>
      <c r="C15981" s="24"/>
      <c r="D15981" s="26"/>
      <c r="E15981" s="24"/>
      <c r="F15981" s="24"/>
      <c r="G15981" s="24"/>
      <c r="H15981" s="24"/>
      <c r="I15981" s="24"/>
      <c r="J15981" s="24"/>
      <c r="K15981" s="24"/>
      <c r="L15981" s="24"/>
      <c r="M15981" s="24"/>
      <c r="N15981" s="24"/>
      <c r="O15981" s="24"/>
      <c r="P15981" s="24"/>
      <c r="Q15981" s="24"/>
      <c r="R15981" s="24"/>
      <c r="S15981" s="24"/>
      <c r="T15981" s="24"/>
      <c r="U15981" s="24"/>
      <c r="V15981" s="24"/>
      <c r="W15981" s="24"/>
      <c r="X15981" s="24"/>
      <c r="Y15981" s="24"/>
      <c r="Z15981" s="24"/>
      <c r="AA15981" s="24"/>
    </row>
    <row r="15982">
      <c r="A15982" s="24"/>
      <c r="B15982" s="25"/>
      <c r="C15982" s="24"/>
      <c r="D15982" s="26"/>
      <c r="E15982" s="24"/>
      <c r="F15982" s="24"/>
      <c r="G15982" s="24"/>
      <c r="H15982" s="24"/>
      <c r="I15982" s="24"/>
      <c r="J15982" s="24"/>
      <c r="K15982" s="24"/>
      <c r="L15982" s="24"/>
      <c r="M15982" s="24"/>
      <c r="N15982" s="24"/>
      <c r="O15982" s="24"/>
      <c r="P15982" s="24"/>
      <c r="Q15982" s="24"/>
      <c r="R15982" s="24"/>
      <c r="S15982" s="24"/>
      <c r="T15982" s="24"/>
      <c r="U15982" s="24"/>
      <c r="V15982" s="24"/>
      <c r="W15982" s="24"/>
      <c r="X15982" s="24"/>
      <c r="Y15982" s="24"/>
      <c r="Z15982" s="24"/>
      <c r="AA15982" s="24"/>
    </row>
    <row r="15983">
      <c r="A15983" s="24"/>
      <c r="B15983" s="25"/>
      <c r="C15983" s="24"/>
      <c r="D15983" s="26"/>
      <c r="E15983" s="24"/>
      <c r="F15983" s="24"/>
      <c r="G15983" s="24"/>
      <c r="H15983" s="24"/>
      <c r="I15983" s="24"/>
      <c r="J15983" s="24"/>
      <c r="K15983" s="24"/>
      <c r="L15983" s="24"/>
      <c r="M15983" s="24"/>
      <c r="N15983" s="24"/>
      <c r="O15983" s="24"/>
      <c r="P15983" s="24"/>
      <c r="Q15983" s="24"/>
      <c r="R15983" s="24"/>
      <c r="S15983" s="24"/>
      <c r="T15983" s="24"/>
      <c r="U15983" s="24"/>
      <c r="V15983" s="24"/>
      <c r="W15983" s="24"/>
      <c r="X15983" s="24"/>
      <c r="Y15983" s="24"/>
      <c r="Z15983" s="24"/>
      <c r="AA15983" s="24"/>
    </row>
    <row r="15984">
      <c r="A15984" s="24"/>
      <c r="B15984" s="25"/>
      <c r="C15984" s="24"/>
      <c r="D15984" s="26"/>
      <c r="E15984" s="24"/>
      <c r="F15984" s="24"/>
      <c r="G15984" s="24"/>
      <c r="H15984" s="24"/>
      <c r="I15984" s="24"/>
      <c r="J15984" s="24"/>
      <c r="K15984" s="24"/>
      <c r="L15984" s="24"/>
      <c r="M15984" s="24"/>
      <c r="N15984" s="24"/>
      <c r="O15984" s="24"/>
      <c r="P15984" s="24"/>
      <c r="Q15984" s="24"/>
      <c r="R15984" s="24"/>
      <c r="S15984" s="24"/>
      <c r="T15984" s="24"/>
      <c r="U15984" s="24"/>
      <c r="V15984" s="24"/>
      <c r="W15984" s="24"/>
      <c r="X15984" s="24"/>
      <c r="Y15984" s="24"/>
      <c r="Z15984" s="24"/>
      <c r="AA15984" s="24"/>
    </row>
    <row r="15985">
      <c r="A15985" s="24"/>
      <c r="B15985" s="25"/>
      <c r="C15985" s="24"/>
      <c r="D15985" s="26"/>
      <c r="E15985" s="24"/>
      <c r="F15985" s="24"/>
      <c r="G15985" s="24"/>
      <c r="H15985" s="24"/>
      <c r="I15985" s="24"/>
      <c r="J15985" s="24"/>
      <c r="K15985" s="24"/>
      <c r="L15985" s="24"/>
      <c r="M15985" s="24"/>
      <c r="N15985" s="24"/>
      <c r="O15985" s="24"/>
      <c r="P15985" s="24"/>
      <c r="Q15985" s="24"/>
      <c r="R15985" s="24"/>
      <c r="S15985" s="24"/>
      <c r="T15985" s="24"/>
      <c r="U15985" s="24"/>
      <c r="V15985" s="24"/>
      <c r="W15985" s="24"/>
      <c r="X15985" s="24"/>
      <c r="Y15985" s="24"/>
      <c r="Z15985" s="24"/>
      <c r="AA15985" s="24"/>
    </row>
    <row r="15986">
      <c r="A15986" s="24"/>
      <c r="B15986" s="25"/>
      <c r="C15986" s="24"/>
      <c r="D15986" s="26"/>
      <c r="E15986" s="24"/>
      <c r="F15986" s="24"/>
      <c r="G15986" s="24"/>
      <c r="H15986" s="24"/>
      <c r="I15986" s="24"/>
      <c r="J15986" s="24"/>
      <c r="K15986" s="24"/>
      <c r="L15986" s="24"/>
      <c r="M15986" s="24"/>
      <c r="N15986" s="24"/>
      <c r="O15986" s="24"/>
      <c r="P15986" s="24"/>
      <c r="Q15986" s="24"/>
      <c r="R15986" s="24"/>
      <c r="S15986" s="24"/>
      <c r="T15986" s="24"/>
      <c r="U15986" s="24"/>
      <c r="V15986" s="24"/>
      <c r="W15986" s="24"/>
      <c r="X15986" s="24"/>
      <c r="Y15986" s="24"/>
      <c r="Z15986" s="24"/>
      <c r="AA15986" s="24"/>
    </row>
    <row r="15987">
      <c r="A15987" s="24"/>
      <c r="B15987" s="25"/>
      <c r="C15987" s="24"/>
      <c r="D15987" s="26"/>
      <c r="E15987" s="24"/>
      <c r="F15987" s="24"/>
      <c r="G15987" s="24"/>
      <c r="H15987" s="24"/>
      <c r="I15987" s="24"/>
      <c r="J15987" s="24"/>
      <c r="K15987" s="24"/>
      <c r="L15987" s="24"/>
      <c r="M15987" s="24"/>
      <c r="N15987" s="24"/>
      <c r="O15987" s="24"/>
      <c r="P15987" s="24"/>
      <c r="Q15987" s="24"/>
      <c r="R15987" s="24"/>
      <c r="S15987" s="24"/>
      <c r="T15987" s="24"/>
      <c r="U15987" s="24"/>
      <c r="V15987" s="24"/>
      <c r="W15987" s="24"/>
      <c r="X15987" s="24"/>
      <c r="Y15987" s="24"/>
      <c r="Z15987" s="24"/>
      <c r="AA15987" s="24"/>
    </row>
    <row r="15988">
      <c r="A15988" s="24"/>
      <c r="B15988" s="25"/>
      <c r="C15988" s="24"/>
      <c r="D15988" s="26"/>
      <c r="E15988" s="24"/>
      <c r="F15988" s="24"/>
      <c r="G15988" s="24"/>
      <c r="H15988" s="24"/>
      <c r="I15988" s="24"/>
      <c r="J15988" s="24"/>
      <c r="K15988" s="24"/>
      <c r="L15988" s="24"/>
      <c r="M15988" s="24"/>
      <c r="N15988" s="24"/>
      <c r="O15988" s="24"/>
      <c r="P15988" s="24"/>
      <c r="Q15988" s="24"/>
      <c r="R15988" s="24"/>
      <c r="S15988" s="24"/>
      <c r="T15988" s="24"/>
      <c r="U15988" s="24"/>
      <c r="V15988" s="24"/>
      <c r="W15988" s="24"/>
      <c r="X15988" s="24"/>
      <c r="Y15988" s="24"/>
      <c r="Z15988" s="24"/>
      <c r="AA15988" s="24"/>
    </row>
    <row r="15989">
      <c r="A15989" s="24"/>
      <c r="B15989" s="25"/>
      <c r="C15989" s="24"/>
      <c r="D15989" s="26"/>
      <c r="E15989" s="24"/>
      <c r="F15989" s="24"/>
      <c r="G15989" s="24"/>
      <c r="H15989" s="24"/>
      <c r="I15989" s="24"/>
      <c r="J15989" s="24"/>
      <c r="K15989" s="24"/>
      <c r="L15989" s="24"/>
      <c r="M15989" s="24"/>
      <c r="N15989" s="24"/>
      <c r="O15989" s="24"/>
      <c r="P15989" s="24"/>
      <c r="Q15989" s="24"/>
      <c r="R15989" s="24"/>
      <c r="S15989" s="24"/>
      <c r="T15989" s="24"/>
      <c r="U15989" s="24"/>
      <c r="V15989" s="24"/>
      <c r="W15989" s="24"/>
      <c r="X15989" s="24"/>
      <c r="Y15989" s="24"/>
      <c r="Z15989" s="24"/>
      <c r="AA15989" s="24"/>
    </row>
    <row r="15990">
      <c r="A15990" s="24"/>
      <c r="B15990" s="25"/>
      <c r="C15990" s="24"/>
      <c r="D15990" s="26"/>
      <c r="E15990" s="24"/>
      <c r="F15990" s="24"/>
      <c r="G15990" s="24"/>
      <c r="H15990" s="24"/>
      <c r="I15990" s="24"/>
      <c r="J15990" s="24"/>
      <c r="K15990" s="24"/>
      <c r="L15990" s="24"/>
      <c r="M15990" s="24"/>
      <c r="N15990" s="24"/>
      <c r="O15990" s="24"/>
      <c r="P15990" s="24"/>
      <c r="Q15990" s="24"/>
      <c r="R15990" s="24"/>
      <c r="S15990" s="24"/>
      <c r="T15990" s="24"/>
      <c r="U15990" s="24"/>
      <c r="V15990" s="24"/>
      <c r="W15990" s="24"/>
      <c r="X15990" s="24"/>
      <c r="Y15990" s="24"/>
      <c r="Z15990" s="24"/>
      <c r="AA15990" s="24"/>
    </row>
    <row r="15991">
      <c r="A15991" s="24"/>
      <c r="B15991" s="25"/>
      <c r="C15991" s="24"/>
      <c r="D15991" s="26"/>
      <c r="E15991" s="24"/>
      <c r="F15991" s="24"/>
      <c r="G15991" s="24"/>
      <c r="H15991" s="24"/>
      <c r="I15991" s="24"/>
      <c r="J15991" s="24"/>
      <c r="K15991" s="24"/>
      <c r="L15991" s="24"/>
      <c r="M15991" s="24"/>
      <c r="N15991" s="24"/>
      <c r="O15991" s="24"/>
      <c r="P15991" s="24"/>
      <c r="Q15991" s="24"/>
      <c r="R15991" s="24"/>
      <c r="S15991" s="24"/>
      <c r="T15991" s="24"/>
      <c r="U15991" s="24"/>
      <c r="V15991" s="24"/>
      <c r="W15991" s="24"/>
      <c r="X15991" s="24"/>
      <c r="Y15991" s="24"/>
      <c r="Z15991" s="24"/>
      <c r="AA15991" s="24"/>
    </row>
    <row r="15992">
      <c r="A15992" s="24"/>
      <c r="B15992" s="25"/>
      <c r="C15992" s="24"/>
      <c r="D15992" s="26"/>
      <c r="E15992" s="24"/>
      <c r="F15992" s="24"/>
      <c r="G15992" s="24"/>
      <c r="H15992" s="24"/>
      <c r="I15992" s="24"/>
      <c r="J15992" s="24"/>
      <c r="K15992" s="24"/>
      <c r="L15992" s="24"/>
      <c r="M15992" s="24"/>
      <c r="N15992" s="24"/>
      <c r="O15992" s="24"/>
      <c r="P15992" s="24"/>
      <c r="Q15992" s="24"/>
      <c r="R15992" s="24"/>
      <c r="S15992" s="24"/>
      <c r="T15992" s="24"/>
      <c r="U15992" s="24"/>
      <c r="V15992" s="24"/>
      <c r="W15992" s="24"/>
      <c r="X15992" s="24"/>
      <c r="Y15992" s="24"/>
      <c r="Z15992" s="24"/>
      <c r="AA15992" s="24"/>
    </row>
    <row r="15993">
      <c r="A15993" s="24"/>
      <c r="B15993" s="25"/>
      <c r="C15993" s="24"/>
      <c r="D15993" s="26"/>
      <c r="E15993" s="24"/>
      <c r="F15993" s="24"/>
      <c r="G15993" s="24"/>
      <c r="H15993" s="24"/>
      <c r="I15993" s="24"/>
      <c r="J15993" s="24"/>
      <c r="K15993" s="24"/>
      <c r="L15993" s="24"/>
      <c r="M15993" s="24"/>
      <c r="N15993" s="24"/>
      <c r="O15993" s="24"/>
      <c r="P15993" s="24"/>
      <c r="Q15993" s="24"/>
      <c r="R15993" s="24"/>
      <c r="S15993" s="24"/>
      <c r="T15993" s="24"/>
      <c r="U15993" s="24"/>
      <c r="V15993" s="24"/>
      <c r="W15993" s="24"/>
      <c r="X15993" s="24"/>
      <c r="Y15993" s="24"/>
      <c r="Z15993" s="24"/>
      <c r="AA15993" s="24"/>
    </row>
    <row r="15994">
      <c r="A15994" s="24"/>
      <c r="B15994" s="25"/>
      <c r="C15994" s="24"/>
      <c r="D15994" s="26"/>
      <c r="E15994" s="24"/>
      <c r="F15994" s="24"/>
      <c r="G15994" s="24"/>
      <c r="H15994" s="24"/>
      <c r="I15994" s="24"/>
      <c r="J15994" s="24"/>
      <c r="K15994" s="24"/>
      <c r="L15994" s="24"/>
      <c r="M15994" s="24"/>
      <c r="N15994" s="24"/>
      <c r="O15994" s="24"/>
      <c r="P15994" s="24"/>
      <c r="Q15994" s="24"/>
      <c r="R15994" s="24"/>
      <c r="S15994" s="24"/>
      <c r="T15994" s="24"/>
      <c r="U15994" s="24"/>
      <c r="V15994" s="24"/>
      <c r="W15994" s="24"/>
      <c r="X15994" s="24"/>
      <c r="Y15994" s="24"/>
      <c r="Z15994" s="24"/>
      <c r="AA15994" s="24"/>
    </row>
    <row r="15995">
      <c r="A15995" s="24"/>
      <c r="B15995" s="25"/>
      <c r="C15995" s="24"/>
      <c r="D15995" s="26"/>
      <c r="E15995" s="24"/>
      <c r="F15995" s="24"/>
      <c r="G15995" s="24"/>
      <c r="H15995" s="24"/>
      <c r="I15995" s="24"/>
      <c r="J15995" s="24"/>
      <c r="K15995" s="24"/>
      <c r="L15995" s="24"/>
      <c r="M15995" s="24"/>
      <c r="N15995" s="24"/>
      <c r="O15995" s="24"/>
      <c r="P15995" s="24"/>
      <c r="Q15995" s="24"/>
      <c r="R15995" s="24"/>
      <c r="S15995" s="24"/>
      <c r="T15995" s="24"/>
      <c r="U15995" s="24"/>
      <c r="V15995" s="24"/>
      <c r="W15995" s="24"/>
      <c r="X15995" s="24"/>
      <c r="Y15995" s="24"/>
      <c r="Z15995" s="24"/>
      <c r="AA15995" s="24"/>
    </row>
    <row r="15996">
      <c r="A15996" s="24"/>
      <c r="B15996" s="25"/>
      <c r="C15996" s="24"/>
      <c r="D15996" s="26"/>
      <c r="E15996" s="24"/>
      <c r="F15996" s="24"/>
      <c r="G15996" s="24"/>
      <c r="H15996" s="24"/>
      <c r="I15996" s="24"/>
      <c r="J15996" s="24"/>
      <c r="K15996" s="24"/>
      <c r="L15996" s="24"/>
      <c r="M15996" s="24"/>
      <c r="N15996" s="24"/>
      <c r="O15996" s="24"/>
      <c r="P15996" s="24"/>
      <c r="Q15996" s="24"/>
      <c r="R15996" s="24"/>
      <c r="S15996" s="24"/>
      <c r="T15996" s="24"/>
      <c r="U15996" s="24"/>
      <c r="V15996" s="24"/>
      <c r="W15996" s="24"/>
      <c r="X15996" s="24"/>
      <c r="Y15996" s="24"/>
      <c r="Z15996" s="24"/>
      <c r="AA15996" s="24"/>
    </row>
    <row r="15997">
      <c r="A15997" s="24"/>
      <c r="B15997" s="25"/>
      <c r="C15997" s="24"/>
      <c r="D15997" s="26"/>
      <c r="E15997" s="24"/>
      <c r="F15997" s="24"/>
      <c r="G15997" s="24"/>
      <c r="H15997" s="24"/>
      <c r="I15997" s="24"/>
      <c r="J15997" s="24"/>
      <c r="K15997" s="24"/>
      <c r="L15997" s="24"/>
      <c r="M15997" s="24"/>
      <c r="N15997" s="24"/>
      <c r="O15997" s="24"/>
      <c r="P15997" s="24"/>
      <c r="Q15997" s="24"/>
      <c r="R15997" s="24"/>
      <c r="S15997" s="24"/>
      <c r="T15997" s="24"/>
      <c r="U15997" s="24"/>
      <c r="V15997" s="24"/>
      <c r="W15997" s="24"/>
      <c r="X15997" s="24"/>
      <c r="Y15997" s="24"/>
      <c r="Z15997" s="24"/>
      <c r="AA15997" s="24"/>
    </row>
    <row r="15998">
      <c r="A15998" s="24"/>
      <c r="B15998" s="25"/>
      <c r="C15998" s="24"/>
      <c r="D15998" s="26"/>
      <c r="E15998" s="24"/>
      <c r="F15998" s="24"/>
      <c r="G15998" s="24"/>
      <c r="H15998" s="24"/>
      <c r="I15998" s="24"/>
      <c r="J15998" s="24"/>
      <c r="K15998" s="24"/>
      <c r="L15998" s="24"/>
      <c r="M15998" s="24"/>
      <c r="N15998" s="24"/>
      <c r="O15998" s="24"/>
      <c r="P15998" s="24"/>
      <c r="Q15998" s="24"/>
      <c r="R15998" s="24"/>
      <c r="S15998" s="24"/>
      <c r="T15998" s="24"/>
      <c r="U15998" s="24"/>
      <c r="V15998" s="24"/>
      <c r="W15998" s="24"/>
      <c r="X15998" s="24"/>
      <c r="Y15998" s="24"/>
      <c r="Z15998" s="24"/>
      <c r="AA15998" s="24"/>
    </row>
    <row r="15999">
      <c r="A15999" s="24"/>
      <c r="B15999" s="25"/>
      <c r="C15999" s="24"/>
      <c r="D15999" s="26"/>
      <c r="E15999" s="24"/>
      <c r="F15999" s="24"/>
      <c r="G15999" s="24"/>
      <c r="H15999" s="24"/>
      <c r="I15999" s="24"/>
      <c r="J15999" s="24"/>
      <c r="K15999" s="24"/>
      <c r="L15999" s="24"/>
      <c r="M15999" s="24"/>
      <c r="N15999" s="24"/>
      <c r="O15999" s="24"/>
      <c r="P15999" s="24"/>
      <c r="Q15999" s="24"/>
      <c r="R15999" s="24"/>
      <c r="S15999" s="24"/>
      <c r="T15999" s="24"/>
      <c r="U15999" s="24"/>
      <c r="V15999" s="24"/>
      <c r="W15999" s="24"/>
      <c r="X15999" s="24"/>
      <c r="Y15999" s="24"/>
      <c r="Z15999" s="24"/>
      <c r="AA15999" s="24"/>
    </row>
    <row r="16000">
      <c r="A16000" s="24"/>
      <c r="B16000" s="25"/>
      <c r="C16000" s="24"/>
      <c r="D16000" s="26"/>
      <c r="E16000" s="24"/>
      <c r="F16000" s="24"/>
      <c r="G16000" s="24"/>
      <c r="H16000" s="24"/>
      <c r="I16000" s="24"/>
      <c r="J16000" s="24"/>
      <c r="K16000" s="24"/>
      <c r="L16000" s="24"/>
      <c r="M16000" s="24"/>
      <c r="N16000" s="24"/>
      <c r="O16000" s="24"/>
      <c r="P16000" s="24"/>
      <c r="Q16000" s="24"/>
      <c r="R16000" s="24"/>
      <c r="S16000" s="24"/>
      <c r="T16000" s="24"/>
      <c r="U16000" s="24"/>
      <c r="V16000" s="24"/>
      <c r="W16000" s="24"/>
      <c r="X16000" s="24"/>
      <c r="Y16000" s="24"/>
      <c r="Z16000" s="24"/>
      <c r="AA16000" s="24"/>
    </row>
    <row r="16001">
      <c r="A16001" s="24"/>
      <c r="B16001" s="25"/>
      <c r="C16001" s="24"/>
      <c r="D16001" s="26"/>
      <c r="E16001" s="24"/>
      <c r="F16001" s="24"/>
      <c r="G16001" s="24"/>
      <c r="H16001" s="24"/>
      <c r="I16001" s="24"/>
      <c r="J16001" s="24"/>
      <c r="K16001" s="24"/>
      <c r="L16001" s="24"/>
      <c r="M16001" s="24"/>
      <c r="N16001" s="24"/>
      <c r="O16001" s="24"/>
      <c r="P16001" s="24"/>
      <c r="Q16001" s="24"/>
      <c r="R16001" s="24"/>
      <c r="S16001" s="24"/>
      <c r="T16001" s="24"/>
      <c r="U16001" s="24"/>
      <c r="V16001" s="24"/>
      <c r="W16001" s="24"/>
      <c r="X16001" s="24"/>
      <c r="Y16001" s="24"/>
      <c r="Z16001" s="24"/>
      <c r="AA16001" s="24"/>
    </row>
    <row r="16002">
      <c r="A16002" s="24"/>
      <c r="B16002" s="25"/>
      <c r="C16002" s="24"/>
      <c r="D16002" s="26"/>
      <c r="E16002" s="24"/>
      <c r="F16002" s="24"/>
      <c r="G16002" s="24"/>
      <c r="H16002" s="24"/>
      <c r="I16002" s="24"/>
      <c r="J16002" s="24"/>
      <c r="K16002" s="24"/>
      <c r="L16002" s="24"/>
      <c r="M16002" s="24"/>
      <c r="N16002" s="24"/>
      <c r="O16002" s="24"/>
      <c r="P16002" s="24"/>
      <c r="Q16002" s="24"/>
      <c r="R16002" s="24"/>
      <c r="S16002" s="24"/>
      <c r="T16002" s="24"/>
      <c r="U16002" s="24"/>
      <c r="V16002" s="24"/>
      <c r="W16002" s="24"/>
      <c r="X16002" s="24"/>
      <c r="Y16002" s="24"/>
      <c r="Z16002" s="24"/>
      <c r="AA16002" s="24"/>
    </row>
    <row r="16003">
      <c r="A16003" s="24"/>
      <c r="B16003" s="25"/>
      <c r="C16003" s="24"/>
      <c r="D16003" s="26"/>
      <c r="E16003" s="24"/>
      <c r="F16003" s="24"/>
      <c r="G16003" s="24"/>
      <c r="H16003" s="24"/>
      <c r="I16003" s="24"/>
      <c r="J16003" s="24"/>
      <c r="K16003" s="24"/>
      <c r="L16003" s="24"/>
      <c r="M16003" s="24"/>
      <c r="N16003" s="24"/>
      <c r="O16003" s="24"/>
      <c r="P16003" s="24"/>
      <c r="Q16003" s="24"/>
      <c r="R16003" s="24"/>
      <c r="S16003" s="24"/>
      <c r="T16003" s="24"/>
      <c r="U16003" s="24"/>
      <c r="V16003" s="24"/>
      <c r="W16003" s="24"/>
      <c r="X16003" s="24"/>
      <c r="Y16003" s="24"/>
      <c r="Z16003" s="24"/>
      <c r="AA16003" s="24"/>
    </row>
    <row r="16004">
      <c r="A16004" s="24"/>
      <c r="B16004" s="25"/>
      <c r="C16004" s="24"/>
      <c r="D16004" s="26"/>
      <c r="E16004" s="24"/>
      <c r="F16004" s="24"/>
      <c r="G16004" s="24"/>
      <c r="H16004" s="24"/>
      <c r="I16004" s="24"/>
      <c r="J16004" s="24"/>
      <c r="K16004" s="24"/>
      <c r="L16004" s="24"/>
      <c r="M16004" s="24"/>
      <c r="N16004" s="24"/>
      <c r="O16004" s="24"/>
      <c r="P16004" s="24"/>
      <c r="Q16004" s="24"/>
      <c r="R16004" s="24"/>
      <c r="S16004" s="24"/>
      <c r="T16004" s="24"/>
      <c r="U16004" s="24"/>
      <c r="V16004" s="24"/>
      <c r="W16004" s="24"/>
      <c r="X16004" s="24"/>
      <c r="Y16004" s="24"/>
      <c r="Z16004" s="24"/>
      <c r="AA16004" s="24"/>
    </row>
    <row r="16005">
      <c r="A16005" s="24"/>
      <c r="B16005" s="25"/>
      <c r="C16005" s="24"/>
      <c r="D16005" s="26"/>
      <c r="E16005" s="24"/>
      <c r="F16005" s="24"/>
      <c r="G16005" s="24"/>
      <c r="H16005" s="24"/>
      <c r="I16005" s="24"/>
      <c r="J16005" s="24"/>
      <c r="K16005" s="24"/>
      <c r="L16005" s="24"/>
      <c r="M16005" s="24"/>
      <c r="N16005" s="24"/>
      <c r="O16005" s="24"/>
      <c r="P16005" s="24"/>
      <c r="Q16005" s="24"/>
      <c r="R16005" s="24"/>
      <c r="S16005" s="24"/>
      <c r="T16005" s="24"/>
      <c r="U16005" s="24"/>
      <c r="V16005" s="24"/>
      <c r="W16005" s="24"/>
      <c r="X16005" s="24"/>
      <c r="Y16005" s="24"/>
      <c r="Z16005" s="24"/>
      <c r="AA16005" s="24"/>
    </row>
    <row r="16006">
      <c r="A16006" s="24"/>
      <c r="B16006" s="25"/>
      <c r="C16006" s="24"/>
      <c r="D16006" s="26"/>
      <c r="E16006" s="24"/>
      <c r="F16006" s="24"/>
      <c r="G16006" s="24"/>
      <c r="H16006" s="24"/>
      <c r="I16006" s="24"/>
      <c r="J16006" s="24"/>
      <c r="K16006" s="24"/>
      <c r="L16006" s="24"/>
      <c r="M16006" s="24"/>
      <c r="N16006" s="24"/>
      <c r="O16006" s="24"/>
      <c r="P16006" s="24"/>
      <c r="Q16006" s="24"/>
      <c r="R16006" s="24"/>
      <c r="S16006" s="24"/>
      <c r="T16006" s="24"/>
      <c r="U16006" s="24"/>
      <c r="V16006" s="24"/>
      <c r="W16006" s="24"/>
      <c r="X16006" s="24"/>
      <c r="Y16006" s="24"/>
      <c r="Z16006" s="24"/>
      <c r="AA16006" s="24"/>
    </row>
    <row r="16007">
      <c r="A16007" s="24"/>
      <c r="B16007" s="25"/>
      <c r="C16007" s="24"/>
      <c r="D16007" s="26"/>
      <c r="E16007" s="24"/>
      <c r="F16007" s="24"/>
      <c r="G16007" s="24"/>
      <c r="H16007" s="24"/>
      <c r="I16007" s="24"/>
      <c r="J16007" s="24"/>
      <c r="K16007" s="24"/>
      <c r="L16007" s="24"/>
      <c r="M16007" s="24"/>
      <c r="N16007" s="24"/>
      <c r="O16007" s="24"/>
      <c r="P16007" s="24"/>
      <c r="Q16007" s="24"/>
      <c r="R16007" s="24"/>
      <c r="S16007" s="24"/>
      <c r="T16007" s="24"/>
      <c r="U16007" s="24"/>
      <c r="V16007" s="24"/>
      <c r="W16007" s="24"/>
      <c r="X16007" s="24"/>
      <c r="Y16007" s="24"/>
      <c r="Z16007" s="24"/>
      <c r="AA16007" s="24"/>
    </row>
    <row r="16008">
      <c r="A16008" s="24"/>
      <c r="B16008" s="25"/>
      <c r="C16008" s="24"/>
      <c r="D16008" s="26"/>
      <c r="E16008" s="24"/>
      <c r="F16008" s="24"/>
      <c r="G16008" s="24"/>
      <c r="H16008" s="24"/>
      <c r="I16008" s="24"/>
      <c r="J16008" s="24"/>
      <c r="K16008" s="24"/>
      <c r="L16008" s="24"/>
      <c r="M16008" s="24"/>
      <c r="N16008" s="24"/>
      <c r="O16008" s="24"/>
      <c r="P16008" s="24"/>
      <c r="Q16008" s="24"/>
      <c r="R16008" s="24"/>
      <c r="S16008" s="24"/>
      <c r="T16008" s="24"/>
      <c r="U16008" s="24"/>
      <c r="V16008" s="24"/>
      <c r="W16008" s="24"/>
      <c r="X16008" s="24"/>
      <c r="Y16008" s="24"/>
      <c r="Z16008" s="24"/>
      <c r="AA16008" s="24"/>
    </row>
    <row r="16009">
      <c r="A16009" s="24"/>
      <c r="B16009" s="25"/>
      <c r="C16009" s="24"/>
      <c r="D16009" s="26"/>
      <c r="E16009" s="24"/>
      <c r="F16009" s="24"/>
      <c r="G16009" s="24"/>
      <c r="H16009" s="24"/>
      <c r="I16009" s="24"/>
      <c r="J16009" s="24"/>
      <c r="K16009" s="24"/>
      <c r="L16009" s="24"/>
      <c r="M16009" s="24"/>
      <c r="N16009" s="24"/>
      <c r="O16009" s="24"/>
      <c r="P16009" s="24"/>
      <c r="Q16009" s="24"/>
      <c r="R16009" s="24"/>
      <c r="S16009" s="24"/>
      <c r="T16009" s="24"/>
      <c r="U16009" s="24"/>
      <c r="V16009" s="24"/>
      <c r="W16009" s="24"/>
      <c r="X16009" s="24"/>
      <c r="Y16009" s="24"/>
      <c r="Z16009" s="24"/>
      <c r="AA16009" s="24"/>
    </row>
    <row r="16010">
      <c r="A16010" s="24"/>
      <c r="B16010" s="25"/>
      <c r="C16010" s="24"/>
      <c r="D16010" s="26"/>
      <c r="E16010" s="24"/>
      <c r="F16010" s="24"/>
      <c r="G16010" s="24"/>
      <c r="H16010" s="24"/>
      <c r="I16010" s="24"/>
      <c r="J16010" s="24"/>
      <c r="K16010" s="24"/>
      <c r="L16010" s="24"/>
      <c r="M16010" s="24"/>
      <c r="N16010" s="24"/>
      <c r="O16010" s="24"/>
      <c r="P16010" s="24"/>
      <c r="Q16010" s="24"/>
      <c r="R16010" s="24"/>
      <c r="S16010" s="24"/>
      <c r="T16010" s="24"/>
      <c r="U16010" s="24"/>
      <c r="V16010" s="24"/>
      <c r="W16010" s="24"/>
      <c r="X16010" s="24"/>
      <c r="Y16010" s="24"/>
      <c r="Z16010" s="24"/>
      <c r="AA16010" s="24"/>
    </row>
    <row r="16011">
      <c r="A16011" s="24"/>
      <c r="B16011" s="25"/>
      <c r="C16011" s="24"/>
      <c r="D16011" s="26"/>
      <c r="E16011" s="24"/>
      <c r="F16011" s="24"/>
      <c r="G16011" s="24"/>
      <c r="H16011" s="24"/>
      <c r="I16011" s="24"/>
      <c r="J16011" s="24"/>
      <c r="K16011" s="24"/>
      <c r="L16011" s="24"/>
      <c r="M16011" s="24"/>
      <c r="N16011" s="24"/>
      <c r="O16011" s="24"/>
      <c r="P16011" s="24"/>
      <c r="Q16011" s="24"/>
      <c r="R16011" s="24"/>
      <c r="S16011" s="24"/>
      <c r="T16011" s="24"/>
      <c r="U16011" s="24"/>
      <c r="V16011" s="24"/>
      <c r="W16011" s="24"/>
      <c r="X16011" s="24"/>
      <c r="Y16011" s="24"/>
      <c r="Z16011" s="24"/>
      <c r="AA16011" s="24"/>
    </row>
    <row r="16012">
      <c r="A16012" s="24"/>
      <c r="B16012" s="25"/>
      <c r="C16012" s="24"/>
      <c r="D16012" s="26"/>
      <c r="E16012" s="24"/>
      <c r="F16012" s="24"/>
      <c r="G16012" s="24"/>
      <c r="H16012" s="24"/>
      <c r="I16012" s="24"/>
      <c r="J16012" s="24"/>
      <c r="K16012" s="24"/>
      <c r="L16012" s="24"/>
      <c r="M16012" s="24"/>
      <c r="N16012" s="24"/>
      <c r="O16012" s="24"/>
      <c r="P16012" s="24"/>
      <c r="Q16012" s="24"/>
      <c r="R16012" s="24"/>
      <c r="S16012" s="24"/>
      <c r="T16012" s="24"/>
      <c r="U16012" s="24"/>
      <c r="V16012" s="24"/>
      <c r="W16012" s="24"/>
      <c r="X16012" s="24"/>
      <c r="Y16012" s="24"/>
      <c r="Z16012" s="24"/>
      <c r="AA16012" s="24"/>
    </row>
    <row r="16013">
      <c r="A16013" s="24"/>
      <c r="B16013" s="25"/>
      <c r="C16013" s="24"/>
      <c r="D16013" s="26"/>
      <c r="E16013" s="24"/>
      <c r="F16013" s="24"/>
      <c r="G16013" s="24"/>
      <c r="H16013" s="24"/>
      <c r="I16013" s="24"/>
      <c r="J16013" s="24"/>
      <c r="K16013" s="24"/>
      <c r="L16013" s="24"/>
      <c r="M16013" s="24"/>
      <c r="N16013" s="24"/>
      <c r="O16013" s="24"/>
      <c r="P16013" s="24"/>
      <c r="Q16013" s="24"/>
      <c r="R16013" s="24"/>
      <c r="S16013" s="24"/>
      <c r="T16013" s="24"/>
      <c r="U16013" s="24"/>
      <c r="V16013" s="24"/>
      <c r="W16013" s="24"/>
      <c r="X16013" s="24"/>
      <c r="Y16013" s="24"/>
      <c r="Z16013" s="24"/>
      <c r="AA16013" s="24"/>
    </row>
    <row r="16014">
      <c r="A16014" s="24"/>
      <c r="B16014" s="25"/>
      <c r="C16014" s="24"/>
      <c r="D16014" s="26"/>
      <c r="E16014" s="24"/>
      <c r="F16014" s="24"/>
      <c r="G16014" s="24"/>
      <c r="H16014" s="24"/>
      <c r="I16014" s="24"/>
      <c r="J16014" s="24"/>
      <c r="K16014" s="24"/>
      <c r="L16014" s="24"/>
      <c r="M16014" s="24"/>
      <c r="N16014" s="24"/>
      <c r="O16014" s="24"/>
      <c r="P16014" s="24"/>
      <c r="Q16014" s="24"/>
      <c r="R16014" s="24"/>
      <c r="S16014" s="24"/>
      <c r="T16014" s="24"/>
      <c r="U16014" s="24"/>
      <c r="V16014" s="24"/>
      <c r="W16014" s="24"/>
      <c r="X16014" s="24"/>
      <c r="Y16014" s="24"/>
      <c r="Z16014" s="24"/>
      <c r="AA16014" s="24"/>
    </row>
    <row r="16015">
      <c r="A16015" s="24"/>
      <c r="B16015" s="25"/>
      <c r="C16015" s="24"/>
      <c r="D16015" s="26"/>
      <c r="E16015" s="24"/>
      <c r="F16015" s="24"/>
      <c r="G16015" s="24"/>
      <c r="H16015" s="24"/>
      <c r="I16015" s="24"/>
      <c r="J16015" s="24"/>
      <c r="K16015" s="24"/>
      <c r="L16015" s="24"/>
      <c r="M16015" s="24"/>
      <c r="N16015" s="24"/>
      <c r="O16015" s="24"/>
      <c r="P16015" s="24"/>
      <c r="Q16015" s="24"/>
      <c r="R16015" s="24"/>
      <c r="S16015" s="24"/>
      <c r="T16015" s="24"/>
      <c r="U16015" s="24"/>
      <c r="V16015" s="24"/>
      <c r="W16015" s="24"/>
      <c r="X16015" s="24"/>
      <c r="Y16015" s="24"/>
      <c r="Z16015" s="24"/>
      <c r="AA16015" s="24"/>
    </row>
    <row r="16016">
      <c r="A16016" s="24"/>
      <c r="B16016" s="25"/>
      <c r="C16016" s="24"/>
      <c r="D16016" s="26"/>
      <c r="E16016" s="24"/>
      <c r="F16016" s="24"/>
      <c r="G16016" s="24"/>
      <c r="H16016" s="24"/>
      <c r="I16016" s="24"/>
      <c r="J16016" s="24"/>
      <c r="K16016" s="24"/>
      <c r="L16016" s="24"/>
      <c r="M16016" s="24"/>
      <c r="N16016" s="24"/>
      <c r="O16016" s="24"/>
      <c r="P16016" s="24"/>
      <c r="Q16016" s="24"/>
      <c r="R16016" s="24"/>
      <c r="S16016" s="24"/>
      <c r="T16016" s="24"/>
      <c r="U16016" s="24"/>
      <c r="V16016" s="24"/>
      <c r="W16016" s="24"/>
      <c r="X16016" s="24"/>
      <c r="Y16016" s="24"/>
      <c r="Z16016" s="24"/>
      <c r="AA16016" s="24"/>
    </row>
    <row r="16017">
      <c r="A16017" s="24"/>
      <c r="B16017" s="25"/>
      <c r="C16017" s="24"/>
      <c r="D16017" s="26"/>
      <c r="E16017" s="24"/>
      <c r="F16017" s="24"/>
      <c r="G16017" s="24"/>
      <c r="H16017" s="24"/>
      <c r="I16017" s="24"/>
      <c r="J16017" s="24"/>
      <c r="K16017" s="24"/>
      <c r="L16017" s="24"/>
      <c r="M16017" s="24"/>
      <c r="N16017" s="24"/>
      <c r="O16017" s="24"/>
      <c r="P16017" s="24"/>
      <c r="Q16017" s="24"/>
      <c r="R16017" s="24"/>
      <c r="S16017" s="24"/>
      <c r="T16017" s="24"/>
      <c r="U16017" s="24"/>
      <c r="V16017" s="24"/>
      <c r="W16017" s="24"/>
      <c r="X16017" s="24"/>
      <c r="Y16017" s="24"/>
      <c r="Z16017" s="24"/>
      <c r="AA16017" s="24"/>
    </row>
    <row r="16018">
      <c r="A16018" s="24"/>
      <c r="B16018" s="25"/>
      <c r="C16018" s="24"/>
      <c r="D16018" s="26"/>
      <c r="E16018" s="24"/>
      <c r="F16018" s="24"/>
      <c r="G16018" s="24"/>
      <c r="H16018" s="24"/>
      <c r="I16018" s="24"/>
      <c r="J16018" s="24"/>
      <c r="K16018" s="24"/>
      <c r="L16018" s="24"/>
      <c r="M16018" s="24"/>
      <c r="N16018" s="24"/>
      <c r="O16018" s="24"/>
      <c r="P16018" s="24"/>
      <c r="Q16018" s="24"/>
      <c r="R16018" s="24"/>
      <c r="S16018" s="24"/>
      <c r="T16018" s="24"/>
      <c r="U16018" s="24"/>
      <c r="V16018" s="24"/>
      <c r="W16018" s="24"/>
      <c r="X16018" s="24"/>
      <c r="Y16018" s="24"/>
      <c r="Z16018" s="24"/>
      <c r="AA16018" s="24"/>
    </row>
    <row r="16019">
      <c r="A16019" s="24"/>
      <c r="B16019" s="25"/>
      <c r="C16019" s="24"/>
      <c r="D16019" s="26"/>
      <c r="E16019" s="24"/>
      <c r="F16019" s="24"/>
      <c r="G16019" s="24"/>
      <c r="H16019" s="24"/>
      <c r="I16019" s="24"/>
      <c r="J16019" s="24"/>
      <c r="K16019" s="24"/>
      <c r="L16019" s="24"/>
      <c r="M16019" s="24"/>
      <c r="N16019" s="24"/>
      <c r="O16019" s="24"/>
      <c r="P16019" s="24"/>
      <c r="Q16019" s="24"/>
      <c r="R16019" s="24"/>
      <c r="S16019" s="24"/>
      <c r="T16019" s="24"/>
      <c r="U16019" s="24"/>
      <c r="V16019" s="24"/>
      <c r="W16019" s="24"/>
      <c r="X16019" s="24"/>
      <c r="Y16019" s="24"/>
      <c r="Z16019" s="24"/>
      <c r="AA16019" s="24"/>
    </row>
    <row r="16020">
      <c r="A16020" s="24"/>
      <c r="B16020" s="25"/>
      <c r="C16020" s="24"/>
      <c r="D16020" s="26"/>
      <c r="E16020" s="24"/>
      <c r="F16020" s="24"/>
      <c r="G16020" s="24"/>
      <c r="H16020" s="24"/>
      <c r="I16020" s="24"/>
      <c r="J16020" s="24"/>
      <c r="K16020" s="24"/>
      <c r="L16020" s="24"/>
      <c r="M16020" s="24"/>
      <c r="N16020" s="24"/>
      <c r="O16020" s="24"/>
      <c r="P16020" s="24"/>
      <c r="Q16020" s="24"/>
      <c r="R16020" s="24"/>
      <c r="S16020" s="24"/>
      <c r="T16020" s="24"/>
      <c r="U16020" s="24"/>
      <c r="V16020" s="24"/>
      <c r="W16020" s="24"/>
      <c r="X16020" s="24"/>
      <c r="Y16020" s="24"/>
      <c r="Z16020" s="24"/>
      <c r="AA16020" s="24"/>
    </row>
    <row r="16021">
      <c r="A16021" s="24"/>
      <c r="B16021" s="25"/>
      <c r="C16021" s="24"/>
      <c r="D16021" s="26"/>
      <c r="E16021" s="24"/>
      <c r="F16021" s="24"/>
      <c r="G16021" s="24"/>
      <c r="H16021" s="24"/>
      <c r="I16021" s="24"/>
      <c r="J16021" s="24"/>
      <c r="K16021" s="24"/>
      <c r="L16021" s="24"/>
      <c r="M16021" s="24"/>
      <c r="N16021" s="24"/>
      <c r="O16021" s="24"/>
      <c r="P16021" s="24"/>
      <c r="Q16021" s="24"/>
      <c r="R16021" s="24"/>
      <c r="S16021" s="24"/>
      <c r="T16021" s="24"/>
      <c r="U16021" s="24"/>
      <c r="V16021" s="24"/>
      <c r="W16021" s="24"/>
      <c r="X16021" s="24"/>
      <c r="Y16021" s="24"/>
      <c r="Z16021" s="24"/>
      <c r="AA16021" s="24"/>
    </row>
    <row r="16022">
      <c r="A16022" s="24"/>
      <c r="B16022" s="25"/>
      <c r="C16022" s="24"/>
      <c r="D16022" s="26"/>
      <c r="E16022" s="24"/>
      <c r="F16022" s="24"/>
      <c r="G16022" s="24"/>
      <c r="H16022" s="24"/>
      <c r="I16022" s="24"/>
      <c r="J16022" s="24"/>
      <c r="K16022" s="24"/>
      <c r="L16022" s="24"/>
      <c r="M16022" s="24"/>
      <c r="N16022" s="24"/>
      <c r="O16022" s="24"/>
      <c r="P16022" s="24"/>
      <c r="Q16022" s="24"/>
      <c r="R16022" s="24"/>
      <c r="S16022" s="24"/>
      <c r="T16022" s="24"/>
      <c r="U16022" s="24"/>
      <c r="V16022" s="24"/>
      <c r="W16022" s="24"/>
      <c r="X16022" s="24"/>
      <c r="Y16022" s="24"/>
      <c r="Z16022" s="24"/>
      <c r="AA16022" s="24"/>
    </row>
    <row r="16023">
      <c r="A16023" s="24"/>
      <c r="B16023" s="25"/>
      <c r="C16023" s="24"/>
      <c r="D16023" s="26"/>
      <c r="E16023" s="24"/>
      <c r="F16023" s="24"/>
      <c r="G16023" s="24"/>
      <c r="H16023" s="24"/>
      <c r="I16023" s="24"/>
      <c r="J16023" s="24"/>
      <c r="K16023" s="24"/>
      <c r="L16023" s="24"/>
      <c r="M16023" s="24"/>
      <c r="N16023" s="24"/>
      <c r="O16023" s="24"/>
      <c r="P16023" s="24"/>
      <c r="Q16023" s="24"/>
      <c r="R16023" s="24"/>
      <c r="S16023" s="24"/>
      <c r="T16023" s="24"/>
      <c r="U16023" s="24"/>
      <c r="V16023" s="24"/>
      <c r="W16023" s="24"/>
      <c r="X16023" s="24"/>
      <c r="Y16023" s="24"/>
      <c r="Z16023" s="24"/>
      <c r="AA16023" s="24"/>
    </row>
    <row r="16024">
      <c r="A16024" s="24"/>
      <c r="B16024" s="25"/>
      <c r="C16024" s="24"/>
      <c r="D16024" s="26"/>
      <c r="E16024" s="24"/>
      <c r="F16024" s="24"/>
      <c r="G16024" s="24"/>
      <c r="H16024" s="24"/>
      <c r="I16024" s="24"/>
      <c r="J16024" s="24"/>
      <c r="K16024" s="24"/>
      <c r="L16024" s="24"/>
      <c r="M16024" s="24"/>
      <c r="N16024" s="24"/>
      <c r="O16024" s="24"/>
      <c r="P16024" s="24"/>
      <c r="Q16024" s="24"/>
      <c r="R16024" s="24"/>
      <c r="S16024" s="24"/>
      <c r="T16024" s="24"/>
      <c r="U16024" s="24"/>
      <c r="V16024" s="24"/>
      <c r="W16024" s="24"/>
      <c r="X16024" s="24"/>
      <c r="Y16024" s="24"/>
      <c r="Z16024" s="24"/>
      <c r="AA16024" s="24"/>
    </row>
    <row r="16025">
      <c r="A16025" s="24"/>
      <c r="B16025" s="25"/>
      <c r="C16025" s="24"/>
      <c r="D16025" s="26"/>
      <c r="E16025" s="24"/>
      <c r="F16025" s="24"/>
      <c r="G16025" s="24"/>
      <c r="H16025" s="24"/>
      <c r="I16025" s="24"/>
      <c r="J16025" s="24"/>
      <c r="K16025" s="24"/>
      <c r="L16025" s="24"/>
      <c r="M16025" s="24"/>
      <c r="N16025" s="24"/>
      <c r="O16025" s="24"/>
      <c r="P16025" s="24"/>
      <c r="Q16025" s="24"/>
      <c r="R16025" s="24"/>
      <c r="S16025" s="24"/>
      <c r="T16025" s="24"/>
      <c r="U16025" s="24"/>
      <c r="V16025" s="24"/>
      <c r="W16025" s="24"/>
      <c r="X16025" s="24"/>
      <c r="Y16025" s="24"/>
      <c r="Z16025" s="24"/>
      <c r="AA16025" s="24"/>
    </row>
    <row r="16026">
      <c r="A16026" s="24"/>
      <c r="B16026" s="25"/>
      <c r="C16026" s="24"/>
      <c r="D16026" s="26"/>
      <c r="E16026" s="24"/>
      <c r="F16026" s="24"/>
      <c r="G16026" s="24"/>
      <c r="H16026" s="24"/>
      <c r="I16026" s="24"/>
      <c r="J16026" s="24"/>
      <c r="K16026" s="24"/>
      <c r="L16026" s="24"/>
      <c r="M16026" s="24"/>
      <c r="N16026" s="24"/>
      <c r="O16026" s="24"/>
      <c r="P16026" s="24"/>
      <c r="Q16026" s="24"/>
      <c r="R16026" s="24"/>
      <c r="S16026" s="24"/>
      <c r="T16026" s="24"/>
      <c r="U16026" s="24"/>
      <c r="V16026" s="24"/>
      <c r="W16026" s="24"/>
      <c r="X16026" s="24"/>
      <c r="Y16026" s="24"/>
      <c r="Z16026" s="24"/>
      <c r="AA16026" s="24"/>
    </row>
    <row r="16027">
      <c r="A16027" s="24"/>
      <c r="B16027" s="25"/>
      <c r="C16027" s="24"/>
      <c r="D16027" s="26"/>
      <c r="E16027" s="24"/>
      <c r="F16027" s="24"/>
      <c r="G16027" s="24"/>
      <c r="H16027" s="24"/>
      <c r="I16027" s="24"/>
      <c r="J16027" s="24"/>
      <c r="K16027" s="24"/>
      <c r="L16027" s="24"/>
      <c r="M16027" s="24"/>
      <c r="N16027" s="24"/>
      <c r="O16027" s="24"/>
      <c r="P16027" s="24"/>
      <c r="Q16027" s="24"/>
      <c r="R16027" s="24"/>
      <c r="S16027" s="24"/>
      <c r="T16027" s="24"/>
      <c r="U16027" s="24"/>
      <c r="V16027" s="24"/>
      <c r="W16027" s="24"/>
      <c r="X16027" s="24"/>
      <c r="Y16027" s="24"/>
      <c r="Z16027" s="24"/>
      <c r="AA16027" s="24"/>
    </row>
    <row r="16028">
      <c r="A16028" s="24"/>
      <c r="B16028" s="25"/>
      <c r="C16028" s="24"/>
      <c r="D16028" s="26"/>
      <c r="E16028" s="24"/>
      <c r="F16028" s="24"/>
      <c r="G16028" s="24"/>
      <c r="H16028" s="24"/>
      <c r="I16028" s="24"/>
      <c r="J16028" s="24"/>
      <c r="K16028" s="24"/>
      <c r="L16028" s="24"/>
      <c r="M16028" s="24"/>
      <c r="N16028" s="24"/>
      <c r="O16028" s="24"/>
      <c r="P16028" s="24"/>
      <c r="Q16028" s="24"/>
      <c r="R16028" s="24"/>
      <c r="S16028" s="24"/>
      <c r="T16028" s="24"/>
      <c r="U16028" s="24"/>
      <c r="V16028" s="24"/>
      <c r="W16028" s="24"/>
      <c r="X16028" s="24"/>
      <c r="Y16028" s="24"/>
      <c r="Z16028" s="24"/>
      <c r="AA16028" s="24"/>
    </row>
    <row r="16029">
      <c r="A16029" s="24"/>
      <c r="B16029" s="25"/>
      <c r="C16029" s="24"/>
      <c r="D16029" s="26"/>
      <c r="E16029" s="24"/>
      <c r="F16029" s="24"/>
      <c r="G16029" s="24"/>
      <c r="H16029" s="24"/>
      <c r="I16029" s="24"/>
      <c r="J16029" s="24"/>
      <c r="K16029" s="24"/>
      <c r="L16029" s="24"/>
      <c r="M16029" s="24"/>
      <c r="N16029" s="24"/>
      <c r="O16029" s="24"/>
      <c r="P16029" s="24"/>
      <c r="Q16029" s="24"/>
      <c r="R16029" s="24"/>
      <c r="S16029" s="24"/>
      <c r="T16029" s="24"/>
      <c r="U16029" s="24"/>
      <c r="V16029" s="24"/>
      <c r="W16029" s="24"/>
      <c r="X16029" s="24"/>
      <c r="Y16029" s="24"/>
      <c r="Z16029" s="24"/>
      <c r="AA16029" s="24"/>
    </row>
    <row r="16030">
      <c r="A16030" s="24"/>
      <c r="B16030" s="25"/>
      <c r="C16030" s="24"/>
      <c r="D16030" s="26"/>
      <c r="E16030" s="24"/>
      <c r="F16030" s="24"/>
      <c r="G16030" s="24"/>
      <c r="H16030" s="24"/>
      <c r="I16030" s="24"/>
      <c r="J16030" s="24"/>
      <c r="K16030" s="24"/>
      <c r="L16030" s="24"/>
      <c r="M16030" s="24"/>
      <c r="N16030" s="24"/>
      <c r="O16030" s="24"/>
      <c r="P16030" s="24"/>
      <c r="Q16030" s="24"/>
      <c r="R16030" s="24"/>
      <c r="S16030" s="24"/>
      <c r="T16030" s="24"/>
      <c r="U16030" s="24"/>
      <c r="V16030" s="24"/>
      <c r="W16030" s="24"/>
      <c r="X16030" s="24"/>
      <c r="Y16030" s="24"/>
      <c r="Z16030" s="24"/>
      <c r="AA16030" s="24"/>
    </row>
    <row r="16031">
      <c r="A16031" s="24"/>
      <c r="B16031" s="25"/>
      <c r="C16031" s="24"/>
      <c r="D16031" s="26"/>
      <c r="E16031" s="24"/>
      <c r="F16031" s="24"/>
      <c r="G16031" s="24"/>
      <c r="H16031" s="24"/>
      <c r="I16031" s="24"/>
      <c r="J16031" s="24"/>
      <c r="K16031" s="24"/>
      <c r="L16031" s="24"/>
      <c r="M16031" s="24"/>
      <c r="N16031" s="24"/>
      <c r="O16031" s="24"/>
      <c r="P16031" s="24"/>
      <c r="Q16031" s="24"/>
      <c r="R16031" s="24"/>
      <c r="S16031" s="24"/>
      <c r="T16031" s="24"/>
      <c r="U16031" s="24"/>
      <c r="V16031" s="24"/>
      <c r="W16031" s="24"/>
      <c r="X16031" s="24"/>
      <c r="Y16031" s="24"/>
      <c r="Z16031" s="24"/>
      <c r="AA16031" s="24"/>
    </row>
    <row r="16032">
      <c r="A16032" s="24"/>
      <c r="B16032" s="25"/>
      <c r="C16032" s="24"/>
      <c r="D16032" s="26"/>
      <c r="E16032" s="24"/>
      <c r="F16032" s="24"/>
      <c r="G16032" s="24"/>
      <c r="H16032" s="24"/>
      <c r="I16032" s="24"/>
      <c r="J16032" s="24"/>
      <c r="K16032" s="24"/>
      <c r="L16032" s="24"/>
      <c r="M16032" s="24"/>
      <c r="N16032" s="24"/>
      <c r="O16032" s="24"/>
      <c r="P16032" s="24"/>
      <c r="Q16032" s="24"/>
      <c r="R16032" s="24"/>
      <c r="S16032" s="24"/>
      <c r="T16032" s="24"/>
      <c r="U16032" s="24"/>
      <c r="V16032" s="24"/>
      <c r="W16032" s="24"/>
      <c r="X16032" s="24"/>
      <c r="Y16032" s="24"/>
      <c r="Z16032" s="24"/>
      <c r="AA16032" s="24"/>
    </row>
    <row r="16033">
      <c r="A16033" s="24"/>
      <c r="B16033" s="25"/>
      <c r="C16033" s="24"/>
      <c r="D16033" s="26"/>
      <c r="E16033" s="24"/>
      <c r="F16033" s="24"/>
      <c r="G16033" s="24"/>
      <c r="H16033" s="24"/>
      <c r="I16033" s="24"/>
      <c r="J16033" s="24"/>
      <c r="K16033" s="24"/>
      <c r="L16033" s="24"/>
      <c r="M16033" s="24"/>
      <c r="N16033" s="24"/>
      <c r="O16033" s="24"/>
      <c r="P16033" s="24"/>
      <c r="Q16033" s="24"/>
      <c r="R16033" s="24"/>
      <c r="S16033" s="24"/>
      <c r="T16033" s="24"/>
      <c r="U16033" s="24"/>
      <c r="V16033" s="24"/>
      <c r="W16033" s="24"/>
      <c r="X16033" s="24"/>
      <c r="Y16033" s="24"/>
      <c r="Z16033" s="24"/>
      <c r="AA16033" s="24"/>
    </row>
    <row r="16034">
      <c r="A16034" s="24"/>
      <c r="B16034" s="25"/>
      <c r="C16034" s="24"/>
      <c r="D16034" s="26"/>
      <c r="E16034" s="24"/>
      <c r="F16034" s="24"/>
      <c r="G16034" s="24"/>
      <c r="H16034" s="24"/>
      <c r="I16034" s="24"/>
      <c r="J16034" s="24"/>
      <c r="K16034" s="24"/>
      <c r="L16034" s="24"/>
      <c r="M16034" s="24"/>
      <c r="N16034" s="24"/>
      <c r="O16034" s="24"/>
      <c r="P16034" s="24"/>
      <c r="Q16034" s="24"/>
      <c r="R16034" s="24"/>
      <c r="S16034" s="24"/>
      <c r="T16034" s="24"/>
      <c r="U16034" s="24"/>
      <c r="V16034" s="24"/>
      <c r="W16034" s="24"/>
      <c r="X16034" s="24"/>
      <c r="Y16034" s="24"/>
      <c r="Z16034" s="24"/>
      <c r="AA16034" s="24"/>
    </row>
    <row r="16035">
      <c r="A16035" s="24"/>
      <c r="B16035" s="25"/>
      <c r="C16035" s="24"/>
      <c r="D16035" s="26"/>
      <c r="E16035" s="24"/>
      <c r="F16035" s="24"/>
      <c r="G16035" s="24"/>
      <c r="H16035" s="24"/>
      <c r="I16035" s="24"/>
      <c r="J16035" s="24"/>
      <c r="K16035" s="24"/>
      <c r="L16035" s="24"/>
      <c r="M16035" s="24"/>
      <c r="N16035" s="24"/>
      <c r="O16035" s="24"/>
      <c r="P16035" s="24"/>
      <c r="Q16035" s="24"/>
      <c r="R16035" s="24"/>
      <c r="S16035" s="24"/>
      <c r="T16035" s="24"/>
      <c r="U16035" s="24"/>
      <c r="V16035" s="24"/>
      <c r="W16035" s="24"/>
      <c r="X16035" s="24"/>
      <c r="Y16035" s="24"/>
      <c r="Z16035" s="24"/>
      <c r="AA16035" s="24"/>
    </row>
    <row r="16036">
      <c r="A16036" s="24"/>
      <c r="B16036" s="25"/>
      <c r="C16036" s="24"/>
      <c r="D16036" s="26"/>
      <c r="E16036" s="24"/>
      <c r="F16036" s="24"/>
      <c r="G16036" s="24"/>
      <c r="H16036" s="24"/>
      <c r="I16036" s="24"/>
      <c r="J16036" s="24"/>
      <c r="K16036" s="24"/>
      <c r="L16036" s="24"/>
      <c r="M16036" s="24"/>
      <c r="N16036" s="24"/>
      <c r="O16036" s="24"/>
      <c r="P16036" s="24"/>
      <c r="Q16036" s="24"/>
      <c r="R16036" s="24"/>
      <c r="S16036" s="24"/>
      <c r="T16036" s="24"/>
      <c r="U16036" s="24"/>
      <c r="V16036" s="24"/>
      <c r="W16036" s="24"/>
      <c r="X16036" s="24"/>
      <c r="Y16036" s="24"/>
      <c r="Z16036" s="24"/>
      <c r="AA16036" s="24"/>
    </row>
    <row r="16037">
      <c r="A16037" s="24"/>
      <c r="B16037" s="25"/>
      <c r="C16037" s="24"/>
      <c r="D16037" s="26"/>
      <c r="E16037" s="24"/>
      <c r="F16037" s="24"/>
      <c r="G16037" s="24"/>
      <c r="H16037" s="24"/>
      <c r="I16037" s="24"/>
      <c r="J16037" s="24"/>
      <c r="K16037" s="24"/>
      <c r="L16037" s="24"/>
      <c r="M16037" s="24"/>
      <c r="N16037" s="24"/>
      <c r="O16037" s="24"/>
      <c r="P16037" s="24"/>
      <c r="Q16037" s="24"/>
      <c r="R16037" s="24"/>
      <c r="S16037" s="24"/>
      <c r="T16037" s="24"/>
      <c r="U16037" s="24"/>
      <c r="V16037" s="24"/>
      <c r="W16037" s="24"/>
      <c r="X16037" s="24"/>
      <c r="Y16037" s="24"/>
      <c r="Z16037" s="24"/>
      <c r="AA16037" s="24"/>
    </row>
    <row r="16038">
      <c r="A16038" s="24"/>
      <c r="B16038" s="25"/>
      <c r="C16038" s="24"/>
      <c r="D16038" s="26"/>
      <c r="E16038" s="24"/>
      <c r="F16038" s="24"/>
      <c r="G16038" s="24"/>
      <c r="H16038" s="24"/>
      <c r="I16038" s="24"/>
      <c r="J16038" s="24"/>
      <c r="K16038" s="24"/>
      <c r="L16038" s="24"/>
      <c r="M16038" s="24"/>
      <c r="N16038" s="24"/>
      <c r="O16038" s="24"/>
      <c r="P16038" s="24"/>
      <c r="Q16038" s="24"/>
      <c r="R16038" s="24"/>
      <c r="S16038" s="24"/>
      <c r="T16038" s="24"/>
      <c r="U16038" s="24"/>
      <c r="V16038" s="24"/>
      <c r="W16038" s="24"/>
      <c r="X16038" s="24"/>
      <c r="Y16038" s="24"/>
      <c r="Z16038" s="24"/>
      <c r="AA16038" s="24"/>
    </row>
    <row r="16039">
      <c r="A16039" s="24"/>
      <c r="B16039" s="25"/>
      <c r="C16039" s="24"/>
      <c r="D16039" s="26"/>
      <c r="E16039" s="24"/>
      <c r="F16039" s="24"/>
      <c r="G16039" s="24"/>
      <c r="H16039" s="24"/>
      <c r="I16039" s="24"/>
      <c r="J16039" s="24"/>
      <c r="K16039" s="24"/>
      <c r="L16039" s="24"/>
      <c r="M16039" s="24"/>
      <c r="N16039" s="24"/>
      <c r="O16039" s="24"/>
      <c r="P16039" s="24"/>
      <c r="Q16039" s="24"/>
      <c r="R16039" s="24"/>
      <c r="S16039" s="24"/>
      <c r="T16039" s="24"/>
      <c r="U16039" s="24"/>
      <c r="V16039" s="24"/>
      <c r="W16039" s="24"/>
      <c r="X16039" s="24"/>
      <c r="Y16039" s="24"/>
      <c r="Z16039" s="24"/>
      <c r="AA16039" s="24"/>
    </row>
    <row r="16040">
      <c r="A16040" s="24"/>
      <c r="B16040" s="25"/>
      <c r="C16040" s="24"/>
      <c r="D16040" s="26"/>
      <c r="E16040" s="24"/>
      <c r="F16040" s="24"/>
      <c r="G16040" s="24"/>
      <c r="H16040" s="24"/>
      <c r="I16040" s="24"/>
      <c r="J16040" s="24"/>
      <c r="K16040" s="24"/>
      <c r="L16040" s="24"/>
      <c r="M16040" s="24"/>
      <c r="N16040" s="24"/>
      <c r="O16040" s="24"/>
      <c r="P16040" s="24"/>
      <c r="Q16040" s="24"/>
      <c r="R16040" s="24"/>
      <c r="S16040" s="24"/>
      <c r="T16040" s="24"/>
      <c r="U16040" s="24"/>
      <c r="V16040" s="24"/>
      <c r="W16040" s="24"/>
      <c r="X16040" s="24"/>
      <c r="Y16040" s="24"/>
      <c r="Z16040" s="24"/>
      <c r="AA16040" s="24"/>
    </row>
    <row r="16041">
      <c r="A16041" s="24"/>
      <c r="B16041" s="25"/>
      <c r="C16041" s="24"/>
      <c r="D16041" s="26"/>
      <c r="E16041" s="24"/>
      <c r="F16041" s="24"/>
      <c r="G16041" s="24"/>
      <c r="H16041" s="24"/>
      <c r="I16041" s="24"/>
      <c r="J16041" s="24"/>
      <c r="K16041" s="24"/>
      <c r="L16041" s="24"/>
      <c r="M16041" s="24"/>
      <c r="N16041" s="24"/>
      <c r="O16041" s="24"/>
      <c r="P16041" s="24"/>
      <c r="Q16041" s="24"/>
      <c r="R16041" s="24"/>
      <c r="S16041" s="24"/>
      <c r="T16041" s="24"/>
      <c r="U16041" s="24"/>
      <c r="V16041" s="24"/>
      <c r="W16041" s="24"/>
      <c r="X16041" s="24"/>
      <c r="Y16041" s="24"/>
      <c r="Z16041" s="24"/>
      <c r="AA16041" s="24"/>
    </row>
    <row r="16042">
      <c r="A16042" s="24"/>
      <c r="B16042" s="25"/>
      <c r="C16042" s="24"/>
      <c r="D16042" s="26"/>
      <c r="E16042" s="24"/>
      <c r="F16042" s="24"/>
      <c r="G16042" s="24"/>
      <c r="H16042" s="24"/>
      <c r="I16042" s="24"/>
      <c r="J16042" s="24"/>
      <c r="K16042" s="24"/>
      <c r="L16042" s="24"/>
      <c r="M16042" s="24"/>
      <c r="N16042" s="24"/>
      <c r="O16042" s="24"/>
      <c r="P16042" s="24"/>
      <c r="Q16042" s="24"/>
      <c r="R16042" s="24"/>
      <c r="S16042" s="24"/>
      <c r="T16042" s="24"/>
      <c r="U16042" s="24"/>
      <c r="V16042" s="24"/>
      <c r="W16042" s="24"/>
      <c r="X16042" s="24"/>
      <c r="Y16042" s="24"/>
      <c r="Z16042" s="24"/>
      <c r="AA16042" s="24"/>
    </row>
    <row r="16043">
      <c r="A16043" s="24"/>
      <c r="B16043" s="25"/>
      <c r="C16043" s="24"/>
      <c r="D16043" s="26"/>
      <c r="E16043" s="24"/>
      <c r="F16043" s="24"/>
      <c r="G16043" s="24"/>
      <c r="H16043" s="24"/>
      <c r="I16043" s="24"/>
      <c r="J16043" s="24"/>
      <c r="K16043" s="24"/>
      <c r="L16043" s="24"/>
      <c r="M16043" s="24"/>
      <c r="N16043" s="24"/>
      <c r="O16043" s="24"/>
      <c r="P16043" s="24"/>
      <c r="Q16043" s="24"/>
      <c r="R16043" s="24"/>
      <c r="S16043" s="24"/>
      <c r="T16043" s="24"/>
      <c r="U16043" s="24"/>
      <c r="V16043" s="24"/>
      <c r="W16043" s="24"/>
      <c r="X16043" s="24"/>
      <c r="Y16043" s="24"/>
      <c r="Z16043" s="24"/>
      <c r="AA16043" s="24"/>
    </row>
    <row r="16044">
      <c r="A16044" s="24"/>
      <c r="B16044" s="25"/>
      <c r="C16044" s="24"/>
      <c r="D16044" s="26"/>
      <c r="E16044" s="24"/>
      <c r="F16044" s="24"/>
      <c r="G16044" s="24"/>
      <c r="H16044" s="24"/>
      <c r="I16044" s="24"/>
      <c r="J16044" s="24"/>
      <c r="K16044" s="24"/>
      <c r="L16044" s="24"/>
      <c r="M16044" s="24"/>
      <c r="N16044" s="24"/>
      <c r="O16044" s="24"/>
      <c r="P16044" s="24"/>
      <c r="Q16044" s="24"/>
      <c r="R16044" s="24"/>
      <c r="S16044" s="24"/>
      <c r="T16044" s="24"/>
      <c r="U16044" s="24"/>
      <c r="V16044" s="24"/>
      <c r="W16044" s="24"/>
      <c r="X16044" s="24"/>
      <c r="Y16044" s="24"/>
      <c r="Z16044" s="24"/>
      <c r="AA16044" s="24"/>
    </row>
    <row r="16045">
      <c r="A16045" s="24"/>
      <c r="B16045" s="25"/>
      <c r="C16045" s="24"/>
      <c r="D16045" s="26"/>
      <c r="E16045" s="24"/>
      <c r="F16045" s="24"/>
      <c r="G16045" s="24"/>
      <c r="H16045" s="24"/>
      <c r="I16045" s="24"/>
      <c r="J16045" s="24"/>
      <c r="K16045" s="24"/>
      <c r="L16045" s="24"/>
      <c r="M16045" s="24"/>
      <c r="N16045" s="24"/>
      <c r="O16045" s="24"/>
      <c r="P16045" s="24"/>
      <c r="Q16045" s="24"/>
      <c r="R16045" s="24"/>
      <c r="S16045" s="24"/>
      <c r="T16045" s="24"/>
      <c r="U16045" s="24"/>
      <c r="V16045" s="24"/>
      <c r="W16045" s="24"/>
      <c r="X16045" s="24"/>
      <c r="Y16045" s="24"/>
      <c r="Z16045" s="24"/>
      <c r="AA16045" s="24"/>
    </row>
    <row r="16046">
      <c r="A16046" s="24"/>
      <c r="B16046" s="25"/>
      <c r="C16046" s="24"/>
      <c r="D16046" s="26"/>
      <c r="E16046" s="24"/>
      <c r="F16046" s="24"/>
      <c r="G16046" s="24"/>
      <c r="H16046" s="24"/>
      <c r="I16046" s="24"/>
      <c r="J16046" s="24"/>
      <c r="K16046" s="24"/>
      <c r="L16046" s="24"/>
      <c r="M16046" s="24"/>
      <c r="N16046" s="24"/>
      <c r="O16046" s="24"/>
      <c r="P16046" s="24"/>
      <c r="Q16046" s="24"/>
      <c r="R16046" s="24"/>
      <c r="S16046" s="24"/>
      <c r="T16046" s="24"/>
      <c r="U16046" s="24"/>
      <c r="V16046" s="24"/>
      <c r="W16046" s="24"/>
      <c r="X16046" s="24"/>
      <c r="Y16046" s="24"/>
      <c r="Z16046" s="24"/>
      <c r="AA16046" s="24"/>
    </row>
    <row r="16047">
      <c r="A16047" s="24"/>
      <c r="B16047" s="25"/>
      <c r="C16047" s="24"/>
      <c r="D16047" s="26"/>
      <c r="E16047" s="24"/>
      <c r="F16047" s="24"/>
      <c r="G16047" s="24"/>
      <c r="H16047" s="24"/>
      <c r="I16047" s="24"/>
      <c r="J16047" s="24"/>
      <c r="K16047" s="24"/>
      <c r="L16047" s="24"/>
      <c r="M16047" s="24"/>
      <c r="N16047" s="24"/>
      <c r="O16047" s="24"/>
      <c r="P16047" s="24"/>
      <c r="Q16047" s="24"/>
      <c r="R16047" s="24"/>
      <c r="S16047" s="24"/>
      <c r="T16047" s="24"/>
      <c r="U16047" s="24"/>
      <c r="V16047" s="24"/>
      <c r="W16047" s="24"/>
      <c r="X16047" s="24"/>
      <c r="Y16047" s="24"/>
      <c r="Z16047" s="24"/>
      <c r="AA16047" s="24"/>
    </row>
    <row r="16048">
      <c r="A16048" s="24"/>
      <c r="B16048" s="25"/>
      <c r="C16048" s="24"/>
      <c r="D16048" s="26"/>
      <c r="E16048" s="24"/>
      <c r="F16048" s="24"/>
      <c r="G16048" s="24"/>
      <c r="H16048" s="24"/>
      <c r="I16048" s="24"/>
      <c r="J16048" s="24"/>
      <c r="K16048" s="24"/>
      <c r="L16048" s="24"/>
      <c r="M16048" s="24"/>
      <c r="N16048" s="24"/>
      <c r="O16048" s="24"/>
      <c r="P16048" s="24"/>
      <c r="Q16048" s="24"/>
      <c r="R16048" s="24"/>
      <c r="S16048" s="24"/>
      <c r="T16048" s="24"/>
      <c r="U16048" s="24"/>
      <c r="V16048" s="24"/>
      <c r="W16048" s="24"/>
      <c r="X16048" s="24"/>
      <c r="Y16048" s="24"/>
      <c r="Z16048" s="24"/>
      <c r="AA16048" s="24"/>
    </row>
    <row r="16049">
      <c r="A16049" s="24"/>
      <c r="B16049" s="25"/>
      <c r="C16049" s="24"/>
      <c r="D16049" s="26"/>
      <c r="E16049" s="24"/>
      <c r="F16049" s="24"/>
      <c r="G16049" s="24"/>
      <c r="H16049" s="24"/>
      <c r="I16049" s="24"/>
      <c r="J16049" s="24"/>
      <c r="K16049" s="24"/>
      <c r="L16049" s="24"/>
      <c r="M16049" s="24"/>
      <c r="N16049" s="24"/>
      <c r="O16049" s="24"/>
      <c r="P16049" s="24"/>
      <c r="Q16049" s="24"/>
      <c r="R16049" s="24"/>
      <c r="S16049" s="24"/>
      <c r="T16049" s="24"/>
      <c r="U16049" s="24"/>
      <c r="V16049" s="24"/>
      <c r="W16049" s="24"/>
      <c r="X16049" s="24"/>
      <c r="Y16049" s="24"/>
      <c r="Z16049" s="24"/>
      <c r="AA16049" s="24"/>
    </row>
    <row r="16050">
      <c r="A16050" s="24"/>
      <c r="B16050" s="25"/>
      <c r="C16050" s="24"/>
      <c r="D16050" s="26"/>
      <c r="E16050" s="24"/>
      <c r="F16050" s="24"/>
      <c r="G16050" s="24"/>
      <c r="H16050" s="24"/>
      <c r="I16050" s="24"/>
      <c r="J16050" s="24"/>
      <c r="K16050" s="24"/>
      <c r="L16050" s="24"/>
      <c r="M16050" s="24"/>
      <c r="N16050" s="24"/>
      <c r="O16050" s="24"/>
      <c r="P16050" s="24"/>
      <c r="Q16050" s="24"/>
      <c r="R16050" s="24"/>
      <c r="S16050" s="24"/>
      <c r="T16050" s="24"/>
      <c r="U16050" s="24"/>
      <c r="V16050" s="24"/>
      <c r="W16050" s="24"/>
      <c r="X16050" s="24"/>
      <c r="Y16050" s="24"/>
      <c r="Z16050" s="24"/>
      <c r="AA16050" s="24"/>
    </row>
    <row r="16051">
      <c r="A16051" s="24"/>
      <c r="B16051" s="25"/>
      <c r="C16051" s="24"/>
      <c r="D16051" s="26"/>
      <c r="E16051" s="24"/>
      <c r="F16051" s="24"/>
      <c r="G16051" s="24"/>
      <c r="H16051" s="24"/>
      <c r="I16051" s="24"/>
      <c r="J16051" s="24"/>
      <c r="K16051" s="24"/>
      <c r="L16051" s="24"/>
      <c r="M16051" s="24"/>
      <c r="N16051" s="24"/>
      <c r="O16051" s="24"/>
      <c r="P16051" s="24"/>
      <c r="Q16051" s="24"/>
      <c r="R16051" s="24"/>
      <c r="S16051" s="24"/>
      <c r="T16051" s="24"/>
      <c r="U16051" s="24"/>
      <c r="V16051" s="24"/>
      <c r="W16051" s="24"/>
      <c r="X16051" s="24"/>
      <c r="Y16051" s="24"/>
      <c r="Z16051" s="24"/>
      <c r="AA16051" s="24"/>
    </row>
    <row r="16052">
      <c r="A16052" s="24"/>
      <c r="B16052" s="25"/>
      <c r="C16052" s="24"/>
      <c r="D16052" s="26"/>
      <c r="E16052" s="24"/>
      <c r="F16052" s="24"/>
      <c r="G16052" s="24"/>
      <c r="H16052" s="24"/>
      <c r="I16052" s="24"/>
      <c r="J16052" s="24"/>
      <c r="K16052" s="24"/>
      <c r="L16052" s="24"/>
      <c r="M16052" s="24"/>
      <c r="N16052" s="24"/>
      <c r="O16052" s="24"/>
      <c r="P16052" s="24"/>
      <c r="Q16052" s="24"/>
      <c r="R16052" s="24"/>
      <c r="S16052" s="24"/>
      <c r="T16052" s="24"/>
      <c r="U16052" s="24"/>
      <c r="V16052" s="24"/>
      <c r="W16052" s="24"/>
      <c r="X16052" s="24"/>
      <c r="Y16052" s="24"/>
      <c r="Z16052" s="24"/>
      <c r="AA16052" s="24"/>
    </row>
    <row r="16053">
      <c r="A16053" s="24"/>
      <c r="B16053" s="25"/>
      <c r="C16053" s="24"/>
      <c r="D16053" s="26"/>
      <c r="E16053" s="24"/>
      <c r="F16053" s="24"/>
      <c r="G16053" s="24"/>
      <c r="H16053" s="24"/>
      <c r="I16053" s="24"/>
      <c r="J16053" s="24"/>
      <c r="K16053" s="24"/>
      <c r="L16053" s="24"/>
      <c r="M16053" s="24"/>
      <c r="N16053" s="24"/>
      <c r="O16053" s="24"/>
      <c r="P16053" s="24"/>
      <c r="Q16053" s="24"/>
      <c r="R16053" s="24"/>
      <c r="S16053" s="24"/>
      <c r="T16053" s="24"/>
      <c r="U16053" s="24"/>
      <c r="V16053" s="24"/>
      <c r="W16053" s="24"/>
      <c r="X16053" s="24"/>
      <c r="Y16053" s="24"/>
      <c r="Z16053" s="24"/>
      <c r="AA16053" s="24"/>
    </row>
    <row r="16054">
      <c r="A16054" s="24"/>
      <c r="B16054" s="25"/>
      <c r="C16054" s="24"/>
      <c r="D16054" s="26"/>
      <c r="E16054" s="24"/>
      <c r="F16054" s="24"/>
      <c r="G16054" s="24"/>
      <c r="H16054" s="24"/>
      <c r="I16054" s="24"/>
      <c r="J16054" s="24"/>
      <c r="K16054" s="24"/>
      <c r="L16054" s="24"/>
      <c r="M16054" s="24"/>
      <c r="N16054" s="24"/>
      <c r="O16054" s="24"/>
      <c r="P16054" s="24"/>
      <c r="Q16054" s="24"/>
      <c r="R16054" s="24"/>
      <c r="S16054" s="24"/>
      <c r="T16054" s="24"/>
      <c r="U16054" s="24"/>
      <c r="V16054" s="24"/>
      <c r="W16054" s="24"/>
      <c r="X16054" s="24"/>
      <c r="Y16054" s="24"/>
      <c r="Z16054" s="24"/>
      <c r="AA16054" s="24"/>
    </row>
    <row r="16055">
      <c r="A16055" s="24"/>
      <c r="B16055" s="25"/>
      <c r="C16055" s="24"/>
      <c r="D16055" s="26"/>
      <c r="E16055" s="24"/>
      <c r="F16055" s="24"/>
      <c r="G16055" s="24"/>
      <c r="H16055" s="24"/>
      <c r="I16055" s="24"/>
      <c r="J16055" s="24"/>
      <c r="K16055" s="24"/>
      <c r="L16055" s="24"/>
      <c r="M16055" s="24"/>
      <c r="N16055" s="24"/>
      <c r="O16055" s="24"/>
      <c r="P16055" s="24"/>
      <c r="Q16055" s="24"/>
      <c r="R16055" s="24"/>
      <c r="S16055" s="24"/>
      <c r="T16055" s="24"/>
      <c r="U16055" s="24"/>
      <c r="V16055" s="24"/>
      <c r="W16055" s="24"/>
      <c r="X16055" s="24"/>
      <c r="Y16055" s="24"/>
      <c r="Z16055" s="24"/>
      <c r="AA16055" s="24"/>
    </row>
    <row r="16056">
      <c r="A16056" s="24"/>
      <c r="B16056" s="25"/>
      <c r="C16056" s="24"/>
      <c r="D16056" s="26"/>
      <c r="E16056" s="24"/>
      <c r="F16056" s="24"/>
      <c r="G16056" s="24"/>
      <c r="H16056" s="24"/>
      <c r="I16056" s="24"/>
      <c r="J16056" s="24"/>
      <c r="K16056" s="24"/>
      <c r="L16056" s="24"/>
      <c r="M16056" s="24"/>
      <c r="N16056" s="24"/>
      <c r="O16056" s="24"/>
      <c r="P16056" s="24"/>
      <c r="Q16056" s="24"/>
      <c r="R16056" s="24"/>
      <c r="S16056" s="24"/>
      <c r="T16056" s="24"/>
      <c r="U16056" s="24"/>
      <c r="V16056" s="24"/>
      <c r="W16056" s="24"/>
      <c r="X16056" s="24"/>
      <c r="Y16056" s="24"/>
      <c r="Z16056" s="24"/>
      <c r="AA16056" s="24"/>
    </row>
    <row r="16057">
      <c r="A16057" s="24"/>
      <c r="B16057" s="25"/>
      <c r="C16057" s="24"/>
      <c r="D16057" s="26"/>
      <c r="E16057" s="24"/>
      <c r="F16057" s="24"/>
      <c r="G16057" s="24"/>
      <c r="H16057" s="24"/>
      <c r="I16057" s="24"/>
      <c r="J16057" s="24"/>
      <c r="K16057" s="24"/>
      <c r="L16057" s="24"/>
      <c r="M16057" s="24"/>
      <c r="N16057" s="24"/>
      <c r="O16057" s="24"/>
      <c r="P16057" s="24"/>
      <c r="Q16057" s="24"/>
      <c r="R16057" s="24"/>
      <c r="S16057" s="24"/>
      <c r="T16057" s="24"/>
      <c r="U16057" s="24"/>
      <c r="V16057" s="24"/>
      <c r="W16057" s="24"/>
      <c r="X16057" s="24"/>
      <c r="Y16057" s="24"/>
      <c r="Z16057" s="24"/>
      <c r="AA16057" s="24"/>
    </row>
    <row r="16058">
      <c r="A16058" s="24"/>
      <c r="B16058" s="25"/>
      <c r="C16058" s="24"/>
      <c r="D16058" s="26"/>
      <c r="E16058" s="24"/>
      <c r="F16058" s="24"/>
      <c r="G16058" s="24"/>
      <c r="H16058" s="24"/>
      <c r="I16058" s="24"/>
      <c r="J16058" s="24"/>
      <c r="K16058" s="24"/>
      <c r="L16058" s="24"/>
      <c r="M16058" s="24"/>
      <c r="N16058" s="24"/>
      <c r="O16058" s="24"/>
      <c r="P16058" s="24"/>
      <c r="Q16058" s="24"/>
      <c r="R16058" s="24"/>
      <c r="S16058" s="24"/>
      <c r="T16058" s="24"/>
      <c r="U16058" s="24"/>
      <c r="V16058" s="24"/>
      <c r="W16058" s="24"/>
      <c r="X16058" s="24"/>
      <c r="Y16058" s="24"/>
      <c r="Z16058" s="24"/>
      <c r="AA16058" s="24"/>
    </row>
    <row r="16059">
      <c r="A16059" s="24"/>
      <c r="B16059" s="25"/>
      <c r="C16059" s="24"/>
      <c r="D16059" s="26"/>
      <c r="E16059" s="24"/>
      <c r="F16059" s="24"/>
      <c r="G16059" s="24"/>
      <c r="H16059" s="24"/>
      <c r="I16059" s="24"/>
      <c r="J16059" s="24"/>
      <c r="K16059" s="24"/>
      <c r="L16059" s="24"/>
      <c r="M16059" s="24"/>
      <c r="N16059" s="24"/>
      <c r="O16059" s="24"/>
      <c r="P16059" s="24"/>
      <c r="Q16059" s="24"/>
      <c r="R16059" s="24"/>
      <c r="S16059" s="24"/>
      <c r="T16059" s="24"/>
      <c r="U16059" s="24"/>
      <c r="V16059" s="24"/>
      <c r="W16059" s="24"/>
      <c r="X16059" s="24"/>
      <c r="Y16059" s="24"/>
      <c r="Z16059" s="24"/>
      <c r="AA16059" s="24"/>
    </row>
    <row r="16060">
      <c r="A16060" s="24"/>
      <c r="B16060" s="25"/>
      <c r="C16060" s="24"/>
      <c r="D16060" s="26"/>
      <c r="E16060" s="24"/>
      <c r="F16060" s="24"/>
      <c r="G16060" s="24"/>
      <c r="H16060" s="24"/>
      <c r="I16060" s="24"/>
      <c r="J16060" s="24"/>
      <c r="K16060" s="24"/>
      <c r="L16060" s="24"/>
      <c r="M16060" s="24"/>
      <c r="N16060" s="24"/>
      <c r="O16060" s="24"/>
      <c r="P16060" s="24"/>
      <c r="Q16060" s="24"/>
      <c r="R16060" s="24"/>
      <c r="S16060" s="24"/>
      <c r="T16060" s="24"/>
      <c r="U16060" s="24"/>
      <c r="V16060" s="24"/>
      <c r="W16060" s="24"/>
      <c r="X16060" s="24"/>
      <c r="Y16060" s="24"/>
      <c r="Z16060" s="24"/>
      <c r="AA16060" s="24"/>
    </row>
    <row r="16061">
      <c r="A16061" s="24"/>
      <c r="B16061" s="25"/>
      <c r="C16061" s="24"/>
      <c r="D16061" s="26"/>
      <c r="E16061" s="24"/>
      <c r="F16061" s="24"/>
      <c r="G16061" s="24"/>
      <c r="H16061" s="24"/>
      <c r="I16061" s="24"/>
      <c r="J16061" s="24"/>
      <c r="K16061" s="24"/>
      <c r="L16061" s="24"/>
      <c r="M16061" s="24"/>
      <c r="N16061" s="24"/>
      <c r="O16061" s="24"/>
      <c r="P16061" s="24"/>
      <c r="Q16061" s="24"/>
      <c r="R16061" s="24"/>
      <c r="S16061" s="24"/>
      <c r="T16061" s="24"/>
      <c r="U16061" s="24"/>
      <c r="V16061" s="24"/>
      <c r="W16061" s="24"/>
      <c r="X16061" s="24"/>
      <c r="Y16061" s="24"/>
      <c r="Z16061" s="24"/>
      <c r="AA16061" s="24"/>
    </row>
    <row r="16062">
      <c r="A16062" s="24"/>
      <c r="B16062" s="25"/>
      <c r="C16062" s="24"/>
      <c r="D16062" s="26"/>
      <c r="E16062" s="24"/>
      <c r="F16062" s="24"/>
      <c r="G16062" s="24"/>
      <c r="H16062" s="24"/>
      <c r="I16062" s="24"/>
      <c r="J16062" s="24"/>
      <c r="K16062" s="24"/>
      <c r="L16062" s="24"/>
      <c r="M16062" s="24"/>
      <c r="N16062" s="24"/>
      <c r="O16062" s="24"/>
      <c r="P16062" s="24"/>
      <c r="Q16062" s="24"/>
      <c r="R16062" s="24"/>
      <c r="S16062" s="24"/>
      <c r="T16062" s="24"/>
      <c r="U16062" s="24"/>
      <c r="V16062" s="24"/>
      <c r="W16062" s="24"/>
      <c r="X16062" s="24"/>
      <c r="Y16062" s="24"/>
      <c r="Z16062" s="24"/>
      <c r="AA16062" s="24"/>
    </row>
    <row r="16063">
      <c r="A16063" s="24"/>
      <c r="B16063" s="25"/>
      <c r="C16063" s="24"/>
      <c r="D16063" s="26"/>
      <c r="E16063" s="24"/>
      <c r="F16063" s="24"/>
      <c r="G16063" s="24"/>
      <c r="H16063" s="24"/>
      <c r="I16063" s="24"/>
      <c r="J16063" s="24"/>
      <c r="K16063" s="24"/>
      <c r="L16063" s="24"/>
      <c r="M16063" s="24"/>
      <c r="N16063" s="24"/>
      <c r="O16063" s="24"/>
      <c r="P16063" s="24"/>
      <c r="Q16063" s="24"/>
      <c r="R16063" s="24"/>
      <c r="S16063" s="24"/>
      <c r="T16063" s="24"/>
      <c r="U16063" s="24"/>
      <c r="V16063" s="24"/>
      <c r="W16063" s="24"/>
      <c r="X16063" s="24"/>
      <c r="Y16063" s="24"/>
      <c r="Z16063" s="24"/>
      <c r="AA16063" s="24"/>
    </row>
    <row r="16064">
      <c r="A16064" s="24"/>
      <c r="B16064" s="25"/>
      <c r="C16064" s="24"/>
      <c r="D16064" s="26"/>
      <c r="E16064" s="24"/>
      <c r="F16064" s="24"/>
      <c r="G16064" s="24"/>
      <c r="H16064" s="24"/>
      <c r="I16064" s="24"/>
      <c r="J16064" s="24"/>
      <c r="K16064" s="24"/>
      <c r="L16064" s="24"/>
      <c r="M16064" s="24"/>
      <c r="N16064" s="24"/>
      <c r="O16064" s="24"/>
      <c r="P16064" s="24"/>
      <c r="Q16064" s="24"/>
      <c r="R16064" s="24"/>
      <c r="S16064" s="24"/>
      <c r="T16064" s="24"/>
      <c r="U16064" s="24"/>
      <c r="V16064" s="24"/>
      <c r="W16064" s="24"/>
      <c r="X16064" s="24"/>
      <c r="Y16064" s="24"/>
      <c r="Z16064" s="24"/>
      <c r="AA16064" s="24"/>
    </row>
    <row r="16065">
      <c r="A16065" s="24"/>
      <c r="B16065" s="25"/>
      <c r="C16065" s="24"/>
      <c r="D16065" s="26"/>
      <c r="E16065" s="24"/>
      <c r="F16065" s="24"/>
      <c r="G16065" s="24"/>
      <c r="H16065" s="24"/>
      <c r="I16065" s="24"/>
      <c r="J16065" s="24"/>
      <c r="K16065" s="24"/>
      <c r="L16065" s="24"/>
      <c r="M16065" s="24"/>
      <c r="N16065" s="24"/>
      <c r="O16065" s="24"/>
      <c r="P16065" s="24"/>
      <c r="Q16065" s="24"/>
      <c r="R16065" s="24"/>
      <c r="S16065" s="24"/>
      <c r="T16065" s="24"/>
      <c r="U16065" s="24"/>
      <c r="V16065" s="24"/>
      <c r="W16065" s="24"/>
      <c r="X16065" s="24"/>
      <c r="Y16065" s="24"/>
      <c r="Z16065" s="24"/>
      <c r="AA16065" s="24"/>
    </row>
    <row r="16066">
      <c r="A16066" s="24"/>
      <c r="B16066" s="25"/>
      <c r="C16066" s="24"/>
      <c r="D16066" s="26"/>
      <c r="E16066" s="24"/>
      <c r="F16066" s="24"/>
      <c r="G16066" s="24"/>
      <c r="H16066" s="24"/>
      <c r="I16066" s="24"/>
      <c r="J16066" s="24"/>
      <c r="K16066" s="24"/>
      <c r="L16066" s="24"/>
      <c r="M16066" s="24"/>
      <c r="N16066" s="24"/>
      <c r="O16066" s="24"/>
      <c r="P16066" s="24"/>
      <c r="Q16066" s="24"/>
      <c r="R16066" s="24"/>
      <c r="S16066" s="24"/>
      <c r="T16066" s="24"/>
      <c r="U16066" s="24"/>
      <c r="V16066" s="24"/>
      <c r="W16066" s="24"/>
      <c r="X16066" s="24"/>
      <c r="Y16066" s="24"/>
      <c r="Z16066" s="24"/>
      <c r="AA16066" s="24"/>
    </row>
    <row r="16067">
      <c r="A16067" s="24"/>
      <c r="B16067" s="25"/>
      <c r="C16067" s="24"/>
      <c r="D16067" s="26"/>
      <c r="E16067" s="24"/>
      <c r="F16067" s="24"/>
      <c r="G16067" s="24"/>
      <c r="H16067" s="24"/>
      <c r="I16067" s="24"/>
      <c r="J16067" s="24"/>
      <c r="K16067" s="24"/>
      <c r="L16067" s="24"/>
      <c r="M16067" s="24"/>
      <c r="N16067" s="24"/>
      <c r="O16067" s="24"/>
      <c r="P16067" s="24"/>
      <c r="Q16067" s="24"/>
      <c r="R16067" s="24"/>
      <c r="S16067" s="24"/>
      <c r="T16067" s="24"/>
      <c r="U16067" s="24"/>
      <c r="V16067" s="24"/>
      <c r="W16067" s="24"/>
      <c r="X16067" s="24"/>
      <c r="Y16067" s="24"/>
      <c r="Z16067" s="24"/>
      <c r="AA16067" s="24"/>
    </row>
    <row r="16068">
      <c r="A16068" s="24"/>
      <c r="B16068" s="25"/>
      <c r="C16068" s="24"/>
      <c r="D16068" s="26"/>
      <c r="E16068" s="24"/>
      <c r="F16068" s="24"/>
      <c r="G16068" s="24"/>
      <c r="H16068" s="24"/>
      <c r="I16068" s="24"/>
      <c r="J16068" s="24"/>
      <c r="K16068" s="24"/>
      <c r="L16068" s="24"/>
      <c r="M16068" s="24"/>
      <c r="N16068" s="24"/>
      <c r="O16068" s="24"/>
      <c r="P16068" s="24"/>
      <c r="Q16068" s="24"/>
      <c r="R16068" s="24"/>
      <c r="S16068" s="24"/>
      <c r="T16068" s="24"/>
      <c r="U16068" s="24"/>
      <c r="V16068" s="24"/>
      <c r="W16068" s="24"/>
      <c r="X16068" s="24"/>
      <c r="Y16068" s="24"/>
      <c r="Z16068" s="24"/>
      <c r="AA16068" s="24"/>
    </row>
    <row r="16069">
      <c r="A16069" s="24"/>
      <c r="B16069" s="25"/>
      <c r="C16069" s="24"/>
      <c r="D16069" s="26"/>
      <c r="E16069" s="24"/>
      <c r="F16069" s="24"/>
      <c r="G16069" s="24"/>
      <c r="H16069" s="24"/>
      <c r="I16069" s="24"/>
      <c r="J16069" s="24"/>
      <c r="K16069" s="24"/>
      <c r="L16069" s="24"/>
      <c r="M16069" s="24"/>
      <c r="N16069" s="24"/>
      <c r="O16069" s="24"/>
      <c r="P16069" s="24"/>
      <c r="Q16069" s="24"/>
      <c r="R16069" s="24"/>
      <c r="S16069" s="24"/>
      <c r="T16069" s="24"/>
      <c r="U16069" s="24"/>
      <c r="V16069" s="24"/>
      <c r="W16069" s="24"/>
      <c r="X16069" s="24"/>
      <c r="Y16069" s="24"/>
      <c r="Z16069" s="24"/>
      <c r="AA16069" s="24"/>
    </row>
    <row r="16070">
      <c r="A16070" s="24"/>
      <c r="B16070" s="25"/>
      <c r="C16070" s="24"/>
      <c r="D16070" s="26"/>
      <c r="E16070" s="24"/>
      <c r="F16070" s="24"/>
      <c r="G16070" s="24"/>
      <c r="H16070" s="24"/>
      <c r="I16070" s="24"/>
      <c r="J16070" s="24"/>
      <c r="K16070" s="24"/>
      <c r="L16070" s="24"/>
      <c r="M16070" s="24"/>
      <c r="N16070" s="24"/>
      <c r="O16070" s="24"/>
      <c r="P16070" s="24"/>
      <c r="Q16070" s="24"/>
      <c r="R16070" s="24"/>
      <c r="S16070" s="24"/>
      <c r="T16070" s="24"/>
      <c r="U16070" s="24"/>
      <c r="V16070" s="24"/>
      <c r="W16070" s="24"/>
      <c r="X16070" s="24"/>
      <c r="Y16070" s="24"/>
      <c r="Z16070" s="24"/>
      <c r="AA16070" s="24"/>
    </row>
    <row r="16071">
      <c r="A16071" s="24"/>
      <c r="B16071" s="25"/>
      <c r="C16071" s="24"/>
      <c r="D16071" s="26"/>
      <c r="E16071" s="24"/>
      <c r="F16071" s="24"/>
      <c r="G16071" s="24"/>
      <c r="H16071" s="24"/>
      <c r="I16071" s="24"/>
      <c r="J16071" s="24"/>
      <c r="K16071" s="24"/>
      <c r="L16071" s="24"/>
      <c r="M16071" s="24"/>
      <c r="N16071" s="24"/>
      <c r="O16071" s="24"/>
      <c r="P16071" s="24"/>
      <c r="Q16071" s="24"/>
      <c r="R16071" s="24"/>
      <c r="S16071" s="24"/>
      <c r="T16071" s="24"/>
      <c r="U16071" s="24"/>
      <c r="V16071" s="24"/>
      <c r="W16071" s="24"/>
      <c r="X16071" s="24"/>
      <c r="Y16071" s="24"/>
      <c r="Z16071" s="24"/>
      <c r="AA16071" s="24"/>
    </row>
    <row r="16072">
      <c r="A16072" s="24"/>
      <c r="B16072" s="25"/>
      <c r="C16072" s="24"/>
      <c r="D16072" s="26"/>
      <c r="E16072" s="24"/>
      <c r="F16072" s="24"/>
      <c r="G16072" s="24"/>
      <c r="H16072" s="24"/>
      <c r="I16072" s="24"/>
      <c r="J16072" s="24"/>
      <c r="K16072" s="24"/>
      <c r="L16072" s="24"/>
      <c r="M16072" s="24"/>
      <c r="N16072" s="24"/>
      <c r="O16072" s="24"/>
      <c r="P16072" s="24"/>
      <c r="Q16072" s="24"/>
      <c r="R16072" s="24"/>
      <c r="S16072" s="24"/>
      <c r="T16072" s="24"/>
      <c r="U16072" s="24"/>
      <c r="V16072" s="24"/>
      <c r="W16072" s="24"/>
      <c r="X16072" s="24"/>
      <c r="Y16072" s="24"/>
      <c r="Z16072" s="24"/>
      <c r="AA16072" s="24"/>
    </row>
    <row r="16073">
      <c r="A16073" s="24"/>
      <c r="B16073" s="25"/>
      <c r="C16073" s="24"/>
      <c r="D16073" s="26"/>
      <c r="E16073" s="24"/>
      <c r="F16073" s="24"/>
      <c r="G16073" s="24"/>
      <c r="H16073" s="24"/>
      <c r="I16073" s="24"/>
      <c r="J16073" s="24"/>
      <c r="K16073" s="24"/>
      <c r="L16073" s="24"/>
      <c r="M16073" s="24"/>
      <c r="N16073" s="24"/>
      <c r="O16073" s="24"/>
      <c r="P16073" s="24"/>
      <c r="Q16073" s="24"/>
      <c r="R16073" s="24"/>
      <c r="S16073" s="24"/>
      <c r="T16073" s="24"/>
      <c r="U16073" s="24"/>
      <c r="V16073" s="24"/>
      <c r="W16073" s="24"/>
      <c r="X16073" s="24"/>
      <c r="Y16073" s="24"/>
      <c r="Z16073" s="24"/>
      <c r="AA16073" s="24"/>
    </row>
    <row r="16074">
      <c r="A16074" s="24"/>
      <c r="B16074" s="25"/>
      <c r="C16074" s="24"/>
      <c r="D16074" s="26"/>
      <c r="E16074" s="24"/>
      <c r="F16074" s="24"/>
      <c r="G16074" s="24"/>
      <c r="H16074" s="24"/>
      <c r="I16074" s="24"/>
      <c r="J16074" s="24"/>
      <c r="K16074" s="24"/>
      <c r="L16074" s="24"/>
      <c r="M16074" s="24"/>
      <c r="N16074" s="24"/>
      <c r="O16074" s="24"/>
      <c r="P16074" s="24"/>
      <c r="Q16074" s="24"/>
      <c r="R16074" s="24"/>
      <c r="S16074" s="24"/>
      <c r="T16074" s="24"/>
      <c r="U16074" s="24"/>
      <c r="V16074" s="24"/>
      <c r="W16074" s="24"/>
      <c r="X16074" s="24"/>
      <c r="Y16074" s="24"/>
      <c r="Z16074" s="24"/>
      <c r="AA16074" s="24"/>
    </row>
    <row r="16075">
      <c r="A16075" s="24"/>
      <c r="B16075" s="25"/>
      <c r="C16075" s="24"/>
      <c r="D16075" s="26"/>
      <c r="E16075" s="24"/>
      <c r="F16075" s="24"/>
      <c r="G16075" s="24"/>
      <c r="H16075" s="24"/>
      <c r="I16075" s="24"/>
      <c r="J16075" s="24"/>
      <c r="K16075" s="24"/>
      <c r="L16075" s="24"/>
      <c r="M16075" s="24"/>
      <c r="N16075" s="24"/>
      <c r="O16075" s="24"/>
      <c r="P16075" s="24"/>
      <c r="Q16075" s="24"/>
      <c r="R16075" s="24"/>
      <c r="S16075" s="24"/>
      <c r="T16075" s="24"/>
      <c r="U16075" s="24"/>
      <c r="V16075" s="24"/>
      <c r="W16075" s="24"/>
      <c r="X16075" s="24"/>
      <c r="Y16075" s="24"/>
      <c r="Z16075" s="24"/>
      <c r="AA16075" s="24"/>
    </row>
    <row r="16076">
      <c r="A16076" s="24"/>
      <c r="B16076" s="25"/>
      <c r="C16076" s="24"/>
      <c r="D16076" s="26"/>
      <c r="E16076" s="24"/>
      <c r="F16076" s="24"/>
      <c r="G16076" s="24"/>
      <c r="H16076" s="24"/>
      <c r="I16076" s="24"/>
      <c r="J16076" s="24"/>
      <c r="K16076" s="24"/>
      <c r="L16076" s="24"/>
      <c r="M16076" s="24"/>
      <c r="N16076" s="24"/>
      <c r="O16076" s="24"/>
      <c r="P16076" s="24"/>
      <c r="Q16076" s="24"/>
      <c r="R16076" s="24"/>
      <c r="S16076" s="24"/>
      <c r="T16076" s="24"/>
      <c r="U16076" s="24"/>
      <c r="V16076" s="24"/>
      <c r="W16076" s="24"/>
      <c r="X16076" s="24"/>
      <c r="Y16076" s="24"/>
      <c r="Z16076" s="24"/>
      <c r="AA16076" s="24"/>
    </row>
    <row r="16077">
      <c r="A16077" s="24"/>
      <c r="B16077" s="25"/>
      <c r="C16077" s="24"/>
      <c r="D16077" s="26"/>
      <c r="E16077" s="24"/>
      <c r="F16077" s="24"/>
      <c r="G16077" s="24"/>
      <c r="H16077" s="24"/>
      <c r="I16077" s="24"/>
      <c r="J16077" s="24"/>
      <c r="K16077" s="24"/>
      <c r="L16077" s="24"/>
      <c r="M16077" s="24"/>
      <c r="N16077" s="24"/>
      <c r="O16077" s="24"/>
      <c r="P16077" s="24"/>
      <c r="Q16077" s="24"/>
      <c r="R16077" s="24"/>
      <c r="S16077" s="24"/>
      <c r="T16077" s="24"/>
      <c r="U16077" s="24"/>
      <c r="V16077" s="24"/>
      <c r="W16077" s="24"/>
      <c r="X16077" s="24"/>
      <c r="Y16077" s="24"/>
      <c r="Z16077" s="24"/>
      <c r="AA16077" s="24"/>
    </row>
    <row r="16078">
      <c r="A16078" s="24"/>
      <c r="B16078" s="25"/>
      <c r="C16078" s="24"/>
      <c r="D16078" s="26"/>
      <c r="E16078" s="24"/>
      <c r="F16078" s="24"/>
      <c r="G16078" s="24"/>
      <c r="H16078" s="24"/>
      <c r="I16078" s="24"/>
      <c r="J16078" s="24"/>
      <c r="K16078" s="24"/>
      <c r="L16078" s="24"/>
      <c r="M16078" s="24"/>
      <c r="N16078" s="24"/>
      <c r="O16078" s="24"/>
      <c r="P16078" s="24"/>
      <c r="Q16078" s="24"/>
      <c r="R16078" s="24"/>
      <c r="S16078" s="24"/>
      <c r="T16078" s="24"/>
      <c r="U16078" s="24"/>
      <c r="V16078" s="24"/>
      <c r="W16078" s="24"/>
      <c r="X16078" s="24"/>
      <c r="Y16078" s="24"/>
      <c r="Z16078" s="24"/>
      <c r="AA16078" s="24"/>
    </row>
    <row r="16079">
      <c r="A16079" s="24"/>
      <c r="B16079" s="25"/>
      <c r="C16079" s="24"/>
      <c r="D16079" s="26"/>
      <c r="E16079" s="24"/>
      <c r="F16079" s="24"/>
      <c r="G16079" s="24"/>
      <c r="H16079" s="24"/>
      <c r="I16079" s="24"/>
      <c r="J16079" s="24"/>
      <c r="K16079" s="24"/>
      <c r="L16079" s="24"/>
      <c r="M16079" s="24"/>
      <c r="N16079" s="24"/>
      <c r="O16079" s="24"/>
      <c r="P16079" s="24"/>
      <c r="Q16079" s="24"/>
      <c r="R16079" s="24"/>
      <c r="S16079" s="24"/>
      <c r="T16079" s="24"/>
      <c r="U16079" s="24"/>
      <c r="V16079" s="24"/>
      <c r="W16079" s="24"/>
      <c r="X16079" s="24"/>
      <c r="Y16079" s="24"/>
      <c r="Z16079" s="24"/>
      <c r="AA16079" s="24"/>
    </row>
    <row r="16080">
      <c r="A16080" s="24"/>
      <c r="B16080" s="25"/>
      <c r="C16080" s="24"/>
      <c r="D16080" s="26"/>
      <c r="E16080" s="24"/>
      <c r="F16080" s="24"/>
      <c r="G16080" s="24"/>
      <c r="H16080" s="24"/>
      <c r="I16080" s="24"/>
      <c r="J16080" s="24"/>
      <c r="K16080" s="24"/>
      <c r="L16080" s="24"/>
      <c r="M16080" s="24"/>
      <c r="N16080" s="24"/>
      <c r="O16080" s="24"/>
      <c r="P16080" s="24"/>
      <c r="Q16080" s="24"/>
      <c r="R16080" s="24"/>
      <c r="S16080" s="24"/>
      <c r="T16080" s="24"/>
      <c r="U16080" s="24"/>
      <c r="V16080" s="24"/>
      <c r="W16080" s="24"/>
      <c r="X16080" s="24"/>
      <c r="Y16080" s="24"/>
      <c r="Z16080" s="24"/>
      <c r="AA16080" s="24"/>
    </row>
    <row r="16081">
      <c r="A16081" s="24"/>
      <c r="B16081" s="25"/>
      <c r="C16081" s="24"/>
      <c r="D16081" s="26"/>
      <c r="E16081" s="24"/>
      <c r="F16081" s="24"/>
      <c r="G16081" s="24"/>
      <c r="H16081" s="24"/>
      <c r="I16081" s="24"/>
      <c r="J16081" s="24"/>
      <c r="K16081" s="24"/>
      <c r="L16081" s="24"/>
      <c r="M16081" s="24"/>
      <c r="N16081" s="24"/>
      <c r="O16081" s="24"/>
      <c r="P16081" s="24"/>
      <c r="Q16081" s="24"/>
      <c r="R16081" s="24"/>
      <c r="S16081" s="24"/>
      <c r="T16081" s="24"/>
      <c r="U16081" s="24"/>
      <c r="V16081" s="24"/>
      <c r="W16081" s="24"/>
      <c r="X16081" s="24"/>
      <c r="Y16081" s="24"/>
      <c r="Z16081" s="24"/>
      <c r="AA16081" s="24"/>
    </row>
    <row r="16082">
      <c r="A16082" s="24"/>
      <c r="B16082" s="25"/>
      <c r="C16082" s="24"/>
      <c r="D16082" s="26"/>
      <c r="E16082" s="24"/>
      <c r="F16082" s="24"/>
      <c r="G16082" s="24"/>
      <c r="H16082" s="24"/>
      <c r="I16082" s="24"/>
      <c r="J16082" s="24"/>
      <c r="K16082" s="24"/>
      <c r="L16082" s="24"/>
      <c r="M16082" s="24"/>
      <c r="N16082" s="24"/>
      <c r="O16082" s="24"/>
      <c r="P16082" s="24"/>
      <c r="Q16082" s="24"/>
      <c r="R16082" s="24"/>
      <c r="S16082" s="24"/>
      <c r="T16082" s="24"/>
      <c r="U16082" s="24"/>
      <c r="V16082" s="24"/>
      <c r="W16082" s="24"/>
      <c r="X16082" s="24"/>
      <c r="Y16082" s="24"/>
      <c r="Z16082" s="24"/>
      <c r="AA16082" s="24"/>
    </row>
    <row r="16083">
      <c r="A16083" s="24"/>
      <c r="B16083" s="25"/>
      <c r="C16083" s="24"/>
      <c r="D16083" s="26"/>
      <c r="E16083" s="24"/>
      <c r="F16083" s="24"/>
      <c r="G16083" s="24"/>
      <c r="H16083" s="24"/>
      <c r="I16083" s="24"/>
      <c r="J16083" s="24"/>
      <c r="K16083" s="24"/>
      <c r="L16083" s="24"/>
      <c r="M16083" s="24"/>
      <c r="N16083" s="24"/>
      <c r="O16083" s="24"/>
      <c r="P16083" s="24"/>
      <c r="Q16083" s="24"/>
      <c r="R16083" s="24"/>
      <c r="S16083" s="24"/>
      <c r="T16083" s="24"/>
      <c r="U16083" s="24"/>
      <c r="V16083" s="24"/>
      <c r="W16083" s="24"/>
      <c r="X16083" s="24"/>
      <c r="Y16083" s="24"/>
      <c r="Z16083" s="24"/>
      <c r="AA16083" s="24"/>
    </row>
    <row r="16084">
      <c r="A16084" s="24"/>
      <c r="B16084" s="25"/>
      <c r="C16084" s="24"/>
      <c r="D16084" s="26"/>
      <c r="E16084" s="24"/>
      <c r="F16084" s="24"/>
      <c r="G16084" s="24"/>
      <c r="H16084" s="24"/>
      <c r="I16084" s="24"/>
      <c r="J16084" s="24"/>
      <c r="K16084" s="24"/>
      <c r="L16084" s="24"/>
      <c r="M16084" s="24"/>
      <c r="N16084" s="24"/>
      <c r="O16084" s="24"/>
      <c r="P16084" s="24"/>
      <c r="Q16084" s="24"/>
      <c r="R16084" s="24"/>
      <c r="S16084" s="24"/>
      <c r="T16084" s="24"/>
      <c r="U16084" s="24"/>
      <c r="V16084" s="24"/>
      <c r="W16084" s="24"/>
      <c r="X16084" s="24"/>
      <c r="Y16084" s="24"/>
      <c r="Z16084" s="24"/>
      <c r="AA16084" s="24"/>
    </row>
    <row r="16085">
      <c r="A16085" s="24"/>
      <c r="B16085" s="25"/>
      <c r="C16085" s="24"/>
      <c r="D16085" s="26"/>
      <c r="E16085" s="24"/>
      <c r="F16085" s="24"/>
      <c r="G16085" s="24"/>
      <c r="H16085" s="24"/>
      <c r="I16085" s="24"/>
      <c r="J16085" s="24"/>
      <c r="K16085" s="24"/>
      <c r="L16085" s="24"/>
      <c r="M16085" s="24"/>
      <c r="N16085" s="24"/>
      <c r="O16085" s="24"/>
      <c r="P16085" s="24"/>
      <c r="Q16085" s="24"/>
      <c r="R16085" s="24"/>
      <c r="S16085" s="24"/>
      <c r="T16085" s="24"/>
      <c r="U16085" s="24"/>
      <c r="V16085" s="24"/>
      <c r="W16085" s="24"/>
      <c r="X16085" s="24"/>
      <c r="Y16085" s="24"/>
      <c r="Z16085" s="24"/>
      <c r="AA16085" s="24"/>
    </row>
    <row r="16086">
      <c r="A16086" s="24"/>
      <c r="B16086" s="25"/>
      <c r="C16086" s="24"/>
      <c r="D16086" s="26"/>
      <c r="E16086" s="24"/>
      <c r="F16086" s="24"/>
      <c r="G16086" s="24"/>
      <c r="H16086" s="24"/>
      <c r="I16086" s="24"/>
      <c r="J16086" s="24"/>
      <c r="K16086" s="24"/>
      <c r="L16086" s="24"/>
      <c r="M16086" s="24"/>
      <c r="N16086" s="24"/>
      <c r="O16086" s="24"/>
      <c r="P16086" s="24"/>
      <c r="Q16086" s="24"/>
      <c r="R16086" s="24"/>
      <c r="S16086" s="24"/>
      <c r="T16086" s="24"/>
      <c r="U16086" s="24"/>
      <c r="V16086" s="24"/>
      <c r="W16086" s="24"/>
      <c r="X16086" s="24"/>
      <c r="Y16086" s="24"/>
      <c r="Z16086" s="24"/>
      <c r="AA16086" s="24"/>
    </row>
    <row r="16087">
      <c r="A16087" s="24"/>
      <c r="B16087" s="25"/>
      <c r="C16087" s="24"/>
      <c r="D16087" s="26"/>
      <c r="E16087" s="24"/>
      <c r="F16087" s="24"/>
      <c r="G16087" s="24"/>
      <c r="H16087" s="24"/>
      <c r="I16087" s="24"/>
      <c r="J16087" s="24"/>
      <c r="K16087" s="24"/>
      <c r="L16087" s="24"/>
      <c r="M16087" s="24"/>
      <c r="N16087" s="24"/>
      <c r="O16087" s="24"/>
      <c r="P16087" s="24"/>
      <c r="Q16087" s="24"/>
      <c r="R16087" s="24"/>
      <c r="S16087" s="24"/>
      <c r="T16087" s="24"/>
      <c r="U16087" s="24"/>
      <c r="V16087" s="24"/>
      <c r="W16087" s="24"/>
      <c r="X16087" s="24"/>
      <c r="Y16087" s="24"/>
      <c r="Z16087" s="24"/>
      <c r="AA16087" s="24"/>
    </row>
    <row r="16088">
      <c r="A16088" s="24"/>
      <c r="B16088" s="25"/>
      <c r="C16088" s="24"/>
      <c r="D16088" s="26"/>
      <c r="E16088" s="24"/>
      <c r="F16088" s="24"/>
      <c r="G16088" s="24"/>
      <c r="H16088" s="24"/>
      <c r="I16088" s="24"/>
      <c r="J16088" s="24"/>
      <c r="K16088" s="24"/>
      <c r="L16088" s="24"/>
      <c r="M16088" s="24"/>
      <c r="N16088" s="24"/>
      <c r="O16088" s="24"/>
      <c r="P16088" s="24"/>
      <c r="Q16088" s="24"/>
      <c r="R16088" s="24"/>
      <c r="S16088" s="24"/>
      <c r="T16088" s="24"/>
      <c r="U16088" s="24"/>
      <c r="V16088" s="24"/>
      <c r="W16088" s="24"/>
      <c r="X16088" s="24"/>
      <c r="Y16088" s="24"/>
      <c r="Z16088" s="24"/>
      <c r="AA16088" s="24"/>
    </row>
    <row r="16089">
      <c r="A16089" s="24"/>
      <c r="B16089" s="25"/>
      <c r="C16089" s="24"/>
      <c r="D16089" s="26"/>
      <c r="E16089" s="24"/>
      <c r="F16089" s="24"/>
      <c r="G16089" s="24"/>
      <c r="H16089" s="24"/>
      <c r="I16089" s="24"/>
      <c r="J16089" s="24"/>
      <c r="K16089" s="24"/>
      <c r="L16089" s="24"/>
      <c r="M16089" s="24"/>
      <c r="N16089" s="24"/>
      <c r="O16089" s="24"/>
      <c r="P16089" s="24"/>
      <c r="Q16089" s="24"/>
      <c r="R16089" s="24"/>
      <c r="S16089" s="24"/>
      <c r="T16089" s="24"/>
      <c r="U16089" s="24"/>
      <c r="V16089" s="24"/>
      <c r="W16089" s="24"/>
      <c r="X16089" s="24"/>
      <c r="Y16089" s="24"/>
      <c r="Z16089" s="24"/>
      <c r="AA16089" s="24"/>
    </row>
    <row r="16090">
      <c r="A16090" s="24"/>
      <c r="B16090" s="25"/>
      <c r="C16090" s="24"/>
      <c r="D16090" s="26"/>
      <c r="E16090" s="24"/>
      <c r="F16090" s="24"/>
      <c r="G16090" s="24"/>
      <c r="H16090" s="24"/>
      <c r="I16090" s="24"/>
      <c r="J16090" s="24"/>
      <c r="K16090" s="24"/>
      <c r="L16090" s="24"/>
      <c r="M16090" s="24"/>
      <c r="N16090" s="24"/>
      <c r="O16090" s="24"/>
      <c r="P16090" s="24"/>
      <c r="Q16090" s="24"/>
      <c r="R16090" s="24"/>
      <c r="S16090" s="24"/>
      <c r="T16090" s="24"/>
      <c r="U16090" s="24"/>
      <c r="V16090" s="24"/>
      <c r="W16090" s="24"/>
      <c r="X16090" s="24"/>
      <c r="Y16090" s="24"/>
      <c r="Z16090" s="24"/>
      <c r="AA16090" s="24"/>
    </row>
    <row r="16091">
      <c r="A16091" s="24"/>
      <c r="B16091" s="25"/>
      <c r="C16091" s="24"/>
      <c r="D16091" s="26"/>
      <c r="E16091" s="24"/>
      <c r="F16091" s="24"/>
      <c r="G16091" s="24"/>
      <c r="H16091" s="24"/>
      <c r="I16091" s="24"/>
      <c r="J16091" s="24"/>
      <c r="K16091" s="24"/>
      <c r="L16091" s="24"/>
      <c r="M16091" s="24"/>
      <c r="N16091" s="24"/>
      <c r="O16091" s="24"/>
      <c r="P16091" s="24"/>
      <c r="Q16091" s="24"/>
      <c r="R16091" s="24"/>
      <c r="S16091" s="24"/>
      <c r="T16091" s="24"/>
      <c r="U16091" s="24"/>
      <c r="V16091" s="24"/>
      <c r="W16091" s="24"/>
      <c r="X16091" s="24"/>
      <c r="Y16091" s="24"/>
      <c r="Z16091" s="24"/>
      <c r="AA16091" s="24"/>
    </row>
    <row r="16092">
      <c r="A16092" s="24"/>
      <c r="B16092" s="25"/>
      <c r="C16092" s="24"/>
      <c r="D16092" s="26"/>
      <c r="E16092" s="24"/>
      <c r="F16092" s="24"/>
      <c r="G16092" s="24"/>
      <c r="H16092" s="24"/>
      <c r="I16092" s="24"/>
      <c r="J16092" s="24"/>
      <c r="K16092" s="24"/>
      <c r="L16092" s="24"/>
      <c r="M16092" s="24"/>
      <c r="N16092" s="24"/>
      <c r="O16092" s="24"/>
      <c r="P16092" s="24"/>
      <c r="Q16092" s="24"/>
      <c r="R16092" s="24"/>
      <c r="S16092" s="24"/>
      <c r="T16092" s="24"/>
      <c r="U16092" s="24"/>
      <c r="V16092" s="24"/>
      <c r="W16092" s="24"/>
      <c r="X16092" s="24"/>
      <c r="Y16092" s="24"/>
      <c r="Z16092" s="24"/>
      <c r="AA16092" s="24"/>
    </row>
    <row r="16093">
      <c r="A16093" s="24"/>
      <c r="B16093" s="25"/>
      <c r="C16093" s="24"/>
      <c r="D16093" s="26"/>
      <c r="E16093" s="24"/>
      <c r="F16093" s="24"/>
      <c r="G16093" s="24"/>
      <c r="H16093" s="24"/>
      <c r="I16093" s="24"/>
      <c r="J16093" s="24"/>
      <c r="K16093" s="24"/>
      <c r="L16093" s="24"/>
      <c r="M16093" s="24"/>
      <c r="N16093" s="24"/>
      <c r="O16093" s="24"/>
      <c r="P16093" s="24"/>
      <c r="Q16093" s="24"/>
      <c r="R16093" s="24"/>
      <c r="S16093" s="24"/>
      <c r="T16093" s="24"/>
      <c r="U16093" s="24"/>
      <c r="V16093" s="24"/>
      <c r="W16093" s="24"/>
      <c r="X16093" s="24"/>
      <c r="Y16093" s="24"/>
      <c r="Z16093" s="24"/>
      <c r="AA16093" s="24"/>
    </row>
    <row r="16094">
      <c r="A16094" s="24"/>
      <c r="B16094" s="25"/>
      <c r="C16094" s="24"/>
      <c r="D16094" s="26"/>
      <c r="E16094" s="24"/>
      <c r="F16094" s="24"/>
      <c r="G16094" s="24"/>
      <c r="H16094" s="24"/>
      <c r="I16094" s="24"/>
      <c r="J16094" s="24"/>
      <c r="K16094" s="24"/>
      <c r="L16094" s="24"/>
      <c r="M16094" s="24"/>
      <c r="N16094" s="24"/>
      <c r="O16094" s="24"/>
      <c r="P16094" s="24"/>
      <c r="Q16094" s="24"/>
      <c r="R16094" s="24"/>
      <c r="S16094" s="24"/>
      <c r="T16094" s="24"/>
      <c r="U16094" s="24"/>
      <c r="V16094" s="24"/>
      <c r="W16094" s="24"/>
      <c r="X16094" s="24"/>
      <c r="Y16094" s="24"/>
      <c r="Z16094" s="24"/>
      <c r="AA16094" s="24"/>
    </row>
    <row r="16095">
      <c r="A16095" s="24"/>
      <c r="B16095" s="25"/>
      <c r="C16095" s="24"/>
      <c r="D16095" s="26"/>
      <c r="E16095" s="24"/>
      <c r="F16095" s="24"/>
      <c r="G16095" s="24"/>
      <c r="H16095" s="24"/>
      <c r="I16095" s="24"/>
      <c r="J16095" s="24"/>
      <c r="K16095" s="24"/>
      <c r="L16095" s="24"/>
      <c r="M16095" s="24"/>
      <c r="N16095" s="24"/>
      <c r="O16095" s="24"/>
      <c r="P16095" s="24"/>
      <c r="Q16095" s="24"/>
      <c r="R16095" s="24"/>
      <c r="S16095" s="24"/>
      <c r="T16095" s="24"/>
      <c r="U16095" s="24"/>
      <c r="V16095" s="24"/>
      <c r="W16095" s="24"/>
      <c r="X16095" s="24"/>
      <c r="Y16095" s="24"/>
      <c r="Z16095" s="24"/>
      <c r="AA16095" s="24"/>
    </row>
    <row r="16096">
      <c r="A16096" s="24"/>
      <c r="B16096" s="25"/>
      <c r="C16096" s="24"/>
      <c r="D16096" s="26"/>
      <c r="E16096" s="24"/>
      <c r="F16096" s="24"/>
      <c r="G16096" s="24"/>
      <c r="H16096" s="24"/>
      <c r="I16096" s="24"/>
      <c r="J16096" s="24"/>
      <c r="K16096" s="24"/>
      <c r="L16096" s="24"/>
      <c r="M16096" s="24"/>
      <c r="N16096" s="24"/>
      <c r="O16096" s="24"/>
      <c r="P16096" s="24"/>
      <c r="Q16096" s="24"/>
      <c r="R16096" s="24"/>
      <c r="S16096" s="24"/>
      <c r="T16096" s="24"/>
      <c r="U16096" s="24"/>
      <c r="V16096" s="24"/>
      <c r="W16096" s="24"/>
      <c r="X16096" s="24"/>
      <c r="Y16096" s="24"/>
      <c r="Z16096" s="24"/>
      <c r="AA16096" s="24"/>
    </row>
    <row r="16097">
      <c r="A16097" s="24"/>
      <c r="B16097" s="25"/>
      <c r="C16097" s="24"/>
      <c r="D16097" s="26"/>
      <c r="E16097" s="24"/>
      <c r="F16097" s="24"/>
      <c r="G16097" s="24"/>
      <c r="H16097" s="24"/>
      <c r="I16097" s="24"/>
      <c r="J16097" s="24"/>
      <c r="K16097" s="24"/>
      <c r="L16097" s="24"/>
      <c r="M16097" s="24"/>
      <c r="N16097" s="24"/>
      <c r="O16097" s="24"/>
      <c r="P16097" s="24"/>
      <c r="Q16097" s="24"/>
      <c r="R16097" s="24"/>
      <c r="S16097" s="24"/>
      <c r="T16097" s="24"/>
      <c r="U16097" s="24"/>
      <c r="V16097" s="24"/>
      <c r="W16097" s="24"/>
      <c r="X16097" s="24"/>
      <c r="Y16097" s="24"/>
      <c r="Z16097" s="24"/>
      <c r="AA16097" s="24"/>
    </row>
    <row r="16098">
      <c r="A16098" s="24"/>
      <c r="B16098" s="25"/>
      <c r="C16098" s="24"/>
      <c r="D16098" s="26"/>
      <c r="E16098" s="24"/>
      <c r="F16098" s="24"/>
      <c r="G16098" s="24"/>
      <c r="H16098" s="24"/>
      <c r="I16098" s="24"/>
      <c r="J16098" s="24"/>
      <c r="K16098" s="24"/>
      <c r="L16098" s="24"/>
      <c r="M16098" s="24"/>
      <c r="N16098" s="24"/>
      <c r="O16098" s="24"/>
      <c r="P16098" s="24"/>
      <c r="Q16098" s="24"/>
      <c r="R16098" s="24"/>
      <c r="S16098" s="24"/>
      <c r="T16098" s="24"/>
      <c r="U16098" s="24"/>
      <c r="V16098" s="24"/>
      <c r="W16098" s="24"/>
      <c r="X16098" s="24"/>
      <c r="Y16098" s="24"/>
      <c r="Z16098" s="24"/>
      <c r="AA16098" s="24"/>
    </row>
    <row r="16099">
      <c r="A16099" s="24"/>
      <c r="B16099" s="25"/>
      <c r="C16099" s="24"/>
      <c r="D16099" s="26"/>
      <c r="E16099" s="24"/>
      <c r="F16099" s="24"/>
      <c r="G16099" s="24"/>
      <c r="H16099" s="24"/>
      <c r="I16099" s="24"/>
      <c r="J16099" s="24"/>
      <c r="K16099" s="24"/>
      <c r="L16099" s="24"/>
      <c r="M16099" s="24"/>
      <c r="N16099" s="24"/>
      <c r="O16099" s="24"/>
      <c r="P16099" s="24"/>
      <c r="Q16099" s="24"/>
      <c r="R16099" s="24"/>
      <c r="S16099" s="24"/>
      <c r="T16099" s="24"/>
      <c r="U16099" s="24"/>
      <c r="V16099" s="24"/>
      <c r="W16099" s="24"/>
      <c r="X16099" s="24"/>
      <c r="Y16099" s="24"/>
      <c r="Z16099" s="24"/>
      <c r="AA16099" s="24"/>
    </row>
    <row r="16100">
      <c r="A16100" s="24"/>
      <c r="B16100" s="25"/>
      <c r="C16100" s="24"/>
      <c r="D16100" s="26"/>
      <c r="E16100" s="24"/>
      <c r="F16100" s="24"/>
      <c r="G16100" s="24"/>
      <c r="H16100" s="24"/>
      <c r="I16100" s="24"/>
      <c r="J16100" s="24"/>
      <c r="K16100" s="24"/>
      <c r="L16100" s="24"/>
      <c r="M16100" s="24"/>
      <c r="N16100" s="24"/>
      <c r="O16100" s="24"/>
      <c r="P16100" s="24"/>
      <c r="Q16100" s="24"/>
      <c r="R16100" s="24"/>
      <c r="S16100" s="24"/>
      <c r="T16100" s="24"/>
      <c r="U16100" s="24"/>
      <c r="V16100" s="24"/>
      <c r="W16100" s="24"/>
      <c r="X16100" s="24"/>
      <c r="Y16100" s="24"/>
      <c r="Z16100" s="24"/>
      <c r="AA16100" s="24"/>
    </row>
    <row r="16101">
      <c r="A16101" s="24"/>
      <c r="B16101" s="25"/>
      <c r="C16101" s="24"/>
      <c r="D16101" s="26"/>
      <c r="E16101" s="24"/>
      <c r="F16101" s="24"/>
      <c r="G16101" s="24"/>
      <c r="H16101" s="24"/>
      <c r="I16101" s="24"/>
      <c r="J16101" s="24"/>
      <c r="K16101" s="24"/>
      <c r="L16101" s="24"/>
      <c r="M16101" s="24"/>
      <c r="N16101" s="24"/>
      <c r="O16101" s="24"/>
      <c r="P16101" s="24"/>
      <c r="Q16101" s="24"/>
      <c r="R16101" s="24"/>
      <c r="S16101" s="24"/>
      <c r="T16101" s="24"/>
      <c r="U16101" s="24"/>
      <c r="V16101" s="24"/>
      <c r="W16101" s="24"/>
      <c r="X16101" s="24"/>
      <c r="Y16101" s="24"/>
      <c r="Z16101" s="24"/>
      <c r="AA16101" s="24"/>
    </row>
    <row r="16102">
      <c r="A16102" s="24"/>
      <c r="B16102" s="25"/>
      <c r="C16102" s="24"/>
      <c r="D16102" s="26"/>
      <c r="E16102" s="24"/>
      <c r="F16102" s="24"/>
      <c r="G16102" s="24"/>
      <c r="H16102" s="24"/>
      <c r="I16102" s="24"/>
      <c r="J16102" s="24"/>
      <c r="K16102" s="24"/>
      <c r="L16102" s="24"/>
      <c r="M16102" s="24"/>
      <c r="N16102" s="24"/>
      <c r="O16102" s="24"/>
      <c r="P16102" s="24"/>
      <c r="Q16102" s="24"/>
      <c r="R16102" s="24"/>
      <c r="S16102" s="24"/>
      <c r="T16102" s="24"/>
      <c r="U16102" s="24"/>
      <c r="V16102" s="24"/>
      <c r="W16102" s="24"/>
      <c r="X16102" s="24"/>
      <c r="Y16102" s="24"/>
      <c r="Z16102" s="24"/>
      <c r="AA16102" s="24"/>
    </row>
    <row r="16103">
      <c r="A16103" s="24"/>
      <c r="B16103" s="25"/>
      <c r="C16103" s="24"/>
      <c r="D16103" s="26"/>
      <c r="E16103" s="24"/>
      <c r="F16103" s="24"/>
      <c r="G16103" s="24"/>
      <c r="H16103" s="24"/>
      <c r="I16103" s="24"/>
      <c r="J16103" s="24"/>
      <c r="K16103" s="24"/>
      <c r="L16103" s="24"/>
      <c r="M16103" s="24"/>
      <c r="N16103" s="24"/>
      <c r="O16103" s="24"/>
      <c r="P16103" s="24"/>
      <c r="Q16103" s="24"/>
      <c r="R16103" s="24"/>
      <c r="S16103" s="24"/>
      <c r="T16103" s="24"/>
      <c r="U16103" s="24"/>
      <c r="V16103" s="24"/>
      <c r="W16103" s="24"/>
      <c r="X16103" s="24"/>
      <c r="Y16103" s="24"/>
      <c r="Z16103" s="24"/>
      <c r="AA16103" s="24"/>
    </row>
    <row r="16104">
      <c r="A16104" s="24"/>
      <c r="B16104" s="25"/>
      <c r="C16104" s="24"/>
      <c r="D16104" s="26"/>
      <c r="E16104" s="24"/>
      <c r="F16104" s="24"/>
      <c r="G16104" s="24"/>
      <c r="H16104" s="24"/>
      <c r="I16104" s="24"/>
      <c r="J16104" s="24"/>
      <c r="K16104" s="24"/>
      <c r="L16104" s="24"/>
      <c r="M16104" s="24"/>
      <c r="N16104" s="24"/>
      <c r="O16104" s="24"/>
      <c r="P16104" s="24"/>
      <c r="Q16104" s="24"/>
      <c r="R16104" s="24"/>
      <c r="S16104" s="24"/>
      <c r="T16104" s="24"/>
      <c r="U16104" s="24"/>
      <c r="V16104" s="24"/>
      <c r="W16104" s="24"/>
      <c r="X16104" s="24"/>
      <c r="Y16104" s="24"/>
      <c r="Z16104" s="24"/>
      <c r="AA16104" s="24"/>
    </row>
    <row r="16105">
      <c r="A16105" s="24"/>
      <c r="B16105" s="25"/>
      <c r="C16105" s="24"/>
      <c r="D16105" s="26"/>
      <c r="E16105" s="24"/>
      <c r="F16105" s="24"/>
      <c r="G16105" s="24"/>
      <c r="H16105" s="24"/>
      <c r="I16105" s="24"/>
      <c r="J16105" s="24"/>
      <c r="K16105" s="24"/>
      <c r="L16105" s="24"/>
      <c r="M16105" s="24"/>
      <c r="N16105" s="24"/>
      <c r="O16105" s="24"/>
      <c r="P16105" s="24"/>
      <c r="Q16105" s="24"/>
      <c r="R16105" s="24"/>
      <c r="S16105" s="24"/>
      <c r="T16105" s="24"/>
      <c r="U16105" s="24"/>
      <c r="V16105" s="24"/>
      <c r="W16105" s="24"/>
      <c r="X16105" s="24"/>
      <c r="Y16105" s="24"/>
      <c r="Z16105" s="24"/>
      <c r="AA16105" s="24"/>
    </row>
    <row r="16106">
      <c r="A16106" s="24"/>
      <c r="B16106" s="25"/>
      <c r="C16106" s="24"/>
      <c r="D16106" s="26"/>
      <c r="E16106" s="24"/>
      <c r="F16106" s="24"/>
      <c r="G16106" s="24"/>
      <c r="H16106" s="24"/>
      <c r="I16106" s="24"/>
      <c r="J16106" s="24"/>
      <c r="K16106" s="24"/>
      <c r="L16106" s="24"/>
      <c r="M16106" s="24"/>
      <c r="N16106" s="24"/>
      <c r="O16106" s="24"/>
      <c r="P16106" s="24"/>
      <c r="Q16106" s="24"/>
      <c r="R16106" s="24"/>
      <c r="S16106" s="24"/>
      <c r="T16106" s="24"/>
      <c r="U16106" s="24"/>
      <c r="V16106" s="24"/>
      <c r="W16106" s="24"/>
      <c r="X16106" s="24"/>
      <c r="Y16106" s="24"/>
      <c r="Z16106" s="24"/>
      <c r="AA16106" s="24"/>
    </row>
    <row r="16107">
      <c r="A16107" s="24"/>
      <c r="B16107" s="25"/>
      <c r="C16107" s="24"/>
      <c r="D16107" s="26"/>
      <c r="E16107" s="24"/>
      <c r="F16107" s="24"/>
      <c r="G16107" s="24"/>
      <c r="H16107" s="24"/>
      <c r="I16107" s="24"/>
      <c r="J16107" s="24"/>
      <c r="K16107" s="24"/>
      <c r="L16107" s="24"/>
      <c r="M16107" s="24"/>
      <c r="N16107" s="24"/>
      <c r="O16107" s="24"/>
      <c r="P16107" s="24"/>
      <c r="Q16107" s="24"/>
      <c r="R16107" s="24"/>
      <c r="S16107" s="24"/>
      <c r="T16107" s="24"/>
      <c r="U16107" s="24"/>
      <c r="V16107" s="24"/>
      <c r="W16107" s="24"/>
      <c r="X16107" s="24"/>
      <c r="Y16107" s="24"/>
      <c r="Z16107" s="24"/>
      <c r="AA16107" s="24"/>
    </row>
    <row r="16108">
      <c r="A16108" s="24"/>
      <c r="B16108" s="25"/>
      <c r="C16108" s="24"/>
      <c r="D16108" s="26"/>
      <c r="E16108" s="24"/>
      <c r="F16108" s="24"/>
      <c r="G16108" s="24"/>
      <c r="H16108" s="24"/>
      <c r="I16108" s="24"/>
      <c r="J16108" s="24"/>
      <c r="K16108" s="24"/>
      <c r="L16108" s="24"/>
      <c r="M16108" s="24"/>
      <c r="N16108" s="24"/>
      <c r="O16108" s="24"/>
      <c r="P16108" s="24"/>
      <c r="Q16108" s="24"/>
      <c r="R16108" s="24"/>
      <c r="S16108" s="24"/>
      <c r="T16108" s="24"/>
      <c r="U16108" s="24"/>
      <c r="V16108" s="24"/>
      <c r="W16108" s="24"/>
      <c r="X16108" s="24"/>
      <c r="Y16108" s="24"/>
      <c r="Z16108" s="24"/>
      <c r="AA16108" s="24"/>
    </row>
    <row r="16109">
      <c r="A16109" s="24"/>
      <c r="B16109" s="25"/>
      <c r="C16109" s="24"/>
      <c r="D16109" s="26"/>
      <c r="E16109" s="24"/>
      <c r="F16109" s="24"/>
      <c r="G16109" s="24"/>
      <c r="H16109" s="24"/>
      <c r="I16109" s="24"/>
      <c r="J16109" s="24"/>
      <c r="K16109" s="24"/>
      <c r="L16109" s="24"/>
      <c r="M16109" s="24"/>
      <c r="N16109" s="24"/>
      <c r="O16109" s="24"/>
      <c r="P16109" s="24"/>
      <c r="Q16109" s="24"/>
      <c r="R16109" s="24"/>
      <c r="S16109" s="24"/>
      <c r="T16109" s="24"/>
      <c r="U16109" s="24"/>
      <c r="V16109" s="24"/>
      <c r="W16109" s="24"/>
      <c r="X16109" s="24"/>
      <c r="Y16109" s="24"/>
      <c r="Z16109" s="24"/>
      <c r="AA16109" s="24"/>
    </row>
    <row r="16110">
      <c r="A16110" s="24"/>
      <c r="B16110" s="25"/>
      <c r="C16110" s="24"/>
      <c r="D16110" s="26"/>
      <c r="E16110" s="24"/>
      <c r="F16110" s="24"/>
      <c r="G16110" s="24"/>
      <c r="H16110" s="24"/>
      <c r="I16110" s="24"/>
      <c r="J16110" s="24"/>
      <c r="K16110" s="24"/>
      <c r="L16110" s="24"/>
      <c r="M16110" s="24"/>
      <c r="N16110" s="24"/>
      <c r="O16110" s="24"/>
      <c r="P16110" s="24"/>
      <c r="Q16110" s="24"/>
      <c r="R16110" s="24"/>
      <c r="S16110" s="24"/>
      <c r="T16110" s="24"/>
      <c r="U16110" s="24"/>
      <c r="V16110" s="24"/>
      <c r="W16110" s="24"/>
      <c r="X16110" s="24"/>
      <c r="Y16110" s="24"/>
      <c r="Z16110" s="24"/>
      <c r="AA16110" s="24"/>
    </row>
    <row r="16111">
      <c r="A16111" s="24"/>
      <c r="B16111" s="25"/>
      <c r="C16111" s="24"/>
      <c r="D16111" s="26"/>
      <c r="E16111" s="24"/>
      <c r="F16111" s="24"/>
      <c r="G16111" s="24"/>
      <c r="H16111" s="24"/>
      <c r="I16111" s="24"/>
      <c r="J16111" s="24"/>
      <c r="K16111" s="24"/>
      <c r="L16111" s="24"/>
      <c r="M16111" s="24"/>
      <c r="N16111" s="24"/>
      <c r="O16111" s="24"/>
      <c r="P16111" s="24"/>
      <c r="Q16111" s="24"/>
      <c r="R16111" s="24"/>
      <c r="S16111" s="24"/>
      <c r="T16111" s="24"/>
      <c r="U16111" s="24"/>
      <c r="V16111" s="24"/>
      <c r="W16111" s="24"/>
      <c r="X16111" s="24"/>
      <c r="Y16111" s="24"/>
      <c r="Z16111" s="24"/>
      <c r="AA16111" s="24"/>
    </row>
    <row r="16112">
      <c r="A16112" s="24"/>
      <c r="B16112" s="25"/>
      <c r="C16112" s="24"/>
      <c r="D16112" s="26"/>
      <c r="E16112" s="24"/>
      <c r="F16112" s="24"/>
      <c r="G16112" s="24"/>
      <c r="H16112" s="24"/>
      <c r="I16112" s="24"/>
      <c r="J16112" s="24"/>
      <c r="K16112" s="24"/>
      <c r="L16112" s="24"/>
      <c r="M16112" s="24"/>
      <c r="N16112" s="24"/>
      <c r="O16112" s="24"/>
      <c r="P16112" s="24"/>
      <c r="Q16112" s="24"/>
      <c r="R16112" s="24"/>
      <c r="S16112" s="24"/>
      <c r="T16112" s="24"/>
      <c r="U16112" s="24"/>
      <c r="V16112" s="24"/>
      <c r="W16112" s="24"/>
      <c r="X16112" s="24"/>
      <c r="Y16112" s="24"/>
      <c r="Z16112" s="24"/>
      <c r="AA16112" s="24"/>
    </row>
    <row r="16113">
      <c r="A16113" s="24"/>
      <c r="B16113" s="25"/>
      <c r="C16113" s="24"/>
      <c r="D16113" s="26"/>
      <c r="E16113" s="24"/>
      <c r="F16113" s="24"/>
      <c r="G16113" s="24"/>
      <c r="H16113" s="24"/>
      <c r="I16113" s="24"/>
      <c r="J16113" s="24"/>
      <c r="K16113" s="24"/>
      <c r="L16113" s="24"/>
      <c r="M16113" s="24"/>
      <c r="N16113" s="24"/>
      <c r="O16113" s="24"/>
      <c r="P16113" s="24"/>
      <c r="Q16113" s="24"/>
      <c r="R16113" s="24"/>
      <c r="S16113" s="24"/>
      <c r="T16113" s="24"/>
      <c r="U16113" s="24"/>
      <c r="V16113" s="24"/>
      <c r="W16113" s="24"/>
      <c r="X16113" s="24"/>
      <c r="Y16113" s="24"/>
      <c r="Z16113" s="24"/>
      <c r="AA16113" s="24"/>
    </row>
    <row r="16114">
      <c r="A16114" s="24"/>
      <c r="B16114" s="25"/>
      <c r="C16114" s="24"/>
      <c r="D16114" s="26"/>
      <c r="E16114" s="24"/>
      <c r="F16114" s="24"/>
      <c r="G16114" s="24"/>
      <c r="H16114" s="24"/>
      <c r="I16114" s="24"/>
      <c r="J16114" s="24"/>
      <c r="K16114" s="24"/>
      <c r="L16114" s="24"/>
      <c r="M16114" s="24"/>
      <c r="N16114" s="24"/>
      <c r="O16114" s="24"/>
      <c r="P16114" s="24"/>
      <c r="Q16114" s="24"/>
      <c r="R16114" s="24"/>
      <c r="S16114" s="24"/>
      <c r="T16114" s="24"/>
      <c r="U16114" s="24"/>
      <c r="V16114" s="24"/>
      <c r="W16114" s="24"/>
      <c r="X16114" s="24"/>
      <c r="Y16114" s="24"/>
      <c r="Z16114" s="24"/>
      <c r="AA16114" s="24"/>
    </row>
    <row r="16115">
      <c r="A16115" s="24"/>
      <c r="B16115" s="25"/>
      <c r="C16115" s="24"/>
      <c r="D16115" s="26"/>
      <c r="E16115" s="24"/>
      <c r="F16115" s="24"/>
      <c r="G16115" s="24"/>
      <c r="H16115" s="24"/>
      <c r="I16115" s="24"/>
      <c r="J16115" s="24"/>
      <c r="K16115" s="24"/>
      <c r="L16115" s="24"/>
      <c r="M16115" s="24"/>
      <c r="N16115" s="24"/>
      <c r="O16115" s="24"/>
      <c r="P16115" s="24"/>
      <c r="Q16115" s="24"/>
      <c r="R16115" s="24"/>
      <c r="S16115" s="24"/>
      <c r="T16115" s="24"/>
      <c r="U16115" s="24"/>
      <c r="V16115" s="24"/>
      <c r="W16115" s="24"/>
      <c r="X16115" s="24"/>
      <c r="Y16115" s="24"/>
      <c r="Z16115" s="24"/>
      <c r="AA16115" s="24"/>
    </row>
    <row r="16116">
      <c r="A16116" s="24"/>
      <c r="B16116" s="25"/>
      <c r="C16116" s="24"/>
      <c r="D16116" s="26"/>
      <c r="E16116" s="24"/>
      <c r="F16116" s="24"/>
      <c r="G16116" s="24"/>
      <c r="H16116" s="24"/>
      <c r="I16116" s="24"/>
      <c r="J16116" s="24"/>
      <c r="K16116" s="24"/>
      <c r="L16116" s="24"/>
      <c r="M16116" s="24"/>
      <c r="N16116" s="24"/>
      <c r="O16116" s="24"/>
      <c r="P16116" s="24"/>
      <c r="Q16116" s="24"/>
      <c r="R16116" s="24"/>
      <c r="S16116" s="24"/>
      <c r="T16116" s="24"/>
      <c r="U16116" s="24"/>
      <c r="V16116" s="24"/>
      <c r="W16116" s="24"/>
      <c r="X16116" s="24"/>
      <c r="Y16116" s="24"/>
      <c r="Z16116" s="24"/>
      <c r="AA16116" s="24"/>
    </row>
    <row r="16117">
      <c r="A16117" s="24"/>
      <c r="B16117" s="25"/>
      <c r="C16117" s="24"/>
      <c r="D16117" s="26"/>
      <c r="E16117" s="24"/>
      <c r="F16117" s="24"/>
      <c r="G16117" s="24"/>
      <c r="H16117" s="24"/>
      <c r="I16117" s="24"/>
      <c r="J16117" s="24"/>
      <c r="K16117" s="24"/>
      <c r="L16117" s="24"/>
      <c r="M16117" s="24"/>
      <c r="N16117" s="24"/>
      <c r="O16117" s="24"/>
      <c r="P16117" s="24"/>
      <c r="Q16117" s="24"/>
      <c r="R16117" s="24"/>
      <c r="S16117" s="24"/>
      <c r="T16117" s="24"/>
      <c r="U16117" s="24"/>
      <c r="V16117" s="24"/>
      <c r="W16117" s="24"/>
      <c r="X16117" s="24"/>
      <c r="Y16117" s="24"/>
      <c r="Z16117" s="24"/>
      <c r="AA16117" s="24"/>
    </row>
    <row r="16118">
      <c r="A16118" s="24"/>
      <c r="B16118" s="25"/>
      <c r="C16118" s="24"/>
      <c r="D16118" s="26"/>
      <c r="E16118" s="24"/>
      <c r="F16118" s="24"/>
      <c r="G16118" s="24"/>
      <c r="H16118" s="24"/>
      <c r="I16118" s="24"/>
      <c r="J16118" s="24"/>
      <c r="K16118" s="24"/>
      <c r="L16118" s="24"/>
      <c r="M16118" s="24"/>
      <c r="N16118" s="24"/>
      <c r="O16118" s="24"/>
      <c r="P16118" s="24"/>
      <c r="Q16118" s="24"/>
      <c r="R16118" s="24"/>
      <c r="S16118" s="24"/>
      <c r="T16118" s="24"/>
      <c r="U16118" s="24"/>
      <c r="V16118" s="24"/>
      <c r="W16118" s="24"/>
      <c r="X16118" s="24"/>
      <c r="Y16118" s="24"/>
      <c r="Z16118" s="24"/>
      <c r="AA16118" s="24"/>
    </row>
    <row r="16119">
      <c r="A16119" s="24"/>
      <c r="B16119" s="25"/>
      <c r="C16119" s="24"/>
      <c r="D16119" s="26"/>
      <c r="E16119" s="24"/>
      <c r="F16119" s="24"/>
      <c r="G16119" s="24"/>
      <c r="H16119" s="24"/>
      <c r="I16119" s="24"/>
      <c r="J16119" s="24"/>
      <c r="K16119" s="24"/>
      <c r="L16119" s="24"/>
      <c r="M16119" s="24"/>
      <c r="N16119" s="24"/>
      <c r="O16119" s="24"/>
      <c r="P16119" s="24"/>
      <c r="Q16119" s="24"/>
      <c r="R16119" s="24"/>
      <c r="S16119" s="24"/>
      <c r="T16119" s="24"/>
      <c r="U16119" s="24"/>
      <c r="V16119" s="24"/>
      <c r="W16119" s="24"/>
      <c r="X16119" s="24"/>
      <c r="Y16119" s="24"/>
      <c r="Z16119" s="24"/>
      <c r="AA16119" s="24"/>
    </row>
    <row r="16120">
      <c r="A16120" s="24"/>
      <c r="B16120" s="25"/>
      <c r="C16120" s="24"/>
      <c r="D16120" s="26"/>
      <c r="E16120" s="24"/>
      <c r="F16120" s="24"/>
      <c r="G16120" s="24"/>
      <c r="H16120" s="24"/>
      <c r="I16120" s="24"/>
      <c r="J16120" s="24"/>
      <c r="K16120" s="24"/>
      <c r="L16120" s="24"/>
      <c r="M16120" s="24"/>
      <c r="N16120" s="24"/>
      <c r="O16120" s="24"/>
      <c r="P16120" s="24"/>
      <c r="Q16120" s="24"/>
      <c r="R16120" s="24"/>
      <c r="S16120" s="24"/>
      <c r="T16120" s="24"/>
      <c r="U16120" s="24"/>
      <c r="V16120" s="24"/>
      <c r="W16120" s="24"/>
      <c r="X16120" s="24"/>
      <c r="Y16120" s="24"/>
      <c r="Z16120" s="24"/>
      <c r="AA16120" s="24"/>
    </row>
    <row r="16121">
      <c r="A16121" s="24"/>
      <c r="B16121" s="25"/>
      <c r="C16121" s="24"/>
      <c r="D16121" s="26"/>
      <c r="E16121" s="24"/>
      <c r="F16121" s="24"/>
      <c r="G16121" s="24"/>
      <c r="H16121" s="24"/>
      <c r="I16121" s="24"/>
      <c r="J16121" s="24"/>
      <c r="K16121" s="24"/>
      <c r="L16121" s="24"/>
      <c r="M16121" s="24"/>
      <c r="N16121" s="24"/>
      <c r="O16121" s="24"/>
      <c r="P16121" s="24"/>
      <c r="Q16121" s="24"/>
      <c r="R16121" s="24"/>
      <c r="S16121" s="24"/>
      <c r="T16121" s="24"/>
      <c r="U16121" s="24"/>
      <c r="V16121" s="24"/>
      <c r="W16121" s="24"/>
      <c r="X16121" s="24"/>
      <c r="Y16121" s="24"/>
      <c r="Z16121" s="24"/>
      <c r="AA16121" s="24"/>
    </row>
    <row r="16122">
      <c r="A16122" s="24"/>
      <c r="B16122" s="25"/>
      <c r="C16122" s="24"/>
      <c r="D16122" s="26"/>
      <c r="E16122" s="24"/>
      <c r="F16122" s="24"/>
      <c r="G16122" s="24"/>
      <c r="H16122" s="24"/>
      <c r="I16122" s="24"/>
      <c r="J16122" s="24"/>
      <c r="K16122" s="24"/>
      <c r="L16122" s="24"/>
      <c r="M16122" s="24"/>
      <c r="N16122" s="24"/>
      <c r="O16122" s="24"/>
      <c r="P16122" s="24"/>
      <c r="Q16122" s="24"/>
      <c r="R16122" s="24"/>
      <c r="S16122" s="24"/>
      <c r="T16122" s="24"/>
      <c r="U16122" s="24"/>
      <c r="V16122" s="24"/>
      <c r="W16122" s="24"/>
      <c r="X16122" s="24"/>
      <c r="Y16122" s="24"/>
      <c r="Z16122" s="24"/>
      <c r="AA16122" s="24"/>
    </row>
    <row r="16123">
      <c r="A16123" s="24"/>
      <c r="B16123" s="25"/>
      <c r="C16123" s="24"/>
      <c r="D16123" s="26"/>
      <c r="E16123" s="24"/>
      <c r="F16123" s="24"/>
      <c r="G16123" s="24"/>
      <c r="H16123" s="24"/>
      <c r="I16123" s="24"/>
      <c r="J16123" s="24"/>
      <c r="K16123" s="24"/>
      <c r="L16123" s="24"/>
      <c r="M16123" s="24"/>
      <c r="N16123" s="24"/>
      <c r="O16123" s="24"/>
      <c r="P16123" s="24"/>
      <c r="Q16123" s="24"/>
      <c r="R16123" s="24"/>
      <c r="S16123" s="24"/>
      <c r="T16123" s="24"/>
      <c r="U16123" s="24"/>
      <c r="V16123" s="24"/>
      <c r="W16123" s="24"/>
      <c r="X16123" s="24"/>
      <c r="Y16123" s="24"/>
      <c r="Z16123" s="24"/>
      <c r="AA16123" s="24"/>
    </row>
    <row r="16124">
      <c r="A16124" s="24"/>
      <c r="B16124" s="25"/>
      <c r="C16124" s="24"/>
      <c r="D16124" s="26"/>
      <c r="E16124" s="24"/>
      <c r="F16124" s="24"/>
      <c r="G16124" s="24"/>
      <c r="H16124" s="24"/>
      <c r="I16124" s="24"/>
      <c r="J16124" s="24"/>
      <c r="K16124" s="24"/>
      <c r="L16124" s="24"/>
      <c r="M16124" s="24"/>
      <c r="N16124" s="24"/>
      <c r="O16124" s="24"/>
      <c r="P16124" s="24"/>
      <c r="Q16124" s="24"/>
      <c r="R16124" s="24"/>
      <c r="S16124" s="24"/>
      <c r="T16124" s="24"/>
      <c r="U16124" s="24"/>
      <c r="V16124" s="24"/>
      <c r="W16124" s="24"/>
      <c r="X16124" s="24"/>
      <c r="Y16124" s="24"/>
      <c r="Z16124" s="24"/>
      <c r="AA16124" s="24"/>
    </row>
    <row r="16125">
      <c r="A16125" s="24"/>
      <c r="B16125" s="25"/>
      <c r="C16125" s="24"/>
      <c r="D16125" s="26"/>
      <c r="E16125" s="24"/>
      <c r="F16125" s="24"/>
      <c r="G16125" s="24"/>
      <c r="H16125" s="24"/>
      <c r="I16125" s="24"/>
      <c r="J16125" s="24"/>
      <c r="K16125" s="24"/>
      <c r="L16125" s="24"/>
      <c r="M16125" s="24"/>
      <c r="N16125" s="24"/>
      <c r="O16125" s="24"/>
      <c r="P16125" s="24"/>
      <c r="Q16125" s="24"/>
      <c r="R16125" s="24"/>
      <c r="S16125" s="24"/>
      <c r="T16125" s="24"/>
      <c r="U16125" s="24"/>
      <c r="V16125" s="24"/>
      <c r="W16125" s="24"/>
      <c r="X16125" s="24"/>
      <c r="Y16125" s="24"/>
      <c r="Z16125" s="24"/>
      <c r="AA16125" s="24"/>
    </row>
    <row r="16126">
      <c r="A16126" s="24"/>
      <c r="B16126" s="25"/>
      <c r="C16126" s="24"/>
      <c r="D16126" s="26"/>
      <c r="E16126" s="24"/>
      <c r="F16126" s="24"/>
      <c r="G16126" s="24"/>
      <c r="H16126" s="24"/>
      <c r="I16126" s="24"/>
      <c r="J16126" s="24"/>
      <c r="K16126" s="24"/>
      <c r="L16126" s="24"/>
      <c r="M16126" s="24"/>
      <c r="N16126" s="24"/>
      <c r="O16126" s="24"/>
      <c r="P16126" s="24"/>
      <c r="Q16126" s="24"/>
      <c r="R16126" s="24"/>
      <c r="S16126" s="24"/>
      <c r="T16126" s="24"/>
      <c r="U16126" s="24"/>
      <c r="V16126" s="24"/>
      <c r="W16126" s="24"/>
      <c r="X16126" s="24"/>
      <c r="Y16126" s="24"/>
      <c r="Z16126" s="24"/>
      <c r="AA16126" s="24"/>
    </row>
    <row r="16127">
      <c r="A16127" s="24"/>
      <c r="B16127" s="25"/>
      <c r="C16127" s="24"/>
      <c r="D16127" s="26"/>
      <c r="E16127" s="24"/>
      <c r="F16127" s="24"/>
      <c r="G16127" s="24"/>
      <c r="H16127" s="24"/>
      <c r="I16127" s="24"/>
      <c r="J16127" s="24"/>
      <c r="K16127" s="24"/>
      <c r="L16127" s="24"/>
      <c r="M16127" s="24"/>
      <c r="N16127" s="24"/>
      <c r="O16127" s="24"/>
      <c r="P16127" s="24"/>
      <c r="Q16127" s="24"/>
      <c r="R16127" s="24"/>
      <c r="S16127" s="24"/>
      <c r="T16127" s="24"/>
      <c r="U16127" s="24"/>
      <c r="V16127" s="24"/>
      <c r="W16127" s="24"/>
      <c r="X16127" s="24"/>
      <c r="Y16127" s="24"/>
      <c r="Z16127" s="24"/>
      <c r="AA16127" s="24"/>
    </row>
    <row r="16128">
      <c r="A16128" s="24"/>
      <c r="B16128" s="25"/>
      <c r="C16128" s="24"/>
      <c r="D16128" s="26"/>
      <c r="E16128" s="24"/>
      <c r="F16128" s="24"/>
      <c r="G16128" s="24"/>
      <c r="H16128" s="24"/>
      <c r="I16128" s="24"/>
      <c r="J16128" s="24"/>
      <c r="K16128" s="24"/>
      <c r="L16128" s="24"/>
      <c r="M16128" s="24"/>
      <c r="N16128" s="24"/>
      <c r="O16128" s="24"/>
      <c r="P16128" s="24"/>
      <c r="Q16128" s="24"/>
      <c r="R16128" s="24"/>
      <c r="S16128" s="24"/>
      <c r="T16128" s="24"/>
      <c r="U16128" s="24"/>
      <c r="V16128" s="24"/>
      <c r="W16128" s="24"/>
      <c r="X16128" s="24"/>
      <c r="Y16128" s="24"/>
      <c r="Z16128" s="24"/>
      <c r="AA16128" s="24"/>
    </row>
    <row r="16129">
      <c r="A16129" s="24"/>
      <c r="B16129" s="25"/>
      <c r="C16129" s="24"/>
      <c r="D16129" s="26"/>
      <c r="E16129" s="24"/>
      <c r="F16129" s="24"/>
      <c r="G16129" s="24"/>
      <c r="H16129" s="24"/>
      <c r="I16129" s="24"/>
      <c r="J16129" s="24"/>
      <c r="K16129" s="24"/>
      <c r="L16129" s="24"/>
      <c r="M16129" s="24"/>
      <c r="N16129" s="24"/>
      <c r="O16129" s="24"/>
      <c r="P16129" s="24"/>
      <c r="Q16129" s="24"/>
      <c r="R16129" s="24"/>
      <c r="S16129" s="24"/>
      <c r="T16129" s="24"/>
      <c r="U16129" s="24"/>
      <c r="V16129" s="24"/>
      <c r="W16129" s="24"/>
      <c r="X16129" s="24"/>
      <c r="Y16129" s="24"/>
      <c r="Z16129" s="24"/>
      <c r="AA16129" s="24"/>
    </row>
    <row r="16130">
      <c r="A16130" s="24"/>
      <c r="B16130" s="25"/>
      <c r="C16130" s="24"/>
      <c r="D16130" s="26"/>
      <c r="E16130" s="24"/>
      <c r="F16130" s="24"/>
      <c r="G16130" s="24"/>
      <c r="H16130" s="24"/>
      <c r="I16130" s="24"/>
      <c r="J16130" s="24"/>
      <c r="K16130" s="24"/>
      <c r="L16130" s="24"/>
      <c r="M16130" s="24"/>
      <c r="N16130" s="24"/>
      <c r="O16130" s="24"/>
      <c r="P16130" s="24"/>
      <c r="Q16130" s="24"/>
      <c r="R16130" s="24"/>
      <c r="S16130" s="24"/>
      <c r="T16130" s="24"/>
      <c r="U16130" s="24"/>
      <c r="V16130" s="24"/>
      <c r="W16130" s="24"/>
      <c r="X16130" s="24"/>
      <c r="Y16130" s="24"/>
      <c r="Z16130" s="24"/>
      <c r="AA16130" s="24"/>
    </row>
    <row r="16131">
      <c r="A16131" s="24"/>
      <c r="B16131" s="25"/>
      <c r="C16131" s="24"/>
      <c r="D16131" s="26"/>
      <c r="E16131" s="24"/>
      <c r="F16131" s="24"/>
      <c r="G16131" s="24"/>
      <c r="H16131" s="24"/>
      <c r="I16131" s="24"/>
      <c r="J16131" s="24"/>
      <c r="K16131" s="24"/>
      <c r="L16131" s="24"/>
      <c r="M16131" s="24"/>
      <c r="N16131" s="24"/>
      <c r="O16131" s="24"/>
      <c r="P16131" s="24"/>
      <c r="Q16131" s="24"/>
      <c r="R16131" s="24"/>
      <c r="S16131" s="24"/>
      <c r="T16131" s="24"/>
      <c r="U16131" s="24"/>
      <c r="V16131" s="24"/>
      <c r="W16131" s="24"/>
      <c r="X16131" s="24"/>
      <c r="Y16131" s="24"/>
      <c r="Z16131" s="24"/>
      <c r="AA16131" s="24"/>
    </row>
    <row r="16132">
      <c r="A16132" s="24"/>
      <c r="B16132" s="25"/>
      <c r="C16132" s="24"/>
      <c r="D16132" s="26"/>
      <c r="E16132" s="24"/>
      <c r="F16132" s="24"/>
      <c r="G16132" s="24"/>
      <c r="H16132" s="24"/>
      <c r="I16132" s="24"/>
      <c r="J16132" s="24"/>
      <c r="K16132" s="24"/>
      <c r="L16132" s="24"/>
      <c r="M16132" s="24"/>
      <c r="N16132" s="24"/>
      <c r="O16132" s="24"/>
      <c r="P16132" s="24"/>
      <c r="Q16132" s="24"/>
      <c r="R16132" s="24"/>
      <c r="S16132" s="24"/>
      <c r="T16132" s="24"/>
      <c r="U16132" s="24"/>
      <c r="V16132" s="24"/>
      <c r="W16132" s="24"/>
      <c r="X16132" s="24"/>
      <c r="Y16132" s="24"/>
      <c r="Z16132" s="24"/>
      <c r="AA16132" s="24"/>
    </row>
    <row r="16133">
      <c r="A16133" s="24"/>
      <c r="B16133" s="25"/>
      <c r="C16133" s="24"/>
      <c r="D16133" s="26"/>
      <c r="E16133" s="24"/>
      <c r="F16133" s="24"/>
      <c r="G16133" s="24"/>
      <c r="H16133" s="24"/>
      <c r="I16133" s="24"/>
      <c r="J16133" s="24"/>
      <c r="K16133" s="24"/>
      <c r="L16133" s="24"/>
      <c r="M16133" s="24"/>
      <c r="N16133" s="24"/>
      <c r="O16133" s="24"/>
      <c r="P16133" s="24"/>
      <c r="Q16133" s="24"/>
      <c r="R16133" s="24"/>
      <c r="S16133" s="24"/>
      <c r="T16133" s="24"/>
      <c r="U16133" s="24"/>
      <c r="V16133" s="24"/>
      <c r="W16133" s="24"/>
      <c r="X16133" s="24"/>
      <c r="Y16133" s="24"/>
      <c r="Z16133" s="24"/>
      <c r="AA16133" s="24"/>
    </row>
    <row r="16134">
      <c r="A16134" s="24"/>
      <c r="B16134" s="25"/>
      <c r="C16134" s="24"/>
      <c r="D16134" s="26"/>
      <c r="E16134" s="24"/>
      <c r="F16134" s="24"/>
      <c r="G16134" s="24"/>
      <c r="H16134" s="24"/>
      <c r="I16134" s="24"/>
      <c r="J16134" s="24"/>
      <c r="K16134" s="24"/>
      <c r="L16134" s="24"/>
      <c r="M16134" s="24"/>
      <c r="N16134" s="24"/>
      <c r="O16134" s="24"/>
      <c r="P16134" s="24"/>
      <c r="Q16134" s="24"/>
      <c r="R16134" s="24"/>
      <c r="S16134" s="24"/>
      <c r="T16134" s="24"/>
      <c r="U16134" s="24"/>
      <c r="V16134" s="24"/>
      <c r="W16134" s="24"/>
      <c r="X16134" s="24"/>
      <c r="Y16134" s="24"/>
      <c r="Z16134" s="24"/>
      <c r="AA16134" s="24"/>
    </row>
    <row r="16135">
      <c r="A16135" s="24"/>
      <c r="B16135" s="25"/>
      <c r="C16135" s="24"/>
      <c r="D16135" s="26"/>
      <c r="E16135" s="24"/>
      <c r="F16135" s="24"/>
      <c r="G16135" s="24"/>
      <c r="H16135" s="24"/>
      <c r="I16135" s="24"/>
      <c r="J16135" s="24"/>
      <c r="K16135" s="24"/>
      <c r="L16135" s="24"/>
      <c r="M16135" s="24"/>
      <c r="N16135" s="24"/>
      <c r="O16135" s="24"/>
      <c r="P16135" s="24"/>
      <c r="Q16135" s="24"/>
      <c r="R16135" s="24"/>
      <c r="S16135" s="24"/>
      <c r="T16135" s="24"/>
      <c r="U16135" s="24"/>
      <c r="V16135" s="24"/>
      <c r="W16135" s="24"/>
      <c r="X16135" s="24"/>
      <c r="Y16135" s="24"/>
      <c r="Z16135" s="24"/>
      <c r="AA16135" s="24"/>
    </row>
    <row r="16136">
      <c r="A16136" s="24"/>
      <c r="B16136" s="25"/>
      <c r="C16136" s="24"/>
      <c r="D16136" s="26"/>
      <c r="E16136" s="24"/>
      <c r="F16136" s="24"/>
      <c r="G16136" s="24"/>
      <c r="H16136" s="24"/>
      <c r="I16136" s="24"/>
      <c r="J16136" s="24"/>
      <c r="K16136" s="24"/>
      <c r="L16136" s="24"/>
      <c r="M16136" s="24"/>
      <c r="N16136" s="24"/>
      <c r="O16136" s="24"/>
      <c r="P16136" s="24"/>
      <c r="Q16136" s="24"/>
      <c r="R16136" s="24"/>
      <c r="S16136" s="24"/>
      <c r="T16136" s="24"/>
      <c r="U16136" s="24"/>
      <c r="V16136" s="24"/>
      <c r="W16136" s="24"/>
      <c r="X16136" s="24"/>
      <c r="Y16136" s="24"/>
      <c r="Z16136" s="24"/>
      <c r="AA16136" s="24"/>
    </row>
    <row r="16137">
      <c r="A16137" s="24"/>
      <c r="B16137" s="25"/>
      <c r="C16137" s="24"/>
      <c r="D16137" s="26"/>
      <c r="E16137" s="24"/>
      <c r="F16137" s="24"/>
      <c r="G16137" s="24"/>
      <c r="H16137" s="24"/>
      <c r="I16137" s="24"/>
      <c r="J16137" s="24"/>
      <c r="K16137" s="24"/>
      <c r="L16137" s="24"/>
      <c r="M16137" s="24"/>
      <c r="N16137" s="24"/>
      <c r="O16137" s="24"/>
      <c r="P16137" s="24"/>
      <c r="Q16137" s="24"/>
      <c r="R16137" s="24"/>
      <c r="S16137" s="24"/>
      <c r="T16137" s="24"/>
      <c r="U16137" s="24"/>
      <c r="V16137" s="24"/>
      <c r="W16137" s="24"/>
      <c r="X16137" s="24"/>
      <c r="Y16137" s="24"/>
      <c r="Z16137" s="24"/>
      <c r="AA16137" s="24"/>
    </row>
    <row r="16138">
      <c r="A16138" s="24"/>
      <c r="B16138" s="25"/>
      <c r="C16138" s="24"/>
      <c r="D16138" s="26"/>
      <c r="E16138" s="24"/>
      <c r="F16138" s="24"/>
      <c r="G16138" s="24"/>
      <c r="H16138" s="24"/>
      <c r="I16138" s="24"/>
      <c r="J16138" s="24"/>
      <c r="K16138" s="24"/>
      <c r="L16138" s="24"/>
      <c r="M16138" s="24"/>
      <c r="N16138" s="24"/>
      <c r="O16138" s="24"/>
      <c r="P16138" s="24"/>
      <c r="Q16138" s="24"/>
      <c r="R16138" s="24"/>
      <c r="S16138" s="24"/>
      <c r="T16138" s="24"/>
      <c r="U16138" s="24"/>
      <c r="V16138" s="24"/>
      <c r="W16138" s="24"/>
      <c r="X16138" s="24"/>
      <c r="Y16138" s="24"/>
      <c r="Z16138" s="24"/>
      <c r="AA16138" s="24"/>
    </row>
    <row r="16139">
      <c r="A16139" s="24"/>
      <c r="B16139" s="25"/>
      <c r="C16139" s="24"/>
      <c r="D16139" s="26"/>
      <c r="E16139" s="24"/>
      <c r="F16139" s="24"/>
      <c r="G16139" s="24"/>
      <c r="H16139" s="24"/>
      <c r="I16139" s="24"/>
      <c r="J16139" s="24"/>
      <c r="K16139" s="24"/>
      <c r="L16139" s="24"/>
      <c r="M16139" s="24"/>
      <c r="N16139" s="24"/>
      <c r="O16139" s="24"/>
      <c r="P16139" s="24"/>
      <c r="Q16139" s="24"/>
      <c r="R16139" s="24"/>
      <c r="S16139" s="24"/>
      <c r="T16139" s="24"/>
      <c r="U16139" s="24"/>
      <c r="V16139" s="24"/>
      <c r="W16139" s="24"/>
      <c r="X16139" s="24"/>
      <c r="Y16139" s="24"/>
      <c r="Z16139" s="24"/>
      <c r="AA16139" s="24"/>
    </row>
    <row r="16140">
      <c r="A16140" s="24"/>
      <c r="B16140" s="25"/>
      <c r="C16140" s="24"/>
      <c r="D16140" s="26"/>
      <c r="E16140" s="24"/>
      <c r="F16140" s="24"/>
      <c r="G16140" s="24"/>
      <c r="H16140" s="24"/>
      <c r="I16140" s="24"/>
      <c r="J16140" s="24"/>
      <c r="K16140" s="24"/>
      <c r="L16140" s="24"/>
      <c r="M16140" s="24"/>
      <c r="N16140" s="24"/>
      <c r="O16140" s="24"/>
      <c r="P16140" s="24"/>
      <c r="Q16140" s="24"/>
      <c r="R16140" s="24"/>
      <c r="S16140" s="24"/>
      <c r="T16140" s="24"/>
      <c r="U16140" s="24"/>
      <c r="V16140" s="24"/>
      <c r="W16140" s="24"/>
      <c r="X16140" s="24"/>
      <c r="Y16140" s="24"/>
      <c r="Z16140" s="24"/>
      <c r="AA16140" s="24"/>
    </row>
    <row r="16141">
      <c r="A16141" s="24"/>
      <c r="B16141" s="25"/>
      <c r="C16141" s="24"/>
      <c r="D16141" s="26"/>
      <c r="E16141" s="24"/>
      <c r="F16141" s="24"/>
      <c r="G16141" s="24"/>
      <c r="H16141" s="24"/>
      <c r="I16141" s="24"/>
      <c r="J16141" s="24"/>
      <c r="K16141" s="24"/>
      <c r="L16141" s="24"/>
      <c r="M16141" s="24"/>
      <c r="N16141" s="24"/>
      <c r="O16141" s="24"/>
      <c r="P16141" s="24"/>
      <c r="Q16141" s="24"/>
      <c r="R16141" s="24"/>
      <c r="S16141" s="24"/>
      <c r="T16141" s="24"/>
      <c r="U16141" s="24"/>
      <c r="V16141" s="24"/>
      <c r="W16141" s="24"/>
      <c r="X16141" s="24"/>
      <c r="Y16141" s="24"/>
      <c r="Z16141" s="24"/>
      <c r="AA16141" s="24"/>
    </row>
    <row r="16142">
      <c r="A16142" s="24"/>
      <c r="B16142" s="25"/>
      <c r="C16142" s="24"/>
      <c r="D16142" s="26"/>
      <c r="E16142" s="24"/>
      <c r="F16142" s="24"/>
      <c r="G16142" s="24"/>
      <c r="H16142" s="24"/>
      <c r="I16142" s="24"/>
      <c r="J16142" s="24"/>
      <c r="K16142" s="24"/>
      <c r="L16142" s="24"/>
      <c r="M16142" s="24"/>
      <c r="N16142" s="24"/>
      <c r="O16142" s="24"/>
      <c r="P16142" s="24"/>
      <c r="Q16142" s="24"/>
      <c r="R16142" s="24"/>
      <c r="S16142" s="24"/>
      <c r="T16142" s="24"/>
      <c r="U16142" s="24"/>
      <c r="V16142" s="24"/>
      <c r="W16142" s="24"/>
      <c r="X16142" s="24"/>
      <c r="Y16142" s="24"/>
      <c r="Z16142" s="24"/>
      <c r="AA16142" s="24"/>
    </row>
    <row r="16143">
      <c r="A16143" s="24"/>
      <c r="B16143" s="25"/>
      <c r="C16143" s="24"/>
      <c r="D16143" s="26"/>
      <c r="E16143" s="24"/>
      <c r="F16143" s="24"/>
      <c r="G16143" s="24"/>
      <c r="H16143" s="24"/>
      <c r="I16143" s="24"/>
      <c r="J16143" s="24"/>
      <c r="K16143" s="24"/>
      <c r="L16143" s="24"/>
      <c r="M16143" s="24"/>
      <c r="N16143" s="24"/>
      <c r="O16143" s="24"/>
      <c r="P16143" s="24"/>
      <c r="Q16143" s="24"/>
      <c r="R16143" s="24"/>
      <c r="S16143" s="24"/>
      <c r="T16143" s="24"/>
      <c r="U16143" s="24"/>
      <c r="V16143" s="24"/>
      <c r="W16143" s="24"/>
      <c r="X16143" s="24"/>
      <c r="Y16143" s="24"/>
      <c r="Z16143" s="24"/>
      <c r="AA16143" s="24"/>
    </row>
    <row r="16144">
      <c r="A16144" s="24"/>
      <c r="B16144" s="25"/>
      <c r="C16144" s="24"/>
      <c r="D16144" s="26"/>
      <c r="E16144" s="24"/>
      <c r="F16144" s="24"/>
      <c r="G16144" s="24"/>
      <c r="H16144" s="24"/>
      <c r="I16144" s="24"/>
      <c r="J16144" s="24"/>
      <c r="K16144" s="24"/>
      <c r="L16144" s="24"/>
      <c r="M16144" s="24"/>
      <c r="N16144" s="24"/>
      <c r="O16144" s="24"/>
      <c r="P16144" s="24"/>
      <c r="Q16144" s="24"/>
      <c r="R16144" s="24"/>
      <c r="S16144" s="24"/>
      <c r="T16144" s="24"/>
      <c r="U16144" s="24"/>
      <c r="V16144" s="24"/>
      <c r="W16144" s="24"/>
      <c r="X16144" s="24"/>
      <c r="Y16144" s="24"/>
      <c r="Z16144" s="24"/>
      <c r="AA16144" s="24"/>
    </row>
    <row r="16145">
      <c r="A16145" s="24"/>
      <c r="B16145" s="25"/>
      <c r="C16145" s="24"/>
      <c r="D16145" s="26"/>
      <c r="E16145" s="24"/>
      <c r="F16145" s="24"/>
      <c r="G16145" s="24"/>
      <c r="H16145" s="24"/>
      <c r="I16145" s="24"/>
      <c r="J16145" s="24"/>
      <c r="K16145" s="24"/>
      <c r="L16145" s="24"/>
      <c r="M16145" s="24"/>
      <c r="N16145" s="24"/>
      <c r="O16145" s="24"/>
      <c r="P16145" s="24"/>
      <c r="Q16145" s="24"/>
      <c r="R16145" s="24"/>
      <c r="S16145" s="24"/>
      <c r="T16145" s="24"/>
      <c r="U16145" s="24"/>
      <c r="V16145" s="24"/>
      <c r="W16145" s="24"/>
      <c r="X16145" s="24"/>
      <c r="Y16145" s="24"/>
      <c r="Z16145" s="24"/>
      <c r="AA16145" s="24"/>
    </row>
    <row r="16146">
      <c r="A16146" s="24"/>
      <c r="B16146" s="25"/>
      <c r="C16146" s="24"/>
      <c r="D16146" s="26"/>
      <c r="E16146" s="24"/>
      <c r="F16146" s="24"/>
      <c r="G16146" s="24"/>
      <c r="H16146" s="24"/>
      <c r="I16146" s="24"/>
      <c r="J16146" s="24"/>
      <c r="K16146" s="24"/>
      <c r="L16146" s="24"/>
      <c r="M16146" s="24"/>
      <c r="N16146" s="24"/>
      <c r="O16146" s="24"/>
      <c r="P16146" s="24"/>
      <c r="Q16146" s="24"/>
      <c r="R16146" s="24"/>
      <c r="S16146" s="24"/>
      <c r="T16146" s="24"/>
      <c r="U16146" s="24"/>
      <c r="V16146" s="24"/>
      <c r="W16146" s="24"/>
      <c r="X16146" s="24"/>
      <c r="Y16146" s="24"/>
      <c r="Z16146" s="24"/>
      <c r="AA16146" s="24"/>
    </row>
    <row r="16147">
      <c r="A16147" s="24"/>
      <c r="B16147" s="25"/>
      <c r="C16147" s="24"/>
      <c r="D16147" s="26"/>
      <c r="E16147" s="24"/>
      <c r="F16147" s="24"/>
      <c r="G16147" s="24"/>
      <c r="H16147" s="24"/>
      <c r="I16147" s="24"/>
      <c r="J16147" s="24"/>
      <c r="K16147" s="24"/>
      <c r="L16147" s="24"/>
      <c r="M16147" s="24"/>
      <c r="N16147" s="24"/>
      <c r="O16147" s="24"/>
      <c r="P16147" s="24"/>
      <c r="Q16147" s="24"/>
      <c r="R16147" s="24"/>
      <c r="S16147" s="24"/>
      <c r="T16147" s="24"/>
      <c r="U16147" s="24"/>
      <c r="V16147" s="24"/>
      <c r="W16147" s="24"/>
      <c r="X16147" s="24"/>
      <c r="Y16147" s="24"/>
      <c r="Z16147" s="24"/>
      <c r="AA16147" s="24"/>
    </row>
    <row r="16148">
      <c r="A16148" s="24"/>
      <c r="B16148" s="25"/>
      <c r="C16148" s="24"/>
      <c r="D16148" s="26"/>
      <c r="E16148" s="24"/>
      <c r="F16148" s="24"/>
      <c r="G16148" s="24"/>
      <c r="H16148" s="24"/>
      <c r="I16148" s="24"/>
      <c r="J16148" s="24"/>
      <c r="K16148" s="24"/>
      <c r="L16148" s="24"/>
      <c r="M16148" s="24"/>
      <c r="N16148" s="24"/>
      <c r="O16148" s="24"/>
      <c r="P16148" s="24"/>
      <c r="Q16148" s="24"/>
      <c r="R16148" s="24"/>
      <c r="S16148" s="24"/>
      <c r="T16148" s="24"/>
      <c r="U16148" s="24"/>
      <c r="V16148" s="24"/>
      <c r="W16148" s="24"/>
      <c r="X16148" s="24"/>
      <c r="Y16148" s="24"/>
      <c r="Z16148" s="24"/>
      <c r="AA16148" s="24"/>
    </row>
    <row r="16149">
      <c r="A16149" s="24"/>
      <c r="B16149" s="25"/>
      <c r="C16149" s="24"/>
      <c r="D16149" s="26"/>
      <c r="E16149" s="24"/>
      <c r="F16149" s="24"/>
      <c r="G16149" s="24"/>
      <c r="H16149" s="24"/>
      <c r="I16149" s="24"/>
      <c r="J16149" s="24"/>
      <c r="K16149" s="24"/>
      <c r="L16149" s="24"/>
      <c r="M16149" s="24"/>
      <c r="N16149" s="24"/>
      <c r="O16149" s="24"/>
      <c r="P16149" s="24"/>
      <c r="Q16149" s="24"/>
      <c r="R16149" s="24"/>
      <c r="S16149" s="24"/>
      <c r="T16149" s="24"/>
      <c r="U16149" s="24"/>
      <c r="V16149" s="24"/>
      <c r="W16149" s="24"/>
      <c r="X16149" s="24"/>
      <c r="Y16149" s="24"/>
      <c r="Z16149" s="24"/>
      <c r="AA16149" s="24"/>
    </row>
    <row r="16150">
      <c r="A16150" s="24"/>
      <c r="B16150" s="25"/>
      <c r="C16150" s="24"/>
      <c r="D16150" s="26"/>
      <c r="E16150" s="24"/>
      <c r="F16150" s="24"/>
      <c r="G16150" s="24"/>
      <c r="H16150" s="24"/>
      <c r="I16150" s="24"/>
      <c r="J16150" s="24"/>
      <c r="K16150" s="24"/>
      <c r="L16150" s="24"/>
      <c r="M16150" s="24"/>
      <c r="N16150" s="24"/>
      <c r="O16150" s="24"/>
      <c r="P16150" s="24"/>
      <c r="Q16150" s="24"/>
      <c r="R16150" s="24"/>
      <c r="S16150" s="24"/>
      <c r="T16150" s="24"/>
      <c r="U16150" s="24"/>
      <c r="V16150" s="24"/>
      <c r="W16150" s="24"/>
      <c r="X16150" s="24"/>
      <c r="Y16150" s="24"/>
      <c r="Z16150" s="24"/>
      <c r="AA16150" s="24"/>
    </row>
    <row r="16151">
      <c r="A16151" s="24"/>
      <c r="B16151" s="25"/>
      <c r="C16151" s="24"/>
      <c r="D16151" s="26"/>
      <c r="E16151" s="24"/>
      <c r="F16151" s="24"/>
      <c r="G16151" s="24"/>
      <c r="H16151" s="24"/>
      <c r="I16151" s="24"/>
      <c r="J16151" s="24"/>
      <c r="K16151" s="24"/>
      <c r="L16151" s="24"/>
      <c r="M16151" s="24"/>
      <c r="N16151" s="24"/>
      <c r="O16151" s="24"/>
      <c r="P16151" s="24"/>
      <c r="Q16151" s="24"/>
      <c r="R16151" s="24"/>
      <c r="S16151" s="24"/>
      <c r="T16151" s="24"/>
      <c r="U16151" s="24"/>
      <c r="V16151" s="24"/>
      <c r="W16151" s="24"/>
      <c r="X16151" s="24"/>
      <c r="Y16151" s="24"/>
      <c r="Z16151" s="24"/>
      <c r="AA16151" s="24"/>
    </row>
    <row r="16152">
      <c r="A16152" s="24"/>
      <c r="B16152" s="25"/>
      <c r="C16152" s="24"/>
      <c r="D16152" s="26"/>
      <c r="E16152" s="24"/>
      <c r="F16152" s="24"/>
      <c r="G16152" s="24"/>
      <c r="H16152" s="24"/>
      <c r="I16152" s="24"/>
      <c r="J16152" s="24"/>
      <c r="K16152" s="24"/>
      <c r="L16152" s="24"/>
      <c r="M16152" s="24"/>
      <c r="N16152" s="24"/>
      <c r="O16152" s="24"/>
      <c r="P16152" s="24"/>
      <c r="Q16152" s="24"/>
      <c r="R16152" s="24"/>
      <c r="S16152" s="24"/>
      <c r="T16152" s="24"/>
      <c r="U16152" s="24"/>
      <c r="V16152" s="24"/>
      <c r="W16152" s="24"/>
      <c r="X16152" s="24"/>
      <c r="Y16152" s="24"/>
      <c r="Z16152" s="24"/>
      <c r="AA16152" s="24"/>
    </row>
    <row r="16153">
      <c r="A16153" s="24"/>
      <c r="B16153" s="25"/>
      <c r="C16153" s="24"/>
      <c r="D16153" s="26"/>
      <c r="E16153" s="24"/>
      <c r="F16153" s="24"/>
      <c r="G16153" s="24"/>
      <c r="H16153" s="24"/>
      <c r="I16153" s="24"/>
      <c r="J16153" s="24"/>
      <c r="K16153" s="24"/>
      <c r="L16153" s="24"/>
      <c r="M16153" s="24"/>
      <c r="N16153" s="24"/>
      <c r="O16153" s="24"/>
      <c r="P16153" s="24"/>
      <c r="Q16153" s="24"/>
      <c r="R16153" s="24"/>
      <c r="S16153" s="24"/>
      <c r="T16153" s="24"/>
      <c r="U16153" s="24"/>
      <c r="V16153" s="24"/>
      <c r="W16153" s="24"/>
      <c r="X16153" s="24"/>
      <c r="Y16153" s="24"/>
      <c r="Z16153" s="24"/>
      <c r="AA16153" s="24"/>
    </row>
    <row r="16154">
      <c r="A16154" s="24"/>
      <c r="B16154" s="25"/>
      <c r="C16154" s="24"/>
      <c r="D16154" s="26"/>
      <c r="E16154" s="24"/>
      <c r="F16154" s="24"/>
      <c r="G16154" s="24"/>
      <c r="H16154" s="24"/>
      <c r="I16154" s="24"/>
      <c r="J16154" s="24"/>
      <c r="K16154" s="24"/>
      <c r="L16154" s="24"/>
      <c r="M16154" s="24"/>
      <c r="N16154" s="24"/>
      <c r="O16154" s="24"/>
      <c r="P16154" s="24"/>
      <c r="Q16154" s="24"/>
      <c r="R16154" s="24"/>
      <c r="S16154" s="24"/>
      <c r="T16154" s="24"/>
      <c r="U16154" s="24"/>
      <c r="V16154" s="24"/>
      <c r="W16154" s="24"/>
      <c r="X16154" s="24"/>
      <c r="Y16154" s="24"/>
      <c r="Z16154" s="24"/>
      <c r="AA16154" s="24"/>
    </row>
    <row r="16155">
      <c r="A16155" s="24"/>
      <c r="B16155" s="25"/>
      <c r="C16155" s="24"/>
      <c r="D16155" s="26"/>
      <c r="E16155" s="24"/>
      <c r="F16155" s="24"/>
      <c r="G16155" s="24"/>
      <c r="H16155" s="24"/>
      <c r="I16155" s="24"/>
      <c r="J16155" s="24"/>
      <c r="K16155" s="24"/>
      <c r="L16155" s="24"/>
      <c r="M16155" s="24"/>
      <c r="N16155" s="24"/>
      <c r="O16155" s="24"/>
      <c r="P16155" s="24"/>
      <c r="Q16155" s="24"/>
      <c r="R16155" s="24"/>
      <c r="S16155" s="24"/>
      <c r="T16155" s="24"/>
      <c r="U16155" s="24"/>
      <c r="V16155" s="24"/>
      <c r="W16155" s="24"/>
      <c r="X16155" s="24"/>
      <c r="Y16155" s="24"/>
      <c r="Z16155" s="24"/>
      <c r="AA16155" s="24"/>
    </row>
    <row r="16156">
      <c r="A16156" s="24"/>
      <c r="B16156" s="25"/>
      <c r="C16156" s="24"/>
      <c r="D16156" s="26"/>
      <c r="E16156" s="24"/>
      <c r="F16156" s="24"/>
      <c r="G16156" s="24"/>
      <c r="H16156" s="24"/>
      <c r="I16156" s="24"/>
      <c r="J16156" s="24"/>
      <c r="K16156" s="24"/>
      <c r="L16156" s="24"/>
      <c r="M16156" s="24"/>
      <c r="N16156" s="24"/>
      <c r="O16156" s="24"/>
      <c r="P16156" s="24"/>
      <c r="Q16156" s="24"/>
      <c r="R16156" s="24"/>
      <c r="S16156" s="24"/>
      <c r="T16156" s="24"/>
      <c r="U16156" s="24"/>
      <c r="V16156" s="24"/>
      <c r="W16156" s="24"/>
      <c r="X16156" s="24"/>
      <c r="Y16156" s="24"/>
      <c r="Z16156" s="24"/>
      <c r="AA16156" s="24"/>
    </row>
    <row r="16157">
      <c r="A16157" s="24"/>
      <c r="B16157" s="25"/>
      <c r="C16157" s="24"/>
      <c r="D16157" s="26"/>
      <c r="E16157" s="24"/>
      <c r="F16157" s="24"/>
      <c r="G16157" s="24"/>
      <c r="H16157" s="24"/>
      <c r="I16157" s="24"/>
      <c r="J16157" s="24"/>
      <c r="K16157" s="24"/>
      <c r="L16157" s="24"/>
      <c r="M16157" s="24"/>
      <c r="N16157" s="24"/>
      <c r="O16157" s="24"/>
      <c r="P16157" s="24"/>
      <c r="Q16157" s="24"/>
      <c r="R16157" s="24"/>
      <c r="S16157" s="24"/>
      <c r="T16157" s="24"/>
      <c r="U16157" s="24"/>
      <c r="V16157" s="24"/>
      <c r="W16157" s="24"/>
      <c r="X16157" s="24"/>
      <c r="Y16157" s="24"/>
      <c r="Z16157" s="24"/>
      <c r="AA16157" s="24"/>
    </row>
    <row r="16158">
      <c r="A16158" s="24"/>
      <c r="B16158" s="25"/>
      <c r="C16158" s="24"/>
      <c r="D16158" s="26"/>
      <c r="E16158" s="24"/>
      <c r="F16158" s="24"/>
      <c r="G16158" s="24"/>
      <c r="H16158" s="24"/>
      <c r="I16158" s="24"/>
      <c r="J16158" s="24"/>
      <c r="K16158" s="24"/>
      <c r="L16158" s="24"/>
      <c r="M16158" s="24"/>
      <c r="N16158" s="24"/>
      <c r="O16158" s="24"/>
      <c r="P16158" s="24"/>
      <c r="Q16158" s="24"/>
      <c r="R16158" s="24"/>
      <c r="S16158" s="24"/>
      <c r="T16158" s="24"/>
      <c r="U16158" s="24"/>
      <c r="V16158" s="24"/>
      <c r="W16158" s="24"/>
      <c r="X16158" s="24"/>
      <c r="Y16158" s="24"/>
      <c r="Z16158" s="24"/>
      <c r="AA16158" s="24"/>
    </row>
    <row r="16159">
      <c r="A16159" s="24"/>
      <c r="B16159" s="25"/>
      <c r="C16159" s="24"/>
      <c r="D16159" s="26"/>
      <c r="E16159" s="24"/>
      <c r="F16159" s="24"/>
      <c r="G16159" s="24"/>
      <c r="H16159" s="24"/>
      <c r="I16159" s="24"/>
      <c r="J16159" s="24"/>
      <c r="K16159" s="24"/>
      <c r="L16159" s="24"/>
      <c r="M16159" s="24"/>
      <c r="N16159" s="24"/>
      <c r="O16159" s="24"/>
      <c r="P16159" s="24"/>
      <c r="Q16159" s="24"/>
      <c r="R16159" s="24"/>
      <c r="S16159" s="24"/>
      <c r="T16159" s="24"/>
      <c r="U16159" s="24"/>
      <c r="V16159" s="24"/>
      <c r="W16159" s="24"/>
      <c r="X16159" s="24"/>
      <c r="Y16159" s="24"/>
      <c r="Z16159" s="24"/>
      <c r="AA16159" s="24"/>
    </row>
    <row r="16160">
      <c r="A16160" s="24"/>
      <c r="B16160" s="25"/>
      <c r="C16160" s="24"/>
      <c r="D16160" s="26"/>
      <c r="E16160" s="24"/>
      <c r="F16160" s="24"/>
      <c r="G16160" s="24"/>
      <c r="H16160" s="24"/>
      <c r="I16160" s="24"/>
      <c r="J16160" s="24"/>
      <c r="K16160" s="24"/>
      <c r="L16160" s="24"/>
      <c r="M16160" s="24"/>
      <c r="N16160" s="24"/>
      <c r="O16160" s="24"/>
      <c r="P16160" s="24"/>
      <c r="Q16160" s="24"/>
      <c r="R16160" s="24"/>
      <c r="S16160" s="24"/>
      <c r="T16160" s="24"/>
      <c r="U16160" s="24"/>
      <c r="V16160" s="24"/>
      <c r="W16160" s="24"/>
      <c r="X16160" s="24"/>
      <c r="Y16160" s="24"/>
      <c r="Z16160" s="24"/>
      <c r="AA16160" s="24"/>
    </row>
    <row r="16161">
      <c r="A16161" s="24"/>
      <c r="B16161" s="25"/>
      <c r="C16161" s="24"/>
      <c r="D16161" s="26"/>
      <c r="E16161" s="24"/>
      <c r="F16161" s="24"/>
      <c r="G16161" s="24"/>
      <c r="H16161" s="24"/>
      <c r="I16161" s="24"/>
      <c r="J16161" s="24"/>
      <c r="K16161" s="24"/>
      <c r="L16161" s="24"/>
      <c r="M16161" s="24"/>
      <c r="N16161" s="24"/>
      <c r="O16161" s="24"/>
      <c r="P16161" s="24"/>
      <c r="Q16161" s="24"/>
      <c r="R16161" s="24"/>
      <c r="S16161" s="24"/>
      <c r="T16161" s="24"/>
      <c r="U16161" s="24"/>
      <c r="V16161" s="24"/>
      <c r="W16161" s="24"/>
      <c r="X16161" s="24"/>
      <c r="Y16161" s="24"/>
      <c r="Z16161" s="24"/>
      <c r="AA16161" s="24"/>
    </row>
    <row r="16162">
      <c r="A16162" s="24"/>
      <c r="B16162" s="25"/>
      <c r="C16162" s="24"/>
      <c r="D16162" s="26"/>
      <c r="E16162" s="24"/>
      <c r="F16162" s="24"/>
      <c r="G16162" s="24"/>
      <c r="H16162" s="24"/>
      <c r="I16162" s="24"/>
      <c r="J16162" s="24"/>
      <c r="K16162" s="24"/>
      <c r="L16162" s="24"/>
      <c r="M16162" s="24"/>
      <c r="N16162" s="24"/>
      <c r="O16162" s="24"/>
      <c r="P16162" s="24"/>
      <c r="Q16162" s="24"/>
      <c r="R16162" s="24"/>
      <c r="S16162" s="24"/>
      <c r="T16162" s="24"/>
      <c r="U16162" s="24"/>
      <c r="V16162" s="24"/>
      <c r="W16162" s="24"/>
      <c r="X16162" s="24"/>
      <c r="Y16162" s="24"/>
      <c r="Z16162" s="24"/>
      <c r="AA16162" s="24"/>
    </row>
    <row r="16163">
      <c r="A16163" s="24"/>
      <c r="B16163" s="25"/>
      <c r="C16163" s="24"/>
      <c r="D16163" s="26"/>
      <c r="E16163" s="24"/>
      <c r="F16163" s="24"/>
      <c r="G16163" s="24"/>
      <c r="H16163" s="24"/>
      <c r="I16163" s="24"/>
      <c r="J16163" s="24"/>
      <c r="K16163" s="24"/>
      <c r="L16163" s="24"/>
      <c r="M16163" s="24"/>
      <c r="N16163" s="24"/>
      <c r="O16163" s="24"/>
      <c r="P16163" s="24"/>
      <c r="Q16163" s="24"/>
      <c r="R16163" s="24"/>
      <c r="S16163" s="24"/>
      <c r="T16163" s="24"/>
      <c r="U16163" s="24"/>
      <c r="V16163" s="24"/>
      <c r="W16163" s="24"/>
      <c r="X16163" s="24"/>
      <c r="Y16163" s="24"/>
      <c r="Z16163" s="24"/>
      <c r="AA16163" s="24"/>
    </row>
    <row r="16164">
      <c r="A16164" s="24"/>
      <c r="B16164" s="25"/>
      <c r="C16164" s="24"/>
      <c r="D16164" s="26"/>
      <c r="E16164" s="24"/>
      <c r="F16164" s="24"/>
      <c r="G16164" s="24"/>
      <c r="H16164" s="24"/>
      <c r="I16164" s="24"/>
      <c r="J16164" s="24"/>
      <c r="K16164" s="24"/>
      <c r="L16164" s="24"/>
      <c r="M16164" s="24"/>
      <c r="N16164" s="24"/>
      <c r="O16164" s="24"/>
      <c r="P16164" s="24"/>
      <c r="Q16164" s="24"/>
      <c r="R16164" s="24"/>
      <c r="S16164" s="24"/>
      <c r="T16164" s="24"/>
      <c r="U16164" s="24"/>
      <c r="V16164" s="24"/>
      <c r="W16164" s="24"/>
      <c r="X16164" s="24"/>
      <c r="Y16164" s="24"/>
      <c r="Z16164" s="24"/>
      <c r="AA16164" s="24"/>
    </row>
    <row r="16165">
      <c r="A16165" s="24"/>
      <c r="B16165" s="25"/>
      <c r="C16165" s="24"/>
      <c r="D16165" s="26"/>
      <c r="E16165" s="24"/>
      <c r="F16165" s="24"/>
      <c r="G16165" s="24"/>
      <c r="H16165" s="24"/>
      <c r="I16165" s="24"/>
      <c r="J16165" s="24"/>
      <c r="K16165" s="24"/>
      <c r="L16165" s="24"/>
      <c r="M16165" s="24"/>
      <c r="N16165" s="24"/>
      <c r="O16165" s="24"/>
      <c r="P16165" s="24"/>
      <c r="Q16165" s="24"/>
      <c r="R16165" s="24"/>
      <c r="S16165" s="24"/>
      <c r="T16165" s="24"/>
      <c r="U16165" s="24"/>
      <c r="V16165" s="24"/>
      <c r="W16165" s="24"/>
      <c r="X16165" s="24"/>
      <c r="Y16165" s="24"/>
      <c r="Z16165" s="24"/>
      <c r="AA16165" s="24"/>
    </row>
    <row r="16166">
      <c r="A16166" s="24"/>
      <c r="B16166" s="25"/>
      <c r="C16166" s="24"/>
      <c r="D16166" s="26"/>
      <c r="E16166" s="24"/>
      <c r="F16166" s="24"/>
      <c r="G16166" s="24"/>
      <c r="H16166" s="24"/>
      <c r="I16166" s="24"/>
      <c r="J16166" s="24"/>
      <c r="K16166" s="24"/>
      <c r="L16166" s="24"/>
      <c r="M16166" s="24"/>
      <c r="N16166" s="24"/>
      <c r="O16166" s="24"/>
      <c r="P16166" s="24"/>
      <c r="Q16166" s="24"/>
      <c r="R16166" s="24"/>
      <c r="S16166" s="24"/>
      <c r="T16166" s="24"/>
      <c r="U16166" s="24"/>
      <c r="V16166" s="24"/>
      <c r="W16166" s="24"/>
      <c r="X16166" s="24"/>
      <c r="Y16166" s="24"/>
      <c r="Z16166" s="24"/>
      <c r="AA16166" s="24"/>
    </row>
    <row r="16167">
      <c r="A16167" s="24"/>
      <c r="B16167" s="25"/>
      <c r="C16167" s="24"/>
      <c r="D16167" s="26"/>
      <c r="E16167" s="24"/>
      <c r="F16167" s="24"/>
      <c r="G16167" s="24"/>
      <c r="H16167" s="24"/>
      <c r="I16167" s="24"/>
      <c r="J16167" s="24"/>
      <c r="K16167" s="24"/>
      <c r="L16167" s="24"/>
      <c r="M16167" s="24"/>
      <c r="N16167" s="24"/>
      <c r="O16167" s="24"/>
      <c r="P16167" s="24"/>
      <c r="Q16167" s="24"/>
      <c r="R16167" s="24"/>
      <c r="S16167" s="24"/>
      <c r="T16167" s="24"/>
      <c r="U16167" s="24"/>
      <c r="V16167" s="24"/>
      <c r="W16167" s="24"/>
      <c r="X16167" s="24"/>
      <c r="Y16167" s="24"/>
      <c r="Z16167" s="24"/>
      <c r="AA16167" s="24"/>
    </row>
    <row r="16168">
      <c r="A16168" s="24"/>
      <c r="B16168" s="25"/>
      <c r="C16168" s="24"/>
      <c r="D16168" s="26"/>
      <c r="E16168" s="24"/>
      <c r="F16168" s="24"/>
      <c r="G16168" s="24"/>
      <c r="H16168" s="24"/>
      <c r="I16168" s="24"/>
      <c r="J16168" s="24"/>
      <c r="K16168" s="24"/>
      <c r="L16168" s="24"/>
      <c r="M16168" s="24"/>
      <c r="N16168" s="24"/>
      <c r="O16168" s="24"/>
      <c r="P16168" s="24"/>
      <c r="Q16168" s="24"/>
      <c r="R16168" s="24"/>
      <c r="S16168" s="24"/>
      <c r="T16168" s="24"/>
      <c r="U16168" s="24"/>
      <c r="V16168" s="24"/>
      <c r="W16168" s="24"/>
      <c r="X16168" s="24"/>
      <c r="Y16168" s="24"/>
      <c r="Z16168" s="24"/>
      <c r="AA16168" s="24"/>
    </row>
    <row r="16169">
      <c r="A16169" s="24"/>
      <c r="B16169" s="25"/>
      <c r="C16169" s="24"/>
      <c r="D16169" s="26"/>
      <c r="E16169" s="24"/>
      <c r="F16169" s="24"/>
      <c r="G16169" s="24"/>
      <c r="H16169" s="24"/>
      <c r="I16169" s="24"/>
      <c r="J16169" s="24"/>
      <c r="K16169" s="24"/>
      <c r="L16169" s="24"/>
      <c r="M16169" s="24"/>
      <c r="N16169" s="24"/>
      <c r="O16169" s="24"/>
      <c r="P16169" s="24"/>
      <c r="Q16169" s="24"/>
      <c r="R16169" s="24"/>
      <c r="S16169" s="24"/>
      <c r="T16169" s="24"/>
      <c r="U16169" s="24"/>
      <c r="V16169" s="24"/>
      <c r="W16169" s="24"/>
      <c r="X16169" s="24"/>
      <c r="Y16169" s="24"/>
      <c r="Z16169" s="24"/>
      <c r="AA16169" s="24"/>
    </row>
    <row r="16170">
      <c r="A16170" s="24"/>
      <c r="B16170" s="25"/>
      <c r="C16170" s="24"/>
      <c r="D16170" s="26"/>
      <c r="E16170" s="24"/>
      <c r="F16170" s="24"/>
      <c r="G16170" s="24"/>
      <c r="H16170" s="24"/>
      <c r="I16170" s="24"/>
      <c r="J16170" s="24"/>
      <c r="K16170" s="24"/>
      <c r="L16170" s="24"/>
      <c r="M16170" s="24"/>
      <c r="N16170" s="24"/>
      <c r="O16170" s="24"/>
      <c r="P16170" s="24"/>
      <c r="Q16170" s="24"/>
      <c r="R16170" s="24"/>
      <c r="S16170" s="24"/>
      <c r="T16170" s="24"/>
      <c r="U16170" s="24"/>
      <c r="V16170" s="24"/>
      <c r="W16170" s="24"/>
      <c r="X16170" s="24"/>
      <c r="Y16170" s="24"/>
      <c r="Z16170" s="24"/>
      <c r="AA16170" s="24"/>
    </row>
    <row r="16171">
      <c r="A16171" s="24"/>
      <c r="B16171" s="25"/>
      <c r="C16171" s="24"/>
      <c r="D16171" s="26"/>
      <c r="E16171" s="24"/>
      <c r="F16171" s="24"/>
      <c r="G16171" s="24"/>
      <c r="H16171" s="24"/>
      <c r="I16171" s="24"/>
      <c r="J16171" s="24"/>
      <c r="K16171" s="24"/>
      <c r="L16171" s="24"/>
      <c r="M16171" s="24"/>
      <c r="N16171" s="24"/>
      <c r="O16171" s="24"/>
      <c r="P16171" s="24"/>
      <c r="Q16171" s="24"/>
      <c r="R16171" s="24"/>
      <c r="S16171" s="24"/>
      <c r="T16171" s="24"/>
      <c r="U16171" s="24"/>
      <c r="V16171" s="24"/>
      <c r="W16171" s="24"/>
      <c r="X16171" s="24"/>
      <c r="Y16171" s="24"/>
      <c r="Z16171" s="24"/>
      <c r="AA16171" s="24"/>
    </row>
    <row r="16172">
      <c r="A16172" s="24"/>
      <c r="B16172" s="25"/>
      <c r="C16172" s="24"/>
      <c r="D16172" s="26"/>
      <c r="E16172" s="24"/>
      <c r="F16172" s="24"/>
      <c r="G16172" s="24"/>
      <c r="H16172" s="24"/>
      <c r="I16172" s="24"/>
      <c r="J16172" s="24"/>
      <c r="K16172" s="24"/>
      <c r="L16172" s="24"/>
      <c r="M16172" s="24"/>
      <c r="N16172" s="24"/>
      <c r="O16172" s="24"/>
      <c r="P16172" s="24"/>
      <c r="Q16172" s="24"/>
      <c r="R16172" s="24"/>
      <c r="S16172" s="24"/>
      <c r="T16172" s="24"/>
      <c r="U16172" s="24"/>
      <c r="V16172" s="24"/>
      <c r="W16172" s="24"/>
      <c r="X16172" s="24"/>
      <c r="Y16172" s="24"/>
      <c r="Z16172" s="24"/>
      <c r="AA16172" s="24"/>
    </row>
    <row r="16173">
      <c r="A16173" s="24"/>
      <c r="B16173" s="25"/>
      <c r="C16173" s="24"/>
      <c r="D16173" s="26"/>
      <c r="E16173" s="24"/>
      <c r="F16173" s="24"/>
      <c r="G16173" s="24"/>
      <c r="H16173" s="24"/>
      <c r="I16173" s="24"/>
      <c r="J16173" s="24"/>
      <c r="K16173" s="24"/>
      <c r="L16173" s="24"/>
      <c r="M16173" s="24"/>
      <c r="N16173" s="24"/>
      <c r="O16173" s="24"/>
      <c r="P16173" s="24"/>
      <c r="Q16173" s="24"/>
      <c r="R16173" s="24"/>
      <c r="S16173" s="24"/>
      <c r="T16173" s="24"/>
      <c r="U16173" s="24"/>
      <c r="V16173" s="24"/>
      <c r="W16173" s="24"/>
      <c r="X16173" s="24"/>
      <c r="Y16173" s="24"/>
      <c r="Z16173" s="24"/>
      <c r="AA16173" s="24"/>
    </row>
    <row r="16174">
      <c r="A16174" s="24"/>
      <c r="B16174" s="25"/>
      <c r="C16174" s="24"/>
      <c r="D16174" s="26"/>
      <c r="E16174" s="24"/>
      <c r="F16174" s="24"/>
      <c r="G16174" s="24"/>
      <c r="H16174" s="24"/>
      <c r="I16174" s="24"/>
      <c r="J16174" s="24"/>
      <c r="K16174" s="24"/>
      <c r="L16174" s="24"/>
      <c r="M16174" s="24"/>
      <c r="N16174" s="24"/>
      <c r="O16174" s="24"/>
      <c r="P16174" s="24"/>
      <c r="Q16174" s="24"/>
      <c r="R16174" s="24"/>
      <c r="S16174" s="24"/>
      <c r="T16174" s="24"/>
      <c r="U16174" s="24"/>
      <c r="V16174" s="24"/>
      <c r="W16174" s="24"/>
      <c r="X16174" s="24"/>
      <c r="Y16174" s="24"/>
      <c r="Z16174" s="24"/>
      <c r="AA16174" s="24"/>
    </row>
    <row r="16175">
      <c r="A16175" s="24"/>
      <c r="B16175" s="25"/>
      <c r="C16175" s="24"/>
      <c r="D16175" s="26"/>
      <c r="E16175" s="24"/>
      <c r="F16175" s="24"/>
      <c r="G16175" s="24"/>
      <c r="H16175" s="24"/>
      <c r="I16175" s="24"/>
      <c r="J16175" s="24"/>
      <c r="K16175" s="24"/>
      <c r="L16175" s="24"/>
      <c r="M16175" s="24"/>
      <c r="N16175" s="24"/>
      <c r="O16175" s="24"/>
      <c r="P16175" s="24"/>
      <c r="Q16175" s="24"/>
      <c r="R16175" s="24"/>
      <c r="S16175" s="24"/>
      <c r="T16175" s="24"/>
      <c r="U16175" s="24"/>
      <c r="V16175" s="24"/>
      <c r="W16175" s="24"/>
      <c r="X16175" s="24"/>
      <c r="Y16175" s="24"/>
      <c r="Z16175" s="24"/>
      <c r="AA16175" s="24"/>
    </row>
    <row r="16176">
      <c r="A16176" s="24"/>
      <c r="B16176" s="25"/>
      <c r="C16176" s="24"/>
      <c r="D16176" s="26"/>
      <c r="E16176" s="24"/>
      <c r="F16176" s="24"/>
      <c r="G16176" s="24"/>
      <c r="H16176" s="24"/>
      <c r="I16176" s="24"/>
      <c r="J16176" s="24"/>
      <c r="K16176" s="24"/>
      <c r="L16176" s="24"/>
      <c r="M16176" s="24"/>
      <c r="N16176" s="24"/>
      <c r="O16176" s="24"/>
      <c r="P16176" s="24"/>
      <c r="Q16176" s="24"/>
      <c r="R16176" s="24"/>
      <c r="S16176" s="24"/>
      <c r="T16176" s="24"/>
      <c r="U16176" s="24"/>
      <c r="V16176" s="24"/>
      <c r="W16176" s="24"/>
      <c r="X16176" s="24"/>
      <c r="Y16176" s="24"/>
      <c r="Z16176" s="24"/>
      <c r="AA16176" s="24"/>
    </row>
    <row r="16177">
      <c r="A16177" s="24"/>
      <c r="B16177" s="25"/>
      <c r="C16177" s="24"/>
      <c r="D16177" s="26"/>
      <c r="E16177" s="24"/>
      <c r="F16177" s="24"/>
      <c r="G16177" s="24"/>
      <c r="H16177" s="24"/>
      <c r="I16177" s="24"/>
      <c r="J16177" s="24"/>
      <c r="K16177" s="24"/>
      <c r="L16177" s="24"/>
      <c r="M16177" s="24"/>
      <c r="N16177" s="24"/>
      <c r="O16177" s="24"/>
      <c r="P16177" s="24"/>
      <c r="Q16177" s="24"/>
      <c r="R16177" s="24"/>
      <c r="S16177" s="24"/>
      <c r="T16177" s="24"/>
      <c r="U16177" s="24"/>
      <c r="V16177" s="24"/>
      <c r="W16177" s="24"/>
      <c r="X16177" s="24"/>
      <c r="Y16177" s="24"/>
      <c r="Z16177" s="24"/>
      <c r="AA16177" s="24"/>
    </row>
    <row r="16178">
      <c r="A16178" s="24"/>
      <c r="B16178" s="25"/>
      <c r="C16178" s="24"/>
      <c r="D16178" s="26"/>
      <c r="E16178" s="24"/>
      <c r="F16178" s="24"/>
      <c r="G16178" s="24"/>
      <c r="H16178" s="24"/>
      <c r="I16178" s="24"/>
      <c r="J16178" s="24"/>
      <c r="K16178" s="24"/>
      <c r="L16178" s="24"/>
      <c r="M16178" s="24"/>
      <c r="N16178" s="24"/>
      <c r="O16178" s="24"/>
      <c r="P16178" s="24"/>
      <c r="Q16178" s="24"/>
      <c r="R16178" s="24"/>
      <c r="S16178" s="24"/>
      <c r="T16178" s="24"/>
      <c r="U16178" s="24"/>
      <c r="V16178" s="24"/>
      <c r="W16178" s="24"/>
      <c r="X16178" s="24"/>
      <c r="Y16178" s="24"/>
      <c r="Z16178" s="24"/>
      <c r="AA16178" s="24"/>
    </row>
    <row r="16179">
      <c r="A16179" s="24"/>
      <c r="B16179" s="25"/>
      <c r="C16179" s="24"/>
      <c r="D16179" s="26"/>
      <c r="E16179" s="24"/>
      <c r="F16179" s="24"/>
      <c r="G16179" s="24"/>
      <c r="H16179" s="24"/>
      <c r="I16179" s="24"/>
      <c r="J16179" s="24"/>
      <c r="K16179" s="24"/>
      <c r="L16179" s="24"/>
      <c r="M16179" s="24"/>
      <c r="N16179" s="24"/>
      <c r="O16179" s="24"/>
      <c r="P16179" s="24"/>
      <c r="Q16179" s="24"/>
      <c r="R16179" s="24"/>
      <c r="S16179" s="24"/>
      <c r="T16179" s="24"/>
      <c r="U16179" s="24"/>
      <c r="V16179" s="24"/>
      <c r="W16179" s="24"/>
      <c r="X16179" s="24"/>
      <c r="Y16179" s="24"/>
      <c r="Z16179" s="24"/>
      <c r="AA16179" s="24"/>
    </row>
    <row r="16180">
      <c r="A16180" s="24"/>
      <c r="B16180" s="25"/>
      <c r="C16180" s="24"/>
      <c r="D16180" s="26"/>
      <c r="E16180" s="24"/>
      <c r="F16180" s="24"/>
      <c r="G16180" s="24"/>
      <c r="H16180" s="24"/>
      <c r="I16180" s="24"/>
      <c r="J16180" s="24"/>
      <c r="K16180" s="24"/>
      <c r="L16180" s="24"/>
      <c r="M16180" s="24"/>
      <c r="N16180" s="24"/>
      <c r="O16180" s="24"/>
      <c r="P16180" s="24"/>
      <c r="Q16180" s="24"/>
      <c r="R16180" s="24"/>
      <c r="S16180" s="24"/>
      <c r="T16180" s="24"/>
      <c r="U16180" s="24"/>
      <c r="V16180" s="24"/>
      <c r="W16180" s="24"/>
      <c r="X16180" s="24"/>
      <c r="Y16180" s="24"/>
      <c r="Z16180" s="24"/>
      <c r="AA16180" s="24"/>
    </row>
    <row r="16181">
      <c r="A16181" s="24"/>
      <c r="B16181" s="25"/>
      <c r="C16181" s="24"/>
      <c r="D16181" s="26"/>
      <c r="E16181" s="24"/>
      <c r="F16181" s="24"/>
      <c r="G16181" s="24"/>
      <c r="H16181" s="24"/>
      <c r="I16181" s="24"/>
      <c r="J16181" s="24"/>
      <c r="K16181" s="24"/>
      <c r="L16181" s="24"/>
      <c r="M16181" s="24"/>
      <c r="N16181" s="24"/>
      <c r="O16181" s="24"/>
      <c r="P16181" s="24"/>
      <c r="Q16181" s="24"/>
      <c r="R16181" s="24"/>
      <c r="S16181" s="24"/>
      <c r="T16181" s="24"/>
      <c r="U16181" s="24"/>
      <c r="V16181" s="24"/>
      <c r="W16181" s="24"/>
      <c r="X16181" s="24"/>
      <c r="Y16181" s="24"/>
      <c r="Z16181" s="24"/>
      <c r="AA16181" s="24"/>
    </row>
    <row r="16182">
      <c r="A16182" s="24"/>
      <c r="B16182" s="25"/>
      <c r="C16182" s="24"/>
      <c r="D16182" s="26"/>
      <c r="E16182" s="24"/>
      <c r="F16182" s="24"/>
      <c r="G16182" s="24"/>
      <c r="H16182" s="24"/>
      <c r="I16182" s="24"/>
      <c r="J16182" s="24"/>
      <c r="K16182" s="24"/>
      <c r="L16182" s="24"/>
      <c r="M16182" s="24"/>
      <c r="N16182" s="24"/>
      <c r="O16182" s="24"/>
      <c r="P16182" s="24"/>
      <c r="Q16182" s="24"/>
      <c r="R16182" s="24"/>
      <c r="S16182" s="24"/>
      <c r="T16182" s="24"/>
      <c r="U16182" s="24"/>
      <c r="V16182" s="24"/>
      <c r="W16182" s="24"/>
      <c r="X16182" s="24"/>
      <c r="Y16182" s="24"/>
      <c r="Z16182" s="24"/>
      <c r="AA16182" s="24"/>
    </row>
    <row r="16183">
      <c r="A16183" s="24"/>
      <c r="B16183" s="25"/>
      <c r="C16183" s="24"/>
      <c r="D16183" s="26"/>
      <c r="E16183" s="24"/>
      <c r="F16183" s="24"/>
      <c r="G16183" s="24"/>
      <c r="H16183" s="24"/>
      <c r="I16183" s="24"/>
      <c r="J16183" s="24"/>
      <c r="K16183" s="24"/>
      <c r="L16183" s="24"/>
      <c r="M16183" s="24"/>
      <c r="N16183" s="24"/>
      <c r="O16183" s="24"/>
      <c r="P16183" s="24"/>
      <c r="Q16183" s="24"/>
      <c r="R16183" s="24"/>
      <c r="S16183" s="24"/>
      <c r="T16183" s="24"/>
      <c r="U16183" s="24"/>
      <c r="V16183" s="24"/>
      <c r="W16183" s="24"/>
      <c r="X16183" s="24"/>
      <c r="Y16183" s="24"/>
      <c r="Z16183" s="24"/>
      <c r="AA16183" s="24"/>
    </row>
    <row r="16184">
      <c r="A16184" s="24"/>
      <c r="B16184" s="25"/>
      <c r="C16184" s="24"/>
      <c r="D16184" s="26"/>
      <c r="E16184" s="24"/>
      <c r="F16184" s="24"/>
      <c r="G16184" s="24"/>
      <c r="H16184" s="24"/>
      <c r="I16184" s="24"/>
      <c r="J16184" s="24"/>
      <c r="K16184" s="24"/>
      <c r="L16184" s="24"/>
      <c r="M16184" s="24"/>
      <c r="N16184" s="24"/>
      <c r="O16184" s="24"/>
      <c r="P16184" s="24"/>
      <c r="Q16184" s="24"/>
      <c r="R16184" s="24"/>
      <c r="S16184" s="24"/>
      <c r="T16184" s="24"/>
      <c r="U16184" s="24"/>
      <c r="V16184" s="24"/>
      <c r="W16184" s="24"/>
      <c r="X16184" s="24"/>
      <c r="Y16184" s="24"/>
      <c r="Z16184" s="24"/>
      <c r="AA16184" s="24"/>
    </row>
    <row r="16185">
      <c r="A16185" s="24"/>
      <c r="B16185" s="25"/>
      <c r="C16185" s="24"/>
      <c r="D16185" s="26"/>
      <c r="E16185" s="24"/>
      <c r="F16185" s="24"/>
      <c r="G16185" s="24"/>
      <c r="H16185" s="24"/>
      <c r="I16185" s="24"/>
      <c r="J16185" s="24"/>
      <c r="K16185" s="24"/>
      <c r="L16185" s="24"/>
      <c r="M16185" s="24"/>
      <c r="N16185" s="24"/>
      <c r="O16185" s="24"/>
      <c r="P16185" s="24"/>
      <c r="Q16185" s="24"/>
      <c r="R16185" s="24"/>
      <c r="S16185" s="24"/>
      <c r="T16185" s="24"/>
      <c r="U16185" s="24"/>
      <c r="V16185" s="24"/>
      <c r="W16185" s="24"/>
      <c r="X16185" s="24"/>
      <c r="Y16185" s="24"/>
      <c r="Z16185" s="24"/>
      <c r="AA16185" s="24"/>
    </row>
    <row r="16186">
      <c r="A16186" s="24"/>
      <c r="B16186" s="25"/>
      <c r="C16186" s="24"/>
      <c r="D16186" s="26"/>
      <c r="E16186" s="24"/>
      <c r="F16186" s="24"/>
      <c r="G16186" s="24"/>
      <c r="H16186" s="24"/>
      <c r="I16186" s="24"/>
      <c r="J16186" s="24"/>
      <c r="K16186" s="24"/>
      <c r="L16186" s="24"/>
      <c r="M16186" s="24"/>
      <c r="N16186" s="24"/>
      <c r="O16186" s="24"/>
      <c r="P16186" s="24"/>
      <c r="Q16186" s="24"/>
      <c r="R16186" s="24"/>
      <c r="S16186" s="24"/>
      <c r="T16186" s="24"/>
      <c r="U16186" s="24"/>
      <c r="V16186" s="24"/>
      <c r="W16186" s="24"/>
      <c r="X16186" s="24"/>
      <c r="Y16186" s="24"/>
      <c r="Z16186" s="24"/>
      <c r="AA16186" s="24"/>
    </row>
    <row r="16187">
      <c r="A16187" s="24"/>
      <c r="B16187" s="25"/>
      <c r="C16187" s="24"/>
      <c r="D16187" s="26"/>
      <c r="E16187" s="24"/>
      <c r="F16187" s="24"/>
      <c r="G16187" s="24"/>
      <c r="H16187" s="24"/>
      <c r="I16187" s="24"/>
      <c r="J16187" s="24"/>
      <c r="K16187" s="24"/>
      <c r="L16187" s="24"/>
      <c r="M16187" s="24"/>
      <c r="N16187" s="24"/>
      <c r="O16187" s="24"/>
      <c r="P16187" s="24"/>
      <c r="Q16187" s="24"/>
      <c r="R16187" s="24"/>
      <c r="S16187" s="24"/>
      <c r="T16187" s="24"/>
      <c r="U16187" s="24"/>
      <c r="V16187" s="24"/>
      <c r="W16187" s="24"/>
      <c r="X16187" s="24"/>
      <c r="Y16187" s="24"/>
      <c r="Z16187" s="24"/>
      <c r="AA16187" s="24"/>
    </row>
    <row r="16188">
      <c r="A16188" s="24"/>
      <c r="B16188" s="25"/>
      <c r="C16188" s="24"/>
      <c r="D16188" s="26"/>
      <c r="E16188" s="24"/>
      <c r="F16188" s="24"/>
      <c r="G16188" s="24"/>
      <c r="H16188" s="24"/>
      <c r="I16188" s="24"/>
      <c r="J16188" s="24"/>
      <c r="K16188" s="24"/>
      <c r="L16188" s="24"/>
      <c r="M16188" s="24"/>
      <c r="N16188" s="24"/>
      <c r="O16188" s="24"/>
      <c r="P16188" s="24"/>
      <c r="Q16188" s="24"/>
      <c r="R16188" s="24"/>
      <c r="S16188" s="24"/>
      <c r="T16188" s="24"/>
      <c r="U16188" s="24"/>
      <c r="V16188" s="24"/>
      <c r="W16188" s="24"/>
      <c r="X16188" s="24"/>
      <c r="Y16188" s="24"/>
      <c r="Z16188" s="24"/>
      <c r="AA16188" s="24"/>
    </row>
    <row r="16189">
      <c r="A16189" s="24"/>
      <c r="B16189" s="25"/>
      <c r="C16189" s="24"/>
      <c r="D16189" s="26"/>
      <c r="E16189" s="24"/>
      <c r="F16189" s="24"/>
      <c r="G16189" s="24"/>
      <c r="H16189" s="24"/>
      <c r="I16189" s="24"/>
      <c r="J16189" s="24"/>
      <c r="K16189" s="24"/>
      <c r="L16189" s="24"/>
      <c r="M16189" s="24"/>
      <c r="N16189" s="24"/>
      <c r="O16189" s="24"/>
      <c r="P16189" s="24"/>
      <c r="Q16189" s="24"/>
      <c r="R16189" s="24"/>
      <c r="S16189" s="24"/>
      <c r="T16189" s="24"/>
      <c r="U16189" s="24"/>
      <c r="V16189" s="24"/>
      <c r="W16189" s="24"/>
      <c r="X16189" s="24"/>
      <c r="Y16189" s="24"/>
      <c r="Z16189" s="24"/>
      <c r="AA16189" s="24"/>
    </row>
    <row r="16190">
      <c r="A16190" s="24"/>
      <c r="B16190" s="25"/>
      <c r="C16190" s="24"/>
      <c r="D16190" s="26"/>
      <c r="E16190" s="24"/>
      <c r="F16190" s="24"/>
      <c r="G16190" s="24"/>
      <c r="H16190" s="24"/>
      <c r="I16190" s="24"/>
      <c r="J16190" s="24"/>
      <c r="K16190" s="24"/>
      <c r="L16190" s="24"/>
      <c r="M16190" s="24"/>
      <c r="N16190" s="24"/>
      <c r="O16190" s="24"/>
      <c r="P16190" s="24"/>
      <c r="Q16190" s="24"/>
      <c r="R16190" s="24"/>
      <c r="S16190" s="24"/>
      <c r="T16190" s="24"/>
      <c r="U16190" s="24"/>
      <c r="V16190" s="24"/>
      <c r="W16190" s="24"/>
      <c r="X16190" s="24"/>
      <c r="Y16190" s="24"/>
      <c r="Z16190" s="24"/>
      <c r="AA16190" s="24"/>
    </row>
    <row r="16191">
      <c r="A16191" s="24"/>
      <c r="B16191" s="25"/>
      <c r="C16191" s="24"/>
      <c r="D16191" s="26"/>
      <c r="E16191" s="24"/>
      <c r="F16191" s="24"/>
      <c r="G16191" s="24"/>
      <c r="H16191" s="24"/>
      <c r="I16191" s="24"/>
      <c r="J16191" s="24"/>
      <c r="K16191" s="24"/>
      <c r="L16191" s="24"/>
      <c r="M16191" s="24"/>
      <c r="N16191" s="24"/>
      <c r="O16191" s="24"/>
      <c r="P16191" s="24"/>
      <c r="Q16191" s="24"/>
      <c r="R16191" s="24"/>
      <c r="S16191" s="24"/>
      <c r="T16191" s="24"/>
      <c r="U16191" s="24"/>
      <c r="V16191" s="24"/>
      <c r="W16191" s="24"/>
      <c r="X16191" s="24"/>
      <c r="Y16191" s="24"/>
      <c r="Z16191" s="24"/>
      <c r="AA16191" s="24"/>
    </row>
    <row r="16192">
      <c r="A16192" s="24"/>
      <c r="B16192" s="25"/>
      <c r="C16192" s="24"/>
      <c r="D16192" s="26"/>
      <c r="E16192" s="24"/>
      <c r="F16192" s="24"/>
      <c r="G16192" s="24"/>
      <c r="H16192" s="24"/>
      <c r="I16192" s="24"/>
      <c r="J16192" s="24"/>
      <c r="K16192" s="24"/>
      <c r="L16192" s="24"/>
      <c r="M16192" s="24"/>
      <c r="N16192" s="24"/>
      <c r="O16192" s="24"/>
      <c r="P16192" s="24"/>
      <c r="Q16192" s="24"/>
      <c r="R16192" s="24"/>
      <c r="S16192" s="24"/>
      <c r="T16192" s="24"/>
      <c r="U16192" s="24"/>
      <c r="V16192" s="24"/>
      <c r="W16192" s="24"/>
      <c r="X16192" s="24"/>
      <c r="Y16192" s="24"/>
      <c r="Z16192" s="24"/>
      <c r="AA16192" s="24"/>
    </row>
    <row r="16193">
      <c r="A16193" s="24"/>
      <c r="B16193" s="25"/>
      <c r="C16193" s="24"/>
      <c r="D16193" s="26"/>
      <c r="E16193" s="24"/>
      <c r="F16193" s="24"/>
      <c r="G16193" s="24"/>
      <c r="H16193" s="24"/>
      <c r="I16193" s="24"/>
      <c r="J16193" s="24"/>
      <c r="K16193" s="24"/>
      <c r="L16193" s="24"/>
      <c r="M16193" s="24"/>
      <c r="N16193" s="24"/>
      <c r="O16193" s="24"/>
      <c r="P16193" s="24"/>
      <c r="Q16193" s="24"/>
      <c r="R16193" s="24"/>
      <c r="S16193" s="24"/>
      <c r="T16193" s="24"/>
      <c r="U16193" s="24"/>
      <c r="V16193" s="24"/>
      <c r="W16193" s="24"/>
      <c r="X16193" s="24"/>
      <c r="Y16193" s="24"/>
      <c r="Z16193" s="24"/>
      <c r="AA16193" s="24"/>
    </row>
    <row r="16194">
      <c r="A16194" s="24"/>
      <c r="B16194" s="25"/>
      <c r="C16194" s="24"/>
      <c r="D16194" s="26"/>
      <c r="E16194" s="24"/>
      <c r="F16194" s="24"/>
      <c r="G16194" s="24"/>
      <c r="H16194" s="24"/>
      <c r="I16194" s="24"/>
      <c r="J16194" s="24"/>
      <c r="K16194" s="24"/>
      <c r="L16194" s="24"/>
      <c r="M16194" s="24"/>
      <c r="N16194" s="24"/>
      <c r="O16194" s="24"/>
      <c r="P16194" s="24"/>
      <c r="Q16194" s="24"/>
      <c r="R16194" s="24"/>
      <c r="S16194" s="24"/>
      <c r="T16194" s="24"/>
      <c r="U16194" s="24"/>
      <c r="V16194" s="24"/>
      <c r="W16194" s="24"/>
      <c r="X16194" s="24"/>
      <c r="Y16194" s="24"/>
      <c r="Z16194" s="24"/>
      <c r="AA16194" s="24"/>
    </row>
    <row r="16195">
      <c r="A16195" s="24"/>
      <c r="B16195" s="25"/>
      <c r="C16195" s="24"/>
      <c r="D16195" s="26"/>
      <c r="E16195" s="24"/>
      <c r="F16195" s="24"/>
      <c r="G16195" s="24"/>
      <c r="H16195" s="24"/>
      <c r="I16195" s="24"/>
      <c r="J16195" s="24"/>
      <c r="K16195" s="24"/>
      <c r="L16195" s="24"/>
      <c r="M16195" s="24"/>
      <c r="N16195" s="24"/>
      <c r="O16195" s="24"/>
      <c r="P16195" s="24"/>
      <c r="Q16195" s="24"/>
      <c r="R16195" s="24"/>
      <c r="S16195" s="24"/>
      <c r="T16195" s="24"/>
      <c r="U16195" s="24"/>
      <c r="V16195" s="24"/>
      <c r="W16195" s="24"/>
      <c r="X16195" s="24"/>
      <c r="Y16195" s="24"/>
      <c r="Z16195" s="24"/>
      <c r="AA16195" s="24"/>
    </row>
    <row r="16196">
      <c r="A16196" s="24"/>
      <c r="B16196" s="25"/>
      <c r="C16196" s="24"/>
      <c r="D16196" s="26"/>
      <c r="E16196" s="24"/>
      <c r="F16196" s="24"/>
      <c r="G16196" s="24"/>
      <c r="H16196" s="24"/>
      <c r="I16196" s="24"/>
      <c r="J16196" s="24"/>
      <c r="K16196" s="24"/>
      <c r="L16196" s="24"/>
      <c r="M16196" s="24"/>
      <c r="N16196" s="24"/>
      <c r="O16196" s="24"/>
      <c r="P16196" s="24"/>
      <c r="Q16196" s="24"/>
      <c r="R16196" s="24"/>
      <c r="S16196" s="24"/>
      <c r="T16196" s="24"/>
      <c r="U16196" s="24"/>
      <c r="V16196" s="24"/>
      <c r="W16196" s="24"/>
      <c r="X16196" s="24"/>
      <c r="Y16196" s="24"/>
      <c r="Z16196" s="24"/>
      <c r="AA16196" s="24"/>
    </row>
    <row r="16197">
      <c r="A16197" s="24"/>
      <c r="B16197" s="25"/>
      <c r="C16197" s="24"/>
      <c r="D16197" s="26"/>
      <c r="E16197" s="24"/>
      <c r="F16197" s="24"/>
      <c r="G16197" s="24"/>
      <c r="H16197" s="24"/>
      <c r="I16197" s="24"/>
      <c r="J16197" s="24"/>
      <c r="K16197" s="24"/>
      <c r="L16197" s="24"/>
      <c r="M16197" s="24"/>
      <c r="N16197" s="24"/>
      <c r="O16197" s="24"/>
      <c r="P16197" s="24"/>
      <c r="Q16197" s="24"/>
      <c r="R16197" s="24"/>
      <c r="S16197" s="24"/>
      <c r="T16197" s="24"/>
      <c r="U16197" s="24"/>
      <c r="V16197" s="24"/>
      <c r="W16197" s="24"/>
      <c r="X16197" s="24"/>
      <c r="Y16197" s="24"/>
      <c r="Z16197" s="24"/>
      <c r="AA16197" s="24"/>
    </row>
    <row r="16198">
      <c r="A16198" s="24"/>
      <c r="B16198" s="25"/>
      <c r="C16198" s="24"/>
      <c r="D16198" s="26"/>
      <c r="E16198" s="24"/>
      <c r="F16198" s="24"/>
      <c r="G16198" s="24"/>
      <c r="H16198" s="24"/>
      <c r="I16198" s="24"/>
      <c r="J16198" s="24"/>
      <c r="K16198" s="24"/>
      <c r="L16198" s="24"/>
      <c r="M16198" s="24"/>
      <c r="N16198" s="24"/>
      <c r="O16198" s="24"/>
      <c r="P16198" s="24"/>
      <c r="Q16198" s="24"/>
      <c r="R16198" s="24"/>
      <c r="S16198" s="24"/>
      <c r="T16198" s="24"/>
      <c r="U16198" s="24"/>
      <c r="V16198" s="24"/>
      <c r="W16198" s="24"/>
      <c r="X16198" s="24"/>
      <c r="Y16198" s="24"/>
      <c r="Z16198" s="24"/>
      <c r="AA16198" s="24"/>
    </row>
    <row r="16199">
      <c r="A16199" s="24"/>
      <c r="B16199" s="25"/>
      <c r="C16199" s="24"/>
      <c r="D16199" s="26"/>
      <c r="E16199" s="24"/>
      <c r="F16199" s="24"/>
      <c r="G16199" s="24"/>
      <c r="H16199" s="24"/>
      <c r="I16199" s="24"/>
      <c r="J16199" s="24"/>
      <c r="K16199" s="24"/>
      <c r="L16199" s="24"/>
      <c r="M16199" s="24"/>
      <c r="N16199" s="24"/>
      <c r="O16199" s="24"/>
      <c r="P16199" s="24"/>
      <c r="Q16199" s="24"/>
      <c r="R16199" s="24"/>
      <c r="S16199" s="24"/>
      <c r="T16199" s="24"/>
      <c r="U16199" s="24"/>
      <c r="V16199" s="24"/>
      <c r="W16199" s="24"/>
      <c r="X16199" s="24"/>
      <c r="Y16199" s="24"/>
      <c r="Z16199" s="24"/>
      <c r="AA16199" s="24"/>
    </row>
    <row r="16200">
      <c r="A16200" s="24"/>
      <c r="B16200" s="25"/>
      <c r="C16200" s="24"/>
      <c r="D16200" s="26"/>
      <c r="E16200" s="24"/>
      <c r="F16200" s="24"/>
      <c r="G16200" s="24"/>
      <c r="H16200" s="24"/>
      <c r="I16200" s="24"/>
      <c r="J16200" s="24"/>
      <c r="K16200" s="24"/>
      <c r="L16200" s="24"/>
      <c r="M16200" s="24"/>
      <c r="N16200" s="24"/>
      <c r="O16200" s="24"/>
      <c r="P16200" s="24"/>
      <c r="Q16200" s="24"/>
      <c r="R16200" s="24"/>
      <c r="S16200" s="24"/>
      <c r="T16200" s="24"/>
      <c r="U16200" s="24"/>
      <c r="V16200" s="24"/>
      <c r="W16200" s="24"/>
      <c r="X16200" s="24"/>
      <c r="Y16200" s="24"/>
      <c r="Z16200" s="24"/>
      <c r="AA16200" s="24"/>
    </row>
    <row r="16201">
      <c r="A16201" s="24"/>
      <c r="B16201" s="25"/>
      <c r="C16201" s="24"/>
      <c r="D16201" s="26"/>
      <c r="E16201" s="24"/>
      <c r="F16201" s="24"/>
      <c r="G16201" s="24"/>
      <c r="H16201" s="24"/>
      <c r="I16201" s="24"/>
      <c r="J16201" s="24"/>
      <c r="K16201" s="24"/>
      <c r="L16201" s="24"/>
      <c r="M16201" s="24"/>
      <c r="N16201" s="24"/>
      <c r="O16201" s="24"/>
      <c r="P16201" s="24"/>
      <c r="Q16201" s="24"/>
      <c r="R16201" s="24"/>
      <c r="S16201" s="24"/>
      <c r="T16201" s="24"/>
      <c r="U16201" s="24"/>
      <c r="V16201" s="24"/>
      <c r="W16201" s="24"/>
      <c r="X16201" s="24"/>
      <c r="Y16201" s="24"/>
      <c r="Z16201" s="24"/>
      <c r="AA16201" s="24"/>
    </row>
    <row r="16202">
      <c r="A16202" s="24"/>
      <c r="B16202" s="25"/>
      <c r="C16202" s="24"/>
      <c r="D16202" s="26"/>
      <c r="E16202" s="24"/>
      <c r="F16202" s="24"/>
      <c r="G16202" s="24"/>
      <c r="H16202" s="24"/>
      <c r="I16202" s="24"/>
      <c r="J16202" s="24"/>
      <c r="K16202" s="24"/>
      <c r="L16202" s="24"/>
      <c r="M16202" s="24"/>
      <c r="N16202" s="24"/>
      <c r="O16202" s="24"/>
      <c r="P16202" s="24"/>
      <c r="Q16202" s="24"/>
      <c r="R16202" s="24"/>
      <c r="S16202" s="24"/>
      <c r="T16202" s="24"/>
      <c r="U16202" s="24"/>
      <c r="V16202" s="24"/>
      <c r="W16202" s="24"/>
      <c r="X16202" s="24"/>
      <c r="Y16202" s="24"/>
      <c r="Z16202" s="24"/>
      <c r="AA16202" s="24"/>
    </row>
    <row r="16203">
      <c r="A16203" s="24"/>
      <c r="B16203" s="25"/>
      <c r="C16203" s="24"/>
      <c r="D16203" s="26"/>
      <c r="E16203" s="24"/>
      <c r="F16203" s="24"/>
      <c r="G16203" s="24"/>
      <c r="H16203" s="24"/>
      <c r="I16203" s="24"/>
      <c r="J16203" s="24"/>
      <c r="K16203" s="24"/>
      <c r="L16203" s="24"/>
      <c r="M16203" s="24"/>
      <c r="N16203" s="24"/>
      <c r="O16203" s="24"/>
      <c r="P16203" s="24"/>
      <c r="Q16203" s="24"/>
      <c r="R16203" s="24"/>
      <c r="S16203" s="24"/>
      <c r="T16203" s="24"/>
      <c r="U16203" s="24"/>
      <c r="V16203" s="24"/>
      <c r="W16203" s="24"/>
      <c r="X16203" s="24"/>
      <c r="Y16203" s="24"/>
      <c r="Z16203" s="24"/>
      <c r="AA16203" s="24"/>
    </row>
    <row r="16204">
      <c r="A16204" s="24"/>
      <c r="B16204" s="25"/>
      <c r="C16204" s="24"/>
      <c r="D16204" s="26"/>
      <c r="E16204" s="24"/>
      <c r="F16204" s="24"/>
      <c r="G16204" s="24"/>
      <c r="H16204" s="24"/>
      <c r="I16204" s="24"/>
      <c r="J16204" s="24"/>
      <c r="K16204" s="24"/>
      <c r="L16204" s="24"/>
      <c r="M16204" s="24"/>
      <c r="N16204" s="24"/>
      <c r="O16204" s="24"/>
      <c r="P16204" s="24"/>
      <c r="Q16204" s="24"/>
      <c r="R16204" s="24"/>
      <c r="S16204" s="24"/>
      <c r="T16204" s="24"/>
      <c r="U16204" s="24"/>
      <c r="V16204" s="24"/>
      <c r="W16204" s="24"/>
      <c r="X16204" s="24"/>
      <c r="Y16204" s="24"/>
      <c r="Z16204" s="24"/>
      <c r="AA16204" s="24"/>
    </row>
    <row r="16205">
      <c r="A16205" s="24"/>
      <c r="B16205" s="25"/>
      <c r="C16205" s="24"/>
      <c r="D16205" s="26"/>
      <c r="E16205" s="24"/>
      <c r="F16205" s="24"/>
      <c r="G16205" s="24"/>
      <c r="H16205" s="24"/>
      <c r="I16205" s="24"/>
      <c r="J16205" s="24"/>
      <c r="K16205" s="24"/>
      <c r="L16205" s="24"/>
      <c r="M16205" s="24"/>
      <c r="N16205" s="24"/>
      <c r="O16205" s="24"/>
      <c r="P16205" s="24"/>
      <c r="Q16205" s="24"/>
      <c r="R16205" s="24"/>
      <c r="S16205" s="24"/>
      <c r="T16205" s="24"/>
      <c r="U16205" s="24"/>
      <c r="V16205" s="24"/>
      <c r="W16205" s="24"/>
      <c r="X16205" s="24"/>
      <c r="Y16205" s="24"/>
      <c r="Z16205" s="24"/>
      <c r="AA16205" s="24"/>
    </row>
    <row r="16206">
      <c r="A16206" s="24"/>
      <c r="B16206" s="25"/>
      <c r="C16206" s="24"/>
      <c r="D16206" s="26"/>
      <c r="E16206" s="24"/>
      <c r="F16206" s="24"/>
      <c r="G16206" s="24"/>
      <c r="H16206" s="24"/>
      <c r="I16206" s="24"/>
      <c r="J16206" s="24"/>
      <c r="K16206" s="24"/>
      <c r="L16206" s="24"/>
      <c r="M16206" s="24"/>
      <c r="N16206" s="24"/>
      <c r="O16206" s="24"/>
      <c r="P16206" s="24"/>
      <c r="Q16206" s="24"/>
      <c r="R16206" s="24"/>
      <c r="S16206" s="24"/>
      <c r="T16206" s="24"/>
      <c r="U16206" s="24"/>
      <c r="V16206" s="24"/>
      <c r="W16206" s="24"/>
      <c r="X16206" s="24"/>
      <c r="Y16206" s="24"/>
      <c r="Z16206" s="24"/>
      <c r="AA16206" s="24"/>
    </row>
    <row r="16207">
      <c r="A16207" s="24"/>
      <c r="B16207" s="25"/>
      <c r="C16207" s="24"/>
      <c r="D16207" s="26"/>
      <c r="E16207" s="24"/>
      <c r="F16207" s="24"/>
      <c r="G16207" s="24"/>
      <c r="H16207" s="24"/>
      <c r="I16207" s="24"/>
      <c r="J16207" s="24"/>
      <c r="K16207" s="24"/>
      <c r="L16207" s="24"/>
      <c r="M16207" s="24"/>
      <c r="N16207" s="24"/>
      <c r="O16207" s="24"/>
      <c r="P16207" s="24"/>
      <c r="Q16207" s="24"/>
      <c r="R16207" s="24"/>
      <c r="S16207" s="24"/>
      <c r="T16207" s="24"/>
      <c r="U16207" s="24"/>
      <c r="V16207" s="24"/>
      <c r="W16207" s="24"/>
      <c r="X16207" s="24"/>
      <c r="Y16207" s="24"/>
      <c r="Z16207" s="24"/>
      <c r="AA16207" s="24"/>
    </row>
    <row r="16208">
      <c r="A16208" s="24"/>
      <c r="B16208" s="25"/>
      <c r="C16208" s="24"/>
      <c r="D16208" s="26"/>
      <c r="E16208" s="24"/>
      <c r="F16208" s="24"/>
      <c r="G16208" s="24"/>
      <c r="H16208" s="24"/>
      <c r="I16208" s="24"/>
      <c r="J16208" s="24"/>
      <c r="K16208" s="24"/>
      <c r="L16208" s="24"/>
      <c r="M16208" s="24"/>
      <c r="N16208" s="24"/>
      <c r="O16208" s="24"/>
      <c r="P16208" s="24"/>
      <c r="Q16208" s="24"/>
      <c r="R16208" s="24"/>
      <c r="S16208" s="24"/>
      <c r="T16208" s="24"/>
      <c r="U16208" s="24"/>
      <c r="V16208" s="24"/>
      <c r="W16208" s="24"/>
      <c r="X16208" s="24"/>
      <c r="Y16208" s="24"/>
      <c r="Z16208" s="24"/>
      <c r="AA16208" s="24"/>
    </row>
    <row r="16209">
      <c r="A16209" s="24"/>
      <c r="B16209" s="25"/>
      <c r="C16209" s="24"/>
      <c r="D16209" s="26"/>
      <c r="E16209" s="24"/>
      <c r="F16209" s="24"/>
      <c r="G16209" s="24"/>
      <c r="H16209" s="24"/>
      <c r="I16209" s="24"/>
      <c r="J16209" s="24"/>
      <c r="K16209" s="24"/>
      <c r="L16209" s="24"/>
      <c r="M16209" s="24"/>
      <c r="N16209" s="24"/>
      <c r="O16209" s="24"/>
      <c r="P16209" s="24"/>
      <c r="Q16209" s="24"/>
      <c r="R16209" s="24"/>
      <c r="S16209" s="24"/>
      <c r="T16209" s="24"/>
      <c r="U16209" s="24"/>
      <c r="V16209" s="24"/>
      <c r="W16209" s="24"/>
      <c r="X16209" s="24"/>
      <c r="Y16209" s="24"/>
      <c r="Z16209" s="24"/>
      <c r="AA16209" s="24"/>
    </row>
    <row r="16210">
      <c r="A16210" s="24"/>
      <c r="B16210" s="25"/>
      <c r="C16210" s="24"/>
      <c r="D16210" s="26"/>
      <c r="E16210" s="24"/>
      <c r="F16210" s="24"/>
      <c r="G16210" s="24"/>
      <c r="H16210" s="24"/>
      <c r="I16210" s="24"/>
      <c r="J16210" s="24"/>
      <c r="K16210" s="24"/>
      <c r="L16210" s="24"/>
      <c r="M16210" s="24"/>
      <c r="N16210" s="24"/>
      <c r="O16210" s="24"/>
      <c r="P16210" s="24"/>
      <c r="Q16210" s="24"/>
      <c r="R16210" s="24"/>
      <c r="S16210" s="24"/>
      <c r="T16210" s="24"/>
      <c r="U16210" s="24"/>
      <c r="V16210" s="24"/>
      <c r="W16210" s="24"/>
      <c r="X16210" s="24"/>
      <c r="Y16210" s="24"/>
      <c r="Z16210" s="24"/>
      <c r="AA16210" s="24"/>
    </row>
    <row r="16211">
      <c r="A16211" s="24"/>
      <c r="B16211" s="25"/>
      <c r="C16211" s="24"/>
      <c r="D16211" s="26"/>
      <c r="E16211" s="24"/>
      <c r="F16211" s="24"/>
      <c r="G16211" s="24"/>
      <c r="H16211" s="24"/>
      <c r="I16211" s="24"/>
      <c r="J16211" s="24"/>
      <c r="K16211" s="24"/>
      <c r="L16211" s="24"/>
      <c r="M16211" s="24"/>
      <c r="N16211" s="24"/>
      <c r="O16211" s="24"/>
      <c r="P16211" s="24"/>
      <c r="Q16211" s="24"/>
      <c r="R16211" s="24"/>
      <c r="S16211" s="24"/>
      <c r="T16211" s="24"/>
      <c r="U16211" s="24"/>
      <c r="V16211" s="24"/>
      <c r="W16211" s="24"/>
      <c r="X16211" s="24"/>
      <c r="Y16211" s="24"/>
      <c r="Z16211" s="24"/>
      <c r="AA16211" s="24"/>
    </row>
    <row r="16212">
      <c r="A16212" s="24"/>
      <c r="B16212" s="25"/>
      <c r="C16212" s="24"/>
      <c r="D16212" s="26"/>
      <c r="E16212" s="24"/>
      <c r="F16212" s="24"/>
      <c r="G16212" s="24"/>
      <c r="H16212" s="24"/>
      <c r="I16212" s="24"/>
      <c r="J16212" s="24"/>
      <c r="K16212" s="24"/>
      <c r="L16212" s="24"/>
      <c r="M16212" s="24"/>
      <c r="N16212" s="24"/>
      <c r="O16212" s="24"/>
      <c r="P16212" s="24"/>
      <c r="Q16212" s="24"/>
      <c r="R16212" s="24"/>
      <c r="S16212" s="24"/>
      <c r="T16212" s="24"/>
      <c r="U16212" s="24"/>
      <c r="V16212" s="24"/>
      <c r="W16212" s="24"/>
      <c r="X16212" s="24"/>
      <c r="Y16212" s="24"/>
      <c r="Z16212" s="24"/>
      <c r="AA16212" s="24"/>
    </row>
    <row r="16213">
      <c r="A16213" s="24"/>
      <c r="B16213" s="25"/>
      <c r="C16213" s="24"/>
      <c r="D16213" s="26"/>
      <c r="E16213" s="24"/>
      <c r="F16213" s="24"/>
      <c r="G16213" s="24"/>
      <c r="H16213" s="24"/>
      <c r="I16213" s="24"/>
      <c r="J16213" s="24"/>
      <c r="K16213" s="24"/>
      <c r="L16213" s="24"/>
      <c r="M16213" s="24"/>
      <c r="N16213" s="24"/>
      <c r="O16213" s="24"/>
      <c r="P16213" s="24"/>
      <c r="Q16213" s="24"/>
      <c r="R16213" s="24"/>
      <c r="S16213" s="24"/>
      <c r="T16213" s="24"/>
      <c r="U16213" s="24"/>
      <c r="V16213" s="24"/>
      <c r="W16213" s="24"/>
      <c r="X16213" s="24"/>
      <c r="Y16213" s="24"/>
      <c r="Z16213" s="24"/>
      <c r="AA16213" s="24"/>
    </row>
    <row r="16214">
      <c r="A16214" s="24"/>
      <c r="B16214" s="25"/>
      <c r="C16214" s="24"/>
      <c r="D16214" s="26"/>
      <c r="E16214" s="24"/>
      <c r="F16214" s="24"/>
      <c r="G16214" s="24"/>
      <c r="H16214" s="24"/>
      <c r="I16214" s="24"/>
      <c r="J16214" s="24"/>
      <c r="K16214" s="24"/>
      <c r="L16214" s="24"/>
      <c r="M16214" s="24"/>
      <c r="N16214" s="24"/>
      <c r="O16214" s="24"/>
      <c r="P16214" s="24"/>
      <c r="Q16214" s="24"/>
      <c r="R16214" s="24"/>
      <c r="S16214" s="24"/>
      <c r="T16214" s="24"/>
      <c r="U16214" s="24"/>
      <c r="V16214" s="24"/>
      <c r="W16214" s="24"/>
      <c r="X16214" s="24"/>
      <c r="Y16214" s="24"/>
      <c r="Z16214" s="24"/>
      <c r="AA16214" s="24"/>
    </row>
    <row r="16215">
      <c r="A16215" s="24"/>
      <c r="B16215" s="25"/>
      <c r="C16215" s="24"/>
      <c r="D16215" s="26"/>
      <c r="E16215" s="24"/>
      <c r="F16215" s="24"/>
      <c r="G16215" s="24"/>
      <c r="H16215" s="24"/>
      <c r="I16215" s="24"/>
      <c r="J16215" s="24"/>
      <c r="K16215" s="24"/>
      <c r="L16215" s="24"/>
      <c r="M16215" s="24"/>
      <c r="N16215" s="24"/>
      <c r="O16215" s="24"/>
      <c r="P16215" s="24"/>
      <c r="Q16215" s="24"/>
      <c r="R16215" s="24"/>
      <c r="S16215" s="24"/>
      <c r="T16215" s="24"/>
      <c r="U16215" s="24"/>
      <c r="V16215" s="24"/>
      <c r="W16215" s="24"/>
      <c r="X16215" s="24"/>
      <c r="Y16215" s="24"/>
      <c r="Z16215" s="24"/>
      <c r="AA16215" s="24"/>
    </row>
    <row r="16216">
      <c r="A16216" s="24"/>
      <c r="B16216" s="25"/>
      <c r="C16216" s="24"/>
      <c r="D16216" s="26"/>
      <c r="E16216" s="24"/>
      <c r="F16216" s="24"/>
      <c r="G16216" s="24"/>
      <c r="H16216" s="24"/>
      <c r="I16216" s="24"/>
      <c r="J16216" s="24"/>
      <c r="K16216" s="24"/>
      <c r="L16216" s="24"/>
      <c r="M16216" s="24"/>
      <c r="N16216" s="24"/>
      <c r="O16216" s="24"/>
      <c r="P16216" s="24"/>
      <c r="Q16216" s="24"/>
      <c r="R16216" s="24"/>
      <c r="S16216" s="24"/>
      <c r="T16216" s="24"/>
      <c r="U16216" s="24"/>
      <c r="V16216" s="24"/>
      <c r="W16216" s="24"/>
      <c r="X16216" s="24"/>
      <c r="Y16216" s="24"/>
      <c r="Z16216" s="24"/>
      <c r="AA16216" s="24"/>
    </row>
    <row r="16217">
      <c r="A16217" s="24"/>
      <c r="B16217" s="25"/>
      <c r="C16217" s="24"/>
      <c r="D16217" s="26"/>
      <c r="E16217" s="24"/>
      <c r="F16217" s="24"/>
      <c r="G16217" s="24"/>
      <c r="H16217" s="24"/>
      <c r="I16217" s="24"/>
      <c r="J16217" s="24"/>
      <c r="K16217" s="24"/>
      <c r="L16217" s="24"/>
      <c r="M16217" s="24"/>
      <c r="N16217" s="24"/>
      <c r="O16217" s="24"/>
      <c r="P16217" s="24"/>
      <c r="Q16217" s="24"/>
      <c r="R16217" s="24"/>
      <c r="S16217" s="24"/>
      <c r="T16217" s="24"/>
      <c r="U16217" s="24"/>
      <c r="V16217" s="24"/>
      <c r="W16217" s="24"/>
      <c r="X16217" s="24"/>
      <c r="Y16217" s="24"/>
      <c r="Z16217" s="24"/>
      <c r="AA16217" s="24"/>
    </row>
    <row r="16218">
      <c r="A16218" s="24"/>
      <c r="B16218" s="25"/>
      <c r="C16218" s="24"/>
      <c r="D16218" s="26"/>
      <c r="E16218" s="24"/>
      <c r="F16218" s="24"/>
      <c r="G16218" s="24"/>
      <c r="H16218" s="24"/>
      <c r="I16218" s="24"/>
      <c r="J16218" s="24"/>
      <c r="K16218" s="24"/>
      <c r="L16218" s="24"/>
      <c r="M16218" s="24"/>
      <c r="N16218" s="24"/>
      <c r="O16218" s="24"/>
      <c r="P16218" s="24"/>
      <c r="Q16218" s="24"/>
      <c r="R16218" s="24"/>
      <c r="S16218" s="24"/>
      <c r="T16218" s="24"/>
      <c r="U16218" s="24"/>
      <c r="V16218" s="24"/>
      <c r="W16218" s="24"/>
      <c r="X16218" s="24"/>
      <c r="Y16218" s="24"/>
      <c r="Z16218" s="24"/>
      <c r="AA16218" s="24"/>
    </row>
    <row r="16219">
      <c r="A16219" s="24"/>
      <c r="B16219" s="25"/>
      <c r="C16219" s="24"/>
      <c r="D16219" s="26"/>
      <c r="E16219" s="24"/>
      <c r="F16219" s="24"/>
      <c r="G16219" s="24"/>
      <c r="H16219" s="24"/>
      <c r="I16219" s="24"/>
      <c r="J16219" s="24"/>
      <c r="K16219" s="24"/>
      <c r="L16219" s="24"/>
      <c r="M16219" s="24"/>
      <c r="N16219" s="24"/>
      <c r="O16219" s="24"/>
      <c r="P16219" s="24"/>
      <c r="Q16219" s="24"/>
      <c r="R16219" s="24"/>
      <c r="S16219" s="24"/>
      <c r="T16219" s="24"/>
      <c r="U16219" s="24"/>
      <c r="V16219" s="24"/>
      <c r="W16219" s="24"/>
      <c r="X16219" s="24"/>
      <c r="Y16219" s="24"/>
      <c r="Z16219" s="24"/>
      <c r="AA16219" s="24"/>
    </row>
    <row r="16220">
      <c r="A16220" s="24"/>
      <c r="B16220" s="25"/>
      <c r="C16220" s="24"/>
      <c r="D16220" s="26"/>
      <c r="E16220" s="24"/>
      <c r="F16220" s="24"/>
      <c r="G16220" s="24"/>
      <c r="H16220" s="24"/>
      <c r="I16220" s="24"/>
      <c r="J16220" s="24"/>
      <c r="K16220" s="24"/>
      <c r="L16220" s="24"/>
      <c r="M16220" s="24"/>
      <c r="N16220" s="24"/>
      <c r="O16220" s="24"/>
      <c r="P16220" s="24"/>
      <c r="Q16220" s="24"/>
      <c r="R16220" s="24"/>
      <c r="S16220" s="24"/>
      <c r="T16220" s="24"/>
      <c r="U16220" s="24"/>
      <c r="V16220" s="24"/>
      <c r="W16220" s="24"/>
      <c r="X16220" s="24"/>
      <c r="Y16220" s="24"/>
      <c r="Z16220" s="24"/>
      <c r="AA16220" s="24"/>
    </row>
    <row r="16221">
      <c r="A16221" s="24"/>
      <c r="B16221" s="25"/>
      <c r="C16221" s="24"/>
      <c r="D16221" s="26"/>
      <c r="E16221" s="24"/>
      <c r="F16221" s="24"/>
      <c r="G16221" s="24"/>
      <c r="H16221" s="24"/>
      <c r="I16221" s="24"/>
      <c r="J16221" s="24"/>
      <c r="K16221" s="24"/>
      <c r="L16221" s="24"/>
      <c r="M16221" s="24"/>
      <c r="N16221" s="24"/>
      <c r="O16221" s="24"/>
      <c r="P16221" s="24"/>
      <c r="Q16221" s="24"/>
      <c r="R16221" s="24"/>
      <c r="S16221" s="24"/>
      <c r="T16221" s="24"/>
      <c r="U16221" s="24"/>
      <c r="V16221" s="24"/>
      <c r="W16221" s="24"/>
      <c r="X16221" s="24"/>
      <c r="Y16221" s="24"/>
      <c r="Z16221" s="24"/>
      <c r="AA16221" s="24"/>
    </row>
    <row r="16222">
      <c r="A16222" s="24"/>
      <c r="B16222" s="25"/>
      <c r="C16222" s="24"/>
      <c r="D16222" s="26"/>
      <c r="E16222" s="24"/>
      <c r="F16222" s="24"/>
      <c r="G16222" s="24"/>
      <c r="H16222" s="24"/>
      <c r="I16222" s="24"/>
      <c r="J16222" s="24"/>
      <c r="K16222" s="24"/>
      <c r="L16222" s="24"/>
      <c r="M16222" s="24"/>
      <c r="N16222" s="24"/>
      <c r="O16222" s="24"/>
      <c r="P16222" s="24"/>
      <c r="Q16222" s="24"/>
      <c r="R16222" s="24"/>
      <c r="S16222" s="24"/>
      <c r="T16222" s="24"/>
      <c r="U16222" s="24"/>
      <c r="V16222" s="24"/>
      <c r="W16222" s="24"/>
      <c r="X16222" s="24"/>
      <c r="Y16222" s="24"/>
      <c r="Z16222" s="24"/>
      <c r="AA16222" s="24"/>
    </row>
    <row r="16223">
      <c r="A16223" s="24"/>
      <c r="B16223" s="25"/>
      <c r="C16223" s="24"/>
      <c r="D16223" s="26"/>
      <c r="E16223" s="24"/>
      <c r="F16223" s="24"/>
      <c r="G16223" s="24"/>
      <c r="H16223" s="24"/>
      <c r="I16223" s="24"/>
      <c r="J16223" s="24"/>
      <c r="K16223" s="24"/>
      <c r="L16223" s="24"/>
      <c r="M16223" s="24"/>
      <c r="N16223" s="24"/>
      <c r="O16223" s="24"/>
      <c r="P16223" s="24"/>
      <c r="Q16223" s="24"/>
      <c r="R16223" s="24"/>
      <c r="S16223" s="24"/>
      <c r="T16223" s="24"/>
      <c r="U16223" s="24"/>
      <c r="V16223" s="24"/>
      <c r="W16223" s="24"/>
      <c r="X16223" s="24"/>
      <c r="Y16223" s="24"/>
      <c r="Z16223" s="24"/>
      <c r="AA16223" s="24"/>
    </row>
    <row r="16224">
      <c r="A16224" s="24"/>
      <c r="B16224" s="25"/>
      <c r="C16224" s="24"/>
      <c r="D16224" s="26"/>
      <c r="E16224" s="24"/>
      <c r="F16224" s="24"/>
      <c r="G16224" s="24"/>
      <c r="H16224" s="24"/>
      <c r="I16224" s="24"/>
      <c r="J16224" s="24"/>
      <c r="K16224" s="24"/>
      <c r="L16224" s="24"/>
      <c r="M16224" s="24"/>
      <c r="N16224" s="24"/>
      <c r="O16224" s="24"/>
      <c r="P16224" s="24"/>
      <c r="Q16224" s="24"/>
      <c r="R16224" s="24"/>
      <c r="S16224" s="24"/>
      <c r="T16224" s="24"/>
      <c r="U16224" s="24"/>
      <c r="V16224" s="24"/>
      <c r="W16224" s="24"/>
      <c r="X16224" s="24"/>
      <c r="Y16224" s="24"/>
      <c r="Z16224" s="24"/>
      <c r="AA16224" s="24"/>
    </row>
    <row r="16225">
      <c r="A16225" s="24"/>
      <c r="B16225" s="25"/>
      <c r="C16225" s="24"/>
      <c r="D16225" s="26"/>
      <c r="E16225" s="24"/>
      <c r="F16225" s="24"/>
      <c r="G16225" s="24"/>
      <c r="H16225" s="24"/>
      <c r="I16225" s="24"/>
      <c r="J16225" s="24"/>
      <c r="K16225" s="24"/>
      <c r="L16225" s="24"/>
      <c r="M16225" s="24"/>
      <c r="N16225" s="24"/>
      <c r="O16225" s="24"/>
      <c r="P16225" s="24"/>
      <c r="Q16225" s="24"/>
      <c r="R16225" s="24"/>
      <c r="S16225" s="24"/>
      <c r="T16225" s="24"/>
      <c r="U16225" s="24"/>
      <c r="V16225" s="24"/>
      <c r="W16225" s="24"/>
      <c r="X16225" s="24"/>
      <c r="Y16225" s="24"/>
      <c r="Z16225" s="24"/>
      <c r="AA16225" s="24"/>
    </row>
    <row r="16226">
      <c r="A16226" s="24"/>
      <c r="B16226" s="25"/>
      <c r="C16226" s="24"/>
      <c r="D16226" s="26"/>
      <c r="E16226" s="24"/>
      <c r="F16226" s="24"/>
      <c r="G16226" s="24"/>
      <c r="H16226" s="24"/>
      <c r="I16226" s="24"/>
      <c r="J16226" s="24"/>
      <c r="K16226" s="24"/>
      <c r="L16226" s="24"/>
      <c r="M16226" s="24"/>
      <c r="N16226" s="24"/>
      <c r="O16226" s="24"/>
      <c r="P16226" s="24"/>
      <c r="Q16226" s="24"/>
      <c r="R16226" s="24"/>
      <c r="S16226" s="24"/>
      <c r="T16226" s="24"/>
      <c r="U16226" s="24"/>
      <c r="V16226" s="24"/>
      <c r="W16226" s="24"/>
      <c r="X16226" s="24"/>
      <c r="Y16226" s="24"/>
      <c r="Z16226" s="24"/>
      <c r="AA16226" s="24"/>
    </row>
    <row r="16227">
      <c r="A16227" s="24"/>
      <c r="B16227" s="25"/>
      <c r="C16227" s="24"/>
      <c r="D16227" s="26"/>
      <c r="E16227" s="24"/>
      <c r="F16227" s="24"/>
      <c r="G16227" s="24"/>
      <c r="H16227" s="24"/>
      <c r="I16227" s="24"/>
      <c r="J16227" s="24"/>
      <c r="K16227" s="24"/>
      <c r="L16227" s="24"/>
      <c r="M16227" s="24"/>
      <c r="N16227" s="24"/>
      <c r="O16227" s="24"/>
      <c r="P16227" s="24"/>
      <c r="Q16227" s="24"/>
      <c r="R16227" s="24"/>
      <c r="S16227" s="24"/>
      <c r="T16227" s="24"/>
      <c r="U16227" s="24"/>
      <c r="V16227" s="24"/>
      <c r="W16227" s="24"/>
      <c r="X16227" s="24"/>
      <c r="Y16227" s="24"/>
      <c r="Z16227" s="24"/>
      <c r="AA16227" s="24"/>
    </row>
    <row r="16228">
      <c r="A16228" s="24"/>
      <c r="B16228" s="25"/>
      <c r="C16228" s="24"/>
      <c r="D16228" s="26"/>
      <c r="E16228" s="24"/>
      <c r="F16228" s="24"/>
      <c r="G16228" s="24"/>
      <c r="H16228" s="24"/>
      <c r="I16228" s="24"/>
      <c r="J16228" s="24"/>
      <c r="K16228" s="24"/>
      <c r="L16228" s="24"/>
      <c r="M16228" s="24"/>
      <c r="N16228" s="24"/>
      <c r="O16228" s="24"/>
      <c r="P16228" s="24"/>
      <c r="Q16228" s="24"/>
      <c r="R16228" s="24"/>
      <c r="S16228" s="24"/>
      <c r="T16228" s="24"/>
      <c r="U16228" s="24"/>
      <c r="V16228" s="24"/>
      <c r="W16228" s="24"/>
      <c r="X16228" s="24"/>
      <c r="Y16228" s="24"/>
      <c r="Z16228" s="24"/>
      <c r="AA16228" s="24"/>
    </row>
    <row r="16229">
      <c r="A16229" s="24"/>
      <c r="B16229" s="25"/>
      <c r="C16229" s="24"/>
      <c r="D16229" s="26"/>
      <c r="E16229" s="24"/>
      <c r="F16229" s="24"/>
      <c r="G16229" s="24"/>
      <c r="H16229" s="24"/>
      <c r="I16229" s="24"/>
      <c r="J16229" s="24"/>
      <c r="K16229" s="24"/>
      <c r="L16229" s="24"/>
      <c r="M16229" s="24"/>
      <c r="N16229" s="24"/>
      <c r="O16229" s="24"/>
      <c r="P16229" s="24"/>
      <c r="Q16229" s="24"/>
      <c r="R16229" s="24"/>
      <c r="S16229" s="24"/>
      <c r="T16229" s="24"/>
      <c r="U16229" s="24"/>
      <c r="V16229" s="24"/>
      <c r="W16229" s="24"/>
      <c r="X16229" s="24"/>
      <c r="Y16229" s="24"/>
      <c r="Z16229" s="24"/>
      <c r="AA16229" s="24"/>
    </row>
    <row r="16230">
      <c r="A16230" s="24"/>
      <c r="B16230" s="25"/>
      <c r="C16230" s="24"/>
      <c r="D16230" s="26"/>
      <c r="E16230" s="24"/>
      <c r="F16230" s="24"/>
      <c r="G16230" s="24"/>
      <c r="H16230" s="24"/>
      <c r="I16230" s="24"/>
      <c r="J16230" s="24"/>
      <c r="K16230" s="24"/>
      <c r="L16230" s="24"/>
      <c r="M16230" s="24"/>
      <c r="N16230" s="24"/>
      <c r="O16230" s="24"/>
      <c r="P16230" s="24"/>
      <c r="Q16230" s="24"/>
      <c r="R16230" s="24"/>
      <c r="S16230" s="24"/>
      <c r="T16230" s="24"/>
      <c r="U16230" s="24"/>
      <c r="V16230" s="24"/>
      <c r="W16230" s="24"/>
      <c r="X16230" s="24"/>
      <c r="Y16230" s="24"/>
      <c r="Z16230" s="24"/>
      <c r="AA16230" s="24"/>
    </row>
    <row r="16231">
      <c r="A16231" s="24"/>
      <c r="B16231" s="25"/>
      <c r="C16231" s="24"/>
      <c r="D16231" s="26"/>
      <c r="E16231" s="24"/>
      <c r="F16231" s="24"/>
      <c r="G16231" s="24"/>
      <c r="H16231" s="24"/>
      <c r="I16231" s="24"/>
      <c r="J16231" s="24"/>
      <c r="K16231" s="24"/>
      <c r="L16231" s="24"/>
      <c r="M16231" s="24"/>
      <c r="N16231" s="24"/>
      <c r="O16231" s="24"/>
      <c r="P16231" s="24"/>
      <c r="Q16231" s="24"/>
      <c r="R16231" s="24"/>
      <c r="S16231" s="24"/>
      <c r="T16231" s="24"/>
      <c r="U16231" s="24"/>
      <c r="V16231" s="24"/>
      <c r="W16231" s="24"/>
      <c r="X16231" s="24"/>
      <c r="Y16231" s="24"/>
      <c r="Z16231" s="24"/>
      <c r="AA16231" s="24"/>
    </row>
    <row r="16232">
      <c r="A16232" s="24"/>
      <c r="B16232" s="25"/>
      <c r="C16232" s="24"/>
      <c r="D16232" s="26"/>
      <c r="E16232" s="24"/>
      <c r="F16232" s="24"/>
      <c r="G16232" s="24"/>
      <c r="H16232" s="24"/>
      <c r="I16232" s="24"/>
      <c r="J16232" s="24"/>
      <c r="K16232" s="24"/>
      <c r="L16232" s="24"/>
      <c r="M16232" s="24"/>
      <c r="N16232" s="24"/>
      <c r="O16232" s="24"/>
      <c r="P16232" s="24"/>
      <c r="Q16232" s="24"/>
      <c r="R16232" s="24"/>
      <c r="S16232" s="24"/>
      <c r="T16232" s="24"/>
      <c r="U16232" s="24"/>
      <c r="V16232" s="24"/>
      <c r="W16232" s="24"/>
      <c r="X16232" s="24"/>
      <c r="Y16232" s="24"/>
      <c r="Z16232" s="24"/>
      <c r="AA16232" s="24"/>
    </row>
    <row r="16233">
      <c r="A16233" s="24"/>
      <c r="B16233" s="25"/>
      <c r="C16233" s="24"/>
      <c r="D16233" s="26"/>
      <c r="E16233" s="24"/>
      <c r="F16233" s="24"/>
      <c r="G16233" s="24"/>
      <c r="H16233" s="24"/>
      <c r="I16233" s="24"/>
      <c r="J16233" s="24"/>
      <c r="K16233" s="24"/>
      <c r="L16233" s="24"/>
      <c r="M16233" s="24"/>
      <c r="N16233" s="24"/>
      <c r="O16233" s="24"/>
      <c r="P16233" s="24"/>
      <c r="Q16233" s="24"/>
      <c r="R16233" s="24"/>
      <c r="S16233" s="24"/>
      <c r="T16233" s="24"/>
      <c r="U16233" s="24"/>
      <c r="V16233" s="24"/>
      <c r="W16233" s="24"/>
      <c r="X16233" s="24"/>
      <c r="Y16233" s="24"/>
      <c r="Z16233" s="24"/>
      <c r="AA16233" s="24"/>
    </row>
    <row r="16234">
      <c r="A16234" s="24"/>
      <c r="B16234" s="25"/>
      <c r="C16234" s="24"/>
      <c r="D16234" s="26"/>
      <c r="E16234" s="24"/>
      <c r="F16234" s="24"/>
      <c r="G16234" s="24"/>
      <c r="H16234" s="24"/>
      <c r="I16234" s="24"/>
      <c r="J16234" s="24"/>
      <c r="K16234" s="24"/>
      <c r="L16234" s="24"/>
      <c r="M16234" s="24"/>
      <c r="N16234" s="24"/>
      <c r="O16234" s="24"/>
      <c r="P16234" s="24"/>
      <c r="Q16234" s="24"/>
      <c r="R16234" s="24"/>
      <c r="S16234" s="24"/>
      <c r="T16234" s="24"/>
      <c r="U16234" s="24"/>
      <c r="V16234" s="24"/>
      <c r="W16234" s="24"/>
      <c r="X16234" s="24"/>
      <c r="Y16234" s="24"/>
      <c r="Z16234" s="24"/>
      <c r="AA16234" s="24"/>
    </row>
    <row r="16235">
      <c r="A16235" s="24"/>
      <c r="B16235" s="25"/>
      <c r="C16235" s="24"/>
      <c r="D16235" s="26"/>
      <c r="E16235" s="24"/>
      <c r="F16235" s="24"/>
      <c r="G16235" s="24"/>
      <c r="H16235" s="24"/>
      <c r="I16235" s="24"/>
      <c r="J16235" s="24"/>
      <c r="K16235" s="24"/>
      <c r="L16235" s="24"/>
      <c r="M16235" s="24"/>
      <c r="N16235" s="24"/>
      <c r="O16235" s="24"/>
      <c r="P16235" s="24"/>
      <c r="Q16235" s="24"/>
      <c r="R16235" s="24"/>
      <c r="S16235" s="24"/>
      <c r="T16235" s="24"/>
      <c r="U16235" s="24"/>
      <c r="V16235" s="24"/>
      <c r="W16235" s="24"/>
      <c r="X16235" s="24"/>
      <c r="Y16235" s="24"/>
      <c r="Z16235" s="24"/>
      <c r="AA16235" s="24"/>
    </row>
    <row r="16236">
      <c r="A16236" s="24"/>
      <c r="B16236" s="25"/>
      <c r="C16236" s="24"/>
      <c r="D16236" s="26"/>
      <c r="E16236" s="24"/>
      <c r="F16236" s="24"/>
      <c r="G16236" s="24"/>
      <c r="H16236" s="24"/>
      <c r="I16236" s="24"/>
      <c r="J16236" s="24"/>
      <c r="K16236" s="24"/>
      <c r="L16236" s="24"/>
      <c r="M16236" s="24"/>
      <c r="N16236" s="24"/>
      <c r="O16236" s="24"/>
      <c r="P16236" s="24"/>
      <c r="Q16236" s="24"/>
      <c r="R16236" s="24"/>
      <c r="S16236" s="24"/>
      <c r="T16236" s="24"/>
      <c r="U16236" s="24"/>
      <c r="V16236" s="24"/>
      <c r="W16236" s="24"/>
      <c r="X16236" s="24"/>
      <c r="Y16236" s="24"/>
      <c r="Z16236" s="24"/>
      <c r="AA16236" s="24"/>
    </row>
    <row r="16237">
      <c r="A16237" s="24"/>
      <c r="B16237" s="25"/>
      <c r="C16237" s="24"/>
      <c r="D16237" s="26"/>
      <c r="E16237" s="24"/>
      <c r="F16237" s="24"/>
      <c r="G16237" s="24"/>
      <c r="H16237" s="24"/>
      <c r="I16237" s="24"/>
      <c r="J16237" s="24"/>
      <c r="K16237" s="24"/>
      <c r="L16237" s="24"/>
      <c r="M16237" s="24"/>
      <c r="N16237" s="24"/>
      <c r="O16237" s="24"/>
      <c r="P16237" s="24"/>
      <c r="Q16237" s="24"/>
      <c r="R16237" s="24"/>
      <c r="S16237" s="24"/>
      <c r="T16237" s="24"/>
      <c r="U16237" s="24"/>
      <c r="V16237" s="24"/>
      <c r="W16237" s="24"/>
      <c r="X16237" s="24"/>
      <c r="Y16237" s="24"/>
      <c r="Z16237" s="24"/>
      <c r="AA16237" s="24"/>
    </row>
    <row r="16238">
      <c r="A16238" s="24"/>
      <c r="B16238" s="25"/>
      <c r="C16238" s="24"/>
      <c r="D16238" s="26"/>
      <c r="E16238" s="24"/>
      <c r="F16238" s="24"/>
      <c r="G16238" s="24"/>
      <c r="H16238" s="24"/>
      <c r="I16238" s="24"/>
      <c r="J16238" s="24"/>
      <c r="K16238" s="24"/>
      <c r="L16238" s="24"/>
      <c r="M16238" s="24"/>
      <c r="N16238" s="24"/>
      <c r="O16238" s="24"/>
      <c r="P16238" s="24"/>
      <c r="Q16238" s="24"/>
      <c r="R16238" s="24"/>
      <c r="S16238" s="24"/>
      <c r="T16238" s="24"/>
      <c r="U16238" s="24"/>
      <c r="V16238" s="24"/>
      <c r="W16238" s="24"/>
      <c r="X16238" s="24"/>
      <c r="Y16238" s="24"/>
      <c r="Z16238" s="24"/>
      <c r="AA16238" s="24"/>
    </row>
    <row r="16239">
      <c r="A16239" s="24"/>
      <c r="B16239" s="25"/>
      <c r="C16239" s="24"/>
      <c r="D16239" s="26"/>
      <c r="E16239" s="24"/>
      <c r="F16239" s="24"/>
      <c r="G16239" s="24"/>
      <c r="H16239" s="24"/>
      <c r="I16239" s="24"/>
      <c r="J16239" s="24"/>
      <c r="K16239" s="24"/>
      <c r="L16239" s="24"/>
      <c r="M16239" s="24"/>
      <c r="N16239" s="24"/>
      <c r="O16239" s="24"/>
      <c r="P16239" s="24"/>
      <c r="Q16239" s="24"/>
      <c r="R16239" s="24"/>
      <c r="S16239" s="24"/>
      <c r="T16239" s="24"/>
      <c r="U16239" s="24"/>
      <c r="V16239" s="24"/>
      <c r="W16239" s="24"/>
      <c r="X16239" s="24"/>
      <c r="Y16239" s="24"/>
      <c r="Z16239" s="24"/>
      <c r="AA16239" s="24"/>
    </row>
    <row r="16240">
      <c r="A16240" s="24"/>
      <c r="B16240" s="25"/>
      <c r="C16240" s="24"/>
      <c r="D16240" s="26"/>
      <c r="E16240" s="24"/>
      <c r="F16240" s="24"/>
      <c r="G16240" s="24"/>
      <c r="H16240" s="24"/>
      <c r="I16240" s="24"/>
      <c r="J16240" s="24"/>
      <c r="K16240" s="24"/>
      <c r="L16240" s="24"/>
      <c r="M16240" s="24"/>
      <c r="N16240" s="24"/>
      <c r="O16240" s="24"/>
      <c r="P16240" s="24"/>
      <c r="Q16240" s="24"/>
      <c r="R16240" s="24"/>
      <c r="S16240" s="24"/>
      <c r="T16240" s="24"/>
      <c r="U16240" s="24"/>
      <c r="V16240" s="24"/>
      <c r="W16240" s="24"/>
      <c r="X16240" s="24"/>
      <c r="Y16240" s="24"/>
      <c r="Z16240" s="24"/>
      <c r="AA16240" s="24"/>
    </row>
    <row r="16241">
      <c r="A16241" s="24"/>
      <c r="B16241" s="25"/>
      <c r="C16241" s="24"/>
      <c r="D16241" s="26"/>
      <c r="E16241" s="24"/>
      <c r="F16241" s="24"/>
      <c r="G16241" s="24"/>
      <c r="H16241" s="24"/>
      <c r="I16241" s="24"/>
      <c r="J16241" s="24"/>
      <c r="K16241" s="24"/>
      <c r="L16241" s="24"/>
      <c r="M16241" s="24"/>
      <c r="N16241" s="24"/>
      <c r="O16241" s="24"/>
      <c r="P16241" s="24"/>
      <c r="Q16241" s="24"/>
      <c r="R16241" s="24"/>
      <c r="S16241" s="24"/>
      <c r="T16241" s="24"/>
      <c r="U16241" s="24"/>
      <c r="V16241" s="24"/>
      <c r="W16241" s="24"/>
      <c r="X16241" s="24"/>
      <c r="Y16241" s="24"/>
      <c r="Z16241" s="24"/>
      <c r="AA16241" s="24"/>
    </row>
    <row r="16242">
      <c r="A16242" s="24"/>
      <c r="B16242" s="25"/>
      <c r="C16242" s="24"/>
      <c r="D16242" s="26"/>
      <c r="E16242" s="24"/>
      <c r="F16242" s="24"/>
      <c r="G16242" s="24"/>
      <c r="H16242" s="24"/>
      <c r="I16242" s="24"/>
      <c r="J16242" s="24"/>
      <c r="K16242" s="24"/>
      <c r="L16242" s="24"/>
      <c r="M16242" s="24"/>
      <c r="N16242" s="24"/>
      <c r="O16242" s="24"/>
      <c r="P16242" s="24"/>
      <c r="Q16242" s="24"/>
      <c r="R16242" s="24"/>
      <c r="S16242" s="24"/>
      <c r="T16242" s="24"/>
      <c r="U16242" s="24"/>
      <c r="V16242" s="24"/>
      <c r="W16242" s="24"/>
      <c r="X16242" s="24"/>
      <c r="Y16242" s="24"/>
      <c r="Z16242" s="24"/>
      <c r="AA16242" s="24"/>
    </row>
    <row r="16243">
      <c r="A16243" s="24"/>
      <c r="B16243" s="25"/>
      <c r="C16243" s="24"/>
      <c r="D16243" s="26"/>
      <c r="E16243" s="24"/>
      <c r="F16243" s="24"/>
      <c r="G16243" s="24"/>
      <c r="H16243" s="24"/>
      <c r="I16243" s="24"/>
      <c r="J16243" s="24"/>
      <c r="K16243" s="24"/>
      <c r="L16243" s="24"/>
      <c r="M16243" s="24"/>
      <c r="N16243" s="24"/>
      <c r="O16243" s="24"/>
      <c r="P16243" s="24"/>
      <c r="Q16243" s="24"/>
      <c r="R16243" s="24"/>
      <c r="S16243" s="24"/>
      <c r="T16243" s="24"/>
      <c r="U16243" s="24"/>
      <c r="V16243" s="24"/>
      <c r="W16243" s="24"/>
      <c r="X16243" s="24"/>
      <c r="Y16243" s="24"/>
      <c r="Z16243" s="24"/>
      <c r="AA16243" s="24"/>
    </row>
    <row r="16244">
      <c r="A16244" s="24"/>
      <c r="B16244" s="25"/>
      <c r="C16244" s="24"/>
      <c r="D16244" s="26"/>
      <c r="E16244" s="24"/>
      <c r="F16244" s="24"/>
      <c r="G16244" s="24"/>
      <c r="H16244" s="24"/>
      <c r="I16244" s="24"/>
      <c r="J16244" s="24"/>
      <c r="K16244" s="24"/>
      <c r="L16244" s="24"/>
      <c r="M16244" s="24"/>
      <c r="N16244" s="24"/>
      <c r="O16244" s="24"/>
      <c r="P16244" s="24"/>
      <c r="Q16244" s="24"/>
      <c r="R16244" s="24"/>
      <c r="S16244" s="24"/>
      <c r="T16244" s="24"/>
      <c r="U16244" s="24"/>
      <c r="V16244" s="24"/>
      <c r="W16244" s="24"/>
      <c r="X16244" s="24"/>
      <c r="Y16244" s="24"/>
      <c r="Z16244" s="24"/>
      <c r="AA16244" s="24"/>
    </row>
    <row r="16245">
      <c r="A16245" s="24"/>
      <c r="B16245" s="25"/>
      <c r="C16245" s="24"/>
      <c r="D16245" s="26"/>
      <c r="E16245" s="24"/>
      <c r="F16245" s="24"/>
      <c r="G16245" s="24"/>
      <c r="H16245" s="24"/>
      <c r="I16245" s="24"/>
      <c r="J16245" s="24"/>
      <c r="K16245" s="24"/>
      <c r="L16245" s="24"/>
      <c r="M16245" s="24"/>
      <c r="N16245" s="24"/>
      <c r="O16245" s="24"/>
      <c r="P16245" s="24"/>
      <c r="Q16245" s="24"/>
      <c r="R16245" s="24"/>
      <c r="S16245" s="24"/>
      <c r="T16245" s="24"/>
      <c r="U16245" s="24"/>
      <c r="V16245" s="24"/>
      <c r="W16245" s="24"/>
      <c r="X16245" s="24"/>
      <c r="Y16245" s="24"/>
      <c r="Z16245" s="24"/>
      <c r="AA16245" s="24"/>
    </row>
    <row r="16246">
      <c r="A16246" s="24"/>
      <c r="B16246" s="25"/>
      <c r="C16246" s="24"/>
      <c r="D16246" s="26"/>
      <c r="E16246" s="24"/>
      <c r="F16246" s="24"/>
      <c r="G16246" s="24"/>
      <c r="H16246" s="24"/>
      <c r="I16246" s="24"/>
      <c r="J16246" s="24"/>
      <c r="K16246" s="24"/>
      <c r="L16246" s="24"/>
      <c r="M16246" s="24"/>
      <c r="N16246" s="24"/>
      <c r="O16246" s="24"/>
      <c r="P16246" s="24"/>
      <c r="Q16246" s="24"/>
      <c r="R16246" s="24"/>
      <c r="S16246" s="24"/>
      <c r="T16246" s="24"/>
      <c r="U16246" s="24"/>
      <c r="V16246" s="24"/>
      <c r="W16246" s="24"/>
      <c r="X16246" s="24"/>
      <c r="Y16246" s="24"/>
      <c r="Z16246" s="24"/>
      <c r="AA16246" s="24"/>
    </row>
    <row r="16247">
      <c r="A16247" s="24"/>
      <c r="B16247" s="25"/>
      <c r="C16247" s="24"/>
      <c r="D16247" s="26"/>
      <c r="E16247" s="24"/>
      <c r="F16247" s="24"/>
      <c r="G16247" s="24"/>
      <c r="H16247" s="24"/>
      <c r="I16247" s="24"/>
      <c r="J16247" s="24"/>
      <c r="K16247" s="24"/>
      <c r="L16247" s="24"/>
      <c r="M16247" s="24"/>
      <c r="N16247" s="24"/>
      <c r="O16247" s="24"/>
      <c r="P16247" s="24"/>
      <c r="Q16247" s="24"/>
      <c r="R16247" s="24"/>
      <c r="S16247" s="24"/>
      <c r="T16247" s="24"/>
      <c r="U16247" s="24"/>
      <c r="V16247" s="24"/>
      <c r="W16247" s="24"/>
      <c r="X16247" s="24"/>
      <c r="Y16247" s="24"/>
      <c r="Z16247" s="24"/>
      <c r="AA16247" s="24"/>
    </row>
    <row r="16248">
      <c r="A16248" s="24"/>
      <c r="B16248" s="25"/>
      <c r="C16248" s="24"/>
      <c r="D16248" s="26"/>
      <c r="E16248" s="24"/>
      <c r="F16248" s="24"/>
      <c r="G16248" s="24"/>
      <c r="H16248" s="24"/>
      <c r="I16248" s="24"/>
      <c r="J16248" s="24"/>
      <c r="K16248" s="24"/>
      <c r="L16248" s="24"/>
      <c r="M16248" s="24"/>
      <c r="N16248" s="24"/>
      <c r="O16248" s="24"/>
      <c r="P16248" s="24"/>
      <c r="Q16248" s="24"/>
      <c r="R16248" s="24"/>
      <c r="S16248" s="24"/>
      <c r="T16248" s="24"/>
      <c r="U16248" s="24"/>
      <c r="V16248" s="24"/>
      <c r="W16248" s="24"/>
      <c r="X16248" s="24"/>
      <c r="Y16248" s="24"/>
      <c r="Z16248" s="24"/>
      <c r="AA16248" s="24"/>
    </row>
    <row r="16249">
      <c r="A16249" s="24"/>
      <c r="B16249" s="25"/>
      <c r="C16249" s="24"/>
      <c r="D16249" s="26"/>
      <c r="E16249" s="24"/>
      <c r="F16249" s="24"/>
      <c r="G16249" s="24"/>
      <c r="H16249" s="24"/>
      <c r="I16249" s="24"/>
      <c r="J16249" s="24"/>
      <c r="K16249" s="24"/>
      <c r="L16249" s="24"/>
      <c r="M16249" s="24"/>
      <c r="N16249" s="24"/>
      <c r="O16249" s="24"/>
      <c r="P16249" s="24"/>
      <c r="Q16249" s="24"/>
      <c r="R16249" s="24"/>
      <c r="S16249" s="24"/>
      <c r="T16249" s="24"/>
      <c r="U16249" s="24"/>
      <c r="V16249" s="24"/>
      <c r="W16249" s="24"/>
      <c r="X16249" s="24"/>
      <c r="Y16249" s="24"/>
      <c r="Z16249" s="24"/>
      <c r="AA16249" s="24"/>
    </row>
    <row r="16250">
      <c r="A16250" s="24"/>
      <c r="B16250" s="25"/>
      <c r="C16250" s="24"/>
      <c r="D16250" s="26"/>
      <c r="E16250" s="24"/>
      <c r="F16250" s="24"/>
      <c r="G16250" s="24"/>
      <c r="H16250" s="24"/>
      <c r="I16250" s="24"/>
      <c r="J16250" s="24"/>
      <c r="K16250" s="24"/>
      <c r="L16250" s="24"/>
      <c r="M16250" s="24"/>
      <c r="N16250" s="24"/>
      <c r="O16250" s="24"/>
      <c r="P16250" s="24"/>
      <c r="Q16250" s="24"/>
      <c r="R16250" s="24"/>
      <c r="S16250" s="24"/>
      <c r="T16250" s="24"/>
      <c r="U16250" s="24"/>
      <c r="V16250" s="24"/>
      <c r="W16250" s="24"/>
      <c r="X16250" s="24"/>
      <c r="Y16250" s="24"/>
      <c r="Z16250" s="24"/>
      <c r="AA16250" s="24"/>
    </row>
    <row r="16251">
      <c r="A16251" s="24"/>
      <c r="B16251" s="25"/>
      <c r="C16251" s="24"/>
      <c r="D16251" s="26"/>
      <c r="E16251" s="24"/>
      <c r="F16251" s="24"/>
      <c r="G16251" s="24"/>
      <c r="H16251" s="24"/>
      <c r="I16251" s="24"/>
      <c r="J16251" s="24"/>
      <c r="K16251" s="24"/>
      <c r="L16251" s="24"/>
      <c r="M16251" s="24"/>
      <c r="N16251" s="24"/>
      <c r="O16251" s="24"/>
      <c r="P16251" s="24"/>
      <c r="Q16251" s="24"/>
      <c r="R16251" s="24"/>
      <c r="S16251" s="24"/>
      <c r="T16251" s="24"/>
      <c r="U16251" s="24"/>
      <c r="V16251" s="24"/>
      <c r="W16251" s="24"/>
      <c r="X16251" s="24"/>
      <c r="Y16251" s="24"/>
      <c r="Z16251" s="24"/>
      <c r="AA16251" s="24"/>
    </row>
    <row r="16252">
      <c r="A16252" s="24"/>
      <c r="B16252" s="25"/>
      <c r="C16252" s="24"/>
      <c r="D16252" s="26"/>
      <c r="E16252" s="24"/>
      <c r="F16252" s="24"/>
      <c r="G16252" s="24"/>
      <c r="H16252" s="24"/>
      <c r="I16252" s="24"/>
      <c r="J16252" s="24"/>
      <c r="K16252" s="24"/>
      <c r="L16252" s="24"/>
      <c r="M16252" s="24"/>
      <c r="N16252" s="24"/>
      <c r="O16252" s="24"/>
      <c r="P16252" s="24"/>
      <c r="Q16252" s="24"/>
      <c r="R16252" s="24"/>
      <c r="S16252" s="24"/>
      <c r="T16252" s="24"/>
      <c r="U16252" s="24"/>
      <c r="V16252" s="24"/>
      <c r="W16252" s="24"/>
      <c r="X16252" s="24"/>
      <c r="Y16252" s="24"/>
      <c r="Z16252" s="24"/>
      <c r="AA16252" s="24"/>
    </row>
    <row r="16253">
      <c r="A16253" s="24"/>
      <c r="B16253" s="25"/>
      <c r="C16253" s="24"/>
      <c r="D16253" s="26"/>
      <c r="E16253" s="24"/>
      <c r="F16253" s="24"/>
      <c r="G16253" s="24"/>
      <c r="H16253" s="24"/>
      <c r="I16253" s="24"/>
      <c r="J16253" s="24"/>
      <c r="K16253" s="24"/>
      <c r="L16253" s="24"/>
      <c r="M16253" s="24"/>
      <c r="N16253" s="24"/>
      <c r="O16253" s="24"/>
      <c r="P16253" s="24"/>
      <c r="Q16253" s="24"/>
      <c r="R16253" s="24"/>
      <c r="S16253" s="24"/>
      <c r="T16253" s="24"/>
      <c r="U16253" s="24"/>
      <c r="V16253" s="24"/>
      <c r="W16253" s="24"/>
      <c r="X16253" s="24"/>
      <c r="Y16253" s="24"/>
      <c r="Z16253" s="24"/>
      <c r="AA16253" s="24"/>
    </row>
    <row r="16254">
      <c r="A16254" s="24"/>
      <c r="B16254" s="25"/>
      <c r="C16254" s="24"/>
      <c r="D16254" s="26"/>
      <c r="E16254" s="24"/>
      <c r="F16254" s="24"/>
      <c r="G16254" s="24"/>
      <c r="H16254" s="24"/>
      <c r="I16254" s="24"/>
      <c r="J16254" s="24"/>
      <c r="K16254" s="24"/>
      <c r="L16254" s="24"/>
      <c r="M16254" s="24"/>
      <c r="N16254" s="24"/>
      <c r="O16254" s="24"/>
      <c r="P16254" s="24"/>
      <c r="Q16254" s="24"/>
      <c r="R16254" s="24"/>
      <c r="S16254" s="24"/>
      <c r="T16254" s="24"/>
      <c r="U16254" s="24"/>
      <c r="V16254" s="24"/>
      <c r="W16254" s="24"/>
      <c r="X16254" s="24"/>
      <c r="Y16254" s="24"/>
      <c r="Z16254" s="24"/>
      <c r="AA16254" s="24"/>
    </row>
    <row r="16255">
      <c r="A16255" s="24"/>
      <c r="B16255" s="25"/>
      <c r="C16255" s="24"/>
      <c r="D16255" s="26"/>
      <c r="E16255" s="24"/>
      <c r="F16255" s="24"/>
      <c r="G16255" s="24"/>
      <c r="H16255" s="24"/>
      <c r="I16255" s="24"/>
      <c r="J16255" s="24"/>
      <c r="K16255" s="24"/>
      <c r="L16255" s="24"/>
      <c r="M16255" s="24"/>
      <c r="N16255" s="24"/>
      <c r="O16255" s="24"/>
      <c r="P16255" s="24"/>
      <c r="Q16255" s="24"/>
      <c r="R16255" s="24"/>
      <c r="S16255" s="24"/>
      <c r="T16255" s="24"/>
      <c r="U16255" s="24"/>
      <c r="V16255" s="24"/>
      <c r="W16255" s="24"/>
      <c r="X16255" s="24"/>
      <c r="Y16255" s="24"/>
      <c r="Z16255" s="24"/>
      <c r="AA16255" s="24"/>
    </row>
    <row r="16256">
      <c r="A16256" s="24"/>
      <c r="B16256" s="25"/>
      <c r="C16256" s="24"/>
      <c r="D16256" s="26"/>
      <c r="E16256" s="24"/>
      <c r="F16256" s="24"/>
      <c r="G16256" s="24"/>
      <c r="H16256" s="24"/>
      <c r="I16256" s="24"/>
      <c r="J16256" s="24"/>
      <c r="K16256" s="24"/>
      <c r="L16256" s="24"/>
      <c r="M16256" s="24"/>
      <c r="N16256" s="24"/>
      <c r="O16256" s="24"/>
      <c r="P16256" s="24"/>
      <c r="Q16256" s="24"/>
      <c r="R16256" s="24"/>
      <c r="S16256" s="24"/>
      <c r="T16256" s="24"/>
      <c r="U16256" s="24"/>
      <c r="V16256" s="24"/>
      <c r="W16256" s="24"/>
      <c r="X16256" s="24"/>
      <c r="Y16256" s="24"/>
      <c r="Z16256" s="24"/>
      <c r="AA16256" s="24"/>
    </row>
    <row r="16257">
      <c r="A16257" s="24"/>
      <c r="B16257" s="25"/>
      <c r="C16257" s="24"/>
      <c r="D16257" s="26"/>
      <c r="E16257" s="24"/>
      <c r="F16257" s="24"/>
      <c r="G16257" s="24"/>
      <c r="H16257" s="24"/>
      <c r="I16257" s="24"/>
      <c r="J16257" s="24"/>
      <c r="K16257" s="24"/>
      <c r="L16257" s="24"/>
      <c r="M16257" s="24"/>
      <c r="N16257" s="24"/>
      <c r="O16257" s="24"/>
      <c r="P16257" s="24"/>
      <c r="Q16257" s="24"/>
      <c r="R16257" s="24"/>
      <c r="S16257" s="24"/>
      <c r="T16257" s="24"/>
      <c r="U16257" s="24"/>
      <c r="V16257" s="24"/>
      <c r="W16257" s="24"/>
      <c r="X16257" s="24"/>
      <c r="Y16257" s="24"/>
      <c r="Z16257" s="24"/>
      <c r="AA16257" s="24"/>
    </row>
    <row r="16258">
      <c r="A16258" s="24"/>
      <c r="B16258" s="25"/>
      <c r="C16258" s="24"/>
      <c r="D16258" s="26"/>
      <c r="E16258" s="24"/>
      <c r="F16258" s="24"/>
      <c r="G16258" s="24"/>
      <c r="H16258" s="24"/>
      <c r="I16258" s="24"/>
      <c r="J16258" s="24"/>
      <c r="K16258" s="24"/>
      <c r="L16258" s="24"/>
      <c r="M16258" s="24"/>
      <c r="N16258" s="24"/>
      <c r="O16258" s="24"/>
      <c r="P16258" s="24"/>
      <c r="Q16258" s="24"/>
      <c r="R16258" s="24"/>
      <c r="S16258" s="24"/>
      <c r="T16258" s="24"/>
      <c r="U16258" s="24"/>
      <c r="V16258" s="24"/>
      <c r="W16258" s="24"/>
      <c r="X16258" s="24"/>
      <c r="Y16258" s="24"/>
      <c r="Z16258" s="24"/>
      <c r="AA16258" s="24"/>
    </row>
    <row r="16259">
      <c r="A16259" s="24"/>
      <c r="B16259" s="25"/>
      <c r="C16259" s="24"/>
      <c r="D16259" s="26"/>
      <c r="E16259" s="24"/>
      <c r="F16259" s="24"/>
      <c r="G16259" s="24"/>
      <c r="H16259" s="24"/>
      <c r="I16259" s="24"/>
      <c r="J16259" s="24"/>
      <c r="K16259" s="24"/>
      <c r="L16259" s="24"/>
      <c r="M16259" s="24"/>
      <c r="N16259" s="24"/>
      <c r="O16259" s="24"/>
      <c r="P16259" s="24"/>
      <c r="Q16259" s="24"/>
      <c r="R16259" s="24"/>
      <c r="S16259" s="24"/>
      <c r="T16259" s="24"/>
      <c r="U16259" s="24"/>
      <c r="V16259" s="24"/>
      <c r="W16259" s="24"/>
      <c r="X16259" s="24"/>
      <c r="Y16259" s="24"/>
      <c r="Z16259" s="24"/>
      <c r="AA16259" s="24"/>
    </row>
    <row r="16260">
      <c r="A16260" s="24"/>
      <c r="B16260" s="25"/>
      <c r="C16260" s="24"/>
      <c r="D16260" s="26"/>
      <c r="E16260" s="24"/>
      <c r="F16260" s="24"/>
      <c r="G16260" s="24"/>
      <c r="H16260" s="24"/>
      <c r="I16260" s="24"/>
      <c r="J16260" s="24"/>
      <c r="K16260" s="24"/>
      <c r="L16260" s="24"/>
      <c r="M16260" s="24"/>
      <c r="N16260" s="24"/>
      <c r="O16260" s="24"/>
      <c r="P16260" s="24"/>
      <c r="Q16260" s="24"/>
      <c r="R16260" s="24"/>
      <c r="S16260" s="24"/>
      <c r="T16260" s="24"/>
      <c r="U16260" s="24"/>
      <c r="V16260" s="24"/>
      <c r="W16260" s="24"/>
      <c r="X16260" s="24"/>
      <c r="Y16260" s="24"/>
      <c r="Z16260" s="24"/>
      <c r="AA16260" s="24"/>
    </row>
    <row r="16261">
      <c r="A16261" s="24"/>
      <c r="B16261" s="25"/>
      <c r="C16261" s="24"/>
      <c r="D16261" s="26"/>
      <c r="E16261" s="24"/>
      <c r="F16261" s="24"/>
      <c r="G16261" s="24"/>
      <c r="H16261" s="24"/>
      <c r="I16261" s="24"/>
      <c r="J16261" s="24"/>
      <c r="K16261" s="24"/>
      <c r="L16261" s="24"/>
      <c r="M16261" s="24"/>
      <c r="N16261" s="24"/>
      <c r="O16261" s="24"/>
      <c r="P16261" s="24"/>
      <c r="Q16261" s="24"/>
      <c r="R16261" s="24"/>
      <c r="S16261" s="24"/>
      <c r="T16261" s="24"/>
      <c r="U16261" s="24"/>
      <c r="V16261" s="24"/>
      <c r="W16261" s="24"/>
      <c r="X16261" s="24"/>
      <c r="Y16261" s="24"/>
      <c r="Z16261" s="24"/>
      <c r="AA16261" s="24"/>
    </row>
    <row r="16262">
      <c r="A16262" s="24"/>
      <c r="B16262" s="25"/>
      <c r="C16262" s="24"/>
      <c r="D16262" s="26"/>
      <c r="E16262" s="24"/>
      <c r="F16262" s="24"/>
      <c r="G16262" s="24"/>
      <c r="H16262" s="24"/>
      <c r="I16262" s="24"/>
      <c r="J16262" s="24"/>
      <c r="K16262" s="24"/>
      <c r="L16262" s="24"/>
      <c r="M16262" s="24"/>
      <c r="N16262" s="24"/>
      <c r="O16262" s="24"/>
      <c r="P16262" s="24"/>
      <c r="Q16262" s="24"/>
      <c r="R16262" s="24"/>
      <c r="S16262" s="24"/>
      <c r="T16262" s="24"/>
      <c r="U16262" s="24"/>
      <c r="V16262" s="24"/>
      <c r="W16262" s="24"/>
      <c r="X16262" s="24"/>
      <c r="Y16262" s="24"/>
      <c r="Z16262" s="24"/>
      <c r="AA16262" s="24"/>
    </row>
    <row r="16263">
      <c r="A16263" s="24"/>
      <c r="B16263" s="25"/>
      <c r="C16263" s="24"/>
      <c r="D16263" s="26"/>
      <c r="E16263" s="24"/>
      <c r="F16263" s="24"/>
      <c r="G16263" s="24"/>
      <c r="H16263" s="24"/>
      <c r="I16263" s="24"/>
      <c r="J16263" s="24"/>
      <c r="K16263" s="24"/>
      <c r="L16263" s="24"/>
      <c r="M16263" s="24"/>
      <c r="N16263" s="24"/>
      <c r="O16263" s="24"/>
      <c r="P16263" s="24"/>
      <c r="Q16263" s="24"/>
      <c r="R16263" s="24"/>
      <c r="S16263" s="24"/>
      <c r="T16263" s="24"/>
      <c r="U16263" s="24"/>
      <c r="V16263" s="24"/>
      <c r="W16263" s="24"/>
      <c r="X16263" s="24"/>
      <c r="Y16263" s="24"/>
      <c r="Z16263" s="24"/>
      <c r="AA16263" s="24"/>
    </row>
    <row r="16264">
      <c r="A16264" s="24"/>
      <c r="B16264" s="25"/>
      <c r="C16264" s="24"/>
      <c r="D16264" s="26"/>
      <c r="E16264" s="24"/>
      <c r="F16264" s="24"/>
      <c r="G16264" s="24"/>
      <c r="H16264" s="24"/>
      <c r="I16264" s="24"/>
      <c r="J16264" s="24"/>
      <c r="K16264" s="24"/>
      <c r="L16264" s="24"/>
      <c r="M16264" s="24"/>
      <c r="N16264" s="24"/>
      <c r="O16264" s="24"/>
      <c r="P16264" s="24"/>
      <c r="Q16264" s="24"/>
      <c r="R16264" s="24"/>
      <c r="S16264" s="24"/>
      <c r="T16264" s="24"/>
      <c r="U16264" s="24"/>
      <c r="V16264" s="24"/>
      <c r="W16264" s="24"/>
      <c r="X16264" s="24"/>
      <c r="Y16264" s="24"/>
      <c r="Z16264" s="24"/>
      <c r="AA16264" s="24"/>
    </row>
    <row r="16265">
      <c r="A16265" s="24"/>
      <c r="B16265" s="25"/>
      <c r="C16265" s="24"/>
      <c r="D16265" s="26"/>
      <c r="E16265" s="24"/>
      <c r="F16265" s="24"/>
      <c r="G16265" s="24"/>
      <c r="H16265" s="24"/>
      <c r="I16265" s="24"/>
      <c r="J16265" s="24"/>
      <c r="K16265" s="24"/>
      <c r="L16265" s="24"/>
      <c r="M16265" s="24"/>
      <c r="N16265" s="24"/>
      <c r="O16265" s="24"/>
      <c r="P16265" s="24"/>
      <c r="Q16265" s="24"/>
      <c r="R16265" s="24"/>
      <c r="S16265" s="24"/>
      <c r="T16265" s="24"/>
      <c r="U16265" s="24"/>
      <c r="V16265" s="24"/>
      <c r="W16265" s="24"/>
      <c r="X16265" s="24"/>
      <c r="Y16265" s="24"/>
      <c r="Z16265" s="24"/>
      <c r="AA16265" s="24"/>
    </row>
    <row r="16266">
      <c r="A16266" s="24"/>
      <c r="B16266" s="25"/>
      <c r="C16266" s="24"/>
      <c r="D16266" s="26"/>
      <c r="E16266" s="24"/>
      <c r="F16266" s="24"/>
      <c r="G16266" s="24"/>
      <c r="H16266" s="24"/>
      <c r="I16266" s="24"/>
      <c r="J16266" s="24"/>
      <c r="K16266" s="24"/>
      <c r="L16266" s="24"/>
      <c r="M16266" s="24"/>
      <c r="N16266" s="24"/>
      <c r="O16266" s="24"/>
      <c r="P16266" s="24"/>
      <c r="Q16266" s="24"/>
      <c r="R16266" s="24"/>
      <c r="S16266" s="24"/>
      <c r="T16266" s="24"/>
      <c r="U16266" s="24"/>
      <c r="V16266" s="24"/>
      <c r="W16266" s="24"/>
      <c r="X16266" s="24"/>
      <c r="Y16266" s="24"/>
      <c r="Z16266" s="24"/>
      <c r="AA16266" s="24"/>
    </row>
    <row r="16267">
      <c r="A16267" s="24"/>
      <c r="B16267" s="25"/>
      <c r="C16267" s="24"/>
      <c r="D16267" s="26"/>
      <c r="E16267" s="24"/>
      <c r="F16267" s="24"/>
      <c r="G16267" s="24"/>
      <c r="H16267" s="24"/>
      <c r="I16267" s="24"/>
      <c r="J16267" s="24"/>
      <c r="K16267" s="24"/>
      <c r="L16267" s="24"/>
      <c r="M16267" s="24"/>
      <c r="N16267" s="24"/>
      <c r="O16267" s="24"/>
      <c r="P16267" s="24"/>
      <c r="Q16267" s="24"/>
      <c r="R16267" s="24"/>
      <c r="S16267" s="24"/>
      <c r="T16267" s="24"/>
      <c r="U16267" s="24"/>
      <c r="V16267" s="24"/>
      <c r="W16267" s="24"/>
      <c r="X16267" s="24"/>
      <c r="Y16267" s="24"/>
      <c r="Z16267" s="24"/>
      <c r="AA16267" s="24"/>
    </row>
    <row r="16268">
      <c r="A16268" s="24"/>
      <c r="B16268" s="25"/>
      <c r="C16268" s="24"/>
      <c r="D16268" s="26"/>
      <c r="E16268" s="24"/>
      <c r="F16268" s="24"/>
      <c r="G16268" s="24"/>
      <c r="H16268" s="24"/>
      <c r="I16268" s="24"/>
      <c r="J16268" s="24"/>
      <c r="K16268" s="24"/>
      <c r="L16268" s="24"/>
      <c r="M16268" s="24"/>
      <c r="N16268" s="24"/>
      <c r="O16268" s="24"/>
      <c r="P16268" s="24"/>
      <c r="Q16268" s="24"/>
      <c r="R16268" s="24"/>
      <c r="S16268" s="24"/>
      <c r="T16268" s="24"/>
      <c r="U16268" s="24"/>
      <c r="V16268" s="24"/>
      <c r="W16268" s="24"/>
      <c r="X16268" s="24"/>
      <c r="Y16268" s="24"/>
      <c r="Z16268" s="24"/>
      <c r="AA16268" s="24"/>
    </row>
    <row r="16269">
      <c r="A16269" s="24"/>
      <c r="B16269" s="25"/>
      <c r="C16269" s="24"/>
      <c r="D16269" s="26"/>
      <c r="E16269" s="24"/>
      <c r="F16269" s="24"/>
      <c r="G16269" s="24"/>
      <c r="H16269" s="24"/>
      <c r="I16269" s="24"/>
      <c r="J16269" s="24"/>
      <c r="K16269" s="24"/>
      <c r="L16269" s="24"/>
      <c r="M16269" s="24"/>
      <c r="N16269" s="24"/>
      <c r="O16269" s="24"/>
      <c r="P16269" s="24"/>
      <c r="Q16269" s="24"/>
      <c r="R16269" s="24"/>
      <c r="S16269" s="24"/>
      <c r="T16269" s="24"/>
      <c r="U16269" s="24"/>
      <c r="V16269" s="24"/>
      <c r="W16269" s="24"/>
      <c r="X16269" s="24"/>
      <c r="Y16269" s="24"/>
      <c r="Z16269" s="24"/>
      <c r="AA16269" s="24"/>
    </row>
    <row r="16270">
      <c r="A16270" s="24"/>
      <c r="B16270" s="25"/>
      <c r="C16270" s="24"/>
      <c r="D16270" s="26"/>
      <c r="E16270" s="24"/>
      <c r="F16270" s="24"/>
      <c r="G16270" s="24"/>
      <c r="H16270" s="24"/>
      <c r="I16270" s="24"/>
      <c r="J16270" s="24"/>
      <c r="K16270" s="24"/>
      <c r="L16270" s="24"/>
      <c r="M16270" s="24"/>
      <c r="N16270" s="24"/>
      <c r="O16270" s="24"/>
      <c r="P16270" s="24"/>
      <c r="Q16270" s="24"/>
      <c r="R16270" s="24"/>
      <c r="S16270" s="24"/>
      <c r="T16270" s="24"/>
      <c r="U16270" s="24"/>
      <c r="V16270" s="24"/>
      <c r="W16270" s="24"/>
      <c r="X16270" s="24"/>
      <c r="Y16270" s="24"/>
      <c r="Z16270" s="24"/>
      <c r="AA16270" s="24"/>
    </row>
    <row r="16271">
      <c r="A16271" s="24"/>
      <c r="B16271" s="25"/>
      <c r="C16271" s="24"/>
      <c r="D16271" s="26"/>
      <c r="E16271" s="24"/>
      <c r="F16271" s="24"/>
      <c r="G16271" s="24"/>
      <c r="H16271" s="24"/>
      <c r="I16271" s="24"/>
      <c r="J16271" s="24"/>
      <c r="K16271" s="24"/>
      <c r="L16271" s="24"/>
      <c r="M16271" s="24"/>
      <c r="N16271" s="24"/>
      <c r="O16271" s="24"/>
      <c r="P16271" s="24"/>
      <c r="Q16271" s="24"/>
      <c r="R16271" s="24"/>
      <c r="S16271" s="24"/>
      <c r="T16271" s="24"/>
      <c r="U16271" s="24"/>
      <c r="V16271" s="24"/>
      <c r="W16271" s="24"/>
      <c r="X16271" s="24"/>
      <c r="Y16271" s="24"/>
      <c r="Z16271" s="24"/>
      <c r="AA16271" s="24"/>
    </row>
    <row r="16272">
      <c r="A16272" s="24"/>
      <c r="B16272" s="25"/>
      <c r="C16272" s="24"/>
      <c r="D16272" s="26"/>
      <c r="E16272" s="24"/>
      <c r="F16272" s="24"/>
      <c r="G16272" s="24"/>
      <c r="H16272" s="24"/>
      <c r="I16272" s="24"/>
      <c r="J16272" s="24"/>
      <c r="K16272" s="24"/>
      <c r="L16272" s="24"/>
      <c r="M16272" s="24"/>
      <c r="N16272" s="24"/>
      <c r="O16272" s="24"/>
      <c r="P16272" s="24"/>
      <c r="Q16272" s="24"/>
      <c r="R16272" s="24"/>
      <c r="S16272" s="24"/>
      <c r="T16272" s="24"/>
      <c r="U16272" s="24"/>
      <c r="V16272" s="24"/>
      <c r="W16272" s="24"/>
      <c r="X16272" s="24"/>
      <c r="Y16272" s="24"/>
      <c r="Z16272" s="24"/>
      <c r="AA16272" s="24"/>
    </row>
    <row r="16273">
      <c r="A16273" s="24"/>
      <c r="B16273" s="25"/>
      <c r="C16273" s="24"/>
      <c r="D16273" s="26"/>
      <c r="E16273" s="24"/>
      <c r="F16273" s="24"/>
      <c r="G16273" s="24"/>
      <c r="H16273" s="24"/>
      <c r="I16273" s="24"/>
      <c r="J16273" s="24"/>
      <c r="K16273" s="24"/>
      <c r="L16273" s="24"/>
      <c r="M16273" s="24"/>
      <c r="N16273" s="24"/>
      <c r="O16273" s="24"/>
      <c r="P16273" s="24"/>
      <c r="Q16273" s="24"/>
      <c r="R16273" s="24"/>
      <c r="S16273" s="24"/>
      <c r="T16273" s="24"/>
      <c r="U16273" s="24"/>
      <c r="V16273" s="24"/>
      <c r="W16273" s="24"/>
      <c r="X16273" s="24"/>
      <c r="Y16273" s="24"/>
      <c r="Z16273" s="24"/>
      <c r="AA16273" s="24"/>
    </row>
    <row r="16274">
      <c r="A16274" s="24"/>
      <c r="B16274" s="25"/>
      <c r="C16274" s="24"/>
      <c r="D16274" s="26"/>
      <c r="E16274" s="24"/>
      <c r="F16274" s="24"/>
      <c r="G16274" s="24"/>
      <c r="H16274" s="24"/>
      <c r="I16274" s="24"/>
      <c r="J16274" s="24"/>
      <c r="K16274" s="24"/>
      <c r="L16274" s="24"/>
      <c r="M16274" s="24"/>
      <c r="N16274" s="24"/>
      <c r="O16274" s="24"/>
      <c r="P16274" s="24"/>
      <c r="Q16274" s="24"/>
      <c r="R16274" s="24"/>
      <c r="S16274" s="24"/>
      <c r="T16274" s="24"/>
      <c r="U16274" s="24"/>
      <c r="V16274" s="24"/>
      <c r="W16274" s="24"/>
      <c r="X16274" s="24"/>
      <c r="Y16274" s="24"/>
      <c r="Z16274" s="24"/>
      <c r="AA16274" s="24"/>
    </row>
    <row r="16275">
      <c r="A16275" s="24"/>
      <c r="B16275" s="25"/>
      <c r="C16275" s="24"/>
      <c r="D16275" s="26"/>
      <c r="E16275" s="24"/>
      <c r="F16275" s="24"/>
      <c r="G16275" s="24"/>
      <c r="H16275" s="24"/>
      <c r="I16275" s="24"/>
      <c r="J16275" s="24"/>
      <c r="K16275" s="24"/>
      <c r="L16275" s="24"/>
      <c r="M16275" s="24"/>
      <c r="N16275" s="24"/>
      <c r="O16275" s="24"/>
      <c r="P16275" s="24"/>
      <c r="Q16275" s="24"/>
      <c r="R16275" s="24"/>
      <c r="S16275" s="24"/>
      <c r="T16275" s="24"/>
      <c r="U16275" s="24"/>
      <c r="V16275" s="24"/>
      <c r="W16275" s="24"/>
      <c r="X16275" s="24"/>
      <c r="Y16275" s="24"/>
      <c r="Z16275" s="24"/>
      <c r="AA16275" s="24"/>
    </row>
    <row r="16276">
      <c r="A16276" s="24"/>
      <c r="B16276" s="25"/>
      <c r="C16276" s="24"/>
      <c r="D16276" s="26"/>
      <c r="E16276" s="24"/>
      <c r="F16276" s="24"/>
      <c r="G16276" s="24"/>
      <c r="H16276" s="24"/>
      <c r="I16276" s="24"/>
      <c r="J16276" s="24"/>
      <c r="K16276" s="24"/>
      <c r="L16276" s="24"/>
      <c r="M16276" s="24"/>
      <c r="N16276" s="24"/>
      <c r="O16276" s="24"/>
      <c r="P16276" s="24"/>
      <c r="Q16276" s="24"/>
      <c r="R16276" s="24"/>
      <c r="S16276" s="24"/>
      <c r="T16276" s="24"/>
      <c r="U16276" s="24"/>
      <c r="V16276" s="24"/>
      <c r="W16276" s="24"/>
      <c r="X16276" s="24"/>
      <c r="Y16276" s="24"/>
      <c r="Z16276" s="24"/>
      <c r="AA16276" s="24"/>
    </row>
    <row r="16277">
      <c r="A16277" s="24"/>
      <c r="B16277" s="25"/>
      <c r="C16277" s="24"/>
      <c r="D16277" s="26"/>
      <c r="E16277" s="24"/>
      <c r="F16277" s="24"/>
      <c r="G16277" s="24"/>
      <c r="H16277" s="24"/>
      <c r="I16277" s="24"/>
      <c r="J16277" s="24"/>
      <c r="K16277" s="24"/>
      <c r="L16277" s="24"/>
      <c r="M16277" s="24"/>
      <c r="N16277" s="24"/>
      <c r="O16277" s="24"/>
      <c r="P16277" s="24"/>
      <c r="Q16277" s="24"/>
      <c r="R16277" s="24"/>
      <c r="S16277" s="24"/>
      <c r="T16277" s="24"/>
      <c r="U16277" s="24"/>
      <c r="V16277" s="24"/>
      <c r="W16277" s="24"/>
      <c r="X16277" s="24"/>
      <c r="Y16277" s="24"/>
      <c r="Z16277" s="24"/>
      <c r="AA16277" s="24"/>
    </row>
    <row r="16278">
      <c r="A16278" s="24"/>
      <c r="B16278" s="25"/>
      <c r="C16278" s="24"/>
      <c r="D16278" s="26"/>
      <c r="E16278" s="24"/>
      <c r="F16278" s="24"/>
      <c r="G16278" s="24"/>
      <c r="H16278" s="24"/>
      <c r="I16278" s="24"/>
      <c r="J16278" s="24"/>
      <c r="K16278" s="24"/>
      <c r="L16278" s="24"/>
      <c r="M16278" s="24"/>
      <c r="N16278" s="24"/>
      <c r="O16278" s="24"/>
      <c r="P16278" s="24"/>
      <c r="Q16278" s="24"/>
      <c r="R16278" s="24"/>
      <c r="S16278" s="24"/>
      <c r="T16278" s="24"/>
      <c r="U16278" s="24"/>
      <c r="V16278" s="24"/>
      <c r="W16278" s="24"/>
      <c r="X16278" s="24"/>
      <c r="Y16278" s="24"/>
      <c r="Z16278" s="24"/>
      <c r="AA16278" s="24"/>
    </row>
    <row r="16279">
      <c r="A16279" s="24"/>
      <c r="B16279" s="25"/>
      <c r="C16279" s="24"/>
      <c r="D16279" s="26"/>
      <c r="E16279" s="24"/>
      <c r="F16279" s="24"/>
      <c r="G16279" s="24"/>
      <c r="H16279" s="24"/>
      <c r="I16279" s="24"/>
      <c r="J16279" s="24"/>
      <c r="K16279" s="24"/>
      <c r="L16279" s="24"/>
      <c r="M16279" s="24"/>
      <c r="N16279" s="24"/>
      <c r="O16279" s="24"/>
      <c r="P16279" s="24"/>
      <c r="Q16279" s="24"/>
      <c r="R16279" s="24"/>
      <c r="S16279" s="24"/>
      <c r="T16279" s="24"/>
      <c r="U16279" s="24"/>
      <c r="V16279" s="24"/>
      <c r="W16279" s="24"/>
      <c r="X16279" s="24"/>
      <c r="Y16279" s="24"/>
      <c r="Z16279" s="24"/>
      <c r="AA16279" s="24"/>
    </row>
    <row r="16280">
      <c r="A16280" s="24"/>
      <c r="B16280" s="25"/>
      <c r="C16280" s="24"/>
      <c r="D16280" s="26"/>
      <c r="E16280" s="24"/>
      <c r="F16280" s="24"/>
      <c r="G16280" s="24"/>
      <c r="H16280" s="24"/>
      <c r="I16280" s="24"/>
      <c r="J16280" s="24"/>
      <c r="K16280" s="24"/>
      <c r="L16280" s="24"/>
      <c r="M16280" s="24"/>
      <c r="N16280" s="24"/>
      <c r="O16280" s="24"/>
      <c r="P16280" s="24"/>
      <c r="Q16280" s="24"/>
      <c r="R16280" s="24"/>
      <c r="S16280" s="24"/>
      <c r="T16280" s="24"/>
      <c r="U16280" s="24"/>
      <c r="V16280" s="24"/>
      <c r="W16280" s="24"/>
      <c r="X16280" s="24"/>
      <c r="Y16280" s="24"/>
      <c r="Z16280" s="24"/>
      <c r="AA16280" s="24"/>
    </row>
    <row r="16281">
      <c r="A16281" s="24"/>
      <c r="B16281" s="25"/>
      <c r="C16281" s="24"/>
      <c r="D16281" s="26"/>
      <c r="E16281" s="24"/>
      <c r="F16281" s="24"/>
      <c r="G16281" s="24"/>
      <c r="H16281" s="24"/>
      <c r="I16281" s="24"/>
      <c r="J16281" s="24"/>
      <c r="K16281" s="24"/>
      <c r="L16281" s="24"/>
      <c r="M16281" s="24"/>
      <c r="N16281" s="24"/>
      <c r="O16281" s="24"/>
      <c r="P16281" s="24"/>
      <c r="Q16281" s="24"/>
      <c r="R16281" s="24"/>
      <c r="S16281" s="24"/>
      <c r="T16281" s="24"/>
      <c r="U16281" s="24"/>
      <c r="V16281" s="24"/>
      <c r="W16281" s="24"/>
      <c r="X16281" s="24"/>
      <c r="Y16281" s="24"/>
      <c r="Z16281" s="24"/>
      <c r="AA16281" s="24"/>
    </row>
    <row r="16282">
      <c r="A16282" s="24"/>
      <c r="B16282" s="25"/>
      <c r="C16282" s="24"/>
      <c r="D16282" s="26"/>
      <c r="E16282" s="24"/>
      <c r="F16282" s="24"/>
      <c r="G16282" s="24"/>
      <c r="H16282" s="24"/>
      <c r="I16282" s="24"/>
      <c r="J16282" s="24"/>
      <c r="K16282" s="24"/>
      <c r="L16282" s="24"/>
      <c r="M16282" s="24"/>
      <c r="N16282" s="24"/>
      <c r="O16282" s="24"/>
      <c r="P16282" s="24"/>
      <c r="Q16282" s="24"/>
      <c r="R16282" s="24"/>
      <c r="S16282" s="24"/>
      <c r="T16282" s="24"/>
      <c r="U16282" s="24"/>
      <c r="V16282" s="24"/>
      <c r="W16282" s="24"/>
      <c r="X16282" s="24"/>
      <c r="Y16282" s="24"/>
      <c r="Z16282" s="24"/>
      <c r="AA16282" s="24"/>
    </row>
    <row r="16283">
      <c r="A16283" s="24"/>
      <c r="B16283" s="25"/>
      <c r="C16283" s="24"/>
      <c r="D16283" s="26"/>
      <c r="E16283" s="24"/>
      <c r="F16283" s="24"/>
      <c r="G16283" s="24"/>
      <c r="H16283" s="24"/>
      <c r="I16283" s="24"/>
      <c r="J16283" s="24"/>
      <c r="K16283" s="24"/>
      <c r="L16283" s="24"/>
      <c r="M16283" s="24"/>
      <c r="N16283" s="24"/>
      <c r="O16283" s="24"/>
      <c r="P16283" s="24"/>
      <c r="Q16283" s="24"/>
      <c r="R16283" s="24"/>
      <c r="S16283" s="24"/>
      <c r="T16283" s="24"/>
      <c r="U16283" s="24"/>
      <c r="V16283" s="24"/>
      <c r="W16283" s="24"/>
      <c r="X16283" s="24"/>
      <c r="Y16283" s="24"/>
      <c r="Z16283" s="24"/>
      <c r="AA16283" s="24"/>
    </row>
    <row r="16284">
      <c r="A16284" s="24"/>
      <c r="B16284" s="25"/>
      <c r="C16284" s="24"/>
      <c r="D16284" s="26"/>
      <c r="E16284" s="24"/>
      <c r="F16284" s="24"/>
      <c r="G16284" s="24"/>
      <c r="H16284" s="24"/>
      <c r="I16284" s="24"/>
      <c r="J16284" s="24"/>
      <c r="K16284" s="24"/>
      <c r="L16284" s="24"/>
      <c r="M16284" s="24"/>
      <c r="N16284" s="24"/>
      <c r="O16284" s="24"/>
      <c r="P16284" s="24"/>
      <c r="Q16284" s="24"/>
      <c r="R16284" s="24"/>
      <c r="S16284" s="24"/>
      <c r="T16284" s="24"/>
      <c r="U16284" s="24"/>
      <c r="V16284" s="24"/>
      <c r="W16284" s="24"/>
      <c r="X16284" s="24"/>
      <c r="Y16284" s="24"/>
      <c r="Z16284" s="24"/>
      <c r="AA16284" s="24"/>
    </row>
    <row r="16285">
      <c r="A16285" s="24"/>
      <c r="B16285" s="25"/>
      <c r="C16285" s="24"/>
      <c r="D16285" s="26"/>
      <c r="E16285" s="24"/>
      <c r="F16285" s="24"/>
      <c r="G16285" s="24"/>
      <c r="H16285" s="24"/>
      <c r="I16285" s="24"/>
      <c r="J16285" s="24"/>
      <c r="K16285" s="24"/>
      <c r="L16285" s="24"/>
      <c r="M16285" s="24"/>
      <c r="N16285" s="24"/>
      <c r="O16285" s="24"/>
      <c r="P16285" s="24"/>
      <c r="Q16285" s="24"/>
      <c r="R16285" s="24"/>
      <c r="S16285" s="24"/>
      <c r="T16285" s="24"/>
      <c r="U16285" s="24"/>
      <c r="V16285" s="24"/>
      <c r="W16285" s="24"/>
      <c r="X16285" s="24"/>
      <c r="Y16285" s="24"/>
      <c r="Z16285" s="24"/>
      <c r="AA16285" s="24"/>
    </row>
    <row r="16286">
      <c r="A16286" s="24"/>
      <c r="B16286" s="25"/>
      <c r="C16286" s="24"/>
      <c r="D16286" s="26"/>
      <c r="E16286" s="24"/>
      <c r="F16286" s="24"/>
      <c r="G16286" s="24"/>
      <c r="H16286" s="24"/>
      <c r="I16286" s="24"/>
      <c r="J16286" s="24"/>
      <c r="K16286" s="24"/>
      <c r="L16286" s="24"/>
      <c r="M16286" s="24"/>
      <c r="N16286" s="24"/>
      <c r="O16286" s="24"/>
      <c r="P16286" s="24"/>
      <c r="Q16286" s="24"/>
      <c r="R16286" s="24"/>
      <c r="S16286" s="24"/>
      <c r="T16286" s="24"/>
      <c r="U16286" s="24"/>
      <c r="V16286" s="24"/>
      <c r="W16286" s="24"/>
      <c r="X16286" s="24"/>
      <c r="Y16286" s="24"/>
      <c r="Z16286" s="24"/>
      <c r="AA16286" s="24"/>
    </row>
    <row r="16287">
      <c r="A16287" s="24"/>
      <c r="B16287" s="25"/>
      <c r="C16287" s="24"/>
      <c r="D16287" s="26"/>
      <c r="E16287" s="24"/>
      <c r="F16287" s="24"/>
      <c r="G16287" s="24"/>
      <c r="H16287" s="24"/>
      <c r="I16287" s="24"/>
      <c r="J16287" s="24"/>
      <c r="K16287" s="24"/>
      <c r="L16287" s="24"/>
      <c r="M16287" s="24"/>
      <c r="N16287" s="24"/>
      <c r="O16287" s="24"/>
      <c r="P16287" s="24"/>
      <c r="Q16287" s="24"/>
      <c r="R16287" s="24"/>
      <c r="S16287" s="24"/>
      <c r="T16287" s="24"/>
      <c r="U16287" s="24"/>
      <c r="V16287" s="24"/>
      <c r="W16287" s="24"/>
      <c r="X16287" s="24"/>
      <c r="Y16287" s="24"/>
      <c r="Z16287" s="24"/>
      <c r="AA16287" s="24"/>
    </row>
    <row r="16288">
      <c r="A16288" s="24"/>
      <c r="B16288" s="25"/>
      <c r="C16288" s="24"/>
      <c r="D16288" s="26"/>
      <c r="E16288" s="24"/>
      <c r="F16288" s="24"/>
      <c r="G16288" s="24"/>
      <c r="H16288" s="24"/>
      <c r="I16288" s="24"/>
      <c r="J16288" s="24"/>
      <c r="K16288" s="24"/>
      <c r="L16288" s="24"/>
      <c r="M16288" s="24"/>
      <c r="N16288" s="24"/>
      <c r="O16288" s="24"/>
      <c r="P16288" s="24"/>
      <c r="Q16288" s="24"/>
      <c r="R16288" s="24"/>
      <c r="S16288" s="24"/>
      <c r="T16288" s="24"/>
      <c r="U16288" s="24"/>
      <c r="V16288" s="24"/>
      <c r="W16288" s="24"/>
      <c r="X16288" s="24"/>
      <c r="Y16288" s="24"/>
      <c r="Z16288" s="24"/>
      <c r="AA16288" s="24"/>
    </row>
    <row r="16289">
      <c r="A16289" s="24"/>
      <c r="B16289" s="25"/>
      <c r="C16289" s="24"/>
      <c r="D16289" s="26"/>
      <c r="E16289" s="24"/>
      <c r="F16289" s="24"/>
      <c r="G16289" s="24"/>
      <c r="H16289" s="24"/>
      <c r="I16289" s="24"/>
      <c r="J16289" s="24"/>
      <c r="K16289" s="24"/>
      <c r="L16289" s="24"/>
      <c r="M16289" s="24"/>
      <c r="N16289" s="24"/>
      <c r="O16289" s="24"/>
      <c r="P16289" s="24"/>
      <c r="Q16289" s="24"/>
      <c r="R16289" s="24"/>
      <c r="S16289" s="24"/>
      <c r="T16289" s="24"/>
      <c r="U16289" s="24"/>
      <c r="V16289" s="24"/>
      <c r="W16289" s="24"/>
      <c r="X16289" s="24"/>
      <c r="Y16289" s="24"/>
      <c r="Z16289" s="24"/>
      <c r="AA16289" s="24"/>
    </row>
    <row r="16290">
      <c r="A16290" s="24"/>
      <c r="B16290" s="25"/>
      <c r="C16290" s="24"/>
      <c r="D16290" s="26"/>
      <c r="E16290" s="24"/>
      <c r="F16290" s="24"/>
      <c r="G16290" s="24"/>
      <c r="H16290" s="24"/>
      <c r="I16290" s="24"/>
      <c r="J16290" s="24"/>
      <c r="K16290" s="24"/>
      <c r="L16290" s="24"/>
      <c r="M16290" s="24"/>
      <c r="N16290" s="24"/>
      <c r="O16290" s="24"/>
      <c r="P16290" s="24"/>
      <c r="Q16290" s="24"/>
      <c r="R16290" s="24"/>
      <c r="S16290" s="24"/>
      <c r="T16290" s="24"/>
      <c r="U16290" s="24"/>
      <c r="V16290" s="24"/>
      <c r="W16290" s="24"/>
      <c r="X16290" s="24"/>
      <c r="Y16290" s="24"/>
      <c r="Z16290" s="24"/>
      <c r="AA16290" s="24"/>
    </row>
    <row r="16291">
      <c r="A16291" s="24"/>
      <c r="B16291" s="25"/>
      <c r="C16291" s="24"/>
      <c r="D16291" s="26"/>
      <c r="E16291" s="24"/>
      <c r="F16291" s="24"/>
      <c r="G16291" s="24"/>
      <c r="H16291" s="24"/>
      <c r="I16291" s="24"/>
      <c r="J16291" s="24"/>
      <c r="K16291" s="24"/>
      <c r="L16291" s="24"/>
      <c r="M16291" s="24"/>
      <c r="N16291" s="24"/>
      <c r="O16291" s="24"/>
      <c r="P16291" s="24"/>
      <c r="Q16291" s="24"/>
      <c r="R16291" s="24"/>
      <c r="S16291" s="24"/>
      <c r="T16291" s="24"/>
      <c r="U16291" s="24"/>
      <c r="V16291" s="24"/>
      <c r="W16291" s="24"/>
      <c r="X16291" s="24"/>
      <c r="Y16291" s="24"/>
      <c r="Z16291" s="24"/>
      <c r="AA16291" s="24"/>
    </row>
    <row r="16292">
      <c r="A16292" s="24"/>
      <c r="B16292" s="25"/>
      <c r="C16292" s="24"/>
      <c r="D16292" s="26"/>
      <c r="E16292" s="24"/>
      <c r="F16292" s="24"/>
      <c r="G16292" s="24"/>
      <c r="H16292" s="24"/>
      <c r="I16292" s="24"/>
      <c r="J16292" s="24"/>
      <c r="K16292" s="24"/>
      <c r="L16292" s="24"/>
      <c r="M16292" s="24"/>
      <c r="N16292" s="24"/>
      <c r="O16292" s="24"/>
      <c r="P16292" s="24"/>
      <c r="Q16292" s="24"/>
      <c r="R16292" s="24"/>
      <c r="S16292" s="24"/>
      <c r="T16292" s="24"/>
      <c r="U16292" s="24"/>
      <c r="V16292" s="24"/>
      <c r="W16292" s="24"/>
      <c r="X16292" s="24"/>
      <c r="Y16292" s="24"/>
      <c r="Z16292" s="24"/>
      <c r="AA16292" s="24"/>
    </row>
    <row r="16293">
      <c r="A16293" s="24"/>
      <c r="B16293" s="25"/>
      <c r="C16293" s="24"/>
      <c r="D16293" s="26"/>
      <c r="E16293" s="24"/>
      <c r="F16293" s="24"/>
      <c r="G16293" s="24"/>
      <c r="H16293" s="24"/>
      <c r="I16293" s="24"/>
      <c r="J16293" s="24"/>
      <c r="K16293" s="24"/>
      <c r="L16293" s="24"/>
      <c r="M16293" s="24"/>
      <c r="N16293" s="24"/>
      <c r="O16293" s="24"/>
      <c r="P16293" s="24"/>
      <c r="Q16293" s="24"/>
      <c r="R16293" s="24"/>
      <c r="S16293" s="24"/>
      <c r="T16293" s="24"/>
      <c r="U16293" s="24"/>
      <c r="V16293" s="24"/>
      <c r="W16293" s="24"/>
      <c r="X16293" s="24"/>
      <c r="Y16293" s="24"/>
      <c r="Z16293" s="24"/>
      <c r="AA16293" s="24"/>
    </row>
    <row r="16294">
      <c r="A16294" s="24"/>
      <c r="B16294" s="25"/>
      <c r="C16294" s="24"/>
      <c r="D16294" s="26"/>
      <c r="E16294" s="24"/>
      <c r="F16294" s="24"/>
      <c r="G16294" s="24"/>
      <c r="H16294" s="24"/>
      <c r="I16294" s="24"/>
      <c r="J16294" s="24"/>
      <c r="K16294" s="24"/>
      <c r="L16294" s="24"/>
      <c r="M16294" s="24"/>
      <c r="N16294" s="24"/>
      <c r="O16294" s="24"/>
      <c r="P16294" s="24"/>
      <c r="Q16294" s="24"/>
      <c r="R16294" s="24"/>
      <c r="S16294" s="24"/>
      <c r="T16294" s="24"/>
      <c r="U16294" s="24"/>
      <c r="V16294" s="24"/>
      <c r="W16294" s="24"/>
      <c r="X16294" s="24"/>
      <c r="Y16294" s="24"/>
      <c r="Z16294" s="24"/>
      <c r="AA16294" s="24"/>
    </row>
    <row r="16295">
      <c r="A16295" s="24"/>
      <c r="B16295" s="25"/>
      <c r="C16295" s="24"/>
      <c r="D16295" s="26"/>
      <c r="E16295" s="24"/>
      <c r="F16295" s="24"/>
      <c r="G16295" s="24"/>
      <c r="H16295" s="24"/>
      <c r="I16295" s="24"/>
      <c r="J16295" s="24"/>
      <c r="K16295" s="24"/>
      <c r="L16295" s="24"/>
      <c r="M16295" s="24"/>
      <c r="N16295" s="24"/>
      <c r="O16295" s="24"/>
      <c r="P16295" s="24"/>
      <c r="Q16295" s="24"/>
      <c r="R16295" s="24"/>
      <c r="S16295" s="24"/>
      <c r="T16295" s="24"/>
      <c r="U16295" s="24"/>
      <c r="V16295" s="24"/>
      <c r="W16295" s="24"/>
      <c r="X16295" s="24"/>
      <c r="Y16295" s="24"/>
      <c r="Z16295" s="24"/>
      <c r="AA16295" s="24"/>
    </row>
    <row r="16296">
      <c r="A16296" s="24"/>
      <c r="B16296" s="25"/>
      <c r="C16296" s="24"/>
      <c r="D16296" s="26"/>
      <c r="E16296" s="24"/>
      <c r="F16296" s="24"/>
      <c r="G16296" s="24"/>
      <c r="H16296" s="24"/>
      <c r="I16296" s="24"/>
      <c r="J16296" s="24"/>
      <c r="K16296" s="24"/>
      <c r="L16296" s="24"/>
      <c r="M16296" s="24"/>
      <c r="N16296" s="24"/>
      <c r="O16296" s="24"/>
      <c r="P16296" s="24"/>
      <c r="Q16296" s="24"/>
      <c r="R16296" s="24"/>
      <c r="S16296" s="24"/>
      <c r="T16296" s="24"/>
      <c r="U16296" s="24"/>
      <c r="V16296" s="24"/>
      <c r="W16296" s="24"/>
      <c r="X16296" s="24"/>
      <c r="Y16296" s="24"/>
      <c r="Z16296" s="24"/>
      <c r="AA16296" s="24"/>
    </row>
    <row r="16297">
      <c r="A16297" s="24"/>
      <c r="B16297" s="25"/>
      <c r="C16297" s="24"/>
      <c r="D16297" s="26"/>
      <c r="E16297" s="24"/>
      <c r="F16297" s="24"/>
      <c r="G16297" s="24"/>
      <c r="H16297" s="24"/>
      <c r="I16297" s="24"/>
      <c r="J16297" s="24"/>
      <c r="K16297" s="24"/>
      <c r="L16297" s="24"/>
      <c r="M16297" s="24"/>
      <c r="N16297" s="24"/>
      <c r="O16297" s="24"/>
      <c r="P16297" s="24"/>
      <c r="Q16297" s="24"/>
      <c r="R16297" s="24"/>
      <c r="S16297" s="24"/>
      <c r="T16297" s="24"/>
      <c r="U16297" s="24"/>
      <c r="V16297" s="24"/>
      <c r="W16297" s="24"/>
      <c r="X16297" s="24"/>
      <c r="Y16297" s="24"/>
      <c r="Z16297" s="24"/>
      <c r="AA16297" s="24"/>
    </row>
    <row r="16298">
      <c r="A16298" s="24"/>
      <c r="B16298" s="25"/>
      <c r="C16298" s="24"/>
      <c r="D16298" s="26"/>
      <c r="E16298" s="24"/>
      <c r="F16298" s="24"/>
      <c r="G16298" s="24"/>
      <c r="H16298" s="24"/>
      <c r="I16298" s="24"/>
      <c r="J16298" s="24"/>
      <c r="K16298" s="24"/>
      <c r="L16298" s="24"/>
      <c r="M16298" s="24"/>
      <c r="N16298" s="24"/>
      <c r="O16298" s="24"/>
      <c r="P16298" s="24"/>
      <c r="Q16298" s="24"/>
      <c r="R16298" s="24"/>
      <c r="S16298" s="24"/>
      <c r="T16298" s="24"/>
      <c r="U16298" s="24"/>
      <c r="V16298" s="24"/>
      <c r="W16298" s="24"/>
      <c r="X16298" s="24"/>
      <c r="Y16298" s="24"/>
      <c r="Z16298" s="24"/>
      <c r="AA16298" s="24"/>
    </row>
    <row r="16299">
      <c r="A16299" s="24"/>
      <c r="B16299" s="25"/>
      <c r="C16299" s="24"/>
      <c r="D16299" s="26"/>
      <c r="E16299" s="24"/>
      <c r="F16299" s="24"/>
      <c r="G16299" s="24"/>
      <c r="H16299" s="24"/>
      <c r="I16299" s="24"/>
      <c r="J16299" s="24"/>
      <c r="K16299" s="24"/>
      <c r="L16299" s="24"/>
      <c r="M16299" s="24"/>
      <c r="N16299" s="24"/>
      <c r="O16299" s="24"/>
      <c r="P16299" s="24"/>
      <c r="Q16299" s="24"/>
      <c r="R16299" s="24"/>
      <c r="S16299" s="24"/>
      <c r="T16299" s="24"/>
      <c r="U16299" s="24"/>
      <c r="V16299" s="24"/>
      <c r="W16299" s="24"/>
      <c r="X16299" s="24"/>
      <c r="Y16299" s="24"/>
      <c r="Z16299" s="24"/>
      <c r="AA16299" s="24"/>
    </row>
    <row r="16300">
      <c r="A16300" s="24"/>
      <c r="B16300" s="25"/>
      <c r="C16300" s="24"/>
      <c r="D16300" s="26"/>
      <c r="E16300" s="24"/>
      <c r="F16300" s="24"/>
      <c r="G16300" s="24"/>
      <c r="H16300" s="24"/>
      <c r="I16300" s="24"/>
      <c r="J16300" s="24"/>
      <c r="K16300" s="24"/>
      <c r="L16300" s="24"/>
      <c r="M16300" s="24"/>
      <c r="N16300" s="24"/>
      <c r="O16300" s="24"/>
      <c r="P16300" s="24"/>
      <c r="Q16300" s="24"/>
      <c r="R16300" s="24"/>
      <c r="S16300" s="24"/>
      <c r="T16300" s="24"/>
      <c r="U16300" s="24"/>
      <c r="V16300" s="24"/>
      <c r="W16300" s="24"/>
      <c r="X16300" s="24"/>
      <c r="Y16300" s="24"/>
      <c r="Z16300" s="24"/>
      <c r="AA16300" s="24"/>
    </row>
    <row r="16301">
      <c r="A16301" s="24"/>
      <c r="B16301" s="25"/>
      <c r="C16301" s="24"/>
      <c r="D16301" s="26"/>
      <c r="E16301" s="24"/>
      <c r="F16301" s="24"/>
      <c r="G16301" s="24"/>
      <c r="H16301" s="24"/>
      <c r="I16301" s="24"/>
      <c r="J16301" s="24"/>
      <c r="K16301" s="24"/>
      <c r="L16301" s="24"/>
      <c r="M16301" s="24"/>
      <c r="N16301" s="24"/>
      <c r="O16301" s="24"/>
      <c r="P16301" s="24"/>
      <c r="Q16301" s="24"/>
      <c r="R16301" s="24"/>
      <c r="S16301" s="24"/>
      <c r="T16301" s="24"/>
      <c r="U16301" s="24"/>
      <c r="V16301" s="24"/>
      <c r="W16301" s="24"/>
      <c r="X16301" s="24"/>
      <c r="Y16301" s="24"/>
      <c r="Z16301" s="24"/>
      <c r="AA16301" s="24"/>
    </row>
    <row r="16302">
      <c r="A16302" s="24"/>
      <c r="B16302" s="25"/>
      <c r="C16302" s="24"/>
      <c r="D16302" s="26"/>
      <c r="E16302" s="24"/>
      <c r="F16302" s="24"/>
      <c r="G16302" s="24"/>
      <c r="H16302" s="24"/>
      <c r="I16302" s="24"/>
      <c r="J16302" s="24"/>
      <c r="K16302" s="24"/>
      <c r="L16302" s="24"/>
      <c r="M16302" s="24"/>
      <c r="N16302" s="24"/>
      <c r="O16302" s="24"/>
      <c r="P16302" s="24"/>
      <c r="Q16302" s="24"/>
      <c r="R16302" s="24"/>
      <c r="S16302" s="24"/>
      <c r="T16302" s="24"/>
      <c r="U16302" s="24"/>
      <c r="V16302" s="24"/>
      <c r="W16302" s="24"/>
      <c r="X16302" s="24"/>
      <c r="Y16302" s="24"/>
      <c r="Z16302" s="24"/>
      <c r="AA16302" s="24"/>
    </row>
    <row r="16303">
      <c r="A16303" s="24"/>
      <c r="B16303" s="25"/>
      <c r="C16303" s="24"/>
      <c r="D16303" s="26"/>
      <c r="E16303" s="24"/>
      <c r="F16303" s="24"/>
      <c r="G16303" s="24"/>
      <c r="H16303" s="24"/>
      <c r="I16303" s="24"/>
      <c r="J16303" s="24"/>
      <c r="K16303" s="24"/>
      <c r="L16303" s="24"/>
      <c r="M16303" s="24"/>
      <c r="N16303" s="24"/>
      <c r="O16303" s="24"/>
      <c r="P16303" s="24"/>
      <c r="Q16303" s="24"/>
      <c r="R16303" s="24"/>
      <c r="S16303" s="24"/>
      <c r="T16303" s="24"/>
      <c r="U16303" s="24"/>
      <c r="V16303" s="24"/>
      <c r="W16303" s="24"/>
      <c r="X16303" s="24"/>
      <c r="Y16303" s="24"/>
      <c r="Z16303" s="24"/>
      <c r="AA16303" s="24"/>
    </row>
    <row r="16304">
      <c r="A16304" s="24"/>
      <c r="B16304" s="25"/>
      <c r="C16304" s="24"/>
      <c r="D16304" s="26"/>
      <c r="E16304" s="24"/>
      <c r="F16304" s="24"/>
      <c r="G16304" s="24"/>
      <c r="H16304" s="24"/>
      <c r="I16304" s="24"/>
      <c r="J16304" s="24"/>
      <c r="K16304" s="24"/>
      <c r="L16304" s="24"/>
      <c r="M16304" s="24"/>
      <c r="N16304" s="24"/>
      <c r="O16304" s="24"/>
      <c r="P16304" s="24"/>
      <c r="Q16304" s="24"/>
      <c r="R16304" s="24"/>
      <c r="S16304" s="24"/>
      <c r="T16304" s="24"/>
      <c r="U16304" s="24"/>
      <c r="V16304" s="24"/>
      <c r="W16304" s="24"/>
      <c r="X16304" s="24"/>
      <c r="Y16304" s="24"/>
      <c r="Z16304" s="24"/>
      <c r="AA16304" s="24"/>
    </row>
    <row r="16305">
      <c r="A16305" s="24"/>
      <c r="B16305" s="25"/>
      <c r="C16305" s="24"/>
      <c r="D16305" s="26"/>
      <c r="E16305" s="24"/>
      <c r="F16305" s="24"/>
      <c r="G16305" s="24"/>
      <c r="H16305" s="24"/>
      <c r="I16305" s="24"/>
      <c r="J16305" s="24"/>
      <c r="K16305" s="24"/>
      <c r="L16305" s="24"/>
      <c r="M16305" s="24"/>
      <c r="N16305" s="24"/>
      <c r="O16305" s="24"/>
      <c r="P16305" s="24"/>
      <c r="Q16305" s="24"/>
      <c r="R16305" s="24"/>
      <c r="S16305" s="24"/>
      <c r="T16305" s="24"/>
      <c r="U16305" s="24"/>
      <c r="V16305" s="24"/>
      <c r="W16305" s="24"/>
      <c r="X16305" s="24"/>
      <c r="Y16305" s="24"/>
      <c r="Z16305" s="24"/>
      <c r="AA16305" s="24"/>
    </row>
    <row r="16306">
      <c r="A16306" s="24"/>
      <c r="B16306" s="25"/>
      <c r="C16306" s="24"/>
      <c r="D16306" s="26"/>
      <c r="E16306" s="24"/>
      <c r="F16306" s="24"/>
      <c r="G16306" s="24"/>
      <c r="H16306" s="24"/>
      <c r="I16306" s="24"/>
      <c r="J16306" s="24"/>
      <c r="K16306" s="24"/>
      <c r="L16306" s="24"/>
      <c r="M16306" s="24"/>
      <c r="N16306" s="24"/>
      <c r="O16306" s="24"/>
      <c r="P16306" s="24"/>
      <c r="Q16306" s="24"/>
      <c r="R16306" s="24"/>
      <c r="S16306" s="24"/>
      <c r="T16306" s="24"/>
      <c r="U16306" s="24"/>
      <c r="V16306" s="24"/>
      <c r="W16306" s="24"/>
      <c r="X16306" s="24"/>
      <c r="Y16306" s="24"/>
      <c r="Z16306" s="24"/>
      <c r="AA16306" s="24"/>
    </row>
    <row r="16307">
      <c r="A16307" s="24"/>
      <c r="B16307" s="25"/>
      <c r="C16307" s="24"/>
      <c r="D16307" s="26"/>
      <c r="E16307" s="24"/>
      <c r="F16307" s="24"/>
      <c r="G16307" s="24"/>
      <c r="H16307" s="24"/>
      <c r="I16307" s="24"/>
      <c r="J16307" s="24"/>
      <c r="K16307" s="24"/>
      <c r="L16307" s="24"/>
      <c r="M16307" s="24"/>
      <c r="N16307" s="24"/>
      <c r="O16307" s="24"/>
      <c r="P16307" s="24"/>
      <c r="Q16307" s="24"/>
      <c r="R16307" s="24"/>
      <c r="S16307" s="24"/>
      <c r="T16307" s="24"/>
      <c r="U16307" s="24"/>
      <c r="V16307" s="24"/>
      <c r="W16307" s="24"/>
      <c r="X16307" s="24"/>
      <c r="Y16307" s="24"/>
      <c r="Z16307" s="24"/>
      <c r="AA16307" s="24"/>
    </row>
    <row r="16308">
      <c r="A16308" s="24"/>
      <c r="B16308" s="25"/>
      <c r="C16308" s="24"/>
      <c r="D16308" s="26"/>
      <c r="E16308" s="24"/>
      <c r="F16308" s="24"/>
      <c r="G16308" s="24"/>
      <c r="H16308" s="24"/>
      <c r="I16308" s="24"/>
      <c r="J16308" s="24"/>
      <c r="K16308" s="24"/>
      <c r="L16308" s="24"/>
      <c r="M16308" s="24"/>
      <c r="N16308" s="24"/>
      <c r="O16308" s="24"/>
      <c r="P16308" s="24"/>
      <c r="Q16308" s="24"/>
      <c r="R16308" s="24"/>
      <c r="S16308" s="24"/>
      <c r="T16308" s="24"/>
      <c r="U16308" s="24"/>
      <c r="V16308" s="24"/>
      <c r="W16308" s="24"/>
      <c r="X16308" s="24"/>
      <c r="Y16308" s="24"/>
      <c r="Z16308" s="24"/>
      <c r="AA16308" s="24"/>
    </row>
    <row r="16309">
      <c r="A16309" s="24"/>
      <c r="B16309" s="25"/>
      <c r="C16309" s="24"/>
      <c r="D16309" s="26"/>
      <c r="E16309" s="24"/>
      <c r="F16309" s="24"/>
      <c r="G16309" s="24"/>
      <c r="H16309" s="24"/>
      <c r="I16309" s="24"/>
      <c r="J16309" s="24"/>
      <c r="K16309" s="24"/>
      <c r="L16309" s="24"/>
      <c r="M16309" s="24"/>
      <c r="N16309" s="24"/>
      <c r="O16309" s="24"/>
      <c r="P16309" s="24"/>
      <c r="Q16309" s="24"/>
      <c r="R16309" s="24"/>
      <c r="S16309" s="24"/>
      <c r="T16309" s="24"/>
      <c r="U16309" s="24"/>
      <c r="V16309" s="24"/>
      <c r="W16309" s="24"/>
      <c r="X16309" s="24"/>
      <c r="Y16309" s="24"/>
      <c r="Z16309" s="24"/>
      <c r="AA16309" s="24"/>
    </row>
    <row r="16310">
      <c r="A16310" s="24"/>
      <c r="B16310" s="25"/>
      <c r="C16310" s="24"/>
      <c r="D16310" s="26"/>
      <c r="E16310" s="24"/>
      <c r="F16310" s="24"/>
      <c r="G16310" s="24"/>
      <c r="H16310" s="24"/>
      <c r="I16310" s="24"/>
      <c r="J16310" s="24"/>
      <c r="K16310" s="24"/>
      <c r="L16310" s="24"/>
      <c r="M16310" s="24"/>
      <c r="N16310" s="24"/>
      <c r="O16310" s="24"/>
      <c r="P16310" s="24"/>
      <c r="Q16310" s="24"/>
      <c r="R16310" s="24"/>
      <c r="S16310" s="24"/>
      <c r="T16310" s="24"/>
      <c r="U16310" s="24"/>
      <c r="V16310" s="24"/>
      <c r="W16310" s="24"/>
      <c r="X16310" s="24"/>
      <c r="Y16310" s="24"/>
      <c r="Z16310" s="24"/>
      <c r="AA16310" s="24"/>
    </row>
    <row r="16311">
      <c r="A16311" s="24"/>
      <c r="B16311" s="25"/>
      <c r="C16311" s="24"/>
      <c r="D16311" s="26"/>
      <c r="E16311" s="24"/>
      <c r="F16311" s="24"/>
      <c r="G16311" s="24"/>
      <c r="H16311" s="24"/>
      <c r="I16311" s="24"/>
      <c r="J16311" s="24"/>
      <c r="K16311" s="24"/>
      <c r="L16311" s="24"/>
      <c r="M16311" s="24"/>
      <c r="N16311" s="24"/>
      <c r="O16311" s="24"/>
      <c r="P16311" s="24"/>
      <c r="Q16311" s="24"/>
      <c r="R16311" s="24"/>
      <c r="S16311" s="24"/>
      <c r="T16311" s="24"/>
      <c r="U16311" s="24"/>
      <c r="V16311" s="24"/>
      <c r="W16311" s="24"/>
      <c r="X16311" s="24"/>
      <c r="Y16311" s="24"/>
      <c r="Z16311" s="24"/>
      <c r="AA16311" s="24"/>
    </row>
    <row r="16312">
      <c r="A16312" s="24"/>
      <c r="B16312" s="25"/>
      <c r="C16312" s="24"/>
      <c r="D16312" s="26"/>
      <c r="E16312" s="24"/>
      <c r="F16312" s="24"/>
      <c r="G16312" s="24"/>
      <c r="H16312" s="24"/>
      <c r="I16312" s="24"/>
      <c r="J16312" s="24"/>
      <c r="K16312" s="24"/>
      <c r="L16312" s="24"/>
      <c r="M16312" s="24"/>
      <c r="N16312" s="24"/>
      <c r="O16312" s="24"/>
      <c r="P16312" s="24"/>
      <c r="Q16312" s="24"/>
      <c r="R16312" s="24"/>
      <c r="S16312" s="24"/>
      <c r="T16312" s="24"/>
      <c r="U16312" s="24"/>
      <c r="V16312" s="24"/>
      <c r="W16312" s="24"/>
      <c r="X16312" s="24"/>
      <c r="Y16312" s="24"/>
      <c r="Z16312" s="24"/>
      <c r="AA16312" s="24"/>
    </row>
    <row r="16313">
      <c r="A16313" s="24"/>
      <c r="B16313" s="25"/>
      <c r="C16313" s="24"/>
      <c r="D16313" s="26"/>
      <c r="E16313" s="24"/>
      <c r="F16313" s="24"/>
      <c r="G16313" s="24"/>
      <c r="H16313" s="24"/>
      <c r="I16313" s="24"/>
      <c r="J16313" s="24"/>
      <c r="K16313" s="24"/>
      <c r="L16313" s="24"/>
      <c r="M16313" s="24"/>
      <c r="N16313" s="24"/>
      <c r="O16313" s="24"/>
      <c r="P16313" s="24"/>
      <c r="Q16313" s="24"/>
      <c r="R16313" s="24"/>
      <c r="S16313" s="24"/>
      <c r="T16313" s="24"/>
      <c r="U16313" s="24"/>
      <c r="V16313" s="24"/>
      <c r="W16313" s="24"/>
      <c r="X16313" s="24"/>
      <c r="Y16313" s="24"/>
      <c r="Z16313" s="24"/>
      <c r="AA16313" s="24"/>
    </row>
    <row r="16314">
      <c r="A16314" s="24"/>
      <c r="B16314" s="25"/>
      <c r="C16314" s="24"/>
      <c r="D16314" s="26"/>
      <c r="E16314" s="24"/>
      <c r="F16314" s="24"/>
      <c r="G16314" s="24"/>
      <c r="H16314" s="24"/>
      <c r="I16314" s="24"/>
      <c r="J16314" s="24"/>
      <c r="K16314" s="24"/>
      <c r="L16314" s="24"/>
      <c r="M16314" s="24"/>
      <c r="N16314" s="24"/>
      <c r="O16314" s="24"/>
      <c r="P16314" s="24"/>
      <c r="Q16314" s="24"/>
      <c r="R16314" s="24"/>
      <c r="S16314" s="24"/>
      <c r="T16314" s="24"/>
      <c r="U16314" s="24"/>
      <c r="V16314" s="24"/>
      <c r="W16314" s="24"/>
      <c r="X16314" s="24"/>
      <c r="Y16314" s="24"/>
      <c r="Z16314" s="24"/>
      <c r="AA16314" s="24"/>
    </row>
    <row r="16315">
      <c r="A16315" s="24"/>
      <c r="B16315" s="25"/>
      <c r="C16315" s="24"/>
      <c r="D16315" s="26"/>
      <c r="E16315" s="24"/>
      <c r="F16315" s="24"/>
      <c r="G16315" s="24"/>
      <c r="H16315" s="24"/>
      <c r="I16315" s="24"/>
      <c r="J16315" s="24"/>
      <c r="K16315" s="24"/>
      <c r="L16315" s="24"/>
      <c r="M16315" s="24"/>
      <c r="N16315" s="24"/>
      <c r="O16315" s="24"/>
      <c r="P16315" s="24"/>
      <c r="Q16315" s="24"/>
      <c r="R16315" s="24"/>
      <c r="S16315" s="24"/>
      <c r="T16315" s="24"/>
      <c r="U16315" s="24"/>
      <c r="V16315" s="24"/>
      <c r="W16315" s="24"/>
      <c r="X16315" s="24"/>
      <c r="Y16315" s="24"/>
      <c r="Z16315" s="24"/>
      <c r="AA16315" s="24"/>
    </row>
    <row r="16316">
      <c r="A16316" s="24"/>
      <c r="B16316" s="25"/>
      <c r="C16316" s="24"/>
      <c r="D16316" s="26"/>
      <c r="E16316" s="24"/>
      <c r="F16316" s="24"/>
      <c r="G16316" s="24"/>
      <c r="H16316" s="24"/>
      <c r="I16316" s="24"/>
      <c r="J16316" s="24"/>
      <c r="K16316" s="24"/>
      <c r="L16316" s="24"/>
      <c r="M16316" s="24"/>
      <c r="N16316" s="24"/>
      <c r="O16316" s="24"/>
      <c r="P16316" s="24"/>
      <c r="Q16316" s="24"/>
      <c r="R16316" s="24"/>
      <c r="S16316" s="24"/>
      <c r="T16316" s="24"/>
      <c r="U16316" s="24"/>
      <c r="V16316" s="24"/>
      <c r="W16316" s="24"/>
      <c r="X16316" s="24"/>
      <c r="Y16316" s="24"/>
      <c r="Z16316" s="24"/>
      <c r="AA16316" s="24"/>
    </row>
    <row r="16317">
      <c r="A16317" s="24"/>
      <c r="B16317" s="25"/>
      <c r="C16317" s="24"/>
      <c r="D16317" s="26"/>
      <c r="E16317" s="24"/>
      <c r="F16317" s="24"/>
      <c r="G16317" s="24"/>
      <c r="H16317" s="24"/>
      <c r="I16317" s="24"/>
      <c r="J16317" s="24"/>
      <c r="K16317" s="24"/>
      <c r="L16317" s="24"/>
      <c r="M16317" s="24"/>
      <c r="N16317" s="24"/>
      <c r="O16317" s="24"/>
      <c r="P16317" s="24"/>
      <c r="Q16317" s="24"/>
      <c r="R16317" s="24"/>
      <c r="S16317" s="24"/>
      <c r="T16317" s="24"/>
      <c r="U16317" s="24"/>
      <c r="V16317" s="24"/>
      <c r="W16317" s="24"/>
      <c r="X16317" s="24"/>
      <c r="Y16317" s="24"/>
      <c r="Z16317" s="24"/>
      <c r="AA16317" s="24"/>
    </row>
    <row r="16318">
      <c r="A16318" s="24"/>
      <c r="B16318" s="25"/>
      <c r="C16318" s="24"/>
      <c r="D16318" s="26"/>
      <c r="E16318" s="24"/>
      <c r="F16318" s="24"/>
      <c r="G16318" s="24"/>
      <c r="H16318" s="24"/>
      <c r="I16318" s="24"/>
      <c r="J16318" s="24"/>
      <c r="K16318" s="24"/>
      <c r="L16318" s="24"/>
      <c r="M16318" s="24"/>
      <c r="N16318" s="24"/>
      <c r="O16318" s="24"/>
      <c r="P16318" s="24"/>
      <c r="Q16318" s="24"/>
      <c r="R16318" s="24"/>
      <c r="S16318" s="24"/>
      <c r="T16318" s="24"/>
      <c r="U16318" s="24"/>
      <c r="V16318" s="24"/>
      <c r="W16318" s="24"/>
      <c r="X16318" s="24"/>
      <c r="Y16318" s="24"/>
      <c r="Z16318" s="24"/>
      <c r="AA16318" s="24"/>
    </row>
    <row r="16319">
      <c r="A16319" s="24"/>
      <c r="B16319" s="25"/>
      <c r="C16319" s="24"/>
      <c r="D16319" s="26"/>
      <c r="E16319" s="24"/>
      <c r="F16319" s="24"/>
      <c r="G16319" s="24"/>
      <c r="H16319" s="24"/>
      <c r="I16319" s="24"/>
      <c r="J16319" s="24"/>
      <c r="K16319" s="24"/>
      <c r="L16319" s="24"/>
      <c r="M16319" s="24"/>
      <c r="N16319" s="24"/>
      <c r="O16319" s="24"/>
      <c r="P16319" s="24"/>
      <c r="Q16319" s="24"/>
      <c r="R16319" s="24"/>
      <c r="S16319" s="24"/>
      <c r="T16319" s="24"/>
      <c r="U16319" s="24"/>
      <c r="V16319" s="24"/>
      <c r="W16319" s="24"/>
      <c r="X16319" s="24"/>
      <c r="Y16319" s="24"/>
      <c r="Z16319" s="24"/>
      <c r="AA16319" s="24"/>
    </row>
    <row r="16320">
      <c r="A16320" s="24"/>
      <c r="B16320" s="25"/>
      <c r="C16320" s="24"/>
      <c r="D16320" s="26"/>
      <c r="E16320" s="24"/>
      <c r="F16320" s="24"/>
      <c r="G16320" s="24"/>
      <c r="H16320" s="24"/>
      <c r="I16320" s="24"/>
      <c r="J16320" s="24"/>
      <c r="K16320" s="24"/>
      <c r="L16320" s="24"/>
      <c r="M16320" s="24"/>
      <c r="N16320" s="24"/>
      <c r="O16320" s="24"/>
      <c r="P16320" s="24"/>
      <c r="Q16320" s="24"/>
      <c r="R16320" s="24"/>
      <c r="S16320" s="24"/>
      <c r="T16320" s="24"/>
      <c r="U16320" s="24"/>
      <c r="V16320" s="24"/>
      <c r="W16320" s="24"/>
      <c r="X16320" s="24"/>
      <c r="Y16320" s="24"/>
      <c r="Z16320" s="24"/>
      <c r="AA16320" s="24"/>
    </row>
    <row r="16321">
      <c r="A16321" s="24"/>
      <c r="B16321" s="25"/>
      <c r="C16321" s="24"/>
      <c r="D16321" s="26"/>
      <c r="E16321" s="24"/>
      <c r="F16321" s="24"/>
      <c r="G16321" s="24"/>
      <c r="H16321" s="24"/>
      <c r="I16321" s="24"/>
      <c r="J16321" s="24"/>
      <c r="K16321" s="24"/>
      <c r="L16321" s="24"/>
      <c r="M16321" s="24"/>
      <c r="N16321" s="24"/>
      <c r="O16321" s="24"/>
      <c r="P16321" s="24"/>
      <c r="Q16321" s="24"/>
      <c r="R16321" s="24"/>
      <c r="S16321" s="24"/>
      <c r="T16321" s="24"/>
      <c r="U16321" s="24"/>
      <c r="V16321" s="24"/>
      <c r="W16321" s="24"/>
      <c r="X16321" s="24"/>
      <c r="Y16321" s="24"/>
      <c r="Z16321" s="24"/>
      <c r="AA16321" s="24"/>
    </row>
    <row r="16322">
      <c r="A16322" s="24"/>
      <c r="B16322" s="25"/>
      <c r="C16322" s="24"/>
      <c r="D16322" s="26"/>
      <c r="E16322" s="24"/>
      <c r="F16322" s="24"/>
      <c r="G16322" s="24"/>
      <c r="H16322" s="24"/>
      <c r="I16322" s="24"/>
      <c r="J16322" s="24"/>
      <c r="K16322" s="24"/>
      <c r="L16322" s="24"/>
      <c r="M16322" s="24"/>
      <c r="N16322" s="24"/>
      <c r="O16322" s="24"/>
      <c r="P16322" s="24"/>
      <c r="Q16322" s="24"/>
      <c r="R16322" s="24"/>
      <c r="S16322" s="24"/>
      <c r="T16322" s="24"/>
      <c r="U16322" s="24"/>
      <c r="V16322" s="24"/>
      <c r="W16322" s="24"/>
      <c r="X16322" s="24"/>
      <c r="Y16322" s="24"/>
      <c r="Z16322" s="24"/>
      <c r="AA16322" s="24"/>
    </row>
    <row r="16323">
      <c r="A16323" s="24"/>
      <c r="B16323" s="25"/>
      <c r="C16323" s="24"/>
      <c r="D16323" s="26"/>
      <c r="E16323" s="24"/>
      <c r="F16323" s="24"/>
      <c r="G16323" s="24"/>
      <c r="H16323" s="24"/>
      <c r="I16323" s="24"/>
      <c r="J16323" s="24"/>
      <c r="K16323" s="24"/>
      <c r="L16323" s="24"/>
      <c r="M16323" s="24"/>
      <c r="N16323" s="24"/>
      <c r="O16323" s="24"/>
      <c r="P16323" s="24"/>
      <c r="Q16323" s="24"/>
      <c r="R16323" s="24"/>
      <c r="S16323" s="24"/>
      <c r="T16323" s="24"/>
      <c r="U16323" s="24"/>
      <c r="V16323" s="24"/>
      <c r="W16323" s="24"/>
      <c r="X16323" s="24"/>
      <c r="Y16323" s="24"/>
      <c r="Z16323" s="24"/>
      <c r="AA16323" s="24"/>
    </row>
    <row r="16324">
      <c r="A16324" s="24"/>
      <c r="B16324" s="25"/>
      <c r="C16324" s="24"/>
      <c r="D16324" s="26"/>
      <c r="E16324" s="24"/>
      <c r="F16324" s="24"/>
      <c r="G16324" s="24"/>
      <c r="H16324" s="24"/>
      <c r="I16324" s="24"/>
      <c r="J16324" s="24"/>
      <c r="K16324" s="24"/>
      <c r="L16324" s="24"/>
      <c r="M16324" s="24"/>
      <c r="N16324" s="24"/>
      <c r="O16324" s="24"/>
      <c r="P16324" s="24"/>
      <c r="Q16324" s="24"/>
      <c r="R16324" s="24"/>
      <c r="S16324" s="24"/>
      <c r="T16324" s="24"/>
      <c r="U16324" s="24"/>
      <c r="V16324" s="24"/>
      <c r="W16324" s="24"/>
      <c r="X16324" s="24"/>
      <c r="Y16324" s="24"/>
      <c r="Z16324" s="24"/>
      <c r="AA16324" s="24"/>
    </row>
    <row r="16325">
      <c r="A16325" s="24"/>
      <c r="B16325" s="25"/>
      <c r="C16325" s="24"/>
      <c r="D16325" s="26"/>
      <c r="E16325" s="24"/>
      <c r="F16325" s="24"/>
      <c r="G16325" s="24"/>
      <c r="H16325" s="24"/>
      <c r="I16325" s="24"/>
      <c r="J16325" s="24"/>
      <c r="K16325" s="24"/>
      <c r="L16325" s="24"/>
      <c r="M16325" s="24"/>
      <c r="N16325" s="24"/>
      <c r="O16325" s="24"/>
      <c r="P16325" s="24"/>
      <c r="Q16325" s="24"/>
      <c r="R16325" s="24"/>
      <c r="S16325" s="24"/>
      <c r="T16325" s="24"/>
      <c r="U16325" s="24"/>
      <c r="V16325" s="24"/>
      <c r="W16325" s="24"/>
      <c r="X16325" s="24"/>
      <c r="Y16325" s="24"/>
      <c r="Z16325" s="24"/>
      <c r="AA16325" s="24"/>
    </row>
    <row r="16326">
      <c r="A16326" s="24"/>
      <c r="B16326" s="25"/>
      <c r="C16326" s="24"/>
      <c r="D16326" s="26"/>
      <c r="E16326" s="24"/>
      <c r="F16326" s="24"/>
      <c r="G16326" s="24"/>
      <c r="H16326" s="24"/>
      <c r="I16326" s="24"/>
      <c r="J16326" s="24"/>
      <c r="K16326" s="24"/>
      <c r="L16326" s="24"/>
      <c r="M16326" s="24"/>
      <c r="N16326" s="24"/>
      <c r="O16326" s="24"/>
      <c r="P16326" s="24"/>
      <c r="Q16326" s="24"/>
      <c r="R16326" s="24"/>
      <c r="S16326" s="24"/>
      <c r="T16326" s="24"/>
      <c r="U16326" s="24"/>
      <c r="V16326" s="24"/>
      <c r="W16326" s="24"/>
      <c r="X16326" s="24"/>
      <c r="Y16326" s="24"/>
      <c r="Z16326" s="24"/>
      <c r="AA16326" s="24"/>
    </row>
    <row r="16327">
      <c r="A16327" s="24"/>
      <c r="B16327" s="25"/>
      <c r="C16327" s="24"/>
      <c r="D16327" s="26"/>
      <c r="E16327" s="24"/>
      <c r="F16327" s="24"/>
      <c r="G16327" s="24"/>
      <c r="H16327" s="24"/>
      <c r="I16327" s="24"/>
      <c r="J16327" s="24"/>
      <c r="K16327" s="24"/>
      <c r="L16327" s="24"/>
      <c r="M16327" s="24"/>
      <c r="N16327" s="24"/>
      <c r="O16327" s="24"/>
      <c r="P16327" s="24"/>
      <c r="Q16327" s="24"/>
      <c r="R16327" s="24"/>
      <c r="S16327" s="24"/>
      <c r="T16327" s="24"/>
      <c r="U16327" s="24"/>
      <c r="V16327" s="24"/>
      <c r="W16327" s="24"/>
      <c r="X16327" s="24"/>
      <c r="Y16327" s="24"/>
      <c r="Z16327" s="24"/>
      <c r="AA16327" s="24"/>
    </row>
    <row r="16328">
      <c r="A16328" s="24"/>
      <c r="B16328" s="25"/>
      <c r="C16328" s="24"/>
      <c r="D16328" s="26"/>
      <c r="E16328" s="24"/>
      <c r="F16328" s="24"/>
      <c r="G16328" s="24"/>
      <c r="H16328" s="24"/>
      <c r="I16328" s="24"/>
      <c r="J16328" s="24"/>
      <c r="K16328" s="24"/>
      <c r="L16328" s="24"/>
      <c r="M16328" s="24"/>
      <c r="N16328" s="24"/>
      <c r="O16328" s="24"/>
      <c r="P16328" s="24"/>
      <c r="Q16328" s="24"/>
      <c r="R16328" s="24"/>
      <c r="S16328" s="24"/>
      <c r="T16328" s="24"/>
      <c r="U16328" s="24"/>
      <c r="V16328" s="24"/>
      <c r="W16328" s="24"/>
      <c r="X16328" s="24"/>
      <c r="Y16328" s="24"/>
      <c r="Z16328" s="24"/>
      <c r="AA16328" s="24"/>
    </row>
    <row r="16329">
      <c r="A16329" s="24"/>
      <c r="B16329" s="25"/>
      <c r="C16329" s="24"/>
      <c r="D16329" s="26"/>
      <c r="E16329" s="24"/>
      <c r="F16329" s="24"/>
      <c r="G16329" s="24"/>
      <c r="H16329" s="24"/>
      <c r="I16329" s="24"/>
      <c r="J16329" s="24"/>
      <c r="K16329" s="24"/>
      <c r="L16329" s="24"/>
      <c r="M16329" s="24"/>
      <c r="N16329" s="24"/>
      <c r="O16329" s="24"/>
      <c r="P16329" s="24"/>
      <c r="Q16329" s="24"/>
      <c r="R16329" s="24"/>
      <c r="S16329" s="24"/>
      <c r="T16329" s="24"/>
      <c r="U16329" s="24"/>
      <c r="V16329" s="24"/>
      <c r="W16329" s="24"/>
      <c r="X16329" s="24"/>
      <c r="Y16329" s="24"/>
      <c r="Z16329" s="24"/>
      <c r="AA16329" s="24"/>
    </row>
    <row r="16330">
      <c r="A16330" s="24"/>
      <c r="B16330" s="25"/>
      <c r="C16330" s="24"/>
      <c r="D16330" s="26"/>
      <c r="E16330" s="24"/>
      <c r="F16330" s="24"/>
      <c r="G16330" s="24"/>
      <c r="H16330" s="24"/>
      <c r="I16330" s="24"/>
      <c r="J16330" s="24"/>
      <c r="K16330" s="24"/>
      <c r="L16330" s="24"/>
      <c r="M16330" s="24"/>
      <c r="N16330" s="24"/>
      <c r="O16330" s="24"/>
      <c r="P16330" s="24"/>
      <c r="Q16330" s="24"/>
      <c r="R16330" s="24"/>
      <c r="S16330" s="24"/>
      <c r="T16330" s="24"/>
      <c r="U16330" s="24"/>
      <c r="V16330" s="24"/>
      <c r="W16330" s="24"/>
      <c r="X16330" s="24"/>
      <c r="Y16330" s="24"/>
      <c r="Z16330" s="24"/>
      <c r="AA16330" s="24"/>
    </row>
    <row r="16331">
      <c r="A16331" s="24"/>
      <c r="B16331" s="25"/>
      <c r="C16331" s="24"/>
      <c r="D16331" s="26"/>
      <c r="E16331" s="24"/>
      <c r="F16331" s="24"/>
      <c r="G16331" s="24"/>
      <c r="H16331" s="24"/>
      <c r="I16331" s="24"/>
      <c r="J16331" s="24"/>
      <c r="K16331" s="24"/>
      <c r="L16331" s="24"/>
      <c r="M16331" s="24"/>
      <c r="N16331" s="24"/>
      <c r="O16331" s="24"/>
      <c r="P16331" s="24"/>
      <c r="Q16331" s="24"/>
      <c r="R16331" s="24"/>
      <c r="S16331" s="24"/>
      <c r="T16331" s="24"/>
      <c r="U16331" s="24"/>
      <c r="V16331" s="24"/>
      <c r="W16331" s="24"/>
      <c r="X16331" s="24"/>
      <c r="Y16331" s="24"/>
      <c r="Z16331" s="24"/>
      <c r="AA16331" s="24"/>
    </row>
    <row r="16332">
      <c r="A16332" s="24"/>
      <c r="B16332" s="25"/>
      <c r="C16332" s="24"/>
      <c r="D16332" s="26"/>
      <c r="E16332" s="24"/>
      <c r="F16332" s="24"/>
      <c r="G16332" s="24"/>
      <c r="H16332" s="24"/>
      <c r="I16332" s="24"/>
      <c r="J16332" s="24"/>
      <c r="K16332" s="24"/>
      <c r="L16332" s="24"/>
      <c r="M16332" s="24"/>
      <c r="N16332" s="24"/>
      <c r="O16332" s="24"/>
      <c r="P16332" s="24"/>
      <c r="Q16332" s="24"/>
      <c r="R16332" s="24"/>
      <c r="S16332" s="24"/>
      <c r="T16332" s="24"/>
      <c r="U16332" s="24"/>
      <c r="V16332" s="24"/>
      <c r="W16332" s="24"/>
      <c r="X16332" s="24"/>
      <c r="Y16332" s="24"/>
      <c r="Z16332" s="24"/>
      <c r="AA16332" s="24"/>
    </row>
    <row r="16333">
      <c r="A16333" s="24"/>
      <c r="B16333" s="25"/>
      <c r="C16333" s="24"/>
      <c r="D16333" s="26"/>
      <c r="E16333" s="24"/>
      <c r="F16333" s="24"/>
      <c r="G16333" s="24"/>
      <c r="H16333" s="24"/>
      <c r="I16333" s="24"/>
      <c r="J16333" s="24"/>
      <c r="K16333" s="24"/>
      <c r="L16333" s="24"/>
      <c r="M16333" s="24"/>
      <c r="N16333" s="24"/>
      <c r="O16333" s="24"/>
      <c r="P16333" s="24"/>
      <c r="Q16333" s="24"/>
      <c r="R16333" s="24"/>
      <c r="S16333" s="24"/>
      <c r="T16333" s="24"/>
      <c r="U16333" s="24"/>
      <c r="V16333" s="24"/>
      <c r="W16333" s="24"/>
      <c r="X16333" s="24"/>
      <c r="Y16333" s="24"/>
      <c r="Z16333" s="24"/>
      <c r="AA16333" s="24"/>
    </row>
    <row r="16334">
      <c r="A16334" s="24"/>
      <c r="B16334" s="25"/>
      <c r="C16334" s="24"/>
      <c r="D16334" s="26"/>
      <c r="E16334" s="24"/>
      <c r="F16334" s="24"/>
      <c r="G16334" s="24"/>
      <c r="H16334" s="24"/>
      <c r="I16334" s="24"/>
      <c r="J16334" s="24"/>
      <c r="K16334" s="24"/>
      <c r="L16334" s="24"/>
      <c r="M16334" s="24"/>
      <c r="N16334" s="24"/>
      <c r="O16334" s="24"/>
      <c r="P16334" s="24"/>
      <c r="Q16334" s="24"/>
      <c r="R16334" s="24"/>
      <c r="S16334" s="24"/>
      <c r="T16334" s="24"/>
      <c r="U16334" s="24"/>
      <c r="V16334" s="24"/>
      <c r="W16334" s="24"/>
      <c r="X16334" s="24"/>
      <c r="Y16334" s="24"/>
      <c r="Z16334" s="24"/>
      <c r="AA16334" s="24"/>
    </row>
    <row r="16335">
      <c r="A16335" s="24"/>
      <c r="B16335" s="25"/>
      <c r="C16335" s="24"/>
      <c r="D16335" s="26"/>
      <c r="E16335" s="24"/>
      <c r="F16335" s="24"/>
      <c r="G16335" s="24"/>
      <c r="H16335" s="24"/>
      <c r="I16335" s="24"/>
      <c r="J16335" s="24"/>
      <c r="K16335" s="24"/>
      <c r="L16335" s="24"/>
      <c r="M16335" s="24"/>
      <c r="N16335" s="24"/>
      <c r="O16335" s="24"/>
      <c r="P16335" s="24"/>
      <c r="Q16335" s="24"/>
      <c r="R16335" s="24"/>
      <c r="S16335" s="24"/>
      <c r="T16335" s="24"/>
      <c r="U16335" s="24"/>
      <c r="V16335" s="24"/>
      <c r="W16335" s="24"/>
      <c r="X16335" s="24"/>
      <c r="Y16335" s="24"/>
      <c r="Z16335" s="24"/>
      <c r="AA16335" s="24"/>
    </row>
    <row r="16336">
      <c r="A16336" s="24"/>
      <c r="B16336" s="25"/>
      <c r="C16336" s="24"/>
      <c r="D16336" s="26"/>
      <c r="E16336" s="24"/>
      <c r="F16336" s="24"/>
      <c r="G16336" s="24"/>
      <c r="H16336" s="24"/>
      <c r="I16336" s="24"/>
      <c r="J16336" s="24"/>
      <c r="K16336" s="24"/>
      <c r="L16336" s="24"/>
      <c r="M16336" s="24"/>
      <c r="N16336" s="24"/>
      <c r="O16336" s="24"/>
      <c r="P16336" s="24"/>
      <c r="Q16336" s="24"/>
      <c r="R16336" s="24"/>
      <c r="S16336" s="24"/>
      <c r="T16336" s="24"/>
      <c r="U16336" s="24"/>
      <c r="V16336" s="24"/>
      <c r="W16336" s="24"/>
      <c r="X16336" s="24"/>
      <c r="Y16336" s="24"/>
      <c r="Z16336" s="24"/>
      <c r="AA16336" s="24"/>
    </row>
    <row r="16337">
      <c r="A16337" s="24"/>
      <c r="B16337" s="25"/>
      <c r="C16337" s="24"/>
      <c r="D16337" s="26"/>
      <c r="E16337" s="24"/>
      <c r="F16337" s="24"/>
      <c r="G16337" s="24"/>
      <c r="H16337" s="24"/>
      <c r="I16337" s="24"/>
      <c r="J16337" s="24"/>
      <c r="K16337" s="24"/>
      <c r="L16337" s="24"/>
      <c r="M16337" s="24"/>
      <c r="N16337" s="24"/>
      <c r="O16337" s="24"/>
      <c r="P16337" s="24"/>
      <c r="Q16337" s="24"/>
      <c r="R16337" s="24"/>
      <c r="S16337" s="24"/>
      <c r="T16337" s="24"/>
      <c r="U16337" s="24"/>
      <c r="V16337" s="24"/>
      <c r="W16337" s="24"/>
      <c r="X16337" s="24"/>
      <c r="Y16337" s="24"/>
      <c r="Z16337" s="24"/>
      <c r="AA16337" s="24"/>
    </row>
    <row r="16338">
      <c r="A16338" s="24"/>
      <c r="B16338" s="25"/>
      <c r="C16338" s="24"/>
      <c r="D16338" s="26"/>
      <c r="E16338" s="24"/>
      <c r="F16338" s="24"/>
      <c r="G16338" s="24"/>
      <c r="H16338" s="24"/>
      <c r="I16338" s="24"/>
      <c r="J16338" s="24"/>
      <c r="K16338" s="24"/>
      <c r="L16338" s="24"/>
      <c r="M16338" s="24"/>
      <c r="N16338" s="24"/>
      <c r="O16338" s="24"/>
      <c r="P16338" s="24"/>
      <c r="Q16338" s="24"/>
      <c r="R16338" s="24"/>
      <c r="S16338" s="24"/>
      <c r="T16338" s="24"/>
      <c r="U16338" s="24"/>
      <c r="V16338" s="24"/>
      <c r="W16338" s="24"/>
      <c r="X16338" s="24"/>
      <c r="Y16338" s="24"/>
      <c r="Z16338" s="24"/>
      <c r="AA16338" s="24"/>
    </row>
    <row r="16339">
      <c r="A16339" s="24"/>
      <c r="B16339" s="25"/>
      <c r="C16339" s="24"/>
      <c r="D16339" s="26"/>
      <c r="E16339" s="24"/>
      <c r="F16339" s="24"/>
      <c r="G16339" s="24"/>
      <c r="H16339" s="24"/>
      <c r="I16339" s="24"/>
      <c r="J16339" s="24"/>
      <c r="K16339" s="24"/>
      <c r="L16339" s="24"/>
      <c r="M16339" s="24"/>
      <c r="N16339" s="24"/>
      <c r="O16339" s="24"/>
      <c r="P16339" s="24"/>
      <c r="Q16339" s="24"/>
      <c r="R16339" s="24"/>
      <c r="S16339" s="24"/>
      <c r="T16339" s="24"/>
      <c r="U16339" s="24"/>
      <c r="V16339" s="24"/>
      <c r="W16339" s="24"/>
      <c r="X16339" s="24"/>
      <c r="Y16339" s="24"/>
      <c r="Z16339" s="24"/>
      <c r="AA16339" s="24"/>
    </row>
    <row r="16340">
      <c r="A16340" s="24"/>
      <c r="B16340" s="25"/>
      <c r="C16340" s="24"/>
      <c r="D16340" s="26"/>
      <c r="E16340" s="24"/>
      <c r="F16340" s="24"/>
      <c r="G16340" s="24"/>
      <c r="H16340" s="24"/>
      <c r="I16340" s="24"/>
      <c r="J16340" s="24"/>
      <c r="K16340" s="24"/>
      <c r="L16340" s="24"/>
      <c r="M16340" s="24"/>
      <c r="N16340" s="24"/>
      <c r="O16340" s="24"/>
      <c r="P16340" s="24"/>
      <c r="Q16340" s="24"/>
      <c r="R16340" s="24"/>
      <c r="S16340" s="24"/>
      <c r="T16340" s="24"/>
      <c r="U16340" s="24"/>
      <c r="V16340" s="24"/>
      <c r="W16340" s="24"/>
      <c r="X16340" s="24"/>
      <c r="Y16340" s="24"/>
      <c r="Z16340" s="24"/>
      <c r="AA16340" s="24"/>
    </row>
    <row r="16341">
      <c r="A16341" s="24"/>
      <c r="B16341" s="25"/>
      <c r="C16341" s="24"/>
      <c r="D16341" s="26"/>
      <c r="E16341" s="24"/>
      <c r="F16341" s="24"/>
      <c r="G16341" s="24"/>
      <c r="H16341" s="24"/>
      <c r="I16341" s="24"/>
      <c r="J16341" s="24"/>
      <c r="K16341" s="24"/>
      <c r="L16341" s="24"/>
      <c r="M16341" s="24"/>
      <c r="N16341" s="24"/>
      <c r="O16341" s="24"/>
      <c r="P16341" s="24"/>
      <c r="Q16341" s="24"/>
      <c r="R16341" s="24"/>
      <c r="S16341" s="24"/>
      <c r="T16341" s="24"/>
      <c r="U16341" s="24"/>
      <c r="V16341" s="24"/>
      <c r="W16341" s="24"/>
      <c r="X16341" s="24"/>
      <c r="Y16341" s="24"/>
      <c r="Z16341" s="24"/>
      <c r="AA16341" s="24"/>
    </row>
    <row r="16342">
      <c r="A16342" s="24"/>
      <c r="B16342" s="25"/>
      <c r="C16342" s="24"/>
      <c r="D16342" s="26"/>
      <c r="E16342" s="24"/>
      <c r="F16342" s="24"/>
      <c r="G16342" s="24"/>
      <c r="H16342" s="24"/>
      <c r="I16342" s="24"/>
      <c r="J16342" s="24"/>
      <c r="K16342" s="24"/>
      <c r="L16342" s="24"/>
      <c r="M16342" s="24"/>
      <c r="N16342" s="24"/>
      <c r="O16342" s="24"/>
      <c r="P16342" s="24"/>
      <c r="Q16342" s="24"/>
      <c r="R16342" s="24"/>
      <c r="S16342" s="24"/>
      <c r="T16342" s="24"/>
      <c r="U16342" s="24"/>
      <c r="V16342" s="24"/>
      <c r="W16342" s="24"/>
      <c r="X16342" s="24"/>
      <c r="Y16342" s="24"/>
      <c r="Z16342" s="24"/>
      <c r="AA16342" s="24"/>
    </row>
    <row r="16343">
      <c r="A16343" s="24"/>
      <c r="B16343" s="25"/>
      <c r="C16343" s="24"/>
      <c r="D16343" s="26"/>
      <c r="E16343" s="24"/>
      <c r="F16343" s="24"/>
      <c r="G16343" s="24"/>
      <c r="H16343" s="24"/>
      <c r="I16343" s="24"/>
      <c r="J16343" s="24"/>
      <c r="K16343" s="24"/>
      <c r="L16343" s="24"/>
      <c r="M16343" s="24"/>
      <c r="N16343" s="24"/>
      <c r="O16343" s="24"/>
      <c r="P16343" s="24"/>
      <c r="Q16343" s="24"/>
      <c r="R16343" s="24"/>
      <c r="S16343" s="24"/>
      <c r="T16343" s="24"/>
      <c r="U16343" s="24"/>
      <c r="V16343" s="24"/>
      <c r="W16343" s="24"/>
      <c r="X16343" s="24"/>
      <c r="Y16343" s="24"/>
      <c r="Z16343" s="24"/>
      <c r="AA16343" s="24"/>
    </row>
    <row r="16344">
      <c r="A16344" s="24"/>
      <c r="B16344" s="25"/>
      <c r="C16344" s="24"/>
      <c r="D16344" s="26"/>
      <c r="E16344" s="24"/>
      <c r="F16344" s="24"/>
      <c r="G16344" s="24"/>
      <c r="H16344" s="24"/>
      <c r="I16344" s="24"/>
      <c r="J16344" s="24"/>
      <c r="K16344" s="24"/>
      <c r="L16344" s="24"/>
      <c r="M16344" s="24"/>
      <c r="N16344" s="24"/>
      <c r="O16344" s="24"/>
      <c r="P16344" s="24"/>
      <c r="Q16344" s="24"/>
      <c r="R16344" s="24"/>
      <c r="S16344" s="24"/>
      <c r="T16344" s="24"/>
      <c r="U16344" s="24"/>
      <c r="V16344" s="24"/>
      <c r="W16344" s="24"/>
      <c r="X16344" s="24"/>
      <c r="Y16344" s="24"/>
      <c r="Z16344" s="24"/>
      <c r="AA16344" s="24"/>
    </row>
    <row r="16345">
      <c r="A16345" s="24"/>
      <c r="B16345" s="25"/>
      <c r="C16345" s="24"/>
      <c r="D16345" s="26"/>
      <c r="E16345" s="24"/>
      <c r="F16345" s="24"/>
      <c r="G16345" s="24"/>
      <c r="H16345" s="24"/>
      <c r="I16345" s="24"/>
      <c r="J16345" s="24"/>
      <c r="K16345" s="24"/>
      <c r="L16345" s="24"/>
      <c r="M16345" s="24"/>
      <c r="N16345" s="24"/>
      <c r="O16345" s="24"/>
      <c r="P16345" s="24"/>
      <c r="Q16345" s="24"/>
      <c r="R16345" s="24"/>
      <c r="S16345" s="24"/>
      <c r="T16345" s="24"/>
      <c r="U16345" s="24"/>
      <c r="V16345" s="24"/>
      <c r="W16345" s="24"/>
      <c r="X16345" s="24"/>
      <c r="Y16345" s="24"/>
      <c r="Z16345" s="24"/>
      <c r="AA16345" s="24"/>
    </row>
    <row r="16346">
      <c r="A16346" s="24"/>
      <c r="B16346" s="25"/>
      <c r="C16346" s="24"/>
      <c r="D16346" s="26"/>
      <c r="E16346" s="24"/>
      <c r="F16346" s="24"/>
      <c r="G16346" s="24"/>
      <c r="H16346" s="24"/>
      <c r="I16346" s="24"/>
      <c r="J16346" s="24"/>
      <c r="K16346" s="24"/>
      <c r="L16346" s="24"/>
      <c r="M16346" s="24"/>
      <c r="N16346" s="24"/>
      <c r="O16346" s="24"/>
      <c r="P16346" s="24"/>
      <c r="Q16346" s="24"/>
      <c r="R16346" s="24"/>
      <c r="S16346" s="24"/>
      <c r="T16346" s="24"/>
      <c r="U16346" s="24"/>
      <c r="V16346" s="24"/>
      <c r="W16346" s="24"/>
      <c r="X16346" s="24"/>
      <c r="Y16346" s="24"/>
      <c r="Z16346" s="24"/>
      <c r="AA16346" s="24"/>
    </row>
    <row r="16347">
      <c r="A16347" s="24"/>
      <c r="B16347" s="25"/>
      <c r="C16347" s="24"/>
      <c r="D16347" s="26"/>
      <c r="E16347" s="24"/>
      <c r="F16347" s="24"/>
      <c r="G16347" s="24"/>
      <c r="H16347" s="24"/>
      <c r="I16347" s="24"/>
      <c r="J16347" s="24"/>
      <c r="K16347" s="24"/>
      <c r="L16347" s="24"/>
      <c r="M16347" s="24"/>
      <c r="N16347" s="24"/>
      <c r="O16347" s="24"/>
      <c r="P16347" s="24"/>
      <c r="Q16347" s="24"/>
      <c r="R16347" s="24"/>
      <c r="S16347" s="24"/>
      <c r="T16347" s="24"/>
      <c r="U16347" s="24"/>
      <c r="V16347" s="24"/>
      <c r="W16347" s="24"/>
      <c r="X16347" s="24"/>
      <c r="Y16347" s="24"/>
      <c r="Z16347" s="24"/>
      <c r="AA16347" s="24"/>
    </row>
    <row r="16348">
      <c r="A16348" s="24"/>
      <c r="B16348" s="25"/>
      <c r="C16348" s="24"/>
      <c r="D16348" s="26"/>
      <c r="E16348" s="24"/>
      <c r="F16348" s="24"/>
      <c r="G16348" s="24"/>
      <c r="H16348" s="24"/>
      <c r="I16348" s="24"/>
      <c r="J16348" s="24"/>
      <c r="K16348" s="24"/>
      <c r="L16348" s="24"/>
      <c r="M16348" s="24"/>
      <c r="N16348" s="24"/>
      <c r="O16348" s="24"/>
      <c r="P16348" s="24"/>
      <c r="Q16348" s="24"/>
      <c r="R16348" s="24"/>
      <c r="S16348" s="24"/>
      <c r="T16348" s="24"/>
      <c r="U16348" s="24"/>
      <c r="V16348" s="24"/>
      <c r="W16348" s="24"/>
      <c r="X16348" s="24"/>
      <c r="Y16348" s="24"/>
      <c r="Z16348" s="24"/>
      <c r="AA16348" s="24"/>
    </row>
    <row r="16349">
      <c r="A16349" s="24"/>
      <c r="B16349" s="25"/>
      <c r="C16349" s="24"/>
      <c r="D16349" s="26"/>
      <c r="E16349" s="24"/>
      <c r="F16349" s="24"/>
      <c r="G16349" s="24"/>
      <c r="H16349" s="24"/>
      <c r="I16349" s="24"/>
      <c r="J16349" s="24"/>
      <c r="K16349" s="24"/>
      <c r="L16349" s="24"/>
      <c r="M16349" s="24"/>
      <c r="N16349" s="24"/>
      <c r="O16349" s="24"/>
      <c r="P16349" s="24"/>
      <c r="Q16349" s="24"/>
      <c r="R16349" s="24"/>
      <c r="S16349" s="24"/>
      <c r="T16349" s="24"/>
      <c r="U16349" s="24"/>
      <c r="V16349" s="24"/>
      <c r="W16349" s="24"/>
      <c r="X16349" s="24"/>
      <c r="Y16349" s="24"/>
      <c r="Z16349" s="24"/>
      <c r="AA16349" s="24"/>
    </row>
    <row r="16350">
      <c r="A16350" s="24"/>
      <c r="B16350" s="25"/>
      <c r="C16350" s="24"/>
      <c r="D16350" s="26"/>
      <c r="E16350" s="24"/>
      <c r="F16350" s="24"/>
      <c r="G16350" s="24"/>
      <c r="H16350" s="24"/>
      <c r="I16350" s="24"/>
      <c r="J16350" s="24"/>
      <c r="K16350" s="24"/>
      <c r="L16350" s="24"/>
      <c r="M16350" s="24"/>
      <c r="N16350" s="24"/>
      <c r="O16350" s="24"/>
      <c r="P16350" s="24"/>
      <c r="Q16350" s="24"/>
      <c r="R16350" s="24"/>
      <c r="S16350" s="24"/>
      <c r="T16350" s="24"/>
      <c r="U16350" s="24"/>
      <c r="V16350" s="24"/>
      <c r="W16350" s="24"/>
      <c r="X16350" s="24"/>
      <c r="Y16350" s="24"/>
      <c r="Z16350" s="24"/>
      <c r="AA16350" s="24"/>
    </row>
    <row r="16351">
      <c r="A16351" s="24"/>
      <c r="B16351" s="25"/>
      <c r="C16351" s="24"/>
      <c r="D16351" s="26"/>
      <c r="E16351" s="24"/>
      <c r="F16351" s="24"/>
      <c r="G16351" s="24"/>
      <c r="H16351" s="24"/>
      <c r="I16351" s="24"/>
      <c r="J16351" s="24"/>
      <c r="K16351" s="24"/>
      <c r="L16351" s="24"/>
      <c r="M16351" s="24"/>
      <c r="N16351" s="24"/>
      <c r="O16351" s="24"/>
      <c r="P16351" s="24"/>
      <c r="Q16351" s="24"/>
      <c r="R16351" s="24"/>
      <c r="S16351" s="24"/>
      <c r="T16351" s="24"/>
      <c r="U16351" s="24"/>
      <c r="V16351" s="24"/>
      <c r="W16351" s="24"/>
      <c r="X16351" s="24"/>
      <c r="Y16351" s="24"/>
      <c r="Z16351" s="24"/>
      <c r="AA16351" s="24"/>
    </row>
    <row r="16352">
      <c r="A16352" s="24"/>
      <c r="B16352" s="25"/>
      <c r="C16352" s="24"/>
      <c r="D16352" s="26"/>
      <c r="E16352" s="24"/>
      <c r="F16352" s="24"/>
      <c r="G16352" s="24"/>
      <c r="H16352" s="24"/>
      <c r="I16352" s="24"/>
      <c r="J16352" s="24"/>
      <c r="K16352" s="24"/>
      <c r="L16352" s="24"/>
      <c r="M16352" s="24"/>
      <c r="N16352" s="24"/>
      <c r="O16352" s="24"/>
      <c r="P16352" s="24"/>
      <c r="Q16352" s="24"/>
      <c r="R16352" s="24"/>
      <c r="S16352" s="24"/>
      <c r="T16352" s="24"/>
      <c r="U16352" s="24"/>
      <c r="V16352" s="24"/>
      <c r="W16352" s="24"/>
      <c r="X16352" s="24"/>
      <c r="Y16352" s="24"/>
      <c r="Z16352" s="24"/>
      <c r="AA16352" s="24"/>
    </row>
    <row r="16353">
      <c r="A16353" s="24"/>
      <c r="B16353" s="25"/>
      <c r="C16353" s="24"/>
      <c r="D16353" s="26"/>
      <c r="E16353" s="24"/>
      <c r="F16353" s="24"/>
      <c r="G16353" s="24"/>
      <c r="H16353" s="24"/>
      <c r="I16353" s="24"/>
      <c r="J16353" s="24"/>
      <c r="K16353" s="24"/>
      <c r="L16353" s="24"/>
      <c r="M16353" s="24"/>
      <c r="N16353" s="24"/>
      <c r="O16353" s="24"/>
      <c r="P16353" s="24"/>
      <c r="Q16353" s="24"/>
      <c r="R16353" s="24"/>
      <c r="S16353" s="24"/>
      <c r="T16353" s="24"/>
      <c r="U16353" s="24"/>
      <c r="V16353" s="24"/>
      <c r="W16353" s="24"/>
      <c r="X16353" s="24"/>
      <c r="Y16353" s="24"/>
      <c r="Z16353" s="24"/>
      <c r="AA16353" s="24"/>
    </row>
    <row r="16354">
      <c r="A16354" s="24"/>
      <c r="B16354" s="25"/>
      <c r="C16354" s="24"/>
      <c r="D16354" s="26"/>
      <c r="E16354" s="24"/>
      <c r="F16354" s="24"/>
      <c r="G16354" s="24"/>
      <c r="H16354" s="24"/>
      <c r="I16354" s="24"/>
      <c r="J16354" s="24"/>
      <c r="K16354" s="24"/>
      <c r="L16354" s="24"/>
      <c r="M16354" s="24"/>
      <c r="N16354" s="24"/>
      <c r="O16354" s="24"/>
      <c r="P16354" s="24"/>
      <c r="Q16354" s="24"/>
      <c r="R16354" s="24"/>
      <c r="S16354" s="24"/>
      <c r="T16354" s="24"/>
      <c r="U16354" s="24"/>
      <c r="V16354" s="24"/>
      <c r="W16354" s="24"/>
      <c r="X16354" s="24"/>
      <c r="Y16354" s="24"/>
      <c r="Z16354" s="24"/>
      <c r="AA16354" s="24"/>
    </row>
    <row r="16355">
      <c r="A16355" s="24"/>
      <c r="B16355" s="25"/>
      <c r="C16355" s="24"/>
      <c r="D16355" s="26"/>
      <c r="E16355" s="24"/>
      <c r="F16355" s="24"/>
      <c r="G16355" s="24"/>
      <c r="H16355" s="24"/>
      <c r="I16355" s="24"/>
      <c r="J16355" s="24"/>
      <c r="K16355" s="24"/>
      <c r="L16355" s="24"/>
      <c r="M16355" s="24"/>
      <c r="N16355" s="24"/>
      <c r="O16355" s="24"/>
      <c r="P16355" s="24"/>
      <c r="Q16355" s="24"/>
      <c r="R16355" s="24"/>
      <c r="S16355" s="24"/>
      <c r="T16355" s="24"/>
      <c r="U16355" s="24"/>
      <c r="V16355" s="24"/>
      <c r="W16355" s="24"/>
      <c r="X16355" s="24"/>
      <c r="Y16355" s="24"/>
      <c r="Z16355" s="24"/>
      <c r="AA16355" s="24"/>
    </row>
    <row r="16356">
      <c r="A16356" s="24"/>
      <c r="B16356" s="25"/>
      <c r="C16356" s="24"/>
      <c r="D16356" s="26"/>
      <c r="E16356" s="24"/>
      <c r="F16356" s="24"/>
      <c r="G16356" s="24"/>
      <c r="H16356" s="24"/>
      <c r="I16356" s="24"/>
      <c r="J16356" s="24"/>
      <c r="K16356" s="24"/>
      <c r="L16356" s="24"/>
      <c r="M16356" s="24"/>
      <c r="N16356" s="24"/>
      <c r="O16356" s="24"/>
      <c r="P16356" s="24"/>
      <c r="Q16356" s="24"/>
      <c r="R16356" s="24"/>
      <c r="S16356" s="24"/>
      <c r="T16356" s="24"/>
      <c r="U16356" s="24"/>
      <c r="V16356" s="24"/>
      <c r="W16356" s="24"/>
      <c r="X16356" s="24"/>
      <c r="Y16356" s="24"/>
      <c r="Z16356" s="24"/>
      <c r="AA16356" s="24"/>
    </row>
    <row r="16357">
      <c r="A16357" s="24"/>
      <c r="B16357" s="25"/>
      <c r="C16357" s="24"/>
      <c r="D16357" s="26"/>
      <c r="E16357" s="24"/>
      <c r="F16357" s="24"/>
      <c r="G16357" s="24"/>
      <c r="H16357" s="24"/>
      <c r="I16357" s="24"/>
      <c r="J16357" s="24"/>
      <c r="K16357" s="24"/>
      <c r="L16357" s="24"/>
      <c r="M16357" s="24"/>
      <c r="N16357" s="24"/>
      <c r="O16357" s="24"/>
      <c r="P16357" s="24"/>
      <c r="Q16357" s="24"/>
      <c r="R16357" s="24"/>
      <c r="S16357" s="24"/>
      <c r="T16357" s="24"/>
      <c r="U16357" s="24"/>
      <c r="V16357" s="24"/>
      <c r="W16357" s="24"/>
      <c r="X16357" s="24"/>
      <c r="Y16357" s="24"/>
      <c r="Z16357" s="24"/>
      <c r="AA16357" s="24"/>
    </row>
    <row r="16358">
      <c r="A16358" s="24"/>
      <c r="B16358" s="25"/>
      <c r="C16358" s="24"/>
      <c r="D16358" s="26"/>
      <c r="E16358" s="24"/>
      <c r="F16358" s="24"/>
      <c r="G16358" s="24"/>
      <c r="H16358" s="24"/>
      <c r="I16358" s="24"/>
      <c r="J16358" s="24"/>
      <c r="K16358" s="24"/>
      <c r="L16358" s="24"/>
      <c r="M16358" s="24"/>
      <c r="N16358" s="24"/>
      <c r="O16358" s="24"/>
      <c r="P16358" s="24"/>
      <c r="Q16358" s="24"/>
      <c r="R16358" s="24"/>
      <c r="S16358" s="24"/>
      <c r="T16358" s="24"/>
      <c r="U16358" s="24"/>
      <c r="V16358" s="24"/>
      <c r="W16358" s="24"/>
      <c r="X16358" s="24"/>
      <c r="Y16358" s="24"/>
      <c r="Z16358" s="24"/>
      <c r="AA16358" s="24"/>
    </row>
    <row r="16359">
      <c r="A16359" s="24"/>
      <c r="B16359" s="25"/>
      <c r="C16359" s="24"/>
      <c r="D16359" s="26"/>
      <c r="E16359" s="24"/>
      <c r="F16359" s="24"/>
      <c r="G16359" s="24"/>
      <c r="H16359" s="24"/>
      <c r="I16359" s="24"/>
      <c r="J16359" s="24"/>
      <c r="K16359" s="24"/>
      <c r="L16359" s="24"/>
      <c r="M16359" s="24"/>
      <c r="N16359" s="24"/>
      <c r="O16359" s="24"/>
      <c r="P16359" s="24"/>
      <c r="Q16359" s="24"/>
      <c r="R16359" s="24"/>
      <c r="S16359" s="24"/>
      <c r="T16359" s="24"/>
      <c r="U16359" s="24"/>
      <c r="V16359" s="24"/>
      <c r="W16359" s="24"/>
      <c r="X16359" s="24"/>
      <c r="Y16359" s="24"/>
      <c r="Z16359" s="24"/>
      <c r="AA16359" s="24"/>
    </row>
    <row r="16360">
      <c r="A16360" s="24"/>
      <c r="B16360" s="25"/>
      <c r="C16360" s="24"/>
      <c r="D16360" s="26"/>
      <c r="E16360" s="24"/>
      <c r="F16360" s="24"/>
      <c r="G16360" s="24"/>
      <c r="H16360" s="24"/>
      <c r="I16360" s="24"/>
      <c r="J16360" s="24"/>
      <c r="K16360" s="24"/>
      <c r="L16360" s="24"/>
      <c r="M16360" s="24"/>
      <c r="N16360" s="24"/>
      <c r="O16360" s="24"/>
      <c r="P16360" s="24"/>
      <c r="Q16360" s="24"/>
      <c r="R16360" s="24"/>
      <c r="S16360" s="24"/>
      <c r="T16360" s="24"/>
      <c r="U16360" s="24"/>
      <c r="V16360" s="24"/>
      <c r="W16360" s="24"/>
      <c r="X16360" s="24"/>
      <c r="Y16360" s="24"/>
      <c r="Z16360" s="24"/>
      <c r="AA16360" s="24"/>
    </row>
    <row r="16361">
      <c r="A16361" s="24"/>
      <c r="B16361" s="25"/>
      <c r="C16361" s="24"/>
      <c r="D16361" s="26"/>
      <c r="E16361" s="24"/>
      <c r="F16361" s="24"/>
      <c r="G16361" s="24"/>
      <c r="H16361" s="24"/>
      <c r="I16361" s="24"/>
      <c r="J16361" s="24"/>
      <c r="K16361" s="24"/>
      <c r="L16361" s="24"/>
      <c r="M16361" s="24"/>
      <c r="N16361" s="24"/>
      <c r="O16361" s="24"/>
      <c r="P16361" s="24"/>
      <c r="Q16361" s="24"/>
      <c r="R16361" s="24"/>
      <c r="S16361" s="24"/>
      <c r="T16361" s="24"/>
      <c r="U16361" s="24"/>
      <c r="V16361" s="24"/>
      <c r="W16361" s="24"/>
      <c r="X16361" s="24"/>
      <c r="Y16361" s="24"/>
      <c r="Z16361" s="24"/>
      <c r="AA16361" s="24"/>
    </row>
    <row r="16362">
      <c r="A16362" s="24"/>
      <c r="B16362" s="25"/>
      <c r="C16362" s="24"/>
      <c r="D16362" s="26"/>
      <c r="E16362" s="24"/>
      <c r="F16362" s="24"/>
      <c r="G16362" s="24"/>
      <c r="H16362" s="24"/>
      <c r="I16362" s="24"/>
      <c r="J16362" s="24"/>
      <c r="K16362" s="24"/>
      <c r="L16362" s="24"/>
      <c r="M16362" s="24"/>
      <c r="N16362" s="24"/>
      <c r="O16362" s="24"/>
      <c r="P16362" s="24"/>
      <c r="Q16362" s="24"/>
      <c r="R16362" s="24"/>
      <c r="S16362" s="24"/>
      <c r="T16362" s="24"/>
      <c r="U16362" s="24"/>
      <c r="V16362" s="24"/>
      <c r="W16362" s="24"/>
      <c r="X16362" s="24"/>
      <c r="Y16362" s="24"/>
      <c r="Z16362" s="24"/>
      <c r="AA16362" s="24"/>
    </row>
    <row r="16363">
      <c r="A16363" s="24"/>
      <c r="B16363" s="25"/>
      <c r="C16363" s="24"/>
      <c r="D16363" s="26"/>
      <c r="E16363" s="24"/>
      <c r="F16363" s="24"/>
      <c r="G16363" s="24"/>
      <c r="H16363" s="24"/>
      <c r="I16363" s="24"/>
      <c r="J16363" s="24"/>
      <c r="K16363" s="24"/>
      <c r="L16363" s="24"/>
      <c r="M16363" s="24"/>
      <c r="N16363" s="24"/>
      <c r="O16363" s="24"/>
      <c r="P16363" s="24"/>
      <c r="Q16363" s="24"/>
      <c r="R16363" s="24"/>
      <c r="S16363" s="24"/>
      <c r="T16363" s="24"/>
      <c r="U16363" s="24"/>
      <c r="V16363" s="24"/>
      <c r="W16363" s="24"/>
      <c r="X16363" s="24"/>
      <c r="Y16363" s="24"/>
      <c r="Z16363" s="24"/>
      <c r="AA16363" s="24"/>
    </row>
    <row r="16364">
      <c r="A16364" s="24"/>
      <c r="B16364" s="25"/>
      <c r="C16364" s="24"/>
      <c r="D16364" s="26"/>
      <c r="E16364" s="24"/>
      <c r="F16364" s="24"/>
      <c r="G16364" s="24"/>
      <c r="H16364" s="24"/>
      <c r="I16364" s="24"/>
      <c r="J16364" s="24"/>
      <c r="K16364" s="24"/>
      <c r="L16364" s="24"/>
      <c r="M16364" s="24"/>
      <c r="N16364" s="24"/>
      <c r="O16364" s="24"/>
      <c r="P16364" s="24"/>
      <c r="Q16364" s="24"/>
      <c r="R16364" s="24"/>
      <c r="S16364" s="24"/>
      <c r="T16364" s="24"/>
      <c r="U16364" s="24"/>
      <c r="V16364" s="24"/>
      <c r="W16364" s="24"/>
      <c r="X16364" s="24"/>
      <c r="Y16364" s="24"/>
      <c r="Z16364" s="24"/>
      <c r="AA16364" s="24"/>
    </row>
    <row r="16365">
      <c r="A16365" s="24"/>
      <c r="B16365" s="25"/>
      <c r="C16365" s="24"/>
      <c r="D16365" s="26"/>
      <c r="E16365" s="24"/>
      <c r="F16365" s="24"/>
      <c r="G16365" s="24"/>
      <c r="H16365" s="24"/>
      <c r="I16365" s="24"/>
      <c r="J16365" s="24"/>
      <c r="K16365" s="24"/>
      <c r="L16365" s="24"/>
      <c r="M16365" s="24"/>
      <c r="N16365" s="24"/>
      <c r="O16365" s="24"/>
      <c r="P16365" s="24"/>
      <c r="Q16365" s="24"/>
      <c r="R16365" s="24"/>
      <c r="S16365" s="24"/>
      <c r="T16365" s="24"/>
      <c r="U16365" s="24"/>
      <c r="V16365" s="24"/>
      <c r="W16365" s="24"/>
      <c r="X16365" s="24"/>
      <c r="Y16365" s="24"/>
      <c r="Z16365" s="24"/>
      <c r="AA16365" s="24"/>
    </row>
    <row r="16366">
      <c r="A16366" s="24"/>
      <c r="B16366" s="25"/>
      <c r="C16366" s="24"/>
      <c r="D16366" s="26"/>
      <c r="E16366" s="24"/>
      <c r="F16366" s="24"/>
      <c r="G16366" s="24"/>
      <c r="H16366" s="24"/>
      <c r="I16366" s="24"/>
      <c r="J16366" s="24"/>
      <c r="K16366" s="24"/>
      <c r="L16366" s="24"/>
      <c r="M16366" s="24"/>
      <c r="N16366" s="24"/>
      <c r="O16366" s="24"/>
      <c r="P16366" s="24"/>
      <c r="Q16366" s="24"/>
      <c r="R16366" s="24"/>
      <c r="S16366" s="24"/>
      <c r="T16366" s="24"/>
      <c r="U16366" s="24"/>
      <c r="V16366" s="24"/>
      <c r="W16366" s="24"/>
      <c r="X16366" s="24"/>
      <c r="Y16366" s="24"/>
      <c r="Z16366" s="24"/>
      <c r="AA16366" s="24"/>
    </row>
    <row r="16367">
      <c r="A16367" s="24"/>
      <c r="B16367" s="25"/>
      <c r="C16367" s="24"/>
      <c r="D16367" s="26"/>
      <c r="E16367" s="24"/>
      <c r="F16367" s="24"/>
      <c r="G16367" s="24"/>
      <c r="H16367" s="24"/>
      <c r="I16367" s="24"/>
      <c r="J16367" s="24"/>
      <c r="K16367" s="24"/>
      <c r="L16367" s="24"/>
      <c r="M16367" s="24"/>
      <c r="N16367" s="24"/>
      <c r="O16367" s="24"/>
      <c r="P16367" s="24"/>
      <c r="Q16367" s="24"/>
      <c r="R16367" s="24"/>
      <c r="S16367" s="24"/>
      <c r="T16367" s="24"/>
      <c r="U16367" s="24"/>
      <c r="V16367" s="24"/>
      <c r="W16367" s="24"/>
      <c r="X16367" s="24"/>
      <c r="Y16367" s="24"/>
      <c r="Z16367" s="24"/>
      <c r="AA16367" s="24"/>
    </row>
    <row r="16368">
      <c r="A16368" s="24"/>
      <c r="B16368" s="25"/>
      <c r="C16368" s="24"/>
      <c r="D16368" s="26"/>
      <c r="E16368" s="24"/>
      <c r="F16368" s="24"/>
      <c r="G16368" s="24"/>
      <c r="H16368" s="24"/>
      <c r="I16368" s="24"/>
      <c r="J16368" s="24"/>
      <c r="K16368" s="24"/>
      <c r="L16368" s="24"/>
      <c r="M16368" s="24"/>
      <c r="N16368" s="24"/>
      <c r="O16368" s="24"/>
      <c r="P16368" s="24"/>
      <c r="Q16368" s="24"/>
      <c r="R16368" s="24"/>
      <c r="S16368" s="24"/>
      <c r="T16368" s="24"/>
      <c r="U16368" s="24"/>
      <c r="V16368" s="24"/>
      <c r="W16368" s="24"/>
      <c r="X16368" s="24"/>
      <c r="Y16368" s="24"/>
      <c r="Z16368" s="24"/>
      <c r="AA16368" s="24"/>
    </row>
    <row r="16369">
      <c r="A16369" s="24"/>
      <c r="B16369" s="25"/>
      <c r="C16369" s="24"/>
      <c r="D16369" s="26"/>
      <c r="E16369" s="24"/>
      <c r="F16369" s="24"/>
      <c r="G16369" s="24"/>
      <c r="H16369" s="24"/>
      <c r="I16369" s="24"/>
      <c r="J16369" s="24"/>
      <c r="K16369" s="24"/>
      <c r="L16369" s="24"/>
      <c r="M16369" s="24"/>
      <c r="N16369" s="24"/>
      <c r="O16369" s="24"/>
      <c r="P16369" s="24"/>
      <c r="Q16369" s="24"/>
      <c r="R16369" s="24"/>
      <c r="S16369" s="24"/>
      <c r="T16369" s="24"/>
      <c r="U16369" s="24"/>
      <c r="V16369" s="24"/>
      <c r="W16369" s="24"/>
      <c r="X16369" s="24"/>
      <c r="Y16369" s="24"/>
      <c r="Z16369" s="24"/>
      <c r="AA16369" s="24"/>
    </row>
    <row r="16370">
      <c r="A16370" s="24"/>
      <c r="B16370" s="25"/>
      <c r="C16370" s="24"/>
      <c r="D16370" s="26"/>
      <c r="E16370" s="24"/>
      <c r="F16370" s="24"/>
      <c r="G16370" s="24"/>
      <c r="H16370" s="24"/>
      <c r="I16370" s="24"/>
      <c r="J16370" s="24"/>
      <c r="K16370" s="24"/>
      <c r="L16370" s="24"/>
      <c r="M16370" s="24"/>
      <c r="N16370" s="24"/>
      <c r="O16370" s="24"/>
      <c r="P16370" s="24"/>
      <c r="Q16370" s="24"/>
      <c r="R16370" s="24"/>
      <c r="S16370" s="24"/>
      <c r="T16370" s="24"/>
      <c r="U16370" s="24"/>
      <c r="V16370" s="24"/>
      <c r="W16370" s="24"/>
      <c r="X16370" s="24"/>
      <c r="Y16370" s="24"/>
      <c r="Z16370" s="24"/>
      <c r="AA16370" s="24"/>
    </row>
    <row r="16371">
      <c r="A16371" s="24"/>
      <c r="B16371" s="25"/>
      <c r="C16371" s="24"/>
      <c r="D16371" s="26"/>
      <c r="E16371" s="24"/>
      <c r="F16371" s="24"/>
      <c r="G16371" s="24"/>
      <c r="H16371" s="24"/>
      <c r="I16371" s="24"/>
      <c r="J16371" s="24"/>
      <c r="K16371" s="24"/>
      <c r="L16371" s="24"/>
      <c r="M16371" s="24"/>
      <c r="N16371" s="24"/>
      <c r="O16371" s="24"/>
      <c r="P16371" s="24"/>
      <c r="Q16371" s="24"/>
      <c r="R16371" s="24"/>
      <c r="S16371" s="24"/>
      <c r="T16371" s="24"/>
      <c r="U16371" s="24"/>
      <c r="V16371" s="24"/>
      <c r="W16371" s="24"/>
      <c r="X16371" s="24"/>
      <c r="Y16371" s="24"/>
      <c r="Z16371" s="24"/>
      <c r="AA16371" s="24"/>
    </row>
    <row r="16372">
      <c r="A16372" s="24"/>
      <c r="B16372" s="25"/>
      <c r="C16372" s="24"/>
      <c r="D16372" s="26"/>
      <c r="E16372" s="24"/>
      <c r="F16372" s="24"/>
      <c r="G16372" s="24"/>
      <c r="H16372" s="24"/>
      <c r="I16372" s="24"/>
      <c r="J16372" s="24"/>
      <c r="K16372" s="24"/>
      <c r="L16372" s="24"/>
      <c r="M16372" s="24"/>
      <c r="N16372" s="24"/>
      <c r="O16372" s="24"/>
      <c r="P16372" s="24"/>
      <c r="Q16372" s="24"/>
      <c r="R16372" s="24"/>
      <c r="S16372" s="24"/>
      <c r="T16372" s="24"/>
      <c r="U16372" s="24"/>
      <c r="V16372" s="24"/>
      <c r="W16372" s="24"/>
      <c r="X16372" s="24"/>
      <c r="Y16372" s="24"/>
      <c r="Z16372" s="24"/>
      <c r="AA16372" s="24"/>
    </row>
    <row r="16373">
      <c r="A16373" s="24"/>
      <c r="B16373" s="25"/>
      <c r="C16373" s="24"/>
      <c r="D16373" s="26"/>
      <c r="E16373" s="24"/>
      <c r="F16373" s="24"/>
      <c r="G16373" s="24"/>
      <c r="H16373" s="24"/>
      <c r="I16373" s="24"/>
      <c r="J16373" s="24"/>
      <c r="K16373" s="24"/>
      <c r="L16373" s="24"/>
      <c r="M16373" s="24"/>
      <c r="N16373" s="24"/>
      <c r="O16373" s="24"/>
      <c r="P16373" s="24"/>
      <c r="Q16373" s="24"/>
      <c r="R16373" s="24"/>
      <c r="S16373" s="24"/>
      <c r="T16373" s="24"/>
      <c r="U16373" s="24"/>
      <c r="V16373" s="24"/>
      <c r="W16373" s="24"/>
      <c r="X16373" s="24"/>
      <c r="Y16373" s="24"/>
      <c r="Z16373" s="24"/>
      <c r="AA16373" s="24"/>
    </row>
    <row r="16374">
      <c r="A16374" s="24"/>
      <c r="B16374" s="25"/>
      <c r="C16374" s="24"/>
      <c r="D16374" s="26"/>
      <c r="E16374" s="24"/>
      <c r="F16374" s="24"/>
      <c r="G16374" s="24"/>
      <c r="H16374" s="24"/>
      <c r="I16374" s="24"/>
      <c r="J16374" s="24"/>
      <c r="K16374" s="24"/>
      <c r="L16374" s="24"/>
      <c r="M16374" s="24"/>
      <c r="N16374" s="24"/>
      <c r="O16374" s="24"/>
      <c r="P16374" s="24"/>
      <c r="Q16374" s="24"/>
      <c r="R16374" s="24"/>
      <c r="S16374" s="24"/>
      <c r="T16374" s="24"/>
      <c r="U16374" s="24"/>
      <c r="V16374" s="24"/>
      <c r="W16374" s="24"/>
      <c r="X16374" s="24"/>
      <c r="Y16374" s="24"/>
      <c r="Z16374" s="24"/>
      <c r="AA16374" s="24"/>
    </row>
    <row r="16375">
      <c r="A16375" s="24"/>
      <c r="B16375" s="25"/>
      <c r="C16375" s="24"/>
      <c r="D16375" s="26"/>
      <c r="E16375" s="24"/>
      <c r="F16375" s="24"/>
      <c r="G16375" s="24"/>
      <c r="H16375" s="24"/>
      <c r="I16375" s="24"/>
      <c r="J16375" s="24"/>
      <c r="K16375" s="24"/>
      <c r="L16375" s="24"/>
      <c r="M16375" s="24"/>
      <c r="N16375" s="24"/>
      <c r="O16375" s="24"/>
      <c r="P16375" s="24"/>
      <c r="Q16375" s="24"/>
      <c r="R16375" s="24"/>
      <c r="S16375" s="24"/>
      <c r="T16375" s="24"/>
      <c r="U16375" s="24"/>
      <c r="V16375" s="24"/>
      <c r="W16375" s="24"/>
      <c r="X16375" s="24"/>
      <c r="Y16375" s="24"/>
      <c r="Z16375" s="24"/>
      <c r="AA16375" s="24"/>
    </row>
    <row r="16376">
      <c r="A16376" s="24"/>
      <c r="B16376" s="25"/>
      <c r="C16376" s="24"/>
      <c r="D16376" s="26"/>
      <c r="E16376" s="24"/>
      <c r="F16376" s="24"/>
      <c r="G16376" s="24"/>
      <c r="H16376" s="24"/>
      <c r="I16376" s="24"/>
      <c r="J16376" s="24"/>
      <c r="K16376" s="24"/>
      <c r="L16376" s="24"/>
      <c r="M16376" s="24"/>
      <c r="N16376" s="24"/>
      <c r="O16376" s="24"/>
      <c r="P16376" s="24"/>
      <c r="Q16376" s="24"/>
      <c r="R16376" s="24"/>
      <c r="S16376" s="24"/>
      <c r="T16376" s="24"/>
      <c r="U16376" s="24"/>
      <c r="V16376" s="24"/>
      <c r="W16376" s="24"/>
      <c r="X16376" s="24"/>
      <c r="Y16376" s="24"/>
      <c r="Z16376" s="24"/>
      <c r="AA16376" s="24"/>
    </row>
    <row r="16377">
      <c r="A16377" s="24"/>
      <c r="B16377" s="25"/>
      <c r="C16377" s="24"/>
      <c r="D16377" s="26"/>
      <c r="E16377" s="24"/>
      <c r="F16377" s="24"/>
      <c r="G16377" s="24"/>
      <c r="H16377" s="24"/>
      <c r="I16377" s="24"/>
      <c r="J16377" s="24"/>
      <c r="K16377" s="24"/>
      <c r="L16377" s="24"/>
      <c r="M16377" s="24"/>
      <c r="N16377" s="24"/>
      <c r="O16377" s="24"/>
      <c r="P16377" s="24"/>
      <c r="Q16377" s="24"/>
      <c r="R16377" s="24"/>
      <c r="S16377" s="24"/>
      <c r="T16377" s="24"/>
      <c r="U16377" s="24"/>
      <c r="V16377" s="24"/>
      <c r="W16377" s="24"/>
      <c r="X16377" s="24"/>
      <c r="Y16377" s="24"/>
      <c r="Z16377" s="24"/>
      <c r="AA16377" s="24"/>
    </row>
    <row r="16378">
      <c r="A16378" s="24"/>
      <c r="B16378" s="25"/>
      <c r="C16378" s="24"/>
      <c r="D16378" s="26"/>
      <c r="E16378" s="24"/>
      <c r="F16378" s="24"/>
      <c r="G16378" s="24"/>
      <c r="H16378" s="24"/>
      <c r="I16378" s="24"/>
      <c r="J16378" s="24"/>
      <c r="K16378" s="24"/>
      <c r="L16378" s="24"/>
      <c r="M16378" s="24"/>
      <c r="N16378" s="24"/>
      <c r="O16378" s="24"/>
      <c r="P16378" s="24"/>
      <c r="Q16378" s="24"/>
      <c r="R16378" s="24"/>
      <c r="S16378" s="24"/>
      <c r="T16378" s="24"/>
      <c r="U16378" s="24"/>
      <c r="V16378" s="24"/>
      <c r="W16378" s="24"/>
      <c r="X16378" s="24"/>
      <c r="Y16378" s="24"/>
      <c r="Z16378" s="24"/>
      <c r="AA16378" s="24"/>
    </row>
    <row r="16379">
      <c r="A16379" s="24"/>
      <c r="B16379" s="25"/>
      <c r="C16379" s="24"/>
      <c r="D16379" s="26"/>
      <c r="E16379" s="24"/>
      <c r="F16379" s="24"/>
      <c r="G16379" s="24"/>
      <c r="H16379" s="24"/>
      <c r="I16379" s="24"/>
      <c r="J16379" s="24"/>
      <c r="K16379" s="24"/>
      <c r="L16379" s="24"/>
      <c r="M16379" s="24"/>
      <c r="N16379" s="24"/>
      <c r="O16379" s="24"/>
      <c r="P16379" s="24"/>
      <c r="Q16379" s="24"/>
      <c r="R16379" s="24"/>
      <c r="S16379" s="24"/>
      <c r="T16379" s="24"/>
      <c r="U16379" s="24"/>
      <c r="V16379" s="24"/>
      <c r="W16379" s="24"/>
      <c r="X16379" s="24"/>
      <c r="Y16379" s="24"/>
      <c r="Z16379" s="24"/>
      <c r="AA16379" s="24"/>
    </row>
    <row r="16380">
      <c r="A16380" s="24"/>
      <c r="B16380" s="25"/>
      <c r="C16380" s="24"/>
      <c r="D16380" s="26"/>
      <c r="E16380" s="24"/>
      <c r="F16380" s="24"/>
      <c r="G16380" s="24"/>
      <c r="H16380" s="24"/>
      <c r="I16380" s="24"/>
      <c r="J16380" s="24"/>
      <c r="K16380" s="24"/>
      <c r="L16380" s="24"/>
      <c r="M16380" s="24"/>
      <c r="N16380" s="24"/>
      <c r="O16380" s="24"/>
      <c r="P16380" s="24"/>
      <c r="Q16380" s="24"/>
      <c r="R16380" s="24"/>
      <c r="S16380" s="24"/>
      <c r="T16380" s="24"/>
      <c r="U16380" s="24"/>
      <c r="V16380" s="24"/>
      <c r="W16380" s="24"/>
      <c r="X16380" s="24"/>
      <c r="Y16380" s="24"/>
      <c r="Z16380" s="24"/>
      <c r="AA16380" s="24"/>
    </row>
    <row r="16381">
      <c r="A16381" s="24"/>
      <c r="B16381" s="25"/>
      <c r="C16381" s="24"/>
      <c r="D16381" s="26"/>
      <c r="E16381" s="24"/>
      <c r="F16381" s="24"/>
      <c r="G16381" s="24"/>
      <c r="H16381" s="24"/>
      <c r="I16381" s="24"/>
      <c r="J16381" s="24"/>
      <c r="K16381" s="24"/>
      <c r="L16381" s="24"/>
      <c r="M16381" s="24"/>
      <c r="N16381" s="24"/>
      <c r="O16381" s="24"/>
      <c r="P16381" s="24"/>
      <c r="Q16381" s="24"/>
      <c r="R16381" s="24"/>
      <c r="S16381" s="24"/>
      <c r="T16381" s="24"/>
      <c r="U16381" s="24"/>
      <c r="V16381" s="24"/>
      <c r="W16381" s="24"/>
      <c r="X16381" s="24"/>
      <c r="Y16381" s="24"/>
      <c r="Z16381" s="24"/>
      <c r="AA16381" s="24"/>
    </row>
    <row r="16382">
      <c r="A16382" s="24"/>
      <c r="B16382" s="25"/>
      <c r="C16382" s="24"/>
      <c r="D16382" s="26"/>
      <c r="E16382" s="24"/>
      <c r="F16382" s="24"/>
      <c r="G16382" s="24"/>
      <c r="H16382" s="24"/>
      <c r="I16382" s="24"/>
      <c r="J16382" s="24"/>
      <c r="K16382" s="24"/>
      <c r="L16382" s="24"/>
      <c r="M16382" s="24"/>
      <c r="N16382" s="24"/>
      <c r="O16382" s="24"/>
      <c r="P16382" s="24"/>
      <c r="Q16382" s="24"/>
      <c r="R16382" s="24"/>
      <c r="S16382" s="24"/>
      <c r="T16382" s="24"/>
      <c r="U16382" s="24"/>
      <c r="V16382" s="24"/>
      <c r="W16382" s="24"/>
      <c r="X16382" s="24"/>
      <c r="Y16382" s="24"/>
      <c r="Z16382" s="24"/>
      <c r="AA16382" s="24"/>
    </row>
    <row r="16383">
      <c r="A16383" s="24"/>
      <c r="B16383" s="25"/>
      <c r="C16383" s="24"/>
      <c r="D16383" s="26"/>
      <c r="E16383" s="24"/>
      <c r="F16383" s="24"/>
      <c r="G16383" s="24"/>
      <c r="H16383" s="24"/>
      <c r="I16383" s="24"/>
      <c r="J16383" s="24"/>
      <c r="K16383" s="24"/>
      <c r="L16383" s="24"/>
      <c r="M16383" s="24"/>
      <c r="N16383" s="24"/>
      <c r="O16383" s="24"/>
      <c r="P16383" s="24"/>
      <c r="Q16383" s="24"/>
      <c r="R16383" s="24"/>
      <c r="S16383" s="24"/>
      <c r="T16383" s="24"/>
      <c r="U16383" s="24"/>
      <c r="V16383" s="24"/>
      <c r="W16383" s="24"/>
      <c r="X16383" s="24"/>
      <c r="Y16383" s="24"/>
      <c r="Z16383" s="24"/>
      <c r="AA16383" s="24"/>
    </row>
    <row r="16384">
      <c r="A16384" s="24"/>
      <c r="B16384" s="25"/>
      <c r="C16384" s="24"/>
      <c r="D16384" s="26"/>
      <c r="E16384" s="24"/>
      <c r="F16384" s="24"/>
      <c r="G16384" s="24"/>
      <c r="H16384" s="24"/>
      <c r="I16384" s="24"/>
      <c r="J16384" s="24"/>
      <c r="K16384" s="24"/>
      <c r="L16384" s="24"/>
      <c r="M16384" s="24"/>
      <c r="N16384" s="24"/>
      <c r="O16384" s="24"/>
      <c r="P16384" s="24"/>
      <c r="Q16384" s="24"/>
      <c r="R16384" s="24"/>
      <c r="S16384" s="24"/>
      <c r="T16384" s="24"/>
      <c r="U16384" s="24"/>
      <c r="V16384" s="24"/>
      <c r="W16384" s="24"/>
      <c r="X16384" s="24"/>
      <c r="Y16384" s="24"/>
      <c r="Z16384" s="24"/>
      <c r="AA16384" s="24"/>
    </row>
    <row r="16385">
      <c r="A16385" s="24"/>
      <c r="B16385" s="25"/>
      <c r="C16385" s="24"/>
      <c r="D16385" s="26"/>
      <c r="E16385" s="24"/>
      <c r="F16385" s="24"/>
      <c r="G16385" s="24"/>
      <c r="H16385" s="24"/>
      <c r="I16385" s="24"/>
      <c r="J16385" s="24"/>
      <c r="K16385" s="24"/>
      <c r="L16385" s="24"/>
      <c r="M16385" s="24"/>
      <c r="N16385" s="24"/>
      <c r="O16385" s="24"/>
      <c r="P16385" s="24"/>
      <c r="Q16385" s="24"/>
      <c r="R16385" s="24"/>
      <c r="S16385" s="24"/>
      <c r="T16385" s="24"/>
      <c r="U16385" s="24"/>
      <c r="V16385" s="24"/>
      <c r="W16385" s="24"/>
      <c r="X16385" s="24"/>
      <c r="Y16385" s="24"/>
      <c r="Z16385" s="24"/>
      <c r="AA16385" s="24"/>
    </row>
    <row r="16386">
      <c r="A16386" s="24"/>
      <c r="B16386" s="25"/>
      <c r="C16386" s="24"/>
      <c r="D16386" s="26"/>
      <c r="E16386" s="24"/>
      <c r="F16386" s="24"/>
      <c r="G16386" s="24"/>
      <c r="H16386" s="24"/>
      <c r="I16386" s="24"/>
      <c r="J16386" s="24"/>
      <c r="K16386" s="24"/>
      <c r="L16386" s="24"/>
      <c r="M16386" s="24"/>
      <c r="N16386" s="24"/>
      <c r="O16386" s="24"/>
      <c r="P16386" s="24"/>
      <c r="Q16386" s="24"/>
      <c r="R16386" s="24"/>
      <c r="S16386" s="24"/>
      <c r="T16386" s="24"/>
      <c r="U16386" s="24"/>
      <c r="V16386" s="24"/>
      <c r="W16386" s="24"/>
      <c r="X16386" s="24"/>
      <c r="Y16386" s="24"/>
      <c r="Z16386" s="24"/>
      <c r="AA16386" s="24"/>
    </row>
    <row r="16387">
      <c r="A16387" s="24"/>
      <c r="B16387" s="25"/>
      <c r="C16387" s="24"/>
      <c r="D16387" s="26"/>
      <c r="E16387" s="24"/>
      <c r="F16387" s="24"/>
      <c r="G16387" s="24"/>
      <c r="H16387" s="24"/>
      <c r="I16387" s="24"/>
      <c r="J16387" s="24"/>
      <c r="K16387" s="24"/>
      <c r="L16387" s="24"/>
      <c r="M16387" s="24"/>
      <c r="N16387" s="24"/>
      <c r="O16387" s="24"/>
      <c r="P16387" s="24"/>
      <c r="Q16387" s="24"/>
      <c r="R16387" s="24"/>
      <c r="S16387" s="24"/>
      <c r="T16387" s="24"/>
      <c r="U16387" s="24"/>
      <c r="V16387" s="24"/>
      <c r="W16387" s="24"/>
      <c r="X16387" s="24"/>
      <c r="Y16387" s="24"/>
      <c r="Z16387" s="24"/>
      <c r="AA16387" s="24"/>
    </row>
    <row r="16388">
      <c r="A16388" s="24"/>
      <c r="B16388" s="25"/>
      <c r="C16388" s="24"/>
      <c r="D16388" s="26"/>
      <c r="E16388" s="24"/>
      <c r="F16388" s="24"/>
      <c r="G16388" s="24"/>
      <c r="H16388" s="24"/>
      <c r="I16388" s="24"/>
      <c r="J16388" s="24"/>
      <c r="K16388" s="24"/>
      <c r="L16388" s="24"/>
      <c r="M16388" s="24"/>
      <c r="N16388" s="24"/>
      <c r="O16388" s="24"/>
      <c r="P16388" s="24"/>
      <c r="Q16388" s="24"/>
      <c r="R16388" s="24"/>
      <c r="S16388" s="24"/>
      <c r="T16388" s="24"/>
      <c r="U16388" s="24"/>
      <c r="V16388" s="24"/>
      <c r="W16388" s="24"/>
      <c r="X16388" s="24"/>
      <c r="Y16388" s="24"/>
      <c r="Z16388" s="24"/>
      <c r="AA16388" s="24"/>
    </row>
    <row r="16389">
      <c r="A16389" s="24"/>
      <c r="B16389" s="25"/>
      <c r="C16389" s="24"/>
      <c r="D16389" s="26"/>
      <c r="E16389" s="24"/>
      <c r="F16389" s="24"/>
      <c r="G16389" s="24"/>
      <c r="H16389" s="24"/>
      <c r="I16389" s="24"/>
      <c r="J16389" s="24"/>
      <c r="K16389" s="24"/>
      <c r="L16389" s="24"/>
      <c r="M16389" s="24"/>
      <c r="N16389" s="24"/>
      <c r="O16389" s="24"/>
      <c r="P16389" s="24"/>
      <c r="Q16389" s="24"/>
      <c r="R16389" s="24"/>
      <c r="S16389" s="24"/>
      <c r="T16389" s="24"/>
      <c r="U16389" s="24"/>
      <c r="V16389" s="24"/>
      <c r="W16389" s="24"/>
      <c r="X16389" s="24"/>
      <c r="Y16389" s="24"/>
      <c r="Z16389" s="24"/>
      <c r="AA16389" s="24"/>
    </row>
    <row r="16390">
      <c r="A16390" s="24"/>
      <c r="B16390" s="25"/>
      <c r="C16390" s="24"/>
      <c r="D16390" s="26"/>
      <c r="E16390" s="24"/>
      <c r="F16390" s="24"/>
      <c r="G16390" s="24"/>
      <c r="H16390" s="24"/>
      <c r="I16390" s="24"/>
      <c r="J16390" s="24"/>
      <c r="K16390" s="24"/>
      <c r="L16390" s="24"/>
      <c r="M16390" s="24"/>
      <c r="N16390" s="24"/>
      <c r="O16390" s="24"/>
      <c r="P16390" s="24"/>
      <c r="Q16390" s="24"/>
      <c r="R16390" s="24"/>
      <c r="S16390" s="24"/>
      <c r="T16390" s="24"/>
      <c r="U16390" s="24"/>
      <c r="V16390" s="24"/>
      <c r="W16390" s="24"/>
      <c r="X16390" s="24"/>
      <c r="Y16390" s="24"/>
      <c r="Z16390" s="24"/>
      <c r="AA16390" s="24"/>
    </row>
    <row r="16391">
      <c r="A16391" s="24"/>
      <c r="B16391" s="25"/>
      <c r="C16391" s="24"/>
      <c r="D16391" s="26"/>
      <c r="E16391" s="24"/>
      <c r="F16391" s="24"/>
      <c r="G16391" s="24"/>
      <c r="H16391" s="24"/>
      <c r="I16391" s="24"/>
      <c r="J16391" s="24"/>
      <c r="K16391" s="24"/>
      <c r="L16391" s="24"/>
      <c r="M16391" s="24"/>
      <c r="N16391" s="24"/>
      <c r="O16391" s="24"/>
      <c r="P16391" s="24"/>
      <c r="Q16391" s="24"/>
      <c r="R16391" s="24"/>
      <c r="S16391" s="24"/>
      <c r="T16391" s="24"/>
      <c r="U16391" s="24"/>
      <c r="V16391" s="24"/>
      <c r="W16391" s="24"/>
      <c r="X16391" s="24"/>
      <c r="Y16391" s="24"/>
      <c r="Z16391" s="24"/>
      <c r="AA16391" s="24"/>
    </row>
    <row r="16392">
      <c r="A16392" s="24"/>
      <c r="B16392" s="25"/>
      <c r="C16392" s="24"/>
      <c r="D16392" s="26"/>
      <c r="E16392" s="24"/>
      <c r="F16392" s="24"/>
      <c r="G16392" s="24"/>
      <c r="H16392" s="24"/>
      <c r="I16392" s="24"/>
      <c r="J16392" s="24"/>
      <c r="K16392" s="24"/>
      <c r="L16392" s="24"/>
      <c r="M16392" s="24"/>
      <c r="N16392" s="24"/>
      <c r="O16392" s="24"/>
      <c r="P16392" s="24"/>
      <c r="Q16392" s="24"/>
      <c r="R16392" s="24"/>
      <c r="S16392" s="24"/>
      <c r="T16392" s="24"/>
      <c r="U16392" s="24"/>
      <c r="V16392" s="24"/>
      <c r="W16392" s="24"/>
      <c r="X16392" s="24"/>
      <c r="Y16392" s="24"/>
      <c r="Z16392" s="24"/>
      <c r="AA16392" s="24"/>
    </row>
    <row r="16393">
      <c r="A16393" s="24"/>
      <c r="B16393" s="25"/>
      <c r="C16393" s="24"/>
      <c r="D16393" s="26"/>
      <c r="E16393" s="24"/>
      <c r="F16393" s="24"/>
      <c r="G16393" s="24"/>
      <c r="H16393" s="24"/>
      <c r="I16393" s="24"/>
      <c r="J16393" s="24"/>
      <c r="K16393" s="24"/>
      <c r="L16393" s="24"/>
      <c r="M16393" s="24"/>
      <c r="N16393" s="24"/>
      <c r="O16393" s="24"/>
      <c r="P16393" s="24"/>
      <c r="Q16393" s="24"/>
      <c r="R16393" s="24"/>
      <c r="S16393" s="24"/>
      <c r="T16393" s="24"/>
      <c r="U16393" s="24"/>
      <c r="V16393" s="24"/>
      <c r="W16393" s="24"/>
      <c r="X16393" s="24"/>
      <c r="Y16393" s="24"/>
      <c r="Z16393" s="24"/>
      <c r="AA16393" s="24"/>
    </row>
    <row r="16394">
      <c r="A16394" s="24"/>
      <c r="B16394" s="25"/>
      <c r="C16394" s="24"/>
      <c r="D16394" s="26"/>
      <c r="E16394" s="24"/>
      <c r="F16394" s="24"/>
      <c r="G16394" s="24"/>
      <c r="H16394" s="24"/>
      <c r="I16394" s="24"/>
      <c r="J16394" s="24"/>
      <c r="K16394" s="24"/>
      <c r="L16394" s="24"/>
      <c r="M16394" s="24"/>
      <c r="N16394" s="24"/>
      <c r="O16394" s="24"/>
      <c r="P16394" s="24"/>
      <c r="Q16394" s="24"/>
      <c r="R16394" s="24"/>
      <c r="S16394" s="24"/>
      <c r="T16394" s="24"/>
      <c r="U16394" s="24"/>
      <c r="V16394" s="24"/>
      <c r="W16394" s="24"/>
      <c r="X16394" s="24"/>
      <c r="Y16394" s="24"/>
      <c r="Z16394" s="24"/>
      <c r="AA16394" s="24"/>
    </row>
    <row r="16395">
      <c r="A16395" s="24"/>
      <c r="B16395" s="25"/>
      <c r="C16395" s="24"/>
      <c r="D16395" s="26"/>
      <c r="E16395" s="24"/>
      <c r="F16395" s="24"/>
      <c r="G16395" s="24"/>
      <c r="H16395" s="24"/>
      <c r="I16395" s="24"/>
      <c r="J16395" s="24"/>
      <c r="K16395" s="24"/>
      <c r="L16395" s="24"/>
      <c r="M16395" s="24"/>
      <c r="N16395" s="24"/>
      <c r="O16395" s="24"/>
      <c r="P16395" s="24"/>
      <c r="Q16395" s="24"/>
      <c r="R16395" s="24"/>
      <c r="S16395" s="24"/>
      <c r="T16395" s="24"/>
      <c r="U16395" s="24"/>
      <c r="V16395" s="24"/>
      <c r="W16395" s="24"/>
      <c r="X16395" s="24"/>
      <c r="Y16395" s="24"/>
      <c r="Z16395" s="24"/>
      <c r="AA16395" s="24"/>
    </row>
    <row r="16396">
      <c r="A16396" s="24"/>
      <c r="B16396" s="25"/>
      <c r="C16396" s="24"/>
      <c r="D16396" s="26"/>
      <c r="E16396" s="24"/>
      <c r="F16396" s="24"/>
      <c r="G16396" s="24"/>
      <c r="H16396" s="24"/>
      <c r="I16396" s="24"/>
      <c r="J16396" s="24"/>
      <c r="K16396" s="24"/>
      <c r="L16396" s="24"/>
      <c r="M16396" s="24"/>
      <c r="N16396" s="24"/>
      <c r="O16396" s="24"/>
      <c r="P16396" s="24"/>
      <c r="Q16396" s="24"/>
      <c r="R16396" s="24"/>
      <c r="S16396" s="24"/>
      <c r="T16396" s="24"/>
      <c r="U16396" s="24"/>
      <c r="V16396" s="24"/>
      <c r="W16396" s="24"/>
      <c r="X16396" s="24"/>
      <c r="Y16396" s="24"/>
      <c r="Z16396" s="24"/>
      <c r="AA16396" s="24"/>
    </row>
    <row r="16397">
      <c r="A16397" s="24"/>
      <c r="B16397" s="25"/>
      <c r="C16397" s="24"/>
      <c r="D16397" s="26"/>
      <c r="E16397" s="24"/>
      <c r="F16397" s="24"/>
      <c r="G16397" s="24"/>
      <c r="H16397" s="24"/>
      <c r="I16397" s="24"/>
      <c r="J16397" s="24"/>
      <c r="K16397" s="24"/>
      <c r="L16397" s="24"/>
      <c r="M16397" s="24"/>
      <c r="N16397" s="24"/>
      <c r="O16397" s="24"/>
      <c r="P16397" s="24"/>
      <c r="Q16397" s="24"/>
      <c r="R16397" s="24"/>
      <c r="S16397" s="24"/>
      <c r="T16397" s="24"/>
      <c r="U16397" s="24"/>
      <c r="V16397" s="24"/>
      <c r="W16397" s="24"/>
      <c r="X16397" s="24"/>
      <c r="Y16397" s="24"/>
      <c r="Z16397" s="24"/>
      <c r="AA16397" s="24"/>
    </row>
    <row r="16398">
      <c r="A16398" s="24"/>
      <c r="B16398" s="25"/>
      <c r="C16398" s="24"/>
      <c r="D16398" s="26"/>
      <c r="E16398" s="24"/>
      <c r="F16398" s="24"/>
      <c r="G16398" s="24"/>
      <c r="H16398" s="24"/>
      <c r="I16398" s="24"/>
      <c r="J16398" s="24"/>
      <c r="K16398" s="24"/>
      <c r="L16398" s="24"/>
      <c r="M16398" s="24"/>
      <c r="N16398" s="24"/>
      <c r="O16398" s="24"/>
      <c r="P16398" s="24"/>
      <c r="Q16398" s="24"/>
      <c r="R16398" s="24"/>
      <c r="S16398" s="24"/>
      <c r="T16398" s="24"/>
      <c r="U16398" s="24"/>
      <c r="V16398" s="24"/>
      <c r="W16398" s="24"/>
      <c r="X16398" s="24"/>
      <c r="Y16398" s="24"/>
      <c r="Z16398" s="24"/>
      <c r="AA16398" s="24"/>
    </row>
    <row r="16399">
      <c r="A16399" s="24"/>
      <c r="B16399" s="25"/>
      <c r="C16399" s="24"/>
      <c r="D16399" s="26"/>
      <c r="E16399" s="24"/>
      <c r="F16399" s="24"/>
      <c r="G16399" s="24"/>
      <c r="H16399" s="24"/>
      <c r="I16399" s="24"/>
      <c r="J16399" s="24"/>
      <c r="K16399" s="24"/>
      <c r="L16399" s="24"/>
      <c r="M16399" s="24"/>
      <c r="N16399" s="24"/>
      <c r="O16399" s="24"/>
      <c r="P16399" s="24"/>
      <c r="Q16399" s="24"/>
      <c r="R16399" s="24"/>
      <c r="S16399" s="24"/>
      <c r="T16399" s="24"/>
      <c r="U16399" s="24"/>
      <c r="V16399" s="24"/>
      <c r="W16399" s="24"/>
      <c r="X16399" s="24"/>
      <c r="Y16399" s="24"/>
      <c r="Z16399" s="24"/>
      <c r="AA16399" s="24"/>
    </row>
    <row r="16400">
      <c r="A16400" s="24"/>
      <c r="B16400" s="25"/>
      <c r="C16400" s="24"/>
      <c r="D16400" s="26"/>
      <c r="E16400" s="24"/>
      <c r="F16400" s="24"/>
      <c r="G16400" s="24"/>
      <c r="H16400" s="24"/>
      <c r="I16400" s="24"/>
      <c r="J16400" s="24"/>
      <c r="K16400" s="24"/>
      <c r="L16400" s="24"/>
      <c r="M16400" s="24"/>
      <c r="N16400" s="24"/>
      <c r="O16400" s="24"/>
      <c r="P16400" s="24"/>
      <c r="Q16400" s="24"/>
      <c r="R16400" s="24"/>
      <c r="S16400" s="24"/>
      <c r="T16400" s="24"/>
      <c r="U16400" s="24"/>
      <c r="V16400" s="24"/>
      <c r="W16400" s="24"/>
      <c r="X16400" s="24"/>
      <c r="Y16400" s="24"/>
      <c r="Z16400" s="24"/>
      <c r="AA16400" s="24"/>
    </row>
    <row r="16401">
      <c r="A16401" s="24"/>
      <c r="B16401" s="25"/>
      <c r="C16401" s="24"/>
      <c r="D16401" s="26"/>
      <c r="E16401" s="24"/>
      <c r="F16401" s="24"/>
      <c r="G16401" s="24"/>
      <c r="H16401" s="24"/>
      <c r="I16401" s="24"/>
      <c r="J16401" s="24"/>
      <c r="K16401" s="24"/>
      <c r="L16401" s="24"/>
      <c r="M16401" s="24"/>
      <c r="N16401" s="24"/>
      <c r="O16401" s="24"/>
      <c r="P16401" s="24"/>
      <c r="Q16401" s="24"/>
      <c r="R16401" s="24"/>
      <c r="S16401" s="24"/>
      <c r="T16401" s="24"/>
      <c r="U16401" s="24"/>
      <c r="V16401" s="24"/>
      <c r="W16401" s="24"/>
      <c r="X16401" s="24"/>
      <c r="Y16401" s="24"/>
      <c r="Z16401" s="24"/>
      <c r="AA16401" s="24"/>
    </row>
    <row r="16402">
      <c r="A16402" s="24"/>
      <c r="B16402" s="25"/>
      <c r="C16402" s="24"/>
      <c r="D16402" s="26"/>
      <c r="E16402" s="24"/>
      <c r="F16402" s="24"/>
      <c r="G16402" s="24"/>
      <c r="H16402" s="24"/>
      <c r="I16402" s="24"/>
      <c r="J16402" s="24"/>
      <c r="K16402" s="24"/>
      <c r="L16402" s="24"/>
      <c r="M16402" s="24"/>
      <c r="N16402" s="24"/>
      <c r="O16402" s="24"/>
      <c r="P16402" s="24"/>
      <c r="Q16402" s="24"/>
      <c r="R16402" s="24"/>
      <c r="S16402" s="24"/>
      <c r="T16402" s="24"/>
      <c r="U16402" s="24"/>
      <c r="V16402" s="24"/>
      <c r="W16402" s="24"/>
      <c r="X16402" s="24"/>
      <c r="Y16402" s="24"/>
      <c r="Z16402" s="24"/>
      <c r="AA16402" s="24"/>
    </row>
    <row r="16403">
      <c r="A16403" s="24"/>
      <c r="B16403" s="25"/>
      <c r="C16403" s="24"/>
      <c r="D16403" s="26"/>
      <c r="E16403" s="24"/>
      <c r="F16403" s="24"/>
      <c r="G16403" s="24"/>
      <c r="H16403" s="24"/>
      <c r="I16403" s="24"/>
      <c r="J16403" s="24"/>
      <c r="K16403" s="24"/>
      <c r="L16403" s="24"/>
      <c r="M16403" s="24"/>
      <c r="N16403" s="24"/>
      <c r="O16403" s="24"/>
      <c r="P16403" s="24"/>
      <c r="Q16403" s="24"/>
      <c r="R16403" s="24"/>
      <c r="S16403" s="24"/>
      <c r="T16403" s="24"/>
      <c r="U16403" s="24"/>
      <c r="V16403" s="24"/>
      <c r="W16403" s="24"/>
      <c r="X16403" s="24"/>
      <c r="Y16403" s="24"/>
      <c r="Z16403" s="24"/>
      <c r="AA16403" s="24"/>
    </row>
    <row r="16404">
      <c r="A16404" s="24"/>
      <c r="B16404" s="25"/>
      <c r="C16404" s="24"/>
      <c r="D16404" s="26"/>
      <c r="E16404" s="24"/>
      <c r="F16404" s="24"/>
      <c r="G16404" s="24"/>
      <c r="H16404" s="24"/>
      <c r="I16404" s="24"/>
      <c r="J16404" s="24"/>
      <c r="K16404" s="24"/>
      <c r="L16404" s="24"/>
      <c r="M16404" s="24"/>
      <c r="N16404" s="24"/>
      <c r="O16404" s="24"/>
      <c r="P16404" s="24"/>
      <c r="Q16404" s="24"/>
      <c r="R16404" s="24"/>
      <c r="S16404" s="24"/>
      <c r="T16404" s="24"/>
      <c r="U16404" s="24"/>
      <c r="V16404" s="24"/>
      <c r="W16404" s="24"/>
      <c r="X16404" s="24"/>
      <c r="Y16404" s="24"/>
      <c r="Z16404" s="24"/>
      <c r="AA16404" s="24"/>
    </row>
    <row r="16405">
      <c r="A16405" s="24"/>
      <c r="B16405" s="25"/>
      <c r="C16405" s="24"/>
      <c r="D16405" s="26"/>
      <c r="E16405" s="24"/>
      <c r="F16405" s="24"/>
      <c r="G16405" s="24"/>
      <c r="H16405" s="24"/>
      <c r="I16405" s="24"/>
      <c r="J16405" s="24"/>
      <c r="K16405" s="24"/>
      <c r="L16405" s="24"/>
      <c r="M16405" s="24"/>
      <c r="N16405" s="24"/>
      <c r="O16405" s="24"/>
      <c r="P16405" s="24"/>
      <c r="Q16405" s="24"/>
      <c r="R16405" s="24"/>
      <c r="S16405" s="24"/>
      <c r="T16405" s="24"/>
      <c r="U16405" s="24"/>
      <c r="V16405" s="24"/>
      <c r="W16405" s="24"/>
      <c r="X16405" s="24"/>
      <c r="Y16405" s="24"/>
      <c r="Z16405" s="24"/>
      <c r="AA16405" s="24"/>
    </row>
    <row r="16406">
      <c r="A16406" s="24"/>
      <c r="B16406" s="25"/>
      <c r="C16406" s="24"/>
      <c r="D16406" s="26"/>
      <c r="E16406" s="24"/>
      <c r="F16406" s="24"/>
      <c r="G16406" s="24"/>
      <c r="H16406" s="24"/>
      <c r="I16406" s="24"/>
      <c r="J16406" s="24"/>
      <c r="K16406" s="24"/>
      <c r="L16406" s="24"/>
      <c r="M16406" s="24"/>
      <c r="N16406" s="24"/>
      <c r="O16406" s="24"/>
      <c r="P16406" s="24"/>
      <c r="Q16406" s="24"/>
      <c r="R16406" s="24"/>
      <c r="S16406" s="24"/>
      <c r="T16406" s="24"/>
      <c r="U16406" s="24"/>
      <c r="V16406" s="24"/>
      <c r="W16406" s="24"/>
      <c r="X16406" s="24"/>
      <c r="Y16406" s="24"/>
      <c r="Z16406" s="24"/>
      <c r="AA16406" s="24"/>
    </row>
    <row r="16407">
      <c r="A16407" s="24"/>
      <c r="B16407" s="25"/>
      <c r="C16407" s="24"/>
      <c r="D16407" s="26"/>
      <c r="E16407" s="24"/>
      <c r="F16407" s="24"/>
      <c r="G16407" s="24"/>
      <c r="H16407" s="24"/>
      <c r="I16407" s="24"/>
      <c r="J16407" s="24"/>
      <c r="K16407" s="24"/>
      <c r="L16407" s="24"/>
      <c r="M16407" s="24"/>
      <c r="N16407" s="24"/>
      <c r="O16407" s="24"/>
      <c r="P16407" s="24"/>
      <c r="Q16407" s="24"/>
      <c r="R16407" s="24"/>
      <c r="S16407" s="24"/>
      <c r="T16407" s="24"/>
      <c r="U16407" s="24"/>
      <c r="V16407" s="24"/>
      <c r="W16407" s="24"/>
      <c r="X16407" s="24"/>
      <c r="Y16407" s="24"/>
      <c r="Z16407" s="24"/>
      <c r="AA16407" s="24"/>
    </row>
    <row r="16408">
      <c r="A16408" s="24"/>
      <c r="B16408" s="25"/>
      <c r="C16408" s="24"/>
      <c r="D16408" s="26"/>
      <c r="E16408" s="24"/>
      <c r="F16408" s="24"/>
      <c r="G16408" s="24"/>
      <c r="H16408" s="24"/>
      <c r="I16408" s="24"/>
      <c r="J16408" s="24"/>
      <c r="K16408" s="24"/>
      <c r="L16408" s="24"/>
      <c r="M16408" s="24"/>
      <c r="N16408" s="24"/>
      <c r="O16408" s="24"/>
      <c r="P16408" s="24"/>
      <c r="Q16408" s="24"/>
      <c r="R16408" s="24"/>
      <c r="S16408" s="24"/>
      <c r="T16408" s="24"/>
      <c r="U16408" s="24"/>
      <c r="V16408" s="24"/>
      <c r="W16408" s="24"/>
      <c r="X16408" s="24"/>
      <c r="Y16408" s="24"/>
      <c r="Z16408" s="24"/>
      <c r="AA16408" s="24"/>
    </row>
    <row r="16409">
      <c r="A16409" s="24"/>
      <c r="B16409" s="25"/>
      <c r="C16409" s="24"/>
      <c r="D16409" s="26"/>
      <c r="E16409" s="24"/>
      <c r="F16409" s="24"/>
      <c r="G16409" s="24"/>
      <c r="H16409" s="24"/>
      <c r="I16409" s="24"/>
      <c r="J16409" s="24"/>
      <c r="K16409" s="24"/>
      <c r="L16409" s="24"/>
      <c r="M16409" s="24"/>
      <c r="N16409" s="24"/>
      <c r="O16409" s="24"/>
      <c r="P16409" s="24"/>
      <c r="Q16409" s="24"/>
      <c r="R16409" s="24"/>
      <c r="S16409" s="24"/>
      <c r="T16409" s="24"/>
      <c r="U16409" s="24"/>
      <c r="V16409" s="24"/>
      <c r="W16409" s="24"/>
      <c r="X16409" s="24"/>
      <c r="Y16409" s="24"/>
      <c r="Z16409" s="24"/>
      <c r="AA16409" s="24"/>
    </row>
    <row r="16410">
      <c r="A16410" s="24"/>
      <c r="B16410" s="25"/>
      <c r="C16410" s="24"/>
      <c r="D16410" s="26"/>
      <c r="E16410" s="24"/>
      <c r="F16410" s="24"/>
      <c r="G16410" s="24"/>
      <c r="H16410" s="24"/>
      <c r="I16410" s="24"/>
      <c r="J16410" s="24"/>
      <c r="K16410" s="24"/>
      <c r="L16410" s="24"/>
      <c r="M16410" s="24"/>
      <c r="N16410" s="24"/>
      <c r="O16410" s="24"/>
      <c r="P16410" s="24"/>
      <c r="Q16410" s="24"/>
      <c r="R16410" s="24"/>
      <c r="S16410" s="24"/>
      <c r="T16410" s="24"/>
      <c r="U16410" s="24"/>
      <c r="V16410" s="24"/>
      <c r="W16410" s="24"/>
      <c r="X16410" s="24"/>
      <c r="Y16410" s="24"/>
      <c r="Z16410" s="24"/>
      <c r="AA16410" s="24"/>
    </row>
    <row r="16411">
      <c r="A16411" s="24"/>
      <c r="B16411" s="25"/>
      <c r="C16411" s="24"/>
      <c r="D16411" s="26"/>
      <c r="E16411" s="24"/>
      <c r="F16411" s="24"/>
      <c r="G16411" s="24"/>
      <c r="H16411" s="24"/>
      <c r="I16411" s="24"/>
      <c r="J16411" s="24"/>
      <c r="K16411" s="24"/>
      <c r="L16411" s="24"/>
      <c r="M16411" s="24"/>
      <c r="N16411" s="24"/>
      <c r="O16411" s="24"/>
      <c r="P16411" s="24"/>
      <c r="Q16411" s="24"/>
      <c r="R16411" s="24"/>
      <c r="S16411" s="24"/>
      <c r="T16411" s="24"/>
      <c r="U16411" s="24"/>
      <c r="V16411" s="24"/>
      <c r="W16411" s="24"/>
      <c r="X16411" s="24"/>
      <c r="Y16411" s="24"/>
      <c r="Z16411" s="24"/>
      <c r="AA16411" s="24"/>
    </row>
    <row r="16412">
      <c r="A16412" s="24"/>
      <c r="B16412" s="25"/>
      <c r="C16412" s="24"/>
      <c r="D16412" s="26"/>
      <c r="E16412" s="24"/>
      <c r="F16412" s="24"/>
      <c r="G16412" s="24"/>
      <c r="H16412" s="24"/>
      <c r="I16412" s="24"/>
      <c r="J16412" s="24"/>
      <c r="K16412" s="24"/>
      <c r="L16412" s="24"/>
      <c r="M16412" s="24"/>
      <c r="N16412" s="24"/>
      <c r="O16412" s="24"/>
      <c r="P16412" s="24"/>
      <c r="Q16412" s="24"/>
      <c r="R16412" s="24"/>
      <c r="S16412" s="24"/>
      <c r="T16412" s="24"/>
      <c r="U16412" s="24"/>
      <c r="V16412" s="24"/>
      <c r="W16412" s="24"/>
      <c r="X16412" s="24"/>
      <c r="Y16412" s="24"/>
      <c r="Z16412" s="24"/>
      <c r="AA16412" s="24"/>
    </row>
    <row r="16413">
      <c r="A16413" s="24"/>
      <c r="B16413" s="25"/>
      <c r="C16413" s="24"/>
      <c r="D16413" s="26"/>
      <c r="E16413" s="24"/>
      <c r="F16413" s="24"/>
      <c r="G16413" s="24"/>
      <c r="H16413" s="24"/>
      <c r="I16413" s="24"/>
      <c r="J16413" s="24"/>
      <c r="K16413" s="24"/>
      <c r="L16413" s="24"/>
      <c r="M16413" s="24"/>
      <c r="N16413" s="24"/>
      <c r="O16413" s="24"/>
      <c r="P16413" s="24"/>
      <c r="Q16413" s="24"/>
      <c r="R16413" s="24"/>
      <c r="S16413" s="24"/>
      <c r="T16413" s="24"/>
      <c r="U16413" s="24"/>
      <c r="V16413" s="24"/>
      <c r="W16413" s="24"/>
      <c r="X16413" s="24"/>
      <c r="Y16413" s="24"/>
      <c r="Z16413" s="24"/>
      <c r="AA16413" s="24"/>
    </row>
    <row r="16414">
      <c r="A16414" s="24"/>
      <c r="B16414" s="25"/>
      <c r="C16414" s="24"/>
      <c r="D16414" s="26"/>
      <c r="E16414" s="24"/>
      <c r="F16414" s="24"/>
      <c r="G16414" s="24"/>
      <c r="H16414" s="24"/>
      <c r="I16414" s="24"/>
      <c r="J16414" s="24"/>
      <c r="K16414" s="24"/>
      <c r="L16414" s="24"/>
      <c r="M16414" s="24"/>
      <c r="N16414" s="24"/>
      <c r="O16414" s="24"/>
      <c r="P16414" s="24"/>
      <c r="Q16414" s="24"/>
      <c r="R16414" s="24"/>
      <c r="S16414" s="24"/>
      <c r="T16414" s="24"/>
      <c r="U16414" s="24"/>
      <c r="V16414" s="24"/>
      <c r="W16414" s="24"/>
      <c r="X16414" s="24"/>
      <c r="Y16414" s="24"/>
      <c r="Z16414" s="24"/>
      <c r="AA16414" s="24"/>
    </row>
    <row r="16415">
      <c r="A16415" s="24"/>
      <c r="B16415" s="25"/>
      <c r="C16415" s="24"/>
      <c r="D16415" s="26"/>
      <c r="E16415" s="24"/>
      <c r="F16415" s="24"/>
      <c r="G16415" s="24"/>
      <c r="H16415" s="24"/>
      <c r="I16415" s="24"/>
      <c r="J16415" s="24"/>
      <c r="K16415" s="24"/>
      <c r="L16415" s="24"/>
      <c r="M16415" s="24"/>
      <c r="N16415" s="24"/>
      <c r="O16415" s="24"/>
      <c r="P16415" s="24"/>
      <c r="Q16415" s="24"/>
      <c r="R16415" s="24"/>
      <c r="S16415" s="24"/>
      <c r="T16415" s="24"/>
      <c r="U16415" s="24"/>
      <c r="V16415" s="24"/>
      <c r="W16415" s="24"/>
      <c r="X16415" s="24"/>
      <c r="Y16415" s="24"/>
      <c r="Z16415" s="24"/>
      <c r="AA16415" s="24"/>
    </row>
    <row r="16416">
      <c r="A16416" s="24"/>
      <c r="B16416" s="25"/>
      <c r="C16416" s="24"/>
      <c r="D16416" s="26"/>
      <c r="E16416" s="24"/>
      <c r="F16416" s="24"/>
      <c r="G16416" s="24"/>
      <c r="H16416" s="24"/>
      <c r="I16416" s="24"/>
      <c r="J16416" s="24"/>
      <c r="K16416" s="24"/>
      <c r="L16416" s="24"/>
      <c r="M16416" s="24"/>
      <c r="N16416" s="24"/>
      <c r="O16416" s="24"/>
      <c r="P16416" s="24"/>
      <c r="Q16416" s="24"/>
      <c r="R16416" s="24"/>
      <c r="S16416" s="24"/>
      <c r="T16416" s="24"/>
      <c r="U16416" s="24"/>
      <c r="V16416" s="24"/>
      <c r="W16416" s="24"/>
      <c r="X16416" s="24"/>
      <c r="Y16416" s="24"/>
      <c r="Z16416" s="24"/>
      <c r="AA16416" s="24"/>
    </row>
    <row r="16417">
      <c r="A16417" s="24"/>
      <c r="B16417" s="25"/>
      <c r="C16417" s="24"/>
      <c r="D16417" s="26"/>
      <c r="E16417" s="24"/>
      <c r="F16417" s="24"/>
      <c r="G16417" s="24"/>
      <c r="H16417" s="24"/>
      <c r="I16417" s="24"/>
      <c r="J16417" s="24"/>
      <c r="K16417" s="24"/>
      <c r="L16417" s="24"/>
      <c r="M16417" s="24"/>
      <c r="N16417" s="24"/>
      <c r="O16417" s="24"/>
      <c r="P16417" s="24"/>
      <c r="Q16417" s="24"/>
      <c r="R16417" s="24"/>
      <c r="S16417" s="24"/>
      <c r="T16417" s="24"/>
      <c r="U16417" s="24"/>
      <c r="V16417" s="24"/>
      <c r="W16417" s="24"/>
      <c r="X16417" s="24"/>
      <c r="Y16417" s="24"/>
      <c r="Z16417" s="24"/>
      <c r="AA16417" s="24"/>
    </row>
    <row r="16418">
      <c r="A16418" s="24"/>
      <c r="B16418" s="25"/>
      <c r="C16418" s="24"/>
      <c r="D16418" s="26"/>
      <c r="E16418" s="24"/>
      <c r="F16418" s="24"/>
      <c r="G16418" s="24"/>
      <c r="H16418" s="24"/>
      <c r="I16418" s="24"/>
      <c r="J16418" s="24"/>
      <c r="K16418" s="24"/>
      <c r="L16418" s="24"/>
      <c r="M16418" s="24"/>
      <c r="N16418" s="24"/>
      <c r="O16418" s="24"/>
      <c r="P16418" s="24"/>
      <c r="Q16418" s="24"/>
      <c r="R16418" s="24"/>
      <c r="S16418" s="24"/>
      <c r="T16418" s="24"/>
      <c r="U16418" s="24"/>
      <c r="V16418" s="24"/>
      <c r="W16418" s="24"/>
      <c r="X16418" s="24"/>
      <c r="Y16418" s="24"/>
      <c r="Z16418" s="24"/>
      <c r="AA16418" s="24"/>
    </row>
    <row r="16419">
      <c r="A16419" s="24"/>
      <c r="B16419" s="25"/>
      <c r="C16419" s="24"/>
      <c r="D16419" s="26"/>
      <c r="E16419" s="24"/>
      <c r="F16419" s="24"/>
      <c r="G16419" s="24"/>
      <c r="H16419" s="24"/>
      <c r="I16419" s="24"/>
      <c r="J16419" s="24"/>
      <c r="K16419" s="24"/>
      <c r="L16419" s="24"/>
      <c r="M16419" s="24"/>
      <c r="N16419" s="24"/>
      <c r="O16419" s="24"/>
      <c r="P16419" s="24"/>
      <c r="Q16419" s="24"/>
      <c r="R16419" s="24"/>
      <c r="S16419" s="24"/>
      <c r="T16419" s="24"/>
      <c r="U16419" s="24"/>
      <c r="V16419" s="24"/>
      <c r="W16419" s="24"/>
      <c r="X16419" s="24"/>
      <c r="Y16419" s="24"/>
      <c r="Z16419" s="24"/>
      <c r="AA16419" s="24"/>
    </row>
    <row r="16420">
      <c r="A16420" s="24"/>
      <c r="B16420" s="25"/>
      <c r="C16420" s="24"/>
      <c r="D16420" s="26"/>
      <c r="E16420" s="24"/>
      <c r="F16420" s="24"/>
      <c r="G16420" s="24"/>
      <c r="H16420" s="24"/>
      <c r="I16420" s="24"/>
      <c r="J16420" s="24"/>
      <c r="K16420" s="24"/>
      <c r="L16420" s="24"/>
      <c r="M16420" s="24"/>
      <c r="N16420" s="24"/>
      <c r="O16420" s="24"/>
      <c r="P16420" s="24"/>
      <c r="Q16420" s="24"/>
      <c r="R16420" s="24"/>
      <c r="S16420" s="24"/>
      <c r="T16420" s="24"/>
      <c r="U16420" s="24"/>
      <c r="V16420" s="24"/>
      <c r="W16420" s="24"/>
      <c r="X16420" s="24"/>
      <c r="Y16420" s="24"/>
      <c r="Z16420" s="24"/>
      <c r="AA16420" s="24"/>
    </row>
    <row r="16421">
      <c r="A16421" s="24"/>
      <c r="B16421" s="25"/>
      <c r="C16421" s="24"/>
      <c r="D16421" s="26"/>
      <c r="E16421" s="24"/>
      <c r="F16421" s="24"/>
      <c r="G16421" s="24"/>
      <c r="H16421" s="24"/>
      <c r="I16421" s="24"/>
      <c r="J16421" s="24"/>
      <c r="K16421" s="24"/>
      <c r="L16421" s="24"/>
      <c r="M16421" s="24"/>
      <c r="N16421" s="24"/>
      <c r="O16421" s="24"/>
      <c r="P16421" s="24"/>
      <c r="Q16421" s="24"/>
      <c r="R16421" s="24"/>
      <c r="S16421" s="24"/>
      <c r="T16421" s="24"/>
      <c r="U16421" s="24"/>
      <c r="V16421" s="24"/>
      <c r="W16421" s="24"/>
      <c r="X16421" s="24"/>
      <c r="Y16421" s="24"/>
      <c r="Z16421" s="24"/>
      <c r="AA16421" s="24"/>
    </row>
    <row r="16422">
      <c r="A16422" s="24"/>
      <c r="B16422" s="25"/>
      <c r="C16422" s="24"/>
      <c r="D16422" s="26"/>
      <c r="E16422" s="24"/>
      <c r="F16422" s="24"/>
      <c r="G16422" s="24"/>
      <c r="H16422" s="24"/>
      <c r="I16422" s="24"/>
      <c r="J16422" s="24"/>
      <c r="K16422" s="24"/>
      <c r="L16422" s="24"/>
      <c r="M16422" s="24"/>
      <c r="N16422" s="24"/>
      <c r="O16422" s="24"/>
      <c r="P16422" s="24"/>
      <c r="Q16422" s="24"/>
      <c r="R16422" s="24"/>
      <c r="S16422" s="24"/>
      <c r="T16422" s="24"/>
      <c r="U16422" s="24"/>
      <c r="V16422" s="24"/>
      <c r="W16422" s="24"/>
      <c r="X16422" s="24"/>
      <c r="Y16422" s="24"/>
      <c r="Z16422" s="24"/>
      <c r="AA16422" s="24"/>
    </row>
    <row r="16423">
      <c r="A16423" s="24"/>
      <c r="B16423" s="25"/>
      <c r="C16423" s="24"/>
      <c r="D16423" s="26"/>
      <c r="E16423" s="24"/>
      <c r="F16423" s="24"/>
      <c r="G16423" s="24"/>
      <c r="H16423" s="24"/>
      <c r="I16423" s="24"/>
      <c r="J16423" s="24"/>
      <c r="K16423" s="24"/>
      <c r="L16423" s="24"/>
      <c r="M16423" s="24"/>
      <c r="N16423" s="24"/>
      <c r="O16423" s="24"/>
      <c r="P16423" s="24"/>
      <c r="Q16423" s="24"/>
      <c r="R16423" s="24"/>
      <c r="S16423" s="24"/>
      <c r="T16423" s="24"/>
      <c r="U16423" s="24"/>
      <c r="V16423" s="24"/>
      <c r="W16423" s="24"/>
      <c r="X16423" s="24"/>
      <c r="Y16423" s="24"/>
      <c r="Z16423" s="24"/>
      <c r="AA16423" s="24"/>
    </row>
    <row r="16424">
      <c r="A16424" s="24"/>
      <c r="B16424" s="25"/>
      <c r="C16424" s="24"/>
      <c r="D16424" s="26"/>
      <c r="E16424" s="24"/>
      <c r="F16424" s="24"/>
      <c r="G16424" s="24"/>
      <c r="H16424" s="24"/>
      <c r="I16424" s="24"/>
      <c r="J16424" s="24"/>
      <c r="K16424" s="24"/>
      <c r="L16424" s="24"/>
      <c r="M16424" s="24"/>
      <c r="N16424" s="24"/>
      <c r="O16424" s="24"/>
      <c r="P16424" s="24"/>
      <c r="Q16424" s="24"/>
      <c r="R16424" s="24"/>
      <c r="S16424" s="24"/>
      <c r="T16424" s="24"/>
      <c r="U16424" s="24"/>
      <c r="V16424" s="24"/>
      <c r="W16424" s="24"/>
      <c r="X16424" s="24"/>
      <c r="Y16424" s="24"/>
      <c r="Z16424" s="24"/>
      <c r="AA16424" s="24"/>
    </row>
    <row r="16425">
      <c r="A16425" s="24"/>
      <c r="B16425" s="25"/>
      <c r="C16425" s="24"/>
      <c r="D16425" s="26"/>
      <c r="E16425" s="24"/>
      <c r="F16425" s="24"/>
      <c r="G16425" s="24"/>
      <c r="H16425" s="24"/>
      <c r="I16425" s="24"/>
      <c r="J16425" s="24"/>
      <c r="K16425" s="24"/>
      <c r="L16425" s="24"/>
      <c r="M16425" s="24"/>
      <c r="N16425" s="24"/>
      <c r="O16425" s="24"/>
      <c r="P16425" s="24"/>
      <c r="Q16425" s="24"/>
      <c r="R16425" s="24"/>
      <c r="S16425" s="24"/>
      <c r="T16425" s="24"/>
      <c r="U16425" s="24"/>
      <c r="V16425" s="24"/>
      <c r="W16425" s="24"/>
      <c r="X16425" s="24"/>
      <c r="Y16425" s="24"/>
      <c r="Z16425" s="24"/>
      <c r="AA16425" s="24"/>
    </row>
    <row r="16426">
      <c r="A16426" s="24"/>
      <c r="B16426" s="25"/>
      <c r="C16426" s="24"/>
      <c r="D16426" s="26"/>
      <c r="E16426" s="24"/>
      <c r="F16426" s="24"/>
      <c r="G16426" s="24"/>
      <c r="H16426" s="24"/>
      <c r="I16426" s="24"/>
      <c r="J16426" s="24"/>
      <c r="K16426" s="24"/>
      <c r="L16426" s="24"/>
      <c r="M16426" s="24"/>
      <c r="N16426" s="24"/>
      <c r="O16426" s="24"/>
      <c r="P16426" s="24"/>
      <c r="Q16426" s="24"/>
      <c r="R16426" s="24"/>
      <c r="S16426" s="24"/>
      <c r="T16426" s="24"/>
      <c r="U16426" s="24"/>
      <c r="V16426" s="24"/>
      <c r="W16426" s="24"/>
      <c r="X16426" s="24"/>
      <c r="Y16426" s="24"/>
      <c r="Z16426" s="24"/>
      <c r="AA16426" s="24"/>
    </row>
    <row r="16427">
      <c r="A16427" s="24"/>
      <c r="B16427" s="25"/>
      <c r="C16427" s="24"/>
      <c r="D16427" s="26"/>
      <c r="E16427" s="24"/>
      <c r="F16427" s="24"/>
      <c r="G16427" s="24"/>
      <c r="H16427" s="24"/>
      <c r="I16427" s="24"/>
      <c r="J16427" s="24"/>
      <c r="K16427" s="24"/>
      <c r="L16427" s="24"/>
      <c r="M16427" s="24"/>
      <c r="N16427" s="24"/>
      <c r="O16427" s="24"/>
      <c r="P16427" s="24"/>
      <c r="Q16427" s="24"/>
      <c r="R16427" s="24"/>
      <c r="S16427" s="24"/>
      <c r="T16427" s="24"/>
      <c r="U16427" s="24"/>
      <c r="V16427" s="24"/>
      <c r="W16427" s="24"/>
      <c r="X16427" s="24"/>
      <c r="Y16427" s="24"/>
      <c r="Z16427" s="24"/>
      <c r="AA16427" s="24"/>
    </row>
    <row r="16428">
      <c r="A16428" s="24"/>
      <c r="B16428" s="25"/>
      <c r="C16428" s="24"/>
      <c r="D16428" s="26"/>
      <c r="E16428" s="24"/>
      <c r="F16428" s="24"/>
      <c r="G16428" s="24"/>
      <c r="H16428" s="24"/>
      <c r="I16428" s="24"/>
      <c r="J16428" s="24"/>
      <c r="K16428" s="24"/>
      <c r="L16428" s="24"/>
      <c r="M16428" s="24"/>
      <c r="N16428" s="24"/>
      <c r="O16428" s="24"/>
      <c r="P16428" s="24"/>
      <c r="Q16428" s="24"/>
      <c r="R16428" s="24"/>
      <c r="S16428" s="24"/>
      <c r="T16428" s="24"/>
      <c r="U16428" s="24"/>
      <c r="V16428" s="24"/>
      <c r="W16428" s="24"/>
      <c r="X16428" s="24"/>
      <c r="Y16428" s="24"/>
      <c r="Z16428" s="24"/>
      <c r="AA16428" s="24"/>
    </row>
    <row r="16429">
      <c r="A16429" s="24"/>
      <c r="B16429" s="25"/>
      <c r="C16429" s="24"/>
      <c r="D16429" s="26"/>
      <c r="E16429" s="24"/>
      <c r="F16429" s="24"/>
      <c r="G16429" s="24"/>
      <c r="H16429" s="24"/>
      <c r="I16429" s="24"/>
      <c r="J16429" s="24"/>
      <c r="K16429" s="24"/>
      <c r="L16429" s="24"/>
      <c r="M16429" s="24"/>
      <c r="N16429" s="24"/>
      <c r="O16429" s="24"/>
      <c r="P16429" s="24"/>
      <c r="Q16429" s="24"/>
      <c r="R16429" s="24"/>
      <c r="S16429" s="24"/>
      <c r="T16429" s="24"/>
      <c r="U16429" s="24"/>
      <c r="V16429" s="24"/>
      <c r="W16429" s="24"/>
      <c r="X16429" s="24"/>
      <c r="Y16429" s="24"/>
      <c r="Z16429" s="24"/>
      <c r="AA16429" s="24"/>
    </row>
    <row r="16430">
      <c r="A16430" s="24"/>
      <c r="B16430" s="25"/>
      <c r="C16430" s="24"/>
      <c r="D16430" s="26"/>
      <c r="E16430" s="24"/>
      <c r="F16430" s="24"/>
      <c r="G16430" s="24"/>
      <c r="H16430" s="24"/>
      <c r="I16430" s="24"/>
      <c r="J16430" s="24"/>
      <c r="K16430" s="24"/>
      <c r="L16430" s="24"/>
      <c r="M16430" s="24"/>
      <c r="N16430" s="24"/>
      <c r="O16430" s="24"/>
      <c r="P16430" s="24"/>
      <c r="Q16430" s="24"/>
      <c r="R16430" s="24"/>
      <c r="S16430" s="24"/>
      <c r="T16430" s="24"/>
      <c r="U16430" s="24"/>
      <c r="V16430" s="24"/>
      <c r="W16430" s="24"/>
      <c r="X16430" s="24"/>
      <c r="Y16430" s="24"/>
      <c r="Z16430" s="24"/>
      <c r="AA16430" s="24"/>
    </row>
    <row r="16431">
      <c r="A16431" s="24"/>
      <c r="B16431" s="25"/>
      <c r="C16431" s="24"/>
      <c r="D16431" s="26"/>
      <c r="E16431" s="24"/>
      <c r="F16431" s="24"/>
      <c r="G16431" s="24"/>
      <c r="H16431" s="24"/>
      <c r="I16431" s="24"/>
      <c r="J16431" s="24"/>
      <c r="K16431" s="24"/>
      <c r="L16431" s="24"/>
      <c r="M16431" s="24"/>
      <c r="N16431" s="24"/>
      <c r="O16431" s="24"/>
      <c r="P16431" s="24"/>
      <c r="Q16431" s="24"/>
      <c r="R16431" s="24"/>
      <c r="S16431" s="24"/>
      <c r="T16431" s="24"/>
      <c r="U16431" s="24"/>
      <c r="V16431" s="24"/>
      <c r="W16431" s="24"/>
      <c r="X16431" s="24"/>
      <c r="Y16431" s="24"/>
      <c r="Z16431" s="24"/>
      <c r="AA16431" s="24"/>
    </row>
    <row r="16432">
      <c r="A16432" s="24"/>
      <c r="B16432" s="25"/>
      <c r="C16432" s="24"/>
      <c r="D16432" s="26"/>
      <c r="E16432" s="24"/>
      <c r="F16432" s="24"/>
      <c r="G16432" s="24"/>
      <c r="H16432" s="24"/>
      <c r="I16432" s="24"/>
      <c r="J16432" s="24"/>
      <c r="K16432" s="24"/>
      <c r="L16432" s="24"/>
      <c r="M16432" s="24"/>
      <c r="N16432" s="24"/>
      <c r="O16432" s="24"/>
      <c r="P16432" s="24"/>
      <c r="Q16432" s="24"/>
      <c r="R16432" s="24"/>
      <c r="S16432" s="24"/>
      <c r="T16432" s="24"/>
      <c r="U16432" s="24"/>
      <c r="V16432" s="24"/>
      <c r="W16432" s="24"/>
      <c r="X16432" s="24"/>
      <c r="Y16432" s="24"/>
      <c r="Z16432" s="24"/>
      <c r="AA16432" s="24"/>
    </row>
    <row r="16433">
      <c r="A16433" s="24"/>
      <c r="B16433" s="25"/>
      <c r="C16433" s="24"/>
      <c r="D16433" s="26"/>
      <c r="E16433" s="24"/>
      <c r="F16433" s="24"/>
      <c r="G16433" s="24"/>
      <c r="H16433" s="24"/>
      <c r="I16433" s="24"/>
      <c r="J16433" s="24"/>
      <c r="K16433" s="24"/>
      <c r="L16433" s="24"/>
      <c r="M16433" s="24"/>
      <c r="N16433" s="24"/>
      <c r="O16433" s="24"/>
      <c r="P16433" s="24"/>
      <c r="Q16433" s="24"/>
      <c r="R16433" s="24"/>
      <c r="S16433" s="24"/>
      <c r="T16433" s="24"/>
      <c r="U16433" s="24"/>
      <c r="V16433" s="24"/>
      <c r="W16433" s="24"/>
      <c r="X16433" s="24"/>
      <c r="Y16433" s="24"/>
      <c r="Z16433" s="24"/>
      <c r="AA16433" s="24"/>
    </row>
    <row r="16434">
      <c r="A16434" s="24"/>
      <c r="B16434" s="25"/>
      <c r="C16434" s="24"/>
      <c r="D16434" s="26"/>
      <c r="E16434" s="24"/>
      <c r="F16434" s="24"/>
      <c r="G16434" s="24"/>
      <c r="H16434" s="24"/>
      <c r="I16434" s="24"/>
      <c r="J16434" s="24"/>
      <c r="K16434" s="24"/>
      <c r="L16434" s="24"/>
      <c r="M16434" s="24"/>
      <c r="N16434" s="24"/>
      <c r="O16434" s="24"/>
      <c r="P16434" s="24"/>
      <c r="Q16434" s="24"/>
      <c r="R16434" s="24"/>
      <c r="S16434" s="24"/>
      <c r="T16434" s="24"/>
      <c r="U16434" s="24"/>
      <c r="V16434" s="24"/>
      <c r="W16434" s="24"/>
      <c r="X16434" s="24"/>
      <c r="Y16434" s="24"/>
      <c r="Z16434" s="24"/>
      <c r="AA16434" s="24"/>
    </row>
    <row r="16435">
      <c r="A16435" s="24"/>
      <c r="B16435" s="25"/>
      <c r="C16435" s="24"/>
      <c r="D16435" s="26"/>
      <c r="E16435" s="24"/>
      <c r="F16435" s="24"/>
      <c r="G16435" s="24"/>
      <c r="H16435" s="24"/>
      <c r="I16435" s="24"/>
      <c r="J16435" s="24"/>
      <c r="K16435" s="24"/>
      <c r="L16435" s="24"/>
      <c r="M16435" s="24"/>
      <c r="N16435" s="24"/>
      <c r="O16435" s="24"/>
      <c r="P16435" s="24"/>
      <c r="Q16435" s="24"/>
      <c r="R16435" s="24"/>
      <c r="S16435" s="24"/>
      <c r="T16435" s="24"/>
      <c r="U16435" s="24"/>
      <c r="V16435" s="24"/>
      <c r="W16435" s="24"/>
      <c r="X16435" s="24"/>
      <c r="Y16435" s="24"/>
      <c r="Z16435" s="24"/>
      <c r="AA16435" s="24"/>
    </row>
    <row r="16436">
      <c r="A16436" s="24"/>
      <c r="B16436" s="25"/>
      <c r="C16436" s="24"/>
      <c r="D16436" s="26"/>
      <c r="E16436" s="24"/>
      <c r="F16436" s="24"/>
      <c r="G16436" s="24"/>
      <c r="H16436" s="24"/>
      <c r="I16436" s="24"/>
      <c r="J16436" s="24"/>
      <c r="K16436" s="24"/>
      <c r="L16436" s="24"/>
      <c r="M16436" s="24"/>
      <c r="N16436" s="24"/>
      <c r="O16436" s="24"/>
      <c r="P16436" s="24"/>
      <c r="Q16436" s="24"/>
      <c r="R16436" s="24"/>
      <c r="S16436" s="24"/>
      <c r="T16436" s="24"/>
      <c r="U16436" s="24"/>
      <c r="V16436" s="24"/>
      <c r="W16436" s="24"/>
      <c r="X16436" s="24"/>
      <c r="Y16436" s="24"/>
      <c r="Z16436" s="24"/>
      <c r="AA16436" s="24"/>
    </row>
    <row r="16437">
      <c r="A16437" s="24"/>
      <c r="B16437" s="25"/>
      <c r="C16437" s="24"/>
      <c r="D16437" s="26"/>
      <c r="E16437" s="24"/>
      <c r="F16437" s="24"/>
      <c r="G16437" s="24"/>
      <c r="H16437" s="24"/>
      <c r="I16437" s="24"/>
      <c r="J16437" s="24"/>
      <c r="K16437" s="24"/>
      <c r="L16437" s="24"/>
      <c r="M16437" s="24"/>
      <c r="N16437" s="24"/>
      <c r="O16437" s="24"/>
      <c r="P16437" s="24"/>
      <c r="Q16437" s="24"/>
      <c r="R16437" s="24"/>
      <c r="S16437" s="24"/>
      <c r="T16437" s="24"/>
      <c r="U16437" s="24"/>
      <c r="V16437" s="24"/>
      <c r="W16437" s="24"/>
      <c r="X16437" s="24"/>
      <c r="Y16437" s="24"/>
      <c r="Z16437" s="24"/>
      <c r="AA16437" s="24"/>
    </row>
    <row r="16438">
      <c r="A16438" s="24"/>
      <c r="B16438" s="25"/>
      <c r="C16438" s="24"/>
      <c r="D16438" s="26"/>
      <c r="E16438" s="24"/>
      <c r="F16438" s="24"/>
      <c r="G16438" s="24"/>
      <c r="H16438" s="24"/>
      <c r="I16438" s="24"/>
      <c r="J16438" s="24"/>
      <c r="K16438" s="24"/>
      <c r="L16438" s="24"/>
      <c r="M16438" s="24"/>
      <c r="N16438" s="24"/>
      <c r="O16438" s="24"/>
      <c r="P16438" s="24"/>
      <c r="Q16438" s="24"/>
      <c r="R16438" s="24"/>
      <c r="S16438" s="24"/>
      <c r="T16438" s="24"/>
      <c r="U16438" s="24"/>
      <c r="V16438" s="24"/>
      <c r="W16438" s="24"/>
      <c r="X16438" s="24"/>
      <c r="Y16438" s="24"/>
      <c r="Z16438" s="24"/>
      <c r="AA16438" s="24"/>
    </row>
    <row r="16439">
      <c r="A16439" s="24"/>
      <c r="B16439" s="25"/>
      <c r="C16439" s="24"/>
      <c r="D16439" s="26"/>
      <c r="E16439" s="24"/>
      <c r="F16439" s="24"/>
      <c r="G16439" s="24"/>
      <c r="H16439" s="24"/>
      <c r="I16439" s="24"/>
      <c r="J16439" s="24"/>
      <c r="K16439" s="24"/>
      <c r="L16439" s="24"/>
      <c r="M16439" s="24"/>
      <c r="N16439" s="24"/>
      <c r="O16439" s="24"/>
      <c r="P16439" s="24"/>
      <c r="Q16439" s="24"/>
      <c r="R16439" s="24"/>
      <c r="S16439" s="24"/>
      <c r="T16439" s="24"/>
      <c r="U16439" s="24"/>
      <c r="V16439" s="24"/>
      <c r="W16439" s="24"/>
      <c r="X16439" s="24"/>
      <c r="Y16439" s="24"/>
      <c r="Z16439" s="24"/>
      <c r="AA16439" s="24"/>
    </row>
    <row r="16440">
      <c r="A16440" s="24"/>
      <c r="B16440" s="25"/>
      <c r="C16440" s="24"/>
      <c r="D16440" s="26"/>
      <c r="E16440" s="24"/>
      <c r="F16440" s="24"/>
      <c r="G16440" s="24"/>
      <c r="H16440" s="24"/>
      <c r="I16440" s="24"/>
      <c r="J16440" s="24"/>
      <c r="K16440" s="24"/>
      <c r="L16440" s="24"/>
      <c r="M16440" s="24"/>
      <c r="N16440" s="24"/>
      <c r="O16440" s="24"/>
      <c r="P16440" s="24"/>
      <c r="Q16440" s="24"/>
      <c r="R16440" s="24"/>
      <c r="S16440" s="24"/>
      <c r="T16440" s="24"/>
      <c r="U16440" s="24"/>
      <c r="V16440" s="24"/>
      <c r="W16440" s="24"/>
      <c r="X16440" s="24"/>
      <c r="Y16440" s="24"/>
      <c r="Z16440" s="24"/>
      <c r="AA16440" s="24"/>
    </row>
    <row r="16441">
      <c r="A16441" s="24"/>
      <c r="B16441" s="25"/>
      <c r="C16441" s="24"/>
      <c r="D16441" s="26"/>
      <c r="E16441" s="24"/>
      <c r="F16441" s="24"/>
      <c r="G16441" s="24"/>
      <c r="H16441" s="24"/>
      <c r="I16441" s="24"/>
      <c r="J16441" s="24"/>
      <c r="K16441" s="24"/>
      <c r="L16441" s="24"/>
      <c r="M16441" s="24"/>
      <c r="N16441" s="24"/>
      <c r="O16441" s="24"/>
      <c r="P16441" s="24"/>
      <c r="Q16441" s="24"/>
      <c r="R16441" s="24"/>
      <c r="S16441" s="24"/>
      <c r="T16441" s="24"/>
      <c r="U16441" s="24"/>
      <c r="V16441" s="24"/>
      <c r="W16441" s="24"/>
      <c r="X16441" s="24"/>
      <c r="Y16441" s="24"/>
      <c r="Z16441" s="24"/>
      <c r="AA16441" s="24"/>
    </row>
    <row r="16442">
      <c r="A16442" s="24"/>
      <c r="B16442" s="25"/>
      <c r="C16442" s="24"/>
      <c r="D16442" s="26"/>
      <c r="E16442" s="24"/>
      <c r="F16442" s="24"/>
      <c r="G16442" s="24"/>
      <c r="H16442" s="24"/>
      <c r="I16442" s="24"/>
      <c r="J16442" s="24"/>
      <c r="K16442" s="24"/>
      <c r="L16442" s="24"/>
      <c r="M16442" s="24"/>
      <c r="N16442" s="24"/>
      <c r="O16442" s="24"/>
      <c r="P16442" s="24"/>
      <c r="Q16442" s="24"/>
      <c r="R16442" s="24"/>
      <c r="S16442" s="24"/>
      <c r="T16442" s="24"/>
      <c r="U16442" s="24"/>
      <c r="V16442" s="24"/>
      <c r="W16442" s="24"/>
      <c r="X16442" s="24"/>
      <c r="Y16442" s="24"/>
      <c r="Z16442" s="24"/>
      <c r="AA16442" s="24"/>
    </row>
    <row r="16443">
      <c r="A16443" s="24"/>
      <c r="B16443" s="25"/>
      <c r="C16443" s="24"/>
      <c r="D16443" s="26"/>
      <c r="E16443" s="24"/>
      <c r="F16443" s="24"/>
      <c r="G16443" s="24"/>
      <c r="H16443" s="24"/>
      <c r="I16443" s="24"/>
      <c r="J16443" s="24"/>
      <c r="K16443" s="24"/>
      <c r="L16443" s="24"/>
      <c r="M16443" s="24"/>
      <c r="N16443" s="24"/>
      <c r="O16443" s="24"/>
      <c r="P16443" s="24"/>
      <c r="Q16443" s="24"/>
      <c r="R16443" s="24"/>
      <c r="S16443" s="24"/>
      <c r="T16443" s="24"/>
      <c r="U16443" s="24"/>
      <c r="V16443" s="24"/>
      <c r="W16443" s="24"/>
      <c r="X16443" s="24"/>
      <c r="Y16443" s="24"/>
      <c r="Z16443" s="24"/>
      <c r="AA16443" s="24"/>
    </row>
    <row r="16444">
      <c r="A16444" s="24"/>
      <c r="B16444" s="25"/>
      <c r="C16444" s="24"/>
      <c r="D16444" s="26"/>
      <c r="E16444" s="24"/>
      <c r="F16444" s="24"/>
      <c r="G16444" s="24"/>
      <c r="H16444" s="24"/>
      <c r="I16444" s="24"/>
      <c r="J16444" s="24"/>
      <c r="K16444" s="24"/>
      <c r="L16444" s="24"/>
      <c r="M16444" s="24"/>
      <c r="N16444" s="24"/>
      <c r="O16444" s="24"/>
      <c r="P16444" s="24"/>
      <c r="Q16444" s="24"/>
      <c r="R16444" s="24"/>
      <c r="S16444" s="24"/>
      <c r="T16444" s="24"/>
      <c r="U16444" s="24"/>
      <c r="V16444" s="24"/>
      <c r="W16444" s="24"/>
      <c r="X16444" s="24"/>
      <c r="Y16444" s="24"/>
      <c r="Z16444" s="24"/>
      <c r="AA16444" s="24"/>
    </row>
    <row r="16445">
      <c r="A16445" s="24"/>
      <c r="B16445" s="25"/>
      <c r="C16445" s="24"/>
      <c r="D16445" s="26"/>
      <c r="E16445" s="24"/>
      <c r="F16445" s="24"/>
      <c r="G16445" s="24"/>
      <c r="H16445" s="24"/>
      <c r="I16445" s="24"/>
      <c r="J16445" s="24"/>
      <c r="K16445" s="24"/>
      <c r="L16445" s="24"/>
      <c r="M16445" s="24"/>
      <c r="N16445" s="24"/>
      <c r="O16445" s="24"/>
      <c r="P16445" s="24"/>
      <c r="Q16445" s="24"/>
      <c r="R16445" s="24"/>
      <c r="S16445" s="24"/>
      <c r="T16445" s="24"/>
      <c r="U16445" s="24"/>
      <c r="V16445" s="24"/>
      <c r="W16445" s="24"/>
      <c r="X16445" s="24"/>
      <c r="Y16445" s="24"/>
      <c r="Z16445" s="24"/>
      <c r="AA16445" s="24"/>
    </row>
    <row r="16446">
      <c r="A16446" s="24"/>
      <c r="B16446" s="25"/>
      <c r="C16446" s="24"/>
      <c r="D16446" s="26"/>
      <c r="E16446" s="24"/>
      <c r="F16446" s="24"/>
      <c r="G16446" s="24"/>
      <c r="H16446" s="24"/>
      <c r="I16446" s="24"/>
      <c r="J16446" s="24"/>
      <c r="K16446" s="24"/>
      <c r="L16446" s="24"/>
      <c r="M16446" s="24"/>
      <c r="N16446" s="24"/>
      <c r="O16446" s="24"/>
      <c r="P16446" s="24"/>
      <c r="Q16446" s="24"/>
      <c r="R16446" s="24"/>
      <c r="S16446" s="24"/>
      <c r="T16446" s="24"/>
      <c r="U16446" s="24"/>
      <c r="V16446" s="24"/>
      <c r="W16446" s="24"/>
      <c r="X16446" s="24"/>
      <c r="Y16446" s="24"/>
      <c r="Z16446" s="24"/>
      <c r="AA16446" s="24"/>
    </row>
    <row r="16447">
      <c r="A16447" s="24"/>
      <c r="B16447" s="25"/>
      <c r="C16447" s="24"/>
      <c r="D16447" s="26"/>
      <c r="E16447" s="24"/>
      <c r="F16447" s="24"/>
      <c r="G16447" s="24"/>
      <c r="H16447" s="24"/>
      <c r="I16447" s="24"/>
      <c r="J16447" s="24"/>
      <c r="K16447" s="24"/>
      <c r="L16447" s="24"/>
      <c r="M16447" s="24"/>
      <c r="N16447" s="24"/>
      <c r="O16447" s="24"/>
      <c r="P16447" s="24"/>
      <c r="Q16447" s="24"/>
      <c r="R16447" s="24"/>
      <c r="S16447" s="24"/>
      <c r="T16447" s="24"/>
      <c r="U16447" s="24"/>
      <c r="V16447" s="24"/>
      <c r="W16447" s="24"/>
      <c r="X16447" s="24"/>
      <c r="Y16447" s="24"/>
      <c r="Z16447" s="24"/>
      <c r="AA16447" s="24"/>
    </row>
    <row r="16448">
      <c r="A16448" s="24"/>
      <c r="B16448" s="25"/>
      <c r="C16448" s="24"/>
      <c r="D16448" s="26"/>
      <c r="E16448" s="24"/>
      <c r="F16448" s="24"/>
      <c r="G16448" s="24"/>
      <c r="H16448" s="24"/>
      <c r="I16448" s="24"/>
      <c r="J16448" s="24"/>
      <c r="K16448" s="24"/>
      <c r="L16448" s="24"/>
      <c r="M16448" s="24"/>
      <c r="N16448" s="24"/>
      <c r="O16448" s="24"/>
      <c r="P16448" s="24"/>
      <c r="Q16448" s="24"/>
      <c r="R16448" s="24"/>
      <c r="S16448" s="24"/>
      <c r="T16448" s="24"/>
      <c r="U16448" s="24"/>
      <c r="V16448" s="24"/>
      <c r="W16448" s="24"/>
      <c r="X16448" s="24"/>
      <c r="Y16448" s="24"/>
      <c r="Z16448" s="24"/>
      <c r="AA16448" s="24"/>
    </row>
    <row r="16449">
      <c r="A16449" s="24"/>
      <c r="B16449" s="25"/>
      <c r="C16449" s="24"/>
      <c r="D16449" s="26"/>
      <c r="E16449" s="24"/>
      <c r="F16449" s="24"/>
      <c r="G16449" s="24"/>
      <c r="H16449" s="24"/>
      <c r="I16449" s="24"/>
      <c r="J16449" s="24"/>
      <c r="K16449" s="24"/>
      <c r="L16449" s="24"/>
      <c r="M16449" s="24"/>
      <c r="N16449" s="24"/>
      <c r="O16449" s="24"/>
      <c r="P16449" s="24"/>
      <c r="Q16449" s="24"/>
      <c r="R16449" s="24"/>
      <c r="S16449" s="24"/>
      <c r="T16449" s="24"/>
      <c r="U16449" s="24"/>
      <c r="V16449" s="24"/>
      <c r="W16449" s="24"/>
      <c r="X16449" s="24"/>
      <c r="Y16449" s="24"/>
      <c r="Z16449" s="24"/>
      <c r="AA16449" s="24"/>
    </row>
    <row r="16450">
      <c r="A16450" s="24"/>
      <c r="B16450" s="25"/>
      <c r="C16450" s="24"/>
      <c r="D16450" s="26"/>
      <c r="E16450" s="24"/>
      <c r="F16450" s="24"/>
      <c r="G16450" s="24"/>
      <c r="H16450" s="24"/>
      <c r="I16450" s="24"/>
      <c r="J16450" s="24"/>
      <c r="K16450" s="24"/>
      <c r="L16450" s="24"/>
      <c r="M16450" s="24"/>
      <c r="N16450" s="24"/>
      <c r="O16450" s="24"/>
      <c r="P16450" s="24"/>
      <c r="Q16450" s="24"/>
      <c r="R16450" s="24"/>
      <c r="S16450" s="24"/>
      <c r="T16450" s="24"/>
      <c r="U16450" s="24"/>
      <c r="V16450" s="24"/>
      <c r="W16450" s="24"/>
      <c r="X16450" s="24"/>
      <c r="Y16450" s="24"/>
      <c r="Z16450" s="24"/>
      <c r="AA16450" s="24"/>
    </row>
    <row r="16451">
      <c r="A16451" s="24"/>
      <c r="B16451" s="25"/>
      <c r="C16451" s="24"/>
      <c r="D16451" s="26"/>
      <c r="E16451" s="24"/>
      <c r="F16451" s="24"/>
      <c r="G16451" s="24"/>
      <c r="H16451" s="24"/>
      <c r="I16451" s="24"/>
      <c r="J16451" s="24"/>
      <c r="K16451" s="24"/>
      <c r="L16451" s="24"/>
      <c r="M16451" s="24"/>
      <c r="N16451" s="24"/>
      <c r="O16451" s="24"/>
      <c r="P16451" s="24"/>
      <c r="Q16451" s="24"/>
      <c r="R16451" s="24"/>
      <c r="S16451" s="24"/>
      <c r="T16451" s="24"/>
      <c r="U16451" s="24"/>
      <c r="V16451" s="24"/>
      <c r="W16451" s="24"/>
      <c r="X16451" s="24"/>
      <c r="Y16451" s="24"/>
      <c r="Z16451" s="24"/>
      <c r="AA16451" s="24"/>
    </row>
    <row r="16452">
      <c r="A16452" s="24"/>
      <c r="B16452" s="25"/>
      <c r="C16452" s="24"/>
      <c r="D16452" s="26"/>
      <c r="E16452" s="24"/>
      <c r="F16452" s="24"/>
      <c r="G16452" s="24"/>
      <c r="H16452" s="24"/>
      <c r="I16452" s="24"/>
      <c r="J16452" s="24"/>
      <c r="K16452" s="24"/>
      <c r="L16452" s="24"/>
      <c r="M16452" s="24"/>
      <c r="N16452" s="24"/>
      <c r="O16452" s="24"/>
      <c r="P16452" s="24"/>
      <c r="Q16452" s="24"/>
      <c r="R16452" s="24"/>
      <c r="S16452" s="24"/>
      <c r="T16452" s="24"/>
      <c r="U16452" s="24"/>
      <c r="V16452" s="24"/>
      <c r="W16452" s="24"/>
      <c r="X16452" s="24"/>
      <c r="Y16452" s="24"/>
      <c r="Z16452" s="24"/>
      <c r="AA16452" s="24"/>
    </row>
    <row r="16453">
      <c r="A16453" s="24"/>
      <c r="B16453" s="25"/>
      <c r="C16453" s="24"/>
      <c r="D16453" s="26"/>
      <c r="E16453" s="24"/>
      <c r="F16453" s="24"/>
      <c r="G16453" s="24"/>
      <c r="H16453" s="24"/>
      <c r="I16453" s="24"/>
      <c r="J16453" s="24"/>
      <c r="K16453" s="24"/>
      <c r="L16453" s="24"/>
      <c r="M16453" s="24"/>
      <c r="N16453" s="24"/>
      <c r="O16453" s="24"/>
      <c r="P16453" s="24"/>
      <c r="Q16453" s="24"/>
      <c r="R16453" s="24"/>
      <c r="S16453" s="24"/>
      <c r="T16453" s="24"/>
      <c r="U16453" s="24"/>
      <c r="V16453" s="24"/>
      <c r="W16453" s="24"/>
      <c r="X16453" s="24"/>
      <c r="Y16453" s="24"/>
      <c r="Z16453" s="24"/>
      <c r="AA16453" s="24"/>
    </row>
    <row r="16454">
      <c r="A16454" s="24"/>
      <c r="B16454" s="25"/>
      <c r="C16454" s="24"/>
      <c r="D16454" s="26"/>
      <c r="E16454" s="24"/>
      <c r="F16454" s="24"/>
      <c r="G16454" s="24"/>
      <c r="H16454" s="24"/>
      <c r="I16454" s="24"/>
      <c r="J16454" s="24"/>
      <c r="K16454" s="24"/>
      <c r="L16454" s="24"/>
      <c r="M16454" s="24"/>
      <c r="N16454" s="24"/>
      <c r="O16454" s="24"/>
      <c r="P16454" s="24"/>
      <c r="Q16454" s="24"/>
      <c r="R16454" s="24"/>
      <c r="S16454" s="24"/>
      <c r="T16454" s="24"/>
      <c r="U16454" s="24"/>
      <c r="V16454" s="24"/>
      <c r="W16454" s="24"/>
      <c r="X16454" s="24"/>
      <c r="Y16454" s="24"/>
      <c r="Z16454" s="24"/>
      <c r="AA16454" s="24"/>
    </row>
    <row r="16455">
      <c r="A16455" s="24"/>
      <c r="B16455" s="25"/>
      <c r="C16455" s="24"/>
      <c r="D16455" s="26"/>
      <c r="E16455" s="24"/>
      <c r="F16455" s="24"/>
      <c r="G16455" s="24"/>
      <c r="H16455" s="24"/>
      <c r="I16455" s="24"/>
      <c r="J16455" s="24"/>
      <c r="K16455" s="24"/>
      <c r="L16455" s="24"/>
      <c r="M16455" s="24"/>
      <c r="N16455" s="24"/>
      <c r="O16455" s="24"/>
      <c r="P16455" s="24"/>
      <c r="Q16455" s="24"/>
      <c r="R16455" s="24"/>
      <c r="S16455" s="24"/>
      <c r="T16455" s="24"/>
      <c r="U16455" s="24"/>
      <c r="V16455" s="24"/>
      <c r="W16455" s="24"/>
      <c r="X16455" s="24"/>
      <c r="Y16455" s="24"/>
      <c r="Z16455" s="24"/>
      <c r="AA16455" s="24"/>
    </row>
    <row r="16456">
      <c r="A16456" s="24"/>
      <c r="B16456" s="25"/>
      <c r="C16456" s="24"/>
      <c r="D16456" s="26"/>
      <c r="E16456" s="24"/>
      <c r="F16456" s="24"/>
      <c r="G16456" s="24"/>
      <c r="H16456" s="24"/>
      <c r="I16456" s="24"/>
      <c r="J16456" s="24"/>
      <c r="K16456" s="24"/>
      <c r="L16456" s="24"/>
      <c r="M16456" s="24"/>
      <c r="N16456" s="24"/>
      <c r="O16456" s="24"/>
      <c r="P16456" s="24"/>
      <c r="Q16456" s="24"/>
      <c r="R16456" s="24"/>
      <c r="S16456" s="24"/>
      <c r="T16456" s="24"/>
      <c r="U16456" s="24"/>
      <c r="V16456" s="24"/>
      <c r="W16456" s="24"/>
      <c r="X16456" s="24"/>
      <c r="Y16456" s="24"/>
      <c r="Z16456" s="24"/>
      <c r="AA16456" s="24"/>
    </row>
    <row r="16457">
      <c r="A16457" s="24"/>
      <c r="B16457" s="25"/>
      <c r="C16457" s="24"/>
      <c r="D16457" s="26"/>
      <c r="E16457" s="24"/>
      <c r="F16457" s="24"/>
      <c r="G16457" s="24"/>
      <c r="H16457" s="24"/>
      <c r="I16457" s="24"/>
      <c r="J16457" s="24"/>
      <c r="K16457" s="24"/>
      <c r="L16457" s="24"/>
      <c r="M16457" s="24"/>
      <c r="N16457" s="24"/>
      <c r="O16457" s="24"/>
      <c r="P16457" s="24"/>
      <c r="Q16457" s="24"/>
      <c r="R16457" s="24"/>
      <c r="S16457" s="24"/>
      <c r="T16457" s="24"/>
      <c r="U16457" s="24"/>
      <c r="V16457" s="24"/>
      <c r="W16457" s="24"/>
      <c r="X16457" s="24"/>
      <c r="Y16457" s="24"/>
      <c r="Z16457" s="24"/>
      <c r="AA16457" s="24"/>
    </row>
    <row r="16458">
      <c r="A16458" s="24"/>
      <c r="B16458" s="25"/>
      <c r="C16458" s="24"/>
      <c r="D16458" s="26"/>
      <c r="E16458" s="24"/>
      <c r="F16458" s="24"/>
      <c r="G16458" s="24"/>
      <c r="H16458" s="24"/>
      <c r="I16458" s="24"/>
      <c r="J16458" s="24"/>
      <c r="K16458" s="24"/>
      <c r="L16458" s="24"/>
      <c r="M16458" s="24"/>
      <c r="N16458" s="24"/>
      <c r="O16458" s="24"/>
      <c r="P16458" s="24"/>
      <c r="Q16458" s="24"/>
      <c r="R16458" s="24"/>
      <c r="S16458" s="24"/>
      <c r="T16458" s="24"/>
      <c r="U16458" s="24"/>
      <c r="V16458" s="24"/>
      <c r="W16458" s="24"/>
      <c r="X16458" s="24"/>
      <c r="Y16458" s="24"/>
      <c r="Z16458" s="24"/>
      <c r="AA16458" s="24"/>
    </row>
    <row r="16459">
      <c r="A16459" s="24"/>
      <c r="B16459" s="25"/>
      <c r="C16459" s="24"/>
      <c r="D16459" s="26"/>
      <c r="E16459" s="24"/>
      <c r="F16459" s="24"/>
      <c r="G16459" s="24"/>
      <c r="H16459" s="24"/>
      <c r="I16459" s="24"/>
      <c r="J16459" s="24"/>
      <c r="K16459" s="24"/>
      <c r="L16459" s="24"/>
      <c r="M16459" s="24"/>
      <c r="N16459" s="24"/>
      <c r="O16459" s="24"/>
      <c r="P16459" s="24"/>
      <c r="Q16459" s="24"/>
      <c r="R16459" s="24"/>
      <c r="S16459" s="24"/>
      <c r="T16459" s="24"/>
      <c r="U16459" s="24"/>
      <c r="V16459" s="24"/>
      <c r="W16459" s="24"/>
      <c r="X16459" s="24"/>
      <c r="Y16459" s="24"/>
      <c r="Z16459" s="24"/>
      <c r="AA16459" s="24"/>
    </row>
    <row r="16460">
      <c r="A16460" s="24"/>
      <c r="B16460" s="25"/>
      <c r="C16460" s="24"/>
      <c r="D16460" s="26"/>
      <c r="E16460" s="24"/>
      <c r="F16460" s="24"/>
      <c r="G16460" s="24"/>
      <c r="H16460" s="24"/>
      <c r="I16460" s="24"/>
      <c r="J16460" s="24"/>
      <c r="K16460" s="24"/>
      <c r="L16460" s="24"/>
      <c r="M16460" s="24"/>
      <c r="N16460" s="24"/>
      <c r="O16460" s="24"/>
      <c r="P16460" s="24"/>
      <c r="Q16460" s="24"/>
      <c r="R16460" s="24"/>
      <c r="S16460" s="24"/>
      <c r="T16460" s="24"/>
      <c r="U16460" s="24"/>
      <c r="V16460" s="24"/>
      <c r="W16460" s="24"/>
      <c r="X16460" s="24"/>
      <c r="Y16460" s="24"/>
      <c r="Z16460" s="24"/>
      <c r="AA16460" s="24"/>
    </row>
    <row r="16461">
      <c r="A16461" s="24"/>
      <c r="B16461" s="25"/>
      <c r="C16461" s="24"/>
      <c r="D16461" s="26"/>
      <c r="E16461" s="24"/>
      <c r="F16461" s="24"/>
      <c r="G16461" s="24"/>
      <c r="H16461" s="24"/>
      <c r="I16461" s="24"/>
      <c r="J16461" s="24"/>
      <c r="K16461" s="24"/>
      <c r="L16461" s="24"/>
      <c r="M16461" s="24"/>
      <c r="N16461" s="24"/>
      <c r="O16461" s="24"/>
      <c r="P16461" s="24"/>
      <c r="Q16461" s="24"/>
      <c r="R16461" s="24"/>
      <c r="S16461" s="24"/>
      <c r="T16461" s="24"/>
      <c r="U16461" s="24"/>
      <c r="V16461" s="24"/>
      <c r="W16461" s="24"/>
      <c r="X16461" s="24"/>
      <c r="Y16461" s="24"/>
      <c r="Z16461" s="24"/>
      <c r="AA16461" s="24"/>
    </row>
    <row r="16462">
      <c r="A16462" s="24"/>
      <c r="B16462" s="25"/>
      <c r="C16462" s="24"/>
      <c r="D16462" s="26"/>
      <c r="E16462" s="24"/>
      <c r="F16462" s="24"/>
      <c r="G16462" s="24"/>
      <c r="H16462" s="24"/>
      <c r="I16462" s="24"/>
      <c r="J16462" s="24"/>
      <c r="K16462" s="24"/>
      <c r="L16462" s="24"/>
      <c r="M16462" s="24"/>
      <c r="N16462" s="24"/>
      <c r="O16462" s="24"/>
      <c r="P16462" s="24"/>
      <c r="Q16462" s="24"/>
      <c r="R16462" s="24"/>
      <c r="S16462" s="24"/>
      <c r="T16462" s="24"/>
      <c r="U16462" s="24"/>
      <c r="V16462" s="24"/>
      <c r="W16462" s="24"/>
      <c r="X16462" s="24"/>
      <c r="Y16462" s="24"/>
      <c r="Z16462" s="24"/>
      <c r="AA16462" s="24"/>
    </row>
    <row r="16463">
      <c r="A16463" s="24"/>
      <c r="B16463" s="25"/>
      <c r="C16463" s="24"/>
      <c r="D16463" s="26"/>
      <c r="E16463" s="24"/>
      <c r="F16463" s="24"/>
      <c r="G16463" s="24"/>
      <c r="H16463" s="24"/>
      <c r="I16463" s="24"/>
      <c r="J16463" s="24"/>
      <c r="K16463" s="24"/>
      <c r="L16463" s="24"/>
      <c r="M16463" s="24"/>
      <c r="N16463" s="24"/>
      <c r="O16463" s="24"/>
      <c r="P16463" s="24"/>
      <c r="Q16463" s="24"/>
      <c r="R16463" s="24"/>
      <c r="S16463" s="24"/>
      <c r="T16463" s="24"/>
      <c r="U16463" s="24"/>
      <c r="V16463" s="24"/>
      <c r="W16463" s="24"/>
      <c r="X16463" s="24"/>
      <c r="Y16463" s="24"/>
      <c r="Z16463" s="24"/>
      <c r="AA16463" s="24"/>
    </row>
    <row r="16464">
      <c r="A16464" s="24"/>
      <c r="B16464" s="25"/>
      <c r="C16464" s="24"/>
      <c r="D16464" s="26"/>
      <c r="E16464" s="24"/>
      <c r="F16464" s="24"/>
      <c r="G16464" s="24"/>
      <c r="H16464" s="24"/>
      <c r="I16464" s="24"/>
      <c r="J16464" s="24"/>
      <c r="K16464" s="24"/>
      <c r="L16464" s="24"/>
      <c r="M16464" s="24"/>
      <c r="N16464" s="24"/>
      <c r="O16464" s="24"/>
      <c r="P16464" s="24"/>
      <c r="Q16464" s="24"/>
      <c r="R16464" s="24"/>
      <c r="S16464" s="24"/>
      <c r="T16464" s="24"/>
      <c r="U16464" s="24"/>
      <c r="V16464" s="24"/>
      <c r="W16464" s="24"/>
      <c r="X16464" s="24"/>
      <c r="Y16464" s="24"/>
      <c r="Z16464" s="24"/>
      <c r="AA16464" s="24"/>
    </row>
    <row r="16465">
      <c r="A16465" s="24"/>
      <c r="B16465" s="25"/>
      <c r="C16465" s="24"/>
      <c r="D16465" s="26"/>
      <c r="E16465" s="24"/>
      <c r="F16465" s="24"/>
      <c r="G16465" s="24"/>
      <c r="H16465" s="24"/>
      <c r="I16465" s="24"/>
      <c r="J16465" s="24"/>
      <c r="K16465" s="24"/>
      <c r="L16465" s="24"/>
      <c r="M16465" s="24"/>
      <c r="N16465" s="24"/>
      <c r="O16465" s="24"/>
      <c r="P16465" s="24"/>
      <c r="Q16465" s="24"/>
      <c r="R16465" s="24"/>
      <c r="S16465" s="24"/>
      <c r="T16465" s="24"/>
      <c r="U16465" s="24"/>
      <c r="V16465" s="24"/>
      <c r="W16465" s="24"/>
      <c r="X16465" s="24"/>
      <c r="Y16465" s="24"/>
      <c r="Z16465" s="24"/>
      <c r="AA16465" s="24"/>
    </row>
    <row r="16466">
      <c r="A16466" s="24"/>
      <c r="B16466" s="25"/>
      <c r="C16466" s="24"/>
      <c r="D16466" s="26"/>
      <c r="E16466" s="24"/>
      <c r="F16466" s="24"/>
      <c r="G16466" s="24"/>
      <c r="H16466" s="24"/>
      <c r="I16466" s="24"/>
      <c r="J16466" s="24"/>
      <c r="K16466" s="24"/>
      <c r="L16466" s="24"/>
      <c r="M16466" s="24"/>
      <c r="N16466" s="24"/>
      <c r="O16466" s="24"/>
      <c r="P16466" s="24"/>
      <c r="Q16466" s="24"/>
      <c r="R16466" s="24"/>
      <c r="S16466" s="24"/>
      <c r="T16466" s="24"/>
      <c r="U16466" s="24"/>
      <c r="V16466" s="24"/>
      <c r="W16466" s="24"/>
      <c r="X16466" s="24"/>
      <c r="Y16466" s="24"/>
      <c r="Z16466" s="24"/>
      <c r="AA16466" s="24"/>
    </row>
    <row r="16467">
      <c r="A16467" s="24"/>
      <c r="B16467" s="25"/>
      <c r="C16467" s="24"/>
      <c r="D16467" s="26"/>
      <c r="E16467" s="24"/>
      <c r="F16467" s="24"/>
      <c r="G16467" s="24"/>
      <c r="H16467" s="24"/>
      <c r="I16467" s="24"/>
      <c r="J16467" s="24"/>
      <c r="K16467" s="24"/>
      <c r="L16467" s="24"/>
      <c r="M16467" s="24"/>
      <c r="N16467" s="24"/>
      <c r="O16467" s="24"/>
      <c r="P16467" s="24"/>
      <c r="Q16467" s="24"/>
      <c r="R16467" s="24"/>
      <c r="S16467" s="24"/>
      <c r="T16467" s="24"/>
      <c r="U16467" s="24"/>
      <c r="V16467" s="24"/>
      <c r="W16467" s="24"/>
      <c r="X16467" s="24"/>
      <c r="Y16467" s="24"/>
      <c r="Z16467" s="24"/>
      <c r="AA16467" s="24"/>
    </row>
    <row r="16468">
      <c r="A16468" s="24"/>
      <c r="B16468" s="25"/>
      <c r="C16468" s="24"/>
      <c r="D16468" s="26"/>
      <c r="E16468" s="24"/>
      <c r="F16468" s="24"/>
      <c r="G16468" s="24"/>
      <c r="H16468" s="24"/>
      <c r="I16468" s="24"/>
      <c r="J16468" s="24"/>
      <c r="K16468" s="24"/>
      <c r="L16468" s="24"/>
      <c r="M16468" s="24"/>
      <c r="N16468" s="24"/>
      <c r="O16468" s="24"/>
      <c r="P16468" s="24"/>
      <c r="Q16468" s="24"/>
      <c r="R16468" s="24"/>
      <c r="S16468" s="24"/>
      <c r="T16468" s="24"/>
      <c r="U16468" s="24"/>
      <c r="V16468" s="24"/>
      <c r="W16468" s="24"/>
      <c r="X16468" s="24"/>
      <c r="Y16468" s="24"/>
      <c r="Z16468" s="24"/>
      <c r="AA16468" s="24"/>
    </row>
    <row r="16469">
      <c r="A16469" s="24"/>
      <c r="B16469" s="25"/>
      <c r="C16469" s="24"/>
      <c r="D16469" s="26"/>
      <c r="E16469" s="24"/>
      <c r="F16469" s="24"/>
      <c r="G16469" s="24"/>
      <c r="H16469" s="24"/>
      <c r="I16469" s="24"/>
      <c r="J16469" s="24"/>
      <c r="K16469" s="24"/>
      <c r="L16469" s="24"/>
      <c r="M16469" s="24"/>
      <c r="N16469" s="24"/>
      <c r="O16469" s="24"/>
      <c r="P16469" s="24"/>
      <c r="Q16469" s="24"/>
      <c r="R16469" s="24"/>
      <c r="S16469" s="24"/>
      <c r="T16469" s="24"/>
      <c r="U16469" s="24"/>
      <c r="V16469" s="24"/>
      <c r="W16469" s="24"/>
      <c r="X16469" s="24"/>
      <c r="Y16469" s="24"/>
      <c r="Z16469" s="24"/>
      <c r="AA16469" s="24"/>
    </row>
    <row r="16470">
      <c r="A16470" s="24"/>
      <c r="B16470" s="25"/>
      <c r="C16470" s="24"/>
      <c r="D16470" s="26"/>
      <c r="E16470" s="24"/>
      <c r="F16470" s="24"/>
      <c r="G16470" s="24"/>
      <c r="H16470" s="24"/>
      <c r="I16470" s="24"/>
      <c r="J16470" s="24"/>
      <c r="K16470" s="24"/>
      <c r="L16470" s="24"/>
      <c r="M16470" s="24"/>
      <c r="N16470" s="24"/>
      <c r="O16470" s="24"/>
      <c r="P16470" s="24"/>
      <c r="Q16470" s="24"/>
      <c r="R16470" s="24"/>
      <c r="S16470" s="24"/>
      <c r="T16470" s="24"/>
      <c r="U16470" s="24"/>
      <c r="V16470" s="24"/>
      <c r="W16470" s="24"/>
      <c r="X16470" s="24"/>
      <c r="Y16470" s="24"/>
      <c r="Z16470" s="24"/>
      <c r="AA16470" s="24"/>
    </row>
    <row r="16471">
      <c r="A16471" s="24"/>
      <c r="B16471" s="25"/>
      <c r="C16471" s="24"/>
      <c r="D16471" s="26"/>
      <c r="E16471" s="24"/>
      <c r="F16471" s="24"/>
      <c r="G16471" s="24"/>
      <c r="H16471" s="24"/>
      <c r="I16471" s="24"/>
      <c r="J16471" s="24"/>
      <c r="K16471" s="24"/>
      <c r="L16471" s="24"/>
      <c r="M16471" s="24"/>
      <c r="N16471" s="24"/>
      <c r="O16471" s="24"/>
      <c r="P16471" s="24"/>
      <c r="Q16471" s="24"/>
      <c r="R16471" s="24"/>
      <c r="S16471" s="24"/>
      <c r="T16471" s="24"/>
      <c r="U16471" s="24"/>
      <c r="V16471" s="24"/>
      <c r="W16471" s="24"/>
      <c r="X16471" s="24"/>
      <c r="Y16471" s="24"/>
      <c r="Z16471" s="24"/>
      <c r="AA16471" s="24"/>
    </row>
    <row r="16472">
      <c r="A16472" s="24"/>
      <c r="B16472" s="25"/>
      <c r="C16472" s="24"/>
      <c r="D16472" s="26"/>
      <c r="E16472" s="24"/>
      <c r="F16472" s="24"/>
      <c r="G16472" s="24"/>
      <c r="H16472" s="24"/>
      <c r="I16472" s="24"/>
      <c r="J16472" s="24"/>
      <c r="K16472" s="24"/>
      <c r="L16472" s="24"/>
      <c r="M16472" s="24"/>
      <c r="N16472" s="24"/>
      <c r="O16472" s="24"/>
      <c r="P16472" s="24"/>
      <c r="Q16472" s="24"/>
      <c r="R16472" s="24"/>
      <c r="S16472" s="24"/>
      <c r="T16472" s="24"/>
      <c r="U16472" s="24"/>
      <c r="V16472" s="24"/>
      <c r="W16472" s="24"/>
      <c r="X16472" s="24"/>
      <c r="Y16472" s="24"/>
      <c r="Z16472" s="24"/>
      <c r="AA16472" s="24"/>
    </row>
    <row r="16473">
      <c r="A16473" s="24"/>
      <c r="B16473" s="25"/>
      <c r="C16473" s="24"/>
      <c r="D16473" s="26"/>
      <c r="E16473" s="24"/>
      <c r="F16473" s="24"/>
      <c r="G16473" s="24"/>
      <c r="H16473" s="24"/>
      <c r="I16473" s="24"/>
      <c r="J16473" s="24"/>
      <c r="K16473" s="24"/>
      <c r="L16473" s="24"/>
      <c r="M16473" s="24"/>
      <c r="N16473" s="24"/>
      <c r="O16473" s="24"/>
      <c r="P16473" s="24"/>
      <c r="Q16473" s="24"/>
      <c r="R16473" s="24"/>
      <c r="S16473" s="24"/>
      <c r="T16473" s="24"/>
      <c r="U16473" s="24"/>
      <c r="V16473" s="24"/>
      <c r="W16473" s="24"/>
      <c r="X16473" s="24"/>
      <c r="Y16473" s="24"/>
      <c r="Z16473" s="24"/>
      <c r="AA16473" s="24"/>
    </row>
    <row r="16474">
      <c r="A16474" s="24"/>
      <c r="B16474" s="25"/>
      <c r="C16474" s="24"/>
      <c r="D16474" s="26"/>
      <c r="E16474" s="24"/>
      <c r="F16474" s="24"/>
      <c r="G16474" s="24"/>
      <c r="H16474" s="24"/>
      <c r="I16474" s="24"/>
      <c r="J16474" s="24"/>
      <c r="K16474" s="24"/>
      <c r="L16474" s="24"/>
      <c r="M16474" s="24"/>
      <c r="N16474" s="24"/>
      <c r="O16474" s="24"/>
      <c r="P16474" s="24"/>
      <c r="Q16474" s="24"/>
      <c r="R16474" s="24"/>
      <c r="S16474" s="24"/>
      <c r="T16474" s="24"/>
      <c r="U16474" s="24"/>
      <c r="V16474" s="24"/>
      <c r="W16474" s="24"/>
      <c r="X16474" s="24"/>
      <c r="Y16474" s="24"/>
      <c r="Z16474" s="24"/>
      <c r="AA16474" s="24"/>
    </row>
    <row r="16475">
      <c r="A16475" s="24"/>
      <c r="B16475" s="25"/>
      <c r="C16475" s="24"/>
      <c r="D16475" s="26"/>
      <c r="E16475" s="24"/>
      <c r="F16475" s="24"/>
      <c r="G16475" s="24"/>
      <c r="H16475" s="24"/>
      <c r="I16475" s="24"/>
      <c r="J16475" s="24"/>
      <c r="K16475" s="24"/>
      <c r="L16475" s="24"/>
      <c r="M16475" s="24"/>
      <c r="N16475" s="24"/>
      <c r="O16475" s="24"/>
      <c r="P16475" s="24"/>
      <c r="Q16475" s="24"/>
      <c r="R16475" s="24"/>
      <c r="S16475" s="24"/>
      <c r="T16475" s="24"/>
      <c r="U16475" s="24"/>
      <c r="V16475" s="24"/>
      <c r="W16475" s="24"/>
      <c r="X16475" s="24"/>
      <c r="Y16475" s="24"/>
      <c r="Z16475" s="24"/>
      <c r="AA16475" s="24"/>
    </row>
    <row r="16476">
      <c r="A16476" s="24"/>
      <c r="B16476" s="25"/>
      <c r="C16476" s="24"/>
      <c r="D16476" s="26"/>
      <c r="E16476" s="24"/>
      <c r="F16476" s="24"/>
      <c r="G16476" s="24"/>
      <c r="H16476" s="24"/>
      <c r="I16476" s="24"/>
      <c r="J16476" s="24"/>
      <c r="K16476" s="24"/>
      <c r="L16476" s="24"/>
      <c r="M16476" s="24"/>
      <c r="N16476" s="24"/>
      <c r="O16476" s="24"/>
      <c r="P16476" s="24"/>
      <c r="Q16476" s="24"/>
      <c r="R16476" s="24"/>
      <c r="S16476" s="24"/>
      <c r="T16476" s="24"/>
      <c r="U16476" s="24"/>
      <c r="V16476" s="24"/>
      <c r="W16476" s="24"/>
      <c r="X16476" s="24"/>
      <c r="Y16476" s="24"/>
      <c r="Z16476" s="24"/>
      <c r="AA16476" s="24"/>
    </row>
    <row r="16477">
      <c r="A16477" s="24"/>
      <c r="B16477" s="25"/>
      <c r="C16477" s="24"/>
      <c r="D16477" s="26"/>
      <c r="E16477" s="24"/>
      <c r="F16477" s="24"/>
      <c r="G16477" s="24"/>
      <c r="H16477" s="24"/>
      <c r="I16477" s="24"/>
      <c r="J16477" s="24"/>
      <c r="K16477" s="24"/>
      <c r="L16477" s="24"/>
      <c r="M16477" s="24"/>
      <c r="N16477" s="24"/>
      <c r="O16477" s="24"/>
      <c r="P16477" s="24"/>
      <c r="Q16477" s="24"/>
      <c r="R16477" s="24"/>
      <c r="S16477" s="24"/>
      <c r="T16477" s="24"/>
      <c r="U16477" s="24"/>
      <c r="V16477" s="24"/>
      <c r="W16477" s="24"/>
      <c r="X16477" s="24"/>
      <c r="Y16477" s="24"/>
      <c r="Z16477" s="24"/>
      <c r="AA16477" s="24"/>
    </row>
    <row r="16478">
      <c r="A16478" s="24"/>
      <c r="B16478" s="25"/>
      <c r="C16478" s="24"/>
      <c r="D16478" s="26"/>
      <c r="E16478" s="24"/>
      <c r="F16478" s="24"/>
      <c r="G16478" s="24"/>
      <c r="H16478" s="24"/>
      <c r="I16478" s="24"/>
      <c r="J16478" s="24"/>
      <c r="K16478" s="24"/>
      <c r="L16478" s="24"/>
      <c r="M16478" s="24"/>
      <c r="N16478" s="24"/>
      <c r="O16478" s="24"/>
      <c r="P16478" s="24"/>
      <c r="Q16478" s="24"/>
      <c r="R16478" s="24"/>
      <c r="S16478" s="24"/>
      <c r="T16478" s="24"/>
      <c r="U16478" s="24"/>
      <c r="V16478" s="24"/>
      <c r="W16478" s="24"/>
      <c r="X16478" s="24"/>
      <c r="Y16478" s="24"/>
      <c r="Z16478" s="24"/>
      <c r="AA16478" s="24"/>
    </row>
    <row r="16479">
      <c r="A16479" s="24"/>
      <c r="B16479" s="25"/>
      <c r="C16479" s="24"/>
      <c r="D16479" s="26"/>
      <c r="E16479" s="24"/>
      <c r="F16479" s="24"/>
      <c r="G16479" s="24"/>
      <c r="H16479" s="24"/>
      <c r="I16479" s="24"/>
      <c r="J16479" s="24"/>
      <c r="K16479" s="24"/>
      <c r="L16479" s="24"/>
      <c r="M16479" s="24"/>
      <c r="N16479" s="24"/>
      <c r="O16479" s="24"/>
      <c r="P16479" s="24"/>
      <c r="Q16479" s="24"/>
      <c r="R16479" s="24"/>
      <c r="S16479" s="24"/>
      <c r="T16479" s="24"/>
      <c r="U16479" s="24"/>
      <c r="V16479" s="24"/>
      <c r="W16479" s="24"/>
      <c r="X16479" s="24"/>
      <c r="Y16479" s="24"/>
      <c r="Z16479" s="24"/>
      <c r="AA16479" s="24"/>
    </row>
    <row r="16480">
      <c r="A16480" s="24"/>
      <c r="B16480" s="25"/>
      <c r="C16480" s="24"/>
      <c r="D16480" s="26"/>
      <c r="E16480" s="24"/>
      <c r="F16480" s="24"/>
      <c r="G16480" s="24"/>
      <c r="H16480" s="24"/>
      <c r="I16480" s="24"/>
      <c r="J16480" s="24"/>
      <c r="K16480" s="24"/>
      <c r="L16480" s="24"/>
      <c r="M16480" s="24"/>
      <c r="N16480" s="24"/>
      <c r="O16480" s="24"/>
      <c r="P16480" s="24"/>
      <c r="Q16480" s="24"/>
      <c r="R16480" s="24"/>
      <c r="S16480" s="24"/>
      <c r="T16480" s="24"/>
      <c r="U16480" s="24"/>
      <c r="V16480" s="24"/>
      <c r="W16480" s="24"/>
      <c r="X16480" s="24"/>
      <c r="Y16480" s="24"/>
      <c r="Z16480" s="24"/>
      <c r="AA16480" s="24"/>
    </row>
    <row r="16481">
      <c r="A16481" s="24"/>
      <c r="B16481" s="25"/>
      <c r="C16481" s="24"/>
      <c r="D16481" s="26"/>
      <c r="E16481" s="24"/>
      <c r="F16481" s="24"/>
      <c r="G16481" s="24"/>
      <c r="H16481" s="24"/>
      <c r="I16481" s="24"/>
      <c r="J16481" s="24"/>
      <c r="K16481" s="24"/>
      <c r="L16481" s="24"/>
      <c r="M16481" s="24"/>
      <c r="N16481" s="24"/>
      <c r="O16481" s="24"/>
      <c r="P16481" s="24"/>
      <c r="Q16481" s="24"/>
      <c r="R16481" s="24"/>
      <c r="S16481" s="24"/>
      <c r="T16481" s="24"/>
      <c r="U16481" s="24"/>
      <c r="V16481" s="24"/>
      <c r="W16481" s="24"/>
      <c r="X16481" s="24"/>
      <c r="Y16481" s="24"/>
      <c r="Z16481" s="24"/>
      <c r="AA16481" s="24"/>
    </row>
    <row r="16482">
      <c r="A16482" s="24"/>
      <c r="B16482" s="25"/>
      <c r="C16482" s="24"/>
      <c r="D16482" s="26"/>
      <c r="E16482" s="24"/>
      <c r="F16482" s="24"/>
      <c r="G16482" s="24"/>
      <c r="H16482" s="24"/>
      <c r="I16482" s="24"/>
      <c r="J16482" s="24"/>
      <c r="K16482" s="24"/>
      <c r="L16482" s="24"/>
      <c r="M16482" s="24"/>
      <c r="N16482" s="24"/>
      <c r="O16482" s="24"/>
      <c r="P16482" s="24"/>
      <c r="Q16482" s="24"/>
      <c r="R16482" s="24"/>
      <c r="S16482" s="24"/>
      <c r="T16482" s="24"/>
      <c r="U16482" s="24"/>
      <c r="V16482" s="24"/>
      <c r="W16482" s="24"/>
      <c r="X16482" s="24"/>
      <c r="Y16482" s="24"/>
      <c r="Z16482" s="24"/>
      <c r="AA16482" s="24"/>
    </row>
    <row r="16483">
      <c r="A16483" s="24"/>
      <c r="B16483" s="25"/>
      <c r="C16483" s="24"/>
      <c r="D16483" s="26"/>
      <c r="E16483" s="24"/>
      <c r="F16483" s="24"/>
      <c r="G16483" s="24"/>
      <c r="H16483" s="24"/>
      <c r="I16483" s="24"/>
      <c r="J16483" s="24"/>
      <c r="K16483" s="24"/>
      <c r="L16483" s="24"/>
      <c r="M16483" s="24"/>
      <c r="N16483" s="24"/>
      <c r="O16483" s="24"/>
      <c r="P16483" s="24"/>
      <c r="Q16483" s="24"/>
      <c r="R16483" s="24"/>
      <c r="S16483" s="24"/>
      <c r="T16483" s="24"/>
      <c r="U16483" s="24"/>
      <c r="V16483" s="24"/>
      <c r="W16483" s="24"/>
      <c r="X16483" s="24"/>
      <c r="Y16483" s="24"/>
      <c r="Z16483" s="24"/>
      <c r="AA16483" s="24"/>
    </row>
    <row r="16484">
      <c r="A16484" s="24"/>
      <c r="B16484" s="25"/>
      <c r="C16484" s="24"/>
      <c r="D16484" s="26"/>
      <c r="E16484" s="24"/>
      <c r="F16484" s="24"/>
      <c r="G16484" s="24"/>
      <c r="H16484" s="24"/>
      <c r="I16484" s="24"/>
      <c r="J16484" s="24"/>
      <c r="K16484" s="24"/>
      <c r="L16484" s="24"/>
      <c r="M16484" s="24"/>
      <c r="N16484" s="24"/>
      <c r="O16484" s="24"/>
      <c r="P16484" s="24"/>
      <c r="Q16484" s="24"/>
      <c r="R16484" s="24"/>
      <c r="S16484" s="24"/>
      <c r="T16484" s="24"/>
      <c r="U16484" s="24"/>
      <c r="V16484" s="24"/>
      <c r="W16484" s="24"/>
      <c r="X16484" s="24"/>
      <c r="Y16484" s="24"/>
      <c r="Z16484" s="24"/>
      <c r="AA16484" s="24"/>
    </row>
    <row r="16485">
      <c r="A16485" s="24"/>
      <c r="B16485" s="25"/>
      <c r="C16485" s="24"/>
      <c r="D16485" s="26"/>
      <c r="E16485" s="24"/>
      <c r="F16485" s="24"/>
      <c r="G16485" s="24"/>
      <c r="H16485" s="24"/>
      <c r="I16485" s="24"/>
      <c r="J16485" s="24"/>
      <c r="K16485" s="24"/>
      <c r="L16485" s="24"/>
      <c r="M16485" s="24"/>
      <c r="N16485" s="24"/>
      <c r="O16485" s="24"/>
      <c r="P16485" s="24"/>
      <c r="Q16485" s="24"/>
      <c r="R16485" s="24"/>
      <c r="S16485" s="24"/>
      <c r="T16485" s="24"/>
      <c r="U16485" s="24"/>
      <c r="V16485" s="24"/>
      <c r="W16485" s="24"/>
      <c r="X16485" s="24"/>
      <c r="Y16485" s="24"/>
      <c r="Z16485" s="24"/>
      <c r="AA16485" s="24"/>
    </row>
    <row r="16486">
      <c r="A16486" s="24"/>
      <c r="B16486" s="25"/>
      <c r="C16486" s="24"/>
      <c r="D16486" s="26"/>
      <c r="E16486" s="24"/>
      <c r="F16486" s="24"/>
      <c r="G16486" s="24"/>
      <c r="H16486" s="24"/>
      <c r="I16486" s="24"/>
      <c r="J16486" s="24"/>
      <c r="K16486" s="24"/>
      <c r="L16486" s="24"/>
      <c r="M16486" s="24"/>
      <c r="N16486" s="24"/>
      <c r="O16486" s="24"/>
      <c r="P16486" s="24"/>
      <c r="Q16486" s="24"/>
      <c r="R16486" s="24"/>
      <c r="S16486" s="24"/>
      <c r="T16486" s="24"/>
      <c r="U16486" s="24"/>
      <c r="V16486" s="24"/>
      <c r="W16486" s="24"/>
      <c r="X16486" s="24"/>
      <c r="Y16486" s="24"/>
      <c r="Z16486" s="24"/>
      <c r="AA16486" s="24"/>
    </row>
    <row r="16487">
      <c r="A16487" s="24"/>
      <c r="B16487" s="25"/>
      <c r="C16487" s="24"/>
      <c r="D16487" s="26"/>
      <c r="E16487" s="24"/>
      <c r="F16487" s="24"/>
      <c r="G16487" s="24"/>
      <c r="H16487" s="24"/>
      <c r="I16487" s="24"/>
      <c r="J16487" s="24"/>
      <c r="K16487" s="24"/>
      <c r="L16487" s="24"/>
      <c r="M16487" s="24"/>
      <c r="N16487" s="24"/>
      <c r="O16487" s="24"/>
      <c r="P16487" s="24"/>
      <c r="Q16487" s="24"/>
      <c r="R16487" s="24"/>
      <c r="S16487" s="24"/>
      <c r="T16487" s="24"/>
      <c r="U16487" s="24"/>
      <c r="V16487" s="24"/>
      <c r="W16487" s="24"/>
      <c r="X16487" s="24"/>
      <c r="Y16487" s="24"/>
      <c r="Z16487" s="24"/>
      <c r="AA16487" s="24"/>
    </row>
    <row r="16488">
      <c r="A16488" s="24"/>
      <c r="B16488" s="25"/>
      <c r="C16488" s="24"/>
      <c r="D16488" s="26"/>
      <c r="E16488" s="24"/>
      <c r="F16488" s="24"/>
      <c r="G16488" s="24"/>
      <c r="H16488" s="24"/>
      <c r="I16488" s="24"/>
      <c r="J16488" s="24"/>
      <c r="K16488" s="24"/>
      <c r="L16488" s="24"/>
      <c r="M16488" s="24"/>
      <c r="N16488" s="24"/>
      <c r="O16488" s="24"/>
      <c r="P16488" s="24"/>
      <c r="Q16488" s="24"/>
      <c r="R16488" s="24"/>
      <c r="S16488" s="24"/>
      <c r="T16488" s="24"/>
      <c r="U16488" s="24"/>
      <c r="V16488" s="24"/>
      <c r="W16488" s="24"/>
      <c r="X16488" s="24"/>
      <c r="Y16488" s="24"/>
      <c r="Z16488" s="24"/>
      <c r="AA16488" s="24"/>
    </row>
    <row r="16489">
      <c r="A16489" s="24"/>
      <c r="B16489" s="25"/>
      <c r="C16489" s="24"/>
      <c r="D16489" s="26"/>
      <c r="E16489" s="24"/>
      <c r="F16489" s="24"/>
      <c r="G16489" s="24"/>
      <c r="H16489" s="24"/>
      <c r="I16489" s="24"/>
      <c r="J16489" s="24"/>
      <c r="K16489" s="24"/>
      <c r="L16489" s="24"/>
      <c r="M16489" s="24"/>
      <c r="N16489" s="24"/>
      <c r="O16489" s="24"/>
      <c r="P16489" s="24"/>
      <c r="Q16489" s="24"/>
      <c r="R16489" s="24"/>
      <c r="S16489" s="24"/>
      <c r="T16489" s="24"/>
      <c r="U16489" s="24"/>
      <c r="V16489" s="24"/>
      <c r="W16489" s="24"/>
      <c r="X16489" s="24"/>
      <c r="Y16489" s="24"/>
      <c r="Z16489" s="24"/>
      <c r="AA16489" s="24"/>
    </row>
    <row r="16490">
      <c r="A16490" s="24"/>
      <c r="B16490" s="25"/>
      <c r="C16490" s="24"/>
      <c r="D16490" s="26"/>
      <c r="E16490" s="24"/>
      <c r="F16490" s="24"/>
      <c r="G16490" s="24"/>
      <c r="H16490" s="24"/>
      <c r="I16490" s="24"/>
      <c r="J16490" s="24"/>
      <c r="K16490" s="24"/>
      <c r="L16490" s="24"/>
      <c r="M16490" s="24"/>
      <c r="N16490" s="24"/>
      <c r="O16490" s="24"/>
      <c r="P16490" s="24"/>
      <c r="Q16490" s="24"/>
      <c r="R16490" s="24"/>
      <c r="S16490" s="24"/>
      <c r="T16490" s="24"/>
      <c r="U16490" s="24"/>
      <c r="V16490" s="24"/>
      <c r="W16490" s="24"/>
      <c r="X16490" s="24"/>
      <c r="Y16490" s="24"/>
      <c r="Z16490" s="24"/>
      <c r="AA16490" s="24"/>
    </row>
    <row r="16491">
      <c r="A16491" s="24"/>
      <c r="B16491" s="25"/>
      <c r="C16491" s="24"/>
      <c r="D16491" s="26"/>
      <c r="E16491" s="24"/>
      <c r="F16491" s="24"/>
      <c r="G16491" s="24"/>
      <c r="H16491" s="24"/>
      <c r="I16491" s="24"/>
      <c r="J16491" s="24"/>
      <c r="K16491" s="24"/>
      <c r="L16491" s="24"/>
      <c r="M16491" s="24"/>
      <c r="N16491" s="24"/>
      <c r="O16491" s="24"/>
      <c r="P16491" s="24"/>
      <c r="Q16491" s="24"/>
      <c r="R16491" s="24"/>
      <c r="S16491" s="24"/>
      <c r="T16491" s="24"/>
      <c r="U16491" s="24"/>
      <c r="V16491" s="24"/>
      <c r="W16491" s="24"/>
      <c r="X16491" s="24"/>
      <c r="Y16491" s="24"/>
      <c r="Z16491" s="24"/>
      <c r="AA16491" s="24"/>
    </row>
    <row r="16492">
      <c r="A16492" s="24"/>
      <c r="B16492" s="25"/>
      <c r="C16492" s="24"/>
      <c r="D16492" s="26"/>
      <c r="E16492" s="24"/>
      <c r="F16492" s="24"/>
      <c r="G16492" s="24"/>
      <c r="H16492" s="24"/>
      <c r="I16492" s="24"/>
      <c r="J16492" s="24"/>
      <c r="K16492" s="24"/>
      <c r="L16492" s="24"/>
      <c r="M16492" s="24"/>
      <c r="N16492" s="24"/>
      <c r="O16492" s="24"/>
      <c r="P16492" s="24"/>
      <c r="Q16492" s="24"/>
      <c r="R16492" s="24"/>
      <c r="S16492" s="24"/>
      <c r="T16492" s="24"/>
      <c r="U16492" s="24"/>
      <c r="V16492" s="24"/>
      <c r="W16492" s="24"/>
      <c r="X16492" s="24"/>
      <c r="Y16492" s="24"/>
      <c r="Z16492" s="24"/>
      <c r="AA16492" s="24"/>
    </row>
    <row r="16493">
      <c r="A16493" s="24"/>
      <c r="B16493" s="25"/>
      <c r="C16493" s="24"/>
      <c r="D16493" s="26"/>
      <c r="E16493" s="24"/>
      <c r="F16493" s="24"/>
      <c r="G16493" s="24"/>
      <c r="H16493" s="24"/>
      <c r="I16493" s="24"/>
      <c r="J16493" s="24"/>
      <c r="K16493" s="24"/>
      <c r="L16493" s="24"/>
      <c r="M16493" s="24"/>
      <c r="N16493" s="24"/>
      <c r="O16493" s="24"/>
      <c r="P16493" s="24"/>
      <c r="Q16493" s="24"/>
      <c r="R16493" s="24"/>
      <c r="S16493" s="24"/>
      <c r="T16493" s="24"/>
      <c r="U16493" s="24"/>
      <c r="V16493" s="24"/>
      <c r="W16493" s="24"/>
      <c r="X16493" s="24"/>
      <c r="Y16493" s="24"/>
      <c r="Z16493" s="24"/>
      <c r="AA16493" s="24"/>
    </row>
    <row r="16494">
      <c r="A16494" s="24"/>
      <c r="B16494" s="25"/>
      <c r="C16494" s="24"/>
      <c r="D16494" s="26"/>
      <c r="E16494" s="24"/>
      <c r="F16494" s="24"/>
      <c r="G16494" s="24"/>
      <c r="H16494" s="24"/>
      <c r="I16494" s="24"/>
      <c r="J16494" s="24"/>
      <c r="K16494" s="24"/>
      <c r="L16494" s="24"/>
      <c r="M16494" s="24"/>
      <c r="N16494" s="24"/>
      <c r="O16494" s="24"/>
      <c r="P16494" s="24"/>
      <c r="Q16494" s="24"/>
      <c r="R16494" s="24"/>
      <c r="S16494" s="24"/>
      <c r="T16494" s="24"/>
      <c r="U16494" s="24"/>
      <c r="V16494" s="24"/>
      <c r="W16494" s="24"/>
      <c r="X16494" s="24"/>
      <c r="Y16494" s="24"/>
      <c r="Z16494" s="24"/>
      <c r="AA16494" s="24"/>
    </row>
    <row r="16495">
      <c r="A16495" s="24"/>
      <c r="B16495" s="25"/>
      <c r="C16495" s="24"/>
      <c r="D16495" s="26"/>
      <c r="E16495" s="24"/>
      <c r="F16495" s="24"/>
      <c r="G16495" s="24"/>
      <c r="H16495" s="24"/>
      <c r="I16495" s="24"/>
      <c r="J16495" s="24"/>
      <c r="K16495" s="24"/>
      <c r="L16495" s="24"/>
      <c r="M16495" s="24"/>
      <c r="N16495" s="24"/>
      <c r="O16495" s="24"/>
      <c r="P16495" s="24"/>
      <c r="Q16495" s="24"/>
      <c r="R16495" s="24"/>
      <c r="S16495" s="24"/>
      <c r="T16495" s="24"/>
      <c r="U16495" s="24"/>
      <c r="V16495" s="24"/>
      <c r="W16495" s="24"/>
      <c r="X16495" s="24"/>
      <c r="Y16495" s="24"/>
      <c r="Z16495" s="24"/>
      <c r="AA16495" s="24"/>
    </row>
    <row r="16496">
      <c r="A16496" s="24"/>
      <c r="B16496" s="25"/>
      <c r="C16496" s="24"/>
      <c r="D16496" s="26"/>
      <c r="E16496" s="24"/>
      <c r="F16496" s="24"/>
      <c r="G16496" s="24"/>
      <c r="H16496" s="24"/>
      <c r="I16496" s="24"/>
      <c r="J16496" s="24"/>
      <c r="K16496" s="24"/>
      <c r="L16496" s="24"/>
      <c r="M16496" s="24"/>
      <c r="N16496" s="24"/>
      <c r="O16496" s="24"/>
      <c r="P16496" s="24"/>
      <c r="Q16496" s="24"/>
      <c r="R16496" s="24"/>
      <c r="S16496" s="24"/>
      <c r="T16496" s="24"/>
      <c r="U16496" s="24"/>
      <c r="V16496" s="24"/>
      <c r="W16496" s="24"/>
      <c r="X16496" s="24"/>
      <c r="Y16496" s="24"/>
      <c r="Z16496" s="24"/>
      <c r="AA16496" s="24"/>
    </row>
    <row r="16497">
      <c r="A16497" s="24"/>
      <c r="B16497" s="25"/>
      <c r="C16497" s="24"/>
      <c r="D16497" s="26"/>
      <c r="E16497" s="24"/>
      <c r="F16497" s="24"/>
      <c r="G16497" s="24"/>
      <c r="H16497" s="24"/>
      <c r="I16497" s="24"/>
      <c r="J16497" s="24"/>
      <c r="K16497" s="24"/>
      <c r="L16497" s="24"/>
      <c r="M16497" s="24"/>
      <c r="N16497" s="24"/>
      <c r="O16497" s="24"/>
      <c r="P16497" s="24"/>
      <c r="Q16497" s="24"/>
      <c r="R16497" s="24"/>
      <c r="S16497" s="24"/>
      <c r="T16497" s="24"/>
      <c r="U16497" s="24"/>
      <c r="V16497" s="24"/>
      <c r="W16497" s="24"/>
      <c r="X16497" s="24"/>
      <c r="Y16497" s="24"/>
      <c r="Z16497" s="24"/>
      <c r="AA16497" s="24"/>
    </row>
    <row r="16498">
      <c r="A16498" s="24"/>
      <c r="B16498" s="25"/>
      <c r="C16498" s="24"/>
      <c r="D16498" s="26"/>
      <c r="E16498" s="24"/>
      <c r="F16498" s="24"/>
      <c r="G16498" s="24"/>
      <c r="H16498" s="24"/>
      <c r="I16498" s="24"/>
      <c r="J16498" s="24"/>
      <c r="K16498" s="24"/>
      <c r="L16498" s="24"/>
      <c r="M16498" s="24"/>
      <c r="N16498" s="24"/>
      <c r="O16498" s="24"/>
      <c r="P16498" s="24"/>
      <c r="Q16498" s="24"/>
      <c r="R16498" s="24"/>
      <c r="S16498" s="24"/>
      <c r="T16498" s="24"/>
      <c r="U16498" s="24"/>
      <c r="V16498" s="24"/>
      <c r="W16498" s="24"/>
      <c r="X16498" s="24"/>
      <c r="Y16498" s="24"/>
      <c r="Z16498" s="24"/>
      <c r="AA16498" s="24"/>
    </row>
    <row r="16499">
      <c r="A16499" s="24"/>
      <c r="B16499" s="25"/>
      <c r="C16499" s="24"/>
      <c r="D16499" s="26"/>
      <c r="E16499" s="24"/>
      <c r="F16499" s="24"/>
      <c r="G16499" s="24"/>
      <c r="H16499" s="24"/>
      <c r="I16499" s="24"/>
      <c r="J16499" s="24"/>
      <c r="K16499" s="24"/>
      <c r="L16499" s="24"/>
      <c r="M16499" s="24"/>
      <c r="N16499" s="24"/>
      <c r="O16499" s="24"/>
      <c r="P16499" s="24"/>
      <c r="Q16499" s="24"/>
      <c r="R16499" s="24"/>
      <c r="S16499" s="24"/>
      <c r="T16499" s="24"/>
      <c r="U16499" s="24"/>
      <c r="V16499" s="24"/>
      <c r="W16499" s="24"/>
      <c r="X16499" s="24"/>
      <c r="Y16499" s="24"/>
      <c r="Z16499" s="24"/>
      <c r="AA16499" s="24"/>
    </row>
    <row r="16500">
      <c r="A16500" s="24"/>
      <c r="B16500" s="25"/>
      <c r="C16500" s="24"/>
      <c r="D16500" s="26"/>
      <c r="E16500" s="24"/>
      <c r="F16500" s="24"/>
      <c r="G16500" s="24"/>
      <c r="H16500" s="24"/>
      <c r="I16500" s="24"/>
      <c r="J16500" s="24"/>
      <c r="K16500" s="24"/>
      <c r="L16500" s="24"/>
      <c r="M16500" s="24"/>
      <c r="N16500" s="24"/>
      <c r="O16500" s="24"/>
      <c r="P16500" s="24"/>
      <c r="Q16500" s="24"/>
      <c r="R16500" s="24"/>
      <c r="S16500" s="24"/>
      <c r="T16500" s="24"/>
      <c r="U16500" s="24"/>
      <c r="V16500" s="24"/>
      <c r="W16500" s="24"/>
      <c r="X16500" s="24"/>
      <c r="Y16500" s="24"/>
      <c r="Z16500" s="24"/>
      <c r="AA16500" s="24"/>
    </row>
    <row r="16501">
      <c r="A16501" s="24"/>
      <c r="B16501" s="25"/>
      <c r="C16501" s="24"/>
      <c r="D16501" s="26"/>
      <c r="E16501" s="24"/>
      <c r="F16501" s="24"/>
      <c r="G16501" s="24"/>
      <c r="H16501" s="24"/>
      <c r="I16501" s="24"/>
      <c r="J16501" s="24"/>
      <c r="K16501" s="24"/>
      <c r="L16501" s="24"/>
      <c r="M16501" s="24"/>
      <c r="N16501" s="24"/>
      <c r="O16501" s="24"/>
      <c r="P16501" s="24"/>
      <c r="Q16501" s="24"/>
      <c r="R16501" s="24"/>
      <c r="S16501" s="24"/>
      <c r="T16501" s="24"/>
      <c r="U16501" s="24"/>
      <c r="V16501" s="24"/>
      <c r="W16501" s="24"/>
      <c r="X16501" s="24"/>
      <c r="Y16501" s="24"/>
      <c r="Z16501" s="24"/>
      <c r="AA16501" s="24"/>
    </row>
    <row r="16502">
      <c r="A16502" s="24"/>
      <c r="B16502" s="25"/>
      <c r="C16502" s="24"/>
      <c r="D16502" s="26"/>
      <c r="E16502" s="24"/>
      <c r="F16502" s="24"/>
      <c r="G16502" s="24"/>
      <c r="H16502" s="24"/>
      <c r="I16502" s="24"/>
      <c r="J16502" s="24"/>
      <c r="K16502" s="24"/>
      <c r="L16502" s="24"/>
      <c r="M16502" s="24"/>
      <c r="N16502" s="24"/>
      <c r="O16502" s="24"/>
      <c r="P16502" s="24"/>
      <c r="Q16502" s="24"/>
      <c r="R16502" s="24"/>
      <c r="S16502" s="24"/>
      <c r="T16502" s="24"/>
      <c r="U16502" s="24"/>
      <c r="V16502" s="24"/>
      <c r="W16502" s="24"/>
      <c r="X16502" s="24"/>
      <c r="Y16502" s="24"/>
      <c r="Z16502" s="24"/>
      <c r="AA16502" s="24"/>
    </row>
    <row r="16503">
      <c r="A16503" s="24"/>
      <c r="B16503" s="25"/>
      <c r="C16503" s="24"/>
      <c r="D16503" s="26"/>
      <c r="E16503" s="24"/>
      <c r="F16503" s="24"/>
      <c r="G16503" s="24"/>
      <c r="H16503" s="24"/>
      <c r="I16503" s="24"/>
      <c r="J16503" s="24"/>
      <c r="K16503" s="24"/>
      <c r="L16503" s="24"/>
      <c r="M16503" s="24"/>
      <c r="N16503" s="24"/>
      <c r="O16503" s="24"/>
      <c r="P16503" s="24"/>
      <c r="Q16503" s="24"/>
      <c r="R16503" s="24"/>
      <c r="S16503" s="24"/>
      <c r="T16503" s="24"/>
      <c r="U16503" s="24"/>
      <c r="V16503" s="24"/>
      <c r="W16503" s="24"/>
      <c r="X16503" s="24"/>
      <c r="Y16503" s="24"/>
      <c r="Z16503" s="24"/>
      <c r="AA16503" s="24"/>
    </row>
    <row r="16504">
      <c r="A16504" s="24"/>
      <c r="B16504" s="25"/>
      <c r="C16504" s="24"/>
      <c r="D16504" s="26"/>
      <c r="E16504" s="24"/>
      <c r="F16504" s="24"/>
      <c r="G16504" s="24"/>
      <c r="H16504" s="24"/>
      <c r="I16504" s="24"/>
      <c r="J16504" s="24"/>
      <c r="K16504" s="24"/>
      <c r="L16504" s="24"/>
      <c r="M16504" s="24"/>
      <c r="N16504" s="24"/>
      <c r="O16504" s="24"/>
      <c r="P16504" s="24"/>
      <c r="Q16504" s="24"/>
      <c r="R16504" s="24"/>
      <c r="S16504" s="24"/>
      <c r="T16504" s="24"/>
      <c r="U16504" s="24"/>
      <c r="V16504" s="24"/>
      <c r="W16504" s="24"/>
      <c r="X16504" s="24"/>
      <c r="Y16504" s="24"/>
      <c r="Z16504" s="24"/>
      <c r="AA16504" s="24"/>
    </row>
    <row r="16505">
      <c r="A16505" s="24"/>
      <c r="B16505" s="25"/>
      <c r="C16505" s="24"/>
      <c r="D16505" s="26"/>
      <c r="E16505" s="24"/>
      <c r="F16505" s="24"/>
      <c r="G16505" s="24"/>
      <c r="H16505" s="24"/>
      <c r="I16505" s="24"/>
      <c r="J16505" s="24"/>
      <c r="K16505" s="24"/>
      <c r="L16505" s="24"/>
      <c r="M16505" s="24"/>
      <c r="N16505" s="24"/>
      <c r="O16505" s="24"/>
      <c r="P16505" s="24"/>
      <c r="Q16505" s="24"/>
      <c r="R16505" s="24"/>
      <c r="S16505" s="24"/>
      <c r="T16505" s="24"/>
      <c r="U16505" s="24"/>
      <c r="V16505" s="24"/>
      <c r="W16505" s="24"/>
      <c r="X16505" s="24"/>
      <c r="Y16505" s="24"/>
      <c r="Z16505" s="24"/>
      <c r="AA16505" s="24"/>
    </row>
    <row r="16506">
      <c r="A16506" s="24"/>
      <c r="B16506" s="25"/>
      <c r="C16506" s="24"/>
      <c r="D16506" s="26"/>
      <c r="E16506" s="24"/>
      <c r="F16506" s="24"/>
      <c r="G16506" s="24"/>
      <c r="H16506" s="24"/>
      <c r="I16506" s="24"/>
      <c r="J16506" s="24"/>
      <c r="K16506" s="24"/>
      <c r="L16506" s="24"/>
      <c r="M16506" s="24"/>
      <c r="N16506" s="24"/>
      <c r="O16506" s="24"/>
      <c r="P16506" s="24"/>
      <c r="Q16506" s="24"/>
      <c r="R16506" s="24"/>
      <c r="S16506" s="24"/>
      <c r="T16506" s="24"/>
      <c r="U16506" s="24"/>
      <c r="V16506" s="24"/>
      <c r="W16506" s="24"/>
      <c r="X16506" s="24"/>
      <c r="Y16506" s="24"/>
      <c r="Z16506" s="24"/>
      <c r="AA16506" s="24"/>
    </row>
    <row r="16507">
      <c r="A16507" s="24"/>
      <c r="B16507" s="25"/>
      <c r="C16507" s="24"/>
      <c r="D16507" s="26"/>
      <c r="E16507" s="24"/>
      <c r="F16507" s="24"/>
      <c r="G16507" s="24"/>
      <c r="H16507" s="24"/>
      <c r="I16507" s="24"/>
      <c r="J16507" s="24"/>
      <c r="K16507" s="24"/>
      <c r="L16507" s="24"/>
      <c r="M16507" s="24"/>
      <c r="N16507" s="24"/>
      <c r="O16507" s="24"/>
      <c r="P16507" s="24"/>
      <c r="Q16507" s="24"/>
      <c r="R16507" s="24"/>
      <c r="S16507" s="24"/>
      <c r="T16507" s="24"/>
      <c r="U16507" s="24"/>
      <c r="V16507" s="24"/>
      <c r="W16507" s="24"/>
      <c r="X16507" s="24"/>
      <c r="Y16507" s="24"/>
      <c r="Z16507" s="24"/>
      <c r="AA16507" s="24"/>
    </row>
    <row r="16508">
      <c r="A16508" s="24"/>
      <c r="B16508" s="25"/>
      <c r="C16508" s="24"/>
      <c r="D16508" s="26"/>
      <c r="E16508" s="24"/>
      <c r="F16508" s="24"/>
      <c r="G16508" s="24"/>
      <c r="H16508" s="24"/>
      <c r="I16508" s="24"/>
      <c r="J16508" s="24"/>
      <c r="K16508" s="24"/>
      <c r="L16508" s="24"/>
      <c r="M16508" s="24"/>
      <c r="N16508" s="24"/>
      <c r="O16508" s="24"/>
      <c r="P16508" s="24"/>
      <c r="Q16508" s="24"/>
      <c r="R16508" s="24"/>
      <c r="S16508" s="24"/>
      <c r="T16508" s="24"/>
      <c r="U16508" s="24"/>
      <c r="V16508" s="24"/>
      <c r="W16508" s="24"/>
      <c r="X16508" s="24"/>
      <c r="Y16508" s="24"/>
      <c r="Z16508" s="24"/>
      <c r="AA16508" s="24"/>
    </row>
    <row r="16509">
      <c r="A16509" s="24"/>
      <c r="B16509" s="25"/>
      <c r="C16509" s="24"/>
      <c r="D16509" s="26"/>
      <c r="E16509" s="24"/>
      <c r="F16509" s="24"/>
      <c r="G16509" s="24"/>
      <c r="H16509" s="24"/>
      <c r="I16509" s="24"/>
      <c r="J16509" s="24"/>
      <c r="K16509" s="24"/>
      <c r="L16509" s="24"/>
      <c r="M16509" s="24"/>
      <c r="N16509" s="24"/>
      <c r="O16509" s="24"/>
      <c r="P16509" s="24"/>
      <c r="Q16509" s="24"/>
      <c r="R16509" s="24"/>
      <c r="S16509" s="24"/>
      <c r="T16509" s="24"/>
      <c r="U16509" s="24"/>
      <c r="V16509" s="24"/>
      <c r="W16509" s="24"/>
      <c r="X16509" s="24"/>
      <c r="Y16509" s="24"/>
      <c r="Z16509" s="24"/>
      <c r="AA16509" s="24"/>
    </row>
    <row r="16510">
      <c r="A16510" s="24"/>
      <c r="B16510" s="25"/>
      <c r="C16510" s="24"/>
      <c r="D16510" s="26"/>
      <c r="E16510" s="24"/>
      <c r="F16510" s="24"/>
      <c r="G16510" s="24"/>
      <c r="H16510" s="24"/>
      <c r="I16510" s="24"/>
      <c r="J16510" s="24"/>
      <c r="K16510" s="24"/>
      <c r="L16510" s="24"/>
      <c r="M16510" s="24"/>
      <c r="N16510" s="24"/>
      <c r="O16510" s="24"/>
      <c r="P16510" s="24"/>
      <c r="Q16510" s="24"/>
      <c r="R16510" s="24"/>
      <c r="S16510" s="24"/>
      <c r="T16510" s="24"/>
      <c r="U16510" s="24"/>
      <c r="V16510" s="24"/>
      <c r="W16510" s="24"/>
      <c r="X16510" s="24"/>
      <c r="Y16510" s="24"/>
      <c r="Z16510" s="24"/>
      <c r="AA16510" s="24"/>
    </row>
    <row r="16511">
      <c r="A16511" s="24"/>
      <c r="B16511" s="25"/>
      <c r="C16511" s="24"/>
      <c r="D16511" s="26"/>
      <c r="E16511" s="24"/>
      <c r="F16511" s="24"/>
      <c r="G16511" s="24"/>
      <c r="H16511" s="24"/>
      <c r="I16511" s="24"/>
      <c r="J16511" s="24"/>
      <c r="K16511" s="24"/>
      <c r="L16511" s="24"/>
      <c r="M16511" s="24"/>
      <c r="N16511" s="24"/>
      <c r="O16511" s="24"/>
      <c r="P16511" s="24"/>
      <c r="Q16511" s="24"/>
      <c r="R16511" s="24"/>
      <c r="S16511" s="24"/>
      <c r="T16511" s="24"/>
      <c r="U16511" s="24"/>
      <c r="V16511" s="24"/>
      <c r="W16511" s="24"/>
      <c r="X16511" s="24"/>
      <c r="Y16511" s="24"/>
      <c r="Z16511" s="24"/>
      <c r="AA16511" s="24"/>
    </row>
    <row r="16512">
      <c r="A16512" s="24"/>
      <c r="B16512" s="25"/>
      <c r="C16512" s="24"/>
      <c r="D16512" s="26"/>
      <c r="E16512" s="24"/>
      <c r="F16512" s="24"/>
      <c r="G16512" s="24"/>
      <c r="H16512" s="24"/>
      <c r="I16512" s="24"/>
      <c r="J16512" s="24"/>
      <c r="K16512" s="24"/>
      <c r="L16512" s="24"/>
      <c r="M16512" s="24"/>
      <c r="N16512" s="24"/>
      <c r="O16512" s="24"/>
      <c r="P16512" s="24"/>
      <c r="Q16512" s="24"/>
      <c r="R16512" s="24"/>
      <c r="S16512" s="24"/>
      <c r="T16512" s="24"/>
      <c r="U16512" s="24"/>
      <c r="V16512" s="24"/>
      <c r="W16512" s="24"/>
      <c r="X16512" s="24"/>
      <c r="Y16512" s="24"/>
      <c r="Z16512" s="24"/>
      <c r="AA16512" s="24"/>
    </row>
    <row r="16513">
      <c r="A16513" s="24"/>
      <c r="B16513" s="25"/>
      <c r="C16513" s="24"/>
      <c r="D16513" s="26"/>
      <c r="E16513" s="24"/>
      <c r="F16513" s="24"/>
      <c r="G16513" s="24"/>
      <c r="H16513" s="24"/>
      <c r="I16513" s="24"/>
      <c r="J16513" s="24"/>
      <c r="K16513" s="24"/>
      <c r="L16513" s="24"/>
      <c r="M16513" s="24"/>
      <c r="N16513" s="24"/>
      <c r="O16513" s="24"/>
      <c r="P16513" s="24"/>
      <c r="Q16513" s="24"/>
      <c r="R16513" s="24"/>
      <c r="S16513" s="24"/>
      <c r="T16513" s="24"/>
      <c r="U16513" s="24"/>
      <c r="V16513" s="24"/>
      <c r="W16513" s="24"/>
      <c r="X16513" s="24"/>
      <c r="Y16513" s="24"/>
      <c r="Z16513" s="24"/>
      <c r="AA16513" s="24"/>
    </row>
    <row r="16514">
      <c r="A16514" s="24"/>
      <c r="B16514" s="25"/>
      <c r="C16514" s="24"/>
      <c r="D16514" s="26"/>
      <c r="E16514" s="24"/>
      <c r="F16514" s="24"/>
      <c r="G16514" s="24"/>
      <c r="H16514" s="24"/>
      <c r="I16514" s="24"/>
      <c r="J16514" s="24"/>
      <c r="K16514" s="24"/>
      <c r="L16514" s="24"/>
      <c r="M16514" s="24"/>
      <c r="N16514" s="24"/>
      <c r="O16514" s="24"/>
      <c r="P16514" s="24"/>
      <c r="Q16514" s="24"/>
      <c r="R16514" s="24"/>
      <c r="S16514" s="24"/>
      <c r="T16514" s="24"/>
      <c r="U16514" s="24"/>
      <c r="V16514" s="24"/>
      <c r="W16514" s="24"/>
      <c r="X16514" s="24"/>
      <c r="Y16514" s="24"/>
      <c r="Z16514" s="24"/>
      <c r="AA16514" s="24"/>
    </row>
    <row r="16515">
      <c r="A16515" s="24"/>
      <c r="B16515" s="25"/>
      <c r="C16515" s="24"/>
      <c r="D16515" s="26"/>
      <c r="E16515" s="24"/>
      <c r="F16515" s="24"/>
      <c r="G16515" s="24"/>
      <c r="H16515" s="24"/>
      <c r="I16515" s="24"/>
      <c r="J16515" s="24"/>
      <c r="K16515" s="24"/>
      <c r="L16515" s="24"/>
      <c r="M16515" s="24"/>
      <c r="N16515" s="24"/>
      <c r="O16515" s="24"/>
      <c r="P16515" s="24"/>
      <c r="Q16515" s="24"/>
      <c r="R16515" s="24"/>
      <c r="S16515" s="24"/>
      <c r="T16515" s="24"/>
      <c r="U16515" s="24"/>
      <c r="V16515" s="24"/>
      <c r="W16515" s="24"/>
      <c r="X16515" s="24"/>
      <c r="Y16515" s="24"/>
      <c r="Z16515" s="24"/>
      <c r="AA16515" s="24"/>
    </row>
    <row r="16516">
      <c r="A16516" s="24"/>
      <c r="B16516" s="25"/>
      <c r="C16516" s="24"/>
      <c r="D16516" s="26"/>
      <c r="E16516" s="24"/>
      <c r="F16516" s="24"/>
      <c r="G16516" s="24"/>
      <c r="H16516" s="24"/>
      <c r="I16516" s="24"/>
      <c r="J16516" s="24"/>
      <c r="K16516" s="24"/>
      <c r="L16516" s="24"/>
      <c r="M16516" s="24"/>
      <c r="N16516" s="24"/>
      <c r="O16516" s="24"/>
      <c r="P16516" s="24"/>
      <c r="Q16516" s="24"/>
      <c r="R16516" s="24"/>
      <c r="S16516" s="24"/>
      <c r="T16516" s="24"/>
      <c r="U16516" s="24"/>
      <c r="V16516" s="24"/>
      <c r="W16516" s="24"/>
      <c r="X16516" s="24"/>
      <c r="Y16516" s="24"/>
      <c r="Z16516" s="24"/>
      <c r="AA16516" s="24"/>
    </row>
    <row r="16517">
      <c r="A16517" s="24"/>
      <c r="B16517" s="25"/>
      <c r="C16517" s="24"/>
      <c r="D16517" s="26"/>
      <c r="E16517" s="24"/>
      <c r="F16517" s="24"/>
      <c r="G16517" s="24"/>
      <c r="H16517" s="24"/>
      <c r="I16517" s="24"/>
      <c r="J16517" s="24"/>
      <c r="K16517" s="24"/>
      <c r="L16517" s="24"/>
      <c r="M16517" s="24"/>
      <c r="N16517" s="24"/>
      <c r="O16517" s="24"/>
      <c r="P16517" s="24"/>
      <c r="Q16517" s="24"/>
      <c r="R16517" s="24"/>
      <c r="S16517" s="24"/>
      <c r="T16517" s="24"/>
      <c r="U16517" s="24"/>
      <c r="V16517" s="24"/>
      <c r="W16517" s="24"/>
      <c r="X16517" s="24"/>
      <c r="Y16517" s="24"/>
      <c r="Z16517" s="24"/>
      <c r="AA16517" s="24"/>
    </row>
    <row r="16518">
      <c r="A16518" s="24"/>
      <c r="B16518" s="25"/>
      <c r="C16518" s="24"/>
      <c r="D16518" s="26"/>
      <c r="E16518" s="24"/>
      <c r="F16518" s="24"/>
      <c r="G16518" s="24"/>
      <c r="H16518" s="24"/>
      <c r="I16518" s="24"/>
      <c r="J16518" s="24"/>
      <c r="K16518" s="24"/>
      <c r="L16518" s="24"/>
      <c r="M16518" s="24"/>
      <c r="N16518" s="24"/>
      <c r="O16518" s="24"/>
      <c r="P16518" s="24"/>
      <c r="Q16518" s="24"/>
      <c r="R16518" s="24"/>
      <c r="S16518" s="24"/>
      <c r="T16518" s="24"/>
      <c r="U16518" s="24"/>
      <c r="V16518" s="24"/>
      <c r="W16518" s="24"/>
      <c r="X16518" s="24"/>
      <c r="Y16518" s="24"/>
      <c r="Z16518" s="24"/>
      <c r="AA16518" s="24"/>
    </row>
    <row r="16519">
      <c r="A16519" s="24"/>
      <c r="B16519" s="25"/>
      <c r="C16519" s="24"/>
      <c r="D16519" s="26"/>
      <c r="E16519" s="24"/>
      <c r="F16519" s="24"/>
      <c r="G16519" s="24"/>
      <c r="H16519" s="24"/>
      <c r="I16519" s="24"/>
      <c r="J16519" s="24"/>
      <c r="K16519" s="24"/>
      <c r="L16519" s="24"/>
      <c r="M16519" s="24"/>
      <c r="N16519" s="24"/>
      <c r="O16519" s="24"/>
      <c r="P16519" s="24"/>
      <c r="Q16519" s="24"/>
      <c r="R16519" s="24"/>
      <c r="S16519" s="24"/>
      <c r="T16519" s="24"/>
      <c r="U16519" s="24"/>
      <c r="V16519" s="24"/>
      <c r="W16519" s="24"/>
      <c r="X16519" s="24"/>
      <c r="Y16519" s="24"/>
      <c r="Z16519" s="24"/>
      <c r="AA16519" s="24"/>
    </row>
    <row r="16520">
      <c r="A16520" s="24"/>
      <c r="B16520" s="25"/>
      <c r="C16520" s="24"/>
      <c r="D16520" s="26"/>
      <c r="E16520" s="24"/>
      <c r="F16520" s="24"/>
      <c r="G16520" s="24"/>
      <c r="H16520" s="24"/>
      <c r="I16520" s="24"/>
      <c r="J16520" s="24"/>
      <c r="K16520" s="24"/>
      <c r="L16520" s="24"/>
      <c r="M16520" s="24"/>
      <c r="N16520" s="24"/>
      <c r="O16520" s="24"/>
      <c r="P16520" s="24"/>
      <c r="Q16520" s="24"/>
      <c r="R16520" s="24"/>
      <c r="S16520" s="24"/>
      <c r="T16520" s="24"/>
      <c r="U16520" s="24"/>
      <c r="V16520" s="24"/>
      <c r="W16520" s="24"/>
      <c r="X16520" s="24"/>
      <c r="Y16520" s="24"/>
      <c r="Z16520" s="24"/>
      <c r="AA16520" s="24"/>
    </row>
    <row r="16521">
      <c r="A16521" s="24"/>
      <c r="B16521" s="25"/>
      <c r="C16521" s="24"/>
      <c r="D16521" s="26"/>
      <c r="E16521" s="24"/>
      <c r="F16521" s="24"/>
      <c r="G16521" s="24"/>
      <c r="H16521" s="24"/>
      <c r="I16521" s="24"/>
      <c r="J16521" s="24"/>
      <c r="K16521" s="24"/>
      <c r="L16521" s="24"/>
      <c r="M16521" s="24"/>
      <c r="N16521" s="24"/>
      <c r="O16521" s="24"/>
      <c r="P16521" s="24"/>
      <c r="Q16521" s="24"/>
      <c r="R16521" s="24"/>
      <c r="S16521" s="24"/>
      <c r="T16521" s="24"/>
      <c r="U16521" s="24"/>
      <c r="V16521" s="24"/>
      <c r="W16521" s="24"/>
      <c r="X16521" s="24"/>
      <c r="Y16521" s="24"/>
      <c r="Z16521" s="24"/>
      <c r="AA16521" s="24"/>
    </row>
    <row r="16522">
      <c r="A16522" s="24"/>
      <c r="B16522" s="25"/>
      <c r="C16522" s="24"/>
      <c r="D16522" s="26"/>
      <c r="E16522" s="24"/>
      <c r="F16522" s="24"/>
      <c r="G16522" s="24"/>
      <c r="H16522" s="24"/>
      <c r="I16522" s="24"/>
      <c r="J16522" s="24"/>
      <c r="K16522" s="24"/>
      <c r="L16522" s="24"/>
      <c r="M16522" s="24"/>
      <c r="N16522" s="24"/>
      <c r="O16522" s="24"/>
      <c r="P16522" s="24"/>
      <c r="Q16522" s="24"/>
      <c r="R16522" s="24"/>
      <c r="S16522" s="24"/>
      <c r="T16522" s="24"/>
      <c r="U16522" s="24"/>
      <c r="V16522" s="24"/>
      <c r="W16522" s="24"/>
      <c r="X16522" s="24"/>
      <c r="Y16522" s="24"/>
      <c r="Z16522" s="24"/>
      <c r="AA16522" s="24"/>
    </row>
    <row r="16523">
      <c r="A16523" s="24"/>
      <c r="B16523" s="25"/>
      <c r="C16523" s="24"/>
      <c r="D16523" s="26"/>
      <c r="E16523" s="24"/>
      <c r="F16523" s="24"/>
      <c r="G16523" s="24"/>
      <c r="H16523" s="24"/>
      <c r="I16523" s="24"/>
      <c r="J16523" s="24"/>
      <c r="K16523" s="24"/>
      <c r="L16523" s="24"/>
      <c r="M16523" s="24"/>
      <c r="N16523" s="24"/>
      <c r="O16523" s="24"/>
      <c r="P16523" s="24"/>
      <c r="Q16523" s="24"/>
      <c r="R16523" s="24"/>
      <c r="S16523" s="24"/>
      <c r="T16523" s="24"/>
      <c r="U16523" s="24"/>
      <c r="V16523" s="24"/>
      <c r="W16523" s="24"/>
      <c r="X16523" s="24"/>
      <c r="Y16523" s="24"/>
      <c r="Z16523" s="24"/>
      <c r="AA16523" s="24"/>
    </row>
    <row r="16524">
      <c r="A16524" s="24"/>
      <c r="B16524" s="25"/>
      <c r="C16524" s="24"/>
      <c r="D16524" s="26"/>
      <c r="E16524" s="24"/>
      <c r="F16524" s="24"/>
      <c r="G16524" s="24"/>
      <c r="H16524" s="24"/>
      <c r="I16524" s="24"/>
      <c r="J16524" s="24"/>
      <c r="K16524" s="24"/>
      <c r="L16524" s="24"/>
      <c r="M16524" s="24"/>
      <c r="N16524" s="24"/>
      <c r="O16524" s="24"/>
      <c r="P16524" s="24"/>
      <c r="Q16524" s="24"/>
      <c r="R16524" s="24"/>
      <c r="S16524" s="24"/>
      <c r="T16524" s="24"/>
      <c r="U16524" s="24"/>
      <c r="V16524" s="24"/>
      <c r="W16524" s="24"/>
      <c r="X16524" s="24"/>
      <c r="Y16524" s="24"/>
      <c r="Z16524" s="24"/>
      <c r="AA16524" s="24"/>
    </row>
    <row r="16525">
      <c r="A16525" s="24"/>
      <c r="B16525" s="25"/>
      <c r="C16525" s="24"/>
      <c r="D16525" s="26"/>
      <c r="E16525" s="24"/>
      <c r="F16525" s="24"/>
      <c r="G16525" s="24"/>
      <c r="H16525" s="24"/>
      <c r="I16525" s="24"/>
      <c r="J16525" s="24"/>
      <c r="K16525" s="24"/>
      <c r="L16525" s="24"/>
      <c r="M16525" s="24"/>
      <c r="N16525" s="24"/>
      <c r="O16525" s="24"/>
      <c r="P16525" s="24"/>
      <c r="Q16525" s="24"/>
      <c r="R16525" s="24"/>
      <c r="S16525" s="24"/>
      <c r="T16525" s="24"/>
      <c r="U16525" s="24"/>
      <c r="V16525" s="24"/>
      <c r="W16525" s="24"/>
      <c r="X16525" s="24"/>
      <c r="Y16525" s="24"/>
      <c r="Z16525" s="24"/>
      <c r="AA16525" s="24"/>
    </row>
    <row r="16526">
      <c r="A16526" s="24"/>
      <c r="B16526" s="25"/>
      <c r="C16526" s="24"/>
      <c r="D16526" s="26"/>
      <c r="E16526" s="24"/>
      <c r="F16526" s="24"/>
      <c r="G16526" s="24"/>
      <c r="H16526" s="24"/>
      <c r="I16526" s="24"/>
      <c r="J16526" s="24"/>
      <c r="K16526" s="24"/>
      <c r="L16526" s="24"/>
      <c r="M16526" s="24"/>
      <c r="N16526" s="24"/>
      <c r="O16526" s="24"/>
      <c r="P16526" s="24"/>
      <c r="Q16526" s="24"/>
      <c r="R16526" s="24"/>
      <c r="S16526" s="24"/>
      <c r="T16526" s="24"/>
      <c r="U16526" s="24"/>
      <c r="V16526" s="24"/>
      <c r="W16526" s="24"/>
      <c r="X16526" s="24"/>
      <c r="Y16526" s="24"/>
      <c r="Z16526" s="24"/>
      <c r="AA16526" s="24"/>
    </row>
    <row r="16527">
      <c r="A16527" s="24"/>
      <c r="B16527" s="25"/>
      <c r="C16527" s="24"/>
      <c r="D16527" s="26"/>
      <c r="E16527" s="24"/>
      <c r="F16527" s="24"/>
      <c r="G16527" s="24"/>
      <c r="H16527" s="24"/>
      <c r="I16527" s="24"/>
      <c r="J16527" s="24"/>
      <c r="K16527" s="24"/>
      <c r="L16527" s="24"/>
      <c r="M16527" s="24"/>
      <c r="N16527" s="24"/>
      <c r="O16527" s="24"/>
      <c r="P16527" s="24"/>
      <c r="Q16527" s="24"/>
      <c r="R16527" s="24"/>
      <c r="S16527" s="24"/>
      <c r="T16527" s="24"/>
      <c r="U16527" s="24"/>
      <c r="V16527" s="24"/>
      <c r="W16527" s="24"/>
      <c r="X16527" s="24"/>
      <c r="Y16527" s="24"/>
      <c r="Z16527" s="24"/>
      <c r="AA16527" s="24"/>
    </row>
    <row r="16528">
      <c r="A16528" s="24"/>
      <c r="B16528" s="25"/>
      <c r="C16528" s="24"/>
      <c r="D16528" s="26"/>
      <c r="E16528" s="24"/>
      <c r="F16528" s="24"/>
      <c r="G16528" s="24"/>
      <c r="H16528" s="24"/>
      <c r="I16528" s="24"/>
      <c r="J16528" s="24"/>
      <c r="K16528" s="24"/>
      <c r="L16528" s="24"/>
      <c r="M16528" s="24"/>
      <c r="N16528" s="24"/>
      <c r="O16528" s="24"/>
      <c r="P16528" s="24"/>
      <c r="Q16528" s="24"/>
      <c r="R16528" s="24"/>
      <c r="S16528" s="24"/>
      <c r="T16528" s="24"/>
      <c r="U16528" s="24"/>
      <c r="V16528" s="24"/>
      <c r="W16528" s="24"/>
      <c r="X16528" s="24"/>
      <c r="Y16528" s="24"/>
      <c r="Z16528" s="24"/>
      <c r="AA16528" s="24"/>
    </row>
    <row r="16529">
      <c r="A16529" s="24"/>
      <c r="B16529" s="25"/>
      <c r="C16529" s="24"/>
      <c r="D16529" s="26"/>
      <c r="E16529" s="24"/>
      <c r="F16529" s="24"/>
      <c r="G16529" s="24"/>
      <c r="H16529" s="24"/>
      <c r="I16529" s="24"/>
      <c r="J16529" s="24"/>
      <c r="K16529" s="24"/>
      <c r="L16529" s="24"/>
      <c r="M16529" s="24"/>
      <c r="N16529" s="24"/>
      <c r="O16529" s="24"/>
      <c r="P16529" s="24"/>
      <c r="Q16529" s="24"/>
      <c r="R16529" s="24"/>
      <c r="S16529" s="24"/>
      <c r="T16529" s="24"/>
      <c r="U16529" s="24"/>
      <c r="V16529" s="24"/>
      <c r="W16529" s="24"/>
      <c r="X16529" s="24"/>
      <c r="Y16529" s="24"/>
      <c r="Z16529" s="24"/>
      <c r="AA16529" s="24"/>
    </row>
    <row r="16530">
      <c r="A16530" s="24"/>
      <c r="B16530" s="25"/>
      <c r="C16530" s="24"/>
      <c r="D16530" s="26"/>
      <c r="E16530" s="24"/>
      <c r="F16530" s="24"/>
      <c r="G16530" s="24"/>
      <c r="H16530" s="24"/>
      <c r="I16530" s="24"/>
      <c r="J16530" s="24"/>
      <c r="K16530" s="24"/>
      <c r="L16530" s="24"/>
      <c r="M16530" s="24"/>
      <c r="N16530" s="24"/>
      <c r="O16530" s="24"/>
      <c r="P16530" s="24"/>
      <c r="Q16530" s="24"/>
      <c r="R16530" s="24"/>
      <c r="S16530" s="24"/>
      <c r="T16530" s="24"/>
      <c r="U16530" s="24"/>
      <c r="V16530" s="24"/>
      <c r="W16530" s="24"/>
      <c r="X16530" s="24"/>
      <c r="Y16530" s="24"/>
      <c r="Z16530" s="24"/>
      <c r="AA16530" s="24"/>
    </row>
    <row r="16531">
      <c r="A16531" s="24"/>
      <c r="B16531" s="25"/>
      <c r="C16531" s="24"/>
      <c r="D16531" s="26"/>
      <c r="E16531" s="24"/>
      <c r="F16531" s="24"/>
      <c r="G16531" s="24"/>
      <c r="H16531" s="24"/>
      <c r="I16531" s="24"/>
      <c r="J16531" s="24"/>
      <c r="K16531" s="24"/>
      <c r="L16531" s="24"/>
      <c r="M16531" s="24"/>
      <c r="N16531" s="24"/>
      <c r="O16531" s="24"/>
      <c r="P16531" s="24"/>
      <c r="Q16531" s="24"/>
      <c r="R16531" s="24"/>
      <c r="S16531" s="24"/>
      <c r="T16531" s="24"/>
      <c r="U16531" s="24"/>
      <c r="V16531" s="24"/>
      <c r="W16531" s="24"/>
      <c r="X16531" s="24"/>
      <c r="Y16531" s="24"/>
      <c r="Z16531" s="24"/>
      <c r="AA16531" s="24"/>
    </row>
    <row r="16532">
      <c r="A16532" s="24"/>
      <c r="B16532" s="25"/>
      <c r="C16532" s="24"/>
      <c r="D16532" s="26"/>
      <c r="E16532" s="24"/>
      <c r="F16532" s="24"/>
      <c r="G16532" s="24"/>
      <c r="H16532" s="24"/>
      <c r="I16532" s="24"/>
      <c r="J16532" s="24"/>
      <c r="K16532" s="24"/>
      <c r="L16532" s="24"/>
      <c r="M16532" s="24"/>
      <c r="N16532" s="24"/>
      <c r="O16532" s="24"/>
      <c r="P16532" s="24"/>
      <c r="Q16532" s="24"/>
      <c r="R16532" s="24"/>
      <c r="S16532" s="24"/>
      <c r="T16532" s="24"/>
      <c r="U16532" s="24"/>
      <c r="V16532" s="24"/>
      <c r="W16532" s="24"/>
      <c r="X16532" s="24"/>
      <c r="Y16532" s="24"/>
      <c r="Z16532" s="24"/>
      <c r="AA16532" s="24"/>
    </row>
    <row r="16533">
      <c r="A16533" s="24"/>
      <c r="B16533" s="25"/>
      <c r="C16533" s="24"/>
      <c r="D16533" s="26"/>
      <c r="E16533" s="24"/>
      <c r="F16533" s="24"/>
      <c r="G16533" s="24"/>
      <c r="H16533" s="24"/>
      <c r="I16533" s="24"/>
      <c r="J16533" s="24"/>
      <c r="K16533" s="24"/>
      <c r="L16533" s="24"/>
      <c r="M16533" s="24"/>
      <c r="N16533" s="24"/>
      <c r="O16533" s="24"/>
      <c r="P16533" s="24"/>
      <c r="Q16533" s="24"/>
      <c r="R16533" s="24"/>
      <c r="S16533" s="24"/>
      <c r="T16533" s="24"/>
      <c r="U16533" s="24"/>
      <c r="V16533" s="24"/>
      <c r="W16533" s="24"/>
      <c r="X16533" s="24"/>
      <c r="Y16533" s="24"/>
      <c r="Z16533" s="24"/>
      <c r="AA16533" s="24"/>
    </row>
    <row r="16534">
      <c r="A16534" s="24"/>
      <c r="B16534" s="25"/>
      <c r="C16534" s="24"/>
      <c r="D16534" s="26"/>
      <c r="E16534" s="24"/>
      <c r="F16534" s="24"/>
      <c r="G16534" s="24"/>
      <c r="H16534" s="24"/>
      <c r="I16534" s="24"/>
      <c r="J16534" s="24"/>
      <c r="K16534" s="24"/>
      <c r="L16534" s="24"/>
      <c r="M16534" s="24"/>
      <c r="N16534" s="24"/>
      <c r="O16534" s="24"/>
      <c r="P16534" s="24"/>
      <c r="Q16534" s="24"/>
      <c r="R16534" s="24"/>
      <c r="S16534" s="24"/>
      <c r="T16534" s="24"/>
      <c r="U16534" s="24"/>
      <c r="V16534" s="24"/>
      <c r="W16534" s="24"/>
      <c r="X16534" s="24"/>
      <c r="Y16534" s="24"/>
      <c r="Z16534" s="24"/>
      <c r="AA16534" s="24"/>
    </row>
    <row r="16535">
      <c r="A16535" s="24"/>
      <c r="B16535" s="25"/>
      <c r="C16535" s="24"/>
      <c r="D16535" s="26"/>
      <c r="E16535" s="24"/>
      <c r="F16535" s="24"/>
      <c r="G16535" s="24"/>
      <c r="H16535" s="24"/>
      <c r="I16535" s="24"/>
      <c r="J16535" s="24"/>
      <c r="K16535" s="24"/>
      <c r="L16535" s="24"/>
      <c r="M16535" s="24"/>
      <c r="N16535" s="24"/>
      <c r="O16535" s="24"/>
      <c r="P16535" s="24"/>
      <c r="Q16535" s="24"/>
      <c r="R16535" s="24"/>
      <c r="S16535" s="24"/>
      <c r="T16535" s="24"/>
      <c r="U16535" s="24"/>
      <c r="V16535" s="24"/>
      <c r="W16535" s="24"/>
      <c r="X16535" s="24"/>
      <c r="Y16535" s="24"/>
      <c r="Z16535" s="24"/>
      <c r="AA16535" s="24"/>
    </row>
    <row r="16536">
      <c r="A16536" s="24"/>
      <c r="B16536" s="25"/>
      <c r="C16536" s="24"/>
      <c r="D16536" s="26"/>
      <c r="E16536" s="24"/>
      <c r="F16536" s="24"/>
      <c r="G16536" s="24"/>
      <c r="H16536" s="24"/>
      <c r="I16536" s="24"/>
      <c r="J16536" s="24"/>
      <c r="K16536" s="24"/>
      <c r="L16536" s="24"/>
      <c r="M16536" s="24"/>
      <c r="N16536" s="24"/>
      <c r="O16536" s="24"/>
      <c r="P16536" s="24"/>
      <c r="Q16536" s="24"/>
      <c r="R16536" s="24"/>
      <c r="S16536" s="24"/>
      <c r="T16536" s="24"/>
      <c r="U16536" s="24"/>
      <c r="V16536" s="24"/>
      <c r="W16536" s="24"/>
      <c r="X16536" s="24"/>
      <c r="Y16536" s="24"/>
      <c r="Z16536" s="24"/>
      <c r="AA16536" s="24"/>
    </row>
    <row r="16537">
      <c r="A16537" s="24"/>
      <c r="B16537" s="25"/>
      <c r="C16537" s="24"/>
      <c r="D16537" s="26"/>
      <c r="E16537" s="24"/>
      <c r="F16537" s="24"/>
      <c r="G16537" s="24"/>
      <c r="H16537" s="24"/>
      <c r="I16537" s="24"/>
      <c r="J16537" s="24"/>
      <c r="K16537" s="24"/>
      <c r="L16537" s="24"/>
      <c r="M16537" s="24"/>
      <c r="N16537" s="24"/>
      <c r="O16537" s="24"/>
      <c r="P16537" s="24"/>
      <c r="Q16537" s="24"/>
      <c r="R16537" s="24"/>
      <c r="S16537" s="24"/>
      <c r="T16537" s="24"/>
      <c r="U16537" s="24"/>
      <c r="V16537" s="24"/>
      <c r="W16537" s="24"/>
      <c r="X16537" s="24"/>
      <c r="Y16537" s="24"/>
      <c r="Z16537" s="24"/>
      <c r="AA16537" s="24"/>
    </row>
    <row r="16538">
      <c r="A16538" s="24"/>
      <c r="B16538" s="25"/>
      <c r="C16538" s="24"/>
      <c r="D16538" s="26"/>
      <c r="E16538" s="24"/>
      <c r="F16538" s="24"/>
      <c r="G16538" s="24"/>
      <c r="H16538" s="24"/>
      <c r="I16538" s="24"/>
      <c r="J16538" s="24"/>
      <c r="K16538" s="24"/>
      <c r="L16538" s="24"/>
      <c r="M16538" s="24"/>
      <c r="N16538" s="24"/>
      <c r="O16538" s="24"/>
      <c r="P16538" s="24"/>
      <c r="Q16538" s="24"/>
      <c r="R16538" s="24"/>
      <c r="S16538" s="24"/>
      <c r="T16538" s="24"/>
      <c r="U16538" s="24"/>
      <c r="V16538" s="24"/>
      <c r="W16538" s="24"/>
      <c r="X16538" s="24"/>
      <c r="Y16538" s="24"/>
      <c r="Z16538" s="24"/>
      <c r="AA16538" s="24"/>
    </row>
    <row r="16539">
      <c r="A16539" s="24"/>
      <c r="B16539" s="25"/>
      <c r="C16539" s="24"/>
      <c r="D16539" s="26"/>
      <c r="E16539" s="24"/>
      <c r="F16539" s="24"/>
      <c r="G16539" s="24"/>
      <c r="H16539" s="24"/>
      <c r="I16539" s="24"/>
      <c r="J16539" s="24"/>
      <c r="K16539" s="24"/>
      <c r="L16539" s="24"/>
      <c r="M16539" s="24"/>
      <c r="N16539" s="24"/>
      <c r="O16539" s="24"/>
      <c r="P16539" s="24"/>
      <c r="Q16539" s="24"/>
      <c r="R16539" s="24"/>
      <c r="S16539" s="24"/>
      <c r="T16539" s="24"/>
      <c r="U16539" s="24"/>
      <c r="V16539" s="24"/>
      <c r="W16539" s="24"/>
      <c r="X16539" s="24"/>
      <c r="Y16539" s="24"/>
      <c r="Z16539" s="24"/>
      <c r="AA16539" s="24"/>
    </row>
    <row r="16540">
      <c r="A16540" s="24"/>
      <c r="B16540" s="25"/>
      <c r="C16540" s="24"/>
      <c r="D16540" s="26"/>
      <c r="E16540" s="24"/>
      <c r="F16540" s="24"/>
      <c r="G16540" s="24"/>
      <c r="H16540" s="24"/>
      <c r="I16540" s="24"/>
      <c r="J16540" s="24"/>
      <c r="K16540" s="24"/>
      <c r="L16540" s="24"/>
      <c r="M16540" s="24"/>
      <c r="N16540" s="24"/>
      <c r="O16540" s="24"/>
      <c r="P16540" s="24"/>
      <c r="Q16540" s="24"/>
      <c r="R16540" s="24"/>
      <c r="S16540" s="24"/>
      <c r="T16540" s="24"/>
      <c r="U16540" s="24"/>
      <c r="V16540" s="24"/>
      <c r="W16540" s="24"/>
      <c r="X16540" s="24"/>
      <c r="Y16540" s="24"/>
      <c r="Z16540" s="24"/>
      <c r="AA16540" s="24"/>
    </row>
    <row r="16541">
      <c r="A16541" s="24"/>
      <c r="B16541" s="25"/>
      <c r="C16541" s="24"/>
      <c r="D16541" s="26"/>
      <c r="E16541" s="24"/>
      <c r="F16541" s="24"/>
      <c r="G16541" s="24"/>
      <c r="H16541" s="24"/>
      <c r="I16541" s="24"/>
      <c r="J16541" s="24"/>
      <c r="K16541" s="24"/>
      <c r="L16541" s="24"/>
      <c r="M16541" s="24"/>
      <c r="N16541" s="24"/>
      <c r="O16541" s="24"/>
      <c r="P16541" s="24"/>
      <c r="Q16541" s="24"/>
      <c r="R16541" s="24"/>
      <c r="S16541" s="24"/>
      <c r="T16541" s="24"/>
      <c r="U16541" s="24"/>
      <c r="V16541" s="24"/>
      <c r="W16541" s="24"/>
      <c r="X16541" s="24"/>
      <c r="Y16541" s="24"/>
      <c r="Z16541" s="24"/>
      <c r="AA16541" s="24"/>
    </row>
    <row r="16542">
      <c r="A16542" s="24"/>
      <c r="B16542" s="25"/>
      <c r="C16542" s="24"/>
      <c r="D16542" s="26"/>
      <c r="E16542" s="24"/>
      <c r="F16542" s="24"/>
      <c r="G16542" s="24"/>
      <c r="H16542" s="24"/>
      <c r="I16542" s="24"/>
      <c r="J16542" s="24"/>
      <c r="K16542" s="24"/>
      <c r="L16542" s="24"/>
      <c r="M16542" s="24"/>
      <c r="N16542" s="24"/>
      <c r="O16542" s="24"/>
      <c r="P16542" s="24"/>
      <c r="Q16542" s="24"/>
      <c r="R16542" s="24"/>
      <c r="S16542" s="24"/>
      <c r="T16542" s="24"/>
      <c r="U16542" s="24"/>
      <c r="V16542" s="24"/>
      <c r="W16542" s="24"/>
      <c r="X16542" s="24"/>
      <c r="Y16542" s="24"/>
      <c r="Z16542" s="24"/>
      <c r="AA16542" s="24"/>
    </row>
    <row r="16543">
      <c r="A16543" s="24"/>
      <c r="B16543" s="25"/>
      <c r="C16543" s="24"/>
      <c r="D16543" s="26"/>
      <c r="E16543" s="24"/>
      <c r="F16543" s="24"/>
      <c r="G16543" s="24"/>
      <c r="H16543" s="24"/>
      <c r="I16543" s="24"/>
      <c r="J16543" s="24"/>
      <c r="K16543" s="24"/>
      <c r="L16543" s="24"/>
      <c r="M16543" s="24"/>
      <c r="N16543" s="24"/>
      <c r="O16543" s="24"/>
      <c r="P16543" s="24"/>
      <c r="Q16543" s="24"/>
      <c r="R16543" s="24"/>
      <c r="S16543" s="24"/>
      <c r="T16543" s="24"/>
      <c r="U16543" s="24"/>
      <c r="V16543" s="24"/>
      <c r="W16543" s="24"/>
      <c r="X16543" s="24"/>
      <c r="Y16543" s="24"/>
      <c r="Z16543" s="24"/>
      <c r="AA16543" s="24"/>
    </row>
    <row r="16544">
      <c r="A16544" s="24"/>
      <c r="B16544" s="25"/>
      <c r="C16544" s="24"/>
      <c r="D16544" s="26"/>
      <c r="E16544" s="24"/>
      <c r="F16544" s="24"/>
      <c r="G16544" s="24"/>
      <c r="H16544" s="24"/>
      <c r="I16544" s="24"/>
      <c r="J16544" s="24"/>
      <c r="K16544" s="24"/>
      <c r="L16544" s="24"/>
      <c r="M16544" s="24"/>
      <c r="N16544" s="24"/>
      <c r="O16544" s="24"/>
      <c r="P16544" s="24"/>
      <c r="Q16544" s="24"/>
      <c r="R16544" s="24"/>
      <c r="S16544" s="24"/>
      <c r="T16544" s="24"/>
      <c r="U16544" s="24"/>
      <c r="V16544" s="24"/>
      <c r="W16544" s="24"/>
      <c r="X16544" s="24"/>
      <c r="Y16544" s="24"/>
      <c r="Z16544" s="24"/>
      <c r="AA16544" s="24"/>
    </row>
    <row r="16545">
      <c r="A16545" s="24"/>
      <c r="B16545" s="25"/>
      <c r="C16545" s="24"/>
      <c r="D16545" s="26"/>
      <c r="E16545" s="24"/>
      <c r="F16545" s="24"/>
      <c r="G16545" s="24"/>
      <c r="H16545" s="24"/>
      <c r="I16545" s="24"/>
      <c r="J16545" s="24"/>
      <c r="K16545" s="24"/>
      <c r="L16545" s="24"/>
      <c r="M16545" s="24"/>
      <c r="N16545" s="24"/>
      <c r="O16545" s="24"/>
      <c r="P16545" s="24"/>
      <c r="Q16545" s="24"/>
      <c r="R16545" s="24"/>
      <c r="S16545" s="24"/>
      <c r="T16545" s="24"/>
      <c r="U16545" s="24"/>
      <c r="V16545" s="24"/>
      <c r="W16545" s="24"/>
      <c r="X16545" s="24"/>
      <c r="Y16545" s="24"/>
      <c r="Z16545" s="24"/>
      <c r="AA16545" s="24"/>
    </row>
    <row r="16546">
      <c r="A16546" s="24"/>
      <c r="B16546" s="25"/>
      <c r="C16546" s="24"/>
      <c r="D16546" s="26"/>
      <c r="E16546" s="24"/>
      <c r="F16546" s="24"/>
      <c r="G16546" s="24"/>
      <c r="H16546" s="24"/>
      <c r="I16546" s="24"/>
      <c r="J16546" s="24"/>
      <c r="K16546" s="24"/>
      <c r="L16546" s="24"/>
      <c r="M16546" s="24"/>
      <c r="N16546" s="24"/>
      <c r="O16546" s="24"/>
      <c r="P16546" s="24"/>
      <c r="Q16546" s="24"/>
      <c r="R16546" s="24"/>
      <c r="S16546" s="24"/>
      <c r="T16546" s="24"/>
      <c r="U16546" s="24"/>
      <c r="V16546" s="24"/>
      <c r="W16546" s="24"/>
      <c r="X16546" s="24"/>
      <c r="Y16546" s="24"/>
      <c r="Z16546" s="24"/>
      <c r="AA16546" s="24"/>
    </row>
    <row r="16547">
      <c r="A16547" s="24"/>
      <c r="B16547" s="25"/>
      <c r="C16547" s="24"/>
      <c r="D16547" s="26"/>
      <c r="E16547" s="24"/>
      <c r="F16547" s="24"/>
      <c r="G16547" s="24"/>
      <c r="H16547" s="24"/>
      <c r="I16547" s="24"/>
      <c r="J16547" s="24"/>
      <c r="K16547" s="24"/>
      <c r="L16547" s="24"/>
      <c r="M16547" s="24"/>
      <c r="N16547" s="24"/>
      <c r="O16547" s="24"/>
      <c r="P16547" s="24"/>
      <c r="Q16547" s="24"/>
      <c r="R16547" s="24"/>
      <c r="S16547" s="24"/>
      <c r="T16547" s="24"/>
      <c r="U16547" s="24"/>
      <c r="V16547" s="24"/>
      <c r="W16547" s="24"/>
      <c r="X16547" s="24"/>
      <c r="Y16547" s="24"/>
      <c r="Z16547" s="24"/>
      <c r="AA16547" s="24"/>
    </row>
    <row r="16548">
      <c r="A16548" s="24"/>
      <c r="B16548" s="25"/>
      <c r="C16548" s="24"/>
      <c r="D16548" s="26"/>
      <c r="E16548" s="24"/>
      <c r="F16548" s="24"/>
      <c r="G16548" s="24"/>
      <c r="H16548" s="24"/>
      <c r="I16548" s="24"/>
      <c r="J16548" s="24"/>
      <c r="K16548" s="24"/>
      <c r="L16548" s="24"/>
      <c r="M16548" s="24"/>
      <c r="N16548" s="24"/>
      <c r="O16548" s="24"/>
      <c r="P16548" s="24"/>
      <c r="Q16548" s="24"/>
      <c r="R16548" s="24"/>
      <c r="S16548" s="24"/>
      <c r="T16548" s="24"/>
      <c r="U16548" s="24"/>
      <c r="V16548" s="24"/>
      <c r="W16548" s="24"/>
      <c r="X16548" s="24"/>
      <c r="Y16548" s="24"/>
      <c r="Z16548" s="24"/>
      <c r="AA16548" s="24"/>
    </row>
    <row r="16549">
      <c r="A16549" s="24"/>
      <c r="B16549" s="25"/>
      <c r="C16549" s="24"/>
      <c r="D16549" s="26"/>
      <c r="E16549" s="24"/>
      <c r="F16549" s="24"/>
      <c r="G16549" s="24"/>
      <c r="H16549" s="24"/>
      <c r="I16549" s="24"/>
      <c r="J16549" s="24"/>
      <c r="K16549" s="24"/>
      <c r="L16549" s="24"/>
      <c r="M16549" s="24"/>
      <c r="N16549" s="24"/>
      <c r="O16549" s="24"/>
      <c r="P16549" s="24"/>
      <c r="Q16549" s="24"/>
      <c r="R16549" s="24"/>
      <c r="S16549" s="24"/>
      <c r="T16549" s="24"/>
      <c r="U16549" s="24"/>
      <c r="V16549" s="24"/>
      <c r="W16549" s="24"/>
      <c r="X16549" s="24"/>
      <c r="Y16549" s="24"/>
      <c r="Z16549" s="24"/>
      <c r="AA16549" s="24"/>
    </row>
    <row r="16550">
      <c r="A16550" s="24"/>
      <c r="B16550" s="25"/>
      <c r="C16550" s="24"/>
      <c r="D16550" s="26"/>
      <c r="E16550" s="24"/>
      <c r="F16550" s="24"/>
      <c r="G16550" s="24"/>
      <c r="H16550" s="24"/>
      <c r="I16550" s="24"/>
      <c r="J16550" s="24"/>
      <c r="K16550" s="24"/>
      <c r="L16550" s="24"/>
      <c r="M16550" s="24"/>
      <c r="N16550" s="24"/>
      <c r="O16550" s="24"/>
      <c r="P16550" s="24"/>
      <c r="Q16550" s="24"/>
      <c r="R16550" s="24"/>
      <c r="S16550" s="24"/>
      <c r="T16550" s="24"/>
      <c r="U16550" s="24"/>
      <c r="V16550" s="24"/>
      <c r="W16550" s="24"/>
      <c r="X16550" s="24"/>
      <c r="Y16550" s="24"/>
      <c r="Z16550" s="24"/>
      <c r="AA16550" s="24"/>
    </row>
    <row r="16551">
      <c r="A16551" s="24"/>
      <c r="B16551" s="25"/>
      <c r="C16551" s="24"/>
      <c r="D16551" s="26"/>
      <c r="E16551" s="24"/>
      <c r="F16551" s="24"/>
      <c r="G16551" s="24"/>
      <c r="H16551" s="24"/>
      <c r="I16551" s="24"/>
      <c r="J16551" s="24"/>
      <c r="K16551" s="24"/>
      <c r="L16551" s="24"/>
      <c r="M16551" s="24"/>
      <c r="N16551" s="24"/>
      <c r="O16551" s="24"/>
      <c r="P16551" s="24"/>
      <c r="Q16551" s="24"/>
      <c r="R16551" s="24"/>
      <c r="S16551" s="24"/>
      <c r="T16551" s="24"/>
      <c r="U16551" s="24"/>
      <c r="V16551" s="24"/>
      <c r="W16551" s="24"/>
      <c r="X16551" s="24"/>
      <c r="Y16551" s="24"/>
      <c r="Z16551" s="24"/>
      <c r="AA16551" s="24"/>
    </row>
    <row r="16552">
      <c r="A16552" s="24"/>
      <c r="B16552" s="25"/>
      <c r="C16552" s="24"/>
      <c r="D16552" s="26"/>
      <c r="E16552" s="24"/>
      <c r="F16552" s="24"/>
      <c r="G16552" s="24"/>
      <c r="H16552" s="24"/>
      <c r="I16552" s="24"/>
      <c r="J16552" s="24"/>
      <c r="K16552" s="24"/>
      <c r="L16552" s="24"/>
      <c r="M16552" s="24"/>
      <c r="N16552" s="24"/>
      <c r="O16552" s="24"/>
      <c r="P16552" s="24"/>
      <c r="Q16552" s="24"/>
      <c r="R16552" s="24"/>
      <c r="S16552" s="24"/>
      <c r="T16552" s="24"/>
      <c r="U16552" s="24"/>
      <c r="V16552" s="24"/>
      <c r="W16552" s="24"/>
      <c r="X16552" s="24"/>
      <c r="Y16552" s="24"/>
      <c r="Z16552" s="24"/>
      <c r="AA16552" s="24"/>
    </row>
    <row r="16553">
      <c r="A16553" s="24"/>
      <c r="B16553" s="25"/>
      <c r="C16553" s="24"/>
      <c r="D16553" s="26"/>
      <c r="E16553" s="24"/>
      <c r="F16553" s="24"/>
      <c r="G16553" s="24"/>
      <c r="H16553" s="24"/>
      <c r="I16553" s="24"/>
      <c r="J16553" s="24"/>
      <c r="K16553" s="24"/>
      <c r="L16553" s="24"/>
      <c r="M16553" s="24"/>
      <c r="N16553" s="24"/>
      <c r="O16553" s="24"/>
      <c r="P16553" s="24"/>
      <c r="Q16553" s="24"/>
      <c r="R16553" s="24"/>
      <c r="S16553" s="24"/>
      <c r="T16553" s="24"/>
      <c r="U16553" s="24"/>
      <c r="V16553" s="24"/>
      <c r="W16553" s="24"/>
      <c r="X16553" s="24"/>
      <c r="Y16553" s="24"/>
      <c r="Z16553" s="24"/>
      <c r="AA16553" s="24"/>
    </row>
    <row r="16554">
      <c r="A16554" s="24"/>
      <c r="B16554" s="25"/>
      <c r="C16554" s="24"/>
      <c r="D16554" s="26"/>
      <c r="E16554" s="24"/>
      <c r="F16554" s="24"/>
      <c r="G16554" s="24"/>
      <c r="H16554" s="24"/>
      <c r="I16554" s="24"/>
      <c r="J16554" s="24"/>
      <c r="K16554" s="24"/>
      <c r="L16554" s="24"/>
      <c r="M16554" s="24"/>
      <c r="N16554" s="24"/>
      <c r="O16554" s="24"/>
      <c r="P16554" s="24"/>
      <c r="Q16554" s="24"/>
      <c r="R16554" s="24"/>
      <c r="S16554" s="24"/>
      <c r="T16554" s="24"/>
      <c r="U16554" s="24"/>
      <c r="V16554" s="24"/>
      <c r="W16554" s="24"/>
      <c r="X16554" s="24"/>
      <c r="Y16554" s="24"/>
      <c r="Z16554" s="24"/>
      <c r="AA16554" s="24"/>
    </row>
    <row r="16555">
      <c r="A16555" s="24"/>
      <c r="B16555" s="25"/>
      <c r="C16555" s="24"/>
      <c r="D16555" s="26"/>
      <c r="E16555" s="24"/>
      <c r="F16555" s="24"/>
      <c r="G16555" s="24"/>
      <c r="H16555" s="24"/>
      <c r="I16555" s="24"/>
      <c r="J16555" s="24"/>
      <c r="K16555" s="24"/>
      <c r="L16555" s="24"/>
      <c r="M16555" s="24"/>
      <c r="N16555" s="24"/>
      <c r="O16555" s="24"/>
      <c r="P16555" s="24"/>
      <c r="Q16555" s="24"/>
      <c r="R16555" s="24"/>
      <c r="S16555" s="24"/>
      <c r="T16555" s="24"/>
      <c r="U16555" s="24"/>
      <c r="V16555" s="24"/>
      <c r="W16555" s="24"/>
      <c r="X16555" s="24"/>
      <c r="Y16555" s="24"/>
      <c r="Z16555" s="24"/>
      <c r="AA16555" s="24"/>
    </row>
    <row r="16556">
      <c r="A16556" s="24"/>
      <c r="B16556" s="25"/>
      <c r="C16556" s="24"/>
      <c r="D16556" s="26"/>
      <c r="E16556" s="24"/>
      <c r="F16556" s="24"/>
      <c r="G16556" s="24"/>
      <c r="H16556" s="24"/>
      <c r="I16556" s="24"/>
      <c r="J16556" s="24"/>
      <c r="K16556" s="24"/>
      <c r="L16556" s="24"/>
      <c r="M16556" s="24"/>
      <c r="N16556" s="24"/>
      <c r="O16556" s="24"/>
      <c r="P16556" s="24"/>
      <c r="Q16556" s="24"/>
      <c r="R16556" s="24"/>
      <c r="S16556" s="24"/>
      <c r="T16556" s="24"/>
      <c r="U16556" s="24"/>
      <c r="V16556" s="24"/>
      <c r="W16556" s="24"/>
      <c r="X16556" s="24"/>
      <c r="Y16556" s="24"/>
      <c r="Z16556" s="24"/>
      <c r="AA16556" s="24"/>
    </row>
    <row r="16557">
      <c r="A16557" s="24"/>
      <c r="B16557" s="25"/>
      <c r="C16557" s="24"/>
      <c r="D16557" s="26"/>
      <c r="E16557" s="24"/>
      <c r="F16557" s="24"/>
      <c r="G16557" s="24"/>
      <c r="H16557" s="24"/>
      <c r="I16557" s="24"/>
      <c r="J16557" s="24"/>
      <c r="K16557" s="24"/>
      <c r="L16557" s="24"/>
      <c r="M16557" s="24"/>
      <c r="N16557" s="24"/>
      <c r="O16557" s="24"/>
      <c r="P16557" s="24"/>
      <c r="Q16557" s="24"/>
      <c r="R16557" s="24"/>
      <c r="S16557" s="24"/>
      <c r="T16557" s="24"/>
      <c r="U16557" s="24"/>
      <c r="V16557" s="24"/>
      <c r="W16557" s="24"/>
      <c r="X16557" s="24"/>
      <c r="Y16557" s="24"/>
      <c r="Z16557" s="24"/>
      <c r="AA16557" s="24"/>
    </row>
    <row r="16558">
      <c r="A16558" s="24"/>
      <c r="B16558" s="25"/>
      <c r="C16558" s="24"/>
      <c r="D16558" s="26"/>
      <c r="E16558" s="24"/>
      <c r="F16558" s="24"/>
      <c r="G16558" s="24"/>
      <c r="H16558" s="24"/>
      <c r="I16558" s="24"/>
      <c r="J16558" s="24"/>
      <c r="K16558" s="24"/>
      <c r="L16558" s="24"/>
      <c r="M16558" s="24"/>
      <c r="N16558" s="24"/>
      <c r="O16558" s="24"/>
      <c r="P16558" s="24"/>
      <c r="Q16558" s="24"/>
      <c r="R16558" s="24"/>
      <c r="S16558" s="24"/>
      <c r="T16558" s="24"/>
      <c r="U16558" s="24"/>
      <c r="V16558" s="24"/>
      <c r="W16558" s="24"/>
      <c r="X16558" s="24"/>
      <c r="Y16558" s="24"/>
      <c r="Z16558" s="24"/>
      <c r="AA16558" s="24"/>
    </row>
    <row r="16559">
      <c r="A16559" s="24"/>
      <c r="B16559" s="25"/>
      <c r="C16559" s="24"/>
      <c r="D16559" s="26"/>
      <c r="E16559" s="24"/>
      <c r="F16559" s="24"/>
      <c r="G16559" s="24"/>
      <c r="H16559" s="24"/>
      <c r="I16559" s="24"/>
      <c r="J16559" s="24"/>
      <c r="K16559" s="24"/>
      <c r="L16559" s="24"/>
      <c r="M16559" s="24"/>
      <c r="N16559" s="24"/>
      <c r="O16559" s="24"/>
      <c r="P16559" s="24"/>
      <c r="Q16559" s="24"/>
      <c r="R16559" s="24"/>
      <c r="S16559" s="24"/>
      <c r="T16559" s="24"/>
      <c r="U16559" s="24"/>
      <c r="V16559" s="24"/>
      <c r="W16559" s="24"/>
      <c r="X16559" s="24"/>
      <c r="Y16559" s="24"/>
      <c r="Z16559" s="24"/>
      <c r="AA16559" s="24"/>
    </row>
    <row r="16560">
      <c r="A16560" s="24"/>
      <c r="B16560" s="25"/>
      <c r="C16560" s="24"/>
      <c r="D16560" s="26"/>
      <c r="E16560" s="24"/>
      <c r="F16560" s="24"/>
      <c r="G16560" s="24"/>
      <c r="H16560" s="24"/>
      <c r="I16560" s="24"/>
      <c r="J16560" s="24"/>
      <c r="K16560" s="24"/>
      <c r="L16560" s="24"/>
      <c r="M16560" s="24"/>
      <c r="N16560" s="24"/>
      <c r="O16560" s="24"/>
      <c r="P16560" s="24"/>
      <c r="Q16560" s="24"/>
      <c r="R16560" s="24"/>
      <c r="S16560" s="24"/>
      <c r="T16560" s="24"/>
      <c r="U16560" s="24"/>
      <c r="V16560" s="24"/>
      <c r="W16560" s="24"/>
      <c r="X16560" s="24"/>
      <c r="Y16560" s="24"/>
      <c r="Z16560" s="24"/>
      <c r="AA16560" s="24"/>
    </row>
    <row r="16561">
      <c r="A16561" s="24"/>
      <c r="B16561" s="25"/>
      <c r="C16561" s="24"/>
      <c r="D16561" s="26"/>
      <c r="E16561" s="24"/>
      <c r="F16561" s="24"/>
      <c r="G16561" s="24"/>
      <c r="H16561" s="24"/>
      <c r="I16561" s="24"/>
      <c r="J16561" s="24"/>
      <c r="K16561" s="24"/>
      <c r="L16561" s="24"/>
      <c r="M16561" s="24"/>
      <c r="N16561" s="24"/>
      <c r="O16561" s="24"/>
      <c r="P16561" s="24"/>
      <c r="Q16561" s="24"/>
      <c r="R16561" s="24"/>
      <c r="S16561" s="24"/>
      <c r="T16561" s="24"/>
      <c r="U16561" s="24"/>
      <c r="V16561" s="24"/>
      <c r="W16561" s="24"/>
      <c r="X16561" s="24"/>
      <c r="Y16561" s="24"/>
      <c r="Z16561" s="24"/>
      <c r="AA16561" s="24"/>
    </row>
    <row r="16562">
      <c r="A16562" s="24"/>
      <c r="B16562" s="25"/>
      <c r="C16562" s="24"/>
      <c r="D16562" s="26"/>
      <c r="E16562" s="24"/>
      <c r="F16562" s="24"/>
      <c r="G16562" s="24"/>
      <c r="H16562" s="24"/>
      <c r="I16562" s="24"/>
      <c r="J16562" s="24"/>
      <c r="K16562" s="24"/>
      <c r="L16562" s="24"/>
      <c r="M16562" s="24"/>
      <c r="N16562" s="24"/>
      <c r="O16562" s="24"/>
      <c r="P16562" s="24"/>
      <c r="Q16562" s="24"/>
      <c r="R16562" s="24"/>
      <c r="S16562" s="24"/>
      <c r="T16562" s="24"/>
      <c r="U16562" s="24"/>
      <c r="V16562" s="24"/>
      <c r="W16562" s="24"/>
      <c r="X16562" s="24"/>
      <c r="Y16562" s="24"/>
      <c r="Z16562" s="24"/>
      <c r="AA16562" s="24"/>
    </row>
    <row r="16563">
      <c r="A16563" s="24"/>
      <c r="B16563" s="25"/>
      <c r="C16563" s="24"/>
      <c r="D16563" s="26"/>
      <c r="E16563" s="24"/>
      <c r="F16563" s="24"/>
      <c r="G16563" s="24"/>
      <c r="H16563" s="24"/>
      <c r="I16563" s="24"/>
      <c r="J16563" s="24"/>
      <c r="K16563" s="24"/>
      <c r="L16563" s="24"/>
      <c r="M16563" s="24"/>
      <c r="N16563" s="24"/>
      <c r="O16563" s="24"/>
      <c r="P16563" s="24"/>
      <c r="Q16563" s="24"/>
      <c r="R16563" s="24"/>
      <c r="S16563" s="24"/>
      <c r="T16563" s="24"/>
      <c r="U16563" s="24"/>
      <c r="V16563" s="24"/>
      <c r="W16563" s="24"/>
      <c r="X16563" s="24"/>
      <c r="Y16563" s="24"/>
      <c r="Z16563" s="24"/>
      <c r="AA16563" s="24"/>
    </row>
    <row r="16564">
      <c r="A16564" s="24"/>
      <c r="B16564" s="25"/>
      <c r="C16564" s="24"/>
      <c r="D16564" s="26"/>
      <c r="E16564" s="24"/>
      <c r="F16564" s="24"/>
      <c r="G16564" s="24"/>
      <c r="H16564" s="24"/>
      <c r="I16564" s="24"/>
      <c r="J16564" s="24"/>
      <c r="K16564" s="24"/>
      <c r="L16564" s="24"/>
      <c r="M16564" s="24"/>
      <c r="N16564" s="24"/>
      <c r="O16564" s="24"/>
      <c r="P16564" s="24"/>
      <c r="Q16564" s="24"/>
      <c r="R16564" s="24"/>
      <c r="S16564" s="24"/>
      <c r="T16564" s="24"/>
      <c r="U16564" s="24"/>
      <c r="V16564" s="24"/>
      <c r="W16564" s="24"/>
      <c r="X16564" s="24"/>
      <c r="Y16564" s="24"/>
      <c r="Z16564" s="24"/>
      <c r="AA16564" s="24"/>
    </row>
    <row r="16565">
      <c r="A16565" s="24"/>
      <c r="B16565" s="25"/>
      <c r="C16565" s="24"/>
      <c r="D16565" s="26"/>
      <c r="E16565" s="24"/>
      <c r="F16565" s="24"/>
      <c r="G16565" s="24"/>
      <c r="H16565" s="24"/>
      <c r="I16565" s="24"/>
      <c r="J16565" s="24"/>
      <c r="K16565" s="24"/>
      <c r="L16565" s="24"/>
      <c r="M16565" s="24"/>
      <c r="N16565" s="24"/>
      <c r="O16565" s="24"/>
      <c r="P16565" s="24"/>
      <c r="Q16565" s="24"/>
      <c r="R16565" s="24"/>
      <c r="S16565" s="24"/>
      <c r="T16565" s="24"/>
      <c r="U16565" s="24"/>
      <c r="V16565" s="24"/>
      <c r="W16565" s="24"/>
      <c r="X16565" s="24"/>
      <c r="Y16565" s="24"/>
      <c r="Z16565" s="24"/>
      <c r="AA16565" s="24"/>
    </row>
    <row r="16566">
      <c r="A16566" s="24"/>
      <c r="B16566" s="25"/>
      <c r="C16566" s="24"/>
      <c r="D16566" s="26"/>
      <c r="E16566" s="24"/>
      <c r="F16566" s="24"/>
      <c r="G16566" s="24"/>
      <c r="H16566" s="24"/>
      <c r="I16566" s="24"/>
      <c r="J16566" s="24"/>
      <c r="K16566" s="24"/>
      <c r="L16566" s="24"/>
      <c r="M16566" s="24"/>
      <c r="N16566" s="24"/>
      <c r="O16566" s="24"/>
      <c r="P16566" s="24"/>
      <c r="Q16566" s="24"/>
      <c r="R16566" s="24"/>
      <c r="S16566" s="24"/>
      <c r="T16566" s="24"/>
      <c r="U16566" s="24"/>
      <c r="V16566" s="24"/>
      <c r="W16566" s="24"/>
      <c r="X16566" s="24"/>
      <c r="Y16566" s="24"/>
      <c r="Z16566" s="24"/>
      <c r="AA16566" s="24"/>
    </row>
    <row r="16567">
      <c r="A16567" s="24"/>
      <c r="B16567" s="25"/>
      <c r="C16567" s="24"/>
      <c r="D16567" s="26"/>
      <c r="E16567" s="24"/>
      <c r="F16567" s="24"/>
      <c r="G16567" s="24"/>
      <c r="H16567" s="24"/>
      <c r="I16567" s="24"/>
      <c r="J16567" s="24"/>
      <c r="K16567" s="24"/>
      <c r="L16567" s="24"/>
      <c r="M16567" s="24"/>
      <c r="N16567" s="24"/>
      <c r="O16567" s="24"/>
      <c r="P16567" s="24"/>
      <c r="Q16567" s="24"/>
      <c r="R16567" s="24"/>
      <c r="S16567" s="24"/>
      <c r="T16567" s="24"/>
      <c r="U16567" s="24"/>
      <c r="V16567" s="24"/>
      <c r="W16567" s="24"/>
      <c r="X16567" s="24"/>
      <c r="Y16567" s="24"/>
      <c r="Z16567" s="24"/>
      <c r="AA16567" s="24"/>
    </row>
    <row r="16568">
      <c r="A16568" s="24"/>
      <c r="B16568" s="25"/>
      <c r="C16568" s="24"/>
      <c r="D16568" s="26"/>
      <c r="E16568" s="24"/>
      <c r="F16568" s="24"/>
      <c r="G16568" s="24"/>
      <c r="H16568" s="24"/>
      <c r="I16568" s="24"/>
      <c r="J16568" s="24"/>
      <c r="K16568" s="24"/>
      <c r="L16568" s="24"/>
      <c r="M16568" s="24"/>
      <c r="N16568" s="24"/>
      <c r="O16568" s="24"/>
      <c r="P16568" s="24"/>
      <c r="Q16568" s="24"/>
      <c r="R16568" s="24"/>
      <c r="S16568" s="24"/>
      <c r="T16568" s="24"/>
      <c r="U16568" s="24"/>
      <c r="V16568" s="24"/>
      <c r="W16568" s="24"/>
      <c r="X16568" s="24"/>
      <c r="Y16568" s="24"/>
      <c r="Z16568" s="24"/>
      <c r="AA16568" s="24"/>
    </row>
    <row r="16569">
      <c r="A16569" s="24"/>
      <c r="B16569" s="25"/>
      <c r="C16569" s="24"/>
      <c r="D16569" s="26"/>
      <c r="E16569" s="24"/>
      <c r="F16569" s="24"/>
      <c r="G16569" s="24"/>
      <c r="H16569" s="24"/>
      <c r="I16569" s="24"/>
      <c r="J16569" s="24"/>
      <c r="K16569" s="24"/>
      <c r="L16569" s="24"/>
      <c r="M16569" s="24"/>
      <c r="N16569" s="24"/>
      <c r="O16569" s="24"/>
      <c r="P16569" s="24"/>
      <c r="Q16569" s="24"/>
      <c r="R16569" s="24"/>
      <c r="S16569" s="24"/>
      <c r="T16569" s="24"/>
      <c r="U16569" s="24"/>
      <c r="V16569" s="24"/>
      <c r="W16569" s="24"/>
      <c r="X16569" s="24"/>
      <c r="Y16569" s="24"/>
      <c r="Z16569" s="24"/>
      <c r="AA16569" s="24"/>
    </row>
    <row r="16570">
      <c r="A16570" s="24"/>
      <c r="B16570" s="25"/>
      <c r="C16570" s="24"/>
      <c r="D16570" s="26"/>
      <c r="E16570" s="24"/>
      <c r="F16570" s="24"/>
      <c r="G16570" s="24"/>
      <c r="H16570" s="24"/>
      <c r="I16570" s="24"/>
      <c r="J16570" s="24"/>
      <c r="K16570" s="24"/>
      <c r="L16570" s="24"/>
      <c r="M16570" s="24"/>
      <c r="N16570" s="24"/>
      <c r="O16570" s="24"/>
      <c r="P16570" s="24"/>
      <c r="Q16570" s="24"/>
      <c r="R16570" s="24"/>
      <c r="S16570" s="24"/>
      <c r="T16570" s="24"/>
      <c r="U16570" s="24"/>
      <c r="V16570" s="24"/>
      <c r="W16570" s="24"/>
      <c r="X16570" s="24"/>
      <c r="Y16570" s="24"/>
      <c r="Z16570" s="24"/>
      <c r="AA16570" s="24"/>
    </row>
    <row r="16571">
      <c r="A16571" s="24"/>
      <c r="B16571" s="25"/>
      <c r="C16571" s="24"/>
      <c r="D16571" s="26"/>
      <c r="E16571" s="24"/>
      <c r="F16571" s="24"/>
      <c r="G16571" s="24"/>
      <c r="H16571" s="24"/>
      <c r="I16571" s="24"/>
      <c r="J16571" s="24"/>
      <c r="K16571" s="24"/>
      <c r="L16571" s="24"/>
      <c r="M16571" s="24"/>
      <c r="N16571" s="24"/>
      <c r="O16571" s="24"/>
      <c r="P16571" s="24"/>
      <c r="Q16571" s="24"/>
      <c r="R16571" s="24"/>
      <c r="S16571" s="24"/>
      <c r="T16571" s="24"/>
      <c r="U16571" s="24"/>
      <c r="V16571" s="24"/>
      <c r="W16571" s="24"/>
      <c r="X16571" s="24"/>
      <c r="Y16571" s="24"/>
      <c r="Z16571" s="24"/>
      <c r="AA16571" s="24"/>
    </row>
    <row r="16572">
      <c r="A16572" s="24"/>
      <c r="B16572" s="25"/>
      <c r="C16572" s="24"/>
      <c r="D16572" s="26"/>
      <c r="E16572" s="24"/>
      <c r="F16572" s="24"/>
      <c r="G16572" s="24"/>
      <c r="H16572" s="24"/>
      <c r="I16572" s="24"/>
      <c r="J16572" s="24"/>
      <c r="K16572" s="24"/>
      <c r="L16572" s="24"/>
      <c r="M16572" s="24"/>
      <c r="N16572" s="24"/>
      <c r="O16572" s="24"/>
      <c r="P16572" s="24"/>
      <c r="Q16572" s="24"/>
      <c r="R16572" s="24"/>
      <c r="S16572" s="24"/>
      <c r="T16572" s="24"/>
      <c r="U16572" s="24"/>
      <c r="V16572" s="24"/>
      <c r="W16572" s="24"/>
      <c r="X16572" s="24"/>
      <c r="Y16572" s="24"/>
      <c r="Z16572" s="24"/>
      <c r="AA16572" s="24"/>
    </row>
    <row r="16573">
      <c r="A16573" s="24"/>
      <c r="B16573" s="25"/>
      <c r="C16573" s="24"/>
      <c r="D16573" s="26"/>
      <c r="E16573" s="24"/>
      <c r="F16573" s="24"/>
      <c r="G16573" s="24"/>
      <c r="H16573" s="24"/>
      <c r="I16573" s="24"/>
      <c r="J16573" s="24"/>
      <c r="K16573" s="24"/>
      <c r="L16573" s="24"/>
      <c r="M16573" s="24"/>
      <c r="N16573" s="24"/>
      <c r="O16573" s="24"/>
      <c r="P16573" s="24"/>
      <c r="Q16573" s="24"/>
      <c r="R16573" s="24"/>
      <c r="S16573" s="24"/>
      <c r="T16573" s="24"/>
      <c r="U16573" s="24"/>
      <c r="V16573" s="24"/>
      <c r="W16573" s="24"/>
      <c r="X16573" s="24"/>
      <c r="Y16573" s="24"/>
      <c r="Z16573" s="24"/>
      <c r="AA16573" s="24"/>
    </row>
    <row r="16574">
      <c r="A16574" s="24"/>
      <c r="B16574" s="25"/>
      <c r="C16574" s="24"/>
      <c r="D16574" s="26"/>
      <c r="E16574" s="24"/>
      <c r="F16574" s="24"/>
      <c r="G16574" s="24"/>
      <c r="H16574" s="24"/>
      <c r="I16574" s="24"/>
      <c r="J16574" s="24"/>
      <c r="K16574" s="24"/>
      <c r="L16574" s="24"/>
      <c r="M16574" s="24"/>
      <c r="N16574" s="24"/>
      <c r="O16574" s="24"/>
      <c r="P16574" s="24"/>
      <c r="Q16574" s="24"/>
      <c r="R16574" s="24"/>
      <c r="S16574" s="24"/>
      <c r="T16574" s="24"/>
      <c r="U16574" s="24"/>
      <c r="V16574" s="24"/>
      <c r="W16574" s="24"/>
      <c r="X16574" s="24"/>
      <c r="Y16574" s="24"/>
      <c r="Z16574" s="24"/>
      <c r="AA16574" s="24"/>
    </row>
    <row r="16575">
      <c r="A16575" s="24"/>
      <c r="B16575" s="25"/>
      <c r="C16575" s="24"/>
      <c r="D16575" s="26"/>
      <c r="E16575" s="24"/>
      <c r="F16575" s="24"/>
      <c r="G16575" s="24"/>
      <c r="H16575" s="24"/>
      <c r="I16575" s="24"/>
      <c r="J16575" s="24"/>
      <c r="K16575" s="24"/>
      <c r="L16575" s="24"/>
      <c r="M16575" s="24"/>
      <c r="N16575" s="24"/>
      <c r="O16575" s="24"/>
      <c r="P16575" s="24"/>
      <c r="Q16575" s="24"/>
      <c r="R16575" s="24"/>
      <c r="S16575" s="24"/>
      <c r="T16575" s="24"/>
      <c r="U16575" s="24"/>
      <c r="V16575" s="24"/>
      <c r="W16575" s="24"/>
      <c r="X16575" s="24"/>
      <c r="Y16575" s="24"/>
      <c r="Z16575" s="24"/>
      <c r="AA16575" s="24"/>
    </row>
    <row r="16576">
      <c r="A16576" s="24"/>
      <c r="B16576" s="25"/>
      <c r="C16576" s="24"/>
      <c r="D16576" s="26"/>
      <c r="E16576" s="24"/>
      <c r="F16576" s="24"/>
      <c r="G16576" s="24"/>
      <c r="H16576" s="24"/>
      <c r="I16576" s="24"/>
      <c r="J16576" s="24"/>
      <c r="K16576" s="24"/>
      <c r="L16576" s="24"/>
      <c r="M16576" s="24"/>
      <c r="N16576" s="24"/>
      <c r="O16576" s="24"/>
      <c r="P16576" s="24"/>
      <c r="Q16576" s="24"/>
      <c r="R16576" s="24"/>
      <c r="S16576" s="24"/>
      <c r="T16576" s="24"/>
      <c r="U16576" s="24"/>
      <c r="V16576" s="24"/>
      <c r="W16576" s="24"/>
      <c r="X16576" s="24"/>
      <c r="Y16576" s="24"/>
      <c r="Z16576" s="24"/>
      <c r="AA16576" s="24"/>
    </row>
    <row r="16577">
      <c r="A16577" s="24"/>
      <c r="B16577" s="25"/>
      <c r="C16577" s="24"/>
      <c r="D16577" s="26"/>
      <c r="E16577" s="24"/>
      <c r="F16577" s="24"/>
      <c r="G16577" s="24"/>
      <c r="H16577" s="24"/>
      <c r="I16577" s="24"/>
      <c r="J16577" s="24"/>
      <c r="K16577" s="24"/>
      <c r="L16577" s="24"/>
      <c r="M16577" s="24"/>
      <c r="N16577" s="24"/>
      <c r="O16577" s="24"/>
      <c r="P16577" s="24"/>
      <c r="Q16577" s="24"/>
      <c r="R16577" s="24"/>
      <c r="S16577" s="24"/>
      <c r="T16577" s="24"/>
      <c r="U16577" s="24"/>
      <c r="V16577" s="24"/>
      <c r="W16577" s="24"/>
      <c r="X16577" s="24"/>
      <c r="Y16577" s="24"/>
      <c r="Z16577" s="24"/>
      <c r="AA16577" s="24"/>
    </row>
    <row r="16578">
      <c r="A16578" s="24"/>
      <c r="B16578" s="25"/>
      <c r="C16578" s="24"/>
      <c r="D16578" s="26"/>
      <c r="E16578" s="24"/>
      <c r="F16578" s="24"/>
      <c r="G16578" s="24"/>
      <c r="H16578" s="24"/>
      <c r="I16578" s="24"/>
      <c r="J16578" s="24"/>
      <c r="K16578" s="24"/>
      <c r="L16578" s="24"/>
      <c r="M16578" s="24"/>
      <c r="N16578" s="24"/>
      <c r="O16578" s="24"/>
      <c r="P16578" s="24"/>
      <c r="Q16578" s="24"/>
      <c r="R16578" s="24"/>
      <c r="S16578" s="24"/>
      <c r="T16578" s="24"/>
      <c r="U16578" s="24"/>
      <c r="V16578" s="24"/>
      <c r="W16578" s="24"/>
      <c r="X16578" s="24"/>
      <c r="Y16578" s="24"/>
      <c r="Z16578" s="24"/>
      <c r="AA16578" s="24"/>
    </row>
    <row r="16579">
      <c r="A16579" s="24"/>
      <c r="B16579" s="25"/>
      <c r="C16579" s="24"/>
      <c r="D16579" s="26"/>
      <c r="E16579" s="24"/>
      <c r="F16579" s="24"/>
      <c r="G16579" s="24"/>
      <c r="H16579" s="24"/>
      <c r="I16579" s="24"/>
      <c r="J16579" s="24"/>
      <c r="K16579" s="24"/>
      <c r="L16579" s="24"/>
      <c r="M16579" s="24"/>
      <c r="N16579" s="24"/>
      <c r="O16579" s="24"/>
      <c r="P16579" s="24"/>
      <c r="Q16579" s="24"/>
      <c r="R16579" s="24"/>
      <c r="S16579" s="24"/>
      <c r="T16579" s="24"/>
      <c r="U16579" s="24"/>
      <c r="V16579" s="24"/>
      <c r="W16579" s="24"/>
      <c r="X16579" s="24"/>
      <c r="Y16579" s="24"/>
      <c r="Z16579" s="24"/>
      <c r="AA16579" s="24"/>
    </row>
    <row r="16580">
      <c r="A16580" s="24"/>
      <c r="B16580" s="25"/>
      <c r="C16580" s="24"/>
      <c r="D16580" s="26"/>
      <c r="E16580" s="24"/>
      <c r="F16580" s="24"/>
      <c r="G16580" s="24"/>
      <c r="H16580" s="24"/>
      <c r="I16580" s="24"/>
      <c r="J16580" s="24"/>
      <c r="K16580" s="24"/>
      <c r="L16580" s="24"/>
      <c r="M16580" s="24"/>
      <c r="N16580" s="24"/>
      <c r="O16580" s="24"/>
      <c r="P16580" s="24"/>
      <c r="Q16580" s="24"/>
      <c r="R16580" s="24"/>
      <c r="S16580" s="24"/>
      <c r="T16580" s="24"/>
      <c r="U16580" s="24"/>
      <c r="V16580" s="24"/>
      <c r="W16580" s="24"/>
      <c r="X16580" s="24"/>
      <c r="Y16580" s="24"/>
      <c r="Z16580" s="24"/>
      <c r="AA16580" s="24"/>
    </row>
    <row r="16581">
      <c r="A16581" s="24"/>
      <c r="B16581" s="25"/>
      <c r="C16581" s="24"/>
      <c r="D16581" s="26"/>
      <c r="E16581" s="24"/>
      <c r="F16581" s="24"/>
      <c r="G16581" s="24"/>
      <c r="H16581" s="24"/>
      <c r="I16581" s="24"/>
      <c r="J16581" s="24"/>
      <c r="K16581" s="24"/>
      <c r="L16581" s="24"/>
      <c r="M16581" s="24"/>
      <c r="N16581" s="24"/>
      <c r="O16581" s="24"/>
      <c r="P16581" s="24"/>
      <c r="Q16581" s="24"/>
      <c r="R16581" s="24"/>
      <c r="S16581" s="24"/>
      <c r="T16581" s="24"/>
      <c r="U16581" s="24"/>
      <c r="V16581" s="24"/>
      <c r="W16581" s="24"/>
      <c r="X16581" s="24"/>
      <c r="Y16581" s="24"/>
      <c r="Z16581" s="24"/>
      <c r="AA16581" s="24"/>
    </row>
    <row r="16582">
      <c r="A16582" s="24"/>
      <c r="B16582" s="25"/>
      <c r="C16582" s="24"/>
      <c r="D16582" s="26"/>
      <c r="E16582" s="24"/>
      <c r="F16582" s="24"/>
      <c r="G16582" s="24"/>
      <c r="H16582" s="24"/>
      <c r="I16582" s="24"/>
      <c r="J16582" s="24"/>
      <c r="K16582" s="24"/>
      <c r="L16582" s="24"/>
      <c r="M16582" s="24"/>
      <c r="N16582" s="24"/>
      <c r="O16582" s="24"/>
      <c r="P16582" s="24"/>
      <c r="Q16582" s="24"/>
      <c r="R16582" s="24"/>
      <c r="S16582" s="24"/>
      <c r="T16582" s="24"/>
      <c r="U16582" s="24"/>
      <c r="V16582" s="24"/>
      <c r="W16582" s="24"/>
      <c r="X16582" s="24"/>
      <c r="Y16582" s="24"/>
      <c r="Z16582" s="24"/>
      <c r="AA16582" s="24"/>
    </row>
    <row r="16583">
      <c r="A16583" s="24"/>
      <c r="B16583" s="25"/>
      <c r="C16583" s="24"/>
      <c r="D16583" s="26"/>
      <c r="E16583" s="24"/>
      <c r="F16583" s="24"/>
      <c r="G16583" s="24"/>
      <c r="H16583" s="24"/>
      <c r="I16583" s="24"/>
      <c r="J16583" s="24"/>
      <c r="K16583" s="24"/>
      <c r="L16583" s="24"/>
      <c r="M16583" s="24"/>
      <c r="N16583" s="24"/>
      <c r="O16583" s="24"/>
      <c r="P16583" s="24"/>
      <c r="Q16583" s="24"/>
      <c r="R16583" s="24"/>
      <c r="S16583" s="24"/>
      <c r="T16583" s="24"/>
      <c r="U16583" s="24"/>
      <c r="V16583" s="24"/>
      <c r="W16583" s="24"/>
      <c r="X16583" s="24"/>
      <c r="Y16583" s="24"/>
      <c r="Z16583" s="24"/>
      <c r="AA16583" s="24"/>
    </row>
    <row r="16584">
      <c r="A16584" s="24"/>
      <c r="B16584" s="25"/>
      <c r="C16584" s="24"/>
      <c r="D16584" s="26"/>
      <c r="E16584" s="24"/>
      <c r="F16584" s="24"/>
      <c r="G16584" s="24"/>
      <c r="H16584" s="24"/>
      <c r="I16584" s="24"/>
      <c r="J16584" s="24"/>
      <c r="K16584" s="24"/>
      <c r="L16584" s="24"/>
      <c r="M16584" s="24"/>
      <c r="N16584" s="24"/>
      <c r="O16584" s="24"/>
      <c r="P16584" s="24"/>
      <c r="Q16584" s="24"/>
      <c r="R16584" s="24"/>
      <c r="S16584" s="24"/>
      <c r="T16584" s="24"/>
      <c r="U16584" s="24"/>
      <c r="V16584" s="24"/>
      <c r="W16584" s="24"/>
      <c r="X16584" s="24"/>
      <c r="Y16584" s="24"/>
      <c r="Z16584" s="24"/>
      <c r="AA16584" s="24"/>
    </row>
    <row r="16585">
      <c r="A16585" s="24"/>
      <c r="B16585" s="25"/>
      <c r="C16585" s="24"/>
      <c r="D16585" s="26"/>
      <c r="E16585" s="24"/>
      <c r="F16585" s="24"/>
      <c r="G16585" s="24"/>
      <c r="H16585" s="24"/>
      <c r="I16585" s="24"/>
      <c r="J16585" s="24"/>
      <c r="K16585" s="24"/>
      <c r="L16585" s="24"/>
      <c r="M16585" s="24"/>
      <c r="N16585" s="24"/>
      <c r="O16585" s="24"/>
      <c r="P16585" s="24"/>
      <c r="Q16585" s="24"/>
      <c r="R16585" s="24"/>
      <c r="S16585" s="24"/>
      <c r="T16585" s="24"/>
      <c r="U16585" s="24"/>
      <c r="V16585" s="24"/>
      <c r="W16585" s="24"/>
      <c r="X16585" s="24"/>
      <c r="Y16585" s="24"/>
      <c r="Z16585" s="24"/>
      <c r="AA16585" s="24"/>
    </row>
    <row r="16586">
      <c r="A16586" s="24"/>
      <c r="B16586" s="25"/>
      <c r="C16586" s="24"/>
      <c r="D16586" s="26"/>
      <c r="E16586" s="24"/>
      <c r="F16586" s="24"/>
      <c r="G16586" s="24"/>
      <c r="H16586" s="24"/>
      <c r="I16586" s="24"/>
      <c r="J16586" s="24"/>
      <c r="K16586" s="24"/>
      <c r="L16586" s="24"/>
      <c r="M16586" s="24"/>
      <c r="N16586" s="24"/>
      <c r="O16586" s="24"/>
      <c r="P16586" s="24"/>
      <c r="Q16586" s="24"/>
      <c r="R16586" s="24"/>
      <c r="S16586" s="24"/>
      <c r="T16586" s="24"/>
      <c r="U16586" s="24"/>
      <c r="V16586" s="24"/>
      <c r="W16586" s="24"/>
      <c r="X16586" s="24"/>
      <c r="Y16586" s="24"/>
      <c r="Z16586" s="24"/>
      <c r="AA16586" s="24"/>
    </row>
    <row r="16587">
      <c r="A16587" s="24"/>
      <c r="B16587" s="25"/>
      <c r="C16587" s="24"/>
      <c r="D16587" s="26"/>
      <c r="E16587" s="24"/>
      <c r="F16587" s="24"/>
      <c r="G16587" s="24"/>
      <c r="H16587" s="24"/>
      <c r="I16587" s="24"/>
      <c r="J16587" s="24"/>
      <c r="K16587" s="24"/>
      <c r="L16587" s="24"/>
      <c r="M16587" s="24"/>
      <c r="N16587" s="24"/>
      <c r="O16587" s="24"/>
      <c r="P16587" s="24"/>
      <c r="Q16587" s="24"/>
      <c r="R16587" s="24"/>
      <c r="S16587" s="24"/>
      <c r="T16587" s="24"/>
      <c r="U16587" s="24"/>
      <c r="V16587" s="24"/>
      <c r="W16587" s="24"/>
      <c r="X16587" s="24"/>
      <c r="Y16587" s="24"/>
      <c r="Z16587" s="24"/>
      <c r="AA16587" s="24"/>
    </row>
    <row r="16588">
      <c r="A16588" s="24"/>
      <c r="B16588" s="25"/>
      <c r="C16588" s="24"/>
      <c r="D16588" s="26"/>
      <c r="E16588" s="24"/>
      <c r="F16588" s="24"/>
      <c r="G16588" s="24"/>
      <c r="H16588" s="24"/>
      <c r="I16588" s="24"/>
      <c r="J16588" s="24"/>
      <c r="K16588" s="24"/>
      <c r="L16588" s="24"/>
      <c r="M16588" s="24"/>
      <c r="N16588" s="24"/>
      <c r="O16588" s="24"/>
      <c r="P16588" s="24"/>
      <c r="Q16588" s="24"/>
      <c r="R16588" s="24"/>
      <c r="S16588" s="24"/>
      <c r="T16588" s="24"/>
      <c r="U16588" s="24"/>
      <c r="V16588" s="24"/>
      <c r="W16588" s="24"/>
      <c r="X16588" s="24"/>
      <c r="Y16588" s="24"/>
      <c r="Z16588" s="24"/>
      <c r="AA16588" s="24"/>
    </row>
    <row r="16589">
      <c r="A16589" s="24"/>
      <c r="B16589" s="25"/>
      <c r="C16589" s="24"/>
      <c r="D16589" s="26"/>
      <c r="E16589" s="24"/>
      <c r="F16589" s="24"/>
      <c r="G16589" s="24"/>
      <c r="H16589" s="24"/>
      <c r="I16589" s="24"/>
      <c r="J16589" s="24"/>
      <c r="K16589" s="24"/>
      <c r="L16589" s="24"/>
      <c r="M16589" s="24"/>
      <c r="N16589" s="24"/>
      <c r="O16589" s="24"/>
      <c r="P16589" s="24"/>
      <c r="Q16589" s="24"/>
      <c r="R16589" s="24"/>
      <c r="S16589" s="24"/>
      <c r="T16589" s="24"/>
      <c r="U16589" s="24"/>
      <c r="V16589" s="24"/>
      <c r="W16589" s="24"/>
      <c r="X16589" s="24"/>
      <c r="Y16589" s="24"/>
      <c r="Z16589" s="24"/>
      <c r="AA16589" s="24"/>
    </row>
    <row r="16590">
      <c r="A16590" s="24"/>
      <c r="B16590" s="25"/>
      <c r="C16590" s="24"/>
      <c r="D16590" s="26"/>
      <c r="E16590" s="24"/>
      <c r="F16590" s="24"/>
      <c r="G16590" s="24"/>
      <c r="H16590" s="24"/>
      <c r="I16590" s="24"/>
      <c r="J16590" s="24"/>
      <c r="K16590" s="24"/>
      <c r="L16590" s="24"/>
      <c r="M16590" s="24"/>
      <c r="N16590" s="24"/>
      <c r="O16590" s="24"/>
      <c r="P16590" s="24"/>
      <c r="Q16590" s="24"/>
      <c r="R16590" s="24"/>
      <c r="S16590" s="24"/>
      <c r="T16590" s="24"/>
      <c r="U16590" s="24"/>
      <c r="V16590" s="24"/>
      <c r="W16590" s="24"/>
      <c r="X16590" s="24"/>
      <c r="Y16590" s="24"/>
      <c r="Z16590" s="24"/>
      <c r="AA16590" s="24"/>
    </row>
    <row r="16591">
      <c r="A16591" s="24"/>
      <c r="B16591" s="25"/>
      <c r="C16591" s="24"/>
      <c r="D16591" s="26"/>
      <c r="E16591" s="24"/>
      <c r="F16591" s="24"/>
      <c r="G16591" s="24"/>
      <c r="H16591" s="24"/>
      <c r="I16591" s="24"/>
      <c r="J16591" s="24"/>
      <c r="K16591" s="24"/>
      <c r="L16591" s="24"/>
      <c r="M16591" s="24"/>
      <c r="N16591" s="24"/>
      <c r="O16591" s="24"/>
      <c r="P16591" s="24"/>
      <c r="Q16591" s="24"/>
      <c r="R16591" s="24"/>
      <c r="S16591" s="24"/>
      <c r="T16591" s="24"/>
      <c r="U16591" s="24"/>
      <c r="V16591" s="24"/>
      <c r="W16591" s="24"/>
      <c r="X16591" s="24"/>
      <c r="Y16591" s="24"/>
      <c r="Z16591" s="24"/>
      <c r="AA16591" s="24"/>
    </row>
    <row r="16592">
      <c r="A16592" s="24"/>
      <c r="B16592" s="25"/>
      <c r="C16592" s="24"/>
      <c r="D16592" s="26"/>
      <c r="E16592" s="24"/>
      <c r="F16592" s="24"/>
      <c r="G16592" s="24"/>
      <c r="H16592" s="24"/>
      <c r="I16592" s="24"/>
      <c r="J16592" s="24"/>
      <c r="K16592" s="24"/>
      <c r="L16592" s="24"/>
      <c r="M16592" s="24"/>
      <c r="N16592" s="24"/>
      <c r="O16592" s="24"/>
      <c r="P16592" s="24"/>
      <c r="Q16592" s="24"/>
      <c r="R16592" s="24"/>
      <c r="S16592" s="24"/>
      <c r="T16592" s="24"/>
      <c r="U16592" s="24"/>
      <c r="V16592" s="24"/>
      <c r="W16592" s="24"/>
      <c r="X16592" s="24"/>
      <c r="Y16592" s="24"/>
      <c r="Z16592" s="24"/>
      <c r="AA16592" s="24"/>
    </row>
    <row r="16593">
      <c r="A16593" s="24"/>
      <c r="B16593" s="25"/>
      <c r="C16593" s="24"/>
      <c r="D16593" s="26"/>
      <c r="E16593" s="24"/>
      <c r="F16593" s="24"/>
      <c r="G16593" s="24"/>
      <c r="H16593" s="24"/>
      <c r="I16593" s="24"/>
      <c r="J16593" s="24"/>
      <c r="K16593" s="24"/>
      <c r="L16593" s="24"/>
      <c r="M16593" s="24"/>
      <c r="N16593" s="24"/>
      <c r="O16593" s="24"/>
      <c r="P16593" s="24"/>
      <c r="Q16593" s="24"/>
      <c r="R16593" s="24"/>
      <c r="S16593" s="24"/>
      <c r="T16593" s="24"/>
      <c r="U16593" s="24"/>
      <c r="V16593" s="24"/>
      <c r="W16593" s="24"/>
      <c r="X16593" s="24"/>
      <c r="Y16593" s="24"/>
      <c r="Z16593" s="24"/>
      <c r="AA16593" s="24"/>
    </row>
    <row r="16594">
      <c r="A16594" s="24"/>
      <c r="B16594" s="25"/>
      <c r="C16594" s="24"/>
      <c r="D16594" s="26"/>
      <c r="E16594" s="24"/>
      <c r="F16594" s="24"/>
      <c r="G16594" s="24"/>
      <c r="H16594" s="24"/>
      <c r="I16594" s="24"/>
      <c r="J16594" s="24"/>
      <c r="K16594" s="24"/>
      <c r="L16594" s="24"/>
      <c r="M16594" s="24"/>
      <c r="N16594" s="24"/>
      <c r="O16594" s="24"/>
      <c r="P16594" s="24"/>
      <c r="Q16594" s="24"/>
      <c r="R16594" s="24"/>
      <c r="S16594" s="24"/>
      <c r="T16594" s="24"/>
      <c r="U16594" s="24"/>
      <c r="V16594" s="24"/>
      <c r="W16594" s="24"/>
      <c r="X16594" s="24"/>
      <c r="Y16594" s="24"/>
      <c r="Z16594" s="24"/>
      <c r="AA16594" s="24"/>
    </row>
    <row r="16595">
      <c r="A16595" s="24"/>
      <c r="B16595" s="25"/>
      <c r="C16595" s="24"/>
      <c r="D16595" s="26"/>
      <c r="E16595" s="24"/>
      <c r="F16595" s="24"/>
      <c r="G16595" s="24"/>
      <c r="H16595" s="24"/>
      <c r="I16595" s="24"/>
      <c r="J16595" s="24"/>
      <c r="K16595" s="24"/>
      <c r="L16595" s="24"/>
      <c r="M16595" s="24"/>
      <c r="N16595" s="24"/>
      <c r="O16595" s="24"/>
      <c r="P16595" s="24"/>
      <c r="Q16595" s="24"/>
      <c r="R16595" s="24"/>
      <c r="S16595" s="24"/>
      <c r="T16595" s="24"/>
      <c r="U16595" s="24"/>
      <c r="V16595" s="24"/>
      <c r="W16595" s="24"/>
      <c r="X16595" s="24"/>
      <c r="Y16595" s="24"/>
      <c r="Z16595" s="24"/>
      <c r="AA16595" s="24"/>
    </row>
    <row r="16596">
      <c r="A16596" s="24"/>
      <c r="B16596" s="25"/>
      <c r="C16596" s="24"/>
      <c r="D16596" s="26"/>
      <c r="E16596" s="24"/>
      <c r="F16596" s="24"/>
      <c r="G16596" s="24"/>
      <c r="H16596" s="24"/>
      <c r="I16596" s="24"/>
      <c r="J16596" s="24"/>
      <c r="K16596" s="24"/>
      <c r="L16596" s="24"/>
      <c r="M16596" s="24"/>
      <c r="N16596" s="24"/>
      <c r="O16596" s="24"/>
      <c r="P16596" s="24"/>
      <c r="Q16596" s="24"/>
      <c r="R16596" s="24"/>
      <c r="S16596" s="24"/>
      <c r="T16596" s="24"/>
      <c r="U16596" s="24"/>
      <c r="V16596" s="24"/>
      <c r="W16596" s="24"/>
      <c r="X16596" s="24"/>
      <c r="Y16596" s="24"/>
      <c r="Z16596" s="24"/>
      <c r="AA16596" s="24"/>
    </row>
    <row r="16597">
      <c r="A16597" s="24"/>
      <c r="B16597" s="25"/>
      <c r="C16597" s="24"/>
      <c r="D16597" s="26"/>
      <c r="E16597" s="24"/>
      <c r="F16597" s="24"/>
      <c r="G16597" s="24"/>
      <c r="H16597" s="24"/>
      <c r="I16597" s="24"/>
      <c r="J16597" s="24"/>
      <c r="K16597" s="24"/>
      <c r="L16597" s="24"/>
      <c r="M16597" s="24"/>
      <c r="N16597" s="24"/>
      <c r="O16597" s="24"/>
      <c r="P16597" s="24"/>
      <c r="Q16597" s="24"/>
      <c r="R16597" s="24"/>
      <c r="S16597" s="24"/>
      <c r="T16597" s="24"/>
      <c r="U16597" s="24"/>
      <c r="V16597" s="24"/>
      <c r="W16597" s="24"/>
      <c r="X16597" s="24"/>
      <c r="Y16597" s="24"/>
      <c r="Z16597" s="24"/>
      <c r="AA16597" s="24"/>
    </row>
    <row r="16598">
      <c r="A16598" s="24"/>
      <c r="B16598" s="25"/>
      <c r="C16598" s="24"/>
      <c r="D16598" s="26"/>
      <c r="E16598" s="24"/>
      <c r="F16598" s="24"/>
      <c r="G16598" s="24"/>
      <c r="H16598" s="24"/>
      <c r="I16598" s="24"/>
      <c r="J16598" s="24"/>
      <c r="K16598" s="24"/>
      <c r="L16598" s="24"/>
      <c r="M16598" s="24"/>
      <c r="N16598" s="24"/>
      <c r="O16598" s="24"/>
      <c r="P16598" s="24"/>
      <c r="Q16598" s="24"/>
      <c r="R16598" s="24"/>
      <c r="S16598" s="24"/>
      <c r="T16598" s="24"/>
      <c r="U16598" s="24"/>
      <c r="V16598" s="24"/>
      <c r="W16598" s="24"/>
      <c r="X16598" s="24"/>
      <c r="Y16598" s="24"/>
      <c r="Z16598" s="24"/>
      <c r="AA16598" s="24"/>
    </row>
    <row r="16599">
      <c r="A16599" s="24"/>
      <c r="B16599" s="25"/>
      <c r="C16599" s="24"/>
      <c r="D16599" s="26"/>
      <c r="E16599" s="24"/>
      <c r="F16599" s="24"/>
      <c r="G16599" s="24"/>
      <c r="H16599" s="24"/>
      <c r="I16599" s="24"/>
      <c r="J16599" s="24"/>
      <c r="K16599" s="24"/>
      <c r="L16599" s="24"/>
      <c r="M16599" s="24"/>
      <c r="N16599" s="24"/>
      <c r="O16599" s="24"/>
      <c r="P16599" s="24"/>
      <c r="Q16599" s="24"/>
      <c r="R16599" s="24"/>
      <c r="S16599" s="24"/>
      <c r="T16599" s="24"/>
      <c r="U16599" s="24"/>
      <c r="V16599" s="24"/>
      <c r="W16599" s="24"/>
      <c r="X16599" s="24"/>
      <c r="Y16599" s="24"/>
      <c r="Z16599" s="24"/>
      <c r="AA16599" s="24"/>
    </row>
    <row r="16600">
      <c r="A16600" s="24"/>
      <c r="B16600" s="25"/>
      <c r="C16600" s="24"/>
      <c r="D16600" s="26"/>
      <c r="E16600" s="24"/>
      <c r="F16600" s="24"/>
      <c r="G16600" s="24"/>
      <c r="H16600" s="24"/>
      <c r="I16600" s="24"/>
      <c r="J16600" s="24"/>
      <c r="K16600" s="24"/>
      <c r="L16600" s="24"/>
      <c r="M16600" s="24"/>
      <c r="N16600" s="24"/>
      <c r="O16600" s="24"/>
      <c r="P16600" s="24"/>
      <c r="Q16600" s="24"/>
      <c r="R16600" s="24"/>
      <c r="S16600" s="24"/>
      <c r="T16600" s="24"/>
      <c r="U16600" s="24"/>
      <c r="V16600" s="24"/>
      <c r="W16600" s="24"/>
      <c r="X16600" s="24"/>
      <c r="Y16600" s="24"/>
      <c r="Z16600" s="24"/>
      <c r="AA16600" s="24"/>
    </row>
    <row r="16601">
      <c r="A16601" s="24"/>
      <c r="B16601" s="25"/>
      <c r="C16601" s="24"/>
      <c r="D16601" s="26"/>
      <c r="E16601" s="24"/>
      <c r="F16601" s="24"/>
      <c r="G16601" s="24"/>
      <c r="H16601" s="24"/>
      <c r="I16601" s="24"/>
      <c r="J16601" s="24"/>
      <c r="K16601" s="24"/>
      <c r="L16601" s="24"/>
      <c r="M16601" s="24"/>
      <c r="N16601" s="24"/>
      <c r="O16601" s="24"/>
      <c r="P16601" s="24"/>
      <c r="Q16601" s="24"/>
      <c r="R16601" s="24"/>
      <c r="S16601" s="24"/>
      <c r="T16601" s="24"/>
      <c r="U16601" s="24"/>
      <c r="V16601" s="24"/>
      <c r="W16601" s="24"/>
      <c r="X16601" s="24"/>
      <c r="Y16601" s="24"/>
      <c r="Z16601" s="24"/>
      <c r="AA16601" s="24"/>
    </row>
    <row r="16602">
      <c r="A16602" s="24"/>
      <c r="B16602" s="25"/>
      <c r="C16602" s="24"/>
      <c r="D16602" s="26"/>
      <c r="E16602" s="24"/>
      <c r="F16602" s="24"/>
      <c r="G16602" s="24"/>
      <c r="H16602" s="24"/>
      <c r="I16602" s="24"/>
      <c r="J16602" s="24"/>
      <c r="K16602" s="24"/>
      <c r="L16602" s="24"/>
      <c r="M16602" s="24"/>
      <c r="N16602" s="24"/>
      <c r="O16602" s="24"/>
      <c r="P16602" s="24"/>
      <c r="Q16602" s="24"/>
      <c r="R16602" s="24"/>
      <c r="S16602" s="24"/>
      <c r="T16602" s="24"/>
      <c r="U16602" s="24"/>
      <c r="V16602" s="24"/>
      <c r="W16602" s="24"/>
      <c r="X16602" s="24"/>
      <c r="Y16602" s="24"/>
      <c r="Z16602" s="24"/>
      <c r="AA16602" s="24"/>
    </row>
    <row r="16603">
      <c r="A16603" s="24"/>
      <c r="B16603" s="25"/>
      <c r="C16603" s="24"/>
      <c r="D16603" s="26"/>
      <c r="E16603" s="24"/>
      <c r="F16603" s="24"/>
      <c r="G16603" s="24"/>
      <c r="H16603" s="24"/>
      <c r="I16603" s="24"/>
      <c r="J16603" s="24"/>
      <c r="K16603" s="24"/>
      <c r="L16603" s="24"/>
      <c r="M16603" s="24"/>
      <c r="N16603" s="24"/>
      <c r="O16603" s="24"/>
      <c r="P16603" s="24"/>
      <c r="Q16603" s="24"/>
      <c r="R16603" s="24"/>
      <c r="S16603" s="24"/>
      <c r="T16603" s="24"/>
      <c r="U16603" s="24"/>
      <c r="V16603" s="24"/>
      <c r="W16603" s="24"/>
      <c r="X16603" s="24"/>
      <c r="Y16603" s="24"/>
      <c r="Z16603" s="24"/>
      <c r="AA16603" s="24"/>
    </row>
    <row r="16604">
      <c r="A16604" s="24"/>
      <c r="B16604" s="25"/>
      <c r="C16604" s="24"/>
      <c r="D16604" s="26"/>
      <c r="E16604" s="24"/>
      <c r="F16604" s="24"/>
      <c r="G16604" s="24"/>
      <c r="H16604" s="24"/>
      <c r="I16604" s="24"/>
      <c r="J16604" s="24"/>
      <c r="K16604" s="24"/>
      <c r="L16604" s="24"/>
      <c r="M16604" s="24"/>
      <c r="N16604" s="24"/>
      <c r="O16604" s="24"/>
      <c r="P16604" s="24"/>
      <c r="Q16604" s="24"/>
      <c r="R16604" s="24"/>
      <c r="S16604" s="24"/>
      <c r="T16604" s="24"/>
      <c r="U16604" s="24"/>
      <c r="V16604" s="24"/>
      <c r="W16604" s="24"/>
      <c r="X16604" s="24"/>
      <c r="Y16604" s="24"/>
      <c r="Z16604" s="24"/>
      <c r="AA16604" s="24"/>
    </row>
    <row r="16605">
      <c r="A16605" s="24"/>
      <c r="B16605" s="25"/>
      <c r="C16605" s="24"/>
      <c r="D16605" s="26"/>
      <c r="E16605" s="24"/>
      <c r="F16605" s="24"/>
      <c r="G16605" s="24"/>
      <c r="H16605" s="24"/>
      <c r="I16605" s="24"/>
      <c r="J16605" s="24"/>
      <c r="K16605" s="24"/>
      <c r="L16605" s="24"/>
      <c r="M16605" s="24"/>
      <c r="N16605" s="24"/>
      <c r="O16605" s="24"/>
      <c r="P16605" s="24"/>
      <c r="Q16605" s="24"/>
      <c r="R16605" s="24"/>
      <c r="S16605" s="24"/>
      <c r="T16605" s="24"/>
      <c r="U16605" s="24"/>
      <c r="V16605" s="24"/>
      <c r="W16605" s="24"/>
      <c r="X16605" s="24"/>
      <c r="Y16605" s="24"/>
      <c r="Z16605" s="24"/>
      <c r="AA16605" s="24"/>
    </row>
    <row r="16606">
      <c r="A16606" s="24"/>
      <c r="B16606" s="25"/>
      <c r="C16606" s="24"/>
      <c r="D16606" s="26"/>
      <c r="E16606" s="24"/>
      <c r="F16606" s="24"/>
      <c r="G16606" s="24"/>
      <c r="H16606" s="24"/>
      <c r="I16606" s="24"/>
      <c r="J16606" s="24"/>
      <c r="K16606" s="24"/>
      <c r="L16606" s="24"/>
      <c r="M16606" s="24"/>
      <c r="N16606" s="24"/>
      <c r="O16606" s="24"/>
      <c r="P16606" s="24"/>
      <c r="Q16606" s="24"/>
      <c r="R16606" s="24"/>
      <c r="S16606" s="24"/>
      <c r="T16606" s="24"/>
      <c r="U16606" s="24"/>
      <c r="V16606" s="24"/>
      <c r="W16606" s="24"/>
      <c r="X16606" s="24"/>
      <c r="Y16606" s="24"/>
      <c r="Z16606" s="24"/>
      <c r="AA16606" s="24"/>
    </row>
    <row r="16607">
      <c r="A16607" s="24"/>
      <c r="B16607" s="25"/>
      <c r="C16607" s="24"/>
      <c r="D16607" s="26"/>
      <c r="E16607" s="24"/>
      <c r="F16607" s="24"/>
      <c r="G16607" s="24"/>
      <c r="H16607" s="24"/>
      <c r="I16607" s="24"/>
      <c r="J16607" s="24"/>
      <c r="K16607" s="24"/>
      <c r="L16607" s="24"/>
      <c r="M16607" s="24"/>
      <c r="N16607" s="24"/>
      <c r="O16607" s="24"/>
      <c r="P16607" s="24"/>
      <c r="Q16607" s="24"/>
      <c r="R16607" s="24"/>
      <c r="S16607" s="24"/>
      <c r="T16607" s="24"/>
      <c r="U16607" s="24"/>
      <c r="V16607" s="24"/>
      <c r="W16607" s="24"/>
      <c r="X16607" s="24"/>
      <c r="Y16607" s="24"/>
      <c r="Z16607" s="24"/>
      <c r="AA16607" s="24"/>
    </row>
    <row r="16608">
      <c r="A16608" s="24"/>
      <c r="B16608" s="25"/>
      <c r="C16608" s="24"/>
      <c r="D16608" s="26"/>
      <c r="E16608" s="24"/>
      <c r="F16608" s="24"/>
      <c r="G16608" s="24"/>
      <c r="H16608" s="24"/>
      <c r="I16608" s="24"/>
      <c r="J16608" s="24"/>
      <c r="K16608" s="24"/>
      <c r="L16608" s="24"/>
      <c r="M16608" s="24"/>
      <c r="N16608" s="24"/>
      <c r="O16608" s="24"/>
      <c r="P16608" s="24"/>
      <c r="Q16608" s="24"/>
      <c r="R16608" s="24"/>
      <c r="S16608" s="24"/>
      <c r="T16608" s="24"/>
      <c r="U16608" s="24"/>
      <c r="V16608" s="24"/>
      <c r="W16608" s="24"/>
      <c r="X16608" s="24"/>
      <c r="Y16608" s="24"/>
      <c r="Z16608" s="24"/>
      <c r="AA16608" s="24"/>
    </row>
    <row r="16609">
      <c r="A16609" s="24"/>
      <c r="B16609" s="25"/>
      <c r="C16609" s="24"/>
      <c r="D16609" s="26"/>
      <c r="E16609" s="24"/>
      <c r="F16609" s="24"/>
      <c r="G16609" s="24"/>
      <c r="H16609" s="24"/>
      <c r="I16609" s="24"/>
      <c r="J16609" s="24"/>
      <c r="K16609" s="24"/>
      <c r="L16609" s="24"/>
      <c r="M16609" s="24"/>
      <c r="N16609" s="24"/>
      <c r="O16609" s="24"/>
      <c r="P16609" s="24"/>
      <c r="Q16609" s="24"/>
      <c r="R16609" s="24"/>
      <c r="S16609" s="24"/>
      <c r="T16609" s="24"/>
      <c r="U16609" s="24"/>
      <c r="V16609" s="24"/>
      <c r="W16609" s="24"/>
      <c r="X16609" s="24"/>
      <c r="Y16609" s="24"/>
      <c r="Z16609" s="24"/>
      <c r="AA16609" s="24"/>
    </row>
    <row r="16610">
      <c r="A16610" s="24"/>
      <c r="B16610" s="25"/>
      <c r="C16610" s="24"/>
      <c r="D16610" s="26"/>
      <c r="E16610" s="24"/>
      <c r="F16610" s="24"/>
      <c r="G16610" s="24"/>
      <c r="H16610" s="24"/>
      <c r="I16610" s="24"/>
      <c r="J16610" s="24"/>
      <c r="K16610" s="24"/>
      <c r="L16610" s="24"/>
      <c r="M16610" s="24"/>
      <c r="N16610" s="24"/>
      <c r="O16610" s="24"/>
      <c r="P16610" s="24"/>
      <c r="Q16610" s="24"/>
      <c r="R16610" s="24"/>
      <c r="S16610" s="24"/>
      <c r="T16610" s="24"/>
      <c r="U16610" s="24"/>
      <c r="V16610" s="24"/>
      <c r="W16610" s="24"/>
      <c r="X16610" s="24"/>
      <c r="Y16610" s="24"/>
      <c r="Z16610" s="24"/>
      <c r="AA16610" s="24"/>
    </row>
    <row r="16611">
      <c r="A16611" s="24"/>
      <c r="B16611" s="25"/>
      <c r="C16611" s="24"/>
      <c r="D16611" s="26"/>
      <c r="E16611" s="24"/>
      <c r="F16611" s="24"/>
      <c r="G16611" s="24"/>
      <c r="H16611" s="24"/>
      <c r="I16611" s="24"/>
      <c r="J16611" s="24"/>
      <c r="K16611" s="24"/>
      <c r="L16611" s="24"/>
      <c r="M16611" s="24"/>
      <c r="N16611" s="24"/>
      <c r="O16611" s="24"/>
      <c r="P16611" s="24"/>
      <c r="Q16611" s="24"/>
      <c r="R16611" s="24"/>
      <c r="S16611" s="24"/>
      <c r="T16611" s="24"/>
      <c r="U16611" s="24"/>
      <c r="V16611" s="24"/>
      <c r="W16611" s="24"/>
      <c r="X16611" s="24"/>
      <c r="Y16611" s="24"/>
      <c r="Z16611" s="24"/>
      <c r="AA16611" s="24"/>
    </row>
    <row r="16612">
      <c r="A16612" s="24"/>
      <c r="B16612" s="25"/>
      <c r="C16612" s="24"/>
      <c r="D16612" s="26"/>
      <c r="E16612" s="24"/>
      <c r="F16612" s="24"/>
      <c r="G16612" s="24"/>
      <c r="H16612" s="24"/>
      <c r="I16612" s="24"/>
      <c r="J16612" s="24"/>
      <c r="K16612" s="24"/>
      <c r="L16612" s="24"/>
      <c r="M16612" s="24"/>
      <c r="N16612" s="24"/>
      <c r="O16612" s="24"/>
      <c r="P16612" s="24"/>
      <c r="Q16612" s="24"/>
      <c r="R16612" s="24"/>
      <c r="S16612" s="24"/>
      <c r="T16612" s="24"/>
      <c r="U16612" s="24"/>
      <c r="V16612" s="24"/>
      <c r="W16612" s="24"/>
      <c r="X16612" s="24"/>
      <c r="Y16612" s="24"/>
      <c r="Z16612" s="24"/>
      <c r="AA16612" s="24"/>
    </row>
    <row r="16613">
      <c r="A16613" s="24"/>
      <c r="B16613" s="25"/>
      <c r="C16613" s="24"/>
      <c r="D16613" s="26"/>
      <c r="E16613" s="24"/>
      <c r="F16613" s="24"/>
      <c r="G16613" s="24"/>
      <c r="H16613" s="24"/>
      <c r="I16613" s="24"/>
      <c r="J16613" s="24"/>
      <c r="K16613" s="24"/>
      <c r="L16613" s="24"/>
      <c r="M16613" s="24"/>
      <c r="N16613" s="24"/>
      <c r="O16613" s="24"/>
      <c r="P16613" s="24"/>
      <c r="Q16613" s="24"/>
      <c r="R16613" s="24"/>
      <c r="S16613" s="24"/>
      <c r="T16613" s="24"/>
      <c r="U16613" s="24"/>
      <c r="V16613" s="24"/>
      <c r="W16613" s="24"/>
      <c r="X16613" s="24"/>
      <c r="Y16613" s="24"/>
      <c r="Z16613" s="24"/>
      <c r="AA16613" s="24"/>
    </row>
    <row r="16614">
      <c r="A16614" s="24"/>
      <c r="B16614" s="25"/>
      <c r="C16614" s="24"/>
      <c r="D16614" s="26"/>
      <c r="E16614" s="24"/>
      <c r="F16614" s="24"/>
      <c r="G16614" s="24"/>
      <c r="H16614" s="24"/>
      <c r="I16614" s="24"/>
      <c r="J16614" s="24"/>
      <c r="K16614" s="24"/>
      <c r="L16614" s="24"/>
      <c r="M16614" s="24"/>
      <c r="N16614" s="24"/>
      <c r="O16614" s="24"/>
      <c r="P16614" s="24"/>
      <c r="Q16614" s="24"/>
      <c r="R16614" s="24"/>
      <c r="S16614" s="24"/>
      <c r="T16614" s="24"/>
      <c r="U16614" s="24"/>
      <c r="V16614" s="24"/>
      <c r="W16614" s="24"/>
      <c r="X16614" s="24"/>
      <c r="Y16614" s="24"/>
      <c r="Z16614" s="24"/>
      <c r="AA16614" s="24"/>
    </row>
    <row r="16615">
      <c r="A16615" s="24"/>
      <c r="B16615" s="25"/>
      <c r="C16615" s="24"/>
      <c r="D16615" s="26"/>
      <c r="E16615" s="24"/>
      <c r="F16615" s="24"/>
      <c r="G16615" s="24"/>
      <c r="H16615" s="24"/>
      <c r="I16615" s="24"/>
      <c r="J16615" s="24"/>
      <c r="K16615" s="24"/>
      <c r="L16615" s="24"/>
      <c r="M16615" s="24"/>
      <c r="N16615" s="24"/>
      <c r="O16615" s="24"/>
      <c r="P16615" s="24"/>
      <c r="Q16615" s="24"/>
      <c r="R16615" s="24"/>
      <c r="S16615" s="24"/>
      <c r="T16615" s="24"/>
      <c r="U16615" s="24"/>
      <c r="V16615" s="24"/>
      <c r="W16615" s="24"/>
      <c r="X16615" s="24"/>
      <c r="Y16615" s="24"/>
      <c r="Z16615" s="24"/>
      <c r="AA16615" s="24"/>
    </row>
    <row r="16616">
      <c r="A16616" s="24"/>
      <c r="B16616" s="25"/>
      <c r="C16616" s="24"/>
      <c r="D16616" s="26"/>
      <c r="E16616" s="24"/>
      <c r="F16616" s="24"/>
      <c r="G16616" s="24"/>
      <c r="H16616" s="24"/>
      <c r="I16616" s="24"/>
      <c r="J16616" s="24"/>
      <c r="K16616" s="24"/>
      <c r="L16616" s="24"/>
      <c r="M16616" s="24"/>
      <c r="N16616" s="24"/>
      <c r="O16616" s="24"/>
      <c r="P16616" s="24"/>
      <c r="Q16616" s="24"/>
      <c r="R16616" s="24"/>
      <c r="S16616" s="24"/>
      <c r="T16616" s="24"/>
      <c r="U16616" s="24"/>
      <c r="V16616" s="24"/>
      <c r="W16616" s="24"/>
      <c r="X16616" s="24"/>
      <c r="Y16616" s="24"/>
      <c r="Z16616" s="24"/>
      <c r="AA16616" s="24"/>
    </row>
    <row r="16617">
      <c r="A16617" s="24"/>
      <c r="B16617" s="25"/>
      <c r="C16617" s="24"/>
      <c r="D16617" s="26"/>
      <c r="E16617" s="24"/>
      <c r="F16617" s="24"/>
      <c r="G16617" s="24"/>
      <c r="H16617" s="24"/>
      <c r="I16617" s="24"/>
      <c r="J16617" s="24"/>
      <c r="K16617" s="24"/>
      <c r="L16617" s="24"/>
      <c r="M16617" s="24"/>
      <c r="N16617" s="24"/>
      <c r="O16617" s="24"/>
      <c r="P16617" s="24"/>
      <c r="Q16617" s="24"/>
      <c r="R16617" s="24"/>
      <c r="S16617" s="24"/>
      <c r="T16617" s="24"/>
      <c r="U16617" s="24"/>
      <c r="V16617" s="24"/>
      <c r="W16617" s="24"/>
      <c r="X16617" s="24"/>
      <c r="Y16617" s="24"/>
      <c r="Z16617" s="24"/>
      <c r="AA16617" s="24"/>
    </row>
    <row r="16618">
      <c r="A16618" s="24"/>
      <c r="B16618" s="25"/>
      <c r="C16618" s="24"/>
      <c r="D16618" s="26"/>
      <c r="E16618" s="24"/>
      <c r="F16618" s="24"/>
      <c r="G16618" s="24"/>
      <c r="H16618" s="24"/>
      <c r="I16618" s="24"/>
      <c r="J16618" s="24"/>
      <c r="K16618" s="24"/>
      <c r="L16618" s="24"/>
      <c r="M16618" s="24"/>
      <c r="N16618" s="24"/>
      <c r="O16618" s="24"/>
      <c r="P16618" s="24"/>
      <c r="Q16618" s="24"/>
      <c r="R16618" s="24"/>
      <c r="S16618" s="24"/>
      <c r="T16618" s="24"/>
      <c r="U16618" s="24"/>
      <c r="V16618" s="24"/>
      <c r="W16618" s="24"/>
      <c r="X16618" s="24"/>
      <c r="Y16618" s="24"/>
      <c r="Z16618" s="24"/>
      <c r="AA16618" s="24"/>
    </row>
    <row r="16619">
      <c r="A16619" s="24"/>
      <c r="B16619" s="25"/>
      <c r="C16619" s="24"/>
      <c r="D16619" s="26"/>
      <c r="E16619" s="24"/>
      <c r="F16619" s="24"/>
      <c r="G16619" s="24"/>
      <c r="H16619" s="24"/>
      <c r="I16619" s="24"/>
      <c r="J16619" s="24"/>
      <c r="K16619" s="24"/>
      <c r="L16619" s="24"/>
      <c r="M16619" s="24"/>
      <c r="N16619" s="24"/>
      <c r="O16619" s="24"/>
      <c r="P16619" s="24"/>
      <c r="Q16619" s="24"/>
      <c r="R16619" s="24"/>
      <c r="S16619" s="24"/>
      <c r="T16619" s="24"/>
      <c r="U16619" s="24"/>
      <c r="V16619" s="24"/>
      <c r="W16619" s="24"/>
      <c r="X16619" s="24"/>
      <c r="Y16619" s="24"/>
      <c r="Z16619" s="24"/>
      <c r="AA16619" s="24"/>
    </row>
    <row r="16620">
      <c r="A16620" s="24"/>
      <c r="B16620" s="25"/>
      <c r="C16620" s="24"/>
      <c r="D16620" s="26"/>
      <c r="E16620" s="24"/>
      <c r="F16620" s="24"/>
      <c r="G16620" s="24"/>
      <c r="H16620" s="24"/>
      <c r="I16620" s="24"/>
      <c r="J16620" s="24"/>
      <c r="K16620" s="24"/>
      <c r="L16620" s="24"/>
      <c r="M16620" s="24"/>
      <c r="N16620" s="24"/>
      <c r="O16620" s="24"/>
      <c r="P16620" s="24"/>
      <c r="Q16620" s="24"/>
      <c r="R16620" s="24"/>
      <c r="S16620" s="24"/>
      <c r="T16620" s="24"/>
      <c r="U16620" s="24"/>
      <c r="V16620" s="24"/>
      <c r="W16620" s="24"/>
      <c r="X16620" s="24"/>
      <c r="Y16620" s="24"/>
      <c r="Z16620" s="24"/>
      <c r="AA16620" s="24"/>
    </row>
    <row r="16621">
      <c r="A16621" s="24"/>
      <c r="B16621" s="25"/>
      <c r="C16621" s="24"/>
      <c r="D16621" s="26"/>
      <c r="E16621" s="24"/>
      <c r="F16621" s="24"/>
      <c r="G16621" s="24"/>
      <c r="H16621" s="24"/>
      <c r="I16621" s="24"/>
      <c r="J16621" s="24"/>
      <c r="K16621" s="24"/>
      <c r="L16621" s="24"/>
      <c r="M16621" s="24"/>
      <c r="N16621" s="24"/>
      <c r="O16621" s="24"/>
      <c r="P16621" s="24"/>
      <c r="Q16621" s="24"/>
      <c r="R16621" s="24"/>
      <c r="S16621" s="24"/>
      <c r="T16621" s="24"/>
      <c r="U16621" s="24"/>
      <c r="V16621" s="24"/>
      <c r="W16621" s="24"/>
      <c r="X16621" s="24"/>
      <c r="Y16621" s="24"/>
      <c r="Z16621" s="24"/>
      <c r="AA16621" s="24"/>
    </row>
    <row r="16622">
      <c r="A16622" s="24"/>
      <c r="B16622" s="25"/>
      <c r="C16622" s="24"/>
      <c r="D16622" s="26"/>
      <c r="E16622" s="24"/>
      <c r="F16622" s="24"/>
      <c r="G16622" s="24"/>
      <c r="H16622" s="24"/>
      <c r="I16622" s="24"/>
      <c r="J16622" s="24"/>
      <c r="K16622" s="24"/>
      <c r="L16622" s="24"/>
      <c r="M16622" s="24"/>
      <c r="N16622" s="24"/>
      <c r="O16622" s="24"/>
      <c r="P16622" s="24"/>
      <c r="Q16622" s="24"/>
      <c r="R16622" s="24"/>
      <c r="S16622" s="24"/>
      <c r="T16622" s="24"/>
      <c r="U16622" s="24"/>
      <c r="V16622" s="24"/>
      <c r="W16622" s="24"/>
      <c r="X16622" s="24"/>
      <c r="Y16622" s="24"/>
      <c r="Z16622" s="24"/>
      <c r="AA16622" s="24"/>
    </row>
    <row r="16623">
      <c r="A16623" s="24"/>
      <c r="B16623" s="25"/>
      <c r="C16623" s="24"/>
      <c r="D16623" s="26"/>
      <c r="E16623" s="24"/>
      <c r="F16623" s="24"/>
      <c r="G16623" s="24"/>
      <c r="H16623" s="24"/>
      <c r="I16623" s="24"/>
      <c r="J16623" s="24"/>
      <c r="K16623" s="24"/>
      <c r="L16623" s="24"/>
      <c r="M16623" s="24"/>
      <c r="N16623" s="24"/>
      <c r="O16623" s="24"/>
      <c r="P16623" s="24"/>
      <c r="Q16623" s="24"/>
      <c r="R16623" s="24"/>
      <c r="S16623" s="24"/>
      <c r="T16623" s="24"/>
      <c r="U16623" s="24"/>
      <c r="V16623" s="24"/>
      <c r="W16623" s="24"/>
      <c r="X16623" s="24"/>
      <c r="Y16623" s="24"/>
      <c r="Z16623" s="24"/>
      <c r="AA16623" s="24"/>
    </row>
    <row r="16624">
      <c r="A16624" s="24"/>
      <c r="B16624" s="25"/>
      <c r="C16624" s="24"/>
      <c r="D16624" s="26"/>
      <c r="E16624" s="24"/>
      <c r="F16624" s="24"/>
      <c r="G16624" s="24"/>
      <c r="H16624" s="24"/>
      <c r="I16624" s="24"/>
      <c r="J16624" s="24"/>
      <c r="K16624" s="24"/>
      <c r="L16624" s="24"/>
      <c r="M16624" s="24"/>
      <c r="N16624" s="24"/>
      <c r="O16624" s="24"/>
      <c r="P16624" s="24"/>
      <c r="Q16624" s="24"/>
      <c r="R16624" s="24"/>
      <c r="S16624" s="24"/>
      <c r="T16624" s="24"/>
      <c r="U16624" s="24"/>
      <c r="V16624" s="24"/>
      <c r="W16624" s="24"/>
      <c r="X16624" s="24"/>
      <c r="Y16624" s="24"/>
      <c r="Z16624" s="24"/>
      <c r="AA16624" s="24"/>
    </row>
    <row r="16625">
      <c r="A16625" s="24"/>
      <c r="B16625" s="25"/>
      <c r="C16625" s="24"/>
      <c r="D16625" s="26"/>
      <c r="E16625" s="24"/>
      <c r="F16625" s="24"/>
      <c r="G16625" s="24"/>
      <c r="H16625" s="24"/>
      <c r="I16625" s="24"/>
      <c r="J16625" s="24"/>
      <c r="K16625" s="24"/>
      <c r="L16625" s="24"/>
      <c r="M16625" s="24"/>
      <c r="N16625" s="24"/>
      <c r="O16625" s="24"/>
      <c r="P16625" s="24"/>
      <c r="Q16625" s="24"/>
      <c r="R16625" s="24"/>
      <c r="S16625" s="24"/>
      <c r="T16625" s="24"/>
      <c r="U16625" s="24"/>
      <c r="V16625" s="24"/>
      <c r="W16625" s="24"/>
      <c r="X16625" s="24"/>
      <c r="Y16625" s="24"/>
      <c r="Z16625" s="24"/>
      <c r="AA16625" s="24"/>
    </row>
    <row r="16626">
      <c r="A16626" s="24"/>
      <c r="B16626" s="25"/>
      <c r="C16626" s="24"/>
      <c r="D16626" s="26"/>
      <c r="E16626" s="24"/>
      <c r="F16626" s="24"/>
      <c r="G16626" s="24"/>
      <c r="H16626" s="24"/>
      <c r="I16626" s="24"/>
      <c r="J16626" s="24"/>
      <c r="K16626" s="24"/>
      <c r="L16626" s="24"/>
      <c r="M16626" s="24"/>
      <c r="N16626" s="24"/>
      <c r="O16626" s="24"/>
      <c r="P16626" s="24"/>
      <c r="Q16626" s="24"/>
      <c r="R16626" s="24"/>
      <c r="S16626" s="24"/>
      <c r="T16626" s="24"/>
      <c r="U16626" s="24"/>
      <c r="V16626" s="24"/>
      <c r="W16626" s="24"/>
      <c r="X16626" s="24"/>
      <c r="Y16626" s="24"/>
      <c r="Z16626" s="24"/>
      <c r="AA16626" s="24"/>
    </row>
    <row r="16627">
      <c r="A16627" s="24"/>
      <c r="B16627" s="25"/>
      <c r="C16627" s="24"/>
      <c r="D16627" s="26"/>
      <c r="E16627" s="24"/>
      <c r="F16627" s="24"/>
      <c r="G16627" s="24"/>
      <c r="H16627" s="24"/>
      <c r="I16627" s="24"/>
      <c r="J16627" s="24"/>
      <c r="K16627" s="24"/>
      <c r="L16627" s="24"/>
      <c r="M16627" s="24"/>
      <c r="N16627" s="24"/>
      <c r="O16627" s="24"/>
      <c r="P16627" s="24"/>
      <c r="Q16627" s="24"/>
      <c r="R16627" s="24"/>
      <c r="S16627" s="24"/>
      <c r="T16627" s="24"/>
      <c r="U16627" s="24"/>
      <c r="V16627" s="24"/>
      <c r="W16627" s="24"/>
      <c r="X16627" s="24"/>
      <c r="Y16627" s="24"/>
      <c r="Z16627" s="24"/>
      <c r="AA16627" s="24"/>
    </row>
    <row r="16628">
      <c r="A16628" s="24"/>
      <c r="B16628" s="25"/>
      <c r="C16628" s="24"/>
      <c r="D16628" s="26"/>
      <c r="E16628" s="24"/>
      <c r="F16628" s="24"/>
      <c r="G16628" s="24"/>
      <c r="H16628" s="24"/>
      <c r="I16628" s="24"/>
      <c r="J16628" s="24"/>
      <c r="K16628" s="24"/>
      <c r="L16628" s="24"/>
      <c r="M16628" s="24"/>
      <c r="N16628" s="24"/>
      <c r="O16628" s="24"/>
      <c r="P16628" s="24"/>
      <c r="Q16628" s="24"/>
      <c r="R16628" s="24"/>
      <c r="S16628" s="24"/>
      <c r="T16628" s="24"/>
      <c r="U16628" s="24"/>
      <c r="V16628" s="24"/>
      <c r="W16628" s="24"/>
      <c r="X16628" s="24"/>
      <c r="Y16628" s="24"/>
      <c r="Z16628" s="24"/>
      <c r="AA16628" s="24"/>
    </row>
    <row r="16629">
      <c r="A16629" s="24"/>
      <c r="B16629" s="25"/>
      <c r="C16629" s="24"/>
      <c r="D16629" s="26"/>
      <c r="E16629" s="24"/>
      <c r="F16629" s="24"/>
      <c r="G16629" s="24"/>
      <c r="H16629" s="24"/>
      <c r="I16629" s="24"/>
      <c r="J16629" s="24"/>
      <c r="K16629" s="24"/>
      <c r="L16629" s="24"/>
      <c r="M16629" s="24"/>
      <c r="N16629" s="24"/>
      <c r="O16629" s="24"/>
      <c r="P16629" s="24"/>
      <c r="Q16629" s="24"/>
      <c r="R16629" s="24"/>
      <c r="S16629" s="24"/>
      <c r="T16629" s="24"/>
      <c r="U16629" s="24"/>
      <c r="V16629" s="24"/>
      <c r="W16629" s="24"/>
      <c r="X16629" s="24"/>
      <c r="Y16629" s="24"/>
      <c r="Z16629" s="24"/>
      <c r="AA16629" s="24"/>
    </row>
    <row r="16630">
      <c r="A16630" s="24"/>
      <c r="B16630" s="25"/>
      <c r="C16630" s="24"/>
      <c r="D16630" s="26"/>
      <c r="E16630" s="24"/>
      <c r="F16630" s="24"/>
      <c r="G16630" s="24"/>
      <c r="H16630" s="24"/>
      <c r="I16630" s="24"/>
      <c r="J16630" s="24"/>
      <c r="K16630" s="24"/>
      <c r="L16630" s="24"/>
      <c r="M16630" s="24"/>
      <c r="N16630" s="24"/>
      <c r="O16630" s="24"/>
      <c r="P16630" s="24"/>
      <c r="Q16630" s="24"/>
      <c r="R16630" s="24"/>
      <c r="S16630" s="24"/>
      <c r="T16630" s="24"/>
      <c r="U16630" s="24"/>
      <c r="V16630" s="24"/>
      <c r="W16630" s="24"/>
      <c r="X16630" s="24"/>
      <c r="Y16630" s="24"/>
      <c r="Z16630" s="24"/>
      <c r="AA16630" s="24"/>
    </row>
    <row r="16631">
      <c r="A16631" s="24"/>
      <c r="B16631" s="25"/>
      <c r="C16631" s="24"/>
      <c r="D16631" s="26"/>
      <c r="E16631" s="24"/>
      <c r="F16631" s="24"/>
      <c r="G16631" s="24"/>
      <c r="H16631" s="24"/>
      <c r="I16631" s="24"/>
      <c r="J16631" s="24"/>
      <c r="K16631" s="24"/>
      <c r="L16631" s="24"/>
      <c r="M16631" s="24"/>
      <c r="N16631" s="24"/>
      <c r="O16631" s="24"/>
      <c r="P16631" s="24"/>
      <c r="Q16631" s="24"/>
      <c r="R16631" s="24"/>
      <c r="S16631" s="24"/>
      <c r="T16631" s="24"/>
      <c r="U16631" s="24"/>
      <c r="V16631" s="24"/>
      <c r="W16631" s="24"/>
      <c r="X16631" s="24"/>
      <c r="Y16631" s="24"/>
      <c r="Z16631" s="24"/>
      <c r="AA16631" s="24"/>
    </row>
    <row r="16632">
      <c r="A16632" s="24"/>
      <c r="B16632" s="25"/>
      <c r="C16632" s="24"/>
      <c r="D16632" s="26"/>
      <c r="E16632" s="24"/>
      <c r="F16632" s="24"/>
      <c r="G16632" s="24"/>
      <c r="H16632" s="24"/>
      <c r="I16632" s="24"/>
      <c r="J16632" s="24"/>
      <c r="K16632" s="24"/>
      <c r="L16632" s="24"/>
      <c r="M16632" s="24"/>
      <c r="N16632" s="24"/>
      <c r="O16632" s="24"/>
      <c r="P16632" s="24"/>
      <c r="Q16632" s="24"/>
      <c r="R16632" s="24"/>
      <c r="S16632" s="24"/>
      <c r="T16632" s="24"/>
      <c r="U16632" s="24"/>
      <c r="V16632" s="24"/>
      <c r="W16632" s="24"/>
      <c r="X16632" s="24"/>
      <c r="Y16632" s="24"/>
      <c r="Z16632" s="24"/>
      <c r="AA16632" s="24"/>
    </row>
    <row r="16633">
      <c r="A16633" s="24"/>
      <c r="B16633" s="25"/>
      <c r="C16633" s="24"/>
      <c r="D16633" s="26"/>
      <c r="E16633" s="24"/>
      <c r="F16633" s="24"/>
      <c r="G16633" s="24"/>
      <c r="H16633" s="24"/>
      <c r="I16633" s="24"/>
      <c r="J16633" s="24"/>
      <c r="K16633" s="24"/>
      <c r="L16633" s="24"/>
      <c r="M16633" s="24"/>
      <c r="N16633" s="24"/>
      <c r="O16633" s="24"/>
      <c r="P16633" s="24"/>
      <c r="Q16633" s="24"/>
      <c r="R16633" s="24"/>
      <c r="S16633" s="24"/>
      <c r="T16633" s="24"/>
      <c r="U16633" s="24"/>
      <c r="V16633" s="24"/>
      <c r="W16633" s="24"/>
      <c r="X16633" s="24"/>
      <c r="Y16633" s="24"/>
      <c r="Z16633" s="24"/>
      <c r="AA16633" s="24"/>
    </row>
    <row r="16634">
      <c r="A16634" s="24"/>
      <c r="B16634" s="25"/>
      <c r="C16634" s="24"/>
      <c r="D16634" s="26"/>
      <c r="E16634" s="24"/>
      <c r="F16634" s="24"/>
      <c r="G16634" s="24"/>
      <c r="H16634" s="24"/>
      <c r="I16634" s="24"/>
      <c r="J16634" s="24"/>
      <c r="K16634" s="24"/>
      <c r="L16634" s="24"/>
      <c r="M16634" s="24"/>
      <c r="N16634" s="24"/>
      <c r="O16634" s="24"/>
      <c r="P16634" s="24"/>
      <c r="Q16634" s="24"/>
      <c r="R16634" s="24"/>
      <c r="S16634" s="24"/>
      <c r="T16634" s="24"/>
      <c r="U16634" s="24"/>
      <c r="V16634" s="24"/>
      <c r="W16634" s="24"/>
      <c r="X16634" s="24"/>
      <c r="Y16634" s="24"/>
      <c r="Z16634" s="24"/>
      <c r="AA16634" s="24"/>
    </row>
    <row r="16635">
      <c r="A16635" s="24"/>
      <c r="B16635" s="25"/>
      <c r="C16635" s="24"/>
      <c r="D16635" s="26"/>
      <c r="E16635" s="24"/>
      <c r="F16635" s="24"/>
      <c r="G16635" s="24"/>
      <c r="H16635" s="24"/>
      <c r="I16635" s="24"/>
      <c r="J16635" s="24"/>
      <c r="K16635" s="24"/>
      <c r="L16635" s="24"/>
      <c r="M16635" s="24"/>
      <c r="N16635" s="24"/>
      <c r="O16635" s="24"/>
      <c r="P16635" s="24"/>
      <c r="Q16635" s="24"/>
      <c r="R16635" s="24"/>
      <c r="S16635" s="24"/>
      <c r="T16635" s="24"/>
      <c r="U16635" s="24"/>
      <c r="V16635" s="24"/>
      <c r="W16635" s="24"/>
      <c r="X16635" s="24"/>
      <c r="Y16635" s="24"/>
      <c r="Z16635" s="24"/>
      <c r="AA16635" s="24"/>
    </row>
    <row r="16636">
      <c r="A16636" s="24"/>
      <c r="B16636" s="25"/>
      <c r="C16636" s="24"/>
      <c r="D16636" s="26"/>
      <c r="E16636" s="24"/>
      <c r="F16636" s="24"/>
      <c r="G16636" s="24"/>
      <c r="H16636" s="24"/>
      <c r="I16636" s="24"/>
      <c r="J16636" s="24"/>
      <c r="K16636" s="24"/>
      <c r="L16636" s="24"/>
      <c r="M16636" s="24"/>
      <c r="N16636" s="24"/>
      <c r="O16636" s="24"/>
      <c r="P16636" s="24"/>
      <c r="Q16636" s="24"/>
      <c r="R16636" s="24"/>
      <c r="S16636" s="24"/>
      <c r="T16636" s="24"/>
      <c r="U16636" s="24"/>
      <c r="V16636" s="24"/>
      <c r="W16636" s="24"/>
      <c r="X16636" s="24"/>
      <c r="Y16636" s="24"/>
      <c r="Z16636" s="24"/>
      <c r="AA16636" s="24"/>
    </row>
    <row r="16637">
      <c r="A16637" s="24"/>
      <c r="B16637" s="25"/>
      <c r="C16637" s="24"/>
      <c r="D16637" s="26"/>
      <c r="E16637" s="24"/>
      <c r="F16637" s="24"/>
      <c r="G16637" s="24"/>
      <c r="H16637" s="24"/>
      <c r="I16637" s="24"/>
      <c r="J16637" s="24"/>
      <c r="K16637" s="24"/>
      <c r="L16637" s="24"/>
      <c r="M16637" s="24"/>
      <c r="N16637" s="24"/>
      <c r="O16637" s="24"/>
      <c r="P16637" s="24"/>
      <c r="Q16637" s="24"/>
      <c r="R16637" s="24"/>
      <c r="S16637" s="24"/>
      <c r="T16637" s="24"/>
      <c r="U16637" s="24"/>
      <c r="V16637" s="24"/>
      <c r="W16637" s="24"/>
      <c r="X16637" s="24"/>
      <c r="Y16637" s="24"/>
      <c r="Z16637" s="24"/>
      <c r="AA16637" s="24"/>
    </row>
    <row r="16638">
      <c r="A16638" s="24"/>
      <c r="B16638" s="25"/>
      <c r="C16638" s="24"/>
      <c r="D16638" s="26"/>
      <c r="E16638" s="24"/>
      <c r="F16638" s="24"/>
      <c r="G16638" s="24"/>
      <c r="H16638" s="24"/>
      <c r="I16638" s="24"/>
      <c r="J16638" s="24"/>
      <c r="K16638" s="24"/>
      <c r="L16638" s="24"/>
      <c r="M16638" s="24"/>
      <c r="N16638" s="24"/>
      <c r="O16638" s="24"/>
      <c r="P16638" s="24"/>
      <c r="Q16638" s="24"/>
      <c r="R16638" s="24"/>
      <c r="S16638" s="24"/>
      <c r="T16638" s="24"/>
      <c r="U16638" s="24"/>
      <c r="V16638" s="24"/>
      <c r="W16638" s="24"/>
      <c r="X16638" s="24"/>
      <c r="Y16638" s="24"/>
      <c r="Z16638" s="24"/>
      <c r="AA16638" s="24"/>
    </row>
    <row r="16639">
      <c r="A16639" s="24"/>
      <c r="B16639" s="25"/>
      <c r="C16639" s="24"/>
      <c r="D16639" s="26"/>
      <c r="E16639" s="24"/>
      <c r="F16639" s="24"/>
      <c r="G16639" s="24"/>
      <c r="H16639" s="24"/>
      <c r="I16639" s="24"/>
      <c r="J16639" s="24"/>
      <c r="K16639" s="24"/>
      <c r="L16639" s="24"/>
      <c r="M16639" s="24"/>
      <c r="N16639" s="24"/>
      <c r="O16639" s="24"/>
      <c r="P16639" s="24"/>
      <c r="Q16639" s="24"/>
      <c r="R16639" s="24"/>
      <c r="S16639" s="24"/>
      <c r="T16639" s="24"/>
      <c r="U16639" s="24"/>
      <c r="V16639" s="24"/>
      <c r="W16639" s="24"/>
      <c r="X16639" s="24"/>
      <c r="Y16639" s="24"/>
      <c r="Z16639" s="24"/>
      <c r="AA16639" s="24"/>
    </row>
    <row r="16640">
      <c r="A16640" s="24"/>
      <c r="B16640" s="25"/>
      <c r="C16640" s="24"/>
      <c r="D16640" s="26"/>
      <c r="E16640" s="24"/>
      <c r="F16640" s="24"/>
      <c r="G16640" s="24"/>
      <c r="H16640" s="24"/>
      <c r="I16640" s="24"/>
      <c r="J16640" s="24"/>
      <c r="K16640" s="24"/>
      <c r="L16640" s="24"/>
      <c r="M16640" s="24"/>
      <c r="N16640" s="24"/>
      <c r="O16640" s="24"/>
      <c r="P16640" s="24"/>
      <c r="Q16640" s="24"/>
      <c r="R16640" s="24"/>
      <c r="S16640" s="24"/>
      <c r="T16640" s="24"/>
      <c r="U16640" s="24"/>
      <c r="V16640" s="24"/>
      <c r="W16640" s="24"/>
      <c r="X16640" s="24"/>
      <c r="Y16640" s="24"/>
      <c r="Z16640" s="24"/>
      <c r="AA16640" s="24"/>
    </row>
    <row r="16641">
      <c r="A16641" s="24"/>
      <c r="B16641" s="25"/>
      <c r="C16641" s="24"/>
      <c r="D16641" s="26"/>
      <c r="E16641" s="24"/>
      <c r="F16641" s="24"/>
      <c r="G16641" s="24"/>
      <c r="H16641" s="24"/>
      <c r="I16641" s="24"/>
      <c r="J16641" s="24"/>
      <c r="K16641" s="24"/>
      <c r="L16641" s="24"/>
      <c r="M16641" s="24"/>
      <c r="N16641" s="24"/>
      <c r="O16641" s="24"/>
      <c r="P16641" s="24"/>
      <c r="Q16641" s="24"/>
      <c r="R16641" s="24"/>
      <c r="S16641" s="24"/>
      <c r="T16641" s="24"/>
      <c r="U16641" s="24"/>
      <c r="V16641" s="24"/>
      <c r="W16641" s="24"/>
      <c r="X16641" s="24"/>
      <c r="Y16641" s="24"/>
      <c r="Z16641" s="24"/>
      <c r="AA16641" s="24"/>
    </row>
    <row r="16642">
      <c r="A16642" s="24"/>
      <c r="B16642" s="25"/>
      <c r="C16642" s="24"/>
      <c r="D16642" s="26"/>
      <c r="E16642" s="24"/>
      <c r="F16642" s="24"/>
      <c r="G16642" s="24"/>
      <c r="H16642" s="24"/>
      <c r="I16642" s="24"/>
      <c r="J16642" s="24"/>
      <c r="K16642" s="24"/>
      <c r="L16642" s="24"/>
      <c r="M16642" s="24"/>
      <c r="N16642" s="24"/>
      <c r="O16642" s="24"/>
      <c r="P16642" s="24"/>
      <c r="Q16642" s="24"/>
      <c r="R16642" s="24"/>
      <c r="S16642" s="24"/>
      <c r="T16642" s="24"/>
      <c r="U16642" s="24"/>
      <c r="V16642" s="24"/>
      <c r="W16642" s="24"/>
      <c r="X16642" s="24"/>
      <c r="Y16642" s="24"/>
      <c r="Z16642" s="24"/>
      <c r="AA16642" s="24"/>
    </row>
    <row r="16643">
      <c r="A16643" s="24"/>
      <c r="B16643" s="25"/>
      <c r="C16643" s="24"/>
      <c r="D16643" s="26"/>
      <c r="E16643" s="24"/>
      <c r="F16643" s="24"/>
      <c r="G16643" s="24"/>
      <c r="H16643" s="24"/>
      <c r="I16643" s="24"/>
      <c r="J16643" s="24"/>
      <c r="K16643" s="24"/>
      <c r="L16643" s="24"/>
      <c r="M16643" s="24"/>
      <c r="N16643" s="24"/>
      <c r="O16643" s="24"/>
      <c r="P16643" s="24"/>
      <c r="Q16643" s="24"/>
      <c r="R16643" s="24"/>
      <c r="S16643" s="24"/>
      <c r="T16643" s="24"/>
      <c r="U16643" s="24"/>
      <c r="V16643" s="24"/>
      <c r="W16643" s="24"/>
      <c r="X16643" s="24"/>
      <c r="Y16643" s="24"/>
      <c r="Z16643" s="24"/>
      <c r="AA16643" s="24"/>
    </row>
    <row r="16644">
      <c r="A16644" s="24"/>
      <c r="B16644" s="25"/>
      <c r="C16644" s="24"/>
      <c r="D16644" s="26"/>
      <c r="E16644" s="24"/>
      <c r="F16644" s="24"/>
      <c r="G16644" s="24"/>
      <c r="H16644" s="24"/>
      <c r="I16644" s="24"/>
      <c r="J16644" s="24"/>
      <c r="K16644" s="24"/>
      <c r="L16644" s="24"/>
      <c r="M16644" s="24"/>
      <c r="N16644" s="24"/>
      <c r="O16644" s="24"/>
      <c r="P16644" s="24"/>
      <c r="Q16644" s="24"/>
      <c r="R16644" s="24"/>
      <c r="S16644" s="24"/>
      <c r="T16644" s="24"/>
      <c r="U16644" s="24"/>
      <c r="V16644" s="24"/>
      <c r="W16644" s="24"/>
      <c r="X16644" s="24"/>
      <c r="Y16644" s="24"/>
      <c r="Z16644" s="24"/>
      <c r="AA16644" s="24"/>
    </row>
    <row r="16645">
      <c r="A16645" s="24"/>
      <c r="B16645" s="25"/>
      <c r="C16645" s="24"/>
      <c r="D16645" s="26"/>
      <c r="E16645" s="24"/>
      <c r="F16645" s="24"/>
      <c r="G16645" s="24"/>
      <c r="H16645" s="24"/>
      <c r="I16645" s="24"/>
      <c r="J16645" s="24"/>
      <c r="K16645" s="24"/>
      <c r="L16645" s="24"/>
      <c r="M16645" s="24"/>
      <c r="N16645" s="24"/>
      <c r="O16645" s="24"/>
      <c r="P16645" s="24"/>
      <c r="Q16645" s="24"/>
      <c r="R16645" s="24"/>
      <c r="S16645" s="24"/>
      <c r="T16645" s="24"/>
      <c r="U16645" s="24"/>
      <c r="V16645" s="24"/>
      <c r="W16645" s="24"/>
      <c r="X16645" s="24"/>
      <c r="Y16645" s="24"/>
      <c r="Z16645" s="24"/>
      <c r="AA16645" s="24"/>
    </row>
    <row r="16646">
      <c r="A16646" s="24"/>
      <c r="B16646" s="25"/>
      <c r="C16646" s="24"/>
      <c r="D16646" s="26"/>
      <c r="E16646" s="24"/>
      <c r="F16646" s="24"/>
      <c r="G16646" s="24"/>
      <c r="H16646" s="24"/>
      <c r="I16646" s="24"/>
      <c r="J16646" s="24"/>
      <c r="K16646" s="24"/>
      <c r="L16646" s="24"/>
      <c r="M16646" s="24"/>
      <c r="N16646" s="24"/>
      <c r="O16646" s="24"/>
      <c r="P16646" s="24"/>
      <c r="Q16646" s="24"/>
      <c r="R16646" s="24"/>
      <c r="S16646" s="24"/>
      <c r="T16646" s="24"/>
      <c r="U16646" s="24"/>
      <c r="V16646" s="24"/>
      <c r="W16646" s="24"/>
      <c r="X16646" s="24"/>
      <c r="Y16646" s="24"/>
      <c r="Z16646" s="24"/>
      <c r="AA16646" s="24"/>
    </row>
    <row r="16647">
      <c r="A16647" s="24"/>
      <c r="B16647" s="25"/>
      <c r="C16647" s="24"/>
      <c r="D16647" s="26"/>
      <c r="E16647" s="24"/>
      <c r="F16647" s="24"/>
      <c r="G16647" s="24"/>
      <c r="H16647" s="24"/>
      <c r="I16647" s="24"/>
      <c r="J16647" s="24"/>
      <c r="K16647" s="24"/>
      <c r="L16647" s="24"/>
      <c r="M16647" s="24"/>
      <c r="N16647" s="24"/>
      <c r="O16647" s="24"/>
      <c r="P16647" s="24"/>
      <c r="Q16647" s="24"/>
      <c r="R16647" s="24"/>
      <c r="S16647" s="24"/>
      <c r="T16647" s="24"/>
      <c r="U16647" s="24"/>
      <c r="V16647" s="24"/>
      <c r="W16647" s="24"/>
      <c r="X16647" s="24"/>
      <c r="Y16647" s="24"/>
      <c r="Z16647" s="24"/>
      <c r="AA16647" s="24"/>
    </row>
    <row r="16648">
      <c r="A16648" s="24"/>
      <c r="B16648" s="25"/>
      <c r="C16648" s="24"/>
      <c r="D16648" s="26"/>
      <c r="E16648" s="24"/>
      <c r="F16648" s="24"/>
      <c r="G16648" s="24"/>
      <c r="H16648" s="24"/>
      <c r="I16648" s="24"/>
      <c r="J16648" s="24"/>
      <c r="K16648" s="24"/>
      <c r="L16648" s="24"/>
      <c r="M16648" s="24"/>
      <c r="N16648" s="24"/>
      <c r="O16648" s="24"/>
      <c r="P16648" s="24"/>
      <c r="Q16648" s="24"/>
      <c r="R16648" s="24"/>
      <c r="S16648" s="24"/>
      <c r="T16648" s="24"/>
      <c r="U16648" s="24"/>
      <c r="V16648" s="24"/>
      <c r="W16648" s="24"/>
      <c r="X16648" s="24"/>
      <c r="Y16648" s="24"/>
      <c r="Z16648" s="24"/>
      <c r="AA16648" s="24"/>
    </row>
    <row r="16649">
      <c r="A16649" s="24"/>
      <c r="B16649" s="25"/>
      <c r="C16649" s="24"/>
      <c r="D16649" s="26"/>
      <c r="E16649" s="24"/>
      <c r="F16649" s="24"/>
      <c r="G16649" s="24"/>
      <c r="H16649" s="24"/>
      <c r="I16649" s="24"/>
      <c r="J16649" s="24"/>
      <c r="K16649" s="24"/>
      <c r="L16649" s="24"/>
      <c r="M16649" s="24"/>
      <c r="N16649" s="24"/>
      <c r="O16649" s="24"/>
      <c r="P16649" s="24"/>
      <c r="Q16649" s="24"/>
      <c r="R16649" s="24"/>
      <c r="S16649" s="24"/>
      <c r="T16649" s="24"/>
      <c r="U16649" s="24"/>
      <c r="V16649" s="24"/>
      <c r="W16649" s="24"/>
      <c r="X16649" s="24"/>
      <c r="Y16649" s="24"/>
      <c r="Z16649" s="24"/>
      <c r="AA16649" s="24"/>
    </row>
    <row r="16650">
      <c r="A16650" s="24"/>
      <c r="B16650" s="25"/>
      <c r="C16650" s="24"/>
      <c r="D16650" s="26"/>
      <c r="E16650" s="24"/>
      <c r="F16650" s="24"/>
      <c r="G16650" s="24"/>
      <c r="H16650" s="24"/>
      <c r="I16650" s="24"/>
      <c r="J16650" s="24"/>
      <c r="K16650" s="24"/>
      <c r="L16650" s="24"/>
      <c r="M16650" s="24"/>
      <c r="N16650" s="24"/>
      <c r="O16650" s="24"/>
      <c r="P16650" s="24"/>
      <c r="Q16650" s="24"/>
      <c r="R16650" s="24"/>
      <c r="S16650" s="24"/>
      <c r="T16650" s="24"/>
      <c r="U16650" s="24"/>
      <c r="V16650" s="24"/>
      <c r="W16650" s="24"/>
      <c r="X16650" s="24"/>
      <c r="Y16650" s="24"/>
      <c r="Z16650" s="24"/>
      <c r="AA16650" s="24"/>
    </row>
    <row r="16651">
      <c r="A16651" s="24"/>
      <c r="B16651" s="25"/>
      <c r="C16651" s="24"/>
      <c r="D16651" s="26"/>
      <c r="E16651" s="24"/>
      <c r="F16651" s="24"/>
      <c r="G16651" s="24"/>
      <c r="H16651" s="24"/>
      <c r="I16651" s="24"/>
      <c r="J16651" s="24"/>
      <c r="K16651" s="24"/>
      <c r="L16651" s="24"/>
      <c r="M16651" s="24"/>
      <c r="N16651" s="24"/>
      <c r="O16651" s="24"/>
      <c r="P16651" s="24"/>
      <c r="Q16651" s="24"/>
      <c r="R16651" s="24"/>
      <c r="S16651" s="24"/>
      <c r="T16651" s="24"/>
      <c r="U16651" s="24"/>
      <c r="V16651" s="24"/>
      <c r="W16651" s="24"/>
      <c r="X16651" s="24"/>
      <c r="Y16651" s="24"/>
      <c r="Z16651" s="24"/>
      <c r="AA16651" s="24"/>
    </row>
    <row r="16652">
      <c r="A16652" s="24"/>
      <c r="B16652" s="25"/>
      <c r="C16652" s="24"/>
      <c r="D16652" s="26"/>
      <c r="E16652" s="24"/>
      <c r="F16652" s="24"/>
      <c r="G16652" s="24"/>
      <c r="H16652" s="24"/>
      <c r="I16652" s="24"/>
      <c r="J16652" s="24"/>
      <c r="K16652" s="24"/>
      <c r="L16652" s="24"/>
      <c r="M16652" s="24"/>
      <c r="N16652" s="24"/>
      <c r="O16652" s="24"/>
      <c r="P16652" s="24"/>
      <c r="Q16652" s="24"/>
      <c r="R16652" s="24"/>
      <c r="S16652" s="24"/>
      <c r="T16652" s="24"/>
      <c r="U16652" s="24"/>
      <c r="V16652" s="24"/>
      <c r="W16652" s="24"/>
      <c r="X16652" s="24"/>
      <c r="Y16652" s="24"/>
      <c r="Z16652" s="24"/>
      <c r="AA16652" s="24"/>
    </row>
    <row r="16653">
      <c r="A16653" s="24"/>
      <c r="B16653" s="25"/>
      <c r="C16653" s="24"/>
      <c r="D16653" s="26"/>
      <c r="E16653" s="24"/>
      <c r="F16653" s="24"/>
      <c r="G16653" s="24"/>
      <c r="H16653" s="24"/>
      <c r="I16653" s="24"/>
      <c r="J16653" s="24"/>
      <c r="K16653" s="24"/>
      <c r="L16653" s="24"/>
      <c r="M16653" s="24"/>
      <c r="N16653" s="24"/>
      <c r="O16653" s="24"/>
      <c r="P16653" s="24"/>
      <c r="Q16653" s="24"/>
      <c r="R16653" s="24"/>
      <c r="S16653" s="24"/>
      <c r="T16653" s="24"/>
      <c r="U16653" s="24"/>
      <c r="V16653" s="24"/>
      <c r="W16653" s="24"/>
      <c r="X16653" s="24"/>
      <c r="Y16653" s="24"/>
      <c r="Z16653" s="24"/>
      <c r="AA16653" s="24"/>
    </row>
    <row r="16654">
      <c r="A16654" s="24"/>
      <c r="B16654" s="25"/>
      <c r="C16654" s="24"/>
      <c r="D16654" s="26"/>
      <c r="E16654" s="24"/>
      <c r="F16654" s="24"/>
      <c r="G16654" s="24"/>
      <c r="H16654" s="24"/>
      <c r="I16654" s="24"/>
      <c r="J16654" s="24"/>
      <c r="K16654" s="24"/>
      <c r="L16654" s="24"/>
      <c r="M16654" s="24"/>
      <c r="N16654" s="24"/>
      <c r="O16654" s="24"/>
      <c r="P16654" s="24"/>
      <c r="Q16654" s="24"/>
      <c r="R16654" s="24"/>
      <c r="S16654" s="24"/>
      <c r="T16654" s="24"/>
      <c r="U16654" s="24"/>
      <c r="V16654" s="24"/>
      <c r="W16654" s="24"/>
      <c r="X16654" s="24"/>
      <c r="Y16654" s="24"/>
      <c r="Z16654" s="24"/>
      <c r="AA16654" s="24"/>
    </row>
    <row r="16655">
      <c r="A16655" s="24"/>
      <c r="B16655" s="25"/>
      <c r="C16655" s="24"/>
      <c r="D16655" s="26"/>
      <c r="E16655" s="24"/>
      <c r="F16655" s="24"/>
      <c r="G16655" s="24"/>
      <c r="H16655" s="24"/>
      <c r="I16655" s="24"/>
      <c r="J16655" s="24"/>
      <c r="K16655" s="24"/>
      <c r="L16655" s="24"/>
      <c r="M16655" s="24"/>
      <c r="N16655" s="24"/>
      <c r="O16655" s="24"/>
      <c r="P16655" s="24"/>
      <c r="Q16655" s="24"/>
      <c r="R16655" s="24"/>
      <c r="S16655" s="24"/>
      <c r="T16655" s="24"/>
      <c r="U16655" s="24"/>
      <c r="V16655" s="24"/>
      <c r="W16655" s="24"/>
      <c r="X16655" s="24"/>
      <c r="Y16655" s="24"/>
      <c r="Z16655" s="24"/>
      <c r="AA16655" s="24"/>
    </row>
    <row r="16656">
      <c r="A16656" s="24"/>
      <c r="B16656" s="25"/>
      <c r="C16656" s="24"/>
      <c r="D16656" s="26"/>
      <c r="E16656" s="24"/>
      <c r="F16656" s="24"/>
      <c r="G16656" s="24"/>
      <c r="H16656" s="24"/>
      <c r="I16656" s="24"/>
      <c r="J16656" s="24"/>
      <c r="K16656" s="24"/>
      <c r="L16656" s="24"/>
      <c r="M16656" s="24"/>
      <c r="N16656" s="24"/>
      <c r="O16656" s="24"/>
      <c r="P16656" s="24"/>
      <c r="Q16656" s="24"/>
      <c r="R16656" s="24"/>
      <c r="S16656" s="24"/>
      <c r="T16656" s="24"/>
      <c r="U16656" s="24"/>
      <c r="V16656" s="24"/>
      <c r="W16656" s="24"/>
      <c r="X16656" s="24"/>
      <c r="Y16656" s="24"/>
      <c r="Z16656" s="24"/>
      <c r="AA16656" s="24"/>
    </row>
    <row r="16657">
      <c r="A16657" s="24"/>
      <c r="B16657" s="25"/>
      <c r="C16657" s="24"/>
      <c r="D16657" s="26"/>
      <c r="E16657" s="24"/>
      <c r="F16657" s="24"/>
      <c r="G16657" s="24"/>
      <c r="H16657" s="24"/>
      <c r="I16657" s="24"/>
      <c r="J16657" s="24"/>
      <c r="K16657" s="24"/>
      <c r="L16657" s="24"/>
      <c r="M16657" s="24"/>
      <c r="N16657" s="24"/>
      <c r="O16657" s="24"/>
      <c r="P16657" s="24"/>
      <c r="Q16657" s="24"/>
      <c r="R16657" s="24"/>
      <c r="S16657" s="24"/>
      <c r="T16657" s="24"/>
      <c r="U16657" s="24"/>
      <c r="V16657" s="24"/>
      <c r="W16657" s="24"/>
      <c r="X16657" s="24"/>
      <c r="Y16657" s="24"/>
      <c r="Z16657" s="24"/>
      <c r="AA16657" s="24"/>
    </row>
    <row r="16658">
      <c r="A16658" s="24"/>
      <c r="B16658" s="25"/>
      <c r="C16658" s="24"/>
      <c r="D16658" s="26"/>
      <c r="E16658" s="24"/>
      <c r="F16658" s="24"/>
      <c r="G16658" s="24"/>
      <c r="H16658" s="24"/>
      <c r="I16658" s="24"/>
      <c r="J16658" s="24"/>
      <c r="K16658" s="24"/>
      <c r="L16658" s="24"/>
      <c r="M16658" s="24"/>
      <c r="N16658" s="24"/>
      <c r="O16658" s="24"/>
      <c r="P16658" s="24"/>
      <c r="Q16658" s="24"/>
      <c r="R16658" s="24"/>
      <c r="S16658" s="24"/>
      <c r="T16658" s="24"/>
      <c r="U16658" s="24"/>
      <c r="V16658" s="24"/>
      <c r="W16658" s="24"/>
      <c r="X16658" s="24"/>
      <c r="Y16658" s="24"/>
      <c r="Z16658" s="24"/>
      <c r="AA16658" s="24"/>
    </row>
    <row r="16659">
      <c r="A16659" s="24"/>
      <c r="B16659" s="25"/>
      <c r="C16659" s="24"/>
      <c r="D16659" s="26"/>
      <c r="E16659" s="24"/>
      <c r="F16659" s="24"/>
      <c r="G16659" s="24"/>
      <c r="H16659" s="24"/>
      <c r="I16659" s="24"/>
      <c r="J16659" s="24"/>
      <c r="K16659" s="24"/>
      <c r="L16659" s="24"/>
      <c r="M16659" s="24"/>
      <c r="N16659" s="24"/>
      <c r="O16659" s="24"/>
      <c r="P16659" s="24"/>
      <c r="Q16659" s="24"/>
      <c r="R16659" s="24"/>
      <c r="S16659" s="24"/>
      <c r="T16659" s="24"/>
      <c r="U16659" s="24"/>
      <c r="V16659" s="24"/>
      <c r="W16659" s="24"/>
      <c r="X16659" s="24"/>
      <c r="Y16659" s="24"/>
      <c r="Z16659" s="24"/>
      <c r="AA16659" s="24"/>
    </row>
    <row r="16660">
      <c r="A16660" s="24"/>
      <c r="B16660" s="25"/>
      <c r="C16660" s="24"/>
      <c r="D16660" s="26"/>
      <c r="E16660" s="24"/>
      <c r="F16660" s="24"/>
      <c r="G16660" s="24"/>
      <c r="H16660" s="24"/>
      <c r="I16660" s="24"/>
      <c r="J16660" s="24"/>
      <c r="K16660" s="24"/>
      <c r="L16660" s="24"/>
      <c r="M16660" s="24"/>
      <c r="N16660" s="24"/>
      <c r="O16660" s="24"/>
      <c r="P16660" s="24"/>
      <c r="Q16660" s="24"/>
      <c r="R16660" s="24"/>
      <c r="S16660" s="24"/>
      <c r="T16660" s="24"/>
      <c r="U16660" s="24"/>
      <c r="V16660" s="24"/>
      <c r="W16660" s="24"/>
      <c r="X16660" s="24"/>
      <c r="Y16660" s="24"/>
      <c r="Z16660" s="24"/>
      <c r="AA16660" s="24"/>
    </row>
    <row r="16661">
      <c r="A16661" s="24"/>
      <c r="B16661" s="25"/>
      <c r="C16661" s="24"/>
      <c r="D16661" s="26"/>
      <c r="E16661" s="24"/>
      <c r="F16661" s="24"/>
      <c r="G16661" s="24"/>
      <c r="H16661" s="24"/>
      <c r="I16661" s="24"/>
      <c r="J16661" s="24"/>
      <c r="K16661" s="24"/>
      <c r="L16661" s="24"/>
      <c r="M16661" s="24"/>
      <c r="N16661" s="24"/>
      <c r="O16661" s="24"/>
      <c r="P16661" s="24"/>
      <c r="Q16661" s="24"/>
      <c r="R16661" s="24"/>
      <c r="S16661" s="24"/>
      <c r="T16661" s="24"/>
      <c r="U16661" s="24"/>
      <c r="V16661" s="24"/>
      <c r="W16661" s="24"/>
      <c r="X16661" s="24"/>
      <c r="Y16661" s="24"/>
      <c r="Z16661" s="24"/>
      <c r="AA16661" s="24"/>
    </row>
    <row r="16662">
      <c r="A16662" s="24"/>
      <c r="B16662" s="25"/>
      <c r="C16662" s="24"/>
      <c r="D16662" s="26"/>
      <c r="E16662" s="24"/>
      <c r="F16662" s="24"/>
      <c r="G16662" s="24"/>
      <c r="H16662" s="24"/>
      <c r="I16662" s="24"/>
      <c r="J16662" s="24"/>
      <c r="K16662" s="24"/>
      <c r="L16662" s="24"/>
      <c r="M16662" s="24"/>
      <c r="N16662" s="24"/>
      <c r="O16662" s="24"/>
      <c r="P16662" s="24"/>
      <c r="Q16662" s="24"/>
      <c r="R16662" s="24"/>
      <c r="S16662" s="24"/>
      <c r="T16662" s="24"/>
      <c r="U16662" s="24"/>
      <c r="V16662" s="24"/>
      <c r="W16662" s="24"/>
      <c r="X16662" s="24"/>
      <c r="Y16662" s="24"/>
      <c r="Z16662" s="24"/>
      <c r="AA16662" s="24"/>
    </row>
    <row r="16663">
      <c r="A16663" s="24"/>
      <c r="B16663" s="25"/>
      <c r="C16663" s="24"/>
      <c r="D16663" s="26"/>
      <c r="E16663" s="24"/>
      <c r="F16663" s="24"/>
      <c r="G16663" s="24"/>
      <c r="H16663" s="24"/>
      <c r="I16663" s="24"/>
      <c r="J16663" s="24"/>
      <c r="K16663" s="24"/>
      <c r="L16663" s="24"/>
      <c r="M16663" s="24"/>
      <c r="N16663" s="24"/>
      <c r="O16663" s="24"/>
      <c r="P16663" s="24"/>
      <c r="Q16663" s="24"/>
      <c r="R16663" s="24"/>
      <c r="S16663" s="24"/>
      <c r="T16663" s="24"/>
      <c r="U16663" s="24"/>
      <c r="V16663" s="24"/>
      <c r="W16663" s="24"/>
      <c r="X16663" s="24"/>
      <c r="Y16663" s="24"/>
      <c r="Z16663" s="24"/>
      <c r="AA16663" s="24"/>
    </row>
    <row r="16664">
      <c r="A16664" s="24"/>
      <c r="B16664" s="25"/>
      <c r="C16664" s="24"/>
      <c r="D16664" s="26"/>
      <c r="E16664" s="24"/>
      <c r="F16664" s="24"/>
      <c r="G16664" s="24"/>
      <c r="H16664" s="24"/>
      <c r="I16664" s="24"/>
      <c r="J16664" s="24"/>
      <c r="K16664" s="24"/>
      <c r="L16664" s="24"/>
      <c r="M16664" s="24"/>
      <c r="N16664" s="24"/>
      <c r="O16664" s="24"/>
      <c r="P16664" s="24"/>
      <c r="Q16664" s="24"/>
      <c r="R16664" s="24"/>
      <c r="S16664" s="24"/>
      <c r="T16664" s="24"/>
      <c r="U16664" s="24"/>
      <c r="V16664" s="24"/>
      <c r="W16664" s="24"/>
      <c r="X16664" s="24"/>
      <c r="Y16664" s="24"/>
      <c r="Z16664" s="24"/>
      <c r="AA16664" s="24"/>
    </row>
    <row r="16665">
      <c r="A16665" s="24"/>
      <c r="B16665" s="25"/>
      <c r="C16665" s="24"/>
      <c r="D16665" s="26"/>
      <c r="E16665" s="24"/>
      <c r="F16665" s="24"/>
      <c r="G16665" s="24"/>
      <c r="H16665" s="24"/>
      <c r="I16665" s="24"/>
      <c r="J16665" s="24"/>
      <c r="K16665" s="24"/>
      <c r="L16665" s="24"/>
      <c r="M16665" s="24"/>
      <c r="N16665" s="24"/>
      <c r="O16665" s="24"/>
      <c r="P16665" s="24"/>
      <c r="Q16665" s="24"/>
      <c r="R16665" s="24"/>
      <c r="S16665" s="24"/>
      <c r="T16665" s="24"/>
      <c r="U16665" s="24"/>
      <c r="V16665" s="24"/>
      <c r="W16665" s="24"/>
      <c r="X16665" s="24"/>
      <c r="Y16665" s="24"/>
      <c r="Z16665" s="24"/>
      <c r="AA16665" s="24"/>
    </row>
    <row r="16666">
      <c r="A16666" s="24"/>
      <c r="B16666" s="25"/>
      <c r="C16666" s="24"/>
      <c r="D16666" s="26"/>
      <c r="E16666" s="24"/>
      <c r="F16666" s="24"/>
      <c r="G16666" s="24"/>
      <c r="H16666" s="24"/>
      <c r="I16666" s="24"/>
      <c r="J16666" s="24"/>
      <c r="K16666" s="24"/>
      <c r="L16666" s="24"/>
      <c r="M16666" s="24"/>
      <c r="N16666" s="24"/>
      <c r="O16666" s="24"/>
      <c r="P16666" s="24"/>
      <c r="Q16666" s="24"/>
      <c r="R16666" s="24"/>
      <c r="S16666" s="24"/>
      <c r="T16666" s="24"/>
      <c r="U16666" s="24"/>
      <c r="V16666" s="24"/>
      <c r="W16666" s="24"/>
      <c r="X16666" s="24"/>
      <c r="Y16666" s="24"/>
      <c r="Z16666" s="24"/>
      <c r="AA16666" s="24"/>
    </row>
    <row r="16667">
      <c r="A16667" s="24"/>
      <c r="B16667" s="25"/>
      <c r="C16667" s="24"/>
      <c r="D16667" s="26"/>
      <c r="E16667" s="24"/>
      <c r="F16667" s="24"/>
      <c r="G16667" s="24"/>
      <c r="H16667" s="24"/>
      <c r="I16667" s="24"/>
      <c r="J16667" s="24"/>
      <c r="K16667" s="24"/>
      <c r="L16667" s="24"/>
      <c r="M16667" s="24"/>
      <c r="N16667" s="24"/>
      <c r="O16667" s="24"/>
      <c r="P16667" s="24"/>
      <c r="Q16667" s="24"/>
      <c r="R16667" s="24"/>
      <c r="S16667" s="24"/>
      <c r="T16667" s="24"/>
      <c r="U16667" s="24"/>
      <c r="V16667" s="24"/>
      <c r="W16667" s="24"/>
      <c r="X16667" s="24"/>
      <c r="Y16667" s="24"/>
      <c r="Z16667" s="24"/>
      <c r="AA16667" s="24"/>
    </row>
    <row r="16668">
      <c r="A16668" s="24"/>
      <c r="B16668" s="25"/>
      <c r="C16668" s="24"/>
      <c r="D16668" s="26"/>
      <c r="E16668" s="24"/>
      <c r="F16668" s="24"/>
      <c r="G16668" s="24"/>
      <c r="H16668" s="24"/>
      <c r="I16668" s="24"/>
      <c r="J16668" s="24"/>
      <c r="K16668" s="24"/>
      <c r="L16668" s="24"/>
      <c r="M16668" s="24"/>
      <c r="N16668" s="24"/>
      <c r="O16668" s="24"/>
      <c r="P16668" s="24"/>
      <c r="Q16668" s="24"/>
      <c r="R16668" s="24"/>
      <c r="S16668" s="24"/>
      <c r="T16668" s="24"/>
      <c r="U16668" s="24"/>
      <c r="V16668" s="24"/>
      <c r="W16668" s="24"/>
      <c r="X16668" s="24"/>
      <c r="Y16668" s="24"/>
      <c r="Z16668" s="24"/>
      <c r="AA16668" s="24"/>
    </row>
    <row r="16669">
      <c r="A16669" s="24"/>
      <c r="B16669" s="25"/>
      <c r="C16669" s="24"/>
      <c r="D16669" s="26"/>
      <c r="E16669" s="24"/>
      <c r="F16669" s="24"/>
      <c r="G16669" s="24"/>
      <c r="H16669" s="24"/>
      <c r="I16669" s="24"/>
      <c r="J16669" s="24"/>
      <c r="K16669" s="24"/>
      <c r="L16669" s="24"/>
      <c r="M16669" s="24"/>
      <c r="N16669" s="24"/>
      <c r="O16669" s="24"/>
      <c r="P16669" s="24"/>
      <c r="Q16669" s="24"/>
      <c r="R16669" s="24"/>
      <c r="S16669" s="24"/>
      <c r="T16669" s="24"/>
      <c r="U16669" s="24"/>
      <c r="V16669" s="24"/>
      <c r="W16669" s="24"/>
      <c r="X16669" s="24"/>
      <c r="Y16669" s="24"/>
      <c r="Z16669" s="24"/>
      <c r="AA16669" s="24"/>
    </row>
    <row r="16670">
      <c r="A16670" s="24"/>
      <c r="B16670" s="25"/>
      <c r="C16670" s="24"/>
      <c r="D16670" s="26"/>
      <c r="E16670" s="24"/>
      <c r="F16670" s="24"/>
      <c r="G16670" s="24"/>
      <c r="H16670" s="24"/>
      <c r="I16670" s="24"/>
      <c r="J16670" s="24"/>
      <c r="K16670" s="24"/>
      <c r="L16670" s="24"/>
      <c r="M16670" s="24"/>
      <c r="N16670" s="24"/>
      <c r="O16670" s="24"/>
      <c r="P16670" s="24"/>
      <c r="Q16670" s="24"/>
      <c r="R16670" s="24"/>
      <c r="S16670" s="24"/>
      <c r="T16670" s="24"/>
      <c r="U16670" s="24"/>
      <c r="V16670" s="24"/>
      <c r="W16670" s="24"/>
      <c r="X16670" s="24"/>
      <c r="Y16670" s="24"/>
      <c r="Z16670" s="24"/>
      <c r="AA16670" s="24"/>
    </row>
    <row r="16671">
      <c r="A16671" s="24"/>
      <c r="B16671" s="25"/>
      <c r="C16671" s="24"/>
      <c r="D16671" s="26"/>
      <c r="E16671" s="24"/>
      <c r="F16671" s="24"/>
      <c r="G16671" s="24"/>
      <c r="H16671" s="24"/>
      <c r="I16671" s="24"/>
      <c r="J16671" s="24"/>
      <c r="K16671" s="24"/>
      <c r="L16671" s="24"/>
      <c r="M16671" s="24"/>
      <c r="N16671" s="24"/>
      <c r="O16671" s="24"/>
      <c r="P16671" s="24"/>
      <c r="Q16671" s="24"/>
      <c r="R16671" s="24"/>
      <c r="S16671" s="24"/>
      <c r="T16671" s="24"/>
      <c r="U16671" s="24"/>
      <c r="V16671" s="24"/>
      <c r="W16671" s="24"/>
      <c r="X16671" s="24"/>
      <c r="Y16671" s="24"/>
      <c r="Z16671" s="24"/>
      <c r="AA16671" s="24"/>
    </row>
    <row r="16672">
      <c r="A16672" s="24"/>
      <c r="B16672" s="25"/>
      <c r="C16672" s="24"/>
      <c r="D16672" s="26"/>
      <c r="E16672" s="24"/>
      <c r="F16672" s="24"/>
      <c r="G16672" s="24"/>
      <c r="H16672" s="24"/>
      <c r="I16672" s="24"/>
      <c r="J16672" s="24"/>
      <c r="K16672" s="24"/>
      <c r="L16672" s="24"/>
      <c r="M16672" s="24"/>
      <c r="N16672" s="24"/>
      <c r="O16672" s="24"/>
      <c r="P16672" s="24"/>
      <c r="Q16672" s="24"/>
      <c r="R16672" s="24"/>
      <c r="S16672" s="24"/>
      <c r="T16672" s="24"/>
      <c r="U16672" s="24"/>
      <c r="V16672" s="24"/>
      <c r="W16672" s="24"/>
      <c r="X16672" s="24"/>
      <c r="Y16672" s="24"/>
      <c r="Z16672" s="24"/>
      <c r="AA16672" s="24"/>
    </row>
    <row r="16673">
      <c r="A16673" s="24"/>
      <c r="B16673" s="25"/>
      <c r="C16673" s="24"/>
      <c r="D16673" s="26"/>
      <c r="E16673" s="24"/>
      <c r="F16673" s="24"/>
      <c r="G16673" s="24"/>
      <c r="H16673" s="24"/>
      <c r="I16673" s="24"/>
      <c r="J16673" s="24"/>
      <c r="K16673" s="24"/>
      <c r="L16673" s="24"/>
      <c r="M16673" s="24"/>
      <c r="N16673" s="24"/>
      <c r="O16673" s="24"/>
      <c r="P16673" s="24"/>
      <c r="Q16673" s="24"/>
      <c r="R16673" s="24"/>
      <c r="S16673" s="24"/>
      <c r="T16673" s="24"/>
      <c r="U16673" s="24"/>
      <c r="V16673" s="24"/>
      <c r="W16673" s="24"/>
      <c r="X16673" s="24"/>
      <c r="Y16673" s="24"/>
      <c r="Z16673" s="24"/>
      <c r="AA16673" s="24"/>
    </row>
    <row r="16674">
      <c r="A16674" s="24"/>
      <c r="B16674" s="25"/>
      <c r="C16674" s="24"/>
      <c r="D16674" s="26"/>
      <c r="E16674" s="24"/>
      <c r="F16674" s="24"/>
      <c r="G16674" s="24"/>
      <c r="H16674" s="24"/>
      <c r="I16674" s="24"/>
      <c r="J16674" s="24"/>
      <c r="K16674" s="24"/>
      <c r="L16674" s="24"/>
      <c r="M16674" s="24"/>
      <c r="N16674" s="24"/>
      <c r="O16674" s="24"/>
      <c r="P16674" s="24"/>
      <c r="Q16674" s="24"/>
      <c r="R16674" s="24"/>
      <c r="S16674" s="24"/>
      <c r="T16674" s="24"/>
      <c r="U16674" s="24"/>
      <c r="V16674" s="24"/>
      <c r="W16674" s="24"/>
      <c r="X16674" s="24"/>
      <c r="Y16674" s="24"/>
      <c r="Z16674" s="24"/>
      <c r="AA16674" s="24"/>
    </row>
    <row r="16675">
      <c r="A16675" s="24"/>
      <c r="B16675" s="25"/>
      <c r="C16675" s="24"/>
      <c r="D16675" s="26"/>
      <c r="E16675" s="24"/>
      <c r="F16675" s="24"/>
      <c r="G16675" s="24"/>
      <c r="H16675" s="24"/>
      <c r="I16675" s="24"/>
      <c r="J16675" s="24"/>
      <c r="K16675" s="24"/>
      <c r="L16675" s="24"/>
      <c r="M16675" s="24"/>
      <c r="N16675" s="24"/>
      <c r="O16675" s="24"/>
      <c r="P16675" s="24"/>
      <c r="Q16675" s="24"/>
      <c r="R16675" s="24"/>
      <c r="S16675" s="24"/>
      <c r="T16675" s="24"/>
      <c r="U16675" s="24"/>
      <c r="V16675" s="24"/>
      <c r="W16675" s="24"/>
      <c r="X16675" s="24"/>
      <c r="Y16675" s="24"/>
      <c r="Z16675" s="24"/>
      <c r="AA16675" s="24"/>
    </row>
    <row r="16676">
      <c r="A16676" s="24"/>
      <c r="B16676" s="25"/>
      <c r="C16676" s="24"/>
      <c r="D16676" s="26"/>
      <c r="E16676" s="24"/>
      <c r="F16676" s="24"/>
      <c r="G16676" s="24"/>
      <c r="H16676" s="24"/>
      <c r="I16676" s="24"/>
      <c r="J16676" s="24"/>
      <c r="K16676" s="24"/>
      <c r="L16676" s="24"/>
      <c r="M16676" s="24"/>
      <c r="N16676" s="24"/>
      <c r="O16676" s="24"/>
      <c r="P16676" s="24"/>
      <c r="Q16676" s="24"/>
      <c r="R16676" s="24"/>
      <c r="S16676" s="24"/>
      <c r="T16676" s="24"/>
      <c r="U16676" s="24"/>
      <c r="V16676" s="24"/>
      <c r="W16676" s="24"/>
      <c r="X16676" s="24"/>
      <c r="Y16676" s="24"/>
      <c r="Z16676" s="24"/>
      <c r="AA16676" s="24"/>
    </row>
    <row r="16677">
      <c r="A16677" s="24"/>
      <c r="B16677" s="25"/>
      <c r="C16677" s="24"/>
      <c r="D16677" s="26"/>
      <c r="E16677" s="24"/>
      <c r="F16677" s="24"/>
      <c r="G16677" s="24"/>
      <c r="H16677" s="24"/>
      <c r="I16677" s="24"/>
      <c r="J16677" s="24"/>
      <c r="K16677" s="24"/>
      <c r="L16677" s="24"/>
      <c r="M16677" s="24"/>
      <c r="N16677" s="24"/>
      <c r="O16677" s="24"/>
      <c r="P16677" s="24"/>
      <c r="Q16677" s="24"/>
      <c r="R16677" s="24"/>
      <c r="S16677" s="24"/>
      <c r="T16677" s="24"/>
      <c r="U16677" s="24"/>
      <c r="V16677" s="24"/>
      <c r="W16677" s="24"/>
      <c r="X16677" s="24"/>
      <c r="Y16677" s="24"/>
      <c r="Z16677" s="24"/>
      <c r="AA16677" s="24"/>
    </row>
    <row r="16678">
      <c r="A16678" s="24"/>
      <c r="B16678" s="25"/>
      <c r="C16678" s="24"/>
      <c r="D16678" s="26"/>
      <c r="E16678" s="24"/>
      <c r="F16678" s="24"/>
      <c r="G16678" s="24"/>
      <c r="H16678" s="24"/>
      <c r="I16678" s="24"/>
      <c r="J16678" s="24"/>
      <c r="K16678" s="24"/>
      <c r="L16678" s="24"/>
      <c r="M16678" s="24"/>
      <c r="N16678" s="24"/>
      <c r="O16678" s="24"/>
      <c r="P16678" s="24"/>
      <c r="Q16678" s="24"/>
      <c r="R16678" s="24"/>
      <c r="S16678" s="24"/>
      <c r="T16678" s="24"/>
      <c r="U16678" s="24"/>
      <c r="V16678" s="24"/>
      <c r="W16678" s="24"/>
      <c r="X16678" s="24"/>
      <c r="Y16678" s="24"/>
      <c r="Z16678" s="24"/>
      <c r="AA16678" s="24"/>
    </row>
    <row r="16679">
      <c r="A16679" s="24"/>
      <c r="B16679" s="25"/>
      <c r="C16679" s="24"/>
      <c r="D16679" s="26"/>
      <c r="E16679" s="24"/>
      <c r="F16679" s="24"/>
      <c r="G16679" s="24"/>
      <c r="H16679" s="24"/>
      <c r="I16679" s="24"/>
      <c r="J16679" s="24"/>
      <c r="K16679" s="24"/>
      <c r="L16679" s="24"/>
      <c r="M16679" s="24"/>
      <c r="N16679" s="24"/>
      <c r="O16679" s="24"/>
      <c r="P16679" s="24"/>
      <c r="Q16679" s="24"/>
      <c r="R16679" s="24"/>
      <c r="S16679" s="24"/>
      <c r="T16679" s="24"/>
      <c r="U16679" s="24"/>
      <c r="V16679" s="24"/>
      <c r="W16679" s="24"/>
      <c r="X16679" s="24"/>
      <c r="Y16679" s="24"/>
      <c r="Z16679" s="24"/>
      <c r="AA16679" s="24"/>
    </row>
    <row r="16680">
      <c r="A16680" s="24"/>
      <c r="B16680" s="25"/>
      <c r="C16680" s="24"/>
      <c r="D16680" s="26"/>
      <c r="E16680" s="24"/>
      <c r="F16680" s="24"/>
      <c r="G16680" s="24"/>
      <c r="H16680" s="24"/>
      <c r="I16680" s="24"/>
      <c r="J16680" s="24"/>
      <c r="K16680" s="24"/>
      <c r="L16680" s="24"/>
      <c r="M16680" s="24"/>
      <c r="N16680" s="24"/>
      <c r="O16680" s="24"/>
      <c r="P16680" s="24"/>
      <c r="Q16680" s="24"/>
      <c r="R16680" s="24"/>
      <c r="S16680" s="24"/>
      <c r="T16680" s="24"/>
      <c r="U16680" s="24"/>
      <c r="V16680" s="24"/>
      <c r="W16680" s="24"/>
      <c r="X16680" s="24"/>
      <c r="Y16680" s="24"/>
      <c r="Z16680" s="24"/>
      <c r="AA16680" s="24"/>
    </row>
    <row r="16681">
      <c r="A16681" s="24"/>
      <c r="B16681" s="25"/>
      <c r="C16681" s="24"/>
      <c r="D16681" s="26"/>
      <c r="E16681" s="24"/>
      <c r="F16681" s="24"/>
      <c r="G16681" s="24"/>
      <c r="H16681" s="24"/>
      <c r="I16681" s="24"/>
      <c r="J16681" s="24"/>
      <c r="K16681" s="24"/>
      <c r="L16681" s="24"/>
      <c r="M16681" s="24"/>
      <c r="N16681" s="24"/>
      <c r="O16681" s="24"/>
      <c r="P16681" s="24"/>
      <c r="Q16681" s="24"/>
      <c r="R16681" s="24"/>
      <c r="S16681" s="24"/>
      <c r="T16681" s="24"/>
      <c r="U16681" s="24"/>
      <c r="V16681" s="24"/>
      <c r="W16681" s="24"/>
      <c r="X16681" s="24"/>
      <c r="Y16681" s="24"/>
      <c r="Z16681" s="24"/>
      <c r="AA16681" s="24"/>
    </row>
    <row r="16682">
      <c r="A16682" s="24"/>
      <c r="B16682" s="25"/>
      <c r="C16682" s="24"/>
      <c r="D16682" s="26"/>
      <c r="E16682" s="24"/>
      <c r="F16682" s="24"/>
      <c r="G16682" s="24"/>
      <c r="H16682" s="24"/>
      <c r="I16682" s="24"/>
      <c r="J16682" s="24"/>
      <c r="K16682" s="24"/>
      <c r="L16682" s="24"/>
      <c r="M16682" s="24"/>
      <c r="N16682" s="24"/>
      <c r="O16682" s="24"/>
      <c r="P16682" s="24"/>
      <c r="Q16682" s="24"/>
      <c r="R16682" s="24"/>
      <c r="S16682" s="24"/>
      <c r="T16682" s="24"/>
      <c r="U16682" s="24"/>
      <c r="V16682" s="24"/>
      <c r="W16682" s="24"/>
      <c r="X16682" s="24"/>
      <c r="Y16682" s="24"/>
      <c r="Z16682" s="24"/>
      <c r="AA16682" s="24"/>
    </row>
    <row r="16683">
      <c r="A16683" s="24"/>
      <c r="B16683" s="25"/>
      <c r="C16683" s="24"/>
      <c r="D16683" s="26"/>
      <c r="E16683" s="24"/>
      <c r="F16683" s="24"/>
      <c r="G16683" s="24"/>
      <c r="H16683" s="24"/>
      <c r="I16683" s="24"/>
      <c r="J16683" s="24"/>
      <c r="K16683" s="24"/>
      <c r="L16683" s="24"/>
      <c r="M16683" s="24"/>
      <c r="N16683" s="24"/>
      <c r="O16683" s="24"/>
      <c r="P16683" s="24"/>
      <c r="Q16683" s="24"/>
      <c r="R16683" s="24"/>
      <c r="S16683" s="24"/>
      <c r="T16683" s="24"/>
      <c r="U16683" s="24"/>
      <c r="V16683" s="24"/>
      <c r="W16683" s="24"/>
      <c r="X16683" s="24"/>
      <c r="Y16683" s="24"/>
      <c r="Z16683" s="24"/>
      <c r="AA16683" s="24"/>
    </row>
    <row r="16684">
      <c r="A16684" s="24"/>
      <c r="B16684" s="25"/>
      <c r="C16684" s="24"/>
      <c r="D16684" s="26"/>
      <c r="E16684" s="24"/>
      <c r="F16684" s="24"/>
      <c r="G16684" s="24"/>
      <c r="H16684" s="24"/>
      <c r="I16684" s="24"/>
      <c r="J16684" s="24"/>
      <c r="K16684" s="24"/>
      <c r="L16684" s="24"/>
      <c r="M16684" s="24"/>
      <c r="N16684" s="24"/>
      <c r="O16684" s="24"/>
      <c r="P16684" s="24"/>
      <c r="Q16684" s="24"/>
      <c r="R16684" s="24"/>
      <c r="S16684" s="24"/>
      <c r="T16684" s="24"/>
      <c r="U16684" s="24"/>
      <c r="V16684" s="24"/>
      <c r="W16684" s="24"/>
      <c r="X16684" s="24"/>
      <c r="Y16684" s="24"/>
      <c r="Z16684" s="24"/>
      <c r="AA16684" s="24"/>
    </row>
    <row r="16685">
      <c r="A16685" s="24"/>
      <c r="B16685" s="25"/>
      <c r="C16685" s="24"/>
      <c r="D16685" s="26"/>
      <c r="E16685" s="24"/>
      <c r="F16685" s="24"/>
      <c r="G16685" s="24"/>
      <c r="H16685" s="24"/>
      <c r="I16685" s="24"/>
      <c r="J16685" s="24"/>
      <c r="K16685" s="24"/>
      <c r="L16685" s="24"/>
      <c r="M16685" s="24"/>
      <c r="N16685" s="24"/>
      <c r="O16685" s="24"/>
      <c r="P16685" s="24"/>
      <c r="Q16685" s="24"/>
      <c r="R16685" s="24"/>
      <c r="S16685" s="24"/>
      <c r="T16685" s="24"/>
      <c r="U16685" s="24"/>
      <c r="V16685" s="24"/>
      <c r="W16685" s="24"/>
      <c r="X16685" s="24"/>
      <c r="Y16685" s="24"/>
      <c r="Z16685" s="24"/>
      <c r="AA16685" s="24"/>
    </row>
    <row r="16686">
      <c r="A16686" s="24"/>
      <c r="B16686" s="25"/>
      <c r="C16686" s="24"/>
      <c r="D16686" s="26"/>
      <c r="E16686" s="24"/>
      <c r="F16686" s="24"/>
      <c r="G16686" s="24"/>
      <c r="H16686" s="24"/>
      <c r="I16686" s="24"/>
      <c r="J16686" s="24"/>
      <c r="K16686" s="24"/>
      <c r="L16686" s="24"/>
      <c r="M16686" s="24"/>
      <c r="N16686" s="24"/>
      <c r="O16686" s="24"/>
      <c r="P16686" s="24"/>
      <c r="Q16686" s="24"/>
      <c r="R16686" s="24"/>
      <c r="S16686" s="24"/>
      <c r="T16686" s="24"/>
      <c r="U16686" s="24"/>
      <c r="V16686" s="24"/>
      <c r="W16686" s="24"/>
      <c r="X16686" s="24"/>
      <c r="Y16686" s="24"/>
      <c r="Z16686" s="24"/>
      <c r="AA16686" s="24"/>
    </row>
    <row r="16687">
      <c r="A16687" s="24"/>
      <c r="B16687" s="25"/>
      <c r="C16687" s="24"/>
      <c r="D16687" s="26"/>
      <c r="E16687" s="24"/>
      <c r="F16687" s="24"/>
      <c r="G16687" s="24"/>
      <c r="H16687" s="24"/>
      <c r="I16687" s="24"/>
      <c r="J16687" s="24"/>
      <c r="K16687" s="24"/>
      <c r="L16687" s="24"/>
      <c r="M16687" s="24"/>
      <c r="N16687" s="24"/>
      <c r="O16687" s="24"/>
      <c r="P16687" s="24"/>
      <c r="Q16687" s="24"/>
      <c r="R16687" s="24"/>
      <c r="S16687" s="24"/>
      <c r="T16687" s="24"/>
      <c r="U16687" s="24"/>
      <c r="V16687" s="24"/>
      <c r="W16687" s="24"/>
      <c r="X16687" s="24"/>
      <c r="Y16687" s="24"/>
      <c r="Z16687" s="24"/>
      <c r="AA16687" s="24"/>
    </row>
    <row r="16688">
      <c r="A16688" s="24"/>
      <c r="B16688" s="25"/>
      <c r="C16688" s="24"/>
      <c r="D16688" s="26"/>
      <c r="E16688" s="24"/>
      <c r="F16688" s="24"/>
      <c r="G16688" s="24"/>
      <c r="H16688" s="24"/>
      <c r="I16688" s="24"/>
      <c r="J16688" s="24"/>
      <c r="K16688" s="24"/>
      <c r="L16688" s="24"/>
      <c r="M16688" s="24"/>
      <c r="N16688" s="24"/>
      <c r="O16688" s="24"/>
      <c r="P16688" s="24"/>
      <c r="Q16688" s="24"/>
      <c r="R16688" s="24"/>
      <c r="S16688" s="24"/>
      <c r="T16688" s="24"/>
      <c r="U16688" s="24"/>
      <c r="V16688" s="24"/>
      <c r="W16688" s="24"/>
      <c r="X16688" s="24"/>
      <c r="Y16688" s="24"/>
      <c r="Z16688" s="24"/>
      <c r="AA16688" s="24"/>
    </row>
    <row r="16689">
      <c r="A16689" s="24"/>
      <c r="B16689" s="25"/>
      <c r="C16689" s="24"/>
      <c r="D16689" s="26"/>
      <c r="E16689" s="24"/>
      <c r="F16689" s="24"/>
      <c r="G16689" s="24"/>
      <c r="H16689" s="24"/>
      <c r="I16689" s="24"/>
      <c r="J16689" s="24"/>
      <c r="K16689" s="24"/>
      <c r="L16689" s="24"/>
      <c r="M16689" s="24"/>
      <c r="N16689" s="24"/>
      <c r="O16689" s="24"/>
      <c r="P16689" s="24"/>
      <c r="Q16689" s="24"/>
      <c r="R16689" s="24"/>
      <c r="S16689" s="24"/>
      <c r="T16689" s="24"/>
      <c r="U16689" s="24"/>
      <c r="V16689" s="24"/>
      <c r="W16689" s="24"/>
      <c r="X16689" s="24"/>
      <c r="Y16689" s="24"/>
      <c r="Z16689" s="24"/>
      <c r="AA16689" s="24"/>
    </row>
    <row r="16690">
      <c r="A16690" s="24"/>
      <c r="B16690" s="25"/>
      <c r="C16690" s="24"/>
      <c r="D16690" s="26"/>
      <c r="E16690" s="24"/>
      <c r="F16690" s="24"/>
      <c r="G16690" s="24"/>
      <c r="H16690" s="24"/>
      <c r="I16690" s="24"/>
      <c r="J16690" s="24"/>
      <c r="K16690" s="24"/>
      <c r="L16690" s="24"/>
      <c r="M16690" s="24"/>
      <c r="N16690" s="24"/>
      <c r="O16690" s="24"/>
      <c r="P16690" s="24"/>
      <c r="Q16690" s="24"/>
      <c r="R16690" s="24"/>
      <c r="S16690" s="24"/>
      <c r="T16690" s="24"/>
      <c r="U16690" s="24"/>
      <c r="V16690" s="24"/>
      <c r="W16690" s="24"/>
      <c r="X16690" s="24"/>
      <c r="Y16690" s="24"/>
      <c r="Z16690" s="24"/>
      <c r="AA16690" s="24"/>
    </row>
    <row r="16691">
      <c r="A16691" s="24"/>
      <c r="B16691" s="25"/>
      <c r="C16691" s="24"/>
      <c r="D16691" s="26"/>
      <c r="E16691" s="24"/>
      <c r="F16691" s="24"/>
      <c r="G16691" s="24"/>
      <c r="H16691" s="24"/>
      <c r="I16691" s="24"/>
      <c r="J16691" s="24"/>
      <c r="K16691" s="24"/>
      <c r="L16691" s="24"/>
      <c r="M16691" s="24"/>
      <c r="N16691" s="24"/>
      <c r="O16691" s="24"/>
      <c r="P16691" s="24"/>
      <c r="Q16691" s="24"/>
      <c r="R16691" s="24"/>
      <c r="S16691" s="24"/>
      <c r="T16691" s="24"/>
      <c r="U16691" s="24"/>
      <c r="V16691" s="24"/>
      <c r="W16691" s="24"/>
      <c r="X16691" s="24"/>
      <c r="Y16691" s="24"/>
      <c r="Z16691" s="24"/>
      <c r="AA16691" s="24"/>
    </row>
    <row r="16692">
      <c r="A16692" s="24"/>
      <c r="B16692" s="25"/>
      <c r="C16692" s="24"/>
      <c r="D16692" s="26"/>
      <c r="E16692" s="24"/>
      <c r="F16692" s="24"/>
      <c r="G16692" s="24"/>
      <c r="H16692" s="24"/>
      <c r="I16692" s="24"/>
      <c r="J16692" s="24"/>
      <c r="K16692" s="24"/>
      <c r="L16692" s="24"/>
      <c r="M16692" s="24"/>
      <c r="N16692" s="24"/>
      <c r="O16692" s="24"/>
      <c r="P16692" s="24"/>
      <c r="Q16692" s="24"/>
      <c r="R16692" s="24"/>
      <c r="S16692" s="24"/>
      <c r="T16692" s="24"/>
      <c r="U16692" s="24"/>
      <c r="V16692" s="24"/>
      <c r="W16692" s="24"/>
      <c r="X16692" s="24"/>
      <c r="Y16692" s="24"/>
      <c r="Z16692" s="24"/>
      <c r="AA16692" s="24"/>
    </row>
    <row r="16693">
      <c r="A16693" s="24"/>
      <c r="B16693" s="25"/>
      <c r="C16693" s="24"/>
      <c r="D16693" s="26"/>
      <c r="E16693" s="24"/>
      <c r="F16693" s="24"/>
      <c r="G16693" s="24"/>
      <c r="H16693" s="24"/>
      <c r="I16693" s="24"/>
      <c r="J16693" s="24"/>
      <c r="K16693" s="24"/>
      <c r="L16693" s="24"/>
      <c r="M16693" s="24"/>
      <c r="N16693" s="24"/>
      <c r="O16693" s="24"/>
      <c r="P16693" s="24"/>
      <c r="Q16693" s="24"/>
      <c r="R16693" s="24"/>
      <c r="S16693" s="24"/>
      <c r="T16693" s="24"/>
      <c r="U16693" s="24"/>
      <c r="V16693" s="24"/>
      <c r="W16693" s="24"/>
      <c r="X16693" s="24"/>
      <c r="Y16693" s="24"/>
      <c r="Z16693" s="24"/>
      <c r="AA16693" s="24"/>
    </row>
    <row r="16694">
      <c r="A16694" s="24"/>
      <c r="B16694" s="25"/>
      <c r="C16694" s="24"/>
      <c r="D16694" s="26"/>
      <c r="E16694" s="24"/>
      <c r="F16694" s="24"/>
      <c r="G16694" s="24"/>
      <c r="H16694" s="24"/>
      <c r="I16694" s="24"/>
      <c r="J16694" s="24"/>
      <c r="K16694" s="24"/>
      <c r="L16694" s="24"/>
      <c r="M16694" s="24"/>
      <c r="N16694" s="24"/>
      <c r="O16694" s="24"/>
      <c r="P16694" s="24"/>
      <c r="Q16694" s="24"/>
      <c r="R16694" s="24"/>
      <c r="S16694" s="24"/>
      <c r="T16694" s="24"/>
      <c r="U16694" s="24"/>
      <c r="V16694" s="24"/>
      <c r="W16694" s="24"/>
      <c r="X16694" s="24"/>
      <c r="Y16694" s="24"/>
      <c r="Z16694" s="24"/>
      <c r="AA16694" s="24"/>
    </row>
    <row r="16695">
      <c r="A16695" s="24"/>
      <c r="B16695" s="25"/>
      <c r="C16695" s="24"/>
      <c r="D16695" s="26"/>
      <c r="E16695" s="24"/>
      <c r="F16695" s="24"/>
      <c r="G16695" s="24"/>
      <c r="H16695" s="24"/>
      <c r="I16695" s="24"/>
      <c r="J16695" s="24"/>
      <c r="K16695" s="24"/>
      <c r="L16695" s="24"/>
      <c r="M16695" s="24"/>
      <c r="N16695" s="24"/>
      <c r="O16695" s="24"/>
      <c r="P16695" s="24"/>
      <c r="Q16695" s="24"/>
      <c r="R16695" s="24"/>
      <c r="S16695" s="24"/>
      <c r="T16695" s="24"/>
      <c r="U16695" s="24"/>
      <c r="V16695" s="24"/>
      <c r="W16695" s="24"/>
      <c r="X16695" s="24"/>
      <c r="Y16695" s="24"/>
      <c r="Z16695" s="24"/>
      <c r="AA16695" s="24"/>
    </row>
    <row r="16696">
      <c r="A16696" s="24"/>
      <c r="B16696" s="25"/>
      <c r="C16696" s="24"/>
      <c r="D16696" s="26"/>
      <c r="E16696" s="24"/>
      <c r="F16696" s="24"/>
      <c r="G16696" s="24"/>
      <c r="H16696" s="24"/>
      <c r="I16696" s="24"/>
      <c r="J16696" s="24"/>
      <c r="K16696" s="24"/>
      <c r="L16696" s="24"/>
      <c r="M16696" s="24"/>
      <c r="N16696" s="24"/>
      <c r="O16696" s="24"/>
      <c r="P16696" s="24"/>
      <c r="Q16696" s="24"/>
      <c r="R16696" s="24"/>
      <c r="S16696" s="24"/>
      <c r="T16696" s="24"/>
      <c r="U16696" s="24"/>
      <c r="V16696" s="24"/>
      <c r="W16696" s="24"/>
      <c r="X16696" s="24"/>
      <c r="Y16696" s="24"/>
      <c r="Z16696" s="24"/>
      <c r="AA16696" s="24"/>
    </row>
    <row r="16697">
      <c r="A16697" s="24"/>
      <c r="B16697" s="25"/>
      <c r="C16697" s="24"/>
      <c r="D16697" s="26"/>
      <c r="E16697" s="24"/>
      <c r="F16697" s="24"/>
      <c r="G16697" s="24"/>
      <c r="H16697" s="24"/>
      <c r="I16697" s="24"/>
      <c r="J16697" s="24"/>
      <c r="K16697" s="24"/>
      <c r="L16697" s="24"/>
      <c r="M16697" s="24"/>
      <c r="N16697" s="24"/>
      <c r="O16697" s="24"/>
      <c r="P16697" s="24"/>
      <c r="Q16697" s="24"/>
      <c r="R16697" s="24"/>
      <c r="S16697" s="24"/>
      <c r="T16697" s="24"/>
      <c r="U16697" s="24"/>
      <c r="V16697" s="24"/>
      <c r="W16697" s="24"/>
      <c r="X16697" s="24"/>
      <c r="Y16697" s="24"/>
      <c r="Z16697" s="24"/>
      <c r="AA16697" s="24"/>
    </row>
    <row r="16698">
      <c r="A16698" s="24"/>
      <c r="B16698" s="25"/>
      <c r="C16698" s="24"/>
      <c r="D16698" s="26"/>
      <c r="E16698" s="24"/>
      <c r="F16698" s="24"/>
      <c r="G16698" s="24"/>
      <c r="H16698" s="24"/>
      <c r="I16698" s="24"/>
      <c r="J16698" s="24"/>
      <c r="K16698" s="24"/>
      <c r="L16698" s="24"/>
      <c r="M16698" s="24"/>
      <c r="N16698" s="24"/>
      <c r="O16698" s="24"/>
      <c r="P16698" s="24"/>
      <c r="Q16698" s="24"/>
      <c r="R16698" s="24"/>
      <c r="S16698" s="24"/>
      <c r="T16698" s="24"/>
      <c r="U16698" s="24"/>
      <c r="V16698" s="24"/>
      <c r="W16698" s="24"/>
      <c r="X16698" s="24"/>
      <c r="Y16698" s="24"/>
      <c r="Z16698" s="24"/>
      <c r="AA16698" s="24"/>
    </row>
    <row r="16699">
      <c r="A16699" s="24"/>
      <c r="B16699" s="25"/>
      <c r="C16699" s="24"/>
      <c r="D16699" s="26"/>
      <c r="E16699" s="24"/>
      <c r="F16699" s="24"/>
      <c r="G16699" s="24"/>
      <c r="H16699" s="24"/>
      <c r="I16699" s="24"/>
      <c r="J16699" s="24"/>
      <c r="K16699" s="24"/>
      <c r="L16699" s="24"/>
      <c r="M16699" s="24"/>
      <c r="N16699" s="24"/>
      <c r="O16699" s="24"/>
      <c r="P16699" s="24"/>
      <c r="Q16699" s="24"/>
      <c r="R16699" s="24"/>
      <c r="S16699" s="24"/>
      <c r="T16699" s="24"/>
      <c r="U16699" s="24"/>
      <c r="V16699" s="24"/>
      <c r="W16699" s="24"/>
      <c r="X16699" s="24"/>
      <c r="Y16699" s="24"/>
      <c r="Z16699" s="24"/>
      <c r="AA16699" s="24"/>
    </row>
    <row r="16700">
      <c r="A16700" s="24"/>
      <c r="B16700" s="25"/>
      <c r="C16700" s="24"/>
      <c r="D16700" s="26"/>
      <c r="E16700" s="24"/>
      <c r="F16700" s="24"/>
      <c r="G16700" s="24"/>
      <c r="H16700" s="24"/>
      <c r="I16700" s="24"/>
      <c r="J16700" s="24"/>
      <c r="K16700" s="24"/>
      <c r="L16700" s="24"/>
      <c r="M16700" s="24"/>
      <c r="N16700" s="24"/>
      <c r="O16700" s="24"/>
      <c r="P16700" s="24"/>
      <c r="Q16700" s="24"/>
      <c r="R16700" s="24"/>
      <c r="S16700" s="24"/>
      <c r="T16700" s="24"/>
      <c r="U16700" s="24"/>
      <c r="V16700" s="24"/>
      <c r="W16700" s="24"/>
      <c r="X16700" s="24"/>
      <c r="Y16700" s="24"/>
      <c r="Z16700" s="24"/>
      <c r="AA16700" s="24"/>
    </row>
    <row r="16701">
      <c r="A16701" s="24"/>
      <c r="B16701" s="25"/>
      <c r="C16701" s="24"/>
      <c r="D16701" s="26"/>
      <c r="E16701" s="24"/>
      <c r="F16701" s="24"/>
      <c r="G16701" s="24"/>
      <c r="H16701" s="24"/>
      <c r="I16701" s="24"/>
      <c r="J16701" s="24"/>
      <c r="K16701" s="24"/>
      <c r="L16701" s="24"/>
      <c r="M16701" s="24"/>
      <c r="N16701" s="24"/>
      <c r="O16701" s="24"/>
      <c r="P16701" s="24"/>
      <c r="Q16701" s="24"/>
      <c r="R16701" s="24"/>
      <c r="S16701" s="24"/>
      <c r="T16701" s="24"/>
      <c r="U16701" s="24"/>
      <c r="V16701" s="24"/>
      <c r="W16701" s="24"/>
      <c r="X16701" s="24"/>
      <c r="Y16701" s="24"/>
      <c r="Z16701" s="24"/>
      <c r="AA16701" s="24"/>
    </row>
    <row r="16702">
      <c r="A16702" s="24"/>
      <c r="B16702" s="25"/>
      <c r="C16702" s="24"/>
      <c r="D16702" s="26"/>
      <c r="E16702" s="24"/>
      <c r="F16702" s="24"/>
      <c r="G16702" s="24"/>
      <c r="H16702" s="24"/>
      <c r="I16702" s="24"/>
      <c r="J16702" s="24"/>
      <c r="K16702" s="24"/>
      <c r="L16702" s="24"/>
      <c r="M16702" s="24"/>
      <c r="N16702" s="24"/>
      <c r="O16702" s="24"/>
      <c r="P16702" s="24"/>
      <c r="Q16702" s="24"/>
      <c r="R16702" s="24"/>
      <c r="S16702" s="24"/>
      <c r="T16702" s="24"/>
      <c r="U16702" s="24"/>
      <c r="V16702" s="24"/>
      <c r="W16702" s="24"/>
      <c r="X16702" s="24"/>
      <c r="Y16702" s="24"/>
      <c r="Z16702" s="24"/>
      <c r="AA16702" s="24"/>
    </row>
    <row r="16703">
      <c r="A16703" s="24"/>
      <c r="B16703" s="25"/>
      <c r="C16703" s="24"/>
      <c r="D16703" s="26"/>
      <c r="E16703" s="24"/>
      <c r="F16703" s="24"/>
      <c r="G16703" s="24"/>
      <c r="H16703" s="24"/>
      <c r="I16703" s="24"/>
      <c r="J16703" s="24"/>
      <c r="K16703" s="24"/>
      <c r="L16703" s="24"/>
      <c r="M16703" s="24"/>
      <c r="N16703" s="24"/>
      <c r="O16703" s="24"/>
      <c r="P16703" s="24"/>
      <c r="Q16703" s="24"/>
      <c r="R16703" s="24"/>
      <c r="S16703" s="24"/>
      <c r="T16703" s="24"/>
      <c r="U16703" s="24"/>
      <c r="V16703" s="24"/>
      <c r="W16703" s="24"/>
      <c r="X16703" s="24"/>
      <c r="Y16703" s="24"/>
      <c r="Z16703" s="24"/>
      <c r="AA16703" s="24"/>
    </row>
    <row r="16704">
      <c r="A16704" s="24"/>
      <c r="B16704" s="25"/>
      <c r="C16704" s="24"/>
      <c r="D16704" s="26"/>
      <c r="E16704" s="24"/>
      <c r="F16704" s="24"/>
      <c r="G16704" s="24"/>
      <c r="H16704" s="24"/>
      <c r="I16704" s="24"/>
      <c r="J16704" s="24"/>
      <c r="K16704" s="24"/>
      <c r="L16704" s="24"/>
      <c r="M16704" s="24"/>
      <c r="N16704" s="24"/>
      <c r="O16704" s="24"/>
      <c r="P16704" s="24"/>
      <c r="Q16704" s="24"/>
      <c r="R16704" s="24"/>
      <c r="S16704" s="24"/>
      <c r="T16704" s="24"/>
      <c r="U16704" s="24"/>
      <c r="V16704" s="24"/>
      <c r="W16704" s="24"/>
      <c r="X16704" s="24"/>
      <c r="Y16704" s="24"/>
      <c r="Z16704" s="24"/>
      <c r="AA16704" s="24"/>
    </row>
    <row r="16705">
      <c r="A16705" s="24"/>
      <c r="B16705" s="25"/>
      <c r="C16705" s="24"/>
      <c r="D16705" s="26"/>
      <c r="E16705" s="24"/>
      <c r="F16705" s="24"/>
      <c r="G16705" s="24"/>
      <c r="H16705" s="24"/>
      <c r="I16705" s="24"/>
      <c r="J16705" s="24"/>
      <c r="K16705" s="24"/>
      <c r="L16705" s="24"/>
      <c r="M16705" s="24"/>
      <c r="N16705" s="24"/>
      <c r="O16705" s="24"/>
      <c r="P16705" s="24"/>
      <c r="Q16705" s="24"/>
      <c r="R16705" s="24"/>
      <c r="S16705" s="24"/>
      <c r="T16705" s="24"/>
      <c r="U16705" s="24"/>
      <c r="V16705" s="24"/>
      <c r="W16705" s="24"/>
      <c r="X16705" s="24"/>
      <c r="Y16705" s="24"/>
      <c r="Z16705" s="24"/>
      <c r="AA16705" s="24"/>
    </row>
    <row r="16706">
      <c r="A16706" s="24"/>
      <c r="B16706" s="25"/>
      <c r="C16706" s="24"/>
      <c r="D16706" s="26"/>
      <c r="E16706" s="24"/>
      <c r="F16706" s="24"/>
      <c r="G16706" s="24"/>
      <c r="H16706" s="24"/>
      <c r="I16706" s="24"/>
      <c r="J16706" s="24"/>
      <c r="K16706" s="24"/>
      <c r="L16706" s="24"/>
      <c r="M16706" s="24"/>
      <c r="N16706" s="24"/>
      <c r="O16706" s="24"/>
      <c r="P16706" s="24"/>
      <c r="Q16706" s="24"/>
      <c r="R16706" s="24"/>
      <c r="S16706" s="24"/>
      <c r="T16706" s="24"/>
      <c r="U16706" s="24"/>
      <c r="V16706" s="24"/>
      <c r="W16706" s="24"/>
      <c r="X16706" s="24"/>
      <c r="Y16706" s="24"/>
      <c r="Z16706" s="24"/>
      <c r="AA16706" s="24"/>
    </row>
    <row r="16707">
      <c r="A16707" s="24"/>
      <c r="B16707" s="25"/>
      <c r="C16707" s="24"/>
      <c r="D16707" s="26"/>
      <c r="E16707" s="24"/>
      <c r="F16707" s="24"/>
      <c r="G16707" s="24"/>
      <c r="H16707" s="24"/>
      <c r="I16707" s="24"/>
      <c r="J16707" s="24"/>
      <c r="K16707" s="24"/>
      <c r="L16707" s="24"/>
      <c r="M16707" s="24"/>
      <c r="N16707" s="24"/>
      <c r="O16707" s="24"/>
      <c r="P16707" s="24"/>
      <c r="Q16707" s="24"/>
      <c r="R16707" s="24"/>
      <c r="S16707" s="24"/>
      <c r="T16707" s="24"/>
      <c r="U16707" s="24"/>
      <c r="V16707" s="24"/>
      <c r="W16707" s="24"/>
      <c r="X16707" s="24"/>
      <c r="Y16707" s="24"/>
      <c r="Z16707" s="24"/>
      <c r="AA16707" s="24"/>
    </row>
    <row r="16708">
      <c r="A16708" s="24"/>
      <c r="B16708" s="25"/>
      <c r="C16708" s="24"/>
      <c r="D16708" s="26"/>
      <c r="E16708" s="24"/>
      <c r="F16708" s="24"/>
      <c r="G16708" s="24"/>
      <c r="H16708" s="24"/>
      <c r="I16708" s="24"/>
      <c r="J16708" s="24"/>
      <c r="K16708" s="24"/>
      <c r="L16708" s="24"/>
      <c r="M16708" s="24"/>
      <c r="N16708" s="24"/>
      <c r="O16708" s="24"/>
      <c r="P16708" s="24"/>
      <c r="Q16708" s="24"/>
      <c r="R16708" s="24"/>
      <c r="S16708" s="24"/>
      <c r="T16708" s="24"/>
      <c r="U16708" s="24"/>
      <c r="V16708" s="24"/>
      <c r="W16708" s="24"/>
      <c r="X16708" s="24"/>
      <c r="Y16708" s="24"/>
      <c r="Z16708" s="24"/>
      <c r="AA16708" s="24"/>
    </row>
    <row r="16709">
      <c r="A16709" s="24"/>
      <c r="B16709" s="25"/>
      <c r="C16709" s="24"/>
      <c r="D16709" s="26"/>
      <c r="E16709" s="24"/>
      <c r="F16709" s="24"/>
      <c r="G16709" s="24"/>
      <c r="H16709" s="24"/>
      <c r="I16709" s="24"/>
      <c r="J16709" s="24"/>
      <c r="K16709" s="24"/>
      <c r="L16709" s="24"/>
      <c r="M16709" s="24"/>
      <c r="N16709" s="24"/>
      <c r="O16709" s="24"/>
      <c r="P16709" s="24"/>
      <c r="Q16709" s="24"/>
      <c r="R16709" s="24"/>
      <c r="S16709" s="24"/>
      <c r="T16709" s="24"/>
      <c r="U16709" s="24"/>
      <c r="V16709" s="24"/>
      <c r="W16709" s="24"/>
      <c r="X16709" s="24"/>
      <c r="Y16709" s="24"/>
      <c r="Z16709" s="24"/>
      <c r="AA16709" s="24"/>
    </row>
    <row r="16710">
      <c r="A16710" s="24"/>
      <c r="B16710" s="25"/>
      <c r="C16710" s="24"/>
      <c r="D16710" s="26"/>
      <c r="E16710" s="24"/>
      <c r="F16710" s="24"/>
      <c r="G16710" s="24"/>
      <c r="H16710" s="24"/>
      <c r="I16710" s="24"/>
      <c r="J16710" s="24"/>
      <c r="K16710" s="24"/>
      <c r="L16710" s="24"/>
      <c r="M16710" s="24"/>
      <c r="N16710" s="24"/>
      <c r="O16710" s="24"/>
      <c r="P16710" s="24"/>
      <c r="Q16710" s="24"/>
      <c r="R16710" s="24"/>
      <c r="S16710" s="24"/>
      <c r="T16710" s="24"/>
      <c r="U16710" s="24"/>
      <c r="V16710" s="24"/>
      <c r="W16710" s="24"/>
      <c r="X16710" s="24"/>
      <c r="Y16710" s="24"/>
      <c r="Z16710" s="24"/>
      <c r="AA16710" s="24"/>
    </row>
    <row r="16711">
      <c r="A16711" s="24"/>
      <c r="B16711" s="25"/>
      <c r="C16711" s="24"/>
      <c r="D16711" s="26"/>
      <c r="E16711" s="24"/>
      <c r="F16711" s="24"/>
      <c r="G16711" s="24"/>
      <c r="H16711" s="24"/>
      <c r="I16711" s="24"/>
      <c r="J16711" s="24"/>
      <c r="K16711" s="24"/>
      <c r="L16711" s="24"/>
      <c r="M16711" s="24"/>
      <c r="N16711" s="24"/>
      <c r="O16711" s="24"/>
      <c r="P16711" s="24"/>
      <c r="Q16711" s="24"/>
      <c r="R16711" s="24"/>
      <c r="S16711" s="24"/>
      <c r="T16711" s="24"/>
      <c r="U16711" s="24"/>
      <c r="V16711" s="24"/>
      <c r="W16711" s="24"/>
      <c r="X16711" s="24"/>
      <c r="Y16711" s="24"/>
      <c r="Z16711" s="24"/>
      <c r="AA16711" s="24"/>
    </row>
    <row r="16712">
      <c r="A16712" s="24"/>
      <c r="B16712" s="25"/>
      <c r="C16712" s="24"/>
      <c r="D16712" s="26"/>
      <c r="E16712" s="24"/>
      <c r="F16712" s="24"/>
      <c r="G16712" s="24"/>
      <c r="H16712" s="24"/>
      <c r="I16712" s="24"/>
      <c r="J16712" s="24"/>
      <c r="K16712" s="24"/>
      <c r="L16712" s="24"/>
      <c r="M16712" s="24"/>
      <c r="N16712" s="24"/>
      <c r="O16712" s="24"/>
      <c r="P16712" s="24"/>
      <c r="Q16712" s="24"/>
      <c r="R16712" s="24"/>
      <c r="S16712" s="24"/>
      <c r="T16712" s="24"/>
      <c r="U16712" s="24"/>
      <c r="V16712" s="24"/>
      <c r="W16712" s="24"/>
      <c r="X16712" s="24"/>
      <c r="Y16712" s="24"/>
      <c r="Z16712" s="24"/>
      <c r="AA16712" s="24"/>
    </row>
    <row r="16713">
      <c r="A16713" s="24"/>
      <c r="B16713" s="25"/>
      <c r="C16713" s="24"/>
      <c r="D16713" s="26"/>
      <c r="E16713" s="24"/>
      <c r="F16713" s="24"/>
      <c r="G16713" s="24"/>
      <c r="H16713" s="24"/>
      <c r="I16713" s="24"/>
      <c r="J16713" s="24"/>
      <c r="K16713" s="24"/>
      <c r="L16713" s="24"/>
      <c r="M16713" s="24"/>
      <c r="N16713" s="24"/>
      <c r="O16713" s="24"/>
      <c r="P16713" s="24"/>
      <c r="Q16713" s="24"/>
      <c r="R16713" s="24"/>
      <c r="S16713" s="24"/>
      <c r="T16713" s="24"/>
      <c r="U16713" s="24"/>
      <c r="V16713" s="24"/>
      <c r="W16713" s="24"/>
      <c r="X16713" s="24"/>
      <c r="Y16713" s="24"/>
      <c r="Z16713" s="24"/>
      <c r="AA16713" s="24"/>
    </row>
    <row r="16714">
      <c r="A16714" s="24"/>
      <c r="B16714" s="25"/>
      <c r="C16714" s="24"/>
      <c r="D16714" s="26"/>
      <c r="E16714" s="24"/>
      <c r="F16714" s="24"/>
      <c r="G16714" s="24"/>
      <c r="H16714" s="24"/>
      <c r="I16714" s="24"/>
      <c r="J16714" s="24"/>
      <c r="K16714" s="24"/>
      <c r="L16714" s="24"/>
      <c r="M16714" s="24"/>
      <c r="N16714" s="24"/>
      <c r="O16714" s="24"/>
      <c r="P16714" s="24"/>
      <c r="Q16714" s="24"/>
      <c r="R16714" s="24"/>
      <c r="S16714" s="24"/>
      <c r="T16714" s="24"/>
      <c r="U16714" s="24"/>
      <c r="V16714" s="24"/>
      <c r="W16714" s="24"/>
      <c r="X16714" s="24"/>
      <c r="Y16714" s="24"/>
      <c r="Z16714" s="24"/>
      <c r="AA16714" s="24"/>
    </row>
    <row r="16715">
      <c r="A16715" s="24"/>
      <c r="B16715" s="25"/>
      <c r="C16715" s="24"/>
      <c r="D16715" s="26"/>
      <c r="E16715" s="24"/>
      <c r="F16715" s="24"/>
      <c r="G16715" s="24"/>
      <c r="H16715" s="24"/>
      <c r="I16715" s="24"/>
      <c r="J16715" s="24"/>
      <c r="K16715" s="24"/>
      <c r="L16715" s="24"/>
      <c r="M16715" s="24"/>
      <c r="N16715" s="24"/>
      <c r="O16715" s="24"/>
      <c r="P16715" s="24"/>
      <c r="Q16715" s="24"/>
      <c r="R16715" s="24"/>
      <c r="S16715" s="24"/>
      <c r="T16715" s="24"/>
      <c r="U16715" s="24"/>
      <c r="V16715" s="24"/>
      <c r="W16715" s="24"/>
      <c r="X16715" s="24"/>
      <c r="Y16715" s="24"/>
      <c r="Z16715" s="24"/>
      <c r="AA16715" s="24"/>
    </row>
    <row r="16716">
      <c r="A16716" s="24"/>
      <c r="B16716" s="25"/>
      <c r="C16716" s="24"/>
      <c r="D16716" s="26"/>
      <c r="E16716" s="24"/>
      <c r="F16716" s="24"/>
      <c r="G16716" s="24"/>
      <c r="H16716" s="24"/>
      <c r="I16716" s="24"/>
      <c r="J16716" s="24"/>
      <c r="K16716" s="24"/>
      <c r="L16716" s="24"/>
      <c r="M16716" s="24"/>
      <c r="N16716" s="24"/>
      <c r="O16716" s="24"/>
      <c r="P16716" s="24"/>
      <c r="Q16716" s="24"/>
      <c r="R16716" s="24"/>
      <c r="S16716" s="24"/>
      <c r="T16716" s="24"/>
      <c r="U16716" s="24"/>
      <c r="V16716" s="24"/>
      <c r="W16716" s="24"/>
      <c r="X16716" s="24"/>
      <c r="Y16716" s="24"/>
      <c r="Z16716" s="24"/>
      <c r="AA16716" s="24"/>
    </row>
    <row r="16717">
      <c r="A16717" s="24"/>
      <c r="B16717" s="25"/>
      <c r="C16717" s="24"/>
      <c r="D16717" s="26"/>
      <c r="E16717" s="24"/>
      <c r="F16717" s="24"/>
      <c r="G16717" s="24"/>
      <c r="H16717" s="24"/>
      <c r="I16717" s="24"/>
      <c r="J16717" s="24"/>
      <c r="K16717" s="24"/>
      <c r="L16717" s="24"/>
      <c r="M16717" s="24"/>
      <c r="N16717" s="24"/>
      <c r="O16717" s="24"/>
      <c r="P16717" s="24"/>
      <c r="Q16717" s="24"/>
      <c r="R16717" s="24"/>
      <c r="S16717" s="24"/>
      <c r="T16717" s="24"/>
      <c r="U16717" s="24"/>
      <c r="V16717" s="24"/>
      <c r="W16717" s="24"/>
      <c r="X16717" s="24"/>
      <c r="Y16717" s="24"/>
      <c r="Z16717" s="24"/>
      <c r="AA16717" s="24"/>
    </row>
    <row r="16718">
      <c r="A16718" s="24"/>
      <c r="B16718" s="25"/>
      <c r="C16718" s="24"/>
      <c r="D16718" s="26"/>
      <c r="E16718" s="24"/>
      <c r="F16718" s="24"/>
      <c r="G16718" s="24"/>
      <c r="H16718" s="24"/>
      <c r="I16718" s="24"/>
      <c r="J16718" s="24"/>
      <c r="K16718" s="24"/>
      <c r="L16718" s="24"/>
      <c r="M16718" s="24"/>
      <c r="N16718" s="24"/>
      <c r="O16718" s="24"/>
      <c r="P16718" s="24"/>
      <c r="Q16718" s="24"/>
      <c r="R16718" s="24"/>
      <c r="S16718" s="24"/>
      <c r="T16718" s="24"/>
      <c r="U16718" s="24"/>
      <c r="V16718" s="24"/>
      <c r="W16718" s="24"/>
      <c r="X16718" s="24"/>
      <c r="Y16718" s="24"/>
      <c r="Z16718" s="24"/>
      <c r="AA16718" s="24"/>
    </row>
    <row r="16719">
      <c r="A16719" s="24"/>
      <c r="B16719" s="25"/>
      <c r="C16719" s="24"/>
      <c r="D16719" s="26"/>
      <c r="E16719" s="24"/>
      <c r="F16719" s="24"/>
      <c r="G16719" s="24"/>
      <c r="H16719" s="24"/>
      <c r="I16719" s="24"/>
      <c r="J16719" s="24"/>
      <c r="K16719" s="24"/>
      <c r="L16719" s="24"/>
      <c r="M16719" s="24"/>
      <c r="N16719" s="24"/>
      <c r="O16719" s="24"/>
      <c r="P16719" s="24"/>
      <c r="Q16719" s="24"/>
      <c r="R16719" s="24"/>
      <c r="S16719" s="24"/>
      <c r="T16719" s="24"/>
      <c r="U16719" s="24"/>
      <c r="V16719" s="24"/>
      <c r="W16719" s="24"/>
      <c r="X16719" s="24"/>
      <c r="Y16719" s="24"/>
      <c r="Z16719" s="24"/>
      <c r="AA16719" s="24"/>
    </row>
    <row r="16720">
      <c r="A16720" s="24"/>
      <c r="B16720" s="25"/>
      <c r="C16720" s="24"/>
      <c r="D16720" s="26"/>
      <c r="E16720" s="24"/>
      <c r="F16720" s="24"/>
      <c r="G16720" s="24"/>
      <c r="H16720" s="24"/>
      <c r="I16720" s="24"/>
      <c r="J16720" s="24"/>
      <c r="K16720" s="24"/>
      <c r="L16720" s="24"/>
      <c r="M16720" s="24"/>
      <c r="N16720" s="24"/>
      <c r="O16720" s="24"/>
      <c r="P16720" s="24"/>
      <c r="Q16720" s="24"/>
      <c r="R16720" s="24"/>
      <c r="S16720" s="24"/>
      <c r="T16720" s="24"/>
      <c r="U16720" s="24"/>
      <c r="V16720" s="24"/>
      <c r="W16720" s="24"/>
      <c r="X16720" s="24"/>
      <c r="Y16720" s="24"/>
      <c r="Z16720" s="24"/>
      <c r="AA16720" s="24"/>
    </row>
    <row r="16721">
      <c r="A16721" s="24"/>
      <c r="B16721" s="25"/>
      <c r="C16721" s="24"/>
      <c r="D16721" s="26"/>
      <c r="E16721" s="24"/>
      <c r="F16721" s="24"/>
      <c r="G16721" s="24"/>
      <c r="H16721" s="24"/>
      <c r="I16721" s="24"/>
      <c r="J16721" s="24"/>
      <c r="K16721" s="24"/>
      <c r="L16721" s="24"/>
      <c r="M16721" s="24"/>
      <c r="N16721" s="24"/>
      <c r="O16721" s="24"/>
      <c r="P16721" s="24"/>
      <c r="Q16721" s="24"/>
      <c r="R16721" s="24"/>
      <c r="S16721" s="24"/>
      <c r="T16721" s="24"/>
      <c r="U16721" s="24"/>
      <c r="V16721" s="24"/>
      <c r="W16721" s="24"/>
      <c r="X16721" s="24"/>
      <c r="Y16721" s="24"/>
      <c r="Z16721" s="24"/>
      <c r="AA16721" s="24"/>
    </row>
    <row r="16722">
      <c r="A16722" s="24"/>
      <c r="B16722" s="25"/>
      <c r="C16722" s="24"/>
      <c r="D16722" s="26"/>
      <c r="E16722" s="24"/>
      <c r="F16722" s="24"/>
      <c r="G16722" s="24"/>
      <c r="H16722" s="24"/>
      <c r="I16722" s="24"/>
      <c r="J16722" s="24"/>
      <c r="K16722" s="24"/>
      <c r="L16722" s="24"/>
      <c r="M16722" s="24"/>
      <c r="N16722" s="24"/>
      <c r="O16722" s="24"/>
      <c r="P16722" s="24"/>
      <c r="Q16722" s="24"/>
      <c r="R16722" s="24"/>
      <c r="S16722" s="24"/>
      <c r="T16722" s="24"/>
      <c r="U16722" s="24"/>
      <c r="V16722" s="24"/>
      <c r="W16722" s="24"/>
      <c r="X16722" s="24"/>
      <c r="Y16722" s="24"/>
      <c r="Z16722" s="24"/>
      <c r="AA16722" s="24"/>
    </row>
    <row r="16723">
      <c r="A16723" s="24"/>
      <c r="B16723" s="25"/>
      <c r="C16723" s="24"/>
      <c r="D16723" s="26"/>
      <c r="E16723" s="24"/>
      <c r="F16723" s="24"/>
      <c r="G16723" s="24"/>
      <c r="H16723" s="24"/>
      <c r="I16723" s="24"/>
      <c r="J16723" s="24"/>
      <c r="K16723" s="24"/>
      <c r="L16723" s="24"/>
      <c r="M16723" s="24"/>
      <c r="N16723" s="24"/>
      <c r="O16723" s="24"/>
      <c r="P16723" s="24"/>
      <c r="Q16723" s="24"/>
      <c r="R16723" s="24"/>
      <c r="S16723" s="24"/>
      <c r="T16723" s="24"/>
      <c r="U16723" s="24"/>
      <c r="V16723" s="24"/>
      <c r="W16723" s="24"/>
      <c r="X16723" s="24"/>
      <c r="Y16723" s="24"/>
      <c r="Z16723" s="24"/>
      <c r="AA16723" s="24"/>
    </row>
    <row r="16724">
      <c r="A16724" s="24"/>
      <c r="B16724" s="25"/>
      <c r="C16724" s="24"/>
      <c r="D16724" s="26"/>
      <c r="E16724" s="24"/>
      <c r="F16724" s="24"/>
      <c r="G16724" s="24"/>
      <c r="H16724" s="24"/>
      <c r="I16724" s="24"/>
      <c r="J16724" s="24"/>
      <c r="K16724" s="24"/>
      <c r="L16724" s="24"/>
      <c r="M16724" s="24"/>
      <c r="N16724" s="24"/>
      <c r="O16724" s="24"/>
      <c r="P16724" s="24"/>
      <c r="Q16724" s="24"/>
      <c r="R16724" s="24"/>
      <c r="S16724" s="24"/>
      <c r="T16724" s="24"/>
      <c r="U16724" s="24"/>
      <c r="V16724" s="24"/>
      <c r="W16724" s="24"/>
      <c r="X16724" s="24"/>
      <c r="Y16724" s="24"/>
      <c r="Z16724" s="24"/>
      <c r="AA16724" s="24"/>
    </row>
    <row r="16725">
      <c r="A16725" s="24"/>
      <c r="B16725" s="25"/>
      <c r="C16725" s="24"/>
      <c r="D16725" s="26"/>
      <c r="E16725" s="24"/>
      <c r="F16725" s="24"/>
      <c r="G16725" s="24"/>
      <c r="H16725" s="24"/>
      <c r="I16725" s="24"/>
      <c r="J16725" s="24"/>
      <c r="K16725" s="24"/>
      <c r="L16725" s="24"/>
      <c r="M16725" s="24"/>
      <c r="N16725" s="24"/>
      <c r="O16725" s="24"/>
      <c r="P16725" s="24"/>
      <c r="Q16725" s="24"/>
      <c r="R16725" s="24"/>
      <c r="S16725" s="24"/>
      <c r="T16725" s="24"/>
      <c r="U16725" s="24"/>
      <c r="V16725" s="24"/>
      <c r="W16725" s="24"/>
      <c r="X16725" s="24"/>
      <c r="Y16725" s="24"/>
      <c r="Z16725" s="24"/>
      <c r="AA16725" s="24"/>
    </row>
    <row r="16726">
      <c r="A16726" s="24"/>
      <c r="B16726" s="25"/>
      <c r="C16726" s="24"/>
      <c r="D16726" s="26"/>
      <c r="E16726" s="24"/>
      <c r="F16726" s="24"/>
      <c r="G16726" s="24"/>
      <c r="H16726" s="24"/>
      <c r="I16726" s="24"/>
      <c r="J16726" s="24"/>
      <c r="K16726" s="24"/>
      <c r="L16726" s="24"/>
      <c r="M16726" s="24"/>
      <c r="N16726" s="24"/>
      <c r="O16726" s="24"/>
      <c r="P16726" s="24"/>
      <c r="Q16726" s="24"/>
      <c r="R16726" s="24"/>
      <c r="S16726" s="24"/>
      <c r="T16726" s="24"/>
      <c r="U16726" s="24"/>
      <c r="V16726" s="24"/>
      <c r="W16726" s="24"/>
      <c r="X16726" s="24"/>
      <c r="Y16726" s="24"/>
      <c r="Z16726" s="24"/>
      <c r="AA16726" s="24"/>
    </row>
    <row r="16727">
      <c r="A16727" s="24"/>
      <c r="B16727" s="25"/>
      <c r="C16727" s="24"/>
      <c r="D16727" s="26"/>
      <c r="E16727" s="24"/>
      <c r="F16727" s="24"/>
      <c r="G16727" s="24"/>
      <c r="H16727" s="24"/>
      <c r="I16727" s="24"/>
      <c r="J16727" s="24"/>
      <c r="K16727" s="24"/>
      <c r="L16727" s="24"/>
      <c r="M16727" s="24"/>
      <c r="N16727" s="24"/>
      <c r="O16727" s="24"/>
      <c r="P16727" s="24"/>
      <c r="Q16727" s="24"/>
      <c r="R16727" s="24"/>
      <c r="S16727" s="24"/>
      <c r="T16727" s="24"/>
      <c r="U16727" s="24"/>
      <c r="V16727" s="24"/>
      <c r="W16727" s="24"/>
      <c r="X16727" s="24"/>
      <c r="Y16727" s="24"/>
      <c r="Z16727" s="24"/>
      <c r="AA16727" s="24"/>
    </row>
    <row r="16728">
      <c r="A16728" s="24"/>
      <c r="B16728" s="25"/>
      <c r="C16728" s="24"/>
      <c r="D16728" s="26"/>
      <c r="E16728" s="24"/>
      <c r="F16728" s="24"/>
      <c r="G16728" s="24"/>
      <c r="H16728" s="24"/>
      <c r="I16728" s="24"/>
      <c r="J16728" s="24"/>
      <c r="K16728" s="24"/>
      <c r="L16728" s="24"/>
      <c r="M16728" s="24"/>
      <c r="N16728" s="24"/>
      <c r="O16728" s="24"/>
      <c r="P16728" s="24"/>
      <c r="Q16728" s="24"/>
      <c r="R16728" s="24"/>
      <c r="S16728" s="24"/>
      <c r="T16728" s="24"/>
      <c r="U16728" s="24"/>
      <c r="V16728" s="24"/>
      <c r="W16728" s="24"/>
      <c r="X16728" s="24"/>
      <c r="Y16728" s="24"/>
      <c r="Z16728" s="24"/>
      <c r="AA16728" s="24"/>
    </row>
    <row r="16729">
      <c r="A16729" s="24"/>
      <c r="B16729" s="25"/>
      <c r="C16729" s="24"/>
      <c r="D16729" s="26"/>
      <c r="E16729" s="24"/>
      <c r="F16729" s="24"/>
      <c r="G16729" s="24"/>
      <c r="H16729" s="24"/>
      <c r="I16729" s="24"/>
      <c r="J16729" s="24"/>
      <c r="K16729" s="24"/>
      <c r="L16729" s="24"/>
      <c r="M16729" s="24"/>
      <c r="N16729" s="24"/>
      <c r="O16729" s="24"/>
      <c r="P16729" s="24"/>
      <c r="Q16729" s="24"/>
      <c r="R16729" s="24"/>
      <c r="S16729" s="24"/>
      <c r="T16729" s="24"/>
      <c r="U16729" s="24"/>
      <c r="V16729" s="24"/>
      <c r="W16729" s="24"/>
      <c r="X16729" s="24"/>
      <c r="Y16729" s="24"/>
      <c r="Z16729" s="24"/>
      <c r="AA16729" s="24"/>
    </row>
    <row r="16730">
      <c r="A16730" s="24"/>
      <c r="B16730" s="25"/>
      <c r="C16730" s="24"/>
      <c r="D16730" s="26"/>
      <c r="E16730" s="24"/>
      <c r="F16730" s="24"/>
      <c r="G16730" s="24"/>
      <c r="H16730" s="24"/>
      <c r="I16730" s="24"/>
      <c r="J16730" s="24"/>
      <c r="K16730" s="24"/>
      <c r="L16730" s="24"/>
      <c r="M16730" s="24"/>
      <c r="N16730" s="24"/>
      <c r="O16730" s="24"/>
      <c r="P16730" s="24"/>
      <c r="Q16730" s="24"/>
      <c r="R16730" s="24"/>
      <c r="S16730" s="24"/>
      <c r="T16730" s="24"/>
      <c r="U16730" s="24"/>
      <c r="V16730" s="24"/>
      <c r="W16730" s="24"/>
      <c r="X16730" s="24"/>
      <c r="Y16730" s="24"/>
      <c r="Z16730" s="24"/>
      <c r="AA16730" s="24"/>
    </row>
    <row r="16731">
      <c r="A16731" s="24"/>
      <c r="B16731" s="25"/>
      <c r="C16731" s="24"/>
      <c r="D16731" s="26"/>
      <c r="E16731" s="24"/>
      <c r="F16731" s="24"/>
      <c r="G16731" s="24"/>
      <c r="H16731" s="24"/>
      <c r="I16731" s="24"/>
      <c r="J16731" s="24"/>
      <c r="K16731" s="24"/>
      <c r="L16731" s="24"/>
      <c r="M16731" s="24"/>
      <c r="N16731" s="24"/>
      <c r="O16731" s="24"/>
      <c r="P16731" s="24"/>
      <c r="Q16731" s="24"/>
      <c r="R16731" s="24"/>
      <c r="S16731" s="24"/>
      <c r="T16731" s="24"/>
      <c r="U16731" s="24"/>
      <c r="V16731" s="24"/>
      <c r="W16731" s="24"/>
      <c r="X16731" s="24"/>
      <c r="Y16731" s="24"/>
      <c r="Z16731" s="24"/>
      <c r="AA16731" s="24"/>
    </row>
    <row r="16732">
      <c r="A16732" s="24"/>
      <c r="B16732" s="25"/>
      <c r="C16732" s="24"/>
      <c r="D16732" s="26"/>
      <c r="E16732" s="24"/>
      <c r="F16732" s="24"/>
      <c r="G16732" s="24"/>
      <c r="H16732" s="24"/>
      <c r="I16732" s="24"/>
      <c r="J16732" s="24"/>
      <c r="K16732" s="24"/>
      <c r="L16732" s="24"/>
      <c r="M16732" s="24"/>
      <c r="N16732" s="24"/>
      <c r="O16732" s="24"/>
      <c r="P16732" s="24"/>
      <c r="Q16732" s="24"/>
      <c r="R16732" s="24"/>
      <c r="S16732" s="24"/>
      <c r="T16732" s="24"/>
      <c r="U16732" s="24"/>
      <c r="V16732" s="24"/>
      <c r="W16732" s="24"/>
      <c r="X16732" s="24"/>
      <c r="Y16732" s="24"/>
      <c r="Z16732" s="24"/>
      <c r="AA16732" s="24"/>
    </row>
    <row r="16733">
      <c r="A16733" s="24"/>
      <c r="B16733" s="25"/>
      <c r="C16733" s="24"/>
      <c r="D16733" s="26"/>
      <c r="E16733" s="24"/>
      <c r="F16733" s="24"/>
      <c r="G16733" s="24"/>
      <c r="H16733" s="24"/>
      <c r="I16733" s="24"/>
      <c r="J16733" s="24"/>
      <c r="K16733" s="24"/>
      <c r="L16733" s="24"/>
      <c r="M16733" s="24"/>
      <c r="N16733" s="24"/>
      <c r="O16733" s="24"/>
      <c r="P16733" s="24"/>
      <c r="Q16733" s="24"/>
      <c r="R16733" s="24"/>
      <c r="S16733" s="24"/>
      <c r="T16733" s="24"/>
      <c r="U16733" s="24"/>
      <c r="V16733" s="24"/>
      <c r="W16733" s="24"/>
      <c r="X16733" s="24"/>
      <c r="Y16733" s="24"/>
      <c r="Z16733" s="24"/>
      <c r="AA16733" s="24"/>
    </row>
    <row r="16734">
      <c r="A16734" s="24"/>
      <c r="B16734" s="25"/>
      <c r="C16734" s="24"/>
      <c r="D16734" s="26"/>
      <c r="E16734" s="24"/>
      <c r="F16734" s="24"/>
      <c r="G16734" s="24"/>
      <c r="H16734" s="24"/>
      <c r="I16734" s="24"/>
      <c r="J16734" s="24"/>
      <c r="K16734" s="24"/>
      <c r="L16734" s="24"/>
      <c r="M16734" s="24"/>
      <c r="N16734" s="24"/>
      <c r="O16734" s="24"/>
      <c r="P16734" s="24"/>
      <c r="Q16734" s="24"/>
      <c r="R16734" s="24"/>
      <c r="S16734" s="24"/>
      <c r="T16734" s="24"/>
      <c r="U16734" s="24"/>
      <c r="V16734" s="24"/>
      <c r="W16734" s="24"/>
      <c r="X16734" s="24"/>
      <c r="Y16734" s="24"/>
      <c r="Z16734" s="24"/>
      <c r="AA16734" s="24"/>
    </row>
    <row r="16735">
      <c r="A16735" s="24"/>
      <c r="B16735" s="25"/>
      <c r="C16735" s="24"/>
      <c r="D16735" s="26"/>
      <c r="E16735" s="24"/>
      <c r="F16735" s="24"/>
      <c r="G16735" s="24"/>
      <c r="H16735" s="24"/>
      <c r="I16735" s="24"/>
      <c r="J16735" s="24"/>
      <c r="K16735" s="24"/>
      <c r="L16735" s="24"/>
      <c r="M16735" s="24"/>
      <c r="N16735" s="24"/>
      <c r="O16735" s="24"/>
      <c r="P16735" s="24"/>
      <c r="Q16735" s="24"/>
      <c r="R16735" s="24"/>
      <c r="S16735" s="24"/>
      <c r="T16735" s="24"/>
      <c r="U16735" s="24"/>
      <c r="V16735" s="24"/>
      <c r="W16735" s="24"/>
      <c r="X16735" s="24"/>
      <c r="Y16735" s="24"/>
      <c r="Z16735" s="24"/>
      <c r="AA16735" s="24"/>
    </row>
    <row r="16736">
      <c r="A16736" s="24"/>
      <c r="B16736" s="25"/>
      <c r="C16736" s="24"/>
      <c r="D16736" s="26"/>
      <c r="E16736" s="24"/>
      <c r="F16736" s="24"/>
      <c r="G16736" s="24"/>
      <c r="H16736" s="24"/>
      <c r="I16736" s="24"/>
      <c r="J16736" s="24"/>
      <c r="K16736" s="24"/>
      <c r="L16736" s="24"/>
      <c r="M16736" s="24"/>
      <c r="N16736" s="24"/>
      <c r="O16736" s="24"/>
      <c r="P16736" s="24"/>
      <c r="Q16736" s="24"/>
      <c r="R16736" s="24"/>
      <c r="S16736" s="24"/>
      <c r="T16736" s="24"/>
      <c r="U16736" s="24"/>
      <c r="V16736" s="24"/>
      <c r="W16736" s="24"/>
      <c r="X16736" s="24"/>
      <c r="Y16736" s="24"/>
      <c r="Z16736" s="24"/>
      <c r="AA16736" s="24"/>
    </row>
    <row r="16737">
      <c r="A16737" s="24"/>
      <c r="B16737" s="25"/>
      <c r="C16737" s="24"/>
      <c r="D16737" s="26"/>
      <c r="E16737" s="24"/>
      <c r="F16737" s="24"/>
      <c r="G16737" s="24"/>
      <c r="H16737" s="24"/>
      <c r="I16737" s="24"/>
      <c r="J16737" s="24"/>
      <c r="K16737" s="24"/>
      <c r="L16737" s="24"/>
      <c r="M16737" s="24"/>
      <c r="N16737" s="24"/>
      <c r="O16737" s="24"/>
      <c r="P16737" s="24"/>
      <c r="Q16737" s="24"/>
      <c r="R16737" s="24"/>
      <c r="S16737" s="24"/>
      <c r="T16737" s="24"/>
      <c r="U16737" s="24"/>
      <c r="V16737" s="24"/>
      <c r="W16737" s="24"/>
      <c r="X16737" s="24"/>
      <c r="Y16737" s="24"/>
      <c r="Z16737" s="24"/>
      <c r="AA16737" s="24"/>
    </row>
    <row r="16738">
      <c r="A16738" s="24"/>
      <c r="B16738" s="25"/>
      <c r="C16738" s="24"/>
      <c r="D16738" s="26"/>
      <c r="E16738" s="24"/>
      <c r="F16738" s="24"/>
      <c r="G16738" s="24"/>
      <c r="H16738" s="24"/>
      <c r="I16738" s="24"/>
      <c r="J16738" s="24"/>
      <c r="K16738" s="24"/>
      <c r="L16738" s="24"/>
      <c r="M16738" s="24"/>
      <c r="N16738" s="24"/>
      <c r="O16738" s="24"/>
      <c r="P16738" s="24"/>
      <c r="Q16738" s="24"/>
      <c r="R16738" s="24"/>
      <c r="S16738" s="24"/>
      <c r="T16738" s="24"/>
      <c r="U16738" s="24"/>
      <c r="V16738" s="24"/>
      <c r="W16738" s="24"/>
      <c r="X16738" s="24"/>
      <c r="Y16738" s="24"/>
      <c r="Z16738" s="24"/>
      <c r="AA16738" s="24"/>
    </row>
    <row r="16739">
      <c r="A16739" s="24"/>
      <c r="B16739" s="25"/>
      <c r="C16739" s="24"/>
      <c r="D16739" s="26"/>
      <c r="E16739" s="24"/>
      <c r="F16739" s="24"/>
      <c r="G16739" s="24"/>
      <c r="H16739" s="24"/>
      <c r="I16739" s="24"/>
      <c r="J16739" s="24"/>
      <c r="K16739" s="24"/>
      <c r="L16739" s="24"/>
      <c r="M16739" s="24"/>
      <c r="N16739" s="24"/>
      <c r="O16739" s="24"/>
      <c r="P16739" s="24"/>
      <c r="Q16739" s="24"/>
      <c r="R16739" s="24"/>
      <c r="S16739" s="24"/>
      <c r="T16739" s="24"/>
      <c r="U16739" s="24"/>
      <c r="V16739" s="24"/>
      <c r="W16739" s="24"/>
      <c r="X16739" s="24"/>
      <c r="Y16739" s="24"/>
      <c r="Z16739" s="24"/>
      <c r="AA16739" s="24"/>
    </row>
    <row r="16740">
      <c r="A16740" s="24"/>
      <c r="B16740" s="25"/>
      <c r="C16740" s="24"/>
      <c r="D16740" s="26"/>
      <c r="E16740" s="24"/>
      <c r="F16740" s="24"/>
      <c r="G16740" s="24"/>
      <c r="H16740" s="24"/>
      <c r="I16740" s="24"/>
      <c r="J16740" s="24"/>
      <c r="K16740" s="24"/>
      <c r="L16740" s="24"/>
      <c r="M16740" s="24"/>
      <c r="N16740" s="24"/>
      <c r="O16740" s="24"/>
      <c r="P16740" s="24"/>
      <c r="Q16740" s="24"/>
      <c r="R16740" s="24"/>
      <c r="S16740" s="24"/>
      <c r="T16740" s="24"/>
      <c r="U16740" s="24"/>
      <c r="V16740" s="24"/>
      <c r="W16740" s="24"/>
      <c r="X16740" s="24"/>
      <c r="Y16740" s="24"/>
      <c r="Z16740" s="24"/>
      <c r="AA16740" s="24"/>
    </row>
    <row r="16741">
      <c r="A16741" s="24"/>
      <c r="B16741" s="25"/>
      <c r="C16741" s="24"/>
      <c r="D16741" s="26"/>
      <c r="E16741" s="24"/>
      <c r="F16741" s="24"/>
      <c r="G16741" s="24"/>
      <c r="H16741" s="24"/>
      <c r="I16741" s="24"/>
      <c r="J16741" s="24"/>
      <c r="K16741" s="24"/>
      <c r="L16741" s="24"/>
      <c r="M16741" s="24"/>
      <c r="N16741" s="24"/>
      <c r="O16741" s="24"/>
      <c r="P16741" s="24"/>
      <c r="Q16741" s="24"/>
      <c r="R16741" s="24"/>
      <c r="S16741" s="24"/>
      <c r="T16741" s="24"/>
      <c r="U16741" s="24"/>
      <c r="V16741" s="24"/>
      <c r="W16741" s="24"/>
      <c r="X16741" s="24"/>
      <c r="Y16741" s="24"/>
      <c r="Z16741" s="24"/>
      <c r="AA16741" s="24"/>
    </row>
    <row r="16742">
      <c r="A16742" s="24"/>
      <c r="B16742" s="25"/>
      <c r="C16742" s="24"/>
      <c r="D16742" s="26"/>
      <c r="E16742" s="24"/>
      <c r="F16742" s="24"/>
      <c r="G16742" s="24"/>
      <c r="H16742" s="24"/>
      <c r="I16742" s="24"/>
      <c r="J16742" s="24"/>
      <c r="K16742" s="24"/>
      <c r="L16742" s="24"/>
      <c r="M16742" s="24"/>
      <c r="N16742" s="24"/>
      <c r="O16742" s="24"/>
      <c r="P16742" s="24"/>
      <c r="Q16742" s="24"/>
      <c r="R16742" s="24"/>
      <c r="S16742" s="24"/>
      <c r="T16742" s="24"/>
      <c r="U16742" s="24"/>
      <c r="V16742" s="24"/>
      <c r="W16742" s="24"/>
      <c r="X16742" s="24"/>
      <c r="Y16742" s="24"/>
      <c r="Z16742" s="24"/>
      <c r="AA16742" s="24"/>
    </row>
    <row r="16743">
      <c r="A16743" s="24"/>
      <c r="B16743" s="25"/>
      <c r="C16743" s="24"/>
      <c r="D16743" s="26"/>
      <c r="E16743" s="24"/>
      <c r="F16743" s="24"/>
      <c r="G16743" s="24"/>
      <c r="H16743" s="24"/>
      <c r="I16743" s="24"/>
      <c r="J16743" s="24"/>
      <c r="K16743" s="24"/>
      <c r="L16743" s="24"/>
      <c r="M16743" s="24"/>
      <c r="N16743" s="24"/>
      <c r="O16743" s="24"/>
      <c r="P16743" s="24"/>
      <c r="Q16743" s="24"/>
      <c r="R16743" s="24"/>
      <c r="S16743" s="24"/>
      <c r="T16743" s="24"/>
      <c r="U16743" s="24"/>
      <c r="V16743" s="24"/>
      <c r="W16743" s="24"/>
      <c r="X16743" s="24"/>
      <c r="Y16743" s="24"/>
      <c r="Z16743" s="24"/>
      <c r="AA16743" s="24"/>
    </row>
    <row r="16744">
      <c r="A16744" s="24"/>
      <c r="B16744" s="25"/>
      <c r="C16744" s="24"/>
      <c r="D16744" s="26"/>
      <c r="E16744" s="24"/>
      <c r="F16744" s="24"/>
      <c r="G16744" s="24"/>
      <c r="H16744" s="24"/>
      <c r="I16744" s="24"/>
      <c r="J16744" s="24"/>
      <c r="K16744" s="24"/>
      <c r="L16744" s="24"/>
      <c r="M16744" s="24"/>
      <c r="N16744" s="24"/>
      <c r="O16744" s="24"/>
      <c r="P16744" s="24"/>
      <c r="Q16744" s="24"/>
      <c r="R16744" s="24"/>
      <c r="S16744" s="24"/>
      <c r="T16744" s="24"/>
      <c r="U16744" s="24"/>
      <c r="V16744" s="24"/>
      <c r="W16744" s="24"/>
      <c r="X16744" s="24"/>
      <c r="Y16744" s="24"/>
      <c r="Z16744" s="24"/>
      <c r="AA16744" s="24"/>
    </row>
    <row r="16745">
      <c r="A16745" s="24"/>
      <c r="B16745" s="25"/>
      <c r="C16745" s="24"/>
      <c r="D16745" s="26"/>
      <c r="E16745" s="24"/>
      <c r="F16745" s="24"/>
      <c r="G16745" s="24"/>
      <c r="H16745" s="24"/>
      <c r="I16745" s="24"/>
      <c r="J16745" s="24"/>
      <c r="K16745" s="24"/>
      <c r="L16745" s="24"/>
      <c r="M16745" s="24"/>
      <c r="N16745" s="24"/>
      <c r="O16745" s="24"/>
      <c r="P16745" s="24"/>
      <c r="Q16745" s="24"/>
      <c r="R16745" s="24"/>
      <c r="S16745" s="24"/>
      <c r="T16745" s="24"/>
      <c r="U16745" s="24"/>
      <c r="V16745" s="24"/>
      <c r="W16745" s="24"/>
      <c r="X16745" s="24"/>
      <c r="Y16745" s="24"/>
      <c r="Z16745" s="24"/>
      <c r="AA16745" s="24"/>
    </row>
    <row r="16746">
      <c r="A16746" s="24"/>
      <c r="B16746" s="25"/>
      <c r="C16746" s="24"/>
      <c r="D16746" s="26"/>
      <c r="E16746" s="24"/>
      <c r="F16746" s="24"/>
      <c r="G16746" s="24"/>
      <c r="H16746" s="24"/>
      <c r="I16746" s="24"/>
      <c r="J16746" s="24"/>
      <c r="K16746" s="24"/>
      <c r="L16746" s="24"/>
      <c r="M16746" s="24"/>
      <c r="N16746" s="24"/>
      <c r="O16746" s="24"/>
      <c r="P16746" s="24"/>
      <c r="Q16746" s="24"/>
      <c r="R16746" s="24"/>
      <c r="S16746" s="24"/>
      <c r="T16746" s="24"/>
      <c r="U16746" s="24"/>
      <c r="V16746" s="24"/>
      <c r="W16746" s="24"/>
      <c r="X16746" s="24"/>
      <c r="Y16746" s="24"/>
      <c r="Z16746" s="24"/>
      <c r="AA16746" s="24"/>
    </row>
    <row r="16747">
      <c r="A16747" s="24"/>
      <c r="B16747" s="25"/>
      <c r="C16747" s="24"/>
      <c r="D16747" s="26"/>
      <c r="E16747" s="24"/>
      <c r="F16747" s="24"/>
      <c r="G16747" s="24"/>
      <c r="H16747" s="24"/>
      <c r="I16747" s="24"/>
      <c r="J16747" s="24"/>
      <c r="K16747" s="24"/>
      <c r="L16747" s="24"/>
      <c r="M16747" s="24"/>
      <c r="N16747" s="24"/>
      <c r="O16747" s="24"/>
      <c r="P16747" s="24"/>
      <c r="Q16747" s="24"/>
      <c r="R16747" s="24"/>
      <c r="S16747" s="24"/>
      <c r="T16747" s="24"/>
      <c r="U16747" s="24"/>
      <c r="V16747" s="24"/>
      <c r="W16747" s="24"/>
      <c r="X16747" s="24"/>
      <c r="Y16747" s="24"/>
      <c r="Z16747" s="24"/>
      <c r="AA16747" s="24"/>
    </row>
    <row r="16748">
      <c r="A16748" s="24"/>
      <c r="B16748" s="25"/>
      <c r="C16748" s="24"/>
      <c r="D16748" s="26"/>
      <c r="E16748" s="24"/>
      <c r="F16748" s="24"/>
      <c r="G16748" s="24"/>
      <c r="H16748" s="24"/>
      <c r="I16748" s="24"/>
      <c r="J16748" s="24"/>
      <c r="K16748" s="24"/>
      <c r="L16748" s="24"/>
      <c r="M16748" s="24"/>
      <c r="N16748" s="24"/>
      <c r="O16748" s="24"/>
      <c r="P16748" s="24"/>
      <c r="Q16748" s="24"/>
      <c r="R16748" s="24"/>
      <c r="S16748" s="24"/>
      <c r="T16748" s="24"/>
      <c r="U16748" s="24"/>
      <c r="V16748" s="24"/>
      <c r="W16748" s="24"/>
      <c r="X16748" s="24"/>
      <c r="Y16748" s="24"/>
      <c r="Z16748" s="24"/>
      <c r="AA16748" s="24"/>
    </row>
    <row r="16749">
      <c r="A16749" s="24"/>
      <c r="B16749" s="25"/>
      <c r="C16749" s="24"/>
      <c r="D16749" s="26"/>
      <c r="E16749" s="24"/>
      <c r="F16749" s="24"/>
      <c r="G16749" s="24"/>
      <c r="H16749" s="24"/>
      <c r="I16749" s="24"/>
      <c r="J16749" s="24"/>
      <c r="K16749" s="24"/>
      <c r="L16749" s="24"/>
      <c r="M16749" s="24"/>
      <c r="N16749" s="24"/>
      <c r="O16749" s="24"/>
      <c r="P16749" s="24"/>
      <c r="Q16749" s="24"/>
      <c r="R16749" s="24"/>
      <c r="S16749" s="24"/>
      <c r="T16749" s="24"/>
      <c r="U16749" s="24"/>
      <c r="V16749" s="24"/>
      <c r="W16749" s="24"/>
      <c r="X16749" s="24"/>
      <c r="Y16749" s="24"/>
      <c r="Z16749" s="24"/>
      <c r="AA16749" s="24"/>
    </row>
    <row r="16750">
      <c r="A16750" s="24"/>
      <c r="B16750" s="25"/>
      <c r="C16750" s="24"/>
      <c r="D16750" s="26"/>
      <c r="E16750" s="24"/>
      <c r="F16750" s="24"/>
      <c r="G16750" s="24"/>
      <c r="H16750" s="24"/>
      <c r="I16750" s="24"/>
      <c r="J16750" s="24"/>
      <c r="K16750" s="24"/>
      <c r="L16750" s="24"/>
      <c r="M16750" s="24"/>
      <c r="N16750" s="24"/>
      <c r="O16750" s="24"/>
      <c r="P16750" s="24"/>
      <c r="Q16750" s="24"/>
      <c r="R16750" s="24"/>
      <c r="S16750" s="24"/>
      <c r="T16750" s="24"/>
      <c r="U16750" s="24"/>
      <c r="V16750" s="24"/>
      <c r="W16750" s="24"/>
      <c r="X16750" s="24"/>
      <c r="Y16750" s="24"/>
      <c r="Z16750" s="24"/>
      <c r="AA16750" s="24"/>
    </row>
    <row r="16751">
      <c r="A16751" s="24"/>
      <c r="B16751" s="25"/>
      <c r="C16751" s="24"/>
      <c r="D16751" s="26"/>
      <c r="E16751" s="24"/>
      <c r="F16751" s="24"/>
      <c r="G16751" s="24"/>
      <c r="H16751" s="24"/>
      <c r="I16751" s="24"/>
      <c r="J16751" s="24"/>
      <c r="K16751" s="24"/>
      <c r="L16751" s="24"/>
      <c r="M16751" s="24"/>
      <c r="N16751" s="24"/>
      <c r="O16751" s="24"/>
      <c r="P16751" s="24"/>
      <c r="Q16751" s="24"/>
      <c r="R16751" s="24"/>
      <c r="S16751" s="24"/>
      <c r="T16751" s="24"/>
      <c r="U16751" s="24"/>
      <c r="V16751" s="24"/>
      <c r="W16751" s="24"/>
      <c r="X16751" s="24"/>
      <c r="Y16751" s="24"/>
      <c r="Z16751" s="24"/>
      <c r="AA16751" s="24"/>
    </row>
    <row r="16752">
      <c r="A16752" s="24"/>
      <c r="B16752" s="25"/>
      <c r="C16752" s="24"/>
      <c r="D16752" s="26"/>
      <c r="E16752" s="24"/>
      <c r="F16752" s="24"/>
      <c r="G16752" s="24"/>
      <c r="H16752" s="24"/>
      <c r="I16752" s="24"/>
      <c r="J16752" s="24"/>
      <c r="K16752" s="24"/>
      <c r="L16752" s="24"/>
      <c r="M16752" s="24"/>
      <c r="N16752" s="24"/>
      <c r="O16752" s="24"/>
      <c r="P16752" s="24"/>
      <c r="Q16752" s="24"/>
      <c r="R16752" s="24"/>
      <c r="S16752" s="24"/>
      <c r="T16752" s="24"/>
      <c r="U16752" s="24"/>
      <c r="V16752" s="24"/>
      <c r="W16752" s="24"/>
      <c r="X16752" s="24"/>
      <c r="Y16752" s="24"/>
      <c r="Z16752" s="24"/>
      <c r="AA16752" s="24"/>
    </row>
    <row r="16753">
      <c r="A16753" s="24"/>
      <c r="B16753" s="25"/>
      <c r="C16753" s="24"/>
      <c r="D16753" s="26"/>
      <c r="E16753" s="24"/>
      <c r="F16753" s="24"/>
      <c r="G16753" s="24"/>
      <c r="H16753" s="24"/>
      <c r="I16753" s="24"/>
      <c r="J16753" s="24"/>
      <c r="K16753" s="24"/>
      <c r="L16753" s="24"/>
      <c r="M16753" s="24"/>
      <c r="N16753" s="24"/>
      <c r="O16753" s="24"/>
      <c r="P16753" s="24"/>
      <c r="Q16753" s="24"/>
      <c r="R16753" s="24"/>
      <c r="S16753" s="24"/>
      <c r="T16753" s="24"/>
      <c r="U16753" s="24"/>
      <c r="V16753" s="24"/>
      <c r="W16753" s="24"/>
      <c r="X16753" s="24"/>
      <c r="Y16753" s="24"/>
      <c r="Z16753" s="24"/>
      <c r="AA16753" s="24"/>
    </row>
    <row r="16754">
      <c r="A16754" s="24"/>
      <c r="B16754" s="25"/>
      <c r="C16754" s="24"/>
      <c r="D16754" s="26"/>
      <c r="E16754" s="24"/>
      <c r="F16754" s="24"/>
      <c r="G16754" s="24"/>
      <c r="H16754" s="24"/>
      <c r="I16754" s="24"/>
      <c r="J16754" s="24"/>
      <c r="K16754" s="24"/>
      <c r="L16754" s="24"/>
      <c r="M16754" s="24"/>
      <c r="N16754" s="24"/>
      <c r="O16754" s="24"/>
      <c r="P16754" s="24"/>
      <c r="Q16754" s="24"/>
      <c r="R16754" s="24"/>
      <c r="S16754" s="24"/>
      <c r="T16754" s="24"/>
      <c r="U16754" s="24"/>
      <c r="V16754" s="24"/>
      <c r="W16754" s="24"/>
      <c r="X16754" s="24"/>
      <c r="Y16754" s="24"/>
      <c r="Z16754" s="24"/>
      <c r="AA16754" s="24"/>
    </row>
    <row r="16755">
      <c r="A16755" s="24"/>
      <c r="B16755" s="25"/>
      <c r="C16755" s="24"/>
      <c r="D16755" s="26"/>
      <c r="E16755" s="24"/>
      <c r="F16755" s="24"/>
      <c r="G16755" s="24"/>
      <c r="H16755" s="24"/>
      <c r="I16755" s="24"/>
      <c r="J16755" s="24"/>
      <c r="K16755" s="24"/>
      <c r="L16755" s="24"/>
      <c r="M16755" s="24"/>
      <c r="N16755" s="24"/>
      <c r="O16755" s="24"/>
      <c r="P16755" s="24"/>
      <c r="Q16755" s="24"/>
      <c r="R16755" s="24"/>
      <c r="S16755" s="24"/>
      <c r="T16755" s="24"/>
      <c r="U16755" s="24"/>
      <c r="V16755" s="24"/>
      <c r="W16755" s="24"/>
      <c r="X16755" s="24"/>
      <c r="Y16755" s="24"/>
      <c r="Z16755" s="24"/>
      <c r="AA16755" s="24"/>
    </row>
    <row r="16756">
      <c r="A16756" s="24"/>
      <c r="B16756" s="25"/>
      <c r="C16756" s="24"/>
      <c r="D16756" s="26"/>
      <c r="E16756" s="24"/>
      <c r="F16756" s="24"/>
      <c r="G16756" s="24"/>
      <c r="H16756" s="24"/>
      <c r="I16756" s="24"/>
      <c r="J16756" s="24"/>
      <c r="K16756" s="24"/>
      <c r="L16756" s="24"/>
      <c r="M16756" s="24"/>
      <c r="N16756" s="24"/>
      <c r="O16756" s="24"/>
      <c r="P16756" s="24"/>
      <c r="Q16756" s="24"/>
      <c r="R16756" s="24"/>
      <c r="S16756" s="24"/>
      <c r="T16756" s="24"/>
      <c r="U16756" s="24"/>
      <c r="V16756" s="24"/>
      <c r="W16756" s="24"/>
      <c r="X16756" s="24"/>
      <c r="Y16756" s="24"/>
      <c r="Z16756" s="24"/>
      <c r="AA16756" s="24"/>
    </row>
    <row r="16757">
      <c r="A16757" s="24"/>
      <c r="B16757" s="25"/>
      <c r="C16757" s="24"/>
      <c r="D16757" s="26"/>
      <c r="E16757" s="24"/>
      <c r="F16757" s="24"/>
      <c r="G16757" s="24"/>
      <c r="H16757" s="24"/>
      <c r="I16757" s="24"/>
      <c r="J16757" s="24"/>
      <c r="K16757" s="24"/>
      <c r="L16757" s="24"/>
      <c r="M16757" s="24"/>
      <c r="N16757" s="24"/>
      <c r="O16757" s="24"/>
      <c r="P16757" s="24"/>
      <c r="Q16757" s="24"/>
      <c r="R16757" s="24"/>
      <c r="S16757" s="24"/>
      <c r="T16757" s="24"/>
      <c r="U16757" s="24"/>
      <c r="V16757" s="24"/>
      <c r="W16757" s="24"/>
      <c r="X16757" s="24"/>
      <c r="Y16757" s="24"/>
      <c r="Z16757" s="24"/>
      <c r="AA16757" s="24"/>
    </row>
    <row r="16758">
      <c r="A16758" s="24"/>
      <c r="B16758" s="25"/>
      <c r="C16758" s="24"/>
      <c r="D16758" s="26"/>
      <c r="E16758" s="24"/>
      <c r="F16758" s="24"/>
      <c r="G16758" s="24"/>
      <c r="H16758" s="24"/>
      <c r="I16758" s="24"/>
      <c r="J16758" s="24"/>
      <c r="K16758" s="24"/>
      <c r="L16758" s="24"/>
      <c r="M16758" s="24"/>
      <c r="N16758" s="24"/>
      <c r="O16758" s="24"/>
      <c r="P16758" s="24"/>
      <c r="Q16758" s="24"/>
      <c r="R16758" s="24"/>
      <c r="S16758" s="24"/>
      <c r="T16758" s="24"/>
      <c r="U16758" s="24"/>
      <c r="V16758" s="24"/>
      <c r="W16758" s="24"/>
      <c r="X16758" s="24"/>
      <c r="Y16758" s="24"/>
      <c r="Z16758" s="24"/>
      <c r="AA16758" s="24"/>
    </row>
    <row r="16759">
      <c r="A16759" s="24"/>
      <c r="B16759" s="25"/>
      <c r="C16759" s="24"/>
      <c r="D16759" s="26"/>
      <c r="E16759" s="24"/>
      <c r="F16759" s="24"/>
      <c r="G16759" s="24"/>
      <c r="H16759" s="24"/>
      <c r="I16759" s="24"/>
      <c r="J16759" s="24"/>
      <c r="K16759" s="24"/>
      <c r="L16759" s="24"/>
      <c r="M16759" s="24"/>
      <c r="N16759" s="24"/>
      <c r="O16759" s="24"/>
      <c r="P16759" s="24"/>
      <c r="Q16759" s="24"/>
      <c r="R16759" s="24"/>
      <c r="S16759" s="24"/>
      <c r="T16759" s="24"/>
      <c r="U16759" s="24"/>
      <c r="V16759" s="24"/>
      <c r="W16759" s="24"/>
      <c r="X16759" s="24"/>
      <c r="Y16759" s="24"/>
      <c r="Z16759" s="24"/>
      <c r="AA16759" s="24"/>
    </row>
    <row r="16760">
      <c r="A16760" s="24"/>
      <c r="B16760" s="25"/>
      <c r="C16760" s="24"/>
      <c r="D16760" s="26"/>
      <c r="E16760" s="24"/>
      <c r="F16760" s="24"/>
      <c r="G16760" s="24"/>
      <c r="H16760" s="24"/>
      <c r="I16760" s="24"/>
      <c r="J16760" s="24"/>
      <c r="K16760" s="24"/>
      <c r="L16760" s="24"/>
      <c r="M16760" s="24"/>
      <c r="N16760" s="24"/>
      <c r="O16760" s="24"/>
      <c r="P16760" s="24"/>
      <c r="Q16760" s="24"/>
      <c r="R16760" s="24"/>
      <c r="S16760" s="24"/>
      <c r="T16760" s="24"/>
      <c r="U16760" s="24"/>
      <c r="V16760" s="24"/>
      <c r="W16760" s="24"/>
      <c r="X16760" s="24"/>
      <c r="Y16760" s="24"/>
      <c r="Z16760" s="24"/>
      <c r="AA16760" s="24"/>
    </row>
    <row r="16761">
      <c r="A16761" s="24"/>
      <c r="B16761" s="25"/>
      <c r="C16761" s="24"/>
      <c r="D16761" s="26"/>
      <c r="E16761" s="24"/>
      <c r="F16761" s="24"/>
      <c r="G16761" s="24"/>
      <c r="H16761" s="24"/>
      <c r="I16761" s="24"/>
      <c r="J16761" s="24"/>
      <c r="K16761" s="24"/>
      <c r="L16761" s="24"/>
      <c r="M16761" s="24"/>
      <c r="N16761" s="24"/>
      <c r="O16761" s="24"/>
      <c r="P16761" s="24"/>
      <c r="Q16761" s="24"/>
      <c r="R16761" s="24"/>
      <c r="S16761" s="24"/>
      <c r="T16761" s="24"/>
      <c r="U16761" s="24"/>
      <c r="V16761" s="24"/>
      <c r="W16761" s="24"/>
      <c r="X16761" s="24"/>
      <c r="Y16761" s="24"/>
      <c r="Z16761" s="24"/>
      <c r="AA16761" s="24"/>
    </row>
    <row r="16762">
      <c r="A16762" s="24"/>
      <c r="B16762" s="25"/>
      <c r="C16762" s="24"/>
      <c r="D16762" s="26"/>
      <c r="E16762" s="24"/>
      <c r="F16762" s="24"/>
      <c r="G16762" s="24"/>
      <c r="H16762" s="24"/>
      <c r="I16762" s="24"/>
      <c r="J16762" s="24"/>
      <c r="K16762" s="24"/>
      <c r="L16762" s="24"/>
      <c r="M16762" s="24"/>
      <c r="N16762" s="24"/>
      <c r="O16762" s="24"/>
      <c r="P16762" s="24"/>
      <c r="Q16762" s="24"/>
      <c r="R16762" s="24"/>
      <c r="S16762" s="24"/>
      <c r="T16762" s="24"/>
      <c r="U16762" s="24"/>
      <c r="V16762" s="24"/>
      <c r="W16762" s="24"/>
      <c r="X16762" s="24"/>
      <c r="Y16762" s="24"/>
      <c r="Z16762" s="24"/>
      <c r="AA16762" s="24"/>
    </row>
    <row r="16763">
      <c r="A16763" s="24"/>
      <c r="B16763" s="25"/>
      <c r="C16763" s="24"/>
      <c r="D16763" s="26"/>
      <c r="E16763" s="24"/>
      <c r="F16763" s="24"/>
      <c r="G16763" s="24"/>
      <c r="H16763" s="24"/>
      <c r="I16763" s="24"/>
      <c r="J16763" s="24"/>
      <c r="K16763" s="24"/>
      <c r="L16763" s="24"/>
      <c r="M16763" s="24"/>
      <c r="N16763" s="24"/>
      <c r="O16763" s="24"/>
      <c r="P16763" s="24"/>
      <c r="Q16763" s="24"/>
      <c r="R16763" s="24"/>
      <c r="S16763" s="24"/>
      <c r="T16763" s="24"/>
      <c r="U16763" s="24"/>
      <c r="V16763" s="24"/>
      <c r="W16763" s="24"/>
      <c r="X16763" s="24"/>
      <c r="Y16763" s="24"/>
      <c r="Z16763" s="24"/>
      <c r="AA16763" s="24"/>
    </row>
    <row r="16764">
      <c r="A16764" s="24"/>
      <c r="B16764" s="25"/>
      <c r="C16764" s="24"/>
      <c r="D16764" s="26"/>
      <c r="E16764" s="24"/>
      <c r="F16764" s="24"/>
      <c r="G16764" s="24"/>
      <c r="H16764" s="24"/>
      <c r="I16764" s="24"/>
      <c r="J16764" s="24"/>
      <c r="K16764" s="24"/>
      <c r="L16764" s="24"/>
      <c r="M16764" s="24"/>
      <c r="N16764" s="24"/>
      <c r="O16764" s="24"/>
      <c r="P16764" s="24"/>
      <c r="Q16764" s="24"/>
      <c r="R16764" s="24"/>
      <c r="S16764" s="24"/>
      <c r="T16764" s="24"/>
      <c r="U16764" s="24"/>
      <c r="V16764" s="24"/>
      <c r="W16764" s="24"/>
      <c r="X16764" s="24"/>
      <c r="Y16764" s="24"/>
      <c r="Z16764" s="24"/>
      <c r="AA16764" s="24"/>
    </row>
    <row r="16765">
      <c r="A16765" s="24"/>
      <c r="B16765" s="25"/>
      <c r="C16765" s="24"/>
      <c r="D16765" s="26"/>
      <c r="E16765" s="24"/>
      <c r="F16765" s="24"/>
      <c r="G16765" s="24"/>
      <c r="H16765" s="24"/>
      <c r="I16765" s="24"/>
      <c r="J16765" s="24"/>
      <c r="K16765" s="24"/>
      <c r="L16765" s="24"/>
      <c r="M16765" s="24"/>
      <c r="N16765" s="24"/>
      <c r="O16765" s="24"/>
      <c r="P16765" s="24"/>
      <c r="Q16765" s="24"/>
      <c r="R16765" s="24"/>
      <c r="S16765" s="24"/>
      <c r="T16765" s="24"/>
      <c r="U16765" s="24"/>
      <c r="V16765" s="24"/>
      <c r="W16765" s="24"/>
      <c r="X16765" s="24"/>
      <c r="Y16765" s="24"/>
      <c r="Z16765" s="24"/>
      <c r="AA16765" s="24"/>
    </row>
    <row r="16766">
      <c r="A16766" s="24"/>
      <c r="B16766" s="25"/>
      <c r="C16766" s="24"/>
      <c r="D16766" s="26"/>
      <c r="E16766" s="24"/>
      <c r="F16766" s="24"/>
      <c r="G16766" s="24"/>
      <c r="H16766" s="24"/>
      <c r="I16766" s="24"/>
      <c r="J16766" s="24"/>
      <c r="K16766" s="24"/>
      <c r="L16766" s="24"/>
      <c r="M16766" s="24"/>
      <c r="N16766" s="24"/>
      <c r="O16766" s="24"/>
      <c r="P16766" s="24"/>
      <c r="Q16766" s="24"/>
      <c r="R16766" s="24"/>
      <c r="S16766" s="24"/>
      <c r="T16766" s="24"/>
      <c r="U16766" s="24"/>
      <c r="V16766" s="24"/>
      <c r="W16766" s="24"/>
      <c r="X16766" s="24"/>
      <c r="Y16766" s="24"/>
      <c r="Z16766" s="24"/>
      <c r="AA16766" s="24"/>
    </row>
    <row r="16767">
      <c r="A16767" s="24"/>
      <c r="B16767" s="25"/>
      <c r="C16767" s="24"/>
      <c r="D16767" s="26"/>
      <c r="E16767" s="24"/>
      <c r="F16767" s="24"/>
      <c r="G16767" s="24"/>
      <c r="H16767" s="24"/>
      <c r="I16767" s="24"/>
      <c r="J16767" s="24"/>
      <c r="K16767" s="24"/>
      <c r="L16767" s="24"/>
      <c r="M16767" s="24"/>
      <c r="N16767" s="24"/>
      <c r="O16767" s="24"/>
      <c r="P16767" s="24"/>
      <c r="Q16767" s="24"/>
      <c r="R16767" s="24"/>
      <c r="S16767" s="24"/>
      <c r="T16767" s="24"/>
      <c r="U16767" s="24"/>
      <c r="V16767" s="24"/>
      <c r="W16767" s="24"/>
      <c r="X16767" s="24"/>
      <c r="Y16767" s="24"/>
      <c r="Z16767" s="24"/>
      <c r="AA16767" s="24"/>
    </row>
    <row r="16768">
      <c r="A16768" s="24"/>
      <c r="B16768" s="25"/>
      <c r="C16768" s="24"/>
      <c r="D16768" s="26"/>
      <c r="E16768" s="24"/>
      <c r="F16768" s="24"/>
      <c r="G16768" s="24"/>
      <c r="H16768" s="24"/>
      <c r="I16768" s="24"/>
      <c r="J16768" s="24"/>
      <c r="K16768" s="24"/>
      <c r="L16768" s="24"/>
      <c r="M16768" s="24"/>
      <c r="N16768" s="24"/>
      <c r="O16768" s="24"/>
      <c r="P16768" s="24"/>
      <c r="Q16768" s="24"/>
      <c r="R16768" s="24"/>
      <c r="S16768" s="24"/>
      <c r="T16768" s="24"/>
      <c r="U16768" s="24"/>
      <c r="V16768" s="24"/>
      <c r="W16768" s="24"/>
      <c r="X16768" s="24"/>
      <c r="Y16768" s="24"/>
      <c r="Z16768" s="24"/>
      <c r="AA16768" s="24"/>
    </row>
    <row r="16769">
      <c r="A16769" s="24"/>
      <c r="B16769" s="25"/>
      <c r="C16769" s="24"/>
      <c r="D16769" s="26"/>
      <c r="E16769" s="24"/>
      <c r="F16769" s="24"/>
      <c r="G16769" s="24"/>
      <c r="H16769" s="24"/>
      <c r="I16769" s="24"/>
      <c r="J16769" s="24"/>
      <c r="K16769" s="24"/>
      <c r="L16769" s="24"/>
      <c r="M16769" s="24"/>
      <c r="N16769" s="24"/>
      <c r="O16769" s="24"/>
      <c r="P16769" s="24"/>
      <c r="Q16769" s="24"/>
      <c r="R16769" s="24"/>
      <c r="S16769" s="24"/>
      <c r="T16769" s="24"/>
      <c r="U16769" s="24"/>
      <c r="V16769" s="24"/>
      <c r="W16769" s="24"/>
      <c r="X16769" s="24"/>
      <c r="Y16769" s="24"/>
      <c r="Z16769" s="24"/>
      <c r="AA16769" s="24"/>
    </row>
    <row r="16770">
      <c r="A16770" s="24"/>
      <c r="B16770" s="25"/>
      <c r="C16770" s="24"/>
      <c r="D16770" s="26"/>
      <c r="E16770" s="24"/>
      <c r="F16770" s="24"/>
      <c r="G16770" s="24"/>
      <c r="H16770" s="24"/>
      <c r="I16770" s="24"/>
      <c r="J16770" s="24"/>
      <c r="K16770" s="24"/>
      <c r="L16770" s="24"/>
      <c r="M16770" s="24"/>
      <c r="N16770" s="24"/>
      <c r="O16770" s="24"/>
      <c r="P16770" s="24"/>
      <c r="Q16770" s="24"/>
      <c r="R16770" s="24"/>
      <c r="S16770" s="24"/>
      <c r="T16770" s="24"/>
      <c r="U16770" s="24"/>
      <c r="V16770" s="24"/>
      <c r="W16770" s="24"/>
      <c r="X16770" s="24"/>
      <c r="Y16770" s="24"/>
      <c r="Z16770" s="24"/>
      <c r="AA16770" s="24"/>
    </row>
    <row r="16771">
      <c r="A16771" s="24"/>
      <c r="B16771" s="25"/>
      <c r="C16771" s="24"/>
      <c r="D16771" s="26"/>
      <c r="E16771" s="24"/>
      <c r="F16771" s="24"/>
      <c r="G16771" s="24"/>
      <c r="H16771" s="24"/>
      <c r="I16771" s="24"/>
      <c r="J16771" s="24"/>
      <c r="K16771" s="24"/>
      <c r="L16771" s="24"/>
      <c r="M16771" s="24"/>
      <c r="N16771" s="24"/>
      <c r="O16771" s="24"/>
      <c r="P16771" s="24"/>
      <c r="Q16771" s="24"/>
      <c r="R16771" s="24"/>
      <c r="S16771" s="24"/>
      <c r="T16771" s="24"/>
      <c r="U16771" s="24"/>
      <c r="V16771" s="24"/>
      <c r="W16771" s="24"/>
      <c r="X16771" s="24"/>
      <c r="Y16771" s="24"/>
      <c r="Z16771" s="24"/>
      <c r="AA16771" s="24"/>
    </row>
    <row r="16772">
      <c r="A16772" s="24"/>
      <c r="B16772" s="25"/>
      <c r="C16772" s="24"/>
      <c r="D16772" s="26"/>
      <c r="E16772" s="24"/>
      <c r="F16772" s="24"/>
      <c r="G16772" s="24"/>
      <c r="H16772" s="24"/>
      <c r="I16772" s="24"/>
      <c r="J16772" s="24"/>
      <c r="K16772" s="24"/>
      <c r="L16772" s="24"/>
      <c r="M16772" s="24"/>
      <c r="N16772" s="24"/>
      <c r="O16772" s="24"/>
      <c r="P16772" s="24"/>
      <c r="Q16772" s="24"/>
      <c r="R16772" s="24"/>
      <c r="S16772" s="24"/>
      <c r="T16772" s="24"/>
      <c r="U16772" s="24"/>
      <c r="V16772" s="24"/>
      <c r="W16772" s="24"/>
      <c r="X16772" s="24"/>
      <c r="Y16772" s="24"/>
      <c r="Z16772" s="24"/>
      <c r="AA16772" s="24"/>
    </row>
    <row r="16773">
      <c r="A16773" s="24"/>
      <c r="B16773" s="25"/>
      <c r="C16773" s="24"/>
      <c r="D16773" s="26"/>
      <c r="E16773" s="24"/>
      <c r="F16773" s="24"/>
      <c r="G16773" s="24"/>
      <c r="H16773" s="24"/>
      <c r="I16773" s="24"/>
      <c r="J16773" s="24"/>
      <c r="K16773" s="24"/>
      <c r="L16773" s="24"/>
      <c r="M16773" s="24"/>
      <c r="N16773" s="24"/>
      <c r="O16773" s="24"/>
      <c r="P16773" s="24"/>
      <c r="Q16773" s="24"/>
      <c r="R16773" s="24"/>
      <c r="S16773" s="24"/>
      <c r="T16773" s="24"/>
      <c r="U16773" s="24"/>
      <c r="V16773" s="24"/>
      <c r="W16773" s="24"/>
      <c r="X16773" s="24"/>
      <c r="Y16773" s="24"/>
      <c r="Z16773" s="24"/>
      <c r="AA16773" s="24"/>
    </row>
    <row r="16774">
      <c r="A16774" s="24"/>
      <c r="B16774" s="25"/>
      <c r="C16774" s="24"/>
      <c r="D16774" s="26"/>
      <c r="E16774" s="24"/>
      <c r="F16774" s="24"/>
      <c r="G16774" s="24"/>
      <c r="H16774" s="24"/>
      <c r="I16774" s="24"/>
      <c r="J16774" s="24"/>
      <c r="K16774" s="24"/>
      <c r="L16774" s="24"/>
      <c r="M16774" s="24"/>
      <c r="N16774" s="24"/>
      <c r="O16774" s="24"/>
      <c r="P16774" s="24"/>
      <c r="Q16774" s="24"/>
      <c r="R16774" s="24"/>
      <c r="S16774" s="24"/>
      <c r="T16774" s="24"/>
      <c r="U16774" s="24"/>
      <c r="V16774" s="24"/>
      <c r="W16774" s="24"/>
      <c r="X16774" s="24"/>
      <c r="Y16774" s="24"/>
      <c r="Z16774" s="24"/>
      <c r="AA16774" s="24"/>
    </row>
    <row r="16775">
      <c r="A16775" s="24"/>
      <c r="B16775" s="25"/>
      <c r="C16775" s="24"/>
      <c r="D16775" s="26"/>
      <c r="E16775" s="24"/>
      <c r="F16775" s="24"/>
      <c r="G16775" s="24"/>
      <c r="H16775" s="24"/>
      <c r="I16775" s="24"/>
      <c r="J16775" s="24"/>
      <c r="K16775" s="24"/>
      <c r="L16775" s="24"/>
      <c r="M16775" s="24"/>
      <c r="N16775" s="24"/>
      <c r="O16775" s="24"/>
      <c r="P16775" s="24"/>
      <c r="Q16775" s="24"/>
      <c r="R16775" s="24"/>
      <c r="S16775" s="24"/>
      <c r="T16775" s="24"/>
      <c r="U16775" s="24"/>
      <c r="V16775" s="24"/>
      <c r="W16775" s="24"/>
      <c r="X16775" s="24"/>
      <c r="Y16775" s="24"/>
      <c r="Z16775" s="24"/>
      <c r="AA16775" s="24"/>
    </row>
    <row r="16776">
      <c r="A16776" s="24"/>
      <c r="B16776" s="25"/>
      <c r="C16776" s="24"/>
      <c r="D16776" s="26"/>
      <c r="E16776" s="24"/>
      <c r="F16776" s="24"/>
      <c r="G16776" s="24"/>
      <c r="H16776" s="24"/>
      <c r="I16776" s="24"/>
      <c r="J16776" s="24"/>
      <c r="K16776" s="24"/>
      <c r="L16776" s="24"/>
      <c r="M16776" s="24"/>
      <c r="N16776" s="24"/>
      <c r="O16776" s="24"/>
      <c r="P16776" s="24"/>
      <c r="Q16776" s="24"/>
      <c r="R16776" s="24"/>
      <c r="S16776" s="24"/>
      <c r="T16776" s="24"/>
      <c r="U16776" s="24"/>
      <c r="V16776" s="24"/>
      <c r="W16776" s="24"/>
      <c r="X16776" s="24"/>
      <c r="Y16776" s="24"/>
      <c r="Z16776" s="24"/>
      <c r="AA16776" s="24"/>
    </row>
    <row r="16777">
      <c r="A16777" s="24"/>
      <c r="B16777" s="25"/>
      <c r="C16777" s="24"/>
      <c r="D16777" s="26"/>
      <c r="E16777" s="24"/>
      <c r="F16777" s="24"/>
      <c r="G16777" s="24"/>
      <c r="H16777" s="24"/>
      <c r="I16777" s="24"/>
      <c r="J16777" s="24"/>
      <c r="K16777" s="24"/>
      <c r="L16777" s="24"/>
      <c r="M16777" s="24"/>
      <c r="N16777" s="24"/>
      <c r="O16777" s="24"/>
      <c r="P16777" s="24"/>
      <c r="Q16777" s="24"/>
      <c r="R16777" s="24"/>
      <c r="S16777" s="24"/>
      <c r="T16777" s="24"/>
      <c r="U16777" s="24"/>
      <c r="V16777" s="24"/>
      <c r="W16777" s="24"/>
      <c r="X16777" s="24"/>
      <c r="Y16777" s="24"/>
      <c r="Z16777" s="24"/>
      <c r="AA16777" s="24"/>
    </row>
    <row r="16778">
      <c r="A16778" s="24"/>
      <c r="B16778" s="25"/>
      <c r="C16778" s="24"/>
      <c r="D16778" s="26"/>
      <c r="E16778" s="24"/>
      <c r="F16778" s="24"/>
      <c r="G16778" s="24"/>
      <c r="H16778" s="24"/>
      <c r="I16778" s="24"/>
      <c r="J16778" s="24"/>
      <c r="K16778" s="24"/>
      <c r="L16778" s="24"/>
      <c r="M16778" s="24"/>
      <c r="N16778" s="24"/>
      <c r="O16778" s="24"/>
      <c r="P16778" s="24"/>
      <c r="Q16778" s="24"/>
      <c r="R16778" s="24"/>
      <c r="S16778" s="24"/>
      <c r="T16778" s="24"/>
      <c r="U16778" s="24"/>
      <c r="V16778" s="24"/>
      <c r="W16778" s="24"/>
      <c r="X16778" s="24"/>
      <c r="Y16778" s="24"/>
      <c r="Z16778" s="24"/>
      <c r="AA16778" s="24"/>
    </row>
    <row r="16779">
      <c r="A16779" s="24"/>
      <c r="B16779" s="25"/>
      <c r="C16779" s="24"/>
      <c r="D16779" s="26"/>
      <c r="E16779" s="24"/>
      <c r="F16779" s="24"/>
      <c r="G16779" s="24"/>
      <c r="H16779" s="24"/>
      <c r="I16779" s="24"/>
      <c r="J16779" s="24"/>
      <c r="K16779" s="24"/>
      <c r="L16779" s="24"/>
      <c r="M16779" s="24"/>
      <c r="N16779" s="24"/>
      <c r="O16779" s="24"/>
      <c r="P16779" s="24"/>
      <c r="Q16779" s="24"/>
      <c r="R16779" s="24"/>
      <c r="S16779" s="24"/>
      <c r="T16779" s="24"/>
      <c r="U16779" s="24"/>
      <c r="V16779" s="24"/>
      <c r="W16779" s="24"/>
      <c r="X16779" s="24"/>
      <c r="Y16779" s="24"/>
      <c r="Z16779" s="24"/>
      <c r="AA16779" s="24"/>
    </row>
    <row r="16780">
      <c r="A16780" s="24"/>
      <c r="B16780" s="25"/>
      <c r="C16780" s="24"/>
      <c r="D16780" s="26"/>
      <c r="E16780" s="24"/>
      <c r="F16780" s="24"/>
      <c r="G16780" s="24"/>
      <c r="H16780" s="24"/>
      <c r="I16780" s="24"/>
      <c r="J16780" s="24"/>
      <c r="K16780" s="24"/>
      <c r="L16780" s="24"/>
      <c r="M16780" s="24"/>
      <c r="N16780" s="24"/>
      <c r="O16780" s="24"/>
      <c r="P16780" s="24"/>
      <c r="Q16780" s="24"/>
      <c r="R16780" s="24"/>
      <c r="S16780" s="24"/>
      <c r="T16780" s="24"/>
      <c r="U16780" s="24"/>
      <c r="V16780" s="24"/>
      <c r="W16780" s="24"/>
      <c r="X16780" s="24"/>
      <c r="Y16780" s="24"/>
      <c r="Z16780" s="24"/>
      <c r="AA16780" s="24"/>
    </row>
    <row r="16781">
      <c r="A16781" s="24"/>
      <c r="B16781" s="25"/>
      <c r="C16781" s="24"/>
      <c r="D16781" s="26"/>
      <c r="E16781" s="24"/>
      <c r="F16781" s="24"/>
      <c r="G16781" s="24"/>
      <c r="H16781" s="24"/>
      <c r="I16781" s="24"/>
      <c r="J16781" s="24"/>
      <c r="K16781" s="24"/>
      <c r="L16781" s="24"/>
      <c r="M16781" s="24"/>
      <c r="N16781" s="24"/>
      <c r="O16781" s="24"/>
      <c r="P16781" s="24"/>
      <c r="Q16781" s="24"/>
      <c r="R16781" s="24"/>
      <c r="S16781" s="24"/>
      <c r="T16781" s="24"/>
      <c r="U16781" s="24"/>
      <c r="V16781" s="24"/>
      <c r="W16781" s="24"/>
      <c r="X16781" s="24"/>
      <c r="Y16781" s="24"/>
      <c r="Z16781" s="24"/>
      <c r="AA16781" s="24"/>
    </row>
    <row r="16782">
      <c r="A16782" s="24"/>
      <c r="B16782" s="25"/>
      <c r="C16782" s="24"/>
      <c r="D16782" s="26"/>
      <c r="E16782" s="24"/>
      <c r="F16782" s="24"/>
      <c r="G16782" s="24"/>
      <c r="H16782" s="24"/>
      <c r="I16782" s="24"/>
      <c r="J16782" s="24"/>
      <c r="K16782" s="24"/>
      <c r="L16782" s="24"/>
      <c r="M16782" s="24"/>
      <c r="N16782" s="24"/>
      <c r="O16782" s="24"/>
      <c r="P16782" s="24"/>
      <c r="Q16782" s="24"/>
      <c r="R16782" s="24"/>
      <c r="S16782" s="24"/>
      <c r="T16782" s="24"/>
      <c r="U16782" s="24"/>
      <c r="V16782" s="24"/>
      <c r="W16782" s="24"/>
      <c r="X16782" s="24"/>
      <c r="Y16782" s="24"/>
      <c r="Z16782" s="24"/>
      <c r="AA16782" s="24"/>
    </row>
    <row r="16783">
      <c r="A16783" s="24"/>
      <c r="B16783" s="25"/>
      <c r="C16783" s="24"/>
      <c r="D16783" s="26"/>
      <c r="E16783" s="24"/>
      <c r="F16783" s="24"/>
      <c r="G16783" s="24"/>
      <c r="H16783" s="24"/>
      <c r="I16783" s="24"/>
      <c r="J16783" s="24"/>
      <c r="K16783" s="24"/>
      <c r="L16783" s="24"/>
      <c r="M16783" s="24"/>
      <c r="N16783" s="24"/>
      <c r="O16783" s="24"/>
      <c r="P16783" s="24"/>
      <c r="Q16783" s="24"/>
      <c r="R16783" s="24"/>
      <c r="S16783" s="24"/>
      <c r="T16783" s="24"/>
      <c r="U16783" s="24"/>
      <c r="V16783" s="24"/>
      <c r="W16783" s="24"/>
      <c r="X16783" s="24"/>
      <c r="Y16783" s="24"/>
      <c r="Z16783" s="24"/>
      <c r="AA16783" s="24"/>
    </row>
    <row r="16784">
      <c r="A16784" s="24"/>
      <c r="B16784" s="25"/>
      <c r="C16784" s="24"/>
      <c r="D16784" s="26"/>
      <c r="E16784" s="24"/>
      <c r="F16784" s="24"/>
      <c r="G16784" s="24"/>
      <c r="H16784" s="24"/>
      <c r="I16784" s="24"/>
      <c r="J16784" s="24"/>
      <c r="K16784" s="24"/>
      <c r="L16784" s="24"/>
      <c r="M16784" s="24"/>
      <c r="N16784" s="24"/>
      <c r="O16784" s="24"/>
      <c r="P16784" s="24"/>
      <c r="Q16784" s="24"/>
      <c r="R16784" s="24"/>
      <c r="S16784" s="24"/>
      <c r="T16784" s="24"/>
      <c r="U16784" s="24"/>
      <c r="V16784" s="24"/>
      <c r="W16784" s="24"/>
      <c r="X16784" s="24"/>
      <c r="Y16784" s="24"/>
      <c r="Z16784" s="24"/>
      <c r="AA16784" s="24"/>
    </row>
    <row r="16785">
      <c r="A16785" s="24"/>
      <c r="B16785" s="25"/>
      <c r="C16785" s="24"/>
      <c r="D16785" s="26"/>
      <c r="E16785" s="24"/>
      <c r="F16785" s="24"/>
      <c r="G16785" s="24"/>
      <c r="H16785" s="24"/>
      <c r="I16785" s="24"/>
      <c r="J16785" s="24"/>
      <c r="K16785" s="24"/>
      <c r="L16785" s="24"/>
      <c r="M16785" s="24"/>
      <c r="N16785" s="24"/>
      <c r="O16785" s="24"/>
      <c r="P16785" s="24"/>
      <c r="Q16785" s="24"/>
      <c r="R16785" s="24"/>
      <c r="S16785" s="24"/>
      <c r="T16785" s="24"/>
      <c r="U16785" s="24"/>
      <c r="V16785" s="24"/>
      <c r="W16785" s="24"/>
      <c r="X16785" s="24"/>
      <c r="Y16785" s="24"/>
      <c r="Z16785" s="24"/>
      <c r="AA16785" s="24"/>
    </row>
    <row r="16786">
      <c r="A16786" s="24"/>
      <c r="B16786" s="25"/>
      <c r="C16786" s="24"/>
      <c r="D16786" s="26"/>
      <c r="E16786" s="24"/>
      <c r="F16786" s="24"/>
      <c r="G16786" s="24"/>
      <c r="H16786" s="24"/>
      <c r="I16786" s="24"/>
      <c r="J16786" s="24"/>
      <c r="K16786" s="24"/>
      <c r="L16786" s="24"/>
      <c r="M16786" s="24"/>
      <c r="N16786" s="24"/>
      <c r="O16786" s="24"/>
      <c r="P16786" s="24"/>
      <c r="Q16786" s="24"/>
      <c r="R16786" s="24"/>
      <c r="S16786" s="24"/>
      <c r="T16786" s="24"/>
      <c r="U16786" s="24"/>
      <c r="V16786" s="24"/>
      <c r="W16786" s="24"/>
      <c r="X16786" s="24"/>
      <c r="Y16786" s="24"/>
      <c r="Z16786" s="24"/>
      <c r="AA16786" s="24"/>
    </row>
    <row r="16787">
      <c r="A16787" s="24"/>
      <c r="B16787" s="25"/>
      <c r="C16787" s="24"/>
      <c r="D16787" s="26"/>
      <c r="E16787" s="24"/>
      <c r="F16787" s="24"/>
      <c r="G16787" s="24"/>
      <c r="H16787" s="24"/>
      <c r="I16787" s="24"/>
      <c r="J16787" s="24"/>
      <c r="K16787" s="24"/>
      <c r="L16787" s="24"/>
      <c r="M16787" s="24"/>
      <c r="N16787" s="24"/>
      <c r="O16787" s="24"/>
      <c r="P16787" s="24"/>
      <c r="Q16787" s="24"/>
      <c r="R16787" s="24"/>
      <c r="S16787" s="24"/>
      <c r="T16787" s="24"/>
      <c r="U16787" s="24"/>
      <c r="V16787" s="24"/>
      <c r="W16787" s="24"/>
      <c r="X16787" s="24"/>
      <c r="Y16787" s="24"/>
      <c r="Z16787" s="24"/>
      <c r="AA16787" s="24"/>
    </row>
    <row r="16788">
      <c r="A16788" s="24"/>
      <c r="B16788" s="25"/>
      <c r="C16788" s="24"/>
      <c r="D16788" s="26"/>
      <c r="E16788" s="24"/>
      <c r="F16788" s="24"/>
      <c r="G16788" s="24"/>
      <c r="H16788" s="24"/>
      <c r="I16788" s="24"/>
      <c r="J16788" s="24"/>
      <c r="K16788" s="24"/>
      <c r="L16788" s="24"/>
      <c r="M16788" s="24"/>
      <c r="N16788" s="24"/>
      <c r="O16788" s="24"/>
      <c r="P16788" s="24"/>
      <c r="Q16788" s="24"/>
      <c r="R16788" s="24"/>
      <c r="S16788" s="24"/>
      <c r="T16788" s="24"/>
      <c r="U16788" s="24"/>
      <c r="V16788" s="24"/>
      <c r="W16788" s="24"/>
      <c r="X16788" s="24"/>
      <c r="Y16788" s="24"/>
      <c r="Z16788" s="24"/>
      <c r="AA16788" s="24"/>
    </row>
    <row r="16789">
      <c r="A16789" s="24"/>
      <c r="B16789" s="25"/>
      <c r="C16789" s="24"/>
      <c r="D16789" s="26"/>
      <c r="E16789" s="24"/>
      <c r="F16789" s="24"/>
      <c r="G16789" s="24"/>
      <c r="H16789" s="24"/>
      <c r="I16789" s="24"/>
      <c r="J16789" s="24"/>
      <c r="K16789" s="24"/>
      <c r="L16789" s="24"/>
      <c r="M16789" s="24"/>
      <c r="N16789" s="24"/>
      <c r="O16789" s="24"/>
      <c r="P16789" s="24"/>
      <c r="Q16789" s="24"/>
      <c r="R16789" s="24"/>
      <c r="S16789" s="24"/>
      <c r="T16789" s="24"/>
      <c r="U16789" s="24"/>
      <c r="V16789" s="24"/>
      <c r="W16789" s="24"/>
      <c r="X16789" s="24"/>
      <c r="Y16789" s="24"/>
      <c r="Z16789" s="24"/>
      <c r="AA16789" s="24"/>
    </row>
    <row r="16790">
      <c r="A16790" s="24"/>
      <c r="B16790" s="25"/>
      <c r="C16790" s="24"/>
      <c r="D16790" s="26"/>
      <c r="E16790" s="24"/>
      <c r="F16790" s="24"/>
      <c r="G16790" s="24"/>
      <c r="H16790" s="24"/>
      <c r="I16790" s="24"/>
      <c r="J16790" s="24"/>
      <c r="K16790" s="24"/>
      <c r="L16790" s="24"/>
      <c r="M16790" s="24"/>
      <c r="N16790" s="24"/>
      <c r="O16790" s="24"/>
      <c r="P16790" s="24"/>
      <c r="Q16790" s="24"/>
      <c r="R16790" s="24"/>
      <c r="S16790" s="24"/>
      <c r="T16790" s="24"/>
      <c r="U16790" s="24"/>
      <c r="V16790" s="24"/>
      <c r="W16790" s="24"/>
      <c r="X16790" s="24"/>
      <c r="Y16790" s="24"/>
      <c r="Z16790" s="24"/>
      <c r="AA16790" s="24"/>
    </row>
    <row r="16791">
      <c r="A16791" s="24"/>
      <c r="B16791" s="25"/>
      <c r="C16791" s="24"/>
      <c r="D16791" s="26"/>
      <c r="E16791" s="24"/>
      <c r="F16791" s="24"/>
      <c r="G16791" s="24"/>
      <c r="H16791" s="24"/>
      <c r="I16791" s="24"/>
      <c r="J16791" s="24"/>
      <c r="K16791" s="24"/>
      <c r="L16791" s="24"/>
      <c r="M16791" s="24"/>
      <c r="N16791" s="24"/>
      <c r="O16791" s="24"/>
      <c r="P16791" s="24"/>
      <c r="Q16791" s="24"/>
      <c r="R16791" s="24"/>
      <c r="S16791" s="24"/>
      <c r="T16791" s="24"/>
      <c r="U16791" s="24"/>
      <c r="V16791" s="24"/>
      <c r="W16791" s="24"/>
      <c r="X16791" s="24"/>
      <c r="Y16791" s="24"/>
      <c r="Z16791" s="24"/>
      <c r="AA16791" s="24"/>
    </row>
    <row r="16792">
      <c r="A16792" s="24"/>
      <c r="B16792" s="25"/>
      <c r="C16792" s="24"/>
      <c r="D16792" s="26"/>
      <c r="E16792" s="24"/>
      <c r="F16792" s="24"/>
      <c r="G16792" s="24"/>
      <c r="H16792" s="24"/>
      <c r="I16792" s="24"/>
      <c r="J16792" s="24"/>
      <c r="K16792" s="24"/>
      <c r="L16792" s="24"/>
      <c r="M16792" s="24"/>
      <c r="N16792" s="24"/>
      <c r="O16792" s="24"/>
      <c r="P16792" s="24"/>
      <c r="Q16792" s="24"/>
      <c r="R16792" s="24"/>
      <c r="S16792" s="24"/>
      <c r="T16792" s="24"/>
      <c r="U16792" s="24"/>
      <c r="V16792" s="24"/>
      <c r="W16792" s="24"/>
      <c r="X16792" s="24"/>
      <c r="Y16792" s="24"/>
      <c r="Z16792" s="24"/>
      <c r="AA16792" s="24"/>
    </row>
    <row r="16793">
      <c r="A16793" s="24"/>
      <c r="B16793" s="25"/>
      <c r="C16793" s="24"/>
      <c r="D16793" s="26"/>
      <c r="E16793" s="24"/>
      <c r="F16793" s="24"/>
      <c r="G16793" s="24"/>
      <c r="H16793" s="24"/>
      <c r="I16793" s="24"/>
      <c r="J16793" s="24"/>
      <c r="K16793" s="24"/>
      <c r="L16793" s="24"/>
      <c r="M16793" s="24"/>
      <c r="N16793" s="24"/>
      <c r="O16793" s="24"/>
      <c r="P16793" s="24"/>
      <c r="Q16793" s="24"/>
      <c r="R16793" s="24"/>
      <c r="S16793" s="24"/>
      <c r="T16793" s="24"/>
      <c r="U16793" s="24"/>
      <c r="V16793" s="24"/>
      <c r="W16793" s="24"/>
      <c r="X16793" s="24"/>
      <c r="Y16793" s="24"/>
      <c r="Z16793" s="24"/>
      <c r="AA16793" s="24"/>
    </row>
    <row r="16794">
      <c r="A16794" s="24"/>
      <c r="B16794" s="25"/>
      <c r="C16794" s="24"/>
      <c r="D16794" s="26"/>
      <c r="E16794" s="24"/>
      <c r="F16794" s="24"/>
      <c r="G16794" s="24"/>
      <c r="H16794" s="24"/>
      <c r="I16794" s="24"/>
      <c r="J16794" s="24"/>
      <c r="K16794" s="24"/>
      <c r="L16794" s="24"/>
      <c r="M16794" s="24"/>
      <c r="N16794" s="24"/>
      <c r="O16794" s="24"/>
      <c r="P16794" s="24"/>
      <c r="Q16794" s="24"/>
      <c r="R16794" s="24"/>
      <c r="S16794" s="24"/>
      <c r="T16794" s="24"/>
      <c r="U16794" s="24"/>
      <c r="V16794" s="24"/>
      <c r="W16794" s="24"/>
      <c r="X16794" s="24"/>
      <c r="Y16794" s="24"/>
      <c r="Z16794" s="24"/>
      <c r="AA16794" s="24"/>
    </row>
    <row r="16795">
      <c r="A16795" s="24"/>
      <c r="B16795" s="25"/>
      <c r="C16795" s="24"/>
      <c r="D16795" s="26"/>
      <c r="E16795" s="24"/>
      <c r="F16795" s="24"/>
      <c r="G16795" s="24"/>
      <c r="H16795" s="24"/>
      <c r="I16795" s="24"/>
      <c r="J16795" s="24"/>
      <c r="K16795" s="24"/>
      <c r="L16795" s="24"/>
      <c r="M16795" s="24"/>
      <c r="N16795" s="24"/>
      <c r="O16795" s="24"/>
      <c r="P16795" s="24"/>
      <c r="Q16795" s="24"/>
      <c r="R16795" s="24"/>
      <c r="S16795" s="24"/>
      <c r="T16795" s="24"/>
      <c r="U16795" s="24"/>
      <c r="V16795" s="24"/>
      <c r="W16795" s="24"/>
      <c r="X16795" s="24"/>
      <c r="Y16795" s="24"/>
      <c r="Z16795" s="24"/>
      <c r="AA16795" s="24"/>
    </row>
    <row r="16796">
      <c r="A16796" s="24"/>
      <c r="B16796" s="25"/>
      <c r="C16796" s="24"/>
      <c r="D16796" s="26"/>
      <c r="E16796" s="24"/>
      <c r="F16796" s="24"/>
      <c r="G16796" s="24"/>
      <c r="H16796" s="24"/>
      <c r="I16796" s="24"/>
      <c r="J16796" s="24"/>
      <c r="K16796" s="24"/>
      <c r="L16796" s="24"/>
      <c r="M16796" s="24"/>
      <c r="N16796" s="24"/>
      <c r="O16796" s="24"/>
      <c r="P16796" s="24"/>
      <c r="Q16796" s="24"/>
      <c r="R16796" s="24"/>
      <c r="S16796" s="24"/>
      <c r="T16796" s="24"/>
      <c r="U16796" s="24"/>
      <c r="V16796" s="24"/>
      <c r="W16796" s="24"/>
      <c r="X16796" s="24"/>
      <c r="Y16796" s="24"/>
      <c r="Z16796" s="24"/>
      <c r="AA16796" s="24"/>
    </row>
    <row r="16797">
      <c r="A16797" s="24"/>
      <c r="B16797" s="25"/>
      <c r="C16797" s="24"/>
      <c r="D16797" s="26"/>
      <c r="E16797" s="24"/>
      <c r="F16797" s="24"/>
      <c r="G16797" s="24"/>
      <c r="H16797" s="24"/>
      <c r="I16797" s="24"/>
      <c r="J16797" s="24"/>
      <c r="K16797" s="24"/>
      <c r="L16797" s="24"/>
      <c r="M16797" s="24"/>
      <c r="N16797" s="24"/>
      <c r="O16797" s="24"/>
      <c r="P16797" s="24"/>
      <c r="Q16797" s="24"/>
      <c r="R16797" s="24"/>
      <c r="S16797" s="24"/>
      <c r="T16797" s="24"/>
      <c r="U16797" s="24"/>
      <c r="V16797" s="24"/>
      <c r="W16797" s="24"/>
      <c r="X16797" s="24"/>
      <c r="Y16797" s="24"/>
      <c r="Z16797" s="24"/>
      <c r="AA16797" s="24"/>
    </row>
    <row r="16798">
      <c r="A16798" s="24"/>
      <c r="B16798" s="25"/>
      <c r="C16798" s="24"/>
      <c r="D16798" s="26"/>
      <c r="E16798" s="24"/>
      <c r="F16798" s="24"/>
      <c r="G16798" s="24"/>
      <c r="H16798" s="24"/>
      <c r="I16798" s="24"/>
      <c r="J16798" s="24"/>
      <c r="K16798" s="24"/>
      <c r="L16798" s="24"/>
      <c r="M16798" s="24"/>
      <c r="N16798" s="24"/>
      <c r="O16798" s="24"/>
      <c r="P16798" s="24"/>
      <c r="Q16798" s="24"/>
      <c r="R16798" s="24"/>
      <c r="S16798" s="24"/>
      <c r="T16798" s="24"/>
      <c r="U16798" s="24"/>
      <c r="V16798" s="24"/>
      <c r="W16798" s="24"/>
      <c r="X16798" s="24"/>
      <c r="Y16798" s="24"/>
      <c r="Z16798" s="24"/>
      <c r="AA16798" s="24"/>
    </row>
    <row r="16799">
      <c r="A16799" s="24"/>
      <c r="B16799" s="25"/>
      <c r="C16799" s="24"/>
      <c r="D16799" s="26"/>
      <c r="E16799" s="24"/>
      <c r="F16799" s="24"/>
      <c r="G16799" s="24"/>
      <c r="H16799" s="24"/>
      <c r="I16799" s="24"/>
      <c r="J16799" s="24"/>
      <c r="K16799" s="24"/>
      <c r="L16799" s="24"/>
      <c r="M16799" s="24"/>
      <c r="N16799" s="24"/>
      <c r="O16799" s="24"/>
      <c r="P16799" s="24"/>
      <c r="Q16799" s="24"/>
      <c r="R16799" s="24"/>
      <c r="S16799" s="24"/>
      <c r="T16799" s="24"/>
      <c r="U16799" s="24"/>
      <c r="V16799" s="24"/>
      <c r="W16799" s="24"/>
      <c r="X16799" s="24"/>
      <c r="Y16799" s="24"/>
      <c r="Z16799" s="24"/>
      <c r="AA16799" s="24"/>
    </row>
    <row r="16800">
      <c r="A16800" s="24"/>
      <c r="B16800" s="25"/>
      <c r="C16800" s="24"/>
      <c r="D16800" s="26"/>
      <c r="E16800" s="24"/>
      <c r="F16800" s="24"/>
      <c r="G16800" s="24"/>
      <c r="H16800" s="24"/>
      <c r="I16800" s="24"/>
      <c r="J16800" s="24"/>
      <c r="K16800" s="24"/>
      <c r="L16800" s="24"/>
      <c r="M16800" s="24"/>
      <c r="N16800" s="24"/>
      <c r="O16800" s="24"/>
      <c r="P16800" s="24"/>
      <c r="Q16800" s="24"/>
      <c r="R16800" s="24"/>
      <c r="S16800" s="24"/>
      <c r="T16800" s="24"/>
      <c r="U16800" s="24"/>
      <c r="V16800" s="24"/>
      <c r="W16800" s="24"/>
      <c r="X16800" s="24"/>
      <c r="Y16800" s="24"/>
      <c r="Z16800" s="24"/>
      <c r="AA16800" s="24"/>
    </row>
    <row r="16801">
      <c r="A16801" s="24"/>
      <c r="B16801" s="25"/>
      <c r="C16801" s="24"/>
      <c r="D16801" s="26"/>
      <c r="E16801" s="24"/>
      <c r="F16801" s="24"/>
      <c r="G16801" s="24"/>
      <c r="H16801" s="24"/>
      <c r="I16801" s="24"/>
      <c r="J16801" s="24"/>
      <c r="K16801" s="24"/>
      <c r="L16801" s="24"/>
      <c r="M16801" s="24"/>
      <c r="N16801" s="24"/>
      <c r="O16801" s="24"/>
      <c r="P16801" s="24"/>
      <c r="Q16801" s="24"/>
      <c r="R16801" s="24"/>
      <c r="S16801" s="24"/>
      <c r="T16801" s="24"/>
      <c r="U16801" s="24"/>
      <c r="V16801" s="24"/>
      <c r="W16801" s="24"/>
      <c r="X16801" s="24"/>
      <c r="Y16801" s="24"/>
      <c r="Z16801" s="24"/>
      <c r="AA16801" s="24"/>
    </row>
    <row r="16802">
      <c r="A16802" s="24"/>
      <c r="B16802" s="25"/>
      <c r="C16802" s="24"/>
      <c r="D16802" s="26"/>
      <c r="E16802" s="24"/>
      <c r="F16802" s="24"/>
      <c r="G16802" s="24"/>
      <c r="H16802" s="24"/>
      <c r="I16802" s="24"/>
      <c r="J16802" s="24"/>
      <c r="K16802" s="24"/>
      <c r="L16802" s="24"/>
      <c r="M16802" s="24"/>
      <c r="N16802" s="24"/>
      <c r="O16802" s="24"/>
      <c r="P16802" s="24"/>
      <c r="Q16802" s="24"/>
      <c r="R16802" s="24"/>
      <c r="S16802" s="24"/>
      <c r="T16802" s="24"/>
      <c r="U16802" s="24"/>
      <c r="V16802" s="24"/>
      <c r="W16802" s="24"/>
      <c r="X16802" s="24"/>
      <c r="Y16802" s="24"/>
      <c r="Z16802" s="24"/>
      <c r="AA16802" s="24"/>
    </row>
    <row r="16803">
      <c r="A16803" s="24"/>
      <c r="B16803" s="25"/>
      <c r="C16803" s="24"/>
      <c r="D16803" s="26"/>
      <c r="E16803" s="24"/>
      <c r="F16803" s="24"/>
      <c r="G16803" s="24"/>
      <c r="H16803" s="24"/>
      <c r="I16803" s="24"/>
      <c r="J16803" s="24"/>
      <c r="K16803" s="24"/>
      <c r="L16803" s="24"/>
      <c r="M16803" s="24"/>
      <c r="N16803" s="24"/>
      <c r="O16803" s="24"/>
      <c r="P16803" s="24"/>
      <c r="Q16803" s="24"/>
      <c r="R16803" s="24"/>
      <c r="S16803" s="24"/>
      <c r="T16803" s="24"/>
      <c r="U16803" s="24"/>
      <c r="V16803" s="24"/>
      <c r="W16803" s="24"/>
      <c r="X16803" s="24"/>
      <c r="Y16803" s="24"/>
      <c r="Z16803" s="24"/>
      <c r="AA16803" s="24"/>
    </row>
    <row r="16804">
      <c r="A16804" s="24"/>
      <c r="B16804" s="25"/>
      <c r="C16804" s="24"/>
      <c r="D16804" s="26"/>
      <c r="E16804" s="24"/>
      <c r="F16804" s="24"/>
      <c r="G16804" s="24"/>
      <c r="H16804" s="24"/>
      <c r="I16804" s="24"/>
      <c r="J16804" s="24"/>
      <c r="K16804" s="24"/>
      <c r="L16804" s="24"/>
      <c r="M16804" s="24"/>
      <c r="N16804" s="24"/>
      <c r="O16804" s="24"/>
      <c r="P16804" s="24"/>
      <c r="Q16804" s="24"/>
      <c r="R16804" s="24"/>
      <c r="S16804" s="24"/>
      <c r="T16804" s="24"/>
      <c r="U16804" s="24"/>
      <c r="V16804" s="24"/>
      <c r="W16804" s="24"/>
      <c r="X16804" s="24"/>
      <c r="Y16804" s="24"/>
      <c r="Z16804" s="24"/>
      <c r="AA16804" s="24"/>
    </row>
    <row r="16805">
      <c r="A16805" s="24"/>
      <c r="B16805" s="25"/>
      <c r="C16805" s="24"/>
      <c r="D16805" s="26"/>
      <c r="E16805" s="24"/>
      <c r="F16805" s="24"/>
      <c r="G16805" s="24"/>
      <c r="H16805" s="24"/>
      <c r="I16805" s="24"/>
      <c r="J16805" s="24"/>
      <c r="K16805" s="24"/>
      <c r="L16805" s="24"/>
      <c r="M16805" s="24"/>
      <c r="N16805" s="24"/>
      <c r="O16805" s="24"/>
      <c r="P16805" s="24"/>
      <c r="Q16805" s="24"/>
      <c r="R16805" s="24"/>
      <c r="S16805" s="24"/>
      <c r="T16805" s="24"/>
      <c r="U16805" s="24"/>
      <c r="V16805" s="24"/>
      <c r="W16805" s="24"/>
      <c r="X16805" s="24"/>
      <c r="Y16805" s="24"/>
      <c r="Z16805" s="24"/>
      <c r="AA16805" s="24"/>
    </row>
    <row r="16806">
      <c r="A16806" s="24"/>
      <c r="B16806" s="25"/>
      <c r="C16806" s="24"/>
      <c r="D16806" s="26"/>
      <c r="E16806" s="24"/>
      <c r="F16806" s="24"/>
      <c r="G16806" s="24"/>
      <c r="H16806" s="24"/>
      <c r="I16806" s="24"/>
      <c r="J16806" s="24"/>
      <c r="K16806" s="24"/>
      <c r="L16806" s="24"/>
      <c r="M16806" s="24"/>
      <c r="N16806" s="24"/>
      <c r="O16806" s="24"/>
      <c r="P16806" s="24"/>
      <c r="Q16806" s="24"/>
      <c r="R16806" s="24"/>
      <c r="S16806" s="24"/>
      <c r="T16806" s="24"/>
      <c r="U16806" s="24"/>
      <c r="V16806" s="24"/>
      <c r="W16806" s="24"/>
      <c r="X16806" s="24"/>
      <c r="Y16806" s="24"/>
      <c r="Z16806" s="24"/>
      <c r="AA16806" s="24"/>
    </row>
    <row r="16807">
      <c r="A16807" s="24"/>
      <c r="B16807" s="25"/>
      <c r="C16807" s="24"/>
      <c r="D16807" s="26"/>
      <c r="E16807" s="24"/>
      <c r="F16807" s="24"/>
      <c r="G16807" s="24"/>
      <c r="H16807" s="24"/>
      <c r="I16807" s="24"/>
      <c r="J16807" s="24"/>
      <c r="K16807" s="24"/>
      <c r="L16807" s="24"/>
      <c r="M16807" s="24"/>
      <c r="N16807" s="24"/>
      <c r="O16807" s="24"/>
      <c r="P16807" s="24"/>
      <c r="Q16807" s="24"/>
      <c r="R16807" s="24"/>
      <c r="S16807" s="24"/>
      <c r="T16807" s="24"/>
      <c r="U16807" s="24"/>
      <c r="V16807" s="24"/>
      <c r="W16807" s="24"/>
      <c r="X16807" s="24"/>
      <c r="Y16807" s="24"/>
      <c r="Z16807" s="24"/>
      <c r="AA16807" s="24"/>
    </row>
    <row r="16808">
      <c r="A16808" s="24"/>
      <c r="B16808" s="25"/>
      <c r="C16808" s="24"/>
      <c r="D16808" s="26"/>
      <c r="E16808" s="24"/>
      <c r="F16808" s="24"/>
      <c r="G16808" s="24"/>
      <c r="H16808" s="24"/>
      <c r="I16808" s="24"/>
      <c r="J16808" s="24"/>
      <c r="K16808" s="24"/>
      <c r="L16808" s="24"/>
      <c r="M16808" s="24"/>
      <c r="N16808" s="24"/>
      <c r="O16808" s="24"/>
      <c r="P16808" s="24"/>
      <c r="Q16808" s="24"/>
      <c r="R16808" s="24"/>
      <c r="S16808" s="24"/>
      <c r="T16808" s="24"/>
      <c r="U16808" s="24"/>
      <c r="V16808" s="24"/>
      <c r="W16808" s="24"/>
      <c r="X16808" s="24"/>
      <c r="Y16808" s="24"/>
      <c r="Z16808" s="24"/>
      <c r="AA16808" s="24"/>
    </row>
    <row r="16809">
      <c r="A16809" s="24"/>
      <c r="B16809" s="25"/>
      <c r="C16809" s="24"/>
      <c r="D16809" s="26"/>
      <c r="E16809" s="24"/>
      <c r="F16809" s="24"/>
      <c r="G16809" s="24"/>
      <c r="H16809" s="24"/>
      <c r="I16809" s="24"/>
      <c r="J16809" s="24"/>
      <c r="K16809" s="24"/>
      <c r="L16809" s="24"/>
      <c r="M16809" s="24"/>
      <c r="N16809" s="24"/>
      <c r="O16809" s="24"/>
      <c r="P16809" s="24"/>
      <c r="Q16809" s="24"/>
      <c r="R16809" s="24"/>
      <c r="S16809" s="24"/>
      <c r="T16809" s="24"/>
      <c r="U16809" s="24"/>
      <c r="V16809" s="24"/>
      <c r="W16809" s="24"/>
      <c r="X16809" s="24"/>
      <c r="Y16809" s="24"/>
      <c r="Z16809" s="24"/>
      <c r="AA16809" s="24"/>
    </row>
    <row r="16810">
      <c r="A16810" s="24"/>
      <c r="B16810" s="25"/>
      <c r="C16810" s="24"/>
      <c r="D16810" s="26"/>
      <c r="E16810" s="24"/>
      <c r="F16810" s="24"/>
      <c r="G16810" s="24"/>
      <c r="H16810" s="24"/>
      <c r="I16810" s="24"/>
      <c r="J16810" s="24"/>
      <c r="K16810" s="24"/>
      <c r="L16810" s="24"/>
      <c r="M16810" s="24"/>
      <c r="N16810" s="24"/>
      <c r="O16810" s="24"/>
      <c r="P16810" s="24"/>
      <c r="Q16810" s="24"/>
      <c r="R16810" s="24"/>
      <c r="S16810" s="24"/>
      <c r="T16810" s="24"/>
      <c r="U16810" s="24"/>
      <c r="V16810" s="24"/>
      <c r="W16810" s="24"/>
      <c r="X16810" s="24"/>
      <c r="Y16810" s="24"/>
      <c r="Z16810" s="24"/>
      <c r="AA16810" s="24"/>
    </row>
    <row r="16811">
      <c r="A16811" s="24"/>
      <c r="B16811" s="25"/>
      <c r="C16811" s="24"/>
      <c r="D16811" s="26"/>
      <c r="E16811" s="24"/>
      <c r="F16811" s="24"/>
      <c r="G16811" s="24"/>
      <c r="H16811" s="24"/>
      <c r="I16811" s="24"/>
      <c r="J16811" s="24"/>
      <c r="K16811" s="24"/>
      <c r="L16811" s="24"/>
      <c r="M16811" s="24"/>
      <c r="N16811" s="24"/>
      <c r="O16811" s="24"/>
      <c r="P16811" s="24"/>
      <c r="Q16811" s="24"/>
      <c r="R16811" s="24"/>
      <c r="S16811" s="24"/>
      <c r="T16811" s="24"/>
      <c r="U16811" s="24"/>
      <c r="V16811" s="24"/>
      <c r="W16811" s="24"/>
      <c r="X16811" s="24"/>
      <c r="Y16811" s="24"/>
      <c r="Z16811" s="24"/>
      <c r="AA16811" s="24"/>
    </row>
    <row r="16812">
      <c r="A16812" s="24"/>
      <c r="B16812" s="25"/>
      <c r="C16812" s="24"/>
      <c r="D16812" s="26"/>
      <c r="E16812" s="24"/>
      <c r="F16812" s="24"/>
      <c r="G16812" s="24"/>
      <c r="H16812" s="24"/>
      <c r="I16812" s="24"/>
      <c r="J16812" s="24"/>
      <c r="K16812" s="24"/>
      <c r="L16812" s="24"/>
      <c r="M16812" s="24"/>
      <c r="N16812" s="24"/>
      <c r="O16812" s="24"/>
      <c r="P16812" s="24"/>
      <c r="Q16812" s="24"/>
      <c r="R16812" s="24"/>
      <c r="S16812" s="24"/>
      <c r="T16812" s="24"/>
      <c r="U16812" s="24"/>
      <c r="V16812" s="24"/>
      <c r="W16812" s="24"/>
      <c r="X16812" s="24"/>
      <c r="Y16812" s="24"/>
      <c r="Z16812" s="24"/>
      <c r="AA16812" s="24"/>
    </row>
    <row r="16813">
      <c r="A16813" s="24"/>
      <c r="B16813" s="25"/>
      <c r="C16813" s="24"/>
      <c r="D16813" s="26"/>
      <c r="E16813" s="24"/>
      <c r="F16813" s="24"/>
      <c r="G16813" s="24"/>
      <c r="H16813" s="24"/>
      <c r="I16813" s="24"/>
      <c r="J16813" s="24"/>
      <c r="K16813" s="24"/>
      <c r="L16813" s="24"/>
      <c r="M16813" s="24"/>
      <c r="N16813" s="24"/>
      <c r="O16813" s="24"/>
      <c r="P16813" s="24"/>
      <c r="Q16813" s="24"/>
      <c r="R16813" s="24"/>
      <c r="S16813" s="24"/>
      <c r="T16813" s="24"/>
      <c r="U16813" s="24"/>
      <c r="V16813" s="24"/>
      <c r="W16813" s="24"/>
      <c r="X16813" s="24"/>
      <c r="Y16813" s="24"/>
      <c r="Z16813" s="24"/>
      <c r="AA16813" s="24"/>
    </row>
    <row r="16814">
      <c r="A16814" s="24"/>
      <c r="B16814" s="25"/>
      <c r="C16814" s="24"/>
      <c r="D16814" s="26"/>
      <c r="E16814" s="24"/>
      <c r="F16814" s="24"/>
      <c r="G16814" s="24"/>
      <c r="H16814" s="24"/>
      <c r="I16814" s="24"/>
      <c r="J16814" s="24"/>
      <c r="K16814" s="24"/>
      <c r="L16814" s="24"/>
      <c r="M16814" s="24"/>
      <c r="N16814" s="24"/>
      <c r="O16814" s="24"/>
      <c r="P16814" s="24"/>
      <c r="Q16814" s="24"/>
      <c r="R16814" s="24"/>
      <c r="S16814" s="24"/>
      <c r="T16814" s="24"/>
      <c r="U16814" s="24"/>
      <c r="V16814" s="24"/>
      <c r="W16814" s="24"/>
      <c r="X16814" s="24"/>
      <c r="Y16814" s="24"/>
      <c r="Z16814" s="24"/>
      <c r="AA16814" s="24"/>
    </row>
    <row r="16815">
      <c r="A16815" s="24"/>
      <c r="B16815" s="25"/>
      <c r="C16815" s="24"/>
      <c r="D16815" s="26"/>
      <c r="E16815" s="24"/>
      <c r="F16815" s="24"/>
      <c r="G16815" s="24"/>
      <c r="H16815" s="24"/>
      <c r="I16815" s="24"/>
      <c r="J16815" s="24"/>
      <c r="K16815" s="24"/>
      <c r="L16815" s="24"/>
      <c r="M16815" s="24"/>
      <c r="N16815" s="24"/>
      <c r="O16815" s="24"/>
      <c r="P16815" s="24"/>
      <c r="Q16815" s="24"/>
      <c r="R16815" s="24"/>
      <c r="S16815" s="24"/>
      <c r="T16815" s="24"/>
      <c r="U16815" s="24"/>
      <c r="V16815" s="24"/>
      <c r="W16815" s="24"/>
      <c r="X16815" s="24"/>
      <c r="Y16815" s="24"/>
      <c r="Z16815" s="24"/>
      <c r="AA16815" s="24"/>
    </row>
    <row r="16816">
      <c r="A16816" s="24"/>
      <c r="B16816" s="25"/>
      <c r="C16816" s="24"/>
      <c r="D16816" s="26"/>
      <c r="E16816" s="24"/>
      <c r="F16816" s="24"/>
      <c r="G16816" s="24"/>
      <c r="H16816" s="24"/>
      <c r="I16816" s="24"/>
      <c r="J16816" s="24"/>
      <c r="K16816" s="24"/>
      <c r="L16816" s="24"/>
      <c r="M16816" s="24"/>
      <c r="N16816" s="24"/>
      <c r="O16816" s="24"/>
      <c r="P16816" s="24"/>
      <c r="Q16816" s="24"/>
      <c r="R16816" s="24"/>
      <c r="S16816" s="24"/>
      <c r="T16816" s="24"/>
      <c r="U16816" s="24"/>
      <c r="V16816" s="24"/>
      <c r="W16816" s="24"/>
      <c r="X16816" s="24"/>
      <c r="Y16816" s="24"/>
      <c r="Z16816" s="24"/>
      <c r="AA16816" s="24"/>
    </row>
    <row r="16817">
      <c r="A16817" s="24"/>
      <c r="B16817" s="25"/>
      <c r="C16817" s="24"/>
      <c r="D16817" s="26"/>
      <c r="E16817" s="24"/>
      <c r="F16817" s="24"/>
      <c r="G16817" s="24"/>
      <c r="H16817" s="24"/>
      <c r="I16817" s="24"/>
      <c r="J16817" s="24"/>
      <c r="K16817" s="24"/>
      <c r="L16817" s="24"/>
      <c r="M16817" s="24"/>
      <c r="N16817" s="24"/>
      <c r="O16817" s="24"/>
      <c r="P16817" s="24"/>
      <c r="Q16817" s="24"/>
      <c r="R16817" s="24"/>
      <c r="S16817" s="24"/>
      <c r="T16817" s="24"/>
      <c r="U16817" s="24"/>
      <c r="V16817" s="24"/>
      <c r="W16817" s="24"/>
      <c r="X16817" s="24"/>
      <c r="Y16817" s="24"/>
      <c r="Z16817" s="24"/>
      <c r="AA16817" s="24"/>
    </row>
    <row r="16818">
      <c r="A16818" s="24"/>
      <c r="B16818" s="25"/>
      <c r="C16818" s="24"/>
      <c r="D16818" s="26"/>
      <c r="E16818" s="24"/>
      <c r="F16818" s="24"/>
      <c r="G16818" s="24"/>
      <c r="H16818" s="24"/>
      <c r="I16818" s="24"/>
      <c r="J16818" s="24"/>
      <c r="K16818" s="24"/>
      <c r="L16818" s="24"/>
      <c r="M16818" s="24"/>
      <c r="N16818" s="24"/>
      <c r="O16818" s="24"/>
      <c r="P16818" s="24"/>
      <c r="Q16818" s="24"/>
      <c r="R16818" s="24"/>
      <c r="S16818" s="24"/>
      <c r="T16818" s="24"/>
      <c r="U16818" s="24"/>
      <c r="V16818" s="24"/>
      <c r="W16818" s="24"/>
      <c r="X16818" s="24"/>
      <c r="Y16818" s="24"/>
      <c r="Z16818" s="24"/>
      <c r="AA16818" s="24"/>
    </row>
    <row r="16819">
      <c r="A16819" s="24"/>
      <c r="B16819" s="25"/>
      <c r="C16819" s="24"/>
      <c r="D16819" s="26"/>
      <c r="E16819" s="24"/>
      <c r="F16819" s="24"/>
      <c r="G16819" s="24"/>
      <c r="H16819" s="24"/>
      <c r="I16819" s="24"/>
      <c r="J16819" s="24"/>
      <c r="K16819" s="24"/>
      <c r="L16819" s="24"/>
      <c r="M16819" s="24"/>
      <c r="N16819" s="24"/>
      <c r="O16819" s="24"/>
      <c r="P16819" s="24"/>
      <c r="Q16819" s="24"/>
      <c r="R16819" s="24"/>
      <c r="S16819" s="24"/>
      <c r="T16819" s="24"/>
      <c r="U16819" s="24"/>
      <c r="V16819" s="24"/>
      <c r="W16819" s="24"/>
      <c r="X16819" s="24"/>
      <c r="Y16819" s="24"/>
      <c r="Z16819" s="24"/>
      <c r="AA16819" s="24"/>
    </row>
    <row r="16820">
      <c r="A16820" s="24"/>
      <c r="B16820" s="25"/>
      <c r="C16820" s="24"/>
      <c r="D16820" s="26"/>
      <c r="E16820" s="24"/>
      <c r="F16820" s="24"/>
      <c r="G16820" s="24"/>
      <c r="H16820" s="24"/>
      <c r="I16820" s="24"/>
      <c r="J16820" s="24"/>
      <c r="K16820" s="24"/>
      <c r="L16820" s="24"/>
      <c r="M16820" s="24"/>
      <c r="N16820" s="24"/>
      <c r="O16820" s="24"/>
      <c r="P16820" s="24"/>
      <c r="Q16820" s="24"/>
      <c r="R16820" s="24"/>
      <c r="S16820" s="24"/>
      <c r="T16820" s="24"/>
      <c r="U16820" s="24"/>
      <c r="V16820" s="24"/>
      <c r="W16820" s="24"/>
      <c r="X16820" s="24"/>
      <c r="Y16820" s="24"/>
      <c r="Z16820" s="24"/>
      <c r="AA16820" s="24"/>
    </row>
    <row r="16821">
      <c r="A16821" s="24"/>
      <c r="B16821" s="25"/>
      <c r="C16821" s="24"/>
      <c r="D16821" s="26"/>
      <c r="E16821" s="24"/>
      <c r="F16821" s="24"/>
      <c r="G16821" s="24"/>
      <c r="H16821" s="24"/>
      <c r="I16821" s="24"/>
      <c r="J16821" s="24"/>
      <c r="K16821" s="24"/>
      <c r="L16821" s="24"/>
      <c r="M16821" s="24"/>
      <c r="N16821" s="24"/>
      <c r="O16821" s="24"/>
      <c r="P16821" s="24"/>
      <c r="Q16821" s="24"/>
      <c r="R16821" s="24"/>
      <c r="S16821" s="24"/>
      <c r="T16821" s="24"/>
      <c r="U16821" s="24"/>
      <c r="V16821" s="24"/>
      <c r="W16821" s="24"/>
      <c r="X16821" s="24"/>
      <c r="Y16821" s="24"/>
      <c r="Z16821" s="24"/>
      <c r="AA16821" s="24"/>
    </row>
    <row r="16822">
      <c r="A16822" s="24"/>
      <c r="B16822" s="25"/>
      <c r="C16822" s="24"/>
      <c r="D16822" s="26"/>
      <c r="E16822" s="24"/>
      <c r="F16822" s="24"/>
      <c r="G16822" s="24"/>
      <c r="H16822" s="24"/>
      <c r="I16822" s="24"/>
      <c r="J16822" s="24"/>
      <c r="K16822" s="24"/>
      <c r="L16822" s="24"/>
      <c r="M16822" s="24"/>
      <c r="N16822" s="24"/>
      <c r="O16822" s="24"/>
      <c r="P16822" s="24"/>
      <c r="Q16822" s="24"/>
      <c r="R16822" s="24"/>
      <c r="S16822" s="24"/>
      <c r="T16822" s="24"/>
      <c r="U16822" s="24"/>
      <c r="V16822" s="24"/>
      <c r="W16822" s="24"/>
      <c r="X16822" s="24"/>
      <c r="Y16822" s="24"/>
      <c r="Z16822" s="24"/>
      <c r="AA16822" s="24"/>
    </row>
    <row r="16823">
      <c r="A16823" s="24"/>
      <c r="B16823" s="25"/>
      <c r="C16823" s="24"/>
      <c r="D16823" s="26"/>
      <c r="E16823" s="24"/>
      <c r="F16823" s="24"/>
      <c r="G16823" s="24"/>
      <c r="H16823" s="24"/>
      <c r="I16823" s="24"/>
      <c r="J16823" s="24"/>
      <c r="K16823" s="24"/>
      <c r="L16823" s="24"/>
      <c r="M16823" s="24"/>
      <c r="N16823" s="24"/>
      <c r="O16823" s="24"/>
      <c r="P16823" s="24"/>
      <c r="Q16823" s="24"/>
      <c r="R16823" s="24"/>
      <c r="S16823" s="24"/>
      <c r="T16823" s="24"/>
      <c r="U16823" s="24"/>
      <c r="V16823" s="24"/>
      <c r="W16823" s="24"/>
      <c r="X16823" s="24"/>
      <c r="Y16823" s="24"/>
      <c r="Z16823" s="24"/>
      <c r="AA16823" s="24"/>
    </row>
    <row r="16824">
      <c r="A16824" s="24"/>
      <c r="B16824" s="25"/>
      <c r="C16824" s="24"/>
      <c r="D16824" s="26"/>
      <c r="E16824" s="24"/>
      <c r="F16824" s="24"/>
      <c r="G16824" s="24"/>
      <c r="H16824" s="24"/>
      <c r="I16824" s="24"/>
      <c r="J16824" s="24"/>
      <c r="K16824" s="24"/>
      <c r="L16824" s="24"/>
      <c r="M16824" s="24"/>
      <c r="N16824" s="24"/>
      <c r="O16824" s="24"/>
      <c r="P16824" s="24"/>
      <c r="Q16824" s="24"/>
      <c r="R16824" s="24"/>
      <c r="S16824" s="24"/>
      <c r="T16824" s="24"/>
      <c r="U16824" s="24"/>
      <c r="V16824" s="24"/>
      <c r="W16824" s="24"/>
      <c r="X16824" s="24"/>
      <c r="Y16824" s="24"/>
      <c r="Z16824" s="24"/>
      <c r="AA16824" s="24"/>
    </row>
    <row r="16825">
      <c r="A16825" s="24"/>
      <c r="B16825" s="25"/>
      <c r="C16825" s="24"/>
      <c r="D16825" s="26"/>
      <c r="E16825" s="24"/>
      <c r="F16825" s="24"/>
      <c r="G16825" s="24"/>
      <c r="H16825" s="24"/>
      <c r="I16825" s="24"/>
      <c r="J16825" s="24"/>
      <c r="K16825" s="24"/>
      <c r="L16825" s="24"/>
      <c r="M16825" s="24"/>
      <c r="N16825" s="24"/>
      <c r="O16825" s="24"/>
      <c r="P16825" s="24"/>
      <c r="Q16825" s="24"/>
      <c r="R16825" s="24"/>
      <c r="S16825" s="24"/>
      <c r="T16825" s="24"/>
      <c r="U16825" s="24"/>
      <c r="V16825" s="24"/>
      <c r="W16825" s="24"/>
      <c r="X16825" s="24"/>
      <c r="Y16825" s="24"/>
      <c r="Z16825" s="24"/>
      <c r="AA16825" s="24"/>
    </row>
    <row r="16826">
      <c r="A16826" s="24"/>
      <c r="B16826" s="25"/>
      <c r="C16826" s="24"/>
      <c r="D16826" s="26"/>
      <c r="E16826" s="24"/>
      <c r="F16826" s="24"/>
      <c r="G16826" s="24"/>
      <c r="H16826" s="24"/>
      <c r="I16826" s="24"/>
      <c r="J16826" s="24"/>
      <c r="K16826" s="24"/>
      <c r="L16826" s="24"/>
      <c r="M16826" s="24"/>
      <c r="N16826" s="24"/>
      <c r="O16826" s="24"/>
      <c r="P16826" s="24"/>
      <c r="Q16826" s="24"/>
      <c r="R16826" s="24"/>
      <c r="S16826" s="24"/>
      <c r="T16826" s="24"/>
      <c r="U16826" s="24"/>
      <c r="V16826" s="24"/>
      <c r="W16826" s="24"/>
      <c r="X16826" s="24"/>
      <c r="Y16826" s="24"/>
      <c r="Z16826" s="24"/>
      <c r="AA16826" s="24"/>
    </row>
    <row r="16827">
      <c r="A16827" s="24"/>
      <c r="B16827" s="25"/>
      <c r="C16827" s="24"/>
      <c r="D16827" s="26"/>
      <c r="E16827" s="24"/>
      <c r="F16827" s="24"/>
      <c r="G16827" s="24"/>
      <c r="H16827" s="24"/>
      <c r="I16827" s="24"/>
      <c r="J16827" s="24"/>
      <c r="K16827" s="24"/>
      <c r="L16827" s="24"/>
      <c r="M16827" s="24"/>
      <c r="N16827" s="24"/>
      <c r="O16827" s="24"/>
      <c r="P16827" s="24"/>
      <c r="Q16827" s="24"/>
      <c r="R16827" s="24"/>
      <c r="S16827" s="24"/>
      <c r="T16827" s="24"/>
      <c r="U16827" s="24"/>
      <c r="V16827" s="24"/>
      <c r="W16827" s="24"/>
      <c r="X16827" s="24"/>
      <c r="Y16827" s="24"/>
      <c r="Z16827" s="24"/>
      <c r="AA16827" s="24"/>
    </row>
    <row r="16828">
      <c r="A16828" s="24"/>
      <c r="B16828" s="25"/>
      <c r="C16828" s="24"/>
      <c r="D16828" s="26"/>
      <c r="E16828" s="24"/>
      <c r="F16828" s="24"/>
      <c r="G16828" s="24"/>
      <c r="H16828" s="24"/>
      <c r="I16828" s="24"/>
      <c r="J16828" s="24"/>
      <c r="K16828" s="24"/>
      <c r="L16828" s="24"/>
      <c r="M16828" s="24"/>
      <c r="N16828" s="24"/>
      <c r="O16828" s="24"/>
      <c r="P16828" s="24"/>
      <c r="Q16828" s="24"/>
      <c r="R16828" s="24"/>
      <c r="S16828" s="24"/>
      <c r="T16828" s="24"/>
      <c r="U16828" s="24"/>
      <c r="V16828" s="24"/>
      <c r="W16828" s="24"/>
      <c r="X16828" s="24"/>
      <c r="Y16828" s="24"/>
      <c r="Z16828" s="24"/>
      <c r="AA16828" s="24"/>
    </row>
    <row r="16829">
      <c r="A16829" s="24"/>
      <c r="B16829" s="25"/>
      <c r="C16829" s="24"/>
      <c r="D16829" s="26"/>
      <c r="E16829" s="24"/>
      <c r="F16829" s="24"/>
      <c r="G16829" s="24"/>
      <c r="H16829" s="24"/>
      <c r="I16829" s="24"/>
      <c r="J16829" s="24"/>
      <c r="K16829" s="24"/>
      <c r="L16829" s="24"/>
      <c r="M16829" s="24"/>
      <c r="N16829" s="24"/>
      <c r="O16829" s="24"/>
      <c r="P16829" s="24"/>
      <c r="Q16829" s="24"/>
      <c r="R16829" s="24"/>
      <c r="S16829" s="24"/>
      <c r="T16829" s="24"/>
      <c r="U16829" s="24"/>
      <c r="V16829" s="24"/>
      <c r="W16829" s="24"/>
      <c r="X16829" s="24"/>
      <c r="Y16829" s="24"/>
      <c r="Z16829" s="24"/>
      <c r="AA16829" s="24"/>
    </row>
    <row r="16830">
      <c r="A16830" s="24"/>
      <c r="B16830" s="25"/>
      <c r="C16830" s="24"/>
      <c r="D16830" s="26"/>
      <c r="E16830" s="24"/>
      <c r="F16830" s="24"/>
      <c r="G16830" s="24"/>
      <c r="H16830" s="24"/>
      <c r="I16830" s="24"/>
      <c r="J16830" s="24"/>
      <c r="K16830" s="24"/>
      <c r="L16830" s="24"/>
      <c r="M16830" s="24"/>
      <c r="N16830" s="24"/>
      <c r="O16830" s="24"/>
      <c r="P16830" s="24"/>
      <c r="Q16830" s="24"/>
      <c r="R16830" s="24"/>
      <c r="S16830" s="24"/>
      <c r="T16830" s="24"/>
      <c r="U16830" s="24"/>
      <c r="V16830" s="24"/>
      <c r="W16830" s="24"/>
      <c r="X16830" s="24"/>
      <c r="Y16830" s="24"/>
      <c r="Z16830" s="24"/>
      <c r="AA16830" s="24"/>
    </row>
    <row r="16831">
      <c r="A16831" s="24"/>
      <c r="B16831" s="25"/>
      <c r="C16831" s="24"/>
      <c r="D16831" s="26"/>
      <c r="E16831" s="24"/>
      <c r="F16831" s="24"/>
      <c r="G16831" s="24"/>
      <c r="H16831" s="24"/>
      <c r="I16831" s="24"/>
      <c r="J16831" s="24"/>
      <c r="K16831" s="24"/>
      <c r="L16831" s="24"/>
      <c r="M16831" s="24"/>
      <c r="N16831" s="24"/>
      <c r="O16831" s="24"/>
      <c r="P16831" s="24"/>
      <c r="Q16831" s="24"/>
      <c r="R16831" s="24"/>
      <c r="S16831" s="24"/>
      <c r="T16831" s="24"/>
      <c r="U16831" s="24"/>
      <c r="V16831" s="24"/>
      <c r="W16831" s="24"/>
      <c r="X16831" s="24"/>
      <c r="Y16831" s="24"/>
      <c r="Z16831" s="24"/>
      <c r="AA16831" s="24"/>
    </row>
    <row r="16832">
      <c r="A16832" s="24"/>
      <c r="B16832" s="25"/>
      <c r="C16832" s="24"/>
      <c r="D16832" s="26"/>
      <c r="E16832" s="24"/>
      <c r="F16832" s="24"/>
      <c r="G16832" s="24"/>
      <c r="H16832" s="24"/>
      <c r="I16832" s="24"/>
      <c r="J16832" s="24"/>
      <c r="K16832" s="24"/>
      <c r="L16832" s="24"/>
      <c r="M16832" s="24"/>
      <c r="N16832" s="24"/>
      <c r="O16832" s="24"/>
      <c r="P16832" s="24"/>
      <c r="Q16832" s="24"/>
      <c r="R16832" s="24"/>
      <c r="S16832" s="24"/>
      <c r="T16832" s="24"/>
      <c r="U16832" s="24"/>
      <c r="V16832" s="24"/>
      <c r="W16832" s="24"/>
      <c r="X16832" s="24"/>
      <c r="Y16832" s="24"/>
      <c r="Z16832" s="24"/>
      <c r="AA16832" s="24"/>
    </row>
    <row r="16833">
      <c r="A16833" s="24"/>
      <c r="B16833" s="25"/>
      <c r="C16833" s="24"/>
      <c r="D16833" s="26"/>
      <c r="E16833" s="24"/>
      <c r="F16833" s="24"/>
      <c r="G16833" s="24"/>
      <c r="H16833" s="24"/>
      <c r="I16833" s="24"/>
      <c r="J16833" s="24"/>
      <c r="K16833" s="24"/>
      <c r="L16833" s="24"/>
      <c r="M16833" s="24"/>
      <c r="N16833" s="24"/>
      <c r="O16833" s="24"/>
      <c r="P16833" s="24"/>
      <c r="Q16833" s="24"/>
      <c r="R16833" s="24"/>
      <c r="S16833" s="24"/>
      <c r="T16833" s="24"/>
      <c r="U16833" s="24"/>
      <c r="V16833" s="24"/>
      <c r="W16833" s="24"/>
      <c r="X16833" s="24"/>
      <c r="Y16833" s="24"/>
      <c r="Z16833" s="24"/>
      <c r="AA16833" s="24"/>
    </row>
    <row r="16834">
      <c r="A16834" s="24"/>
      <c r="B16834" s="25"/>
      <c r="C16834" s="24"/>
      <c r="D16834" s="26"/>
      <c r="E16834" s="24"/>
      <c r="F16834" s="24"/>
      <c r="G16834" s="24"/>
      <c r="H16834" s="24"/>
      <c r="I16834" s="24"/>
      <c r="J16834" s="24"/>
      <c r="K16834" s="24"/>
      <c r="L16834" s="24"/>
      <c r="M16834" s="24"/>
      <c r="N16834" s="24"/>
      <c r="O16834" s="24"/>
      <c r="P16834" s="24"/>
      <c r="Q16834" s="24"/>
      <c r="R16834" s="24"/>
      <c r="S16834" s="24"/>
      <c r="T16834" s="24"/>
      <c r="U16834" s="24"/>
      <c r="V16834" s="24"/>
      <c r="W16834" s="24"/>
      <c r="X16834" s="24"/>
      <c r="Y16834" s="24"/>
      <c r="Z16834" s="24"/>
      <c r="AA16834" s="24"/>
    </row>
    <row r="16835">
      <c r="A16835" s="24"/>
      <c r="B16835" s="25"/>
      <c r="C16835" s="24"/>
      <c r="D16835" s="26"/>
      <c r="E16835" s="24"/>
      <c r="F16835" s="24"/>
      <c r="G16835" s="24"/>
      <c r="H16835" s="24"/>
      <c r="I16835" s="24"/>
      <c r="J16835" s="24"/>
      <c r="K16835" s="24"/>
      <c r="L16835" s="24"/>
      <c r="M16835" s="24"/>
      <c r="N16835" s="24"/>
      <c r="O16835" s="24"/>
      <c r="P16835" s="24"/>
      <c r="Q16835" s="24"/>
      <c r="R16835" s="24"/>
      <c r="S16835" s="24"/>
      <c r="T16835" s="24"/>
      <c r="U16835" s="24"/>
      <c r="V16835" s="24"/>
      <c r="W16835" s="24"/>
      <c r="X16835" s="24"/>
      <c r="Y16835" s="24"/>
      <c r="Z16835" s="24"/>
      <c r="AA16835" s="24"/>
    </row>
    <row r="16836">
      <c r="A16836" s="24"/>
      <c r="B16836" s="25"/>
      <c r="C16836" s="24"/>
      <c r="D16836" s="26"/>
      <c r="E16836" s="24"/>
      <c r="F16836" s="24"/>
      <c r="G16836" s="24"/>
      <c r="H16836" s="24"/>
      <c r="I16836" s="24"/>
      <c r="J16836" s="24"/>
      <c r="K16836" s="24"/>
      <c r="L16836" s="24"/>
      <c r="M16836" s="24"/>
      <c r="N16836" s="24"/>
      <c r="O16836" s="24"/>
      <c r="P16836" s="24"/>
      <c r="Q16836" s="24"/>
      <c r="R16836" s="24"/>
      <c r="S16836" s="24"/>
      <c r="T16836" s="24"/>
      <c r="U16836" s="24"/>
      <c r="V16836" s="24"/>
      <c r="W16836" s="24"/>
      <c r="X16836" s="24"/>
      <c r="Y16836" s="24"/>
      <c r="Z16836" s="24"/>
      <c r="AA16836" s="24"/>
    </row>
    <row r="16837">
      <c r="A16837" s="24"/>
      <c r="B16837" s="25"/>
      <c r="C16837" s="24"/>
      <c r="D16837" s="26"/>
      <c r="E16837" s="24"/>
      <c r="F16837" s="24"/>
      <c r="G16837" s="24"/>
      <c r="H16837" s="24"/>
      <c r="I16837" s="24"/>
      <c r="J16837" s="24"/>
      <c r="K16837" s="24"/>
      <c r="L16837" s="24"/>
      <c r="M16837" s="24"/>
      <c r="N16837" s="24"/>
      <c r="O16837" s="24"/>
      <c r="P16837" s="24"/>
      <c r="Q16837" s="24"/>
      <c r="R16837" s="24"/>
      <c r="S16837" s="24"/>
      <c r="T16837" s="24"/>
      <c r="U16837" s="24"/>
      <c r="V16837" s="24"/>
      <c r="W16837" s="24"/>
      <c r="X16837" s="24"/>
      <c r="Y16837" s="24"/>
      <c r="Z16837" s="24"/>
      <c r="AA16837" s="24"/>
    </row>
    <row r="16838">
      <c r="A16838" s="24"/>
      <c r="B16838" s="25"/>
      <c r="C16838" s="24"/>
      <c r="D16838" s="26"/>
      <c r="E16838" s="24"/>
      <c r="F16838" s="24"/>
      <c r="G16838" s="24"/>
      <c r="H16838" s="24"/>
      <c r="I16838" s="24"/>
      <c r="J16838" s="24"/>
      <c r="K16838" s="24"/>
      <c r="L16838" s="24"/>
      <c r="M16838" s="24"/>
      <c r="N16838" s="24"/>
      <c r="O16838" s="24"/>
      <c r="P16838" s="24"/>
      <c r="Q16838" s="24"/>
      <c r="R16838" s="24"/>
      <c r="S16838" s="24"/>
      <c r="T16838" s="24"/>
      <c r="U16838" s="24"/>
      <c r="V16838" s="24"/>
      <c r="W16838" s="24"/>
      <c r="X16838" s="24"/>
      <c r="Y16838" s="24"/>
      <c r="Z16838" s="24"/>
      <c r="AA16838" s="24"/>
    </row>
    <row r="16839">
      <c r="A16839" s="24"/>
      <c r="B16839" s="25"/>
      <c r="C16839" s="24"/>
      <c r="D16839" s="26"/>
      <c r="E16839" s="24"/>
      <c r="F16839" s="24"/>
      <c r="G16839" s="24"/>
      <c r="H16839" s="24"/>
      <c r="I16839" s="24"/>
      <c r="J16839" s="24"/>
      <c r="K16839" s="24"/>
      <c r="L16839" s="24"/>
      <c r="M16839" s="24"/>
      <c r="N16839" s="24"/>
      <c r="O16839" s="24"/>
      <c r="P16839" s="24"/>
      <c r="Q16839" s="24"/>
      <c r="R16839" s="24"/>
      <c r="S16839" s="24"/>
      <c r="T16839" s="24"/>
      <c r="U16839" s="24"/>
      <c r="V16839" s="24"/>
      <c r="W16839" s="24"/>
      <c r="X16839" s="24"/>
      <c r="Y16839" s="24"/>
      <c r="Z16839" s="24"/>
      <c r="AA16839" s="24"/>
    </row>
    <row r="16840">
      <c r="A16840" s="24"/>
      <c r="B16840" s="25"/>
      <c r="C16840" s="24"/>
      <c r="D16840" s="26"/>
      <c r="E16840" s="24"/>
      <c r="F16840" s="24"/>
      <c r="G16840" s="24"/>
      <c r="H16840" s="24"/>
      <c r="I16840" s="24"/>
      <c r="J16840" s="24"/>
      <c r="K16840" s="24"/>
      <c r="L16840" s="24"/>
      <c r="M16840" s="24"/>
      <c r="N16840" s="24"/>
      <c r="O16840" s="24"/>
      <c r="P16840" s="24"/>
      <c r="Q16840" s="24"/>
      <c r="R16840" s="24"/>
      <c r="S16840" s="24"/>
      <c r="T16840" s="24"/>
      <c r="U16840" s="24"/>
      <c r="V16840" s="24"/>
      <c r="W16840" s="24"/>
      <c r="X16840" s="24"/>
      <c r="Y16840" s="24"/>
      <c r="Z16840" s="24"/>
      <c r="AA16840" s="24"/>
    </row>
    <row r="16841">
      <c r="A16841" s="24"/>
      <c r="B16841" s="25"/>
      <c r="C16841" s="24"/>
      <c r="D16841" s="26"/>
      <c r="E16841" s="24"/>
      <c r="F16841" s="24"/>
      <c r="G16841" s="24"/>
      <c r="H16841" s="24"/>
      <c r="I16841" s="24"/>
      <c r="J16841" s="24"/>
      <c r="K16841" s="24"/>
      <c r="L16841" s="24"/>
      <c r="M16841" s="24"/>
      <c r="N16841" s="24"/>
      <c r="O16841" s="24"/>
      <c r="P16841" s="24"/>
      <c r="Q16841" s="24"/>
      <c r="R16841" s="24"/>
      <c r="S16841" s="24"/>
      <c r="T16841" s="24"/>
      <c r="U16841" s="24"/>
      <c r="V16841" s="24"/>
      <c r="W16841" s="24"/>
      <c r="X16841" s="24"/>
      <c r="Y16841" s="24"/>
      <c r="Z16841" s="24"/>
      <c r="AA16841" s="24"/>
    </row>
    <row r="16842">
      <c r="A16842" s="24"/>
      <c r="B16842" s="25"/>
      <c r="C16842" s="24"/>
      <c r="D16842" s="26"/>
      <c r="E16842" s="24"/>
      <c r="F16842" s="24"/>
      <c r="G16842" s="24"/>
      <c r="H16842" s="24"/>
      <c r="I16842" s="24"/>
      <c r="J16842" s="24"/>
      <c r="K16842" s="24"/>
      <c r="L16842" s="24"/>
      <c r="M16842" s="24"/>
      <c r="N16842" s="24"/>
      <c r="O16842" s="24"/>
      <c r="P16842" s="24"/>
      <c r="Q16842" s="24"/>
      <c r="R16842" s="24"/>
      <c r="S16842" s="24"/>
      <c r="T16842" s="24"/>
      <c r="U16842" s="24"/>
      <c r="V16842" s="24"/>
      <c r="W16842" s="24"/>
      <c r="X16842" s="24"/>
      <c r="Y16842" s="24"/>
      <c r="Z16842" s="24"/>
      <c r="AA16842" s="24"/>
    </row>
    <row r="16843">
      <c r="A16843" s="24"/>
      <c r="B16843" s="25"/>
      <c r="C16843" s="24"/>
      <c r="D16843" s="26"/>
      <c r="E16843" s="24"/>
      <c r="F16843" s="24"/>
      <c r="G16843" s="24"/>
      <c r="H16843" s="24"/>
      <c r="I16843" s="24"/>
      <c r="J16843" s="24"/>
      <c r="K16843" s="24"/>
      <c r="L16843" s="24"/>
      <c r="M16843" s="24"/>
      <c r="N16843" s="24"/>
      <c r="O16843" s="24"/>
      <c r="P16843" s="24"/>
      <c r="Q16843" s="24"/>
      <c r="R16843" s="24"/>
      <c r="S16843" s="24"/>
      <c r="T16843" s="24"/>
      <c r="U16843" s="24"/>
      <c r="V16843" s="24"/>
      <c r="W16843" s="24"/>
      <c r="X16843" s="24"/>
      <c r="Y16843" s="24"/>
      <c r="Z16843" s="24"/>
      <c r="AA16843" s="24"/>
    </row>
    <row r="16844">
      <c r="A16844" s="24"/>
      <c r="B16844" s="25"/>
      <c r="C16844" s="24"/>
      <c r="D16844" s="26"/>
      <c r="E16844" s="24"/>
      <c r="F16844" s="24"/>
      <c r="G16844" s="24"/>
      <c r="H16844" s="24"/>
      <c r="I16844" s="24"/>
      <c r="J16844" s="24"/>
      <c r="K16844" s="24"/>
      <c r="L16844" s="24"/>
      <c r="M16844" s="24"/>
      <c r="N16844" s="24"/>
      <c r="O16844" s="24"/>
      <c r="P16844" s="24"/>
      <c r="Q16844" s="24"/>
      <c r="R16844" s="24"/>
      <c r="S16844" s="24"/>
      <c r="T16844" s="24"/>
      <c r="U16844" s="24"/>
      <c r="V16844" s="24"/>
      <c r="W16844" s="24"/>
      <c r="X16844" s="24"/>
      <c r="Y16844" s="24"/>
      <c r="Z16844" s="24"/>
      <c r="AA16844" s="24"/>
    </row>
    <row r="16845">
      <c r="A16845" s="24"/>
      <c r="B16845" s="25"/>
      <c r="C16845" s="24"/>
      <c r="D16845" s="26"/>
      <c r="E16845" s="24"/>
      <c r="F16845" s="24"/>
      <c r="G16845" s="24"/>
      <c r="H16845" s="24"/>
      <c r="I16845" s="24"/>
      <c r="J16845" s="24"/>
      <c r="K16845" s="24"/>
      <c r="L16845" s="24"/>
      <c r="M16845" s="24"/>
      <c r="N16845" s="24"/>
      <c r="O16845" s="24"/>
      <c r="P16845" s="24"/>
      <c r="Q16845" s="24"/>
      <c r="R16845" s="24"/>
      <c r="S16845" s="24"/>
      <c r="T16845" s="24"/>
      <c r="U16845" s="24"/>
      <c r="V16845" s="24"/>
      <c r="W16845" s="24"/>
      <c r="X16845" s="24"/>
      <c r="Y16845" s="24"/>
      <c r="Z16845" s="24"/>
      <c r="AA16845" s="24"/>
    </row>
    <row r="16846">
      <c r="A16846" s="24"/>
      <c r="B16846" s="25"/>
      <c r="C16846" s="24"/>
      <c r="D16846" s="26"/>
      <c r="E16846" s="24"/>
      <c r="F16846" s="24"/>
      <c r="G16846" s="24"/>
      <c r="H16846" s="24"/>
      <c r="I16846" s="24"/>
      <c r="J16846" s="24"/>
      <c r="K16846" s="24"/>
      <c r="L16846" s="24"/>
      <c r="M16846" s="24"/>
      <c r="N16846" s="24"/>
      <c r="O16846" s="24"/>
      <c r="P16846" s="24"/>
      <c r="Q16846" s="24"/>
      <c r="R16846" s="24"/>
      <c r="S16846" s="24"/>
      <c r="T16846" s="24"/>
      <c r="U16846" s="24"/>
      <c r="V16846" s="24"/>
      <c r="W16846" s="24"/>
      <c r="X16846" s="24"/>
      <c r="Y16846" s="24"/>
      <c r="Z16846" s="24"/>
      <c r="AA16846" s="24"/>
    </row>
    <row r="16847">
      <c r="A16847" s="24"/>
      <c r="B16847" s="25"/>
      <c r="C16847" s="24"/>
      <c r="D16847" s="26"/>
      <c r="E16847" s="24"/>
      <c r="F16847" s="24"/>
      <c r="G16847" s="24"/>
      <c r="H16847" s="24"/>
      <c r="I16847" s="24"/>
      <c r="J16847" s="24"/>
      <c r="K16847" s="24"/>
      <c r="L16847" s="24"/>
      <c r="M16847" s="24"/>
      <c r="N16847" s="24"/>
      <c r="O16847" s="24"/>
      <c r="P16847" s="24"/>
      <c r="Q16847" s="24"/>
      <c r="R16847" s="24"/>
      <c r="S16847" s="24"/>
      <c r="T16847" s="24"/>
      <c r="U16847" s="24"/>
      <c r="V16847" s="24"/>
      <c r="W16847" s="24"/>
      <c r="X16847" s="24"/>
      <c r="Y16847" s="24"/>
      <c r="Z16847" s="24"/>
      <c r="AA16847" s="24"/>
    </row>
    <row r="16848">
      <c r="A16848" s="24"/>
      <c r="B16848" s="25"/>
      <c r="C16848" s="24"/>
      <c r="D16848" s="26"/>
      <c r="E16848" s="24"/>
      <c r="F16848" s="24"/>
      <c r="G16848" s="24"/>
      <c r="H16848" s="24"/>
      <c r="I16848" s="24"/>
      <c r="J16848" s="24"/>
      <c r="K16848" s="24"/>
      <c r="L16848" s="24"/>
      <c r="M16848" s="24"/>
      <c r="N16848" s="24"/>
      <c r="O16848" s="24"/>
      <c r="P16848" s="24"/>
      <c r="Q16848" s="24"/>
      <c r="R16848" s="24"/>
      <c r="S16848" s="24"/>
      <c r="T16848" s="24"/>
      <c r="U16848" s="24"/>
      <c r="V16848" s="24"/>
      <c r="W16848" s="24"/>
      <c r="X16848" s="24"/>
      <c r="Y16848" s="24"/>
      <c r="Z16848" s="24"/>
      <c r="AA16848" s="24"/>
    </row>
    <row r="16849">
      <c r="A16849" s="24"/>
      <c r="B16849" s="25"/>
      <c r="C16849" s="24"/>
      <c r="D16849" s="26"/>
      <c r="E16849" s="24"/>
      <c r="F16849" s="24"/>
      <c r="G16849" s="24"/>
      <c r="H16849" s="24"/>
      <c r="I16849" s="24"/>
      <c r="J16849" s="24"/>
      <c r="K16849" s="24"/>
      <c r="L16849" s="24"/>
      <c r="M16849" s="24"/>
      <c r="N16849" s="24"/>
      <c r="O16849" s="24"/>
      <c r="P16849" s="24"/>
      <c r="Q16849" s="24"/>
      <c r="R16849" s="24"/>
      <c r="S16849" s="24"/>
      <c r="T16849" s="24"/>
      <c r="U16849" s="24"/>
      <c r="V16849" s="24"/>
      <c r="W16849" s="24"/>
      <c r="X16849" s="24"/>
      <c r="Y16849" s="24"/>
      <c r="Z16849" s="24"/>
      <c r="AA16849" s="24"/>
    </row>
    <row r="16850">
      <c r="A16850" s="24"/>
      <c r="B16850" s="25"/>
      <c r="C16850" s="24"/>
      <c r="D16850" s="26"/>
      <c r="E16850" s="24"/>
      <c r="F16850" s="24"/>
      <c r="G16850" s="24"/>
      <c r="H16850" s="24"/>
      <c r="I16850" s="24"/>
      <c r="J16850" s="24"/>
      <c r="K16850" s="24"/>
      <c r="L16850" s="24"/>
      <c r="M16850" s="24"/>
      <c r="N16850" s="24"/>
      <c r="O16850" s="24"/>
      <c r="P16850" s="24"/>
      <c r="Q16850" s="24"/>
      <c r="R16850" s="24"/>
      <c r="S16850" s="24"/>
      <c r="T16850" s="24"/>
      <c r="U16850" s="24"/>
      <c r="V16850" s="24"/>
      <c r="W16850" s="24"/>
      <c r="X16850" s="24"/>
      <c r="Y16850" s="24"/>
      <c r="Z16850" s="24"/>
      <c r="AA16850" s="24"/>
    </row>
    <row r="16851">
      <c r="A16851" s="24"/>
      <c r="B16851" s="25"/>
      <c r="C16851" s="24"/>
      <c r="D16851" s="26"/>
      <c r="E16851" s="24"/>
      <c r="F16851" s="24"/>
      <c r="G16851" s="24"/>
      <c r="H16851" s="24"/>
      <c r="I16851" s="24"/>
      <c r="J16851" s="24"/>
      <c r="K16851" s="24"/>
      <c r="L16851" s="24"/>
      <c r="M16851" s="24"/>
      <c r="N16851" s="24"/>
      <c r="O16851" s="24"/>
      <c r="P16851" s="24"/>
      <c r="Q16851" s="24"/>
      <c r="R16851" s="24"/>
      <c r="S16851" s="24"/>
      <c r="T16851" s="24"/>
      <c r="U16851" s="24"/>
      <c r="V16851" s="24"/>
      <c r="W16851" s="24"/>
      <c r="X16851" s="24"/>
      <c r="Y16851" s="24"/>
      <c r="Z16851" s="24"/>
      <c r="AA16851" s="24"/>
    </row>
    <row r="16852">
      <c r="A16852" s="24"/>
      <c r="B16852" s="25"/>
      <c r="C16852" s="24"/>
      <c r="D16852" s="26"/>
      <c r="E16852" s="24"/>
      <c r="F16852" s="24"/>
      <c r="G16852" s="24"/>
      <c r="H16852" s="24"/>
      <c r="I16852" s="24"/>
      <c r="J16852" s="24"/>
      <c r="K16852" s="24"/>
      <c r="L16852" s="24"/>
      <c r="M16852" s="24"/>
      <c r="N16852" s="24"/>
      <c r="O16852" s="24"/>
      <c r="P16852" s="24"/>
      <c r="Q16852" s="24"/>
      <c r="R16852" s="24"/>
      <c r="S16852" s="24"/>
      <c r="T16852" s="24"/>
      <c r="U16852" s="24"/>
      <c r="V16852" s="24"/>
      <c r="W16852" s="24"/>
      <c r="X16852" s="24"/>
      <c r="Y16852" s="24"/>
      <c r="Z16852" s="24"/>
      <c r="AA16852" s="24"/>
    </row>
    <row r="16853">
      <c r="A16853" s="24"/>
      <c r="B16853" s="25"/>
      <c r="C16853" s="24"/>
      <c r="D16853" s="26"/>
      <c r="E16853" s="24"/>
      <c r="F16853" s="24"/>
      <c r="G16853" s="24"/>
      <c r="H16853" s="24"/>
      <c r="I16853" s="24"/>
      <c r="J16853" s="24"/>
      <c r="K16853" s="24"/>
      <c r="L16853" s="24"/>
      <c r="M16853" s="24"/>
      <c r="N16853" s="24"/>
      <c r="O16853" s="24"/>
      <c r="P16853" s="24"/>
      <c r="Q16853" s="24"/>
      <c r="R16853" s="24"/>
      <c r="S16853" s="24"/>
      <c r="T16853" s="24"/>
      <c r="U16853" s="24"/>
      <c r="V16853" s="24"/>
      <c r="W16853" s="24"/>
      <c r="X16853" s="24"/>
      <c r="Y16853" s="24"/>
      <c r="Z16853" s="24"/>
      <c r="AA16853" s="24"/>
    </row>
    <row r="16854">
      <c r="A16854" s="24"/>
      <c r="B16854" s="25"/>
      <c r="C16854" s="24"/>
      <c r="D16854" s="26"/>
      <c r="E16854" s="24"/>
      <c r="F16854" s="24"/>
      <c r="G16854" s="24"/>
      <c r="H16854" s="24"/>
      <c r="I16854" s="24"/>
      <c r="J16854" s="24"/>
      <c r="K16854" s="24"/>
      <c r="L16854" s="24"/>
      <c r="M16854" s="24"/>
      <c r="N16854" s="24"/>
      <c r="O16854" s="24"/>
      <c r="P16854" s="24"/>
      <c r="Q16854" s="24"/>
      <c r="R16854" s="24"/>
      <c r="S16854" s="24"/>
      <c r="T16854" s="24"/>
      <c r="U16854" s="24"/>
      <c r="V16854" s="24"/>
      <c r="W16854" s="24"/>
      <c r="X16854" s="24"/>
      <c r="Y16854" s="24"/>
      <c r="Z16854" s="24"/>
      <c r="AA16854" s="24"/>
    </row>
    <row r="16855">
      <c r="A16855" s="24"/>
      <c r="B16855" s="25"/>
      <c r="C16855" s="24"/>
      <c r="D16855" s="26"/>
      <c r="E16855" s="24"/>
      <c r="F16855" s="24"/>
      <c r="G16855" s="24"/>
      <c r="H16855" s="24"/>
      <c r="I16855" s="24"/>
      <c r="J16855" s="24"/>
      <c r="K16855" s="24"/>
      <c r="L16855" s="24"/>
      <c r="M16855" s="24"/>
      <c r="N16855" s="24"/>
      <c r="O16855" s="24"/>
      <c r="P16855" s="24"/>
      <c r="Q16855" s="24"/>
      <c r="R16855" s="24"/>
      <c r="S16855" s="24"/>
      <c r="T16855" s="24"/>
      <c r="U16855" s="24"/>
      <c r="V16855" s="24"/>
      <c r="W16855" s="24"/>
      <c r="X16855" s="24"/>
      <c r="Y16855" s="24"/>
      <c r="Z16855" s="24"/>
      <c r="AA16855" s="24"/>
    </row>
    <row r="16856">
      <c r="A16856" s="24"/>
      <c r="B16856" s="25"/>
      <c r="C16856" s="24"/>
      <c r="D16856" s="26"/>
      <c r="E16856" s="24"/>
      <c r="F16856" s="24"/>
      <c r="G16856" s="24"/>
      <c r="H16856" s="24"/>
      <c r="I16856" s="24"/>
      <c r="J16856" s="24"/>
      <c r="K16856" s="24"/>
      <c r="L16856" s="24"/>
      <c r="M16856" s="24"/>
      <c r="N16856" s="24"/>
      <c r="O16856" s="24"/>
      <c r="P16856" s="24"/>
      <c r="Q16856" s="24"/>
      <c r="R16856" s="24"/>
      <c r="S16856" s="24"/>
      <c r="T16856" s="24"/>
      <c r="U16856" s="24"/>
      <c r="V16856" s="24"/>
      <c r="W16856" s="24"/>
      <c r="X16856" s="24"/>
      <c r="Y16856" s="24"/>
      <c r="Z16856" s="24"/>
      <c r="AA16856" s="24"/>
    </row>
    <row r="16857">
      <c r="A16857" s="24"/>
      <c r="B16857" s="25"/>
      <c r="C16857" s="24"/>
      <c r="D16857" s="26"/>
      <c r="E16857" s="24"/>
      <c r="F16857" s="24"/>
      <c r="G16857" s="24"/>
      <c r="H16857" s="24"/>
      <c r="I16857" s="24"/>
      <c r="J16857" s="24"/>
      <c r="K16857" s="24"/>
      <c r="L16857" s="24"/>
      <c r="M16857" s="24"/>
      <c r="N16857" s="24"/>
      <c r="O16857" s="24"/>
      <c r="P16857" s="24"/>
      <c r="Q16857" s="24"/>
      <c r="R16857" s="24"/>
      <c r="S16857" s="24"/>
      <c r="T16857" s="24"/>
      <c r="U16857" s="24"/>
      <c r="V16857" s="24"/>
      <c r="W16857" s="24"/>
      <c r="X16857" s="24"/>
      <c r="Y16857" s="24"/>
      <c r="Z16857" s="24"/>
      <c r="AA16857" s="24"/>
    </row>
    <row r="16858">
      <c r="A16858" s="24"/>
      <c r="B16858" s="25"/>
      <c r="C16858" s="24"/>
      <c r="D16858" s="26"/>
      <c r="E16858" s="24"/>
      <c r="F16858" s="24"/>
      <c r="G16858" s="24"/>
      <c r="H16858" s="24"/>
      <c r="I16858" s="24"/>
      <c r="J16858" s="24"/>
      <c r="K16858" s="24"/>
      <c r="L16858" s="24"/>
      <c r="M16858" s="24"/>
      <c r="N16858" s="24"/>
      <c r="O16858" s="24"/>
      <c r="P16858" s="24"/>
      <c r="Q16858" s="24"/>
      <c r="R16858" s="24"/>
      <c r="S16858" s="24"/>
      <c r="T16858" s="24"/>
      <c r="U16858" s="24"/>
      <c r="V16858" s="24"/>
      <c r="W16858" s="24"/>
      <c r="X16858" s="24"/>
      <c r="Y16858" s="24"/>
      <c r="Z16858" s="24"/>
      <c r="AA16858" s="24"/>
    </row>
    <row r="16859">
      <c r="A16859" s="24"/>
      <c r="B16859" s="25"/>
      <c r="C16859" s="24"/>
      <c r="D16859" s="26"/>
      <c r="E16859" s="24"/>
      <c r="F16859" s="24"/>
      <c r="G16859" s="24"/>
      <c r="H16859" s="24"/>
      <c r="I16859" s="24"/>
      <c r="J16859" s="24"/>
      <c r="K16859" s="24"/>
      <c r="L16859" s="24"/>
      <c r="M16859" s="24"/>
      <c r="N16859" s="24"/>
      <c r="O16859" s="24"/>
      <c r="P16859" s="24"/>
      <c r="Q16859" s="24"/>
      <c r="R16859" s="24"/>
      <c r="S16859" s="24"/>
      <c r="T16859" s="24"/>
      <c r="U16859" s="24"/>
      <c r="V16859" s="24"/>
      <c r="W16859" s="24"/>
      <c r="X16859" s="24"/>
      <c r="Y16859" s="24"/>
      <c r="Z16859" s="24"/>
      <c r="AA16859" s="24"/>
    </row>
    <row r="16860">
      <c r="A16860" s="24"/>
      <c r="B16860" s="25"/>
      <c r="C16860" s="24"/>
      <c r="D16860" s="26"/>
      <c r="E16860" s="24"/>
      <c r="F16860" s="24"/>
      <c r="G16860" s="24"/>
      <c r="H16860" s="24"/>
      <c r="I16860" s="24"/>
      <c r="J16860" s="24"/>
      <c r="K16860" s="24"/>
      <c r="L16860" s="24"/>
      <c r="M16860" s="24"/>
      <c r="N16860" s="24"/>
      <c r="O16860" s="24"/>
      <c r="P16860" s="24"/>
      <c r="Q16860" s="24"/>
      <c r="R16860" s="24"/>
      <c r="S16860" s="24"/>
      <c r="T16860" s="24"/>
      <c r="U16860" s="24"/>
      <c r="V16860" s="24"/>
      <c r="W16860" s="24"/>
      <c r="X16860" s="24"/>
      <c r="Y16860" s="24"/>
      <c r="Z16860" s="24"/>
      <c r="AA16860" s="24"/>
    </row>
    <row r="16861">
      <c r="A16861" s="24"/>
      <c r="B16861" s="25"/>
      <c r="C16861" s="24"/>
      <c r="D16861" s="26"/>
      <c r="E16861" s="24"/>
      <c r="F16861" s="24"/>
      <c r="G16861" s="24"/>
      <c r="H16861" s="24"/>
      <c r="I16861" s="24"/>
      <c r="J16861" s="24"/>
      <c r="K16861" s="24"/>
      <c r="L16861" s="24"/>
      <c r="M16861" s="24"/>
      <c r="N16861" s="24"/>
      <c r="O16861" s="24"/>
      <c r="P16861" s="24"/>
      <c r="Q16861" s="24"/>
      <c r="R16861" s="24"/>
      <c r="S16861" s="24"/>
      <c r="T16861" s="24"/>
      <c r="U16861" s="24"/>
      <c r="V16861" s="24"/>
      <c r="W16861" s="24"/>
      <c r="X16861" s="24"/>
      <c r="Y16861" s="24"/>
      <c r="Z16861" s="24"/>
      <c r="AA16861" s="24"/>
    </row>
    <row r="16862">
      <c r="A16862" s="24"/>
      <c r="B16862" s="25"/>
      <c r="C16862" s="24"/>
      <c r="D16862" s="26"/>
      <c r="E16862" s="24"/>
      <c r="F16862" s="24"/>
      <c r="G16862" s="24"/>
      <c r="H16862" s="24"/>
      <c r="I16862" s="24"/>
      <c r="J16862" s="24"/>
      <c r="K16862" s="24"/>
      <c r="L16862" s="24"/>
      <c r="M16862" s="24"/>
      <c r="N16862" s="24"/>
      <c r="O16862" s="24"/>
      <c r="P16862" s="24"/>
      <c r="Q16862" s="24"/>
      <c r="R16862" s="24"/>
      <c r="S16862" s="24"/>
      <c r="T16862" s="24"/>
      <c r="U16862" s="24"/>
      <c r="V16862" s="24"/>
      <c r="W16862" s="24"/>
      <c r="X16862" s="24"/>
      <c r="Y16862" s="24"/>
      <c r="Z16862" s="24"/>
      <c r="AA16862" s="24"/>
    </row>
    <row r="16863">
      <c r="A16863" s="24"/>
      <c r="B16863" s="25"/>
      <c r="C16863" s="24"/>
      <c r="D16863" s="26"/>
      <c r="E16863" s="24"/>
      <c r="F16863" s="24"/>
      <c r="G16863" s="24"/>
      <c r="H16863" s="24"/>
      <c r="I16863" s="24"/>
      <c r="J16863" s="24"/>
      <c r="K16863" s="24"/>
      <c r="L16863" s="24"/>
      <c r="M16863" s="24"/>
      <c r="N16863" s="24"/>
      <c r="O16863" s="24"/>
      <c r="P16863" s="24"/>
      <c r="Q16863" s="24"/>
      <c r="R16863" s="24"/>
      <c r="S16863" s="24"/>
      <c r="T16863" s="24"/>
      <c r="U16863" s="24"/>
      <c r="V16863" s="24"/>
      <c r="W16863" s="24"/>
      <c r="X16863" s="24"/>
      <c r="Y16863" s="24"/>
      <c r="Z16863" s="24"/>
      <c r="AA16863" s="24"/>
    </row>
    <row r="16864">
      <c r="A16864" s="24"/>
      <c r="B16864" s="25"/>
      <c r="C16864" s="24"/>
      <c r="D16864" s="26"/>
      <c r="E16864" s="24"/>
      <c r="F16864" s="24"/>
      <c r="G16864" s="24"/>
      <c r="H16864" s="24"/>
      <c r="I16864" s="24"/>
      <c r="J16864" s="24"/>
      <c r="K16864" s="24"/>
      <c r="L16864" s="24"/>
      <c r="M16864" s="24"/>
      <c r="N16864" s="24"/>
      <c r="O16864" s="24"/>
      <c r="P16864" s="24"/>
      <c r="Q16864" s="24"/>
      <c r="R16864" s="24"/>
      <c r="S16864" s="24"/>
      <c r="T16864" s="24"/>
      <c r="U16864" s="24"/>
      <c r="V16864" s="24"/>
      <c r="W16864" s="24"/>
      <c r="X16864" s="24"/>
      <c r="Y16864" s="24"/>
      <c r="Z16864" s="24"/>
      <c r="AA16864" s="24"/>
    </row>
    <row r="16865">
      <c r="A16865" s="24"/>
      <c r="B16865" s="25"/>
      <c r="C16865" s="24"/>
      <c r="D16865" s="26"/>
      <c r="E16865" s="24"/>
      <c r="F16865" s="24"/>
      <c r="G16865" s="24"/>
      <c r="H16865" s="24"/>
      <c r="I16865" s="24"/>
      <c r="J16865" s="24"/>
      <c r="K16865" s="24"/>
      <c r="L16865" s="24"/>
      <c r="M16865" s="24"/>
      <c r="N16865" s="24"/>
      <c r="O16865" s="24"/>
      <c r="P16865" s="24"/>
      <c r="Q16865" s="24"/>
      <c r="R16865" s="24"/>
      <c r="S16865" s="24"/>
      <c r="T16865" s="24"/>
      <c r="U16865" s="24"/>
      <c r="V16865" s="24"/>
      <c r="W16865" s="24"/>
      <c r="X16865" s="24"/>
      <c r="Y16865" s="24"/>
      <c r="Z16865" s="24"/>
      <c r="AA16865" s="24"/>
    </row>
    <row r="16866">
      <c r="A16866" s="24"/>
      <c r="B16866" s="25"/>
      <c r="C16866" s="24"/>
      <c r="D16866" s="26"/>
      <c r="E16866" s="24"/>
      <c r="F16866" s="24"/>
      <c r="G16866" s="24"/>
      <c r="H16866" s="24"/>
      <c r="I16866" s="24"/>
      <c r="J16866" s="24"/>
      <c r="K16866" s="24"/>
      <c r="L16866" s="24"/>
      <c r="M16866" s="24"/>
      <c r="N16866" s="24"/>
      <c r="O16866" s="24"/>
      <c r="P16866" s="24"/>
      <c r="Q16866" s="24"/>
      <c r="R16866" s="24"/>
      <c r="S16866" s="24"/>
      <c r="T16866" s="24"/>
      <c r="U16866" s="24"/>
      <c r="V16866" s="24"/>
      <c r="W16866" s="24"/>
      <c r="X16866" s="24"/>
      <c r="Y16866" s="24"/>
      <c r="Z16866" s="24"/>
      <c r="AA16866" s="24"/>
    </row>
    <row r="16867">
      <c r="A16867" s="24"/>
      <c r="B16867" s="25"/>
      <c r="C16867" s="24"/>
      <c r="D16867" s="26"/>
      <c r="E16867" s="24"/>
      <c r="F16867" s="24"/>
      <c r="G16867" s="24"/>
      <c r="H16867" s="24"/>
      <c r="I16867" s="24"/>
      <c r="J16867" s="24"/>
      <c r="K16867" s="24"/>
      <c r="L16867" s="24"/>
      <c r="M16867" s="24"/>
      <c r="N16867" s="24"/>
      <c r="O16867" s="24"/>
      <c r="P16867" s="24"/>
      <c r="Q16867" s="24"/>
      <c r="R16867" s="24"/>
      <c r="S16867" s="24"/>
      <c r="T16867" s="24"/>
      <c r="U16867" s="24"/>
      <c r="V16867" s="24"/>
      <c r="W16867" s="24"/>
      <c r="X16867" s="24"/>
      <c r="Y16867" s="24"/>
      <c r="Z16867" s="24"/>
      <c r="AA16867" s="24"/>
    </row>
    <row r="16868">
      <c r="A16868" s="24"/>
      <c r="B16868" s="25"/>
      <c r="C16868" s="24"/>
      <c r="D16868" s="26"/>
      <c r="E16868" s="24"/>
      <c r="F16868" s="24"/>
      <c r="G16868" s="24"/>
      <c r="H16868" s="24"/>
      <c r="I16868" s="24"/>
      <c r="J16868" s="24"/>
      <c r="K16868" s="24"/>
      <c r="L16868" s="24"/>
      <c r="M16868" s="24"/>
      <c r="N16868" s="24"/>
      <c r="O16868" s="24"/>
      <c r="P16868" s="24"/>
      <c r="Q16868" s="24"/>
      <c r="R16868" s="24"/>
      <c r="S16868" s="24"/>
      <c r="T16868" s="24"/>
      <c r="U16868" s="24"/>
      <c r="V16868" s="24"/>
      <c r="W16868" s="24"/>
      <c r="X16868" s="24"/>
      <c r="Y16868" s="24"/>
      <c r="Z16868" s="24"/>
      <c r="AA16868" s="24"/>
    </row>
    <row r="16869">
      <c r="A16869" s="24"/>
      <c r="B16869" s="25"/>
      <c r="C16869" s="24"/>
      <c r="D16869" s="26"/>
      <c r="E16869" s="24"/>
      <c r="F16869" s="24"/>
      <c r="G16869" s="24"/>
      <c r="H16869" s="24"/>
      <c r="I16869" s="24"/>
      <c r="J16869" s="24"/>
      <c r="K16869" s="24"/>
      <c r="L16869" s="24"/>
      <c r="M16869" s="24"/>
      <c r="N16869" s="24"/>
      <c r="O16869" s="24"/>
      <c r="P16869" s="24"/>
      <c r="Q16869" s="24"/>
      <c r="R16869" s="24"/>
      <c r="S16869" s="24"/>
      <c r="T16869" s="24"/>
      <c r="U16869" s="24"/>
      <c r="V16869" s="24"/>
      <c r="W16869" s="24"/>
      <c r="X16869" s="24"/>
      <c r="Y16869" s="24"/>
      <c r="Z16869" s="24"/>
      <c r="AA16869" s="24"/>
    </row>
    <row r="16870">
      <c r="A16870" s="24"/>
      <c r="B16870" s="25"/>
      <c r="C16870" s="24"/>
      <c r="D16870" s="26"/>
      <c r="E16870" s="24"/>
      <c r="F16870" s="24"/>
      <c r="G16870" s="24"/>
      <c r="H16870" s="24"/>
      <c r="I16870" s="24"/>
      <c r="J16870" s="24"/>
      <c r="K16870" s="24"/>
      <c r="L16870" s="24"/>
      <c r="M16870" s="24"/>
      <c r="N16870" s="24"/>
      <c r="O16870" s="24"/>
      <c r="P16870" s="24"/>
      <c r="Q16870" s="24"/>
      <c r="R16870" s="24"/>
      <c r="S16870" s="24"/>
      <c r="T16870" s="24"/>
      <c r="U16870" s="24"/>
      <c r="V16870" s="24"/>
      <c r="W16870" s="24"/>
      <c r="X16870" s="24"/>
      <c r="Y16870" s="24"/>
      <c r="Z16870" s="24"/>
      <c r="AA16870" s="24"/>
    </row>
    <row r="16871">
      <c r="A16871" s="24"/>
      <c r="B16871" s="25"/>
      <c r="C16871" s="24"/>
      <c r="D16871" s="26"/>
      <c r="E16871" s="24"/>
      <c r="F16871" s="24"/>
      <c r="G16871" s="24"/>
      <c r="H16871" s="24"/>
      <c r="I16871" s="24"/>
      <c r="J16871" s="24"/>
      <c r="K16871" s="24"/>
      <c r="L16871" s="24"/>
      <c r="M16871" s="24"/>
      <c r="N16871" s="24"/>
      <c r="O16871" s="24"/>
      <c r="P16871" s="24"/>
      <c r="Q16871" s="24"/>
      <c r="R16871" s="24"/>
      <c r="S16871" s="24"/>
      <c r="T16871" s="24"/>
      <c r="U16871" s="24"/>
      <c r="V16871" s="24"/>
      <c r="W16871" s="24"/>
      <c r="X16871" s="24"/>
      <c r="Y16871" s="24"/>
      <c r="Z16871" s="24"/>
      <c r="AA16871" s="24"/>
    </row>
    <row r="16872">
      <c r="A16872" s="24"/>
      <c r="B16872" s="25"/>
      <c r="C16872" s="24"/>
      <c r="D16872" s="26"/>
      <c r="E16872" s="24"/>
      <c r="F16872" s="24"/>
      <c r="G16872" s="24"/>
      <c r="H16872" s="24"/>
      <c r="I16872" s="24"/>
      <c r="J16872" s="24"/>
      <c r="K16872" s="24"/>
      <c r="L16872" s="24"/>
      <c r="M16872" s="24"/>
      <c r="N16872" s="24"/>
      <c r="O16872" s="24"/>
      <c r="P16872" s="24"/>
      <c r="Q16872" s="24"/>
      <c r="R16872" s="24"/>
      <c r="S16872" s="24"/>
      <c r="T16872" s="24"/>
      <c r="U16872" s="24"/>
      <c r="V16872" s="24"/>
      <c r="W16872" s="24"/>
      <c r="X16872" s="24"/>
      <c r="Y16872" s="24"/>
      <c r="Z16872" s="24"/>
      <c r="AA16872" s="24"/>
    </row>
    <row r="16873">
      <c r="A16873" s="24"/>
      <c r="B16873" s="25"/>
      <c r="C16873" s="24"/>
      <c r="D16873" s="26"/>
      <c r="E16873" s="24"/>
      <c r="F16873" s="24"/>
      <c r="G16873" s="24"/>
      <c r="H16873" s="24"/>
      <c r="I16873" s="24"/>
      <c r="J16873" s="24"/>
      <c r="K16873" s="24"/>
      <c r="L16873" s="24"/>
      <c r="M16873" s="24"/>
      <c r="N16873" s="24"/>
      <c r="O16873" s="24"/>
      <c r="P16873" s="24"/>
      <c r="Q16873" s="24"/>
      <c r="R16873" s="24"/>
      <c r="S16873" s="24"/>
      <c r="T16873" s="24"/>
      <c r="U16873" s="24"/>
      <c r="V16873" s="24"/>
      <c r="W16873" s="24"/>
      <c r="X16873" s="24"/>
      <c r="Y16873" s="24"/>
      <c r="Z16873" s="24"/>
      <c r="AA16873" s="24"/>
    </row>
    <row r="16874">
      <c r="A16874" s="24"/>
      <c r="B16874" s="25"/>
      <c r="C16874" s="24"/>
      <c r="D16874" s="26"/>
      <c r="E16874" s="24"/>
      <c r="F16874" s="24"/>
      <c r="G16874" s="24"/>
      <c r="H16874" s="24"/>
      <c r="I16874" s="24"/>
      <c r="J16874" s="24"/>
      <c r="K16874" s="24"/>
      <c r="L16874" s="24"/>
      <c r="M16874" s="24"/>
      <c r="N16874" s="24"/>
      <c r="O16874" s="24"/>
      <c r="P16874" s="24"/>
      <c r="Q16874" s="24"/>
      <c r="R16874" s="24"/>
      <c r="S16874" s="24"/>
      <c r="T16874" s="24"/>
      <c r="U16874" s="24"/>
      <c r="V16874" s="24"/>
      <c r="W16874" s="24"/>
      <c r="X16874" s="24"/>
      <c r="Y16874" s="24"/>
      <c r="Z16874" s="24"/>
      <c r="AA16874" s="24"/>
    </row>
    <row r="16875">
      <c r="A16875" s="24"/>
      <c r="B16875" s="25"/>
      <c r="C16875" s="24"/>
      <c r="D16875" s="26"/>
      <c r="E16875" s="24"/>
      <c r="F16875" s="24"/>
      <c r="G16875" s="24"/>
      <c r="H16875" s="24"/>
      <c r="I16875" s="24"/>
      <c r="J16875" s="24"/>
      <c r="K16875" s="24"/>
      <c r="L16875" s="24"/>
      <c r="M16875" s="24"/>
      <c r="N16875" s="24"/>
      <c r="O16875" s="24"/>
      <c r="P16875" s="24"/>
      <c r="Q16875" s="24"/>
      <c r="R16875" s="24"/>
      <c r="S16875" s="24"/>
      <c r="T16875" s="24"/>
      <c r="U16875" s="24"/>
      <c r="V16875" s="24"/>
      <c r="W16875" s="24"/>
      <c r="X16875" s="24"/>
      <c r="Y16875" s="24"/>
      <c r="Z16875" s="24"/>
      <c r="AA16875" s="24"/>
    </row>
    <row r="16876">
      <c r="A16876" s="24"/>
      <c r="B16876" s="25"/>
      <c r="C16876" s="24"/>
      <c r="D16876" s="26"/>
      <c r="E16876" s="24"/>
      <c r="F16876" s="24"/>
      <c r="G16876" s="24"/>
      <c r="H16876" s="24"/>
      <c r="I16876" s="24"/>
      <c r="J16876" s="24"/>
      <c r="K16876" s="24"/>
      <c r="L16876" s="24"/>
      <c r="M16876" s="24"/>
      <c r="N16876" s="24"/>
      <c r="O16876" s="24"/>
      <c r="P16876" s="24"/>
      <c r="Q16876" s="24"/>
      <c r="R16876" s="24"/>
      <c r="S16876" s="24"/>
      <c r="T16876" s="24"/>
      <c r="U16876" s="24"/>
      <c r="V16876" s="24"/>
      <c r="W16876" s="24"/>
      <c r="X16876" s="24"/>
      <c r="Y16876" s="24"/>
      <c r="Z16876" s="24"/>
      <c r="AA16876" s="24"/>
    </row>
    <row r="16877">
      <c r="A16877" s="24"/>
      <c r="B16877" s="25"/>
      <c r="C16877" s="24"/>
      <c r="D16877" s="26"/>
      <c r="E16877" s="24"/>
      <c r="F16877" s="24"/>
      <c r="G16877" s="24"/>
      <c r="H16877" s="24"/>
      <c r="I16877" s="24"/>
      <c r="J16877" s="24"/>
      <c r="K16877" s="24"/>
      <c r="L16877" s="24"/>
      <c r="M16877" s="24"/>
      <c r="N16877" s="24"/>
      <c r="O16877" s="24"/>
      <c r="P16877" s="24"/>
      <c r="Q16877" s="24"/>
      <c r="R16877" s="24"/>
      <c r="S16877" s="24"/>
      <c r="T16877" s="24"/>
      <c r="U16877" s="24"/>
      <c r="V16877" s="24"/>
      <c r="W16877" s="24"/>
      <c r="X16877" s="24"/>
      <c r="Y16877" s="24"/>
      <c r="Z16877" s="24"/>
      <c r="AA16877" s="24"/>
    </row>
    <row r="16878">
      <c r="A16878" s="24"/>
      <c r="B16878" s="25"/>
      <c r="C16878" s="24"/>
      <c r="D16878" s="26"/>
      <c r="E16878" s="24"/>
      <c r="F16878" s="24"/>
      <c r="G16878" s="24"/>
      <c r="H16878" s="24"/>
      <c r="I16878" s="24"/>
      <c r="J16878" s="24"/>
      <c r="K16878" s="24"/>
      <c r="L16878" s="24"/>
      <c r="M16878" s="24"/>
      <c r="N16878" s="24"/>
      <c r="O16878" s="24"/>
      <c r="P16878" s="24"/>
      <c r="Q16878" s="24"/>
      <c r="R16878" s="24"/>
      <c r="S16878" s="24"/>
      <c r="T16878" s="24"/>
      <c r="U16878" s="24"/>
      <c r="V16878" s="24"/>
      <c r="W16878" s="24"/>
      <c r="X16878" s="24"/>
      <c r="Y16878" s="24"/>
      <c r="Z16878" s="24"/>
      <c r="AA16878" s="24"/>
    </row>
    <row r="16879">
      <c r="A16879" s="24"/>
      <c r="B16879" s="25"/>
      <c r="C16879" s="24"/>
      <c r="D16879" s="26"/>
      <c r="E16879" s="24"/>
      <c r="F16879" s="24"/>
      <c r="G16879" s="24"/>
      <c r="H16879" s="24"/>
      <c r="I16879" s="24"/>
      <c r="J16879" s="24"/>
      <c r="K16879" s="24"/>
      <c r="L16879" s="24"/>
      <c r="M16879" s="24"/>
      <c r="N16879" s="24"/>
      <c r="O16879" s="24"/>
      <c r="P16879" s="24"/>
      <c r="Q16879" s="24"/>
      <c r="R16879" s="24"/>
      <c r="S16879" s="24"/>
      <c r="T16879" s="24"/>
      <c r="U16879" s="24"/>
      <c r="V16879" s="24"/>
      <c r="W16879" s="24"/>
      <c r="X16879" s="24"/>
      <c r="Y16879" s="24"/>
      <c r="Z16879" s="24"/>
      <c r="AA16879" s="24"/>
    </row>
    <row r="16880">
      <c r="A16880" s="24"/>
      <c r="B16880" s="25"/>
      <c r="C16880" s="24"/>
      <c r="D16880" s="26"/>
      <c r="E16880" s="24"/>
      <c r="F16880" s="24"/>
      <c r="G16880" s="24"/>
      <c r="H16880" s="24"/>
      <c r="I16880" s="24"/>
      <c r="J16880" s="24"/>
      <c r="K16880" s="24"/>
      <c r="L16880" s="24"/>
      <c r="M16880" s="24"/>
      <c r="N16880" s="24"/>
      <c r="O16880" s="24"/>
      <c r="P16880" s="24"/>
      <c r="Q16880" s="24"/>
      <c r="R16880" s="24"/>
      <c r="S16880" s="24"/>
      <c r="T16880" s="24"/>
      <c r="U16880" s="24"/>
      <c r="V16880" s="24"/>
      <c r="W16880" s="24"/>
      <c r="X16880" s="24"/>
      <c r="Y16880" s="24"/>
      <c r="Z16880" s="24"/>
      <c r="AA16880" s="24"/>
    </row>
    <row r="16881">
      <c r="A16881" s="24"/>
      <c r="B16881" s="25"/>
      <c r="C16881" s="24"/>
      <c r="D16881" s="26"/>
      <c r="E16881" s="24"/>
      <c r="F16881" s="24"/>
      <c r="G16881" s="24"/>
      <c r="H16881" s="24"/>
      <c r="I16881" s="24"/>
      <c r="J16881" s="24"/>
      <c r="K16881" s="24"/>
      <c r="L16881" s="24"/>
      <c r="M16881" s="24"/>
      <c r="N16881" s="24"/>
      <c r="O16881" s="24"/>
      <c r="P16881" s="24"/>
      <c r="Q16881" s="24"/>
      <c r="R16881" s="24"/>
      <c r="S16881" s="24"/>
      <c r="T16881" s="24"/>
      <c r="U16881" s="24"/>
      <c r="V16881" s="24"/>
      <c r="W16881" s="24"/>
      <c r="X16881" s="24"/>
      <c r="Y16881" s="24"/>
      <c r="Z16881" s="24"/>
      <c r="AA16881" s="24"/>
    </row>
    <row r="16882">
      <c r="A16882" s="24"/>
      <c r="B16882" s="25"/>
      <c r="C16882" s="24"/>
      <c r="D16882" s="26"/>
      <c r="E16882" s="24"/>
      <c r="F16882" s="24"/>
      <c r="G16882" s="24"/>
      <c r="H16882" s="24"/>
      <c r="I16882" s="24"/>
      <c r="J16882" s="24"/>
      <c r="K16882" s="24"/>
      <c r="L16882" s="24"/>
      <c r="M16882" s="24"/>
      <c r="N16882" s="24"/>
      <c r="O16882" s="24"/>
      <c r="P16882" s="24"/>
      <c r="Q16882" s="24"/>
      <c r="R16882" s="24"/>
      <c r="S16882" s="24"/>
      <c r="T16882" s="24"/>
      <c r="U16882" s="24"/>
      <c r="V16882" s="24"/>
      <c r="W16882" s="24"/>
      <c r="X16882" s="24"/>
      <c r="Y16882" s="24"/>
      <c r="Z16882" s="24"/>
      <c r="AA16882" s="24"/>
    </row>
    <row r="16883">
      <c r="A16883" s="24"/>
      <c r="B16883" s="25"/>
      <c r="C16883" s="24"/>
      <c r="D16883" s="26"/>
      <c r="E16883" s="24"/>
      <c r="F16883" s="24"/>
      <c r="G16883" s="24"/>
      <c r="H16883" s="24"/>
      <c r="I16883" s="24"/>
      <c r="J16883" s="24"/>
      <c r="K16883" s="24"/>
      <c r="L16883" s="24"/>
      <c r="M16883" s="24"/>
      <c r="N16883" s="24"/>
      <c r="O16883" s="24"/>
      <c r="P16883" s="24"/>
      <c r="Q16883" s="24"/>
      <c r="R16883" s="24"/>
      <c r="S16883" s="24"/>
      <c r="T16883" s="24"/>
      <c r="U16883" s="24"/>
      <c r="V16883" s="24"/>
      <c r="W16883" s="24"/>
      <c r="X16883" s="24"/>
      <c r="Y16883" s="24"/>
      <c r="Z16883" s="24"/>
      <c r="AA16883" s="24"/>
    </row>
    <row r="16884">
      <c r="A16884" s="24"/>
      <c r="B16884" s="25"/>
      <c r="C16884" s="24"/>
      <c r="D16884" s="26"/>
      <c r="E16884" s="24"/>
      <c r="F16884" s="24"/>
      <c r="G16884" s="24"/>
      <c r="H16884" s="24"/>
      <c r="I16884" s="24"/>
      <c r="J16884" s="24"/>
      <c r="K16884" s="24"/>
      <c r="L16884" s="24"/>
      <c r="M16884" s="24"/>
      <c r="N16884" s="24"/>
      <c r="O16884" s="24"/>
      <c r="P16884" s="24"/>
      <c r="Q16884" s="24"/>
      <c r="R16884" s="24"/>
      <c r="S16884" s="24"/>
      <c r="T16884" s="24"/>
      <c r="U16884" s="24"/>
      <c r="V16884" s="24"/>
      <c r="W16884" s="24"/>
      <c r="X16884" s="24"/>
      <c r="Y16884" s="24"/>
      <c r="Z16884" s="24"/>
      <c r="AA16884" s="24"/>
    </row>
    <row r="16885">
      <c r="A16885" s="24"/>
      <c r="B16885" s="25"/>
      <c r="C16885" s="24"/>
      <c r="D16885" s="26"/>
      <c r="E16885" s="24"/>
      <c r="F16885" s="24"/>
      <c r="G16885" s="24"/>
      <c r="H16885" s="24"/>
      <c r="I16885" s="24"/>
      <c r="J16885" s="24"/>
      <c r="K16885" s="24"/>
      <c r="L16885" s="24"/>
      <c r="M16885" s="24"/>
      <c r="N16885" s="24"/>
      <c r="O16885" s="24"/>
      <c r="P16885" s="24"/>
      <c r="Q16885" s="24"/>
      <c r="R16885" s="24"/>
      <c r="S16885" s="24"/>
      <c r="T16885" s="24"/>
      <c r="U16885" s="24"/>
      <c r="V16885" s="24"/>
      <c r="W16885" s="24"/>
      <c r="X16885" s="24"/>
      <c r="Y16885" s="24"/>
      <c r="Z16885" s="24"/>
      <c r="AA16885" s="24"/>
    </row>
    <row r="16886">
      <c r="A16886" s="24"/>
      <c r="B16886" s="25"/>
      <c r="C16886" s="24"/>
      <c r="D16886" s="26"/>
      <c r="E16886" s="24"/>
      <c r="F16886" s="24"/>
      <c r="G16886" s="24"/>
      <c r="H16886" s="24"/>
      <c r="I16886" s="24"/>
      <c r="J16886" s="24"/>
      <c r="K16886" s="24"/>
      <c r="L16886" s="24"/>
      <c r="M16886" s="24"/>
      <c r="N16886" s="24"/>
      <c r="O16886" s="24"/>
      <c r="P16886" s="24"/>
      <c r="Q16886" s="24"/>
      <c r="R16886" s="24"/>
      <c r="S16886" s="24"/>
      <c r="T16886" s="24"/>
      <c r="U16886" s="24"/>
      <c r="V16886" s="24"/>
      <c r="W16886" s="24"/>
      <c r="X16886" s="24"/>
      <c r="Y16886" s="24"/>
      <c r="Z16886" s="24"/>
      <c r="AA16886" s="24"/>
    </row>
    <row r="16887">
      <c r="A16887" s="24"/>
      <c r="B16887" s="25"/>
      <c r="C16887" s="24"/>
      <c r="D16887" s="26"/>
      <c r="E16887" s="24"/>
      <c r="F16887" s="24"/>
      <c r="G16887" s="24"/>
      <c r="H16887" s="24"/>
      <c r="I16887" s="24"/>
      <c r="J16887" s="24"/>
      <c r="K16887" s="24"/>
      <c r="L16887" s="24"/>
      <c r="M16887" s="24"/>
      <c r="N16887" s="24"/>
      <c r="O16887" s="24"/>
      <c r="P16887" s="24"/>
      <c r="Q16887" s="24"/>
      <c r="R16887" s="24"/>
      <c r="S16887" s="24"/>
      <c r="T16887" s="24"/>
      <c r="U16887" s="24"/>
      <c r="V16887" s="24"/>
      <c r="W16887" s="24"/>
      <c r="X16887" s="24"/>
      <c r="Y16887" s="24"/>
      <c r="Z16887" s="24"/>
      <c r="AA16887" s="24"/>
    </row>
    <row r="16888">
      <c r="A16888" s="24"/>
      <c r="B16888" s="25"/>
      <c r="C16888" s="24"/>
      <c r="D16888" s="26"/>
      <c r="E16888" s="24"/>
      <c r="F16888" s="24"/>
      <c r="G16888" s="24"/>
      <c r="H16888" s="24"/>
      <c r="I16888" s="24"/>
      <c r="J16888" s="24"/>
      <c r="K16888" s="24"/>
      <c r="L16888" s="24"/>
      <c r="M16888" s="24"/>
      <c r="N16888" s="24"/>
      <c r="O16888" s="24"/>
      <c r="P16888" s="24"/>
      <c r="Q16888" s="24"/>
      <c r="R16888" s="24"/>
      <c r="S16888" s="24"/>
      <c r="T16888" s="24"/>
      <c r="U16888" s="24"/>
      <c r="V16888" s="24"/>
      <c r="W16888" s="24"/>
      <c r="X16888" s="24"/>
      <c r="Y16888" s="24"/>
      <c r="Z16888" s="24"/>
      <c r="AA16888" s="24"/>
    </row>
    <row r="16889">
      <c r="A16889" s="24"/>
      <c r="B16889" s="25"/>
      <c r="C16889" s="24"/>
      <c r="D16889" s="26"/>
      <c r="E16889" s="24"/>
      <c r="F16889" s="24"/>
      <c r="G16889" s="24"/>
      <c r="H16889" s="24"/>
      <c r="I16889" s="24"/>
      <c r="J16889" s="24"/>
      <c r="K16889" s="24"/>
      <c r="L16889" s="24"/>
      <c r="M16889" s="24"/>
      <c r="N16889" s="24"/>
      <c r="O16889" s="24"/>
      <c r="P16889" s="24"/>
      <c r="Q16889" s="24"/>
      <c r="R16889" s="24"/>
      <c r="S16889" s="24"/>
      <c r="T16889" s="24"/>
      <c r="U16889" s="24"/>
      <c r="V16889" s="24"/>
      <c r="W16889" s="24"/>
      <c r="X16889" s="24"/>
      <c r="Y16889" s="24"/>
      <c r="Z16889" s="24"/>
      <c r="AA16889" s="24"/>
    </row>
    <row r="16890">
      <c r="A16890" s="24"/>
      <c r="B16890" s="25"/>
      <c r="C16890" s="24"/>
      <c r="D16890" s="26"/>
      <c r="E16890" s="24"/>
      <c r="F16890" s="24"/>
      <c r="G16890" s="24"/>
      <c r="H16890" s="24"/>
      <c r="I16890" s="24"/>
      <c r="J16890" s="24"/>
      <c r="K16890" s="24"/>
      <c r="L16890" s="24"/>
      <c r="M16890" s="24"/>
      <c r="N16890" s="24"/>
      <c r="O16890" s="24"/>
      <c r="P16890" s="24"/>
      <c r="Q16890" s="24"/>
      <c r="R16890" s="24"/>
      <c r="S16890" s="24"/>
      <c r="T16890" s="24"/>
      <c r="U16890" s="24"/>
      <c r="V16890" s="24"/>
      <c r="W16890" s="24"/>
      <c r="X16890" s="24"/>
      <c r="Y16890" s="24"/>
      <c r="Z16890" s="24"/>
      <c r="AA16890" s="24"/>
    </row>
    <row r="16891">
      <c r="A16891" s="24"/>
      <c r="B16891" s="25"/>
      <c r="C16891" s="24"/>
      <c r="D16891" s="26"/>
      <c r="E16891" s="24"/>
      <c r="F16891" s="24"/>
      <c r="G16891" s="24"/>
      <c r="H16891" s="24"/>
      <c r="I16891" s="24"/>
      <c r="J16891" s="24"/>
      <c r="K16891" s="24"/>
      <c r="L16891" s="24"/>
      <c r="M16891" s="24"/>
      <c r="N16891" s="24"/>
      <c r="O16891" s="24"/>
      <c r="P16891" s="24"/>
      <c r="Q16891" s="24"/>
      <c r="R16891" s="24"/>
      <c r="S16891" s="24"/>
      <c r="T16891" s="24"/>
      <c r="U16891" s="24"/>
      <c r="V16891" s="24"/>
      <c r="W16891" s="24"/>
      <c r="X16891" s="24"/>
      <c r="Y16891" s="24"/>
      <c r="Z16891" s="24"/>
      <c r="AA16891" s="24"/>
    </row>
    <row r="16892">
      <c r="A16892" s="24"/>
      <c r="B16892" s="25"/>
      <c r="C16892" s="24"/>
      <c r="D16892" s="26"/>
      <c r="E16892" s="24"/>
      <c r="F16892" s="24"/>
      <c r="G16892" s="24"/>
      <c r="H16892" s="24"/>
      <c r="I16892" s="24"/>
      <c r="J16892" s="24"/>
      <c r="K16892" s="24"/>
      <c r="L16892" s="24"/>
      <c r="M16892" s="24"/>
      <c r="N16892" s="24"/>
      <c r="O16892" s="24"/>
      <c r="P16892" s="24"/>
      <c r="Q16892" s="24"/>
      <c r="R16892" s="24"/>
      <c r="S16892" s="24"/>
      <c r="T16892" s="24"/>
      <c r="U16892" s="24"/>
      <c r="V16892" s="24"/>
      <c r="W16892" s="24"/>
      <c r="X16892" s="24"/>
      <c r="Y16892" s="24"/>
      <c r="Z16892" s="24"/>
      <c r="AA16892" s="24"/>
    </row>
    <row r="16893">
      <c r="A16893" s="24"/>
      <c r="B16893" s="25"/>
      <c r="C16893" s="24"/>
      <c r="D16893" s="26"/>
      <c r="E16893" s="24"/>
      <c r="F16893" s="24"/>
      <c r="G16893" s="24"/>
      <c r="H16893" s="24"/>
      <c r="I16893" s="24"/>
      <c r="J16893" s="24"/>
      <c r="K16893" s="24"/>
      <c r="L16893" s="24"/>
      <c r="M16893" s="24"/>
      <c r="N16893" s="24"/>
      <c r="O16893" s="24"/>
      <c r="P16893" s="24"/>
      <c r="Q16893" s="24"/>
      <c r="R16893" s="24"/>
      <c r="S16893" s="24"/>
      <c r="T16893" s="24"/>
      <c r="U16893" s="24"/>
      <c r="V16893" s="24"/>
      <c r="W16893" s="24"/>
      <c r="X16893" s="24"/>
      <c r="Y16893" s="24"/>
      <c r="Z16893" s="24"/>
      <c r="AA16893" s="24"/>
    </row>
    <row r="16894">
      <c r="A16894" s="24"/>
      <c r="B16894" s="25"/>
      <c r="C16894" s="24"/>
      <c r="D16894" s="26"/>
      <c r="E16894" s="24"/>
      <c r="F16894" s="24"/>
      <c r="G16894" s="24"/>
      <c r="H16894" s="24"/>
      <c r="I16894" s="24"/>
      <c r="J16894" s="24"/>
      <c r="K16894" s="24"/>
      <c r="L16894" s="24"/>
      <c r="M16894" s="24"/>
      <c r="N16894" s="24"/>
      <c r="O16894" s="24"/>
      <c r="P16894" s="24"/>
      <c r="Q16894" s="24"/>
      <c r="R16894" s="24"/>
      <c r="S16894" s="24"/>
      <c r="T16894" s="24"/>
      <c r="U16894" s="24"/>
      <c r="V16894" s="24"/>
      <c r="W16894" s="24"/>
      <c r="X16894" s="24"/>
      <c r="Y16894" s="24"/>
      <c r="Z16894" s="24"/>
      <c r="AA16894" s="24"/>
    </row>
    <row r="16895">
      <c r="A16895" s="24"/>
      <c r="B16895" s="25"/>
      <c r="C16895" s="24"/>
      <c r="D16895" s="26"/>
      <c r="E16895" s="24"/>
      <c r="F16895" s="24"/>
      <c r="G16895" s="24"/>
      <c r="H16895" s="24"/>
      <c r="I16895" s="24"/>
      <c r="J16895" s="24"/>
      <c r="K16895" s="24"/>
      <c r="L16895" s="24"/>
      <c r="M16895" s="24"/>
      <c r="N16895" s="24"/>
      <c r="O16895" s="24"/>
      <c r="P16895" s="24"/>
      <c r="Q16895" s="24"/>
      <c r="R16895" s="24"/>
      <c r="S16895" s="24"/>
      <c r="T16895" s="24"/>
      <c r="U16895" s="24"/>
      <c r="V16895" s="24"/>
      <c r="W16895" s="24"/>
      <c r="X16895" s="24"/>
      <c r="Y16895" s="24"/>
      <c r="Z16895" s="24"/>
      <c r="AA16895" s="24"/>
    </row>
    <row r="16896">
      <c r="A16896" s="24"/>
      <c r="B16896" s="25"/>
      <c r="C16896" s="24"/>
      <c r="D16896" s="26"/>
      <c r="E16896" s="24"/>
      <c r="F16896" s="24"/>
      <c r="G16896" s="24"/>
      <c r="H16896" s="24"/>
      <c r="I16896" s="24"/>
      <c r="J16896" s="24"/>
      <c r="K16896" s="24"/>
      <c r="L16896" s="24"/>
      <c r="M16896" s="24"/>
      <c r="N16896" s="24"/>
      <c r="O16896" s="24"/>
      <c r="P16896" s="24"/>
      <c r="Q16896" s="24"/>
      <c r="R16896" s="24"/>
      <c r="S16896" s="24"/>
      <c r="T16896" s="24"/>
      <c r="U16896" s="24"/>
      <c r="V16896" s="24"/>
      <c r="W16896" s="24"/>
      <c r="X16896" s="24"/>
      <c r="Y16896" s="24"/>
      <c r="Z16896" s="24"/>
      <c r="AA16896" s="24"/>
    </row>
    <row r="16897">
      <c r="A16897" s="24"/>
      <c r="B16897" s="25"/>
      <c r="C16897" s="24"/>
      <c r="D16897" s="26"/>
      <c r="E16897" s="24"/>
      <c r="F16897" s="24"/>
      <c r="G16897" s="24"/>
      <c r="H16897" s="24"/>
      <c r="I16897" s="24"/>
      <c r="J16897" s="24"/>
      <c r="K16897" s="24"/>
      <c r="L16897" s="24"/>
      <c r="M16897" s="24"/>
      <c r="N16897" s="24"/>
      <c r="O16897" s="24"/>
      <c r="P16897" s="24"/>
      <c r="Q16897" s="24"/>
      <c r="R16897" s="24"/>
      <c r="S16897" s="24"/>
      <c r="T16897" s="24"/>
      <c r="U16897" s="24"/>
      <c r="V16897" s="24"/>
      <c r="W16897" s="24"/>
      <c r="X16897" s="24"/>
      <c r="Y16897" s="24"/>
      <c r="Z16897" s="24"/>
      <c r="AA16897" s="24"/>
    </row>
    <row r="16898">
      <c r="A16898" s="24"/>
      <c r="B16898" s="25"/>
      <c r="C16898" s="24"/>
      <c r="D16898" s="26"/>
      <c r="E16898" s="24"/>
      <c r="F16898" s="24"/>
      <c r="G16898" s="24"/>
      <c r="H16898" s="24"/>
      <c r="I16898" s="24"/>
      <c r="J16898" s="24"/>
      <c r="K16898" s="24"/>
      <c r="L16898" s="24"/>
      <c r="M16898" s="24"/>
      <c r="N16898" s="24"/>
      <c r="O16898" s="24"/>
      <c r="P16898" s="24"/>
      <c r="Q16898" s="24"/>
      <c r="R16898" s="24"/>
      <c r="S16898" s="24"/>
      <c r="T16898" s="24"/>
      <c r="U16898" s="24"/>
      <c r="V16898" s="24"/>
      <c r="W16898" s="24"/>
      <c r="X16898" s="24"/>
      <c r="Y16898" s="24"/>
      <c r="Z16898" s="24"/>
      <c r="AA16898" s="24"/>
    </row>
    <row r="16899">
      <c r="A16899" s="24"/>
      <c r="B16899" s="25"/>
      <c r="C16899" s="24"/>
      <c r="D16899" s="26"/>
      <c r="E16899" s="24"/>
      <c r="F16899" s="24"/>
      <c r="G16899" s="24"/>
      <c r="H16899" s="24"/>
      <c r="I16899" s="24"/>
      <c r="J16899" s="24"/>
      <c r="K16899" s="24"/>
      <c r="L16899" s="24"/>
      <c r="M16899" s="24"/>
      <c r="N16899" s="24"/>
      <c r="O16899" s="24"/>
      <c r="P16899" s="24"/>
      <c r="Q16899" s="24"/>
      <c r="R16899" s="24"/>
      <c r="S16899" s="24"/>
      <c r="T16899" s="24"/>
      <c r="U16899" s="24"/>
      <c r="V16899" s="24"/>
      <c r="W16899" s="24"/>
      <c r="X16899" s="24"/>
      <c r="Y16899" s="24"/>
      <c r="Z16899" s="24"/>
      <c r="AA16899" s="24"/>
    </row>
    <row r="16900">
      <c r="A16900" s="24"/>
      <c r="B16900" s="25"/>
      <c r="C16900" s="24"/>
      <c r="D16900" s="26"/>
      <c r="E16900" s="24"/>
      <c r="F16900" s="24"/>
      <c r="G16900" s="24"/>
      <c r="H16900" s="24"/>
      <c r="I16900" s="24"/>
      <c r="J16900" s="24"/>
      <c r="K16900" s="24"/>
      <c r="L16900" s="24"/>
      <c r="M16900" s="24"/>
      <c r="N16900" s="24"/>
      <c r="O16900" s="24"/>
      <c r="P16900" s="24"/>
      <c r="Q16900" s="24"/>
      <c r="R16900" s="24"/>
      <c r="S16900" s="24"/>
      <c r="T16900" s="24"/>
      <c r="U16900" s="24"/>
      <c r="V16900" s="24"/>
      <c r="W16900" s="24"/>
      <c r="X16900" s="24"/>
      <c r="Y16900" s="24"/>
      <c r="Z16900" s="24"/>
      <c r="AA16900" s="24"/>
    </row>
    <row r="16901">
      <c r="A16901" s="24"/>
      <c r="B16901" s="25"/>
      <c r="C16901" s="24"/>
      <c r="D16901" s="26"/>
      <c r="E16901" s="24"/>
      <c r="F16901" s="24"/>
      <c r="G16901" s="24"/>
      <c r="H16901" s="24"/>
      <c r="I16901" s="24"/>
      <c r="J16901" s="24"/>
      <c r="K16901" s="24"/>
      <c r="L16901" s="24"/>
      <c r="M16901" s="24"/>
      <c r="N16901" s="24"/>
      <c r="O16901" s="24"/>
      <c r="P16901" s="24"/>
      <c r="Q16901" s="24"/>
      <c r="R16901" s="24"/>
      <c r="S16901" s="24"/>
      <c r="T16901" s="24"/>
      <c r="U16901" s="24"/>
      <c r="V16901" s="24"/>
      <c r="W16901" s="24"/>
      <c r="X16901" s="24"/>
      <c r="Y16901" s="24"/>
      <c r="Z16901" s="24"/>
      <c r="AA16901" s="24"/>
    </row>
    <row r="16902">
      <c r="A16902" s="24"/>
      <c r="B16902" s="25"/>
      <c r="C16902" s="24"/>
      <c r="D16902" s="26"/>
      <c r="E16902" s="24"/>
      <c r="F16902" s="24"/>
      <c r="G16902" s="24"/>
      <c r="H16902" s="24"/>
      <c r="I16902" s="24"/>
      <c r="J16902" s="24"/>
      <c r="K16902" s="24"/>
      <c r="L16902" s="24"/>
      <c r="M16902" s="24"/>
      <c r="N16902" s="24"/>
      <c r="O16902" s="24"/>
      <c r="P16902" s="24"/>
      <c r="Q16902" s="24"/>
      <c r="R16902" s="24"/>
      <c r="S16902" s="24"/>
      <c r="T16902" s="24"/>
      <c r="U16902" s="24"/>
      <c r="V16902" s="24"/>
      <c r="W16902" s="24"/>
      <c r="X16902" s="24"/>
      <c r="Y16902" s="24"/>
      <c r="Z16902" s="24"/>
      <c r="AA16902" s="24"/>
    </row>
    <row r="16903">
      <c r="A16903" s="24"/>
      <c r="B16903" s="25"/>
      <c r="C16903" s="24"/>
      <c r="D16903" s="26"/>
      <c r="E16903" s="24"/>
      <c r="F16903" s="24"/>
      <c r="G16903" s="24"/>
      <c r="H16903" s="24"/>
      <c r="I16903" s="24"/>
      <c r="J16903" s="24"/>
      <c r="K16903" s="24"/>
      <c r="L16903" s="24"/>
      <c r="M16903" s="24"/>
      <c r="N16903" s="24"/>
      <c r="O16903" s="24"/>
      <c r="P16903" s="24"/>
      <c r="Q16903" s="24"/>
      <c r="R16903" s="24"/>
      <c r="S16903" s="24"/>
      <c r="T16903" s="24"/>
      <c r="U16903" s="24"/>
      <c r="V16903" s="24"/>
      <c r="W16903" s="24"/>
      <c r="X16903" s="24"/>
      <c r="Y16903" s="24"/>
      <c r="Z16903" s="24"/>
      <c r="AA16903" s="24"/>
    </row>
    <row r="16904">
      <c r="A16904" s="24"/>
      <c r="B16904" s="25"/>
      <c r="C16904" s="24"/>
      <c r="D16904" s="26"/>
      <c r="E16904" s="24"/>
      <c r="F16904" s="24"/>
      <c r="G16904" s="24"/>
      <c r="H16904" s="24"/>
      <c r="I16904" s="24"/>
      <c r="J16904" s="24"/>
      <c r="K16904" s="24"/>
      <c r="L16904" s="24"/>
      <c r="M16904" s="24"/>
      <c r="N16904" s="24"/>
      <c r="O16904" s="24"/>
      <c r="P16904" s="24"/>
      <c r="Q16904" s="24"/>
      <c r="R16904" s="24"/>
      <c r="S16904" s="24"/>
      <c r="T16904" s="24"/>
      <c r="U16904" s="24"/>
      <c r="V16904" s="24"/>
      <c r="W16904" s="24"/>
      <c r="X16904" s="24"/>
      <c r="Y16904" s="24"/>
      <c r="Z16904" s="24"/>
      <c r="AA16904" s="24"/>
    </row>
    <row r="16905">
      <c r="A16905" s="24"/>
      <c r="B16905" s="25"/>
      <c r="C16905" s="24"/>
      <c r="D16905" s="26"/>
      <c r="E16905" s="24"/>
      <c r="F16905" s="24"/>
      <c r="G16905" s="24"/>
      <c r="H16905" s="24"/>
      <c r="I16905" s="24"/>
      <c r="J16905" s="24"/>
      <c r="K16905" s="24"/>
      <c r="L16905" s="24"/>
      <c r="M16905" s="24"/>
      <c r="N16905" s="24"/>
      <c r="O16905" s="24"/>
      <c r="P16905" s="24"/>
      <c r="Q16905" s="24"/>
      <c r="R16905" s="24"/>
      <c r="S16905" s="24"/>
      <c r="T16905" s="24"/>
      <c r="U16905" s="24"/>
      <c r="V16905" s="24"/>
      <c r="W16905" s="24"/>
      <c r="X16905" s="24"/>
      <c r="Y16905" s="24"/>
      <c r="Z16905" s="24"/>
      <c r="AA16905" s="24"/>
    </row>
    <row r="16906">
      <c r="A16906" s="24"/>
      <c r="B16906" s="25"/>
      <c r="C16906" s="24"/>
      <c r="D16906" s="26"/>
      <c r="E16906" s="24"/>
      <c r="F16906" s="24"/>
      <c r="G16906" s="24"/>
      <c r="H16906" s="24"/>
      <c r="I16906" s="24"/>
      <c r="J16906" s="24"/>
      <c r="K16906" s="24"/>
      <c r="L16906" s="24"/>
      <c r="M16906" s="24"/>
      <c r="N16906" s="24"/>
      <c r="O16906" s="24"/>
      <c r="P16906" s="24"/>
      <c r="Q16906" s="24"/>
      <c r="R16906" s="24"/>
      <c r="S16906" s="24"/>
      <c r="T16906" s="24"/>
      <c r="U16906" s="24"/>
      <c r="V16906" s="24"/>
      <c r="W16906" s="24"/>
      <c r="X16906" s="24"/>
      <c r="Y16906" s="24"/>
      <c r="Z16906" s="24"/>
      <c r="AA16906" s="24"/>
    </row>
    <row r="16907">
      <c r="A16907" s="24"/>
      <c r="B16907" s="25"/>
      <c r="C16907" s="24"/>
      <c r="D16907" s="26"/>
      <c r="E16907" s="24"/>
      <c r="F16907" s="24"/>
      <c r="G16907" s="24"/>
      <c r="H16907" s="24"/>
      <c r="I16907" s="24"/>
      <c r="J16907" s="24"/>
      <c r="K16907" s="24"/>
      <c r="L16907" s="24"/>
      <c r="M16907" s="24"/>
      <c r="N16907" s="24"/>
      <c r="O16907" s="24"/>
      <c r="P16907" s="24"/>
      <c r="Q16907" s="24"/>
      <c r="R16907" s="24"/>
      <c r="S16907" s="24"/>
      <c r="T16907" s="24"/>
      <c r="U16907" s="24"/>
      <c r="V16907" s="24"/>
      <c r="W16907" s="24"/>
      <c r="X16907" s="24"/>
      <c r="Y16907" s="24"/>
      <c r="Z16907" s="24"/>
      <c r="AA16907" s="24"/>
    </row>
    <row r="16908">
      <c r="A16908" s="24"/>
      <c r="B16908" s="25"/>
      <c r="C16908" s="24"/>
      <c r="D16908" s="26"/>
      <c r="E16908" s="24"/>
      <c r="F16908" s="24"/>
      <c r="G16908" s="24"/>
      <c r="H16908" s="24"/>
      <c r="I16908" s="24"/>
      <c r="J16908" s="24"/>
      <c r="K16908" s="24"/>
      <c r="L16908" s="24"/>
      <c r="M16908" s="24"/>
      <c r="N16908" s="24"/>
      <c r="O16908" s="24"/>
      <c r="P16908" s="24"/>
      <c r="Q16908" s="24"/>
      <c r="R16908" s="24"/>
      <c r="S16908" s="24"/>
      <c r="T16908" s="24"/>
      <c r="U16908" s="24"/>
      <c r="V16908" s="24"/>
      <c r="W16908" s="24"/>
      <c r="X16908" s="24"/>
      <c r="Y16908" s="24"/>
      <c r="Z16908" s="24"/>
      <c r="AA16908" s="24"/>
    </row>
    <row r="16909">
      <c r="A16909" s="24"/>
      <c r="B16909" s="25"/>
      <c r="C16909" s="24"/>
      <c r="D16909" s="26"/>
      <c r="E16909" s="24"/>
      <c r="F16909" s="24"/>
      <c r="G16909" s="24"/>
      <c r="H16909" s="24"/>
      <c r="I16909" s="24"/>
      <c r="J16909" s="24"/>
      <c r="K16909" s="24"/>
      <c r="L16909" s="24"/>
      <c r="M16909" s="24"/>
      <c r="N16909" s="24"/>
      <c r="O16909" s="24"/>
      <c r="P16909" s="24"/>
      <c r="Q16909" s="24"/>
      <c r="R16909" s="24"/>
      <c r="S16909" s="24"/>
      <c r="T16909" s="24"/>
      <c r="U16909" s="24"/>
      <c r="V16909" s="24"/>
      <c r="W16909" s="24"/>
      <c r="X16909" s="24"/>
      <c r="Y16909" s="24"/>
      <c r="Z16909" s="24"/>
      <c r="AA16909" s="24"/>
    </row>
    <row r="16910">
      <c r="A16910" s="24"/>
      <c r="B16910" s="25"/>
      <c r="C16910" s="24"/>
      <c r="D16910" s="26"/>
      <c r="E16910" s="24"/>
      <c r="F16910" s="24"/>
      <c r="G16910" s="24"/>
      <c r="H16910" s="24"/>
      <c r="I16910" s="24"/>
      <c r="J16910" s="24"/>
      <c r="K16910" s="24"/>
      <c r="L16910" s="24"/>
      <c r="M16910" s="24"/>
      <c r="N16910" s="24"/>
      <c r="O16910" s="24"/>
      <c r="P16910" s="24"/>
      <c r="Q16910" s="24"/>
      <c r="R16910" s="24"/>
      <c r="S16910" s="24"/>
      <c r="T16910" s="24"/>
      <c r="U16910" s="24"/>
      <c r="V16910" s="24"/>
      <c r="W16910" s="24"/>
      <c r="X16910" s="24"/>
      <c r="Y16910" s="24"/>
      <c r="Z16910" s="24"/>
      <c r="AA16910" s="24"/>
    </row>
    <row r="16911">
      <c r="A16911" s="24"/>
      <c r="B16911" s="25"/>
      <c r="C16911" s="24"/>
      <c r="D16911" s="26"/>
      <c r="E16911" s="24"/>
      <c r="F16911" s="24"/>
      <c r="G16911" s="24"/>
      <c r="H16911" s="24"/>
      <c r="I16911" s="24"/>
      <c r="J16911" s="24"/>
      <c r="K16911" s="24"/>
      <c r="L16911" s="24"/>
      <c r="M16911" s="24"/>
      <c r="N16911" s="24"/>
      <c r="O16911" s="24"/>
      <c r="P16911" s="24"/>
      <c r="Q16911" s="24"/>
      <c r="R16911" s="24"/>
      <c r="S16911" s="24"/>
      <c r="T16911" s="24"/>
      <c r="U16911" s="24"/>
      <c r="V16911" s="24"/>
      <c r="W16911" s="24"/>
      <c r="X16911" s="24"/>
      <c r="Y16911" s="24"/>
      <c r="Z16911" s="24"/>
      <c r="AA16911" s="24"/>
    </row>
    <row r="16912">
      <c r="A16912" s="24"/>
      <c r="B16912" s="25"/>
      <c r="C16912" s="24"/>
      <c r="D16912" s="26"/>
      <c r="E16912" s="24"/>
      <c r="F16912" s="24"/>
      <c r="G16912" s="24"/>
      <c r="H16912" s="24"/>
      <c r="I16912" s="24"/>
      <c r="J16912" s="24"/>
      <c r="K16912" s="24"/>
      <c r="L16912" s="24"/>
      <c r="M16912" s="24"/>
      <c r="N16912" s="24"/>
      <c r="O16912" s="24"/>
      <c r="P16912" s="24"/>
      <c r="Q16912" s="24"/>
      <c r="R16912" s="24"/>
      <c r="S16912" s="24"/>
      <c r="T16912" s="24"/>
      <c r="U16912" s="24"/>
      <c r="V16912" s="24"/>
      <c r="W16912" s="24"/>
      <c r="X16912" s="24"/>
      <c r="Y16912" s="24"/>
      <c r="Z16912" s="24"/>
      <c r="AA16912" s="24"/>
    </row>
    <row r="16913">
      <c r="A16913" s="24"/>
      <c r="B16913" s="25"/>
      <c r="C16913" s="24"/>
      <c r="D16913" s="26"/>
      <c r="E16913" s="24"/>
      <c r="F16913" s="24"/>
      <c r="G16913" s="24"/>
      <c r="H16913" s="24"/>
      <c r="I16913" s="24"/>
      <c r="J16913" s="24"/>
      <c r="K16913" s="24"/>
      <c r="L16913" s="24"/>
      <c r="M16913" s="24"/>
      <c r="N16913" s="24"/>
      <c r="O16913" s="24"/>
      <c r="P16913" s="24"/>
      <c r="Q16913" s="24"/>
      <c r="R16913" s="24"/>
      <c r="S16913" s="24"/>
      <c r="T16913" s="24"/>
      <c r="U16913" s="24"/>
      <c r="V16913" s="24"/>
      <c r="W16913" s="24"/>
      <c r="X16913" s="24"/>
      <c r="Y16913" s="24"/>
      <c r="Z16913" s="24"/>
      <c r="AA16913" s="24"/>
    </row>
    <row r="16914">
      <c r="A16914" s="24"/>
      <c r="B16914" s="25"/>
      <c r="C16914" s="24"/>
      <c r="D16914" s="26"/>
      <c r="E16914" s="24"/>
      <c r="F16914" s="24"/>
      <c r="G16914" s="24"/>
      <c r="H16914" s="24"/>
      <c r="I16914" s="24"/>
      <c r="J16914" s="24"/>
      <c r="K16914" s="24"/>
      <c r="L16914" s="24"/>
      <c r="M16914" s="24"/>
      <c r="N16914" s="24"/>
      <c r="O16914" s="24"/>
      <c r="P16914" s="24"/>
      <c r="Q16914" s="24"/>
      <c r="R16914" s="24"/>
      <c r="S16914" s="24"/>
      <c r="T16914" s="24"/>
      <c r="U16914" s="24"/>
      <c r="V16914" s="24"/>
      <c r="W16914" s="24"/>
      <c r="X16914" s="24"/>
      <c r="Y16914" s="24"/>
      <c r="Z16914" s="24"/>
      <c r="AA16914" s="24"/>
    </row>
    <row r="16915">
      <c r="A16915" s="24"/>
      <c r="B16915" s="25"/>
      <c r="C16915" s="24"/>
      <c r="D16915" s="26"/>
      <c r="E16915" s="24"/>
      <c r="F16915" s="24"/>
      <c r="G16915" s="24"/>
      <c r="H16915" s="24"/>
      <c r="I16915" s="24"/>
      <c r="J16915" s="24"/>
      <c r="K16915" s="24"/>
      <c r="L16915" s="24"/>
      <c r="M16915" s="24"/>
      <c r="N16915" s="24"/>
      <c r="O16915" s="24"/>
      <c r="P16915" s="24"/>
      <c r="Q16915" s="24"/>
      <c r="R16915" s="24"/>
      <c r="S16915" s="24"/>
      <c r="T16915" s="24"/>
      <c r="U16915" s="24"/>
      <c r="V16915" s="24"/>
      <c r="W16915" s="24"/>
      <c r="X16915" s="24"/>
      <c r="Y16915" s="24"/>
      <c r="Z16915" s="24"/>
      <c r="AA16915" s="24"/>
    </row>
    <row r="16916">
      <c r="A16916" s="24"/>
      <c r="B16916" s="25"/>
      <c r="C16916" s="24"/>
      <c r="D16916" s="26"/>
      <c r="E16916" s="24"/>
      <c r="F16916" s="24"/>
      <c r="G16916" s="24"/>
      <c r="H16916" s="24"/>
      <c r="I16916" s="24"/>
      <c r="J16916" s="24"/>
      <c r="K16916" s="24"/>
      <c r="L16916" s="24"/>
      <c r="M16916" s="24"/>
      <c r="N16916" s="24"/>
      <c r="O16916" s="24"/>
      <c r="P16916" s="24"/>
      <c r="Q16916" s="24"/>
      <c r="R16916" s="24"/>
      <c r="S16916" s="24"/>
      <c r="T16916" s="24"/>
      <c r="U16916" s="24"/>
      <c r="V16916" s="24"/>
      <c r="W16916" s="24"/>
      <c r="X16916" s="24"/>
      <c r="Y16916" s="24"/>
      <c r="Z16916" s="24"/>
      <c r="AA16916" s="24"/>
    </row>
    <row r="16917">
      <c r="A16917" s="24"/>
      <c r="B16917" s="25"/>
      <c r="C16917" s="24"/>
      <c r="D16917" s="26"/>
      <c r="E16917" s="24"/>
      <c r="F16917" s="24"/>
      <c r="G16917" s="24"/>
      <c r="H16917" s="24"/>
      <c r="I16917" s="24"/>
      <c r="J16917" s="24"/>
      <c r="K16917" s="24"/>
      <c r="L16917" s="24"/>
      <c r="M16917" s="24"/>
      <c r="N16917" s="24"/>
      <c r="O16917" s="24"/>
      <c r="P16917" s="24"/>
      <c r="Q16917" s="24"/>
      <c r="R16917" s="24"/>
      <c r="S16917" s="24"/>
      <c r="T16917" s="24"/>
      <c r="U16917" s="24"/>
      <c r="V16917" s="24"/>
      <c r="W16917" s="24"/>
      <c r="X16917" s="24"/>
      <c r="Y16917" s="24"/>
      <c r="Z16917" s="24"/>
      <c r="AA16917" s="24"/>
    </row>
    <row r="16918">
      <c r="A16918" s="24"/>
      <c r="B16918" s="25"/>
      <c r="C16918" s="24"/>
      <c r="D16918" s="26"/>
      <c r="E16918" s="24"/>
      <c r="F16918" s="24"/>
      <c r="G16918" s="24"/>
      <c r="H16918" s="24"/>
      <c r="I16918" s="24"/>
      <c r="J16918" s="24"/>
      <c r="K16918" s="24"/>
      <c r="L16918" s="24"/>
      <c r="M16918" s="24"/>
      <c r="N16918" s="24"/>
      <c r="O16918" s="24"/>
      <c r="P16918" s="24"/>
      <c r="Q16918" s="24"/>
      <c r="R16918" s="24"/>
      <c r="S16918" s="24"/>
      <c r="T16918" s="24"/>
      <c r="U16918" s="24"/>
      <c r="V16918" s="24"/>
      <c r="W16918" s="24"/>
      <c r="X16918" s="24"/>
      <c r="Y16918" s="24"/>
      <c r="Z16918" s="24"/>
      <c r="AA16918" s="24"/>
    </row>
    <row r="16919">
      <c r="A16919" s="24"/>
      <c r="B16919" s="25"/>
      <c r="C16919" s="24"/>
      <c r="D16919" s="26"/>
      <c r="E16919" s="24"/>
      <c r="F16919" s="24"/>
      <c r="G16919" s="24"/>
      <c r="H16919" s="24"/>
      <c r="I16919" s="24"/>
      <c r="J16919" s="24"/>
      <c r="K16919" s="24"/>
      <c r="L16919" s="24"/>
      <c r="M16919" s="24"/>
      <c r="N16919" s="24"/>
      <c r="O16919" s="24"/>
      <c r="P16919" s="24"/>
      <c r="Q16919" s="24"/>
      <c r="R16919" s="24"/>
      <c r="S16919" s="24"/>
      <c r="T16919" s="24"/>
      <c r="U16919" s="24"/>
      <c r="V16919" s="24"/>
      <c r="W16919" s="24"/>
      <c r="X16919" s="24"/>
      <c r="Y16919" s="24"/>
      <c r="Z16919" s="24"/>
      <c r="AA16919" s="24"/>
    </row>
    <row r="16920">
      <c r="A16920" s="24"/>
      <c r="B16920" s="25"/>
      <c r="C16920" s="24"/>
      <c r="D16920" s="26"/>
      <c r="E16920" s="24"/>
      <c r="F16920" s="24"/>
      <c r="G16920" s="24"/>
      <c r="H16920" s="24"/>
      <c r="I16920" s="24"/>
      <c r="J16920" s="24"/>
      <c r="K16920" s="24"/>
      <c r="L16920" s="24"/>
      <c r="M16920" s="24"/>
      <c r="N16920" s="24"/>
      <c r="O16920" s="24"/>
      <c r="P16920" s="24"/>
      <c r="Q16920" s="24"/>
      <c r="R16920" s="24"/>
      <c r="S16920" s="24"/>
      <c r="T16920" s="24"/>
      <c r="U16920" s="24"/>
      <c r="V16920" s="24"/>
      <c r="W16920" s="24"/>
      <c r="X16920" s="24"/>
      <c r="Y16920" s="24"/>
      <c r="Z16920" s="24"/>
      <c r="AA16920" s="24"/>
    </row>
    <row r="16921">
      <c r="A16921" s="24"/>
      <c r="B16921" s="25"/>
      <c r="C16921" s="24"/>
      <c r="D16921" s="26"/>
      <c r="E16921" s="24"/>
      <c r="F16921" s="24"/>
      <c r="G16921" s="24"/>
      <c r="H16921" s="24"/>
      <c r="I16921" s="24"/>
      <c r="J16921" s="24"/>
      <c r="K16921" s="24"/>
      <c r="L16921" s="24"/>
      <c r="M16921" s="24"/>
      <c r="N16921" s="24"/>
      <c r="O16921" s="24"/>
      <c r="P16921" s="24"/>
      <c r="Q16921" s="24"/>
      <c r="R16921" s="24"/>
      <c r="S16921" s="24"/>
      <c r="T16921" s="24"/>
      <c r="U16921" s="24"/>
      <c r="V16921" s="24"/>
      <c r="W16921" s="24"/>
      <c r="X16921" s="24"/>
      <c r="Y16921" s="24"/>
      <c r="Z16921" s="24"/>
      <c r="AA16921" s="24"/>
    </row>
    <row r="16922">
      <c r="A16922" s="24"/>
      <c r="B16922" s="25"/>
      <c r="C16922" s="24"/>
      <c r="D16922" s="26"/>
      <c r="E16922" s="24"/>
      <c r="F16922" s="24"/>
      <c r="G16922" s="24"/>
      <c r="H16922" s="24"/>
      <c r="I16922" s="24"/>
      <c r="J16922" s="24"/>
      <c r="K16922" s="24"/>
      <c r="L16922" s="24"/>
      <c r="M16922" s="24"/>
      <c r="N16922" s="24"/>
      <c r="O16922" s="24"/>
      <c r="P16922" s="24"/>
      <c r="Q16922" s="24"/>
      <c r="R16922" s="24"/>
      <c r="S16922" s="24"/>
      <c r="T16922" s="24"/>
      <c r="U16922" s="24"/>
      <c r="V16922" s="24"/>
      <c r="W16922" s="24"/>
      <c r="X16922" s="24"/>
      <c r="Y16922" s="24"/>
      <c r="Z16922" s="24"/>
      <c r="AA16922" s="24"/>
    </row>
    <row r="16923">
      <c r="A16923" s="24"/>
      <c r="B16923" s="25"/>
      <c r="C16923" s="24"/>
      <c r="D16923" s="26"/>
      <c r="E16923" s="24"/>
      <c r="F16923" s="24"/>
      <c r="G16923" s="24"/>
      <c r="H16923" s="24"/>
      <c r="I16923" s="24"/>
      <c r="J16923" s="24"/>
      <c r="K16923" s="24"/>
      <c r="L16923" s="24"/>
      <c r="M16923" s="24"/>
      <c r="N16923" s="24"/>
      <c r="O16923" s="24"/>
      <c r="P16923" s="24"/>
      <c r="Q16923" s="24"/>
      <c r="R16923" s="24"/>
      <c r="S16923" s="24"/>
      <c r="T16923" s="24"/>
      <c r="U16923" s="24"/>
      <c r="V16923" s="24"/>
      <c r="W16923" s="24"/>
      <c r="X16923" s="24"/>
      <c r="Y16923" s="24"/>
      <c r="Z16923" s="24"/>
      <c r="AA16923" s="24"/>
    </row>
    <row r="16924">
      <c r="A16924" s="24"/>
      <c r="B16924" s="25"/>
      <c r="C16924" s="24"/>
      <c r="D16924" s="26"/>
      <c r="E16924" s="24"/>
      <c r="F16924" s="24"/>
      <c r="G16924" s="24"/>
      <c r="H16924" s="24"/>
      <c r="I16924" s="24"/>
      <c r="J16924" s="24"/>
      <c r="K16924" s="24"/>
      <c r="L16924" s="24"/>
      <c r="M16924" s="24"/>
      <c r="N16924" s="24"/>
      <c r="O16924" s="24"/>
      <c r="P16924" s="24"/>
      <c r="Q16924" s="24"/>
      <c r="R16924" s="24"/>
      <c r="S16924" s="24"/>
      <c r="T16924" s="24"/>
      <c r="U16924" s="24"/>
      <c r="V16924" s="24"/>
      <c r="W16924" s="24"/>
      <c r="X16924" s="24"/>
      <c r="Y16924" s="24"/>
      <c r="Z16924" s="24"/>
      <c r="AA16924" s="24"/>
    </row>
    <row r="16925">
      <c r="A16925" s="24"/>
      <c r="B16925" s="25"/>
      <c r="C16925" s="24"/>
      <c r="D16925" s="26"/>
      <c r="E16925" s="24"/>
      <c r="F16925" s="24"/>
      <c r="G16925" s="24"/>
      <c r="H16925" s="24"/>
      <c r="I16925" s="24"/>
      <c r="J16925" s="24"/>
      <c r="K16925" s="24"/>
      <c r="L16925" s="24"/>
      <c r="M16925" s="24"/>
      <c r="N16925" s="24"/>
      <c r="O16925" s="24"/>
      <c r="P16925" s="24"/>
      <c r="Q16925" s="24"/>
      <c r="R16925" s="24"/>
      <c r="S16925" s="24"/>
      <c r="T16925" s="24"/>
      <c r="U16925" s="24"/>
      <c r="V16925" s="24"/>
      <c r="W16925" s="24"/>
      <c r="X16925" s="24"/>
      <c r="Y16925" s="24"/>
      <c r="Z16925" s="24"/>
      <c r="AA16925" s="24"/>
    </row>
    <row r="16926">
      <c r="A16926" s="24"/>
      <c r="B16926" s="25"/>
      <c r="C16926" s="24"/>
      <c r="D16926" s="26"/>
      <c r="E16926" s="24"/>
      <c r="F16926" s="24"/>
      <c r="G16926" s="24"/>
      <c r="H16926" s="24"/>
      <c r="I16926" s="24"/>
      <c r="J16926" s="24"/>
      <c r="K16926" s="24"/>
      <c r="L16926" s="24"/>
      <c r="M16926" s="24"/>
      <c r="N16926" s="24"/>
      <c r="O16926" s="24"/>
      <c r="P16926" s="24"/>
      <c r="Q16926" s="24"/>
      <c r="R16926" s="24"/>
      <c r="S16926" s="24"/>
      <c r="T16926" s="24"/>
      <c r="U16926" s="24"/>
      <c r="V16926" s="24"/>
      <c r="W16926" s="24"/>
      <c r="X16926" s="24"/>
      <c r="Y16926" s="24"/>
      <c r="Z16926" s="24"/>
      <c r="AA16926" s="24"/>
    </row>
    <row r="16927">
      <c r="A16927" s="24"/>
      <c r="B16927" s="25"/>
      <c r="C16927" s="24"/>
      <c r="D16927" s="26"/>
      <c r="E16927" s="24"/>
      <c r="F16927" s="24"/>
      <c r="G16927" s="24"/>
      <c r="H16927" s="24"/>
      <c r="I16927" s="24"/>
      <c r="J16927" s="24"/>
      <c r="K16927" s="24"/>
      <c r="L16927" s="24"/>
      <c r="M16927" s="24"/>
      <c r="N16927" s="24"/>
      <c r="O16927" s="24"/>
      <c r="P16927" s="24"/>
      <c r="Q16927" s="24"/>
      <c r="R16927" s="24"/>
      <c r="S16927" s="24"/>
      <c r="T16927" s="24"/>
      <c r="U16927" s="24"/>
      <c r="V16927" s="24"/>
      <c r="W16927" s="24"/>
      <c r="X16927" s="24"/>
      <c r="Y16927" s="24"/>
      <c r="Z16927" s="24"/>
      <c r="AA16927" s="24"/>
    </row>
    <row r="16928">
      <c r="A16928" s="24"/>
      <c r="B16928" s="25"/>
      <c r="C16928" s="24"/>
      <c r="D16928" s="26"/>
      <c r="E16928" s="24"/>
      <c r="F16928" s="24"/>
      <c r="G16928" s="24"/>
      <c r="H16928" s="24"/>
      <c r="I16928" s="24"/>
      <c r="J16928" s="24"/>
      <c r="K16928" s="24"/>
      <c r="L16928" s="24"/>
      <c r="M16928" s="24"/>
      <c r="N16928" s="24"/>
      <c r="O16928" s="24"/>
      <c r="P16928" s="24"/>
      <c r="Q16928" s="24"/>
      <c r="R16928" s="24"/>
      <c r="S16928" s="24"/>
      <c r="T16928" s="24"/>
      <c r="U16928" s="24"/>
      <c r="V16928" s="24"/>
      <c r="W16928" s="24"/>
      <c r="X16928" s="24"/>
      <c r="Y16928" s="24"/>
      <c r="Z16928" s="24"/>
      <c r="AA16928" s="24"/>
    </row>
    <row r="16929">
      <c r="A16929" s="24"/>
      <c r="B16929" s="25"/>
      <c r="C16929" s="24"/>
      <c r="D16929" s="26"/>
      <c r="E16929" s="24"/>
      <c r="F16929" s="24"/>
      <c r="G16929" s="24"/>
      <c r="H16929" s="24"/>
      <c r="I16929" s="24"/>
      <c r="J16929" s="24"/>
      <c r="K16929" s="24"/>
      <c r="L16929" s="24"/>
      <c r="M16929" s="24"/>
      <c r="N16929" s="24"/>
      <c r="O16929" s="24"/>
      <c r="P16929" s="24"/>
      <c r="Q16929" s="24"/>
      <c r="R16929" s="24"/>
      <c r="S16929" s="24"/>
      <c r="T16929" s="24"/>
      <c r="U16929" s="24"/>
      <c r="V16929" s="24"/>
      <c r="W16929" s="24"/>
      <c r="X16929" s="24"/>
      <c r="Y16929" s="24"/>
      <c r="Z16929" s="24"/>
      <c r="AA16929" s="24"/>
    </row>
    <row r="16930">
      <c r="A16930" s="24"/>
      <c r="B16930" s="25"/>
      <c r="C16930" s="24"/>
      <c r="D16930" s="26"/>
      <c r="E16930" s="24"/>
      <c r="F16930" s="24"/>
      <c r="G16930" s="24"/>
      <c r="H16930" s="24"/>
      <c r="I16930" s="24"/>
      <c r="J16930" s="24"/>
      <c r="K16930" s="24"/>
      <c r="L16930" s="24"/>
      <c r="M16930" s="24"/>
      <c r="N16930" s="24"/>
      <c r="O16930" s="24"/>
      <c r="P16930" s="24"/>
      <c r="Q16930" s="24"/>
      <c r="R16930" s="24"/>
      <c r="S16930" s="24"/>
      <c r="T16930" s="24"/>
      <c r="U16930" s="24"/>
      <c r="V16930" s="24"/>
      <c r="W16930" s="24"/>
      <c r="X16930" s="24"/>
      <c r="Y16930" s="24"/>
      <c r="Z16930" s="24"/>
      <c r="AA16930" s="24"/>
    </row>
    <row r="16931">
      <c r="A16931" s="24"/>
      <c r="B16931" s="25"/>
      <c r="C16931" s="24"/>
      <c r="D16931" s="26"/>
      <c r="E16931" s="24"/>
      <c r="F16931" s="24"/>
      <c r="G16931" s="24"/>
      <c r="H16931" s="24"/>
      <c r="I16931" s="24"/>
      <c r="J16931" s="24"/>
      <c r="K16931" s="24"/>
      <c r="L16931" s="24"/>
      <c r="M16931" s="24"/>
      <c r="N16931" s="24"/>
      <c r="O16931" s="24"/>
      <c r="P16931" s="24"/>
      <c r="Q16931" s="24"/>
      <c r="R16931" s="24"/>
      <c r="S16931" s="24"/>
      <c r="T16931" s="24"/>
      <c r="U16931" s="24"/>
      <c r="V16931" s="24"/>
      <c r="W16931" s="24"/>
      <c r="X16931" s="24"/>
      <c r="Y16931" s="24"/>
      <c r="Z16931" s="24"/>
      <c r="AA16931" s="24"/>
    </row>
    <row r="16932">
      <c r="A16932" s="24"/>
      <c r="B16932" s="25"/>
      <c r="C16932" s="24"/>
      <c r="D16932" s="26"/>
      <c r="E16932" s="24"/>
      <c r="F16932" s="24"/>
      <c r="G16932" s="24"/>
      <c r="H16932" s="24"/>
      <c r="I16932" s="24"/>
      <c r="J16932" s="24"/>
      <c r="K16932" s="24"/>
      <c r="L16932" s="24"/>
      <c r="M16932" s="24"/>
      <c r="N16932" s="24"/>
      <c r="O16932" s="24"/>
      <c r="P16932" s="24"/>
      <c r="Q16932" s="24"/>
      <c r="R16932" s="24"/>
      <c r="S16932" s="24"/>
      <c r="T16932" s="24"/>
      <c r="U16932" s="24"/>
      <c r="V16932" s="24"/>
      <c r="W16932" s="24"/>
      <c r="X16932" s="24"/>
      <c r="Y16932" s="24"/>
      <c r="Z16932" s="24"/>
      <c r="AA16932" s="24"/>
    </row>
    <row r="16933">
      <c r="A16933" s="24"/>
      <c r="B16933" s="25"/>
      <c r="C16933" s="24"/>
      <c r="D16933" s="26"/>
      <c r="E16933" s="24"/>
      <c r="F16933" s="24"/>
      <c r="G16933" s="24"/>
      <c r="H16933" s="24"/>
      <c r="I16933" s="24"/>
      <c r="J16933" s="24"/>
      <c r="K16933" s="24"/>
      <c r="L16933" s="24"/>
      <c r="M16933" s="24"/>
      <c r="N16933" s="24"/>
      <c r="O16933" s="24"/>
      <c r="P16933" s="24"/>
      <c r="Q16933" s="24"/>
      <c r="R16933" s="24"/>
      <c r="S16933" s="24"/>
      <c r="T16933" s="24"/>
      <c r="U16933" s="24"/>
      <c r="V16933" s="24"/>
      <c r="W16933" s="24"/>
      <c r="X16933" s="24"/>
      <c r="Y16933" s="24"/>
      <c r="Z16933" s="24"/>
      <c r="AA16933" s="24"/>
    </row>
    <row r="16934">
      <c r="A16934" s="24"/>
      <c r="B16934" s="25"/>
      <c r="C16934" s="24"/>
      <c r="D16934" s="26"/>
      <c r="E16934" s="24"/>
      <c r="F16934" s="24"/>
      <c r="G16934" s="24"/>
      <c r="H16934" s="24"/>
      <c r="I16934" s="24"/>
      <c r="J16934" s="24"/>
      <c r="K16934" s="24"/>
      <c r="L16934" s="24"/>
      <c r="M16934" s="24"/>
      <c r="N16934" s="24"/>
      <c r="O16934" s="24"/>
      <c r="P16934" s="24"/>
      <c r="Q16934" s="24"/>
      <c r="R16934" s="24"/>
      <c r="S16934" s="24"/>
      <c r="T16934" s="24"/>
      <c r="U16934" s="24"/>
      <c r="V16934" s="24"/>
      <c r="W16934" s="24"/>
      <c r="X16934" s="24"/>
      <c r="Y16934" s="24"/>
      <c r="Z16934" s="24"/>
      <c r="AA16934" s="24"/>
    </row>
    <row r="16935">
      <c r="A16935" s="24"/>
      <c r="B16935" s="25"/>
      <c r="C16935" s="24"/>
      <c r="D16935" s="26"/>
      <c r="E16935" s="24"/>
      <c r="F16935" s="24"/>
      <c r="G16935" s="24"/>
      <c r="H16935" s="24"/>
      <c r="I16935" s="24"/>
      <c r="J16935" s="24"/>
      <c r="K16935" s="24"/>
      <c r="L16935" s="24"/>
      <c r="M16935" s="24"/>
      <c r="N16935" s="24"/>
      <c r="O16935" s="24"/>
      <c r="P16935" s="24"/>
      <c r="Q16935" s="24"/>
      <c r="R16935" s="24"/>
      <c r="S16935" s="24"/>
      <c r="T16935" s="24"/>
      <c r="U16935" s="24"/>
      <c r="V16935" s="24"/>
      <c r="W16935" s="24"/>
      <c r="X16935" s="24"/>
      <c r="Y16935" s="24"/>
      <c r="Z16935" s="24"/>
      <c r="AA16935" s="24"/>
    </row>
    <row r="16936">
      <c r="A16936" s="24"/>
      <c r="B16936" s="25"/>
      <c r="C16936" s="24"/>
      <c r="D16936" s="26"/>
      <c r="E16936" s="24"/>
      <c r="F16936" s="24"/>
      <c r="G16936" s="24"/>
      <c r="H16936" s="24"/>
      <c r="I16936" s="24"/>
      <c r="J16936" s="24"/>
      <c r="K16936" s="24"/>
      <c r="L16936" s="24"/>
      <c r="M16936" s="24"/>
      <c r="N16936" s="24"/>
      <c r="O16936" s="24"/>
      <c r="P16936" s="24"/>
      <c r="Q16936" s="24"/>
      <c r="R16936" s="24"/>
      <c r="S16936" s="24"/>
      <c r="T16936" s="24"/>
      <c r="U16936" s="24"/>
      <c r="V16936" s="24"/>
      <c r="W16936" s="24"/>
      <c r="X16936" s="24"/>
      <c r="Y16936" s="24"/>
      <c r="Z16936" s="24"/>
      <c r="AA16936" s="24"/>
    </row>
    <row r="16937">
      <c r="A16937" s="24"/>
      <c r="B16937" s="25"/>
      <c r="C16937" s="24"/>
      <c r="D16937" s="26"/>
      <c r="E16937" s="24"/>
      <c r="F16937" s="24"/>
      <c r="G16937" s="24"/>
      <c r="H16937" s="24"/>
      <c r="I16937" s="24"/>
      <c r="J16937" s="24"/>
      <c r="K16937" s="24"/>
      <c r="L16937" s="24"/>
      <c r="M16937" s="24"/>
      <c r="N16937" s="24"/>
      <c r="O16937" s="24"/>
      <c r="P16937" s="24"/>
      <c r="Q16937" s="24"/>
      <c r="R16937" s="24"/>
      <c r="S16937" s="24"/>
      <c r="T16937" s="24"/>
      <c r="U16937" s="24"/>
      <c r="V16937" s="24"/>
      <c r="W16937" s="24"/>
      <c r="X16937" s="24"/>
      <c r="Y16937" s="24"/>
      <c r="Z16937" s="24"/>
      <c r="AA16937" s="24"/>
    </row>
    <row r="16938">
      <c r="A16938" s="24"/>
      <c r="B16938" s="25"/>
      <c r="C16938" s="24"/>
      <c r="D16938" s="26"/>
      <c r="E16938" s="24"/>
      <c r="F16938" s="24"/>
      <c r="G16938" s="24"/>
      <c r="H16938" s="24"/>
      <c r="I16938" s="24"/>
      <c r="J16938" s="24"/>
      <c r="K16938" s="24"/>
      <c r="L16938" s="24"/>
      <c r="M16938" s="24"/>
      <c r="N16938" s="24"/>
      <c r="O16938" s="24"/>
      <c r="P16938" s="24"/>
      <c r="Q16938" s="24"/>
      <c r="R16938" s="24"/>
      <c r="S16938" s="24"/>
      <c r="T16938" s="24"/>
      <c r="U16938" s="24"/>
      <c r="V16938" s="24"/>
      <c r="W16938" s="24"/>
      <c r="X16938" s="24"/>
      <c r="Y16938" s="24"/>
      <c r="Z16938" s="24"/>
      <c r="AA16938" s="24"/>
    </row>
    <row r="16939">
      <c r="A16939" s="24"/>
      <c r="B16939" s="25"/>
      <c r="C16939" s="24"/>
      <c r="D16939" s="26"/>
      <c r="E16939" s="24"/>
      <c r="F16939" s="24"/>
      <c r="G16939" s="24"/>
      <c r="H16939" s="24"/>
      <c r="I16939" s="24"/>
      <c r="J16939" s="24"/>
      <c r="K16939" s="24"/>
      <c r="L16939" s="24"/>
      <c r="M16939" s="24"/>
      <c r="N16939" s="24"/>
      <c r="O16939" s="24"/>
      <c r="P16939" s="24"/>
      <c r="Q16939" s="24"/>
      <c r="R16939" s="24"/>
      <c r="S16939" s="24"/>
      <c r="T16939" s="24"/>
      <c r="U16939" s="24"/>
      <c r="V16939" s="24"/>
      <c r="W16939" s="24"/>
      <c r="X16939" s="24"/>
      <c r="Y16939" s="24"/>
      <c r="Z16939" s="24"/>
      <c r="AA16939" s="24"/>
    </row>
    <row r="16940">
      <c r="A16940" s="24"/>
      <c r="B16940" s="25"/>
      <c r="C16940" s="24"/>
      <c r="D16940" s="26"/>
      <c r="E16940" s="24"/>
      <c r="F16940" s="24"/>
      <c r="G16940" s="24"/>
      <c r="H16940" s="24"/>
      <c r="I16940" s="24"/>
      <c r="J16940" s="24"/>
      <c r="K16940" s="24"/>
      <c r="L16940" s="24"/>
      <c r="M16940" s="24"/>
      <c r="N16940" s="24"/>
      <c r="O16940" s="24"/>
      <c r="P16940" s="24"/>
      <c r="Q16940" s="24"/>
      <c r="R16940" s="24"/>
      <c r="S16940" s="24"/>
      <c r="T16940" s="24"/>
      <c r="U16940" s="24"/>
      <c r="V16940" s="24"/>
      <c r="W16940" s="24"/>
      <c r="X16940" s="24"/>
      <c r="Y16940" s="24"/>
      <c r="Z16940" s="24"/>
      <c r="AA16940" s="24"/>
    </row>
    <row r="16941">
      <c r="A16941" s="24"/>
      <c r="B16941" s="25"/>
      <c r="C16941" s="24"/>
      <c r="D16941" s="26"/>
      <c r="E16941" s="24"/>
      <c r="F16941" s="24"/>
      <c r="G16941" s="24"/>
      <c r="H16941" s="24"/>
      <c r="I16941" s="24"/>
      <c r="J16941" s="24"/>
      <c r="K16941" s="24"/>
      <c r="L16941" s="24"/>
      <c r="M16941" s="24"/>
      <c r="N16941" s="24"/>
      <c r="O16941" s="24"/>
      <c r="P16941" s="24"/>
      <c r="Q16941" s="24"/>
      <c r="R16941" s="24"/>
      <c r="S16941" s="24"/>
      <c r="T16941" s="24"/>
      <c r="U16941" s="24"/>
      <c r="V16941" s="24"/>
      <c r="W16941" s="24"/>
      <c r="X16941" s="24"/>
      <c r="Y16941" s="24"/>
      <c r="Z16941" s="24"/>
      <c r="AA16941" s="24"/>
    </row>
    <row r="16942">
      <c r="A16942" s="24"/>
      <c r="B16942" s="25"/>
      <c r="C16942" s="24"/>
      <c r="D16942" s="26"/>
      <c r="E16942" s="24"/>
      <c r="F16942" s="24"/>
      <c r="G16942" s="24"/>
      <c r="H16942" s="24"/>
      <c r="I16942" s="24"/>
      <c r="J16942" s="24"/>
      <c r="K16942" s="24"/>
      <c r="L16942" s="24"/>
      <c r="M16942" s="24"/>
      <c r="N16942" s="24"/>
      <c r="O16942" s="24"/>
      <c r="P16942" s="24"/>
      <c r="Q16942" s="24"/>
      <c r="R16942" s="24"/>
      <c r="S16942" s="24"/>
      <c r="T16942" s="24"/>
      <c r="U16942" s="24"/>
      <c r="V16942" s="24"/>
      <c r="W16942" s="24"/>
      <c r="X16942" s="24"/>
      <c r="Y16942" s="24"/>
      <c r="Z16942" s="24"/>
      <c r="AA16942" s="24"/>
    </row>
    <row r="16943">
      <c r="A16943" s="24"/>
      <c r="B16943" s="25"/>
      <c r="C16943" s="24"/>
      <c r="D16943" s="26"/>
      <c r="E16943" s="24"/>
      <c r="F16943" s="24"/>
      <c r="G16943" s="24"/>
      <c r="H16943" s="24"/>
      <c r="I16943" s="24"/>
      <c r="J16943" s="24"/>
      <c r="K16943" s="24"/>
      <c r="L16943" s="24"/>
      <c r="M16943" s="24"/>
      <c r="N16943" s="24"/>
      <c r="O16943" s="24"/>
      <c r="P16943" s="24"/>
      <c r="Q16943" s="24"/>
      <c r="R16943" s="24"/>
      <c r="S16943" s="24"/>
      <c r="T16943" s="24"/>
      <c r="U16943" s="24"/>
      <c r="V16943" s="24"/>
      <c r="W16943" s="24"/>
      <c r="X16943" s="24"/>
      <c r="Y16943" s="24"/>
      <c r="Z16943" s="24"/>
      <c r="AA16943" s="24"/>
    </row>
    <row r="16944">
      <c r="A16944" s="24"/>
      <c r="B16944" s="25"/>
      <c r="C16944" s="24"/>
      <c r="D16944" s="26"/>
      <c r="E16944" s="24"/>
      <c r="F16944" s="24"/>
      <c r="G16944" s="24"/>
      <c r="H16944" s="24"/>
      <c r="I16944" s="24"/>
      <c r="J16944" s="24"/>
      <c r="K16944" s="24"/>
      <c r="L16944" s="24"/>
      <c r="M16944" s="24"/>
      <c r="N16944" s="24"/>
      <c r="O16944" s="24"/>
      <c r="P16944" s="24"/>
      <c r="Q16944" s="24"/>
      <c r="R16944" s="24"/>
      <c r="S16944" s="24"/>
      <c r="T16944" s="24"/>
      <c r="U16944" s="24"/>
      <c r="V16944" s="24"/>
      <c r="W16944" s="24"/>
      <c r="X16944" s="24"/>
      <c r="Y16944" s="24"/>
      <c r="Z16944" s="24"/>
      <c r="AA16944" s="24"/>
    </row>
    <row r="16945">
      <c r="A16945" s="24"/>
      <c r="B16945" s="25"/>
      <c r="C16945" s="24"/>
      <c r="D16945" s="26"/>
      <c r="E16945" s="24"/>
      <c r="F16945" s="24"/>
      <c r="G16945" s="24"/>
      <c r="H16945" s="24"/>
      <c r="I16945" s="24"/>
      <c r="J16945" s="24"/>
      <c r="K16945" s="24"/>
      <c r="L16945" s="24"/>
      <c r="M16945" s="24"/>
      <c r="N16945" s="24"/>
      <c r="O16945" s="24"/>
      <c r="P16945" s="24"/>
      <c r="Q16945" s="24"/>
      <c r="R16945" s="24"/>
      <c r="S16945" s="24"/>
      <c r="T16945" s="24"/>
      <c r="U16945" s="24"/>
      <c r="V16945" s="24"/>
      <c r="W16945" s="24"/>
      <c r="X16945" s="24"/>
      <c r="Y16945" s="24"/>
      <c r="Z16945" s="24"/>
      <c r="AA16945" s="24"/>
    </row>
    <row r="16946">
      <c r="A16946" s="24"/>
      <c r="B16946" s="25"/>
      <c r="C16946" s="24"/>
      <c r="D16946" s="26"/>
      <c r="E16946" s="24"/>
      <c r="F16946" s="24"/>
      <c r="G16946" s="24"/>
      <c r="H16946" s="24"/>
      <c r="I16946" s="24"/>
      <c r="J16946" s="24"/>
      <c r="K16946" s="24"/>
      <c r="L16946" s="24"/>
      <c r="M16946" s="24"/>
      <c r="N16946" s="24"/>
      <c r="O16946" s="24"/>
      <c r="P16946" s="24"/>
      <c r="Q16946" s="24"/>
      <c r="R16946" s="24"/>
      <c r="S16946" s="24"/>
      <c r="T16946" s="24"/>
      <c r="U16946" s="24"/>
      <c r="V16946" s="24"/>
      <c r="W16946" s="24"/>
      <c r="X16946" s="24"/>
      <c r="Y16946" s="24"/>
      <c r="Z16946" s="24"/>
      <c r="AA16946" s="24"/>
    </row>
    <row r="16947">
      <c r="A16947" s="24"/>
      <c r="B16947" s="25"/>
      <c r="C16947" s="24"/>
      <c r="D16947" s="26"/>
      <c r="E16947" s="24"/>
      <c r="F16947" s="24"/>
      <c r="G16947" s="24"/>
      <c r="H16947" s="24"/>
      <c r="I16947" s="24"/>
      <c r="J16947" s="24"/>
      <c r="K16947" s="24"/>
      <c r="L16947" s="24"/>
      <c r="M16947" s="24"/>
      <c r="N16947" s="24"/>
      <c r="O16947" s="24"/>
      <c r="P16947" s="24"/>
      <c r="Q16947" s="24"/>
      <c r="R16947" s="24"/>
      <c r="S16947" s="24"/>
      <c r="T16947" s="24"/>
      <c r="U16947" s="24"/>
      <c r="V16947" s="24"/>
      <c r="W16947" s="24"/>
      <c r="X16947" s="24"/>
      <c r="Y16947" s="24"/>
      <c r="Z16947" s="24"/>
      <c r="AA16947" s="24"/>
    </row>
    <row r="16948">
      <c r="A16948" s="24"/>
      <c r="B16948" s="25"/>
      <c r="C16948" s="24"/>
      <c r="D16948" s="26"/>
      <c r="E16948" s="24"/>
      <c r="F16948" s="24"/>
      <c r="G16948" s="24"/>
      <c r="H16948" s="24"/>
      <c r="I16948" s="24"/>
      <c r="J16948" s="24"/>
      <c r="K16948" s="24"/>
      <c r="L16948" s="24"/>
      <c r="M16948" s="24"/>
      <c r="N16948" s="24"/>
      <c r="O16948" s="24"/>
      <c r="P16948" s="24"/>
      <c r="Q16948" s="24"/>
      <c r="R16948" s="24"/>
      <c r="S16948" s="24"/>
      <c r="T16948" s="24"/>
      <c r="U16948" s="24"/>
      <c r="V16948" s="24"/>
      <c r="W16948" s="24"/>
      <c r="X16948" s="24"/>
      <c r="Y16948" s="24"/>
      <c r="Z16948" s="24"/>
      <c r="AA16948" s="24"/>
    </row>
    <row r="16949">
      <c r="A16949" s="24"/>
      <c r="B16949" s="25"/>
      <c r="C16949" s="24"/>
      <c r="D16949" s="26"/>
      <c r="E16949" s="24"/>
      <c r="F16949" s="24"/>
      <c r="G16949" s="24"/>
      <c r="H16949" s="24"/>
      <c r="I16949" s="24"/>
      <c r="J16949" s="24"/>
      <c r="K16949" s="24"/>
      <c r="L16949" s="24"/>
      <c r="M16949" s="24"/>
      <c r="N16949" s="24"/>
      <c r="O16949" s="24"/>
      <c r="P16949" s="24"/>
      <c r="Q16949" s="24"/>
      <c r="R16949" s="24"/>
      <c r="S16949" s="24"/>
      <c r="T16949" s="24"/>
      <c r="U16949" s="24"/>
      <c r="V16949" s="24"/>
      <c r="W16949" s="24"/>
      <c r="X16949" s="24"/>
      <c r="Y16949" s="24"/>
      <c r="Z16949" s="24"/>
      <c r="AA16949" s="24"/>
    </row>
    <row r="16950">
      <c r="A16950" s="24"/>
      <c r="B16950" s="25"/>
      <c r="C16950" s="24"/>
      <c r="D16950" s="26"/>
      <c r="E16950" s="24"/>
      <c r="F16950" s="24"/>
      <c r="G16950" s="24"/>
      <c r="H16950" s="24"/>
      <c r="I16950" s="24"/>
      <c r="J16950" s="24"/>
      <c r="K16950" s="24"/>
      <c r="L16950" s="24"/>
      <c r="M16950" s="24"/>
      <c r="N16950" s="24"/>
      <c r="O16950" s="24"/>
      <c r="P16950" s="24"/>
      <c r="Q16950" s="24"/>
      <c r="R16950" s="24"/>
      <c r="S16950" s="24"/>
      <c r="T16950" s="24"/>
      <c r="U16950" s="24"/>
      <c r="V16950" s="24"/>
      <c r="W16950" s="24"/>
      <c r="X16950" s="24"/>
      <c r="Y16950" s="24"/>
      <c r="Z16950" s="24"/>
      <c r="AA16950" s="24"/>
    </row>
    <row r="16951">
      <c r="A16951" s="24"/>
      <c r="B16951" s="25"/>
      <c r="C16951" s="24"/>
      <c r="D16951" s="26"/>
      <c r="E16951" s="24"/>
      <c r="F16951" s="24"/>
      <c r="G16951" s="24"/>
      <c r="H16951" s="24"/>
      <c r="I16951" s="24"/>
      <c r="J16951" s="24"/>
      <c r="K16951" s="24"/>
      <c r="L16951" s="24"/>
      <c r="M16951" s="24"/>
      <c r="N16951" s="24"/>
      <c r="O16951" s="24"/>
      <c r="P16951" s="24"/>
      <c r="Q16951" s="24"/>
      <c r="R16951" s="24"/>
      <c r="S16951" s="24"/>
      <c r="T16951" s="24"/>
      <c r="U16951" s="24"/>
      <c r="V16951" s="24"/>
      <c r="W16951" s="24"/>
      <c r="X16951" s="24"/>
      <c r="Y16951" s="24"/>
      <c r="Z16951" s="24"/>
      <c r="AA16951" s="24"/>
    </row>
    <row r="16952">
      <c r="A16952" s="24"/>
      <c r="B16952" s="25"/>
      <c r="C16952" s="24"/>
      <c r="D16952" s="26"/>
      <c r="E16952" s="24"/>
      <c r="F16952" s="24"/>
      <c r="G16952" s="24"/>
      <c r="H16952" s="24"/>
      <c r="I16952" s="24"/>
      <c r="J16952" s="24"/>
      <c r="K16952" s="24"/>
      <c r="L16952" s="24"/>
      <c r="M16952" s="24"/>
      <c r="N16952" s="24"/>
      <c r="O16952" s="24"/>
      <c r="P16952" s="24"/>
      <c r="Q16952" s="24"/>
      <c r="R16952" s="24"/>
      <c r="S16952" s="24"/>
      <c r="T16952" s="24"/>
      <c r="U16952" s="24"/>
      <c r="V16952" s="24"/>
      <c r="W16952" s="24"/>
      <c r="X16952" s="24"/>
      <c r="Y16952" s="24"/>
      <c r="Z16952" s="24"/>
      <c r="AA16952" s="24"/>
    </row>
    <row r="16953">
      <c r="A16953" s="24"/>
      <c r="B16953" s="25"/>
      <c r="C16953" s="24"/>
      <c r="D16953" s="26"/>
      <c r="E16953" s="24"/>
      <c r="F16953" s="24"/>
      <c r="G16953" s="24"/>
      <c r="H16953" s="24"/>
      <c r="I16953" s="24"/>
      <c r="J16953" s="24"/>
      <c r="K16953" s="24"/>
      <c r="L16953" s="24"/>
      <c r="M16953" s="24"/>
      <c r="N16953" s="24"/>
      <c r="O16953" s="24"/>
      <c r="P16953" s="24"/>
      <c r="Q16953" s="24"/>
      <c r="R16953" s="24"/>
      <c r="S16953" s="24"/>
      <c r="T16953" s="24"/>
      <c r="U16953" s="24"/>
      <c r="V16953" s="24"/>
      <c r="W16953" s="24"/>
      <c r="X16953" s="24"/>
      <c r="Y16953" s="24"/>
      <c r="Z16953" s="24"/>
      <c r="AA16953" s="24"/>
    </row>
    <row r="16954">
      <c r="A16954" s="24"/>
      <c r="B16954" s="25"/>
      <c r="C16954" s="24"/>
      <c r="D16954" s="26"/>
      <c r="E16954" s="24"/>
      <c r="F16954" s="24"/>
      <c r="G16954" s="24"/>
      <c r="H16954" s="24"/>
      <c r="I16954" s="24"/>
      <c r="J16954" s="24"/>
      <c r="K16954" s="24"/>
      <c r="L16954" s="24"/>
      <c r="M16954" s="24"/>
      <c r="N16954" s="24"/>
      <c r="O16954" s="24"/>
      <c r="P16954" s="24"/>
      <c r="Q16954" s="24"/>
      <c r="R16954" s="24"/>
      <c r="S16954" s="24"/>
      <c r="T16954" s="24"/>
      <c r="U16954" s="24"/>
      <c r="V16954" s="24"/>
      <c r="W16954" s="24"/>
      <c r="X16954" s="24"/>
      <c r="Y16954" s="24"/>
      <c r="Z16954" s="24"/>
      <c r="AA16954" s="24"/>
    </row>
    <row r="16955">
      <c r="A16955" s="24"/>
      <c r="B16955" s="25"/>
      <c r="C16955" s="24"/>
      <c r="D16955" s="26"/>
      <c r="E16955" s="24"/>
      <c r="F16955" s="24"/>
      <c r="G16955" s="24"/>
      <c r="H16955" s="24"/>
      <c r="I16955" s="24"/>
      <c r="J16955" s="24"/>
      <c r="K16955" s="24"/>
      <c r="L16955" s="24"/>
      <c r="M16955" s="24"/>
      <c r="N16955" s="24"/>
      <c r="O16955" s="24"/>
      <c r="P16955" s="24"/>
      <c r="Q16955" s="24"/>
      <c r="R16955" s="24"/>
      <c r="S16955" s="24"/>
      <c r="T16955" s="24"/>
      <c r="U16955" s="24"/>
      <c r="V16955" s="24"/>
      <c r="W16955" s="24"/>
      <c r="X16955" s="24"/>
      <c r="Y16955" s="24"/>
      <c r="Z16955" s="24"/>
      <c r="AA16955" s="24"/>
    </row>
    <row r="16956">
      <c r="A16956" s="24"/>
      <c r="B16956" s="25"/>
      <c r="C16956" s="24"/>
      <c r="D16956" s="26"/>
      <c r="E16956" s="24"/>
      <c r="F16956" s="24"/>
      <c r="G16956" s="24"/>
      <c r="H16956" s="24"/>
      <c r="I16956" s="24"/>
      <c r="J16956" s="24"/>
      <c r="K16956" s="24"/>
      <c r="L16956" s="24"/>
      <c r="M16956" s="24"/>
      <c r="N16956" s="24"/>
      <c r="O16956" s="24"/>
      <c r="P16956" s="24"/>
      <c r="Q16956" s="24"/>
      <c r="R16956" s="24"/>
      <c r="S16956" s="24"/>
      <c r="T16956" s="24"/>
      <c r="U16956" s="24"/>
      <c r="V16956" s="24"/>
      <c r="W16956" s="24"/>
      <c r="X16956" s="24"/>
      <c r="Y16956" s="24"/>
      <c r="Z16956" s="24"/>
      <c r="AA16956" s="24"/>
    </row>
    <row r="16957">
      <c r="A16957" s="24"/>
      <c r="B16957" s="25"/>
      <c r="C16957" s="24"/>
      <c r="D16957" s="26"/>
      <c r="E16957" s="24"/>
      <c r="F16957" s="24"/>
      <c r="G16957" s="24"/>
      <c r="H16957" s="24"/>
      <c r="I16957" s="24"/>
      <c r="J16957" s="24"/>
      <c r="K16957" s="24"/>
      <c r="L16957" s="24"/>
      <c r="M16957" s="24"/>
      <c r="N16957" s="24"/>
      <c r="O16957" s="24"/>
      <c r="P16957" s="24"/>
      <c r="Q16957" s="24"/>
      <c r="R16957" s="24"/>
      <c r="S16957" s="24"/>
      <c r="T16957" s="24"/>
      <c r="U16957" s="24"/>
      <c r="V16957" s="24"/>
      <c r="W16957" s="24"/>
      <c r="X16957" s="24"/>
      <c r="Y16957" s="24"/>
      <c r="Z16957" s="24"/>
      <c r="AA16957" s="24"/>
    </row>
    <row r="16958">
      <c r="A16958" s="24"/>
      <c r="B16958" s="25"/>
      <c r="C16958" s="24"/>
      <c r="D16958" s="26"/>
      <c r="E16958" s="24"/>
      <c r="F16958" s="24"/>
      <c r="G16958" s="24"/>
      <c r="H16958" s="24"/>
      <c r="I16958" s="24"/>
      <c r="J16958" s="24"/>
      <c r="K16958" s="24"/>
      <c r="L16958" s="24"/>
      <c r="M16958" s="24"/>
      <c r="N16958" s="24"/>
      <c r="O16958" s="24"/>
      <c r="P16958" s="24"/>
      <c r="Q16958" s="24"/>
      <c r="R16958" s="24"/>
      <c r="S16958" s="24"/>
      <c r="T16958" s="24"/>
      <c r="U16958" s="24"/>
      <c r="V16958" s="24"/>
      <c r="W16958" s="24"/>
      <c r="X16958" s="24"/>
      <c r="Y16958" s="24"/>
      <c r="Z16958" s="24"/>
      <c r="AA16958" s="24"/>
    </row>
    <row r="16959">
      <c r="A16959" s="24"/>
      <c r="B16959" s="25"/>
      <c r="C16959" s="24"/>
      <c r="D16959" s="26"/>
      <c r="E16959" s="24"/>
      <c r="F16959" s="24"/>
      <c r="G16959" s="24"/>
      <c r="H16959" s="24"/>
      <c r="I16959" s="24"/>
      <c r="J16959" s="24"/>
      <c r="K16959" s="24"/>
      <c r="L16959" s="24"/>
      <c r="M16959" s="24"/>
      <c r="N16959" s="24"/>
      <c r="O16959" s="24"/>
      <c r="P16959" s="24"/>
      <c r="Q16959" s="24"/>
      <c r="R16959" s="24"/>
      <c r="S16959" s="24"/>
      <c r="T16959" s="24"/>
      <c r="U16959" s="24"/>
      <c r="V16959" s="24"/>
      <c r="W16959" s="24"/>
      <c r="X16959" s="24"/>
      <c r="Y16959" s="24"/>
      <c r="Z16959" s="24"/>
      <c r="AA16959" s="24"/>
    </row>
    <row r="16960">
      <c r="A16960" s="24"/>
      <c r="B16960" s="25"/>
      <c r="C16960" s="24"/>
      <c r="D16960" s="26"/>
      <c r="E16960" s="24"/>
      <c r="F16960" s="24"/>
      <c r="G16960" s="24"/>
      <c r="H16960" s="24"/>
      <c r="I16960" s="24"/>
      <c r="J16960" s="24"/>
      <c r="K16960" s="24"/>
      <c r="L16960" s="24"/>
      <c r="M16960" s="24"/>
      <c r="N16960" s="24"/>
      <c r="O16960" s="24"/>
      <c r="P16960" s="24"/>
      <c r="Q16960" s="24"/>
      <c r="R16960" s="24"/>
      <c r="S16960" s="24"/>
      <c r="T16960" s="24"/>
      <c r="U16960" s="24"/>
      <c r="V16960" s="24"/>
      <c r="W16960" s="24"/>
      <c r="X16960" s="24"/>
      <c r="Y16960" s="24"/>
      <c r="Z16960" s="24"/>
      <c r="AA16960" s="24"/>
    </row>
    <row r="16961">
      <c r="A16961" s="24"/>
      <c r="B16961" s="25"/>
      <c r="C16961" s="24"/>
      <c r="D16961" s="26"/>
      <c r="E16961" s="24"/>
      <c r="F16961" s="24"/>
      <c r="G16961" s="24"/>
      <c r="H16961" s="24"/>
      <c r="I16961" s="24"/>
      <c r="J16961" s="24"/>
      <c r="K16961" s="24"/>
      <c r="L16961" s="24"/>
      <c r="M16961" s="24"/>
      <c r="N16961" s="24"/>
      <c r="O16961" s="24"/>
      <c r="P16961" s="24"/>
      <c r="Q16961" s="24"/>
      <c r="R16961" s="24"/>
      <c r="S16961" s="24"/>
      <c r="T16961" s="24"/>
      <c r="U16961" s="24"/>
      <c r="V16961" s="24"/>
      <c r="W16961" s="24"/>
      <c r="X16961" s="24"/>
      <c r="Y16961" s="24"/>
      <c r="Z16961" s="24"/>
      <c r="AA16961" s="24"/>
    </row>
    <row r="16962">
      <c r="A16962" s="24"/>
      <c r="B16962" s="25"/>
      <c r="C16962" s="24"/>
      <c r="D16962" s="26"/>
      <c r="E16962" s="24"/>
      <c r="F16962" s="24"/>
      <c r="G16962" s="24"/>
      <c r="H16962" s="24"/>
      <c r="I16962" s="24"/>
      <c r="J16962" s="24"/>
      <c r="K16962" s="24"/>
      <c r="L16962" s="24"/>
      <c r="M16962" s="24"/>
      <c r="N16962" s="24"/>
      <c r="O16962" s="24"/>
      <c r="P16962" s="24"/>
      <c r="Q16962" s="24"/>
      <c r="R16962" s="24"/>
      <c r="S16962" s="24"/>
      <c r="T16962" s="24"/>
      <c r="U16962" s="24"/>
      <c r="V16962" s="24"/>
      <c r="W16962" s="24"/>
      <c r="X16962" s="24"/>
      <c r="Y16962" s="24"/>
      <c r="Z16962" s="24"/>
      <c r="AA16962" s="24"/>
    </row>
    <row r="16963">
      <c r="A16963" s="24"/>
      <c r="B16963" s="25"/>
      <c r="C16963" s="24"/>
      <c r="D16963" s="26"/>
      <c r="E16963" s="24"/>
      <c r="F16963" s="24"/>
      <c r="G16963" s="24"/>
      <c r="H16963" s="24"/>
      <c r="I16963" s="24"/>
      <c r="J16963" s="24"/>
      <c r="K16963" s="24"/>
      <c r="L16963" s="24"/>
      <c r="M16963" s="24"/>
      <c r="N16963" s="24"/>
      <c r="O16963" s="24"/>
      <c r="P16963" s="24"/>
      <c r="Q16963" s="24"/>
      <c r="R16963" s="24"/>
      <c r="S16963" s="24"/>
      <c r="T16963" s="24"/>
      <c r="U16963" s="24"/>
      <c r="V16963" s="24"/>
      <c r="W16963" s="24"/>
      <c r="X16963" s="24"/>
      <c r="Y16963" s="24"/>
      <c r="Z16963" s="24"/>
      <c r="AA16963" s="24"/>
    </row>
    <row r="16964">
      <c r="A16964" s="24"/>
      <c r="B16964" s="25"/>
      <c r="C16964" s="24"/>
      <c r="D16964" s="26"/>
      <c r="E16964" s="24"/>
      <c r="F16964" s="24"/>
      <c r="G16964" s="24"/>
      <c r="H16964" s="24"/>
      <c r="I16964" s="24"/>
      <c r="J16964" s="24"/>
      <c r="K16964" s="24"/>
      <c r="L16964" s="24"/>
      <c r="M16964" s="24"/>
      <c r="N16964" s="24"/>
      <c r="O16964" s="24"/>
      <c r="P16964" s="24"/>
      <c r="Q16964" s="24"/>
      <c r="R16964" s="24"/>
      <c r="S16964" s="24"/>
      <c r="T16964" s="24"/>
      <c r="U16964" s="24"/>
      <c r="V16964" s="24"/>
      <c r="W16964" s="24"/>
      <c r="X16964" s="24"/>
      <c r="Y16964" s="24"/>
      <c r="Z16964" s="24"/>
      <c r="AA16964" s="24"/>
    </row>
    <row r="16965">
      <c r="A16965" s="24"/>
      <c r="B16965" s="25"/>
      <c r="C16965" s="24"/>
      <c r="D16965" s="26"/>
      <c r="E16965" s="24"/>
      <c r="F16965" s="24"/>
      <c r="G16965" s="24"/>
      <c r="H16965" s="24"/>
      <c r="I16965" s="24"/>
      <c r="J16965" s="24"/>
      <c r="K16965" s="24"/>
      <c r="L16965" s="24"/>
      <c r="M16965" s="24"/>
      <c r="N16965" s="24"/>
      <c r="O16965" s="24"/>
      <c r="P16965" s="24"/>
      <c r="Q16965" s="24"/>
      <c r="R16965" s="24"/>
      <c r="S16965" s="24"/>
      <c r="T16965" s="24"/>
      <c r="U16965" s="24"/>
      <c r="V16965" s="24"/>
      <c r="W16965" s="24"/>
      <c r="X16965" s="24"/>
      <c r="Y16965" s="24"/>
      <c r="Z16965" s="24"/>
      <c r="AA16965" s="24"/>
    </row>
    <row r="16966">
      <c r="A16966" s="24"/>
      <c r="B16966" s="25"/>
      <c r="C16966" s="24"/>
      <c r="D16966" s="26"/>
      <c r="E16966" s="24"/>
      <c r="F16966" s="24"/>
      <c r="G16966" s="24"/>
      <c r="H16966" s="24"/>
      <c r="I16966" s="24"/>
      <c r="J16966" s="24"/>
      <c r="K16966" s="24"/>
      <c r="L16966" s="24"/>
      <c r="M16966" s="24"/>
      <c r="N16966" s="24"/>
      <c r="O16966" s="24"/>
      <c r="P16966" s="24"/>
      <c r="Q16966" s="24"/>
      <c r="R16966" s="24"/>
      <c r="S16966" s="24"/>
      <c r="T16966" s="24"/>
      <c r="U16966" s="24"/>
      <c r="V16966" s="24"/>
      <c r="W16966" s="24"/>
      <c r="X16966" s="24"/>
      <c r="Y16966" s="24"/>
      <c r="Z16966" s="24"/>
      <c r="AA16966" s="24"/>
    </row>
    <row r="16967">
      <c r="A16967" s="24"/>
      <c r="B16967" s="25"/>
      <c r="C16967" s="24"/>
      <c r="D16967" s="26"/>
      <c r="E16967" s="24"/>
      <c r="F16967" s="24"/>
      <c r="G16967" s="24"/>
      <c r="H16967" s="24"/>
      <c r="I16967" s="24"/>
      <c r="J16967" s="24"/>
      <c r="K16967" s="24"/>
      <c r="L16967" s="24"/>
      <c r="M16967" s="24"/>
      <c r="N16967" s="24"/>
      <c r="O16967" s="24"/>
      <c r="P16967" s="24"/>
      <c r="Q16967" s="24"/>
      <c r="R16967" s="24"/>
      <c r="S16967" s="24"/>
      <c r="T16967" s="24"/>
      <c r="U16967" s="24"/>
      <c r="V16967" s="24"/>
      <c r="W16967" s="24"/>
      <c r="X16967" s="24"/>
      <c r="Y16967" s="24"/>
      <c r="Z16967" s="24"/>
      <c r="AA16967" s="24"/>
    </row>
    <row r="16968">
      <c r="A16968" s="24"/>
      <c r="B16968" s="25"/>
      <c r="C16968" s="24"/>
      <c r="D16968" s="26"/>
      <c r="E16968" s="24"/>
      <c r="F16968" s="24"/>
      <c r="G16968" s="24"/>
      <c r="H16968" s="24"/>
      <c r="I16968" s="24"/>
      <c r="J16968" s="24"/>
      <c r="K16968" s="24"/>
      <c r="L16968" s="24"/>
      <c r="M16968" s="24"/>
      <c r="N16968" s="24"/>
      <c r="O16968" s="24"/>
      <c r="P16968" s="24"/>
      <c r="Q16968" s="24"/>
      <c r="R16968" s="24"/>
      <c r="S16968" s="24"/>
      <c r="T16968" s="24"/>
      <c r="U16968" s="24"/>
      <c r="V16968" s="24"/>
      <c r="W16968" s="24"/>
      <c r="X16968" s="24"/>
      <c r="Y16968" s="24"/>
      <c r="Z16968" s="24"/>
      <c r="AA16968" s="24"/>
    </row>
    <row r="16969">
      <c r="A16969" s="24"/>
      <c r="B16969" s="25"/>
      <c r="C16969" s="24"/>
      <c r="D16969" s="26"/>
      <c r="E16969" s="24"/>
      <c r="F16969" s="24"/>
      <c r="G16969" s="24"/>
      <c r="H16969" s="24"/>
      <c r="I16969" s="24"/>
      <c r="J16969" s="24"/>
      <c r="K16969" s="24"/>
      <c r="L16969" s="24"/>
      <c r="M16969" s="24"/>
      <c r="N16969" s="24"/>
      <c r="O16969" s="24"/>
      <c r="P16969" s="24"/>
      <c r="Q16969" s="24"/>
      <c r="R16969" s="24"/>
      <c r="S16969" s="24"/>
      <c r="T16969" s="24"/>
      <c r="U16969" s="24"/>
      <c r="V16969" s="24"/>
      <c r="W16969" s="24"/>
      <c r="X16969" s="24"/>
      <c r="Y16969" s="24"/>
      <c r="Z16969" s="24"/>
      <c r="AA16969" s="24"/>
    </row>
    <row r="16970">
      <c r="A16970" s="24"/>
      <c r="B16970" s="25"/>
      <c r="C16970" s="24"/>
      <c r="D16970" s="26"/>
      <c r="E16970" s="24"/>
      <c r="F16970" s="24"/>
      <c r="G16970" s="24"/>
      <c r="H16970" s="24"/>
      <c r="I16970" s="24"/>
      <c r="J16970" s="24"/>
      <c r="K16970" s="24"/>
      <c r="L16970" s="24"/>
      <c r="M16970" s="24"/>
      <c r="N16970" s="24"/>
      <c r="O16970" s="24"/>
      <c r="P16970" s="24"/>
      <c r="Q16970" s="24"/>
      <c r="R16970" s="24"/>
      <c r="S16970" s="24"/>
      <c r="T16970" s="24"/>
      <c r="U16970" s="24"/>
      <c r="V16970" s="24"/>
      <c r="W16970" s="24"/>
      <c r="X16970" s="24"/>
      <c r="Y16970" s="24"/>
      <c r="Z16970" s="24"/>
      <c r="AA16970" s="24"/>
    </row>
    <row r="16971">
      <c r="A16971" s="24"/>
      <c r="B16971" s="25"/>
      <c r="C16971" s="24"/>
      <c r="D16971" s="26"/>
      <c r="E16971" s="24"/>
      <c r="F16971" s="24"/>
      <c r="G16971" s="24"/>
      <c r="H16971" s="24"/>
      <c r="I16971" s="24"/>
      <c r="J16971" s="24"/>
      <c r="K16971" s="24"/>
      <c r="L16971" s="24"/>
      <c r="M16971" s="24"/>
      <c r="N16971" s="24"/>
      <c r="O16971" s="24"/>
      <c r="P16971" s="24"/>
      <c r="Q16971" s="24"/>
      <c r="R16971" s="24"/>
      <c r="S16971" s="24"/>
      <c r="T16971" s="24"/>
      <c r="U16971" s="24"/>
      <c r="V16971" s="24"/>
      <c r="W16971" s="24"/>
      <c r="X16971" s="24"/>
      <c r="Y16971" s="24"/>
      <c r="Z16971" s="24"/>
      <c r="AA16971" s="24"/>
    </row>
    <row r="16972">
      <c r="A16972" s="24"/>
      <c r="B16972" s="25"/>
      <c r="C16972" s="24"/>
      <c r="D16972" s="26"/>
      <c r="E16972" s="24"/>
      <c r="F16972" s="24"/>
      <c r="G16972" s="24"/>
      <c r="H16972" s="24"/>
      <c r="I16972" s="24"/>
      <c r="J16972" s="24"/>
      <c r="K16972" s="24"/>
      <c r="L16972" s="24"/>
      <c r="M16972" s="24"/>
      <c r="N16972" s="24"/>
      <c r="O16972" s="24"/>
      <c r="P16972" s="24"/>
      <c r="Q16972" s="24"/>
      <c r="R16972" s="24"/>
      <c r="S16972" s="24"/>
      <c r="T16972" s="24"/>
      <c r="U16972" s="24"/>
      <c r="V16972" s="24"/>
      <c r="W16972" s="24"/>
      <c r="X16972" s="24"/>
      <c r="Y16972" s="24"/>
      <c r="Z16972" s="24"/>
      <c r="AA16972" s="24"/>
    </row>
    <row r="16973">
      <c r="A16973" s="24"/>
      <c r="B16973" s="25"/>
      <c r="C16973" s="24"/>
      <c r="D16973" s="26"/>
      <c r="E16973" s="24"/>
      <c r="F16973" s="24"/>
      <c r="G16973" s="24"/>
      <c r="H16973" s="24"/>
      <c r="I16973" s="24"/>
      <c r="J16973" s="24"/>
      <c r="K16973" s="24"/>
      <c r="L16973" s="24"/>
      <c r="M16973" s="24"/>
      <c r="N16973" s="24"/>
      <c r="O16973" s="24"/>
      <c r="P16973" s="24"/>
      <c r="Q16973" s="24"/>
      <c r="R16973" s="24"/>
      <c r="S16973" s="24"/>
      <c r="T16973" s="24"/>
      <c r="U16973" s="24"/>
      <c r="V16973" s="24"/>
      <c r="W16973" s="24"/>
      <c r="X16973" s="24"/>
      <c r="Y16973" s="24"/>
      <c r="Z16973" s="24"/>
      <c r="AA16973" s="24"/>
    </row>
    <row r="16974">
      <c r="A16974" s="24"/>
      <c r="B16974" s="25"/>
      <c r="C16974" s="24"/>
      <c r="D16974" s="26"/>
      <c r="E16974" s="24"/>
      <c r="F16974" s="24"/>
      <c r="G16974" s="24"/>
      <c r="H16974" s="24"/>
      <c r="I16974" s="24"/>
      <c r="J16974" s="24"/>
      <c r="K16974" s="24"/>
      <c r="L16974" s="24"/>
      <c r="M16974" s="24"/>
      <c r="N16974" s="24"/>
      <c r="O16974" s="24"/>
      <c r="P16974" s="24"/>
      <c r="Q16974" s="24"/>
      <c r="R16974" s="24"/>
      <c r="S16974" s="24"/>
      <c r="T16974" s="24"/>
      <c r="U16974" s="24"/>
      <c r="V16974" s="24"/>
      <c r="W16974" s="24"/>
      <c r="X16974" s="24"/>
      <c r="Y16974" s="24"/>
      <c r="Z16974" s="24"/>
      <c r="AA16974" s="24"/>
    </row>
    <row r="16975">
      <c r="A16975" s="24"/>
      <c r="B16975" s="25"/>
      <c r="C16975" s="24"/>
      <c r="D16975" s="26"/>
      <c r="E16975" s="24"/>
      <c r="F16975" s="24"/>
      <c r="G16975" s="24"/>
      <c r="H16975" s="24"/>
      <c r="I16975" s="24"/>
      <c r="J16975" s="24"/>
      <c r="K16975" s="24"/>
      <c r="L16975" s="24"/>
      <c r="M16975" s="24"/>
      <c r="N16975" s="24"/>
      <c r="O16975" s="24"/>
      <c r="P16975" s="24"/>
      <c r="Q16975" s="24"/>
      <c r="R16975" s="24"/>
      <c r="S16975" s="24"/>
      <c r="T16975" s="24"/>
      <c r="U16975" s="24"/>
      <c r="V16975" s="24"/>
      <c r="W16975" s="24"/>
      <c r="X16975" s="24"/>
      <c r="Y16975" s="24"/>
      <c r="Z16975" s="24"/>
      <c r="AA16975" s="24"/>
    </row>
    <row r="16976">
      <c r="A16976" s="24"/>
      <c r="B16976" s="25"/>
      <c r="C16976" s="24"/>
      <c r="D16976" s="26"/>
      <c r="E16976" s="24"/>
      <c r="F16976" s="24"/>
      <c r="G16976" s="24"/>
      <c r="H16976" s="24"/>
      <c r="I16976" s="24"/>
      <c r="J16976" s="24"/>
      <c r="K16976" s="24"/>
      <c r="L16976" s="24"/>
      <c r="M16976" s="24"/>
      <c r="N16976" s="24"/>
      <c r="O16976" s="24"/>
      <c r="P16976" s="24"/>
      <c r="Q16976" s="24"/>
      <c r="R16976" s="24"/>
      <c r="S16976" s="24"/>
      <c r="T16976" s="24"/>
      <c r="U16976" s="24"/>
      <c r="V16976" s="24"/>
      <c r="W16976" s="24"/>
      <c r="X16976" s="24"/>
      <c r="Y16976" s="24"/>
      <c r="Z16976" s="24"/>
      <c r="AA16976" s="24"/>
    </row>
    <row r="16977">
      <c r="A16977" s="24"/>
      <c r="B16977" s="25"/>
      <c r="C16977" s="24"/>
      <c r="D16977" s="26"/>
      <c r="E16977" s="24"/>
      <c r="F16977" s="24"/>
      <c r="G16977" s="24"/>
      <c r="H16977" s="24"/>
      <c r="I16977" s="24"/>
      <c r="J16977" s="24"/>
      <c r="K16977" s="24"/>
      <c r="L16977" s="24"/>
      <c r="M16977" s="24"/>
      <c r="N16977" s="24"/>
      <c r="O16977" s="24"/>
      <c r="P16977" s="24"/>
      <c r="Q16977" s="24"/>
      <c r="R16977" s="24"/>
      <c r="S16977" s="24"/>
      <c r="T16977" s="24"/>
      <c r="U16977" s="24"/>
      <c r="V16977" s="24"/>
      <c r="W16977" s="24"/>
      <c r="X16977" s="24"/>
      <c r="Y16977" s="24"/>
      <c r="Z16977" s="24"/>
      <c r="AA16977" s="24"/>
    </row>
    <row r="16978">
      <c r="A16978" s="24"/>
      <c r="B16978" s="25"/>
      <c r="C16978" s="24"/>
      <c r="D16978" s="26"/>
      <c r="E16978" s="24"/>
      <c r="F16978" s="24"/>
      <c r="G16978" s="24"/>
      <c r="H16978" s="24"/>
      <c r="I16978" s="24"/>
      <c r="J16978" s="24"/>
      <c r="K16978" s="24"/>
      <c r="L16978" s="24"/>
      <c r="M16978" s="24"/>
      <c r="N16978" s="24"/>
      <c r="O16978" s="24"/>
      <c r="P16978" s="24"/>
      <c r="Q16978" s="24"/>
      <c r="R16978" s="24"/>
      <c r="S16978" s="24"/>
      <c r="T16978" s="24"/>
      <c r="U16978" s="24"/>
      <c r="V16978" s="24"/>
      <c r="W16978" s="24"/>
      <c r="X16978" s="24"/>
      <c r="Y16978" s="24"/>
      <c r="Z16978" s="24"/>
      <c r="AA16978" s="24"/>
    </row>
    <row r="16979">
      <c r="A16979" s="24"/>
      <c r="B16979" s="25"/>
      <c r="C16979" s="24"/>
      <c r="D16979" s="26"/>
      <c r="E16979" s="24"/>
      <c r="F16979" s="24"/>
      <c r="G16979" s="24"/>
      <c r="H16979" s="24"/>
      <c r="I16979" s="24"/>
      <c r="J16979" s="24"/>
      <c r="K16979" s="24"/>
      <c r="L16979" s="24"/>
      <c r="M16979" s="24"/>
      <c r="N16979" s="24"/>
      <c r="O16979" s="24"/>
      <c r="P16979" s="24"/>
      <c r="Q16979" s="24"/>
      <c r="R16979" s="24"/>
      <c r="S16979" s="24"/>
      <c r="T16979" s="24"/>
      <c r="U16979" s="24"/>
      <c r="V16979" s="24"/>
      <c r="W16979" s="24"/>
      <c r="X16979" s="24"/>
      <c r="Y16979" s="24"/>
      <c r="Z16979" s="24"/>
      <c r="AA16979" s="24"/>
    </row>
    <row r="16980">
      <c r="A16980" s="24"/>
      <c r="B16980" s="25"/>
      <c r="C16980" s="24"/>
      <c r="D16980" s="26"/>
      <c r="E16980" s="24"/>
      <c r="F16980" s="24"/>
      <c r="G16980" s="24"/>
      <c r="H16980" s="24"/>
      <c r="I16980" s="24"/>
      <c r="J16980" s="24"/>
      <c r="K16980" s="24"/>
      <c r="L16980" s="24"/>
      <c r="M16980" s="24"/>
      <c r="N16980" s="24"/>
      <c r="O16980" s="24"/>
      <c r="P16980" s="24"/>
      <c r="Q16980" s="24"/>
      <c r="R16980" s="24"/>
      <c r="S16980" s="24"/>
      <c r="T16980" s="24"/>
      <c r="U16980" s="24"/>
      <c r="V16980" s="24"/>
      <c r="W16980" s="24"/>
      <c r="X16980" s="24"/>
      <c r="Y16980" s="24"/>
      <c r="Z16980" s="24"/>
      <c r="AA16980" s="24"/>
    </row>
    <row r="16981">
      <c r="A16981" s="24"/>
      <c r="B16981" s="25"/>
      <c r="C16981" s="24"/>
      <c r="D16981" s="26"/>
      <c r="E16981" s="24"/>
      <c r="F16981" s="24"/>
      <c r="G16981" s="24"/>
      <c r="H16981" s="24"/>
      <c r="I16981" s="24"/>
      <c r="J16981" s="24"/>
      <c r="K16981" s="24"/>
      <c r="L16981" s="24"/>
      <c r="M16981" s="24"/>
      <c r="N16981" s="24"/>
      <c r="O16981" s="24"/>
      <c r="P16981" s="24"/>
      <c r="Q16981" s="24"/>
      <c r="R16981" s="24"/>
      <c r="S16981" s="24"/>
      <c r="T16981" s="24"/>
      <c r="U16981" s="24"/>
      <c r="V16981" s="24"/>
      <c r="W16981" s="24"/>
      <c r="X16981" s="24"/>
      <c r="Y16981" s="24"/>
      <c r="Z16981" s="24"/>
      <c r="AA16981" s="24"/>
    </row>
    <row r="16982">
      <c r="A16982" s="24"/>
      <c r="B16982" s="25"/>
      <c r="C16982" s="24"/>
      <c r="D16982" s="26"/>
      <c r="E16982" s="24"/>
      <c r="F16982" s="24"/>
      <c r="G16982" s="24"/>
      <c r="H16982" s="24"/>
      <c r="I16982" s="24"/>
      <c r="J16982" s="24"/>
      <c r="K16982" s="24"/>
      <c r="L16982" s="24"/>
      <c r="M16982" s="24"/>
      <c r="N16982" s="24"/>
      <c r="O16982" s="24"/>
      <c r="P16982" s="24"/>
      <c r="Q16982" s="24"/>
      <c r="R16982" s="24"/>
      <c r="S16982" s="24"/>
      <c r="T16982" s="24"/>
      <c r="U16982" s="24"/>
      <c r="V16982" s="24"/>
      <c r="W16982" s="24"/>
      <c r="X16982" s="24"/>
      <c r="Y16982" s="24"/>
      <c r="Z16982" s="24"/>
      <c r="AA16982" s="24"/>
    </row>
    <row r="16983">
      <c r="A16983" s="24"/>
      <c r="B16983" s="25"/>
      <c r="C16983" s="24"/>
      <c r="D16983" s="26"/>
      <c r="E16983" s="24"/>
      <c r="F16983" s="24"/>
      <c r="G16983" s="24"/>
      <c r="H16983" s="24"/>
      <c r="I16983" s="24"/>
      <c r="J16983" s="24"/>
      <c r="K16983" s="24"/>
      <c r="L16983" s="24"/>
      <c r="M16983" s="24"/>
      <c r="N16983" s="24"/>
      <c r="O16983" s="24"/>
      <c r="P16983" s="24"/>
      <c r="Q16983" s="24"/>
      <c r="R16983" s="24"/>
      <c r="S16983" s="24"/>
      <c r="T16983" s="24"/>
      <c r="U16983" s="24"/>
      <c r="V16983" s="24"/>
      <c r="W16983" s="24"/>
      <c r="X16983" s="24"/>
      <c r="Y16983" s="24"/>
      <c r="Z16983" s="24"/>
      <c r="AA16983" s="24"/>
    </row>
    <row r="16984">
      <c r="A16984" s="24"/>
      <c r="B16984" s="25"/>
      <c r="C16984" s="24"/>
      <c r="D16984" s="26"/>
      <c r="E16984" s="24"/>
      <c r="F16984" s="24"/>
      <c r="G16984" s="24"/>
      <c r="H16984" s="24"/>
      <c r="I16984" s="24"/>
      <c r="J16984" s="24"/>
      <c r="K16984" s="24"/>
      <c r="L16984" s="24"/>
      <c r="M16984" s="24"/>
      <c r="N16984" s="24"/>
      <c r="O16984" s="24"/>
      <c r="P16984" s="24"/>
      <c r="Q16984" s="24"/>
      <c r="R16984" s="24"/>
      <c r="S16984" s="24"/>
      <c r="T16984" s="24"/>
      <c r="U16984" s="24"/>
      <c r="V16984" s="24"/>
      <c r="W16984" s="24"/>
      <c r="X16984" s="24"/>
      <c r="Y16984" s="24"/>
      <c r="Z16984" s="24"/>
      <c r="AA16984" s="24"/>
    </row>
    <row r="16985">
      <c r="A16985" s="24"/>
      <c r="B16985" s="25"/>
      <c r="C16985" s="24"/>
      <c r="D16985" s="26"/>
      <c r="E16985" s="24"/>
      <c r="F16985" s="24"/>
      <c r="G16985" s="24"/>
      <c r="H16985" s="24"/>
      <c r="I16985" s="24"/>
      <c r="J16985" s="24"/>
      <c r="K16985" s="24"/>
      <c r="L16985" s="24"/>
      <c r="M16985" s="24"/>
      <c r="N16985" s="24"/>
      <c r="O16985" s="24"/>
      <c r="P16985" s="24"/>
      <c r="Q16985" s="24"/>
      <c r="R16985" s="24"/>
      <c r="S16985" s="24"/>
      <c r="T16985" s="24"/>
      <c r="U16985" s="24"/>
      <c r="V16985" s="24"/>
      <c r="W16985" s="24"/>
      <c r="X16985" s="24"/>
      <c r="Y16985" s="24"/>
      <c r="Z16985" s="24"/>
      <c r="AA16985" s="24"/>
    </row>
    <row r="16986">
      <c r="A16986" s="24"/>
      <c r="B16986" s="25"/>
      <c r="C16986" s="24"/>
      <c r="D16986" s="26"/>
      <c r="E16986" s="24"/>
      <c r="F16986" s="24"/>
      <c r="G16986" s="24"/>
      <c r="H16986" s="24"/>
      <c r="I16986" s="24"/>
      <c r="J16986" s="24"/>
      <c r="K16986" s="24"/>
      <c r="L16986" s="24"/>
      <c r="M16986" s="24"/>
      <c r="N16986" s="24"/>
      <c r="O16986" s="24"/>
      <c r="P16986" s="24"/>
      <c r="Q16986" s="24"/>
      <c r="R16986" s="24"/>
      <c r="S16986" s="24"/>
      <c r="T16986" s="24"/>
      <c r="U16986" s="24"/>
      <c r="V16986" s="24"/>
      <c r="W16986" s="24"/>
      <c r="X16986" s="24"/>
      <c r="Y16986" s="24"/>
      <c r="Z16986" s="24"/>
      <c r="AA16986" s="24"/>
    </row>
    <row r="16987">
      <c r="A16987" s="24"/>
      <c r="B16987" s="25"/>
      <c r="C16987" s="24"/>
      <c r="D16987" s="26"/>
      <c r="E16987" s="24"/>
      <c r="F16987" s="24"/>
      <c r="G16987" s="24"/>
      <c r="H16987" s="24"/>
      <c r="I16987" s="24"/>
      <c r="J16987" s="24"/>
      <c r="K16987" s="24"/>
      <c r="L16987" s="24"/>
      <c r="M16987" s="24"/>
      <c r="N16987" s="24"/>
      <c r="O16987" s="24"/>
      <c r="P16987" s="24"/>
      <c r="Q16987" s="24"/>
      <c r="R16987" s="24"/>
      <c r="S16987" s="24"/>
      <c r="T16987" s="24"/>
      <c r="U16987" s="24"/>
      <c r="V16987" s="24"/>
      <c r="W16987" s="24"/>
      <c r="X16987" s="24"/>
      <c r="Y16987" s="24"/>
      <c r="Z16987" s="24"/>
      <c r="AA16987" s="24"/>
    </row>
    <row r="16988">
      <c r="A16988" s="24"/>
      <c r="B16988" s="25"/>
      <c r="C16988" s="24"/>
      <c r="D16988" s="26"/>
      <c r="E16988" s="24"/>
      <c r="F16988" s="24"/>
      <c r="G16988" s="24"/>
      <c r="H16988" s="24"/>
      <c r="I16988" s="24"/>
      <c r="J16988" s="24"/>
      <c r="K16988" s="24"/>
      <c r="L16988" s="24"/>
      <c r="M16988" s="24"/>
      <c r="N16988" s="24"/>
      <c r="O16988" s="24"/>
      <c r="P16988" s="24"/>
      <c r="Q16988" s="24"/>
      <c r="R16988" s="24"/>
      <c r="S16988" s="24"/>
      <c r="T16988" s="24"/>
      <c r="U16988" s="24"/>
      <c r="V16988" s="24"/>
      <c r="W16988" s="24"/>
      <c r="X16988" s="24"/>
      <c r="Y16988" s="24"/>
      <c r="Z16988" s="24"/>
      <c r="AA16988" s="24"/>
    </row>
    <row r="16989">
      <c r="A16989" s="24"/>
      <c r="B16989" s="25"/>
      <c r="C16989" s="24"/>
      <c r="D16989" s="26"/>
      <c r="E16989" s="24"/>
      <c r="F16989" s="24"/>
      <c r="G16989" s="24"/>
      <c r="H16989" s="24"/>
      <c r="I16989" s="24"/>
      <c r="J16989" s="24"/>
      <c r="K16989" s="24"/>
      <c r="L16989" s="24"/>
      <c r="M16989" s="24"/>
      <c r="N16989" s="24"/>
      <c r="O16989" s="24"/>
      <c r="P16989" s="24"/>
      <c r="Q16989" s="24"/>
      <c r="R16989" s="24"/>
      <c r="S16989" s="24"/>
      <c r="T16989" s="24"/>
      <c r="U16989" s="24"/>
      <c r="V16989" s="24"/>
      <c r="W16989" s="24"/>
      <c r="X16989" s="24"/>
      <c r="Y16989" s="24"/>
      <c r="Z16989" s="24"/>
      <c r="AA16989" s="24"/>
    </row>
    <row r="16990">
      <c r="A16990" s="24"/>
      <c r="B16990" s="25"/>
      <c r="C16990" s="24"/>
      <c r="D16990" s="26"/>
      <c r="E16990" s="24"/>
      <c r="F16990" s="24"/>
      <c r="G16990" s="24"/>
      <c r="H16990" s="24"/>
      <c r="I16990" s="24"/>
      <c r="J16990" s="24"/>
      <c r="K16990" s="24"/>
      <c r="L16990" s="24"/>
      <c r="M16990" s="24"/>
      <c r="N16990" s="24"/>
      <c r="O16990" s="24"/>
      <c r="P16990" s="24"/>
      <c r="Q16990" s="24"/>
      <c r="R16990" s="24"/>
      <c r="S16990" s="24"/>
      <c r="T16990" s="24"/>
      <c r="U16990" s="24"/>
      <c r="V16990" s="24"/>
      <c r="W16990" s="24"/>
      <c r="X16990" s="24"/>
      <c r="Y16990" s="24"/>
      <c r="Z16990" s="24"/>
      <c r="AA16990" s="24"/>
    </row>
    <row r="16991">
      <c r="A16991" s="24"/>
      <c r="B16991" s="25"/>
      <c r="C16991" s="24"/>
      <c r="D16991" s="26"/>
      <c r="E16991" s="24"/>
      <c r="F16991" s="24"/>
      <c r="G16991" s="24"/>
      <c r="H16991" s="24"/>
      <c r="I16991" s="24"/>
      <c r="J16991" s="24"/>
      <c r="K16991" s="24"/>
      <c r="L16991" s="24"/>
      <c r="M16991" s="24"/>
      <c r="N16991" s="24"/>
      <c r="O16991" s="24"/>
      <c r="P16991" s="24"/>
      <c r="Q16991" s="24"/>
      <c r="R16991" s="24"/>
      <c r="S16991" s="24"/>
      <c r="T16991" s="24"/>
      <c r="U16991" s="24"/>
      <c r="V16991" s="24"/>
      <c r="W16991" s="24"/>
      <c r="X16991" s="24"/>
      <c r="Y16991" s="24"/>
      <c r="Z16991" s="24"/>
      <c r="AA16991" s="24"/>
    </row>
    <row r="16992">
      <c r="A16992" s="24"/>
      <c r="B16992" s="25"/>
      <c r="C16992" s="24"/>
      <c r="D16992" s="26"/>
      <c r="E16992" s="24"/>
      <c r="F16992" s="24"/>
      <c r="G16992" s="24"/>
      <c r="H16992" s="24"/>
      <c r="I16992" s="24"/>
      <c r="J16992" s="24"/>
      <c r="K16992" s="24"/>
      <c r="L16992" s="24"/>
      <c r="M16992" s="24"/>
      <c r="N16992" s="24"/>
      <c r="O16992" s="24"/>
      <c r="P16992" s="24"/>
      <c r="Q16992" s="24"/>
      <c r="R16992" s="24"/>
      <c r="S16992" s="24"/>
      <c r="T16992" s="24"/>
      <c r="U16992" s="24"/>
      <c r="V16992" s="24"/>
      <c r="W16992" s="24"/>
      <c r="X16992" s="24"/>
      <c r="Y16992" s="24"/>
      <c r="Z16992" s="24"/>
      <c r="AA16992" s="24"/>
    </row>
    <row r="16993">
      <c r="A16993" s="24"/>
      <c r="B16993" s="25"/>
      <c r="C16993" s="24"/>
      <c r="D16993" s="26"/>
      <c r="E16993" s="24"/>
      <c r="F16993" s="24"/>
      <c r="G16993" s="24"/>
      <c r="H16993" s="24"/>
      <c r="I16993" s="24"/>
      <c r="J16993" s="24"/>
      <c r="K16993" s="24"/>
      <c r="L16993" s="24"/>
      <c r="M16993" s="24"/>
      <c r="N16993" s="24"/>
      <c r="O16993" s="24"/>
      <c r="P16993" s="24"/>
      <c r="Q16993" s="24"/>
      <c r="R16993" s="24"/>
      <c r="S16993" s="24"/>
      <c r="T16993" s="24"/>
      <c r="U16993" s="24"/>
      <c r="V16993" s="24"/>
      <c r="W16993" s="24"/>
      <c r="X16993" s="24"/>
      <c r="Y16993" s="24"/>
      <c r="Z16993" s="24"/>
      <c r="AA16993" s="24"/>
    </row>
    <row r="16994">
      <c r="A16994" s="24"/>
      <c r="B16994" s="25"/>
      <c r="C16994" s="24"/>
      <c r="D16994" s="26"/>
      <c r="E16994" s="24"/>
      <c r="F16994" s="24"/>
      <c r="G16994" s="24"/>
      <c r="H16994" s="24"/>
      <c r="I16994" s="24"/>
      <c r="J16994" s="24"/>
      <c r="K16994" s="24"/>
      <c r="L16994" s="24"/>
      <c r="M16994" s="24"/>
      <c r="N16994" s="24"/>
      <c r="O16994" s="24"/>
      <c r="P16994" s="24"/>
      <c r="Q16994" s="24"/>
      <c r="R16994" s="24"/>
      <c r="S16994" s="24"/>
      <c r="T16994" s="24"/>
      <c r="U16994" s="24"/>
      <c r="V16994" s="24"/>
      <c r="W16994" s="24"/>
      <c r="X16994" s="24"/>
      <c r="Y16994" s="24"/>
      <c r="Z16994" s="24"/>
      <c r="AA16994" s="24"/>
    </row>
    <row r="16995">
      <c r="A16995" s="24"/>
      <c r="B16995" s="25"/>
      <c r="C16995" s="24"/>
      <c r="D16995" s="26"/>
      <c r="E16995" s="24"/>
      <c r="F16995" s="24"/>
      <c r="G16995" s="24"/>
      <c r="H16995" s="24"/>
      <c r="I16995" s="24"/>
      <c r="J16995" s="24"/>
      <c r="K16995" s="24"/>
      <c r="L16995" s="24"/>
      <c r="M16995" s="24"/>
      <c r="N16995" s="24"/>
      <c r="O16995" s="24"/>
      <c r="P16995" s="24"/>
      <c r="Q16995" s="24"/>
      <c r="R16995" s="24"/>
      <c r="S16995" s="24"/>
      <c r="T16995" s="24"/>
      <c r="U16995" s="24"/>
      <c r="V16995" s="24"/>
      <c r="W16995" s="24"/>
      <c r="X16995" s="24"/>
      <c r="Y16995" s="24"/>
      <c r="Z16995" s="24"/>
      <c r="AA16995" s="24"/>
    </row>
    <row r="16996">
      <c r="A16996" s="24"/>
      <c r="B16996" s="25"/>
      <c r="C16996" s="24"/>
      <c r="D16996" s="26"/>
      <c r="E16996" s="24"/>
      <c r="F16996" s="24"/>
      <c r="G16996" s="24"/>
      <c r="H16996" s="24"/>
      <c r="I16996" s="24"/>
      <c r="J16996" s="24"/>
      <c r="K16996" s="24"/>
      <c r="L16996" s="24"/>
      <c r="M16996" s="24"/>
      <c r="N16996" s="24"/>
      <c r="O16996" s="24"/>
      <c r="P16996" s="24"/>
      <c r="Q16996" s="24"/>
      <c r="R16996" s="24"/>
      <c r="S16996" s="24"/>
      <c r="T16996" s="24"/>
      <c r="U16996" s="24"/>
      <c r="V16996" s="24"/>
      <c r="W16996" s="24"/>
      <c r="X16996" s="24"/>
      <c r="Y16996" s="24"/>
      <c r="Z16996" s="24"/>
      <c r="AA16996" s="24"/>
    </row>
    <row r="16997">
      <c r="A16997" s="24"/>
      <c r="B16997" s="25"/>
      <c r="C16997" s="24"/>
      <c r="D16997" s="26"/>
      <c r="E16997" s="24"/>
      <c r="F16997" s="24"/>
      <c r="G16997" s="24"/>
      <c r="H16997" s="24"/>
      <c r="I16997" s="24"/>
      <c r="J16997" s="24"/>
      <c r="K16997" s="24"/>
      <c r="L16997" s="24"/>
      <c r="M16997" s="24"/>
      <c r="N16997" s="24"/>
      <c r="O16997" s="24"/>
      <c r="P16997" s="24"/>
      <c r="Q16997" s="24"/>
      <c r="R16997" s="24"/>
      <c r="S16997" s="24"/>
      <c r="T16997" s="24"/>
      <c r="U16997" s="24"/>
      <c r="V16997" s="24"/>
      <c r="W16997" s="24"/>
      <c r="X16997" s="24"/>
      <c r="Y16997" s="24"/>
      <c r="Z16997" s="24"/>
      <c r="AA16997" s="24"/>
    </row>
    <row r="16998">
      <c r="A16998" s="24"/>
      <c r="B16998" s="25"/>
      <c r="C16998" s="24"/>
      <c r="D16998" s="26"/>
      <c r="E16998" s="24"/>
      <c r="F16998" s="24"/>
      <c r="G16998" s="24"/>
      <c r="H16998" s="24"/>
      <c r="I16998" s="24"/>
      <c r="J16998" s="24"/>
      <c r="K16998" s="24"/>
      <c r="L16998" s="24"/>
      <c r="M16998" s="24"/>
      <c r="N16998" s="24"/>
      <c r="O16998" s="24"/>
      <c r="P16998" s="24"/>
      <c r="Q16998" s="24"/>
      <c r="R16998" s="24"/>
      <c r="S16998" s="24"/>
      <c r="T16998" s="24"/>
      <c r="U16998" s="24"/>
      <c r="V16998" s="24"/>
      <c r="W16998" s="24"/>
      <c r="X16998" s="24"/>
      <c r="Y16998" s="24"/>
      <c r="Z16998" s="24"/>
      <c r="AA16998" s="24"/>
    </row>
    <row r="16999">
      <c r="A16999" s="24"/>
      <c r="B16999" s="25"/>
      <c r="C16999" s="24"/>
      <c r="D16999" s="26"/>
      <c r="E16999" s="24"/>
      <c r="F16999" s="24"/>
      <c r="G16999" s="24"/>
      <c r="H16999" s="24"/>
      <c r="I16999" s="24"/>
      <c r="J16999" s="24"/>
      <c r="K16999" s="24"/>
      <c r="L16999" s="24"/>
      <c r="M16999" s="24"/>
      <c r="N16999" s="24"/>
      <c r="O16999" s="24"/>
      <c r="P16999" s="24"/>
      <c r="Q16999" s="24"/>
      <c r="R16999" s="24"/>
      <c r="S16999" s="24"/>
      <c r="T16999" s="24"/>
      <c r="U16999" s="24"/>
      <c r="V16999" s="24"/>
      <c r="W16999" s="24"/>
      <c r="X16999" s="24"/>
      <c r="Y16999" s="24"/>
      <c r="Z16999" s="24"/>
      <c r="AA16999" s="24"/>
    </row>
    <row r="17000">
      <c r="A17000" s="24"/>
      <c r="B17000" s="25"/>
      <c r="C17000" s="24"/>
      <c r="D17000" s="26"/>
      <c r="E17000" s="24"/>
      <c r="F17000" s="24"/>
      <c r="G17000" s="24"/>
      <c r="H17000" s="24"/>
      <c r="I17000" s="24"/>
      <c r="J17000" s="24"/>
      <c r="K17000" s="24"/>
      <c r="L17000" s="24"/>
      <c r="M17000" s="24"/>
      <c r="N17000" s="24"/>
      <c r="O17000" s="24"/>
      <c r="P17000" s="24"/>
      <c r="Q17000" s="24"/>
      <c r="R17000" s="24"/>
      <c r="S17000" s="24"/>
      <c r="T17000" s="24"/>
      <c r="U17000" s="24"/>
      <c r="V17000" s="24"/>
      <c r="W17000" s="24"/>
      <c r="X17000" s="24"/>
      <c r="Y17000" s="24"/>
      <c r="Z17000" s="24"/>
      <c r="AA17000" s="24"/>
    </row>
    <row r="17001">
      <c r="A17001" s="24"/>
      <c r="B17001" s="25"/>
      <c r="C17001" s="24"/>
      <c r="D17001" s="26"/>
      <c r="E17001" s="24"/>
      <c r="F17001" s="24"/>
      <c r="G17001" s="24"/>
      <c r="H17001" s="24"/>
      <c r="I17001" s="24"/>
      <c r="J17001" s="24"/>
      <c r="K17001" s="24"/>
      <c r="L17001" s="24"/>
      <c r="M17001" s="24"/>
      <c r="N17001" s="24"/>
      <c r="O17001" s="24"/>
      <c r="P17001" s="24"/>
      <c r="Q17001" s="24"/>
      <c r="R17001" s="24"/>
      <c r="S17001" s="24"/>
      <c r="T17001" s="24"/>
      <c r="U17001" s="24"/>
      <c r="V17001" s="24"/>
      <c r="W17001" s="24"/>
      <c r="X17001" s="24"/>
      <c r="Y17001" s="24"/>
      <c r="Z17001" s="24"/>
      <c r="AA17001" s="24"/>
    </row>
    <row r="17002">
      <c r="A17002" s="24"/>
      <c r="B17002" s="25"/>
      <c r="C17002" s="24"/>
      <c r="D17002" s="26"/>
      <c r="E17002" s="24"/>
      <c r="F17002" s="24"/>
      <c r="G17002" s="24"/>
      <c r="H17002" s="24"/>
      <c r="I17002" s="24"/>
      <c r="J17002" s="24"/>
      <c r="K17002" s="24"/>
      <c r="L17002" s="24"/>
      <c r="M17002" s="24"/>
      <c r="N17002" s="24"/>
      <c r="O17002" s="24"/>
      <c r="P17002" s="24"/>
      <c r="Q17002" s="24"/>
      <c r="R17002" s="24"/>
      <c r="S17002" s="24"/>
      <c r="T17002" s="24"/>
      <c r="U17002" s="24"/>
      <c r="V17002" s="24"/>
      <c r="W17002" s="24"/>
      <c r="X17002" s="24"/>
      <c r="Y17002" s="24"/>
      <c r="Z17002" s="24"/>
      <c r="AA17002" s="24"/>
    </row>
    <row r="17003">
      <c r="A17003" s="24"/>
      <c r="B17003" s="25"/>
      <c r="C17003" s="24"/>
      <c r="D17003" s="26"/>
      <c r="E17003" s="24"/>
      <c r="F17003" s="24"/>
      <c r="G17003" s="24"/>
      <c r="H17003" s="24"/>
      <c r="I17003" s="24"/>
      <c r="J17003" s="24"/>
      <c r="K17003" s="24"/>
      <c r="L17003" s="24"/>
      <c r="M17003" s="24"/>
      <c r="N17003" s="24"/>
      <c r="O17003" s="24"/>
      <c r="P17003" s="24"/>
      <c r="Q17003" s="24"/>
      <c r="R17003" s="24"/>
      <c r="S17003" s="24"/>
      <c r="T17003" s="24"/>
      <c r="U17003" s="24"/>
      <c r="V17003" s="24"/>
      <c r="W17003" s="24"/>
      <c r="X17003" s="24"/>
      <c r="Y17003" s="24"/>
      <c r="Z17003" s="24"/>
      <c r="AA17003" s="24"/>
    </row>
    <row r="17004">
      <c r="A17004" s="24"/>
      <c r="B17004" s="25"/>
      <c r="C17004" s="24"/>
      <c r="D17004" s="26"/>
      <c r="E17004" s="24"/>
      <c r="F17004" s="24"/>
      <c r="G17004" s="24"/>
      <c r="H17004" s="24"/>
      <c r="I17004" s="24"/>
      <c r="J17004" s="24"/>
      <c r="K17004" s="24"/>
      <c r="L17004" s="24"/>
      <c r="M17004" s="24"/>
      <c r="N17004" s="24"/>
      <c r="O17004" s="24"/>
      <c r="P17004" s="24"/>
      <c r="Q17004" s="24"/>
      <c r="R17004" s="24"/>
      <c r="S17004" s="24"/>
      <c r="T17004" s="24"/>
      <c r="U17004" s="24"/>
      <c r="V17004" s="24"/>
      <c r="W17004" s="24"/>
      <c r="X17004" s="24"/>
      <c r="Y17004" s="24"/>
      <c r="Z17004" s="24"/>
      <c r="AA17004" s="24"/>
    </row>
    <row r="17005">
      <c r="A17005" s="24"/>
      <c r="B17005" s="25"/>
      <c r="C17005" s="24"/>
      <c r="D17005" s="26"/>
      <c r="E17005" s="24"/>
      <c r="F17005" s="24"/>
      <c r="G17005" s="24"/>
      <c r="H17005" s="24"/>
      <c r="I17005" s="24"/>
      <c r="J17005" s="24"/>
      <c r="K17005" s="24"/>
      <c r="L17005" s="24"/>
      <c r="M17005" s="24"/>
      <c r="N17005" s="24"/>
      <c r="O17005" s="24"/>
      <c r="P17005" s="24"/>
      <c r="Q17005" s="24"/>
      <c r="R17005" s="24"/>
      <c r="S17005" s="24"/>
      <c r="T17005" s="24"/>
      <c r="U17005" s="24"/>
      <c r="V17005" s="24"/>
      <c r="W17005" s="24"/>
      <c r="X17005" s="24"/>
      <c r="Y17005" s="24"/>
      <c r="Z17005" s="24"/>
      <c r="AA17005" s="24"/>
    </row>
    <row r="17006">
      <c r="A17006" s="24"/>
      <c r="B17006" s="25"/>
      <c r="C17006" s="24"/>
      <c r="D17006" s="26"/>
      <c r="E17006" s="24"/>
      <c r="F17006" s="24"/>
      <c r="G17006" s="24"/>
      <c r="H17006" s="24"/>
      <c r="I17006" s="24"/>
      <c r="J17006" s="24"/>
      <c r="K17006" s="24"/>
      <c r="L17006" s="24"/>
      <c r="M17006" s="24"/>
      <c r="N17006" s="24"/>
      <c r="O17006" s="24"/>
      <c r="P17006" s="24"/>
      <c r="Q17006" s="24"/>
      <c r="R17006" s="24"/>
      <c r="S17006" s="24"/>
      <c r="T17006" s="24"/>
      <c r="U17006" s="24"/>
      <c r="V17006" s="24"/>
      <c r="W17006" s="24"/>
      <c r="X17006" s="24"/>
      <c r="Y17006" s="24"/>
      <c r="Z17006" s="24"/>
      <c r="AA17006" s="24"/>
    </row>
    <row r="17007">
      <c r="A17007" s="24"/>
      <c r="B17007" s="25"/>
      <c r="C17007" s="24"/>
      <c r="D17007" s="26"/>
      <c r="E17007" s="24"/>
      <c r="F17007" s="24"/>
      <c r="G17007" s="24"/>
      <c r="H17007" s="24"/>
      <c r="I17007" s="24"/>
      <c r="J17007" s="24"/>
      <c r="K17007" s="24"/>
      <c r="L17007" s="24"/>
      <c r="M17007" s="24"/>
      <c r="N17007" s="24"/>
      <c r="O17007" s="24"/>
      <c r="P17007" s="24"/>
      <c r="Q17007" s="24"/>
      <c r="R17007" s="24"/>
      <c r="S17007" s="24"/>
      <c r="T17007" s="24"/>
      <c r="U17007" s="24"/>
      <c r="V17007" s="24"/>
      <c r="W17007" s="24"/>
      <c r="X17007" s="24"/>
      <c r="Y17007" s="24"/>
      <c r="Z17007" s="24"/>
      <c r="AA17007" s="24"/>
    </row>
    <row r="17008">
      <c r="A17008" s="24"/>
      <c r="B17008" s="25"/>
      <c r="C17008" s="24"/>
      <c r="D17008" s="26"/>
      <c r="E17008" s="24"/>
      <c r="F17008" s="24"/>
      <c r="G17008" s="24"/>
      <c r="H17008" s="24"/>
      <c r="I17008" s="24"/>
      <c r="J17008" s="24"/>
      <c r="K17008" s="24"/>
      <c r="L17008" s="24"/>
      <c r="M17008" s="24"/>
      <c r="N17008" s="24"/>
      <c r="O17008" s="24"/>
      <c r="P17008" s="24"/>
      <c r="Q17008" s="24"/>
      <c r="R17008" s="24"/>
      <c r="S17008" s="24"/>
      <c r="T17008" s="24"/>
      <c r="U17008" s="24"/>
      <c r="V17008" s="24"/>
      <c r="W17008" s="24"/>
      <c r="X17008" s="24"/>
      <c r="Y17008" s="24"/>
      <c r="Z17008" s="24"/>
      <c r="AA17008" s="24"/>
    </row>
    <row r="17009">
      <c r="A17009" s="24"/>
      <c r="B17009" s="25"/>
      <c r="C17009" s="24"/>
      <c r="D17009" s="26"/>
      <c r="E17009" s="24"/>
      <c r="F17009" s="24"/>
      <c r="G17009" s="24"/>
      <c r="H17009" s="24"/>
      <c r="I17009" s="24"/>
      <c r="J17009" s="24"/>
      <c r="K17009" s="24"/>
      <c r="L17009" s="24"/>
      <c r="M17009" s="24"/>
      <c r="N17009" s="24"/>
      <c r="O17009" s="24"/>
      <c r="P17009" s="24"/>
      <c r="Q17009" s="24"/>
      <c r="R17009" s="24"/>
      <c r="S17009" s="24"/>
      <c r="T17009" s="24"/>
      <c r="U17009" s="24"/>
      <c r="V17009" s="24"/>
      <c r="W17009" s="24"/>
      <c r="X17009" s="24"/>
      <c r="Y17009" s="24"/>
      <c r="Z17009" s="24"/>
      <c r="AA17009" s="24"/>
    </row>
    <row r="17010">
      <c r="A17010" s="24"/>
      <c r="B17010" s="25"/>
      <c r="C17010" s="24"/>
      <c r="D17010" s="26"/>
      <c r="E17010" s="24"/>
      <c r="F17010" s="24"/>
      <c r="G17010" s="24"/>
      <c r="H17010" s="24"/>
      <c r="I17010" s="24"/>
      <c r="J17010" s="24"/>
      <c r="K17010" s="24"/>
      <c r="L17010" s="24"/>
      <c r="M17010" s="24"/>
      <c r="N17010" s="24"/>
      <c r="O17010" s="24"/>
      <c r="P17010" s="24"/>
      <c r="Q17010" s="24"/>
      <c r="R17010" s="24"/>
      <c r="S17010" s="24"/>
      <c r="T17010" s="24"/>
      <c r="U17010" s="24"/>
      <c r="V17010" s="24"/>
      <c r="W17010" s="24"/>
      <c r="X17010" s="24"/>
      <c r="Y17010" s="24"/>
      <c r="Z17010" s="24"/>
      <c r="AA17010" s="24"/>
    </row>
    <row r="17011">
      <c r="A17011" s="24"/>
      <c r="B17011" s="25"/>
      <c r="C17011" s="24"/>
      <c r="D17011" s="26"/>
      <c r="E17011" s="24"/>
      <c r="F17011" s="24"/>
      <c r="G17011" s="24"/>
      <c r="H17011" s="24"/>
      <c r="I17011" s="24"/>
      <c r="J17011" s="24"/>
      <c r="K17011" s="24"/>
      <c r="L17011" s="24"/>
      <c r="M17011" s="24"/>
      <c r="N17011" s="24"/>
      <c r="O17011" s="24"/>
      <c r="P17011" s="24"/>
      <c r="Q17011" s="24"/>
      <c r="R17011" s="24"/>
      <c r="S17011" s="24"/>
      <c r="T17011" s="24"/>
      <c r="U17011" s="24"/>
      <c r="V17011" s="24"/>
      <c r="W17011" s="24"/>
      <c r="X17011" s="24"/>
      <c r="Y17011" s="24"/>
      <c r="Z17011" s="24"/>
      <c r="AA17011" s="24"/>
    </row>
    <row r="17012">
      <c r="A17012" s="24"/>
      <c r="B17012" s="25"/>
      <c r="C17012" s="24"/>
      <c r="D17012" s="26"/>
      <c r="E17012" s="24"/>
      <c r="F17012" s="24"/>
      <c r="G17012" s="24"/>
      <c r="H17012" s="24"/>
      <c r="I17012" s="24"/>
      <c r="J17012" s="24"/>
      <c r="K17012" s="24"/>
      <c r="L17012" s="24"/>
      <c r="M17012" s="24"/>
      <c r="N17012" s="24"/>
      <c r="O17012" s="24"/>
      <c r="P17012" s="24"/>
      <c r="Q17012" s="24"/>
      <c r="R17012" s="24"/>
      <c r="S17012" s="24"/>
      <c r="T17012" s="24"/>
      <c r="U17012" s="24"/>
      <c r="V17012" s="24"/>
      <c r="W17012" s="24"/>
      <c r="X17012" s="24"/>
      <c r="Y17012" s="24"/>
      <c r="Z17012" s="24"/>
      <c r="AA17012" s="24"/>
    </row>
    <row r="17013">
      <c r="A17013" s="24"/>
      <c r="B17013" s="25"/>
      <c r="C17013" s="24"/>
      <c r="D17013" s="26"/>
      <c r="E17013" s="24"/>
      <c r="F17013" s="24"/>
      <c r="G17013" s="24"/>
      <c r="H17013" s="24"/>
      <c r="I17013" s="24"/>
      <c r="J17013" s="24"/>
      <c r="K17013" s="24"/>
      <c r="L17013" s="24"/>
      <c r="M17013" s="24"/>
      <c r="N17013" s="24"/>
      <c r="O17013" s="24"/>
      <c r="P17013" s="24"/>
      <c r="Q17013" s="24"/>
      <c r="R17013" s="24"/>
      <c r="S17013" s="24"/>
      <c r="T17013" s="24"/>
      <c r="U17013" s="24"/>
      <c r="V17013" s="24"/>
      <c r="W17013" s="24"/>
      <c r="X17013" s="24"/>
      <c r="Y17013" s="24"/>
      <c r="Z17013" s="24"/>
      <c r="AA17013" s="24"/>
    </row>
    <row r="17014">
      <c r="A17014" s="24"/>
      <c r="B17014" s="25"/>
      <c r="C17014" s="24"/>
      <c r="D17014" s="26"/>
      <c r="E17014" s="24"/>
      <c r="F17014" s="24"/>
      <c r="G17014" s="24"/>
      <c r="H17014" s="24"/>
      <c r="I17014" s="24"/>
      <c r="J17014" s="24"/>
      <c r="K17014" s="24"/>
      <c r="L17014" s="24"/>
      <c r="M17014" s="24"/>
      <c r="N17014" s="24"/>
      <c r="O17014" s="24"/>
      <c r="P17014" s="24"/>
      <c r="Q17014" s="24"/>
      <c r="R17014" s="24"/>
      <c r="S17014" s="24"/>
      <c r="T17014" s="24"/>
      <c r="U17014" s="24"/>
      <c r="V17014" s="24"/>
      <c r="W17014" s="24"/>
      <c r="X17014" s="24"/>
      <c r="Y17014" s="24"/>
      <c r="Z17014" s="24"/>
      <c r="AA17014" s="24"/>
    </row>
    <row r="17015">
      <c r="A17015" s="24"/>
      <c r="B17015" s="25"/>
      <c r="C17015" s="24"/>
      <c r="D17015" s="26"/>
      <c r="E17015" s="24"/>
      <c r="F17015" s="24"/>
      <c r="G17015" s="24"/>
      <c r="H17015" s="24"/>
      <c r="I17015" s="24"/>
      <c r="J17015" s="24"/>
      <c r="K17015" s="24"/>
      <c r="L17015" s="24"/>
      <c r="M17015" s="24"/>
      <c r="N17015" s="24"/>
      <c r="O17015" s="24"/>
      <c r="P17015" s="24"/>
      <c r="Q17015" s="24"/>
      <c r="R17015" s="24"/>
      <c r="S17015" s="24"/>
      <c r="T17015" s="24"/>
      <c r="U17015" s="24"/>
      <c r="V17015" s="24"/>
      <c r="W17015" s="24"/>
      <c r="X17015" s="24"/>
      <c r="Y17015" s="24"/>
      <c r="Z17015" s="24"/>
      <c r="AA17015" s="24"/>
    </row>
    <row r="17016">
      <c r="A17016" s="24"/>
      <c r="B17016" s="25"/>
      <c r="C17016" s="24"/>
      <c r="D17016" s="26"/>
      <c r="E17016" s="24"/>
      <c r="F17016" s="24"/>
      <c r="G17016" s="24"/>
      <c r="H17016" s="24"/>
      <c r="I17016" s="24"/>
      <c r="J17016" s="24"/>
      <c r="K17016" s="24"/>
      <c r="L17016" s="24"/>
      <c r="M17016" s="24"/>
      <c r="N17016" s="24"/>
      <c r="O17016" s="24"/>
      <c r="P17016" s="24"/>
      <c r="Q17016" s="24"/>
      <c r="R17016" s="24"/>
      <c r="S17016" s="24"/>
      <c r="T17016" s="24"/>
      <c r="U17016" s="24"/>
      <c r="V17016" s="24"/>
      <c r="W17016" s="24"/>
      <c r="X17016" s="24"/>
      <c r="Y17016" s="24"/>
      <c r="Z17016" s="24"/>
      <c r="AA17016" s="24"/>
    </row>
    <row r="17017">
      <c r="A17017" s="24"/>
      <c r="B17017" s="25"/>
      <c r="C17017" s="24"/>
      <c r="D17017" s="26"/>
      <c r="E17017" s="24"/>
      <c r="F17017" s="24"/>
      <c r="G17017" s="24"/>
      <c r="H17017" s="24"/>
      <c r="I17017" s="24"/>
      <c r="J17017" s="24"/>
      <c r="K17017" s="24"/>
      <c r="L17017" s="24"/>
      <c r="M17017" s="24"/>
      <c r="N17017" s="24"/>
      <c r="O17017" s="24"/>
      <c r="P17017" s="24"/>
      <c r="Q17017" s="24"/>
      <c r="R17017" s="24"/>
      <c r="S17017" s="24"/>
      <c r="T17017" s="24"/>
      <c r="U17017" s="24"/>
      <c r="V17017" s="24"/>
      <c r="W17017" s="24"/>
      <c r="X17017" s="24"/>
      <c r="Y17017" s="24"/>
      <c r="Z17017" s="24"/>
      <c r="AA17017" s="24"/>
    </row>
    <row r="17018">
      <c r="A17018" s="24"/>
      <c r="B17018" s="25"/>
      <c r="C17018" s="24"/>
      <c r="D17018" s="26"/>
      <c r="E17018" s="24"/>
      <c r="F17018" s="24"/>
      <c r="G17018" s="24"/>
      <c r="H17018" s="24"/>
      <c r="I17018" s="24"/>
      <c r="J17018" s="24"/>
      <c r="K17018" s="24"/>
      <c r="L17018" s="24"/>
      <c r="M17018" s="24"/>
      <c r="N17018" s="24"/>
      <c r="O17018" s="24"/>
      <c r="P17018" s="24"/>
      <c r="Q17018" s="24"/>
      <c r="R17018" s="24"/>
      <c r="S17018" s="24"/>
      <c r="T17018" s="24"/>
      <c r="U17018" s="24"/>
      <c r="V17018" s="24"/>
      <c r="W17018" s="24"/>
      <c r="X17018" s="24"/>
      <c r="Y17018" s="24"/>
      <c r="Z17018" s="24"/>
      <c r="AA17018" s="24"/>
    </row>
    <row r="17019">
      <c r="A17019" s="24"/>
      <c r="B17019" s="25"/>
      <c r="C17019" s="24"/>
      <c r="D17019" s="26"/>
      <c r="E17019" s="24"/>
      <c r="F17019" s="24"/>
      <c r="G17019" s="24"/>
      <c r="H17019" s="24"/>
      <c r="I17019" s="24"/>
      <c r="J17019" s="24"/>
      <c r="K17019" s="24"/>
      <c r="L17019" s="24"/>
      <c r="M17019" s="24"/>
      <c r="N17019" s="24"/>
      <c r="O17019" s="24"/>
      <c r="P17019" s="24"/>
      <c r="Q17019" s="24"/>
      <c r="R17019" s="24"/>
      <c r="S17019" s="24"/>
      <c r="T17019" s="24"/>
      <c r="U17019" s="24"/>
      <c r="V17019" s="24"/>
      <c r="W17019" s="24"/>
      <c r="X17019" s="24"/>
      <c r="Y17019" s="24"/>
      <c r="Z17019" s="24"/>
      <c r="AA17019" s="24"/>
    </row>
    <row r="17020">
      <c r="A17020" s="24"/>
      <c r="B17020" s="25"/>
      <c r="C17020" s="24"/>
      <c r="D17020" s="26"/>
      <c r="E17020" s="24"/>
      <c r="F17020" s="24"/>
      <c r="G17020" s="24"/>
      <c r="H17020" s="24"/>
      <c r="I17020" s="24"/>
      <c r="J17020" s="24"/>
      <c r="K17020" s="24"/>
      <c r="L17020" s="24"/>
      <c r="M17020" s="24"/>
      <c r="N17020" s="24"/>
      <c r="O17020" s="24"/>
      <c r="P17020" s="24"/>
      <c r="Q17020" s="24"/>
      <c r="R17020" s="24"/>
      <c r="S17020" s="24"/>
      <c r="T17020" s="24"/>
      <c r="U17020" s="24"/>
      <c r="V17020" s="24"/>
      <c r="W17020" s="24"/>
      <c r="X17020" s="24"/>
      <c r="Y17020" s="24"/>
      <c r="Z17020" s="24"/>
      <c r="AA17020" s="24"/>
    </row>
    <row r="17021">
      <c r="A17021" s="24"/>
      <c r="B17021" s="25"/>
      <c r="C17021" s="24"/>
      <c r="D17021" s="26"/>
      <c r="E17021" s="24"/>
      <c r="F17021" s="24"/>
      <c r="G17021" s="24"/>
      <c r="H17021" s="24"/>
      <c r="I17021" s="24"/>
      <c r="J17021" s="24"/>
      <c r="K17021" s="24"/>
      <c r="L17021" s="24"/>
      <c r="M17021" s="24"/>
      <c r="N17021" s="24"/>
      <c r="O17021" s="24"/>
      <c r="P17021" s="24"/>
      <c r="Q17021" s="24"/>
      <c r="R17021" s="24"/>
      <c r="S17021" s="24"/>
      <c r="T17021" s="24"/>
      <c r="U17021" s="24"/>
      <c r="V17021" s="24"/>
      <c r="W17021" s="24"/>
      <c r="X17021" s="24"/>
      <c r="Y17021" s="24"/>
      <c r="Z17021" s="24"/>
      <c r="AA17021" s="24"/>
    </row>
    <row r="17022">
      <c r="A17022" s="24"/>
      <c r="B17022" s="25"/>
      <c r="C17022" s="24"/>
      <c r="D17022" s="26"/>
      <c r="E17022" s="24"/>
      <c r="F17022" s="24"/>
      <c r="G17022" s="24"/>
      <c r="H17022" s="24"/>
      <c r="I17022" s="24"/>
      <c r="J17022" s="24"/>
      <c r="K17022" s="24"/>
      <c r="L17022" s="24"/>
      <c r="M17022" s="24"/>
      <c r="N17022" s="24"/>
      <c r="O17022" s="24"/>
      <c r="P17022" s="24"/>
      <c r="Q17022" s="24"/>
      <c r="R17022" s="24"/>
      <c r="S17022" s="24"/>
      <c r="T17022" s="24"/>
      <c r="U17022" s="24"/>
      <c r="V17022" s="24"/>
      <c r="W17022" s="24"/>
      <c r="X17022" s="24"/>
      <c r="Y17022" s="24"/>
      <c r="Z17022" s="24"/>
      <c r="AA17022" s="24"/>
    </row>
    <row r="17023">
      <c r="A17023" s="24"/>
      <c r="B17023" s="25"/>
      <c r="C17023" s="24"/>
      <c r="D17023" s="26"/>
      <c r="E17023" s="24"/>
      <c r="F17023" s="24"/>
      <c r="G17023" s="24"/>
      <c r="H17023" s="24"/>
      <c r="I17023" s="24"/>
      <c r="J17023" s="24"/>
      <c r="K17023" s="24"/>
      <c r="L17023" s="24"/>
      <c r="M17023" s="24"/>
      <c r="N17023" s="24"/>
      <c r="O17023" s="24"/>
      <c r="P17023" s="24"/>
      <c r="Q17023" s="24"/>
      <c r="R17023" s="24"/>
      <c r="S17023" s="24"/>
      <c r="T17023" s="24"/>
      <c r="U17023" s="24"/>
      <c r="V17023" s="24"/>
      <c r="W17023" s="24"/>
      <c r="X17023" s="24"/>
      <c r="Y17023" s="24"/>
      <c r="Z17023" s="24"/>
      <c r="AA17023" s="24"/>
    </row>
    <row r="17024">
      <c r="A17024" s="24"/>
      <c r="B17024" s="25"/>
      <c r="C17024" s="24"/>
      <c r="D17024" s="26"/>
      <c r="E17024" s="24"/>
      <c r="F17024" s="24"/>
      <c r="G17024" s="24"/>
      <c r="H17024" s="24"/>
      <c r="I17024" s="24"/>
      <c r="J17024" s="24"/>
      <c r="K17024" s="24"/>
      <c r="L17024" s="24"/>
      <c r="M17024" s="24"/>
      <c r="N17024" s="24"/>
      <c r="O17024" s="24"/>
      <c r="P17024" s="24"/>
      <c r="Q17024" s="24"/>
      <c r="R17024" s="24"/>
      <c r="S17024" s="24"/>
      <c r="T17024" s="24"/>
      <c r="U17024" s="24"/>
      <c r="V17024" s="24"/>
      <c r="W17024" s="24"/>
      <c r="X17024" s="24"/>
      <c r="Y17024" s="24"/>
      <c r="Z17024" s="24"/>
      <c r="AA17024" s="24"/>
    </row>
    <row r="17025">
      <c r="A17025" s="24"/>
      <c r="B17025" s="25"/>
      <c r="C17025" s="24"/>
      <c r="D17025" s="26"/>
      <c r="E17025" s="24"/>
      <c r="F17025" s="24"/>
      <c r="G17025" s="24"/>
      <c r="H17025" s="24"/>
      <c r="I17025" s="24"/>
      <c r="J17025" s="24"/>
      <c r="K17025" s="24"/>
      <c r="L17025" s="24"/>
      <c r="M17025" s="24"/>
      <c r="N17025" s="24"/>
      <c r="O17025" s="24"/>
      <c r="P17025" s="24"/>
      <c r="Q17025" s="24"/>
      <c r="R17025" s="24"/>
      <c r="S17025" s="24"/>
      <c r="T17025" s="24"/>
      <c r="U17025" s="24"/>
      <c r="V17025" s="24"/>
      <c r="W17025" s="24"/>
      <c r="X17025" s="24"/>
      <c r="Y17025" s="24"/>
      <c r="Z17025" s="24"/>
      <c r="AA17025" s="24"/>
    </row>
    <row r="17026">
      <c r="A17026" s="24"/>
      <c r="B17026" s="25"/>
      <c r="C17026" s="24"/>
      <c r="D17026" s="26"/>
      <c r="E17026" s="24"/>
      <c r="F17026" s="24"/>
      <c r="G17026" s="24"/>
      <c r="H17026" s="24"/>
      <c r="I17026" s="24"/>
      <c r="J17026" s="24"/>
      <c r="K17026" s="24"/>
      <c r="L17026" s="24"/>
      <c r="M17026" s="24"/>
      <c r="N17026" s="24"/>
      <c r="O17026" s="24"/>
      <c r="P17026" s="24"/>
      <c r="Q17026" s="24"/>
      <c r="R17026" s="24"/>
      <c r="S17026" s="24"/>
      <c r="T17026" s="24"/>
      <c r="U17026" s="24"/>
      <c r="V17026" s="24"/>
      <c r="W17026" s="24"/>
      <c r="X17026" s="24"/>
      <c r="Y17026" s="24"/>
      <c r="Z17026" s="24"/>
      <c r="AA17026" s="24"/>
    </row>
    <row r="17027">
      <c r="A17027" s="24"/>
      <c r="B17027" s="25"/>
      <c r="C17027" s="24"/>
      <c r="D17027" s="26"/>
      <c r="E17027" s="24"/>
      <c r="F17027" s="24"/>
      <c r="G17027" s="24"/>
      <c r="H17027" s="24"/>
      <c r="I17027" s="24"/>
      <c r="J17027" s="24"/>
      <c r="K17027" s="24"/>
      <c r="L17027" s="24"/>
      <c r="M17027" s="24"/>
      <c r="N17027" s="24"/>
      <c r="O17027" s="24"/>
      <c r="P17027" s="24"/>
      <c r="Q17027" s="24"/>
      <c r="R17027" s="24"/>
      <c r="S17027" s="24"/>
      <c r="T17027" s="24"/>
      <c r="U17027" s="24"/>
      <c r="V17027" s="24"/>
      <c r="W17027" s="24"/>
      <c r="X17027" s="24"/>
      <c r="Y17027" s="24"/>
      <c r="Z17027" s="24"/>
      <c r="AA17027" s="24"/>
    </row>
    <row r="17028">
      <c r="A17028" s="24"/>
      <c r="B17028" s="25"/>
      <c r="C17028" s="24"/>
      <c r="D17028" s="26"/>
      <c r="E17028" s="24"/>
      <c r="F17028" s="24"/>
      <c r="G17028" s="24"/>
      <c r="H17028" s="24"/>
      <c r="I17028" s="24"/>
      <c r="J17028" s="24"/>
      <c r="K17028" s="24"/>
      <c r="L17028" s="24"/>
      <c r="M17028" s="24"/>
      <c r="N17028" s="24"/>
      <c r="O17028" s="24"/>
      <c r="P17028" s="24"/>
      <c r="Q17028" s="24"/>
      <c r="R17028" s="24"/>
      <c r="S17028" s="24"/>
      <c r="T17028" s="24"/>
      <c r="U17028" s="24"/>
      <c r="V17028" s="24"/>
      <c r="W17028" s="24"/>
      <c r="X17028" s="24"/>
      <c r="Y17028" s="24"/>
      <c r="Z17028" s="24"/>
      <c r="AA17028" s="24"/>
    </row>
    <row r="17029">
      <c r="A17029" s="24"/>
      <c r="B17029" s="25"/>
      <c r="C17029" s="24"/>
      <c r="D17029" s="26"/>
      <c r="E17029" s="24"/>
      <c r="F17029" s="24"/>
      <c r="G17029" s="24"/>
      <c r="H17029" s="24"/>
      <c r="I17029" s="24"/>
      <c r="J17029" s="24"/>
      <c r="K17029" s="24"/>
      <c r="L17029" s="24"/>
      <c r="M17029" s="24"/>
      <c r="N17029" s="24"/>
      <c r="O17029" s="24"/>
      <c r="P17029" s="24"/>
      <c r="Q17029" s="24"/>
      <c r="R17029" s="24"/>
      <c r="S17029" s="24"/>
      <c r="T17029" s="24"/>
      <c r="U17029" s="24"/>
      <c r="V17029" s="24"/>
      <c r="W17029" s="24"/>
      <c r="X17029" s="24"/>
      <c r="Y17029" s="24"/>
      <c r="Z17029" s="24"/>
      <c r="AA17029" s="24"/>
    </row>
    <row r="17030">
      <c r="A17030" s="24"/>
      <c r="B17030" s="25"/>
      <c r="C17030" s="24"/>
      <c r="D17030" s="26"/>
      <c r="E17030" s="24"/>
      <c r="F17030" s="24"/>
      <c r="G17030" s="24"/>
      <c r="H17030" s="24"/>
      <c r="I17030" s="24"/>
      <c r="J17030" s="24"/>
      <c r="K17030" s="24"/>
      <c r="L17030" s="24"/>
      <c r="M17030" s="24"/>
      <c r="N17030" s="24"/>
      <c r="O17030" s="24"/>
      <c r="P17030" s="24"/>
      <c r="Q17030" s="24"/>
      <c r="R17030" s="24"/>
      <c r="S17030" s="24"/>
      <c r="T17030" s="24"/>
      <c r="U17030" s="24"/>
      <c r="V17030" s="24"/>
      <c r="W17030" s="24"/>
      <c r="X17030" s="24"/>
      <c r="Y17030" s="24"/>
      <c r="Z17030" s="24"/>
      <c r="AA17030" s="24"/>
    </row>
    <row r="17031">
      <c r="A17031" s="24"/>
      <c r="B17031" s="25"/>
      <c r="C17031" s="24"/>
      <c r="D17031" s="26"/>
      <c r="E17031" s="24"/>
      <c r="F17031" s="24"/>
      <c r="G17031" s="24"/>
      <c r="H17031" s="24"/>
      <c r="I17031" s="24"/>
      <c r="J17031" s="24"/>
      <c r="K17031" s="24"/>
      <c r="L17031" s="24"/>
      <c r="M17031" s="24"/>
      <c r="N17031" s="24"/>
      <c r="O17031" s="24"/>
      <c r="P17031" s="24"/>
      <c r="Q17031" s="24"/>
      <c r="R17031" s="24"/>
      <c r="S17031" s="24"/>
      <c r="T17031" s="24"/>
      <c r="U17031" s="24"/>
      <c r="V17031" s="24"/>
      <c r="W17031" s="24"/>
      <c r="X17031" s="24"/>
      <c r="Y17031" s="24"/>
      <c r="Z17031" s="24"/>
      <c r="AA17031" s="24"/>
    </row>
    <row r="17032">
      <c r="A17032" s="24"/>
      <c r="B17032" s="25"/>
      <c r="C17032" s="24"/>
      <c r="D17032" s="26"/>
      <c r="E17032" s="24"/>
      <c r="F17032" s="24"/>
      <c r="G17032" s="24"/>
      <c r="H17032" s="24"/>
      <c r="I17032" s="24"/>
      <c r="J17032" s="24"/>
      <c r="K17032" s="24"/>
      <c r="L17032" s="24"/>
      <c r="M17032" s="24"/>
      <c r="N17032" s="24"/>
      <c r="O17032" s="24"/>
      <c r="P17032" s="24"/>
      <c r="Q17032" s="24"/>
      <c r="R17032" s="24"/>
      <c r="S17032" s="24"/>
      <c r="T17032" s="24"/>
      <c r="U17032" s="24"/>
      <c r="V17032" s="24"/>
      <c r="W17032" s="24"/>
      <c r="X17032" s="24"/>
      <c r="Y17032" s="24"/>
      <c r="Z17032" s="24"/>
      <c r="AA17032" s="24"/>
    </row>
    <row r="17033">
      <c r="A17033" s="24"/>
      <c r="B17033" s="25"/>
      <c r="C17033" s="24"/>
      <c r="D17033" s="26"/>
      <c r="E17033" s="24"/>
      <c r="F17033" s="24"/>
      <c r="G17033" s="24"/>
      <c r="H17033" s="24"/>
      <c r="I17033" s="24"/>
      <c r="J17033" s="24"/>
      <c r="K17033" s="24"/>
      <c r="L17033" s="24"/>
      <c r="M17033" s="24"/>
      <c r="N17033" s="24"/>
      <c r="O17033" s="24"/>
      <c r="P17033" s="24"/>
      <c r="Q17033" s="24"/>
      <c r="R17033" s="24"/>
      <c r="S17033" s="24"/>
      <c r="T17033" s="24"/>
      <c r="U17033" s="24"/>
      <c r="V17033" s="24"/>
      <c r="W17033" s="24"/>
      <c r="X17033" s="24"/>
      <c r="Y17033" s="24"/>
      <c r="Z17033" s="24"/>
      <c r="AA17033" s="24"/>
    </row>
    <row r="17034">
      <c r="A17034" s="24"/>
      <c r="B17034" s="25"/>
      <c r="C17034" s="24"/>
      <c r="D17034" s="26"/>
      <c r="E17034" s="24"/>
      <c r="F17034" s="24"/>
      <c r="G17034" s="24"/>
      <c r="H17034" s="24"/>
      <c r="I17034" s="24"/>
      <c r="J17034" s="24"/>
      <c r="K17034" s="24"/>
      <c r="L17034" s="24"/>
      <c r="M17034" s="24"/>
      <c r="N17034" s="24"/>
      <c r="O17034" s="24"/>
      <c r="P17034" s="24"/>
      <c r="Q17034" s="24"/>
      <c r="R17034" s="24"/>
      <c r="S17034" s="24"/>
      <c r="T17034" s="24"/>
      <c r="U17034" s="24"/>
      <c r="V17034" s="24"/>
      <c r="W17034" s="24"/>
      <c r="X17034" s="24"/>
      <c r="Y17034" s="24"/>
      <c r="Z17034" s="24"/>
      <c r="AA17034" s="24"/>
    </row>
    <row r="17035">
      <c r="A17035" s="24"/>
      <c r="B17035" s="25"/>
      <c r="C17035" s="24"/>
      <c r="D17035" s="26"/>
      <c r="E17035" s="24"/>
      <c r="F17035" s="24"/>
      <c r="G17035" s="24"/>
      <c r="H17035" s="24"/>
      <c r="I17035" s="24"/>
      <c r="J17035" s="24"/>
      <c r="K17035" s="24"/>
      <c r="L17035" s="24"/>
      <c r="M17035" s="24"/>
      <c r="N17035" s="24"/>
      <c r="O17035" s="24"/>
      <c r="P17035" s="24"/>
      <c r="Q17035" s="24"/>
      <c r="R17035" s="24"/>
      <c r="S17035" s="24"/>
      <c r="T17035" s="24"/>
      <c r="U17035" s="24"/>
      <c r="V17035" s="24"/>
      <c r="W17035" s="24"/>
      <c r="X17035" s="24"/>
      <c r="Y17035" s="24"/>
      <c r="Z17035" s="24"/>
      <c r="AA17035" s="24"/>
    </row>
    <row r="17036">
      <c r="A17036" s="24"/>
      <c r="B17036" s="25"/>
      <c r="C17036" s="24"/>
      <c r="D17036" s="26"/>
      <c r="E17036" s="24"/>
      <c r="F17036" s="24"/>
      <c r="G17036" s="24"/>
      <c r="H17036" s="24"/>
      <c r="I17036" s="24"/>
      <c r="J17036" s="24"/>
      <c r="K17036" s="24"/>
      <c r="L17036" s="24"/>
      <c r="M17036" s="24"/>
      <c r="N17036" s="24"/>
      <c r="O17036" s="24"/>
      <c r="P17036" s="24"/>
      <c r="Q17036" s="24"/>
      <c r="R17036" s="24"/>
      <c r="S17036" s="24"/>
      <c r="T17036" s="24"/>
      <c r="U17036" s="24"/>
      <c r="V17036" s="24"/>
      <c r="W17036" s="24"/>
      <c r="X17036" s="24"/>
      <c r="Y17036" s="24"/>
      <c r="Z17036" s="24"/>
      <c r="AA17036" s="24"/>
    </row>
    <row r="17037">
      <c r="A17037" s="24"/>
      <c r="B17037" s="25"/>
      <c r="C17037" s="24"/>
      <c r="D17037" s="26"/>
      <c r="E17037" s="24"/>
      <c r="F17037" s="24"/>
      <c r="G17037" s="24"/>
      <c r="H17037" s="24"/>
      <c r="I17037" s="24"/>
      <c r="J17037" s="24"/>
      <c r="K17037" s="24"/>
      <c r="L17037" s="24"/>
      <c r="M17037" s="24"/>
      <c r="N17037" s="24"/>
      <c r="O17037" s="24"/>
      <c r="P17037" s="24"/>
      <c r="Q17037" s="24"/>
      <c r="R17037" s="24"/>
      <c r="S17037" s="24"/>
      <c r="T17037" s="24"/>
      <c r="U17037" s="24"/>
      <c r="V17037" s="24"/>
      <c r="W17037" s="24"/>
      <c r="X17037" s="24"/>
      <c r="Y17037" s="24"/>
      <c r="Z17037" s="24"/>
      <c r="AA17037" s="24"/>
    </row>
    <row r="17038">
      <c r="A17038" s="24"/>
      <c r="B17038" s="25"/>
      <c r="C17038" s="24"/>
      <c r="D17038" s="26"/>
      <c r="E17038" s="24"/>
      <c r="F17038" s="24"/>
      <c r="G17038" s="24"/>
      <c r="H17038" s="24"/>
      <c r="I17038" s="24"/>
      <c r="J17038" s="24"/>
      <c r="K17038" s="24"/>
      <c r="L17038" s="24"/>
      <c r="M17038" s="24"/>
      <c r="N17038" s="24"/>
      <c r="O17038" s="24"/>
      <c r="P17038" s="24"/>
      <c r="Q17038" s="24"/>
      <c r="R17038" s="24"/>
      <c r="S17038" s="24"/>
      <c r="T17038" s="24"/>
      <c r="U17038" s="24"/>
      <c r="V17038" s="24"/>
      <c r="W17038" s="24"/>
      <c r="X17038" s="24"/>
      <c r="Y17038" s="24"/>
      <c r="Z17038" s="24"/>
      <c r="AA17038" s="24"/>
    </row>
    <row r="17039">
      <c r="A17039" s="24"/>
      <c r="B17039" s="25"/>
      <c r="C17039" s="24"/>
      <c r="D17039" s="26"/>
      <c r="E17039" s="24"/>
      <c r="F17039" s="24"/>
      <c r="G17039" s="24"/>
      <c r="H17039" s="24"/>
      <c r="I17039" s="24"/>
      <c r="J17039" s="24"/>
      <c r="K17039" s="24"/>
      <c r="L17039" s="24"/>
      <c r="M17039" s="24"/>
      <c r="N17039" s="24"/>
      <c r="O17039" s="24"/>
      <c r="P17039" s="24"/>
      <c r="Q17039" s="24"/>
      <c r="R17039" s="24"/>
      <c r="S17039" s="24"/>
      <c r="T17039" s="24"/>
      <c r="U17039" s="24"/>
      <c r="V17039" s="24"/>
      <c r="W17039" s="24"/>
      <c r="X17039" s="24"/>
      <c r="Y17039" s="24"/>
      <c r="Z17039" s="24"/>
      <c r="AA17039" s="24"/>
    </row>
    <row r="17040">
      <c r="A17040" s="24"/>
      <c r="B17040" s="25"/>
      <c r="C17040" s="24"/>
      <c r="D17040" s="26"/>
      <c r="E17040" s="24"/>
      <c r="F17040" s="24"/>
      <c r="G17040" s="24"/>
      <c r="H17040" s="24"/>
      <c r="I17040" s="24"/>
      <c r="J17040" s="24"/>
      <c r="K17040" s="24"/>
      <c r="L17040" s="24"/>
      <c r="M17040" s="24"/>
      <c r="N17040" s="24"/>
      <c r="O17040" s="24"/>
      <c r="P17040" s="24"/>
      <c r="Q17040" s="24"/>
      <c r="R17040" s="24"/>
      <c r="S17040" s="24"/>
      <c r="T17040" s="24"/>
      <c r="U17040" s="24"/>
      <c r="V17040" s="24"/>
      <c r="W17040" s="24"/>
      <c r="X17040" s="24"/>
      <c r="Y17040" s="24"/>
      <c r="Z17040" s="24"/>
      <c r="AA17040" s="24"/>
    </row>
    <row r="17041">
      <c r="A17041" s="24"/>
      <c r="B17041" s="25"/>
      <c r="C17041" s="24"/>
      <c r="D17041" s="26"/>
      <c r="E17041" s="24"/>
      <c r="F17041" s="24"/>
      <c r="G17041" s="24"/>
      <c r="H17041" s="24"/>
      <c r="I17041" s="24"/>
      <c r="J17041" s="24"/>
      <c r="K17041" s="24"/>
      <c r="L17041" s="24"/>
      <c r="M17041" s="24"/>
      <c r="N17041" s="24"/>
      <c r="O17041" s="24"/>
      <c r="P17041" s="24"/>
      <c r="Q17041" s="24"/>
      <c r="R17041" s="24"/>
      <c r="S17041" s="24"/>
      <c r="T17041" s="24"/>
      <c r="U17041" s="24"/>
      <c r="V17041" s="24"/>
      <c r="W17041" s="24"/>
      <c r="X17041" s="24"/>
      <c r="Y17041" s="24"/>
      <c r="Z17041" s="24"/>
      <c r="AA17041" s="24"/>
    </row>
    <row r="17042">
      <c r="A17042" s="24"/>
      <c r="B17042" s="25"/>
      <c r="C17042" s="24"/>
      <c r="D17042" s="26"/>
      <c r="E17042" s="24"/>
      <c r="F17042" s="24"/>
      <c r="G17042" s="24"/>
      <c r="H17042" s="24"/>
      <c r="I17042" s="24"/>
      <c r="J17042" s="24"/>
      <c r="K17042" s="24"/>
      <c r="L17042" s="24"/>
      <c r="M17042" s="24"/>
      <c r="N17042" s="24"/>
      <c r="O17042" s="24"/>
      <c r="P17042" s="24"/>
      <c r="Q17042" s="24"/>
      <c r="R17042" s="24"/>
      <c r="S17042" s="24"/>
      <c r="T17042" s="24"/>
      <c r="U17042" s="24"/>
      <c r="V17042" s="24"/>
      <c r="W17042" s="24"/>
      <c r="X17042" s="24"/>
      <c r="Y17042" s="24"/>
      <c r="Z17042" s="24"/>
      <c r="AA17042" s="24"/>
    </row>
    <row r="17043">
      <c r="A17043" s="24"/>
      <c r="B17043" s="25"/>
      <c r="C17043" s="24"/>
      <c r="D17043" s="26"/>
      <c r="E17043" s="24"/>
      <c r="F17043" s="24"/>
      <c r="G17043" s="24"/>
      <c r="H17043" s="24"/>
      <c r="I17043" s="24"/>
      <c r="J17043" s="24"/>
      <c r="K17043" s="24"/>
      <c r="L17043" s="24"/>
      <c r="M17043" s="24"/>
      <c r="N17043" s="24"/>
      <c r="O17043" s="24"/>
      <c r="P17043" s="24"/>
      <c r="Q17043" s="24"/>
      <c r="R17043" s="24"/>
      <c r="S17043" s="24"/>
      <c r="T17043" s="24"/>
      <c r="U17043" s="24"/>
      <c r="V17043" s="24"/>
      <c r="W17043" s="24"/>
      <c r="X17043" s="24"/>
      <c r="Y17043" s="24"/>
      <c r="Z17043" s="24"/>
      <c r="AA17043" s="24"/>
    </row>
    <row r="17044">
      <c r="A17044" s="24"/>
      <c r="B17044" s="25"/>
      <c r="C17044" s="24"/>
      <c r="D17044" s="26"/>
      <c r="E17044" s="24"/>
      <c r="F17044" s="24"/>
      <c r="G17044" s="24"/>
      <c r="H17044" s="24"/>
      <c r="I17044" s="24"/>
      <c r="J17044" s="24"/>
      <c r="K17044" s="24"/>
      <c r="L17044" s="24"/>
      <c r="M17044" s="24"/>
      <c r="N17044" s="24"/>
      <c r="O17044" s="24"/>
      <c r="P17044" s="24"/>
      <c r="Q17044" s="24"/>
      <c r="R17044" s="24"/>
      <c r="S17044" s="24"/>
      <c r="T17044" s="24"/>
      <c r="U17044" s="24"/>
      <c r="V17044" s="24"/>
      <c r="W17044" s="24"/>
      <c r="X17044" s="24"/>
      <c r="Y17044" s="24"/>
      <c r="Z17044" s="24"/>
      <c r="AA17044" s="24"/>
    </row>
    <row r="17045">
      <c r="A17045" s="24"/>
      <c r="B17045" s="25"/>
      <c r="C17045" s="24"/>
      <c r="D17045" s="26"/>
      <c r="E17045" s="24"/>
      <c r="F17045" s="24"/>
      <c r="G17045" s="24"/>
      <c r="H17045" s="24"/>
      <c r="I17045" s="24"/>
      <c r="J17045" s="24"/>
      <c r="K17045" s="24"/>
      <c r="L17045" s="24"/>
      <c r="M17045" s="24"/>
      <c r="N17045" s="24"/>
      <c r="O17045" s="24"/>
      <c r="P17045" s="24"/>
      <c r="Q17045" s="24"/>
      <c r="R17045" s="24"/>
      <c r="S17045" s="24"/>
      <c r="T17045" s="24"/>
      <c r="U17045" s="24"/>
      <c r="V17045" s="24"/>
      <c r="W17045" s="24"/>
      <c r="X17045" s="24"/>
      <c r="Y17045" s="24"/>
      <c r="Z17045" s="24"/>
      <c r="AA17045" s="24"/>
    </row>
    <row r="17046">
      <c r="A17046" s="24"/>
      <c r="B17046" s="25"/>
      <c r="C17046" s="24"/>
      <c r="D17046" s="26"/>
      <c r="E17046" s="24"/>
      <c r="F17046" s="24"/>
      <c r="G17046" s="24"/>
      <c r="H17046" s="24"/>
      <c r="I17046" s="24"/>
      <c r="J17046" s="24"/>
      <c r="K17046" s="24"/>
      <c r="L17046" s="24"/>
      <c r="M17046" s="24"/>
      <c r="N17046" s="24"/>
      <c r="O17046" s="24"/>
      <c r="P17046" s="24"/>
      <c r="Q17046" s="24"/>
      <c r="R17046" s="24"/>
      <c r="S17046" s="24"/>
      <c r="T17046" s="24"/>
      <c r="U17046" s="24"/>
      <c r="V17046" s="24"/>
      <c r="W17046" s="24"/>
      <c r="X17046" s="24"/>
      <c r="Y17046" s="24"/>
      <c r="Z17046" s="24"/>
      <c r="AA17046" s="24"/>
    </row>
    <row r="17047">
      <c r="A17047" s="24"/>
      <c r="B17047" s="25"/>
      <c r="C17047" s="24"/>
      <c r="D17047" s="26"/>
      <c r="E17047" s="24"/>
      <c r="F17047" s="24"/>
      <c r="G17047" s="24"/>
      <c r="H17047" s="24"/>
      <c r="I17047" s="24"/>
      <c r="J17047" s="24"/>
      <c r="K17047" s="24"/>
      <c r="L17047" s="24"/>
      <c r="M17047" s="24"/>
      <c r="N17047" s="24"/>
      <c r="O17047" s="24"/>
      <c r="P17047" s="24"/>
      <c r="Q17047" s="24"/>
      <c r="R17047" s="24"/>
      <c r="S17047" s="24"/>
      <c r="T17047" s="24"/>
      <c r="U17047" s="24"/>
      <c r="V17047" s="24"/>
      <c r="W17047" s="24"/>
      <c r="X17047" s="24"/>
      <c r="Y17047" s="24"/>
      <c r="Z17047" s="24"/>
      <c r="AA17047" s="24"/>
    </row>
    <row r="17048">
      <c r="A17048" s="24"/>
      <c r="B17048" s="25"/>
      <c r="C17048" s="24"/>
      <c r="D17048" s="26"/>
      <c r="E17048" s="24"/>
      <c r="F17048" s="24"/>
      <c r="G17048" s="24"/>
      <c r="H17048" s="24"/>
      <c r="I17048" s="24"/>
      <c r="J17048" s="24"/>
      <c r="K17048" s="24"/>
      <c r="L17048" s="24"/>
      <c r="M17048" s="24"/>
      <c r="N17048" s="24"/>
      <c r="O17048" s="24"/>
      <c r="P17048" s="24"/>
      <c r="Q17048" s="24"/>
      <c r="R17048" s="24"/>
      <c r="S17048" s="24"/>
      <c r="T17048" s="24"/>
      <c r="U17048" s="24"/>
      <c r="V17048" s="24"/>
      <c r="W17048" s="24"/>
      <c r="X17048" s="24"/>
      <c r="Y17048" s="24"/>
      <c r="Z17048" s="24"/>
      <c r="AA17048" s="24"/>
    </row>
    <row r="17049">
      <c r="A17049" s="24"/>
      <c r="B17049" s="25"/>
      <c r="C17049" s="24"/>
      <c r="D17049" s="26"/>
      <c r="E17049" s="24"/>
      <c r="F17049" s="24"/>
      <c r="G17049" s="24"/>
      <c r="H17049" s="24"/>
      <c r="I17049" s="24"/>
      <c r="J17049" s="24"/>
      <c r="K17049" s="24"/>
      <c r="L17049" s="24"/>
      <c r="M17049" s="24"/>
      <c r="N17049" s="24"/>
      <c r="O17049" s="24"/>
      <c r="P17049" s="24"/>
      <c r="Q17049" s="24"/>
      <c r="R17049" s="24"/>
      <c r="S17049" s="24"/>
      <c r="T17049" s="24"/>
      <c r="U17049" s="24"/>
      <c r="V17049" s="24"/>
      <c r="W17049" s="24"/>
      <c r="X17049" s="24"/>
      <c r="Y17049" s="24"/>
      <c r="Z17049" s="24"/>
      <c r="AA17049" s="24"/>
    </row>
    <row r="17050">
      <c r="A17050" s="24"/>
      <c r="B17050" s="25"/>
      <c r="C17050" s="24"/>
      <c r="D17050" s="26"/>
      <c r="E17050" s="24"/>
      <c r="F17050" s="24"/>
      <c r="G17050" s="24"/>
      <c r="H17050" s="24"/>
      <c r="I17050" s="24"/>
      <c r="J17050" s="24"/>
      <c r="K17050" s="24"/>
      <c r="L17050" s="24"/>
      <c r="M17050" s="24"/>
      <c r="N17050" s="24"/>
      <c r="O17050" s="24"/>
      <c r="P17050" s="24"/>
      <c r="Q17050" s="24"/>
      <c r="R17050" s="24"/>
      <c r="S17050" s="24"/>
      <c r="T17050" s="24"/>
      <c r="U17050" s="24"/>
      <c r="V17050" s="24"/>
      <c r="W17050" s="24"/>
      <c r="X17050" s="24"/>
      <c r="Y17050" s="24"/>
      <c r="Z17050" s="24"/>
      <c r="AA17050" s="24"/>
    </row>
    <row r="17051">
      <c r="A17051" s="24"/>
      <c r="B17051" s="25"/>
      <c r="C17051" s="24"/>
      <c r="D17051" s="26"/>
      <c r="E17051" s="24"/>
      <c r="F17051" s="24"/>
      <c r="G17051" s="24"/>
      <c r="H17051" s="24"/>
      <c r="I17051" s="24"/>
      <c r="J17051" s="24"/>
      <c r="K17051" s="24"/>
      <c r="L17051" s="24"/>
      <c r="M17051" s="24"/>
      <c r="N17051" s="24"/>
      <c r="O17051" s="24"/>
      <c r="P17051" s="24"/>
      <c r="Q17051" s="24"/>
      <c r="R17051" s="24"/>
      <c r="S17051" s="24"/>
      <c r="T17051" s="24"/>
      <c r="U17051" s="24"/>
      <c r="V17051" s="24"/>
      <c r="W17051" s="24"/>
      <c r="X17051" s="24"/>
      <c r="Y17051" s="24"/>
      <c r="Z17051" s="24"/>
      <c r="AA17051" s="24"/>
    </row>
    <row r="17052">
      <c r="A17052" s="24"/>
      <c r="B17052" s="25"/>
      <c r="C17052" s="24"/>
      <c r="D17052" s="26"/>
      <c r="E17052" s="24"/>
      <c r="F17052" s="24"/>
      <c r="G17052" s="24"/>
      <c r="H17052" s="24"/>
      <c r="I17052" s="24"/>
      <c r="J17052" s="24"/>
      <c r="K17052" s="24"/>
      <c r="L17052" s="24"/>
      <c r="M17052" s="24"/>
      <c r="N17052" s="24"/>
      <c r="O17052" s="24"/>
      <c r="P17052" s="24"/>
      <c r="Q17052" s="24"/>
      <c r="R17052" s="24"/>
      <c r="S17052" s="24"/>
      <c r="T17052" s="24"/>
      <c r="U17052" s="24"/>
      <c r="V17052" s="24"/>
      <c r="W17052" s="24"/>
      <c r="X17052" s="24"/>
      <c r="Y17052" s="24"/>
      <c r="Z17052" s="24"/>
      <c r="AA17052" s="24"/>
    </row>
    <row r="17053">
      <c r="A17053" s="24"/>
      <c r="B17053" s="25"/>
      <c r="C17053" s="24"/>
      <c r="D17053" s="26"/>
      <c r="E17053" s="24"/>
      <c r="F17053" s="24"/>
      <c r="G17053" s="24"/>
      <c r="H17053" s="24"/>
      <c r="I17053" s="24"/>
      <c r="J17053" s="24"/>
      <c r="K17053" s="24"/>
      <c r="L17053" s="24"/>
      <c r="M17053" s="24"/>
      <c r="N17053" s="24"/>
      <c r="O17053" s="24"/>
      <c r="P17053" s="24"/>
      <c r="Q17053" s="24"/>
      <c r="R17053" s="24"/>
      <c r="S17053" s="24"/>
      <c r="T17053" s="24"/>
      <c r="U17053" s="24"/>
      <c r="V17053" s="24"/>
      <c r="W17053" s="24"/>
      <c r="X17053" s="24"/>
      <c r="Y17053" s="24"/>
      <c r="Z17053" s="24"/>
      <c r="AA17053" s="24"/>
    </row>
    <row r="17054">
      <c r="A17054" s="24"/>
      <c r="B17054" s="25"/>
      <c r="C17054" s="24"/>
      <c r="D17054" s="26"/>
      <c r="E17054" s="24"/>
      <c r="F17054" s="24"/>
      <c r="G17054" s="24"/>
      <c r="H17054" s="24"/>
      <c r="I17054" s="24"/>
      <c r="J17054" s="24"/>
      <c r="K17054" s="24"/>
      <c r="L17054" s="24"/>
      <c r="M17054" s="24"/>
      <c r="N17054" s="24"/>
      <c r="O17054" s="24"/>
      <c r="P17054" s="24"/>
      <c r="Q17054" s="24"/>
      <c r="R17054" s="24"/>
      <c r="S17054" s="24"/>
      <c r="T17054" s="24"/>
      <c r="U17054" s="24"/>
      <c r="V17054" s="24"/>
      <c r="W17054" s="24"/>
      <c r="X17054" s="24"/>
      <c r="Y17054" s="24"/>
      <c r="Z17054" s="24"/>
      <c r="AA17054" s="24"/>
    </row>
    <row r="17055">
      <c r="A17055" s="24"/>
      <c r="B17055" s="25"/>
      <c r="C17055" s="24"/>
      <c r="D17055" s="26"/>
      <c r="E17055" s="24"/>
      <c r="F17055" s="24"/>
      <c r="G17055" s="24"/>
      <c r="H17055" s="24"/>
      <c r="I17055" s="24"/>
      <c r="J17055" s="24"/>
      <c r="K17055" s="24"/>
      <c r="L17055" s="24"/>
      <c r="M17055" s="24"/>
      <c r="N17055" s="24"/>
      <c r="O17055" s="24"/>
      <c r="P17055" s="24"/>
      <c r="Q17055" s="24"/>
      <c r="R17055" s="24"/>
      <c r="S17055" s="24"/>
      <c r="T17055" s="24"/>
      <c r="U17055" s="24"/>
      <c r="V17055" s="24"/>
      <c r="W17055" s="24"/>
      <c r="X17055" s="24"/>
      <c r="Y17055" s="24"/>
      <c r="Z17055" s="24"/>
      <c r="AA17055" s="24"/>
    </row>
    <row r="17056">
      <c r="A17056" s="24"/>
      <c r="B17056" s="25"/>
      <c r="C17056" s="24"/>
      <c r="D17056" s="26"/>
      <c r="E17056" s="24"/>
      <c r="F17056" s="24"/>
      <c r="G17056" s="24"/>
      <c r="H17056" s="24"/>
      <c r="I17056" s="24"/>
      <c r="J17056" s="24"/>
      <c r="K17056" s="24"/>
      <c r="L17056" s="24"/>
      <c r="M17056" s="24"/>
      <c r="N17056" s="24"/>
      <c r="O17056" s="24"/>
      <c r="P17056" s="24"/>
      <c r="Q17056" s="24"/>
      <c r="R17056" s="24"/>
      <c r="S17056" s="24"/>
      <c r="T17056" s="24"/>
      <c r="U17056" s="24"/>
      <c r="V17056" s="24"/>
      <c r="W17056" s="24"/>
      <c r="X17056" s="24"/>
      <c r="Y17056" s="24"/>
      <c r="Z17056" s="24"/>
      <c r="AA17056" s="24"/>
    </row>
    <row r="17057">
      <c r="A17057" s="24"/>
      <c r="B17057" s="25"/>
      <c r="C17057" s="24"/>
      <c r="D17057" s="26"/>
      <c r="E17057" s="24"/>
      <c r="F17057" s="24"/>
      <c r="G17057" s="24"/>
      <c r="H17057" s="24"/>
      <c r="I17057" s="24"/>
      <c r="J17057" s="24"/>
      <c r="K17057" s="24"/>
      <c r="L17057" s="24"/>
      <c r="M17057" s="24"/>
      <c r="N17057" s="24"/>
      <c r="O17057" s="24"/>
      <c r="P17057" s="24"/>
      <c r="Q17057" s="24"/>
      <c r="R17057" s="24"/>
      <c r="S17057" s="24"/>
      <c r="T17057" s="24"/>
      <c r="U17057" s="24"/>
      <c r="V17057" s="24"/>
      <c r="W17057" s="24"/>
      <c r="X17057" s="24"/>
      <c r="Y17057" s="24"/>
      <c r="Z17057" s="24"/>
      <c r="AA17057" s="24"/>
    </row>
    <row r="17058">
      <c r="A17058" s="24"/>
      <c r="B17058" s="25"/>
      <c r="C17058" s="24"/>
      <c r="D17058" s="26"/>
      <c r="E17058" s="24"/>
      <c r="F17058" s="24"/>
      <c r="G17058" s="24"/>
      <c r="H17058" s="24"/>
      <c r="I17058" s="24"/>
      <c r="J17058" s="24"/>
      <c r="K17058" s="24"/>
      <c r="L17058" s="24"/>
      <c r="M17058" s="24"/>
      <c r="N17058" s="24"/>
      <c r="O17058" s="24"/>
      <c r="P17058" s="24"/>
      <c r="Q17058" s="24"/>
      <c r="R17058" s="24"/>
      <c r="S17058" s="24"/>
      <c r="T17058" s="24"/>
      <c r="U17058" s="24"/>
      <c r="V17058" s="24"/>
      <c r="W17058" s="24"/>
      <c r="X17058" s="24"/>
      <c r="Y17058" s="24"/>
      <c r="Z17058" s="24"/>
      <c r="AA17058" s="24"/>
    </row>
    <row r="17059">
      <c r="A17059" s="24"/>
      <c r="B17059" s="25"/>
      <c r="C17059" s="24"/>
      <c r="D17059" s="26"/>
      <c r="E17059" s="24"/>
      <c r="F17059" s="24"/>
      <c r="G17059" s="24"/>
      <c r="H17059" s="24"/>
      <c r="I17059" s="24"/>
      <c r="J17059" s="24"/>
      <c r="K17059" s="24"/>
      <c r="L17059" s="24"/>
      <c r="M17059" s="24"/>
      <c r="N17059" s="24"/>
      <c r="O17059" s="24"/>
      <c r="P17059" s="24"/>
      <c r="Q17059" s="24"/>
      <c r="R17059" s="24"/>
      <c r="S17059" s="24"/>
      <c r="T17059" s="24"/>
      <c r="U17059" s="24"/>
      <c r="V17059" s="24"/>
      <c r="W17059" s="24"/>
      <c r="X17059" s="24"/>
      <c r="Y17059" s="24"/>
      <c r="Z17059" s="24"/>
      <c r="AA17059" s="24"/>
    </row>
    <row r="17060">
      <c r="A17060" s="24"/>
      <c r="B17060" s="25"/>
      <c r="C17060" s="24"/>
      <c r="D17060" s="26"/>
      <c r="E17060" s="24"/>
      <c r="F17060" s="24"/>
      <c r="G17060" s="24"/>
      <c r="H17060" s="24"/>
      <c r="I17060" s="24"/>
      <c r="J17060" s="24"/>
      <c r="K17060" s="24"/>
      <c r="L17060" s="24"/>
      <c r="M17060" s="24"/>
      <c r="N17060" s="24"/>
      <c r="O17060" s="24"/>
      <c r="P17060" s="24"/>
      <c r="Q17060" s="24"/>
      <c r="R17060" s="24"/>
      <c r="S17060" s="24"/>
      <c r="T17060" s="24"/>
      <c r="U17060" s="24"/>
      <c r="V17060" s="24"/>
      <c r="W17060" s="24"/>
      <c r="X17060" s="24"/>
      <c r="Y17060" s="24"/>
      <c r="Z17060" s="24"/>
      <c r="AA17060" s="24"/>
    </row>
    <row r="17061">
      <c r="A17061" s="24"/>
      <c r="B17061" s="25"/>
      <c r="C17061" s="24"/>
      <c r="D17061" s="26"/>
      <c r="E17061" s="24"/>
      <c r="F17061" s="24"/>
      <c r="G17061" s="24"/>
      <c r="H17061" s="24"/>
      <c r="I17061" s="24"/>
      <c r="J17061" s="24"/>
      <c r="K17061" s="24"/>
      <c r="L17061" s="24"/>
      <c r="M17061" s="24"/>
      <c r="N17061" s="24"/>
      <c r="O17061" s="24"/>
      <c r="P17061" s="24"/>
      <c r="Q17061" s="24"/>
      <c r="R17061" s="24"/>
      <c r="S17061" s="24"/>
      <c r="T17061" s="24"/>
      <c r="U17061" s="24"/>
      <c r="V17061" s="24"/>
      <c r="W17061" s="24"/>
      <c r="X17061" s="24"/>
      <c r="Y17061" s="24"/>
      <c r="Z17061" s="24"/>
      <c r="AA17061" s="24"/>
    </row>
    <row r="17062">
      <c r="A17062" s="24"/>
      <c r="B17062" s="25"/>
      <c r="C17062" s="24"/>
      <c r="D17062" s="26"/>
      <c r="E17062" s="24"/>
      <c r="F17062" s="24"/>
      <c r="G17062" s="24"/>
      <c r="H17062" s="24"/>
      <c r="I17062" s="24"/>
      <c r="J17062" s="24"/>
      <c r="K17062" s="24"/>
      <c r="L17062" s="24"/>
      <c r="M17062" s="24"/>
      <c r="N17062" s="24"/>
      <c r="O17062" s="24"/>
      <c r="P17062" s="24"/>
      <c r="Q17062" s="24"/>
      <c r="R17062" s="24"/>
      <c r="S17062" s="24"/>
      <c r="T17062" s="24"/>
      <c r="U17062" s="24"/>
      <c r="V17062" s="24"/>
      <c r="W17062" s="24"/>
      <c r="X17062" s="24"/>
      <c r="Y17062" s="24"/>
      <c r="Z17062" s="24"/>
      <c r="AA17062" s="24"/>
    </row>
    <row r="17063">
      <c r="A17063" s="24"/>
      <c r="B17063" s="25"/>
      <c r="C17063" s="24"/>
      <c r="D17063" s="26"/>
      <c r="E17063" s="24"/>
      <c r="F17063" s="24"/>
      <c r="G17063" s="24"/>
      <c r="H17063" s="24"/>
      <c r="I17063" s="24"/>
      <c r="J17063" s="24"/>
      <c r="K17063" s="24"/>
      <c r="L17063" s="24"/>
      <c r="M17063" s="24"/>
      <c r="N17063" s="24"/>
      <c r="O17063" s="24"/>
      <c r="P17063" s="24"/>
      <c r="Q17063" s="24"/>
      <c r="R17063" s="24"/>
      <c r="S17063" s="24"/>
      <c r="T17063" s="24"/>
      <c r="U17063" s="24"/>
      <c r="V17063" s="24"/>
      <c r="W17063" s="24"/>
      <c r="X17063" s="24"/>
      <c r="Y17063" s="24"/>
      <c r="Z17063" s="24"/>
      <c r="AA17063" s="24"/>
    </row>
    <row r="17064">
      <c r="A17064" s="24"/>
      <c r="B17064" s="25"/>
      <c r="C17064" s="24"/>
      <c r="D17064" s="26"/>
      <c r="E17064" s="24"/>
      <c r="F17064" s="24"/>
      <c r="G17064" s="24"/>
      <c r="H17064" s="24"/>
      <c r="I17064" s="24"/>
      <c r="J17064" s="24"/>
      <c r="K17064" s="24"/>
      <c r="L17064" s="24"/>
      <c r="M17064" s="24"/>
      <c r="N17064" s="24"/>
      <c r="O17064" s="24"/>
      <c r="P17064" s="24"/>
      <c r="Q17064" s="24"/>
      <c r="R17064" s="24"/>
      <c r="S17064" s="24"/>
      <c r="T17064" s="24"/>
      <c r="U17064" s="24"/>
      <c r="V17064" s="24"/>
      <c r="W17064" s="24"/>
      <c r="X17064" s="24"/>
      <c r="Y17064" s="24"/>
      <c r="Z17064" s="24"/>
      <c r="AA17064" s="24"/>
    </row>
    <row r="17065">
      <c r="A17065" s="24"/>
      <c r="B17065" s="25"/>
      <c r="C17065" s="24"/>
      <c r="D17065" s="26"/>
      <c r="E17065" s="24"/>
      <c r="F17065" s="24"/>
      <c r="G17065" s="24"/>
      <c r="H17065" s="24"/>
      <c r="I17065" s="24"/>
      <c r="J17065" s="24"/>
      <c r="K17065" s="24"/>
      <c r="L17065" s="24"/>
      <c r="M17065" s="24"/>
      <c r="N17065" s="24"/>
      <c r="O17065" s="24"/>
      <c r="P17065" s="24"/>
      <c r="Q17065" s="24"/>
      <c r="R17065" s="24"/>
      <c r="S17065" s="24"/>
      <c r="T17065" s="24"/>
      <c r="U17065" s="24"/>
      <c r="V17065" s="24"/>
      <c r="W17065" s="24"/>
      <c r="X17065" s="24"/>
      <c r="Y17065" s="24"/>
      <c r="Z17065" s="24"/>
      <c r="AA17065" s="24"/>
    </row>
    <row r="17066">
      <c r="A17066" s="24"/>
      <c r="B17066" s="25"/>
      <c r="C17066" s="24"/>
      <c r="D17066" s="26"/>
      <c r="E17066" s="24"/>
      <c r="F17066" s="24"/>
      <c r="G17066" s="24"/>
      <c r="H17066" s="24"/>
      <c r="I17066" s="24"/>
      <c r="J17066" s="24"/>
      <c r="K17066" s="24"/>
      <c r="L17066" s="24"/>
      <c r="M17066" s="24"/>
      <c r="N17066" s="24"/>
      <c r="O17066" s="24"/>
      <c r="P17066" s="24"/>
      <c r="Q17066" s="24"/>
      <c r="R17066" s="24"/>
      <c r="S17066" s="24"/>
      <c r="T17066" s="24"/>
      <c r="U17066" s="24"/>
      <c r="V17066" s="24"/>
      <c r="W17066" s="24"/>
      <c r="X17066" s="24"/>
      <c r="Y17066" s="24"/>
      <c r="Z17066" s="24"/>
      <c r="AA17066" s="24"/>
    </row>
    <row r="17067">
      <c r="A17067" s="24"/>
      <c r="B17067" s="25"/>
      <c r="C17067" s="24"/>
      <c r="D17067" s="26"/>
      <c r="E17067" s="24"/>
      <c r="F17067" s="24"/>
      <c r="G17067" s="24"/>
      <c r="H17067" s="24"/>
      <c r="I17067" s="24"/>
      <c r="J17067" s="24"/>
      <c r="K17067" s="24"/>
      <c r="L17067" s="24"/>
      <c r="M17067" s="24"/>
      <c r="N17067" s="24"/>
      <c r="O17067" s="24"/>
      <c r="P17067" s="24"/>
      <c r="Q17067" s="24"/>
      <c r="R17067" s="24"/>
      <c r="S17067" s="24"/>
      <c r="T17067" s="24"/>
      <c r="U17067" s="24"/>
      <c r="V17067" s="24"/>
      <c r="W17067" s="24"/>
      <c r="X17067" s="24"/>
      <c r="Y17067" s="24"/>
      <c r="Z17067" s="24"/>
      <c r="AA17067" s="24"/>
    </row>
    <row r="17068">
      <c r="A17068" s="24"/>
      <c r="B17068" s="25"/>
      <c r="C17068" s="24"/>
      <c r="D17068" s="26"/>
      <c r="E17068" s="24"/>
      <c r="F17068" s="24"/>
      <c r="G17068" s="24"/>
      <c r="H17068" s="24"/>
      <c r="I17068" s="24"/>
      <c r="J17068" s="24"/>
      <c r="K17068" s="24"/>
      <c r="L17068" s="24"/>
      <c r="M17068" s="24"/>
      <c r="N17068" s="24"/>
      <c r="O17068" s="24"/>
      <c r="P17068" s="24"/>
      <c r="Q17068" s="24"/>
      <c r="R17068" s="24"/>
      <c r="S17068" s="24"/>
      <c r="T17068" s="24"/>
      <c r="U17068" s="24"/>
      <c r="V17068" s="24"/>
      <c r="W17068" s="24"/>
      <c r="X17068" s="24"/>
      <c r="Y17068" s="24"/>
      <c r="Z17068" s="24"/>
      <c r="AA17068" s="24"/>
    </row>
    <row r="17069">
      <c r="A17069" s="24"/>
      <c r="B17069" s="25"/>
      <c r="C17069" s="24"/>
      <c r="D17069" s="26"/>
      <c r="E17069" s="24"/>
      <c r="F17069" s="24"/>
      <c r="G17069" s="24"/>
      <c r="H17069" s="24"/>
      <c r="I17069" s="24"/>
      <c r="J17069" s="24"/>
      <c r="K17069" s="24"/>
      <c r="L17069" s="24"/>
      <c r="M17069" s="24"/>
      <c r="N17069" s="24"/>
      <c r="O17069" s="24"/>
      <c r="P17069" s="24"/>
      <c r="Q17069" s="24"/>
      <c r="R17069" s="24"/>
      <c r="S17069" s="24"/>
      <c r="T17069" s="24"/>
      <c r="U17069" s="24"/>
      <c r="V17069" s="24"/>
      <c r="W17069" s="24"/>
      <c r="X17069" s="24"/>
      <c r="Y17069" s="24"/>
      <c r="Z17069" s="24"/>
      <c r="AA17069" s="24"/>
    </row>
    <row r="17070">
      <c r="A17070" s="24"/>
      <c r="B17070" s="25"/>
      <c r="C17070" s="24"/>
      <c r="D17070" s="26"/>
      <c r="E17070" s="24"/>
      <c r="F17070" s="24"/>
      <c r="G17070" s="24"/>
      <c r="H17070" s="24"/>
      <c r="I17070" s="24"/>
      <c r="J17070" s="24"/>
      <c r="K17070" s="24"/>
      <c r="L17070" s="24"/>
      <c r="M17070" s="24"/>
      <c r="N17070" s="24"/>
      <c r="O17070" s="24"/>
      <c r="P17070" s="24"/>
      <c r="Q17070" s="24"/>
      <c r="R17070" s="24"/>
      <c r="S17070" s="24"/>
      <c r="T17070" s="24"/>
      <c r="U17070" s="24"/>
      <c r="V17070" s="24"/>
      <c r="W17070" s="24"/>
      <c r="X17070" s="24"/>
      <c r="Y17070" s="24"/>
      <c r="Z17070" s="24"/>
      <c r="AA17070" s="24"/>
    </row>
    <row r="17071">
      <c r="A17071" s="24"/>
      <c r="B17071" s="25"/>
      <c r="C17071" s="24"/>
      <c r="D17071" s="26"/>
      <c r="E17071" s="24"/>
      <c r="F17071" s="24"/>
      <c r="G17071" s="24"/>
      <c r="H17071" s="24"/>
      <c r="I17071" s="24"/>
      <c r="J17071" s="24"/>
      <c r="K17071" s="24"/>
      <c r="L17071" s="24"/>
      <c r="M17071" s="24"/>
      <c r="N17071" s="24"/>
      <c r="O17071" s="24"/>
      <c r="P17071" s="24"/>
      <c r="Q17071" s="24"/>
      <c r="R17071" s="24"/>
      <c r="S17071" s="24"/>
      <c r="T17071" s="24"/>
      <c r="U17071" s="24"/>
      <c r="V17071" s="24"/>
      <c r="W17071" s="24"/>
      <c r="X17071" s="24"/>
      <c r="Y17071" s="24"/>
      <c r="Z17071" s="24"/>
      <c r="AA17071" s="24"/>
    </row>
    <row r="17072">
      <c r="A17072" s="24"/>
      <c r="B17072" s="25"/>
      <c r="C17072" s="24"/>
      <c r="D17072" s="26"/>
      <c r="E17072" s="24"/>
      <c r="F17072" s="24"/>
      <c r="G17072" s="24"/>
      <c r="H17072" s="24"/>
      <c r="I17072" s="24"/>
      <c r="J17072" s="24"/>
      <c r="K17072" s="24"/>
      <c r="L17072" s="24"/>
      <c r="M17072" s="24"/>
      <c r="N17072" s="24"/>
      <c r="O17072" s="24"/>
      <c r="P17072" s="24"/>
      <c r="Q17072" s="24"/>
      <c r="R17072" s="24"/>
      <c r="S17072" s="24"/>
      <c r="T17072" s="24"/>
      <c r="U17072" s="24"/>
      <c r="V17072" s="24"/>
      <c r="W17072" s="24"/>
      <c r="X17072" s="24"/>
      <c r="Y17072" s="24"/>
      <c r="Z17072" s="24"/>
      <c r="AA17072" s="24"/>
    </row>
    <row r="17073">
      <c r="A17073" s="24"/>
      <c r="B17073" s="25"/>
      <c r="C17073" s="24"/>
      <c r="D17073" s="26"/>
      <c r="E17073" s="24"/>
      <c r="F17073" s="24"/>
      <c r="G17073" s="24"/>
      <c r="H17073" s="24"/>
      <c r="I17073" s="24"/>
      <c r="J17073" s="24"/>
      <c r="K17073" s="24"/>
      <c r="L17073" s="24"/>
      <c r="M17073" s="24"/>
      <c r="N17073" s="24"/>
      <c r="O17073" s="24"/>
      <c r="P17073" s="24"/>
      <c r="Q17073" s="24"/>
      <c r="R17073" s="24"/>
      <c r="S17073" s="24"/>
      <c r="T17073" s="24"/>
      <c r="U17073" s="24"/>
      <c r="V17073" s="24"/>
      <c r="W17073" s="24"/>
      <c r="X17073" s="24"/>
      <c r="Y17073" s="24"/>
      <c r="Z17073" s="24"/>
      <c r="AA17073" s="24"/>
    </row>
    <row r="17074">
      <c r="A17074" s="24"/>
      <c r="B17074" s="25"/>
      <c r="C17074" s="24"/>
      <c r="D17074" s="26"/>
      <c r="E17074" s="24"/>
      <c r="F17074" s="24"/>
      <c r="G17074" s="24"/>
      <c r="H17074" s="24"/>
      <c r="I17074" s="24"/>
      <c r="J17074" s="24"/>
      <c r="K17074" s="24"/>
      <c r="L17074" s="24"/>
      <c r="M17074" s="24"/>
      <c r="N17074" s="24"/>
      <c r="O17074" s="24"/>
      <c r="P17074" s="24"/>
      <c r="Q17074" s="24"/>
      <c r="R17074" s="24"/>
      <c r="S17074" s="24"/>
      <c r="T17074" s="24"/>
      <c r="U17074" s="24"/>
      <c r="V17074" s="24"/>
      <c r="W17074" s="24"/>
      <c r="X17074" s="24"/>
      <c r="Y17074" s="24"/>
      <c r="Z17074" s="24"/>
      <c r="AA17074" s="24"/>
    </row>
    <row r="17075">
      <c r="A17075" s="24"/>
      <c r="B17075" s="25"/>
      <c r="C17075" s="24"/>
      <c r="D17075" s="26"/>
      <c r="E17075" s="24"/>
      <c r="F17075" s="24"/>
      <c r="G17075" s="24"/>
      <c r="H17075" s="24"/>
      <c r="I17075" s="24"/>
      <c r="J17075" s="24"/>
      <c r="K17075" s="24"/>
      <c r="L17075" s="24"/>
      <c r="M17075" s="24"/>
      <c r="N17075" s="24"/>
      <c r="O17075" s="24"/>
      <c r="P17075" s="24"/>
      <c r="Q17075" s="24"/>
      <c r="R17075" s="24"/>
      <c r="S17075" s="24"/>
      <c r="T17075" s="24"/>
      <c r="U17075" s="24"/>
      <c r="V17075" s="24"/>
      <c r="W17075" s="24"/>
      <c r="X17075" s="24"/>
      <c r="Y17075" s="24"/>
      <c r="Z17075" s="24"/>
      <c r="AA17075" s="24"/>
    </row>
    <row r="17076">
      <c r="A17076" s="24"/>
      <c r="B17076" s="25"/>
      <c r="C17076" s="24"/>
      <c r="D17076" s="26"/>
      <c r="E17076" s="24"/>
      <c r="F17076" s="24"/>
      <c r="G17076" s="24"/>
      <c r="H17076" s="24"/>
      <c r="I17076" s="24"/>
      <c r="J17076" s="24"/>
      <c r="K17076" s="24"/>
      <c r="L17076" s="24"/>
      <c r="M17076" s="24"/>
      <c r="N17076" s="24"/>
      <c r="O17076" s="24"/>
      <c r="P17076" s="24"/>
      <c r="Q17076" s="24"/>
      <c r="R17076" s="24"/>
      <c r="S17076" s="24"/>
      <c r="T17076" s="24"/>
      <c r="U17076" s="24"/>
      <c r="V17076" s="24"/>
      <c r="W17076" s="24"/>
      <c r="X17076" s="24"/>
      <c r="Y17076" s="24"/>
      <c r="Z17076" s="24"/>
      <c r="AA17076" s="24"/>
    </row>
    <row r="17077">
      <c r="A17077" s="24"/>
      <c r="B17077" s="25"/>
      <c r="C17077" s="24"/>
      <c r="D17077" s="26"/>
      <c r="E17077" s="24"/>
      <c r="F17077" s="24"/>
      <c r="G17077" s="24"/>
      <c r="H17077" s="24"/>
      <c r="I17077" s="24"/>
      <c r="J17077" s="24"/>
      <c r="K17077" s="24"/>
      <c r="L17077" s="24"/>
      <c r="M17077" s="24"/>
      <c r="N17077" s="24"/>
      <c r="O17077" s="24"/>
      <c r="P17077" s="24"/>
      <c r="Q17077" s="24"/>
      <c r="R17077" s="24"/>
      <c r="S17077" s="24"/>
      <c r="T17077" s="24"/>
      <c r="U17077" s="24"/>
      <c r="V17077" s="24"/>
      <c r="W17077" s="24"/>
      <c r="X17077" s="24"/>
      <c r="Y17077" s="24"/>
      <c r="Z17077" s="24"/>
      <c r="AA17077" s="24"/>
    </row>
    <row r="17078">
      <c r="A17078" s="24"/>
      <c r="B17078" s="25"/>
      <c r="C17078" s="24"/>
      <c r="D17078" s="26"/>
      <c r="E17078" s="24"/>
      <c r="F17078" s="24"/>
      <c r="G17078" s="24"/>
      <c r="H17078" s="24"/>
      <c r="I17078" s="24"/>
      <c r="J17078" s="24"/>
      <c r="K17078" s="24"/>
      <c r="L17078" s="24"/>
      <c r="M17078" s="24"/>
      <c r="N17078" s="24"/>
      <c r="O17078" s="24"/>
      <c r="P17078" s="24"/>
      <c r="Q17078" s="24"/>
      <c r="R17078" s="24"/>
      <c r="S17078" s="24"/>
      <c r="T17078" s="24"/>
      <c r="U17078" s="24"/>
      <c r="V17078" s="24"/>
      <c r="W17078" s="24"/>
      <c r="X17078" s="24"/>
      <c r="Y17078" s="24"/>
      <c r="Z17078" s="24"/>
      <c r="AA17078" s="24"/>
    </row>
    <row r="17079">
      <c r="A17079" s="24"/>
      <c r="B17079" s="25"/>
      <c r="C17079" s="24"/>
      <c r="D17079" s="26"/>
      <c r="E17079" s="24"/>
      <c r="F17079" s="24"/>
      <c r="G17079" s="24"/>
      <c r="H17079" s="24"/>
      <c r="I17079" s="24"/>
      <c r="J17079" s="24"/>
      <c r="K17079" s="24"/>
      <c r="L17079" s="24"/>
      <c r="M17079" s="24"/>
      <c r="N17079" s="24"/>
      <c r="O17079" s="24"/>
      <c r="P17079" s="24"/>
      <c r="Q17079" s="24"/>
      <c r="R17079" s="24"/>
      <c r="S17079" s="24"/>
      <c r="T17079" s="24"/>
      <c r="U17079" s="24"/>
      <c r="V17079" s="24"/>
      <c r="W17079" s="24"/>
      <c r="X17079" s="24"/>
      <c r="Y17079" s="24"/>
      <c r="Z17079" s="24"/>
      <c r="AA17079" s="24"/>
    </row>
    <row r="17080">
      <c r="A17080" s="24"/>
      <c r="B17080" s="25"/>
      <c r="C17080" s="24"/>
      <c r="D17080" s="26"/>
      <c r="E17080" s="24"/>
      <c r="F17080" s="24"/>
      <c r="G17080" s="24"/>
      <c r="H17080" s="24"/>
      <c r="I17080" s="24"/>
      <c r="J17080" s="24"/>
      <c r="K17080" s="24"/>
      <c r="L17080" s="24"/>
      <c r="M17080" s="24"/>
      <c r="N17080" s="24"/>
      <c r="O17080" s="24"/>
      <c r="P17080" s="24"/>
      <c r="Q17080" s="24"/>
      <c r="R17080" s="24"/>
      <c r="S17080" s="24"/>
      <c r="T17080" s="24"/>
      <c r="U17080" s="24"/>
      <c r="V17080" s="24"/>
      <c r="W17080" s="24"/>
      <c r="X17080" s="24"/>
      <c r="Y17080" s="24"/>
      <c r="Z17080" s="24"/>
      <c r="AA17080" s="24"/>
    </row>
    <row r="17081">
      <c r="A17081" s="24"/>
      <c r="B17081" s="25"/>
      <c r="C17081" s="24"/>
      <c r="D17081" s="26"/>
      <c r="E17081" s="24"/>
      <c r="F17081" s="24"/>
      <c r="G17081" s="24"/>
      <c r="H17081" s="24"/>
      <c r="I17081" s="24"/>
      <c r="J17081" s="24"/>
      <c r="K17081" s="24"/>
      <c r="L17081" s="24"/>
      <c r="M17081" s="24"/>
      <c r="N17081" s="24"/>
      <c r="O17081" s="24"/>
      <c r="P17081" s="24"/>
      <c r="Q17081" s="24"/>
      <c r="R17081" s="24"/>
      <c r="S17081" s="24"/>
      <c r="T17081" s="24"/>
      <c r="U17081" s="24"/>
      <c r="V17081" s="24"/>
      <c r="W17081" s="24"/>
      <c r="X17081" s="24"/>
      <c r="Y17081" s="24"/>
      <c r="Z17081" s="24"/>
      <c r="AA17081" s="24"/>
    </row>
    <row r="17082">
      <c r="A17082" s="24"/>
      <c r="B17082" s="25"/>
      <c r="C17082" s="24"/>
      <c r="D17082" s="26"/>
      <c r="E17082" s="24"/>
      <c r="F17082" s="24"/>
      <c r="G17082" s="24"/>
      <c r="H17082" s="24"/>
      <c r="I17082" s="24"/>
      <c r="J17082" s="24"/>
      <c r="K17082" s="24"/>
      <c r="L17082" s="24"/>
      <c r="M17082" s="24"/>
      <c r="N17082" s="24"/>
      <c r="O17082" s="24"/>
      <c r="P17082" s="24"/>
      <c r="Q17082" s="24"/>
      <c r="R17082" s="24"/>
      <c r="S17082" s="24"/>
      <c r="T17082" s="24"/>
      <c r="U17082" s="24"/>
      <c r="V17082" s="24"/>
      <c r="W17082" s="24"/>
      <c r="X17082" s="24"/>
      <c r="Y17082" s="24"/>
      <c r="Z17082" s="24"/>
      <c r="AA17082" s="24"/>
    </row>
    <row r="17083">
      <c r="A17083" s="24"/>
      <c r="B17083" s="25"/>
      <c r="C17083" s="24"/>
      <c r="D17083" s="26"/>
      <c r="E17083" s="24"/>
      <c r="F17083" s="24"/>
      <c r="G17083" s="24"/>
      <c r="H17083" s="24"/>
      <c r="I17083" s="24"/>
      <c r="J17083" s="24"/>
      <c r="K17083" s="24"/>
      <c r="L17083" s="24"/>
      <c r="M17083" s="24"/>
      <c r="N17083" s="24"/>
      <c r="O17083" s="24"/>
      <c r="P17083" s="24"/>
      <c r="Q17083" s="24"/>
      <c r="R17083" s="24"/>
      <c r="S17083" s="24"/>
      <c r="T17083" s="24"/>
      <c r="U17083" s="24"/>
      <c r="V17083" s="24"/>
      <c r="W17083" s="24"/>
      <c r="X17083" s="24"/>
      <c r="Y17083" s="24"/>
      <c r="Z17083" s="24"/>
      <c r="AA17083" s="24"/>
    </row>
    <row r="17084">
      <c r="A17084" s="24"/>
      <c r="B17084" s="25"/>
      <c r="C17084" s="24"/>
      <c r="D17084" s="26"/>
      <c r="E17084" s="24"/>
      <c r="F17084" s="24"/>
      <c r="G17084" s="24"/>
      <c r="H17084" s="24"/>
      <c r="I17084" s="24"/>
      <c r="J17084" s="24"/>
      <c r="K17084" s="24"/>
      <c r="L17084" s="24"/>
      <c r="M17084" s="24"/>
      <c r="N17084" s="24"/>
      <c r="O17084" s="24"/>
      <c r="P17084" s="24"/>
      <c r="Q17084" s="24"/>
      <c r="R17084" s="24"/>
      <c r="S17084" s="24"/>
      <c r="T17084" s="24"/>
      <c r="U17084" s="24"/>
      <c r="V17084" s="24"/>
      <c r="W17084" s="24"/>
      <c r="X17084" s="24"/>
      <c r="Y17084" s="24"/>
      <c r="Z17084" s="24"/>
      <c r="AA17084" s="24"/>
    </row>
    <row r="17085">
      <c r="A17085" s="24"/>
      <c r="B17085" s="25"/>
      <c r="C17085" s="24"/>
      <c r="D17085" s="26"/>
      <c r="E17085" s="24"/>
      <c r="F17085" s="24"/>
      <c r="G17085" s="24"/>
      <c r="H17085" s="24"/>
      <c r="I17085" s="24"/>
      <c r="J17085" s="24"/>
      <c r="K17085" s="24"/>
      <c r="L17085" s="24"/>
      <c r="M17085" s="24"/>
      <c r="N17085" s="24"/>
      <c r="O17085" s="24"/>
      <c r="P17085" s="24"/>
      <c r="Q17085" s="24"/>
      <c r="R17085" s="24"/>
      <c r="S17085" s="24"/>
      <c r="T17085" s="24"/>
      <c r="U17085" s="24"/>
      <c r="V17085" s="24"/>
      <c r="W17085" s="24"/>
      <c r="X17085" s="24"/>
      <c r="Y17085" s="24"/>
      <c r="Z17085" s="24"/>
      <c r="AA17085" s="24"/>
    </row>
    <row r="17086">
      <c r="A17086" s="24"/>
      <c r="B17086" s="25"/>
      <c r="C17086" s="24"/>
      <c r="D17086" s="26"/>
      <c r="E17086" s="24"/>
      <c r="F17086" s="24"/>
      <c r="G17086" s="24"/>
      <c r="H17086" s="24"/>
      <c r="I17086" s="24"/>
      <c r="J17086" s="24"/>
      <c r="K17086" s="24"/>
      <c r="L17086" s="24"/>
      <c r="M17086" s="24"/>
      <c r="N17086" s="24"/>
      <c r="O17086" s="24"/>
      <c r="P17086" s="24"/>
      <c r="Q17086" s="24"/>
      <c r="R17086" s="24"/>
      <c r="S17086" s="24"/>
      <c r="T17086" s="24"/>
      <c r="U17086" s="24"/>
      <c r="V17086" s="24"/>
      <c r="W17086" s="24"/>
      <c r="X17086" s="24"/>
      <c r="Y17086" s="24"/>
      <c r="Z17086" s="24"/>
      <c r="AA17086" s="24"/>
    </row>
    <row r="17087">
      <c r="A17087" s="24"/>
      <c r="B17087" s="25"/>
      <c r="C17087" s="24"/>
      <c r="D17087" s="26"/>
      <c r="E17087" s="24"/>
      <c r="F17087" s="24"/>
      <c r="G17087" s="24"/>
      <c r="H17087" s="24"/>
      <c r="I17087" s="24"/>
      <c r="J17087" s="24"/>
      <c r="K17087" s="24"/>
      <c r="L17087" s="24"/>
      <c r="M17087" s="24"/>
      <c r="N17087" s="24"/>
      <c r="O17087" s="24"/>
      <c r="P17087" s="24"/>
      <c r="Q17087" s="24"/>
      <c r="R17087" s="24"/>
      <c r="S17087" s="24"/>
      <c r="T17087" s="24"/>
      <c r="U17087" s="24"/>
      <c r="V17087" s="24"/>
      <c r="W17087" s="24"/>
      <c r="X17087" s="24"/>
      <c r="Y17087" s="24"/>
      <c r="Z17087" s="24"/>
      <c r="AA17087" s="24"/>
    </row>
    <row r="17088">
      <c r="A17088" s="24"/>
      <c r="B17088" s="25"/>
      <c r="C17088" s="24"/>
      <c r="D17088" s="26"/>
      <c r="E17088" s="24"/>
      <c r="F17088" s="24"/>
      <c r="G17088" s="24"/>
      <c r="H17088" s="24"/>
      <c r="I17088" s="24"/>
      <c r="J17088" s="24"/>
      <c r="K17088" s="24"/>
      <c r="L17088" s="24"/>
      <c r="M17088" s="24"/>
      <c r="N17088" s="24"/>
      <c r="O17088" s="24"/>
      <c r="P17088" s="24"/>
      <c r="Q17088" s="24"/>
      <c r="R17088" s="24"/>
      <c r="S17088" s="24"/>
      <c r="T17088" s="24"/>
      <c r="U17088" s="24"/>
      <c r="V17088" s="24"/>
      <c r="W17088" s="24"/>
      <c r="X17088" s="24"/>
      <c r="Y17088" s="24"/>
      <c r="Z17088" s="24"/>
      <c r="AA17088" s="24"/>
    </row>
    <row r="17089">
      <c r="A17089" s="24"/>
      <c r="B17089" s="25"/>
      <c r="C17089" s="24"/>
      <c r="D17089" s="26"/>
      <c r="E17089" s="24"/>
      <c r="F17089" s="24"/>
      <c r="G17089" s="24"/>
      <c r="H17089" s="24"/>
      <c r="I17089" s="24"/>
      <c r="J17089" s="24"/>
      <c r="K17089" s="24"/>
      <c r="L17089" s="24"/>
      <c r="M17089" s="24"/>
      <c r="N17089" s="24"/>
      <c r="O17089" s="24"/>
      <c r="P17089" s="24"/>
      <c r="Q17089" s="24"/>
      <c r="R17089" s="24"/>
      <c r="S17089" s="24"/>
      <c r="T17089" s="24"/>
      <c r="U17089" s="24"/>
      <c r="V17089" s="24"/>
      <c r="W17089" s="24"/>
      <c r="X17089" s="24"/>
      <c r="Y17089" s="24"/>
      <c r="Z17089" s="24"/>
      <c r="AA17089" s="24"/>
    </row>
    <row r="17090">
      <c r="A17090" s="24"/>
      <c r="B17090" s="25"/>
      <c r="C17090" s="24"/>
      <c r="D17090" s="26"/>
      <c r="E17090" s="24"/>
      <c r="F17090" s="24"/>
      <c r="G17090" s="24"/>
      <c r="H17090" s="24"/>
      <c r="I17090" s="24"/>
      <c r="J17090" s="24"/>
      <c r="K17090" s="24"/>
      <c r="L17090" s="24"/>
      <c r="M17090" s="24"/>
      <c r="N17090" s="24"/>
      <c r="O17090" s="24"/>
      <c r="P17090" s="24"/>
      <c r="Q17090" s="24"/>
      <c r="R17090" s="24"/>
      <c r="S17090" s="24"/>
      <c r="T17090" s="24"/>
      <c r="U17090" s="24"/>
      <c r="V17090" s="24"/>
      <c r="W17090" s="24"/>
      <c r="X17090" s="24"/>
      <c r="Y17090" s="24"/>
      <c r="Z17090" s="24"/>
      <c r="AA17090" s="24"/>
    </row>
    <row r="17091">
      <c r="A17091" s="24"/>
      <c r="B17091" s="25"/>
      <c r="C17091" s="24"/>
      <c r="D17091" s="26"/>
      <c r="E17091" s="24"/>
      <c r="F17091" s="24"/>
      <c r="G17091" s="24"/>
      <c r="H17091" s="24"/>
      <c r="I17091" s="24"/>
      <c r="J17091" s="24"/>
      <c r="K17091" s="24"/>
      <c r="L17091" s="24"/>
      <c r="M17091" s="24"/>
      <c r="N17091" s="24"/>
      <c r="O17091" s="24"/>
      <c r="P17091" s="24"/>
      <c r="Q17091" s="24"/>
      <c r="R17091" s="24"/>
      <c r="S17091" s="24"/>
      <c r="T17091" s="24"/>
      <c r="U17091" s="24"/>
      <c r="V17091" s="24"/>
      <c r="W17091" s="24"/>
      <c r="X17091" s="24"/>
      <c r="Y17091" s="24"/>
      <c r="Z17091" s="24"/>
      <c r="AA17091" s="24"/>
    </row>
    <row r="17092">
      <c r="A17092" s="24"/>
      <c r="B17092" s="25"/>
      <c r="C17092" s="24"/>
      <c r="D17092" s="26"/>
      <c r="E17092" s="24"/>
      <c r="F17092" s="24"/>
      <c r="G17092" s="24"/>
      <c r="H17092" s="24"/>
      <c r="I17092" s="24"/>
      <c r="J17092" s="24"/>
      <c r="K17092" s="24"/>
      <c r="L17092" s="24"/>
      <c r="M17092" s="24"/>
      <c r="N17092" s="24"/>
      <c r="O17092" s="24"/>
      <c r="P17092" s="24"/>
      <c r="Q17092" s="24"/>
      <c r="R17092" s="24"/>
      <c r="S17092" s="24"/>
      <c r="T17092" s="24"/>
      <c r="U17092" s="24"/>
      <c r="V17092" s="24"/>
      <c r="W17092" s="24"/>
      <c r="X17092" s="24"/>
      <c r="Y17092" s="24"/>
      <c r="Z17092" s="24"/>
      <c r="AA17092" s="24"/>
    </row>
    <row r="17093">
      <c r="A17093" s="24"/>
      <c r="B17093" s="25"/>
      <c r="C17093" s="24"/>
      <c r="D17093" s="26"/>
      <c r="E17093" s="24"/>
      <c r="F17093" s="24"/>
      <c r="G17093" s="24"/>
      <c r="H17093" s="24"/>
      <c r="I17093" s="24"/>
      <c r="J17093" s="24"/>
      <c r="K17093" s="24"/>
      <c r="L17093" s="24"/>
      <c r="M17093" s="24"/>
      <c r="N17093" s="24"/>
      <c r="O17093" s="24"/>
      <c r="P17093" s="24"/>
      <c r="Q17093" s="24"/>
      <c r="R17093" s="24"/>
      <c r="S17093" s="24"/>
      <c r="T17093" s="24"/>
      <c r="U17093" s="24"/>
      <c r="V17093" s="24"/>
      <c r="W17093" s="24"/>
      <c r="X17093" s="24"/>
      <c r="Y17093" s="24"/>
      <c r="Z17093" s="24"/>
      <c r="AA17093" s="24"/>
    </row>
    <row r="17094">
      <c r="A17094" s="24"/>
      <c r="B17094" s="25"/>
      <c r="C17094" s="24"/>
      <c r="D17094" s="26"/>
      <c r="E17094" s="24"/>
      <c r="F17094" s="24"/>
      <c r="G17094" s="24"/>
      <c r="H17094" s="24"/>
      <c r="I17094" s="24"/>
      <c r="J17094" s="24"/>
      <c r="K17094" s="24"/>
      <c r="L17094" s="24"/>
      <c r="M17094" s="24"/>
      <c r="N17094" s="24"/>
      <c r="O17094" s="24"/>
      <c r="P17094" s="24"/>
      <c r="Q17094" s="24"/>
      <c r="R17094" s="24"/>
      <c r="S17094" s="24"/>
      <c r="T17094" s="24"/>
      <c r="U17094" s="24"/>
      <c r="V17094" s="24"/>
      <c r="W17094" s="24"/>
      <c r="X17094" s="24"/>
      <c r="Y17094" s="24"/>
      <c r="Z17094" s="24"/>
      <c r="AA17094" s="24"/>
    </row>
    <row r="17095">
      <c r="A17095" s="24"/>
      <c r="B17095" s="25"/>
      <c r="C17095" s="24"/>
      <c r="D17095" s="26"/>
      <c r="E17095" s="24"/>
      <c r="F17095" s="24"/>
      <c r="G17095" s="24"/>
      <c r="H17095" s="24"/>
      <c r="I17095" s="24"/>
      <c r="J17095" s="24"/>
      <c r="K17095" s="24"/>
      <c r="L17095" s="24"/>
      <c r="M17095" s="24"/>
      <c r="N17095" s="24"/>
      <c r="O17095" s="24"/>
      <c r="P17095" s="24"/>
      <c r="Q17095" s="24"/>
      <c r="R17095" s="24"/>
      <c r="S17095" s="24"/>
      <c r="T17095" s="24"/>
      <c r="U17095" s="24"/>
      <c r="V17095" s="24"/>
      <c r="W17095" s="24"/>
      <c r="X17095" s="24"/>
      <c r="Y17095" s="24"/>
      <c r="Z17095" s="24"/>
      <c r="AA17095" s="24"/>
    </row>
    <row r="17096">
      <c r="A17096" s="24"/>
      <c r="B17096" s="25"/>
      <c r="C17096" s="24"/>
      <c r="D17096" s="26"/>
      <c r="E17096" s="24"/>
      <c r="F17096" s="24"/>
      <c r="G17096" s="24"/>
      <c r="H17096" s="24"/>
      <c r="I17096" s="24"/>
      <c r="J17096" s="24"/>
      <c r="K17096" s="24"/>
      <c r="L17096" s="24"/>
      <c r="M17096" s="24"/>
      <c r="N17096" s="24"/>
      <c r="O17096" s="24"/>
      <c r="P17096" s="24"/>
      <c r="Q17096" s="24"/>
      <c r="R17096" s="24"/>
      <c r="S17096" s="24"/>
      <c r="T17096" s="24"/>
      <c r="U17096" s="24"/>
      <c r="V17096" s="24"/>
      <c r="W17096" s="24"/>
      <c r="X17096" s="24"/>
      <c r="Y17096" s="24"/>
      <c r="Z17096" s="24"/>
      <c r="AA17096" s="24"/>
    </row>
    <row r="17097">
      <c r="A17097" s="24"/>
      <c r="B17097" s="25"/>
      <c r="C17097" s="24"/>
      <c r="D17097" s="26"/>
      <c r="E17097" s="24"/>
      <c r="F17097" s="24"/>
      <c r="G17097" s="24"/>
      <c r="H17097" s="24"/>
      <c r="I17097" s="24"/>
      <c r="J17097" s="24"/>
      <c r="K17097" s="24"/>
      <c r="L17097" s="24"/>
      <c r="M17097" s="24"/>
      <c r="N17097" s="24"/>
      <c r="O17097" s="24"/>
      <c r="P17097" s="24"/>
      <c r="Q17097" s="24"/>
      <c r="R17097" s="24"/>
      <c r="S17097" s="24"/>
      <c r="T17097" s="24"/>
      <c r="U17097" s="24"/>
      <c r="V17097" s="24"/>
      <c r="W17097" s="24"/>
      <c r="X17097" s="24"/>
      <c r="Y17097" s="24"/>
      <c r="Z17097" s="24"/>
      <c r="AA17097" s="24"/>
    </row>
    <row r="17098">
      <c r="A17098" s="24"/>
      <c r="B17098" s="25"/>
      <c r="C17098" s="24"/>
      <c r="D17098" s="26"/>
      <c r="E17098" s="24"/>
      <c r="F17098" s="24"/>
      <c r="G17098" s="24"/>
      <c r="H17098" s="24"/>
      <c r="I17098" s="24"/>
      <c r="J17098" s="24"/>
      <c r="K17098" s="24"/>
      <c r="L17098" s="24"/>
      <c r="M17098" s="24"/>
      <c r="N17098" s="24"/>
      <c r="O17098" s="24"/>
      <c r="P17098" s="24"/>
      <c r="Q17098" s="24"/>
      <c r="R17098" s="24"/>
      <c r="S17098" s="24"/>
      <c r="T17098" s="24"/>
      <c r="U17098" s="24"/>
      <c r="V17098" s="24"/>
      <c r="W17098" s="24"/>
      <c r="X17098" s="24"/>
      <c r="Y17098" s="24"/>
      <c r="Z17098" s="24"/>
      <c r="AA17098" s="24"/>
    </row>
    <row r="17099">
      <c r="A17099" s="24"/>
      <c r="B17099" s="25"/>
      <c r="C17099" s="24"/>
      <c r="D17099" s="26"/>
      <c r="E17099" s="24"/>
      <c r="F17099" s="24"/>
      <c r="G17099" s="24"/>
      <c r="H17099" s="24"/>
      <c r="I17099" s="24"/>
      <c r="J17099" s="24"/>
      <c r="K17099" s="24"/>
      <c r="L17099" s="24"/>
      <c r="M17099" s="24"/>
      <c r="N17099" s="24"/>
      <c r="O17099" s="24"/>
      <c r="P17099" s="24"/>
      <c r="Q17099" s="24"/>
      <c r="R17099" s="24"/>
      <c r="S17099" s="24"/>
      <c r="T17099" s="24"/>
      <c r="U17099" s="24"/>
      <c r="V17099" s="24"/>
      <c r="W17099" s="24"/>
      <c r="X17099" s="24"/>
      <c r="Y17099" s="24"/>
      <c r="Z17099" s="24"/>
      <c r="AA17099" s="24"/>
    </row>
    <row r="17100">
      <c r="A17100" s="24"/>
      <c r="B17100" s="25"/>
      <c r="C17100" s="24"/>
      <c r="D17100" s="26"/>
      <c r="E17100" s="24"/>
      <c r="F17100" s="24"/>
      <c r="G17100" s="24"/>
      <c r="H17100" s="24"/>
      <c r="I17100" s="24"/>
      <c r="J17100" s="24"/>
      <c r="K17100" s="24"/>
      <c r="L17100" s="24"/>
      <c r="M17100" s="24"/>
      <c r="N17100" s="24"/>
      <c r="O17100" s="24"/>
      <c r="P17100" s="24"/>
      <c r="Q17100" s="24"/>
      <c r="R17100" s="24"/>
      <c r="S17100" s="24"/>
      <c r="T17100" s="24"/>
      <c r="U17100" s="24"/>
      <c r="V17100" s="24"/>
      <c r="W17100" s="24"/>
      <c r="X17100" s="24"/>
      <c r="Y17100" s="24"/>
      <c r="Z17100" s="24"/>
      <c r="AA17100" s="24"/>
    </row>
    <row r="17101">
      <c r="A17101" s="24"/>
      <c r="B17101" s="25"/>
      <c r="C17101" s="24"/>
      <c r="D17101" s="26"/>
      <c r="E17101" s="24"/>
      <c r="F17101" s="24"/>
      <c r="G17101" s="24"/>
      <c r="H17101" s="24"/>
      <c r="I17101" s="24"/>
      <c r="J17101" s="24"/>
      <c r="K17101" s="24"/>
      <c r="L17101" s="24"/>
      <c r="M17101" s="24"/>
      <c r="N17101" s="24"/>
      <c r="O17101" s="24"/>
      <c r="P17101" s="24"/>
      <c r="Q17101" s="24"/>
      <c r="R17101" s="24"/>
      <c r="S17101" s="24"/>
      <c r="T17101" s="24"/>
      <c r="U17101" s="24"/>
      <c r="V17101" s="24"/>
      <c r="W17101" s="24"/>
      <c r="X17101" s="24"/>
      <c r="Y17101" s="24"/>
      <c r="Z17101" s="24"/>
      <c r="AA17101" s="24"/>
    </row>
    <row r="17102">
      <c r="A17102" s="24"/>
      <c r="B17102" s="25"/>
      <c r="C17102" s="24"/>
      <c r="D17102" s="26"/>
      <c r="E17102" s="24"/>
      <c r="F17102" s="24"/>
      <c r="G17102" s="24"/>
      <c r="H17102" s="24"/>
      <c r="I17102" s="24"/>
      <c r="J17102" s="24"/>
      <c r="K17102" s="24"/>
      <c r="L17102" s="24"/>
      <c r="M17102" s="24"/>
      <c r="N17102" s="24"/>
      <c r="O17102" s="24"/>
      <c r="P17102" s="24"/>
      <c r="Q17102" s="24"/>
      <c r="R17102" s="24"/>
      <c r="S17102" s="24"/>
      <c r="T17102" s="24"/>
      <c r="U17102" s="24"/>
      <c r="V17102" s="24"/>
      <c r="W17102" s="24"/>
      <c r="X17102" s="24"/>
      <c r="Y17102" s="24"/>
      <c r="Z17102" s="24"/>
      <c r="AA17102" s="24"/>
    </row>
    <row r="17103">
      <c r="A17103" s="24"/>
      <c r="B17103" s="25"/>
      <c r="C17103" s="24"/>
      <c r="D17103" s="26"/>
      <c r="E17103" s="24"/>
      <c r="F17103" s="24"/>
      <c r="G17103" s="24"/>
      <c r="H17103" s="24"/>
      <c r="I17103" s="24"/>
      <c r="J17103" s="24"/>
      <c r="K17103" s="24"/>
      <c r="L17103" s="24"/>
      <c r="M17103" s="24"/>
      <c r="N17103" s="24"/>
      <c r="O17103" s="24"/>
      <c r="P17103" s="24"/>
      <c r="Q17103" s="24"/>
      <c r="R17103" s="24"/>
      <c r="S17103" s="24"/>
      <c r="T17103" s="24"/>
      <c r="U17103" s="24"/>
      <c r="V17103" s="24"/>
      <c r="W17103" s="24"/>
      <c r="X17103" s="24"/>
      <c r="Y17103" s="24"/>
      <c r="Z17103" s="24"/>
      <c r="AA17103" s="24"/>
    </row>
    <row r="17104">
      <c r="A17104" s="24"/>
      <c r="B17104" s="25"/>
      <c r="C17104" s="24"/>
      <c r="D17104" s="26"/>
      <c r="E17104" s="24"/>
      <c r="F17104" s="24"/>
      <c r="G17104" s="24"/>
      <c r="H17104" s="24"/>
      <c r="I17104" s="24"/>
      <c r="J17104" s="24"/>
      <c r="K17104" s="24"/>
      <c r="L17104" s="24"/>
      <c r="M17104" s="24"/>
      <c r="N17104" s="24"/>
      <c r="O17104" s="24"/>
      <c r="P17104" s="24"/>
      <c r="Q17104" s="24"/>
      <c r="R17104" s="24"/>
      <c r="S17104" s="24"/>
      <c r="T17104" s="24"/>
      <c r="U17104" s="24"/>
      <c r="V17104" s="24"/>
      <c r="W17104" s="24"/>
      <c r="X17104" s="24"/>
      <c r="Y17104" s="24"/>
      <c r="Z17104" s="24"/>
      <c r="AA17104" s="24"/>
    </row>
    <row r="17105">
      <c r="A17105" s="24"/>
      <c r="B17105" s="25"/>
      <c r="C17105" s="24"/>
      <c r="D17105" s="26"/>
      <c r="E17105" s="24"/>
      <c r="F17105" s="24"/>
      <c r="G17105" s="24"/>
      <c r="H17105" s="24"/>
      <c r="I17105" s="24"/>
      <c r="J17105" s="24"/>
      <c r="K17105" s="24"/>
      <c r="L17105" s="24"/>
      <c r="M17105" s="24"/>
      <c r="N17105" s="24"/>
      <c r="O17105" s="24"/>
      <c r="P17105" s="24"/>
      <c r="Q17105" s="24"/>
      <c r="R17105" s="24"/>
      <c r="S17105" s="24"/>
      <c r="T17105" s="24"/>
      <c r="U17105" s="24"/>
      <c r="V17105" s="24"/>
      <c r="W17105" s="24"/>
      <c r="X17105" s="24"/>
      <c r="Y17105" s="24"/>
      <c r="Z17105" s="24"/>
      <c r="AA17105" s="24"/>
    </row>
    <row r="17106">
      <c r="A17106" s="24"/>
      <c r="B17106" s="25"/>
      <c r="C17106" s="24"/>
      <c r="D17106" s="26"/>
      <c r="E17106" s="24"/>
      <c r="F17106" s="24"/>
      <c r="G17106" s="24"/>
      <c r="H17106" s="24"/>
      <c r="I17106" s="24"/>
      <c r="J17106" s="24"/>
      <c r="K17106" s="24"/>
      <c r="L17106" s="24"/>
      <c r="M17106" s="24"/>
      <c r="N17106" s="24"/>
      <c r="O17106" s="24"/>
      <c r="P17106" s="24"/>
      <c r="Q17106" s="24"/>
      <c r="R17106" s="24"/>
      <c r="S17106" s="24"/>
      <c r="T17106" s="24"/>
      <c r="U17106" s="24"/>
      <c r="V17106" s="24"/>
      <c r="W17106" s="24"/>
      <c r="X17106" s="24"/>
      <c r="Y17106" s="24"/>
      <c r="Z17106" s="24"/>
      <c r="AA17106" s="24"/>
    </row>
    <row r="17107">
      <c r="A17107" s="24"/>
      <c r="B17107" s="25"/>
      <c r="C17107" s="24"/>
      <c r="D17107" s="26"/>
      <c r="E17107" s="24"/>
      <c r="F17107" s="24"/>
      <c r="G17107" s="24"/>
      <c r="H17107" s="24"/>
      <c r="I17107" s="24"/>
      <c r="J17107" s="24"/>
      <c r="K17107" s="24"/>
      <c r="L17107" s="24"/>
      <c r="M17107" s="24"/>
      <c r="N17107" s="24"/>
      <c r="O17107" s="24"/>
      <c r="P17107" s="24"/>
      <c r="Q17107" s="24"/>
      <c r="R17107" s="24"/>
      <c r="S17107" s="24"/>
      <c r="T17107" s="24"/>
      <c r="U17107" s="24"/>
      <c r="V17107" s="24"/>
      <c r="W17107" s="24"/>
      <c r="X17107" s="24"/>
      <c r="Y17107" s="24"/>
      <c r="Z17107" s="24"/>
      <c r="AA17107" s="24"/>
    </row>
    <row r="17108">
      <c r="A17108" s="24"/>
      <c r="B17108" s="25"/>
      <c r="C17108" s="24"/>
      <c r="D17108" s="26"/>
      <c r="E17108" s="24"/>
      <c r="F17108" s="24"/>
      <c r="G17108" s="24"/>
      <c r="H17108" s="24"/>
      <c r="I17108" s="24"/>
      <c r="J17108" s="24"/>
      <c r="K17108" s="24"/>
      <c r="L17108" s="24"/>
      <c r="M17108" s="24"/>
      <c r="N17108" s="24"/>
      <c r="O17108" s="24"/>
      <c r="P17108" s="24"/>
      <c r="Q17108" s="24"/>
      <c r="R17108" s="24"/>
      <c r="S17108" s="24"/>
      <c r="T17108" s="24"/>
      <c r="U17108" s="24"/>
      <c r="V17108" s="24"/>
      <c r="W17108" s="24"/>
      <c r="X17108" s="24"/>
      <c r="Y17108" s="24"/>
      <c r="Z17108" s="24"/>
      <c r="AA17108" s="24"/>
    </row>
    <row r="17109">
      <c r="A17109" s="24"/>
      <c r="B17109" s="25"/>
      <c r="C17109" s="24"/>
      <c r="D17109" s="26"/>
      <c r="E17109" s="24"/>
      <c r="F17109" s="24"/>
      <c r="G17109" s="24"/>
      <c r="H17109" s="24"/>
      <c r="I17109" s="24"/>
      <c r="J17109" s="24"/>
      <c r="K17109" s="24"/>
      <c r="L17109" s="24"/>
      <c r="M17109" s="24"/>
      <c r="N17109" s="24"/>
      <c r="O17109" s="24"/>
      <c r="P17109" s="24"/>
      <c r="Q17109" s="24"/>
      <c r="R17109" s="24"/>
      <c r="S17109" s="24"/>
      <c r="T17109" s="24"/>
      <c r="U17109" s="24"/>
      <c r="V17109" s="24"/>
      <c r="W17109" s="24"/>
      <c r="X17109" s="24"/>
      <c r="Y17109" s="24"/>
      <c r="Z17109" s="24"/>
      <c r="AA17109" s="24"/>
    </row>
    <row r="17110">
      <c r="A17110" s="24"/>
      <c r="B17110" s="25"/>
      <c r="C17110" s="24"/>
      <c r="D17110" s="26"/>
      <c r="E17110" s="24"/>
      <c r="F17110" s="24"/>
      <c r="G17110" s="24"/>
      <c r="H17110" s="24"/>
      <c r="I17110" s="24"/>
      <c r="J17110" s="24"/>
      <c r="K17110" s="24"/>
      <c r="L17110" s="24"/>
      <c r="M17110" s="24"/>
      <c r="N17110" s="24"/>
      <c r="O17110" s="24"/>
      <c r="P17110" s="24"/>
      <c r="Q17110" s="24"/>
      <c r="R17110" s="24"/>
      <c r="S17110" s="24"/>
      <c r="T17110" s="24"/>
      <c r="U17110" s="24"/>
      <c r="V17110" s="24"/>
      <c r="W17110" s="24"/>
      <c r="X17110" s="24"/>
      <c r="Y17110" s="24"/>
      <c r="Z17110" s="24"/>
      <c r="AA17110" s="24"/>
    </row>
    <row r="17111">
      <c r="A17111" s="24"/>
      <c r="B17111" s="25"/>
      <c r="C17111" s="24"/>
      <c r="D17111" s="26"/>
      <c r="E17111" s="24"/>
      <c r="F17111" s="24"/>
      <c r="G17111" s="24"/>
      <c r="H17111" s="24"/>
      <c r="I17111" s="24"/>
      <c r="J17111" s="24"/>
      <c r="K17111" s="24"/>
      <c r="L17111" s="24"/>
      <c r="M17111" s="24"/>
      <c r="N17111" s="24"/>
      <c r="O17111" s="24"/>
      <c r="P17111" s="24"/>
      <c r="Q17111" s="24"/>
      <c r="R17111" s="24"/>
      <c r="S17111" s="24"/>
      <c r="T17111" s="24"/>
      <c r="U17111" s="24"/>
      <c r="V17111" s="24"/>
      <c r="W17111" s="24"/>
      <c r="X17111" s="24"/>
      <c r="Y17111" s="24"/>
      <c r="Z17111" s="24"/>
      <c r="AA17111" s="24"/>
    </row>
    <row r="17112">
      <c r="A17112" s="24"/>
      <c r="B17112" s="25"/>
      <c r="C17112" s="24"/>
      <c r="D17112" s="26"/>
      <c r="E17112" s="24"/>
      <c r="F17112" s="24"/>
      <c r="G17112" s="24"/>
      <c r="H17112" s="24"/>
      <c r="I17112" s="24"/>
      <c r="J17112" s="24"/>
      <c r="K17112" s="24"/>
      <c r="L17112" s="24"/>
      <c r="M17112" s="24"/>
      <c r="N17112" s="24"/>
      <c r="O17112" s="24"/>
      <c r="P17112" s="24"/>
      <c r="Q17112" s="24"/>
      <c r="R17112" s="24"/>
      <c r="S17112" s="24"/>
      <c r="T17112" s="24"/>
      <c r="U17112" s="24"/>
      <c r="V17112" s="24"/>
      <c r="W17112" s="24"/>
      <c r="X17112" s="24"/>
      <c r="Y17112" s="24"/>
      <c r="Z17112" s="24"/>
      <c r="AA17112" s="24"/>
    </row>
    <row r="17113">
      <c r="A17113" s="24"/>
      <c r="B17113" s="25"/>
      <c r="C17113" s="24"/>
      <c r="D17113" s="26"/>
      <c r="E17113" s="24"/>
      <c r="F17113" s="24"/>
      <c r="G17113" s="24"/>
      <c r="H17113" s="24"/>
      <c r="I17113" s="24"/>
      <c r="J17113" s="24"/>
      <c r="K17113" s="24"/>
      <c r="L17113" s="24"/>
      <c r="M17113" s="24"/>
      <c r="N17113" s="24"/>
      <c r="O17113" s="24"/>
      <c r="P17113" s="24"/>
      <c r="Q17113" s="24"/>
      <c r="R17113" s="24"/>
      <c r="S17113" s="24"/>
      <c r="T17113" s="24"/>
      <c r="U17113" s="24"/>
      <c r="V17113" s="24"/>
      <c r="W17113" s="24"/>
      <c r="X17113" s="24"/>
      <c r="Y17113" s="24"/>
      <c r="Z17113" s="24"/>
      <c r="AA17113" s="24"/>
    </row>
    <row r="17114">
      <c r="A17114" s="24"/>
      <c r="B17114" s="25"/>
      <c r="C17114" s="24"/>
      <c r="D17114" s="26"/>
      <c r="E17114" s="24"/>
      <c r="F17114" s="24"/>
      <c r="G17114" s="24"/>
      <c r="H17114" s="24"/>
      <c r="I17114" s="24"/>
      <c r="J17114" s="24"/>
      <c r="K17114" s="24"/>
      <c r="L17114" s="24"/>
      <c r="M17114" s="24"/>
      <c r="N17114" s="24"/>
      <c r="O17114" s="24"/>
      <c r="P17114" s="24"/>
      <c r="Q17114" s="24"/>
      <c r="R17114" s="24"/>
      <c r="S17114" s="24"/>
      <c r="T17114" s="24"/>
      <c r="U17114" s="24"/>
      <c r="V17114" s="24"/>
      <c r="W17114" s="24"/>
      <c r="X17114" s="24"/>
      <c r="Y17114" s="24"/>
      <c r="Z17114" s="24"/>
      <c r="AA17114" s="24"/>
    </row>
    <row r="17115">
      <c r="A17115" s="24"/>
      <c r="B17115" s="25"/>
      <c r="C17115" s="24"/>
      <c r="D17115" s="26"/>
      <c r="E17115" s="24"/>
      <c r="F17115" s="24"/>
      <c r="G17115" s="24"/>
      <c r="H17115" s="24"/>
      <c r="I17115" s="24"/>
      <c r="J17115" s="24"/>
      <c r="K17115" s="24"/>
      <c r="L17115" s="24"/>
      <c r="M17115" s="24"/>
      <c r="N17115" s="24"/>
      <c r="O17115" s="24"/>
      <c r="P17115" s="24"/>
      <c r="Q17115" s="24"/>
      <c r="R17115" s="24"/>
      <c r="S17115" s="24"/>
      <c r="T17115" s="24"/>
      <c r="U17115" s="24"/>
      <c r="V17115" s="24"/>
      <c r="W17115" s="24"/>
      <c r="X17115" s="24"/>
      <c r="Y17115" s="24"/>
      <c r="Z17115" s="24"/>
      <c r="AA17115" s="24"/>
    </row>
    <row r="17116">
      <c r="A17116" s="24"/>
      <c r="B17116" s="25"/>
      <c r="C17116" s="24"/>
      <c r="D17116" s="26"/>
      <c r="E17116" s="24"/>
      <c r="F17116" s="24"/>
      <c r="G17116" s="24"/>
      <c r="H17116" s="24"/>
      <c r="I17116" s="24"/>
      <c r="J17116" s="24"/>
      <c r="K17116" s="24"/>
      <c r="L17116" s="24"/>
      <c r="M17116" s="24"/>
      <c r="N17116" s="24"/>
      <c r="O17116" s="24"/>
      <c r="P17116" s="24"/>
      <c r="Q17116" s="24"/>
      <c r="R17116" s="24"/>
      <c r="S17116" s="24"/>
      <c r="T17116" s="24"/>
      <c r="U17116" s="24"/>
      <c r="V17116" s="24"/>
      <c r="W17116" s="24"/>
      <c r="X17116" s="24"/>
      <c r="Y17116" s="24"/>
      <c r="Z17116" s="24"/>
      <c r="AA17116" s="24"/>
    </row>
    <row r="17117">
      <c r="A17117" s="24"/>
      <c r="B17117" s="25"/>
      <c r="C17117" s="24"/>
      <c r="D17117" s="26"/>
      <c r="E17117" s="24"/>
      <c r="F17117" s="24"/>
      <c r="G17117" s="24"/>
      <c r="H17117" s="24"/>
      <c r="I17117" s="24"/>
      <c r="J17117" s="24"/>
      <c r="K17117" s="24"/>
      <c r="L17117" s="24"/>
      <c r="M17117" s="24"/>
      <c r="N17117" s="24"/>
      <c r="O17117" s="24"/>
      <c r="P17117" s="24"/>
      <c r="Q17117" s="24"/>
      <c r="R17117" s="24"/>
      <c r="S17117" s="24"/>
      <c r="T17117" s="24"/>
      <c r="U17117" s="24"/>
      <c r="V17117" s="24"/>
      <c r="W17117" s="24"/>
      <c r="X17117" s="24"/>
      <c r="Y17117" s="24"/>
      <c r="Z17117" s="24"/>
      <c r="AA17117" s="24"/>
    </row>
    <row r="17118">
      <c r="A17118" s="24"/>
      <c r="B17118" s="25"/>
      <c r="C17118" s="24"/>
      <c r="D17118" s="26"/>
      <c r="E17118" s="24"/>
      <c r="F17118" s="24"/>
      <c r="G17118" s="24"/>
      <c r="H17118" s="24"/>
      <c r="I17118" s="24"/>
      <c r="J17118" s="24"/>
      <c r="K17118" s="24"/>
      <c r="L17118" s="24"/>
      <c r="M17118" s="24"/>
      <c r="N17118" s="24"/>
      <c r="O17118" s="24"/>
      <c r="P17118" s="24"/>
      <c r="Q17118" s="24"/>
      <c r="R17118" s="24"/>
      <c r="S17118" s="24"/>
      <c r="T17118" s="24"/>
      <c r="U17118" s="24"/>
      <c r="V17118" s="24"/>
      <c r="W17118" s="24"/>
      <c r="X17118" s="24"/>
      <c r="Y17118" s="24"/>
      <c r="Z17118" s="24"/>
      <c r="AA17118" s="24"/>
    </row>
    <row r="17119">
      <c r="A17119" s="24"/>
      <c r="B17119" s="25"/>
      <c r="C17119" s="24"/>
      <c r="D17119" s="26"/>
      <c r="E17119" s="24"/>
      <c r="F17119" s="24"/>
      <c r="G17119" s="24"/>
      <c r="H17119" s="24"/>
      <c r="I17119" s="24"/>
      <c r="J17119" s="24"/>
      <c r="K17119" s="24"/>
      <c r="L17119" s="24"/>
      <c r="M17119" s="24"/>
      <c r="N17119" s="24"/>
      <c r="O17119" s="24"/>
      <c r="P17119" s="24"/>
      <c r="Q17119" s="24"/>
      <c r="R17119" s="24"/>
      <c r="S17119" s="24"/>
      <c r="T17119" s="24"/>
      <c r="U17119" s="24"/>
      <c r="V17119" s="24"/>
      <c r="W17119" s="24"/>
      <c r="X17119" s="24"/>
      <c r="Y17119" s="24"/>
      <c r="Z17119" s="24"/>
      <c r="AA17119" s="24"/>
    </row>
    <row r="17120">
      <c r="A17120" s="24"/>
      <c r="B17120" s="25"/>
      <c r="C17120" s="24"/>
      <c r="D17120" s="26"/>
      <c r="E17120" s="24"/>
      <c r="F17120" s="24"/>
      <c r="G17120" s="24"/>
      <c r="H17120" s="24"/>
      <c r="I17120" s="24"/>
      <c r="J17120" s="24"/>
      <c r="K17120" s="24"/>
      <c r="L17120" s="24"/>
      <c r="M17120" s="24"/>
      <c r="N17120" s="24"/>
      <c r="O17120" s="24"/>
      <c r="P17120" s="24"/>
      <c r="Q17120" s="24"/>
      <c r="R17120" s="24"/>
      <c r="S17120" s="24"/>
      <c r="T17120" s="24"/>
      <c r="U17120" s="24"/>
      <c r="V17120" s="24"/>
      <c r="W17120" s="24"/>
      <c r="X17120" s="24"/>
      <c r="Y17120" s="24"/>
      <c r="Z17120" s="24"/>
      <c r="AA17120" s="24"/>
    </row>
    <row r="17121">
      <c r="A17121" s="24"/>
      <c r="B17121" s="25"/>
      <c r="C17121" s="24"/>
      <c r="D17121" s="26"/>
      <c r="E17121" s="24"/>
      <c r="F17121" s="24"/>
      <c r="G17121" s="24"/>
      <c r="H17121" s="24"/>
      <c r="I17121" s="24"/>
      <c r="J17121" s="24"/>
      <c r="K17121" s="24"/>
      <c r="L17121" s="24"/>
      <c r="M17121" s="24"/>
      <c r="N17121" s="24"/>
      <c r="O17121" s="24"/>
      <c r="P17121" s="24"/>
      <c r="Q17121" s="24"/>
      <c r="R17121" s="24"/>
      <c r="S17121" s="24"/>
      <c r="T17121" s="24"/>
      <c r="U17121" s="24"/>
      <c r="V17121" s="24"/>
      <c r="W17121" s="24"/>
      <c r="X17121" s="24"/>
      <c r="Y17121" s="24"/>
      <c r="Z17121" s="24"/>
      <c r="AA17121" s="24"/>
    </row>
    <row r="17122">
      <c r="A17122" s="24"/>
      <c r="B17122" s="25"/>
      <c r="C17122" s="24"/>
      <c r="D17122" s="26"/>
      <c r="E17122" s="24"/>
      <c r="F17122" s="24"/>
      <c r="G17122" s="24"/>
      <c r="H17122" s="24"/>
      <c r="I17122" s="24"/>
      <c r="J17122" s="24"/>
      <c r="K17122" s="24"/>
      <c r="L17122" s="24"/>
      <c r="M17122" s="24"/>
      <c r="N17122" s="24"/>
      <c r="O17122" s="24"/>
      <c r="P17122" s="24"/>
      <c r="Q17122" s="24"/>
      <c r="R17122" s="24"/>
      <c r="S17122" s="24"/>
      <c r="T17122" s="24"/>
      <c r="U17122" s="24"/>
      <c r="V17122" s="24"/>
      <c r="W17122" s="24"/>
      <c r="X17122" s="24"/>
      <c r="Y17122" s="24"/>
      <c r="Z17122" s="24"/>
      <c r="AA17122" s="24"/>
    </row>
    <row r="17123">
      <c r="A17123" s="24"/>
      <c r="B17123" s="25"/>
      <c r="C17123" s="24"/>
      <c r="D17123" s="26"/>
      <c r="E17123" s="24"/>
      <c r="F17123" s="24"/>
      <c r="G17123" s="24"/>
      <c r="H17123" s="24"/>
      <c r="I17123" s="24"/>
      <c r="J17123" s="24"/>
      <c r="K17123" s="24"/>
      <c r="L17123" s="24"/>
      <c r="M17123" s="24"/>
      <c r="N17123" s="24"/>
      <c r="O17123" s="24"/>
      <c r="P17123" s="24"/>
      <c r="Q17123" s="24"/>
      <c r="R17123" s="24"/>
      <c r="S17123" s="24"/>
      <c r="T17123" s="24"/>
      <c r="U17123" s="24"/>
      <c r="V17123" s="24"/>
      <c r="W17123" s="24"/>
      <c r="X17123" s="24"/>
      <c r="Y17123" s="24"/>
      <c r="Z17123" s="24"/>
      <c r="AA17123" s="24"/>
    </row>
    <row r="17124">
      <c r="A17124" s="24"/>
      <c r="B17124" s="25"/>
      <c r="C17124" s="24"/>
      <c r="D17124" s="26"/>
      <c r="E17124" s="24"/>
      <c r="F17124" s="24"/>
      <c r="G17124" s="24"/>
      <c r="H17124" s="24"/>
      <c r="I17124" s="24"/>
      <c r="J17124" s="24"/>
      <c r="K17124" s="24"/>
      <c r="L17124" s="24"/>
      <c r="M17124" s="24"/>
      <c r="N17124" s="24"/>
      <c r="O17124" s="24"/>
      <c r="P17124" s="24"/>
      <c r="Q17124" s="24"/>
      <c r="R17124" s="24"/>
      <c r="S17124" s="24"/>
      <c r="T17124" s="24"/>
      <c r="U17124" s="24"/>
      <c r="V17124" s="24"/>
      <c r="W17124" s="24"/>
      <c r="X17124" s="24"/>
      <c r="Y17124" s="24"/>
      <c r="Z17124" s="24"/>
      <c r="AA17124" s="24"/>
    </row>
    <row r="17125">
      <c r="A17125" s="24"/>
      <c r="B17125" s="25"/>
      <c r="C17125" s="24"/>
      <c r="D17125" s="26"/>
      <c r="E17125" s="24"/>
      <c r="F17125" s="24"/>
      <c r="G17125" s="24"/>
      <c r="H17125" s="24"/>
      <c r="I17125" s="24"/>
      <c r="J17125" s="24"/>
      <c r="K17125" s="24"/>
      <c r="L17125" s="24"/>
      <c r="M17125" s="24"/>
      <c r="N17125" s="24"/>
      <c r="O17125" s="24"/>
      <c r="P17125" s="24"/>
      <c r="Q17125" s="24"/>
      <c r="R17125" s="24"/>
      <c r="S17125" s="24"/>
      <c r="T17125" s="24"/>
      <c r="U17125" s="24"/>
      <c r="V17125" s="24"/>
      <c r="W17125" s="24"/>
      <c r="X17125" s="24"/>
      <c r="Y17125" s="24"/>
      <c r="Z17125" s="24"/>
      <c r="AA17125" s="24"/>
    </row>
    <row r="17126">
      <c r="A17126" s="24"/>
      <c r="B17126" s="25"/>
      <c r="C17126" s="24"/>
      <c r="D17126" s="26"/>
      <c r="E17126" s="24"/>
      <c r="F17126" s="24"/>
      <c r="G17126" s="24"/>
      <c r="H17126" s="24"/>
      <c r="I17126" s="24"/>
      <c r="J17126" s="24"/>
      <c r="K17126" s="24"/>
      <c r="L17126" s="24"/>
      <c r="M17126" s="24"/>
      <c r="N17126" s="24"/>
      <c r="O17126" s="24"/>
      <c r="P17126" s="24"/>
      <c r="Q17126" s="24"/>
      <c r="R17126" s="24"/>
      <c r="S17126" s="24"/>
      <c r="T17126" s="24"/>
      <c r="U17126" s="24"/>
      <c r="V17126" s="24"/>
      <c r="W17126" s="24"/>
      <c r="X17126" s="24"/>
      <c r="Y17126" s="24"/>
      <c r="Z17126" s="24"/>
      <c r="AA17126" s="24"/>
    </row>
    <row r="17127">
      <c r="A17127" s="24"/>
      <c r="B17127" s="25"/>
      <c r="C17127" s="24"/>
      <c r="D17127" s="26"/>
      <c r="E17127" s="24"/>
      <c r="F17127" s="24"/>
      <c r="G17127" s="24"/>
      <c r="H17127" s="24"/>
      <c r="I17127" s="24"/>
      <c r="J17127" s="24"/>
      <c r="K17127" s="24"/>
      <c r="L17127" s="24"/>
      <c r="M17127" s="24"/>
      <c r="N17127" s="24"/>
      <c r="O17127" s="24"/>
      <c r="P17127" s="24"/>
      <c r="Q17127" s="24"/>
      <c r="R17127" s="24"/>
      <c r="S17127" s="24"/>
      <c r="T17127" s="24"/>
      <c r="U17127" s="24"/>
      <c r="V17127" s="24"/>
      <c r="W17127" s="24"/>
      <c r="X17127" s="24"/>
      <c r="Y17127" s="24"/>
      <c r="Z17127" s="24"/>
      <c r="AA17127" s="24"/>
    </row>
    <row r="17128">
      <c r="A17128" s="24"/>
      <c r="B17128" s="25"/>
      <c r="C17128" s="24"/>
      <c r="D17128" s="26"/>
      <c r="E17128" s="24"/>
      <c r="F17128" s="24"/>
      <c r="G17128" s="24"/>
      <c r="H17128" s="24"/>
      <c r="I17128" s="24"/>
      <c r="J17128" s="24"/>
      <c r="K17128" s="24"/>
      <c r="L17128" s="24"/>
      <c r="M17128" s="24"/>
      <c r="N17128" s="24"/>
      <c r="O17128" s="24"/>
      <c r="P17128" s="24"/>
      <c r="Q17128" s="24"/>
      <c r="R17128" s="24"/>
      <c r="S17128" s="24"/>
      <c r="T17128" s="24"/>
      <c r="U17128" s="24"/>
      <c r="V17128" s="24"/>
      <c r="W17128" s="24"/>
      <c r="X17128" s="24"/>
      <c r="Y17128" s="24"/>
      <c r="Z17128" s="24"/>
      <c r="AA17128" s="24"/>
    </row>
    <row r="17129">
      <c r="A17129" s="24"/>
      <c r="B17129" s="25"/>
      <c r="C17129" s="24"/>
      <c r="D17129" s="26"/>
      <c r="E17129" s="24"/>
      <c r="F17129" s="24"/>
      <c r="G17129" s="24"/>
      <c r="H17129" s="24"/>
      <c r="I17129" s="24"/>
      <c r="J17129" s="24"/>
      <c r="K17129" s="24"/>
      <c r="L17129" s="24"/>
      <c r="M17129" s="24"/>
      <c r="N17129" s="24"/>
      <c r="O17129" s="24"/>
      <c r="P17129" s="24"/>
      <c r="Q17129" s="24"/>
      <c r="R17129" s="24"/>
      <c r="S17129" s="24"/>
      <c r="T17129" s="24"/>
      <c r="U17129" s="24"/>
      <c r="V17129" s="24"/>
      <c r="W17129" s="24"/>
      <c r="X17129" s="24"/>
      <c r="Y17129" s="24"/>
      <c r="Z17129" s="24"/>
      <c r="AA17129" s="24"/>
    </row>
    <row r="17130">
      <c r="A17130" s="24"/>
      <c r="B17130" s="25"/>
      <c r="C17130" s="24"/>
      <c r="D17130" s="26"/>
      <c r="E17130" s="24"/>
      <c r="F17130" s="24"/>
      <c r="G17130" s="24"/>
      <c r="H17130" s="24"/>
      <c r="I17130" s="24"/>
      <c r="J17130" s="24"/>
      <c r="K17130" s="24"/>
      <c r="L17130" s="24"/>
      <c r="M17130" s="24"/>
      <c r="N17130" s="24"/>
      <c r="O17130" s="24"/>
      <c r="P17130" s="24"/>
      <c r="Q17130" s="24"/>
      <c r="R17130" s="24"/>
      <c r="S17130" s="24"/>
      <c r="T17130" s="24"/>
      <c r="U17130" s="24"/>
      <c r="V17130" s="24"/>
      <c r="W17130" s="24"/>
      <c r="X17130" s="24"/>
      <c r="Y17130" s="24"/>
      <c r="Z17130" s="24"/>
      <c r="AA17130" s="24"/>
    </row>
    <row r="17131">
      <c r="A17131" s="24"/>
      <c r="B17131" s="25"/>
      <c r="C17131" s="24"/>
      <c r="D17131" s="26"/>
      <c r="E17131" s="24"/>
      <c r="F17131" s="24"/>
      <c r="G17131" s="24"/>
      <c r="H17131" s="24"/>
      <c r="I17131" s="24"/>
      <c r="J17131" s="24"/>
      <c r="K17131" s="24"/>
      <c r="L17131" s="24"/>
      <c r="M17131" s="24"/>
      <c r="N17131" s="24"/>
      <c r="O17131" s="24"/>
      <c r="P17131" s="24"/>
      <c r="Q17131" s="24"/>
      <c r="R17131" s="24"/>
      <c r="S17131" s="24"/>
      <c r="T17131" s="24"/>
      <c r="U17131" s="24"/>
      <c r="V17131" s="24"/>
      <c r="W17131" s="24"/>
      <c r="X17131" s="24"/>
      <c r="Y17131" s="24"/>
      <c r="Z17131" s="24"/>
      <c r="AA17131" s="24"/>
    </row>
    <row r="17132">
      <c r="A17132" s="24"/>
      <c r="B17132" s="25"/>
      <c r="C17132" s="24"/>
      <c r="D17132" s="26"/>
      <c r="E17132" s="24"/>
      <c r="F17132" s="24"/>
      <c r="G17132" s="24"/>
      <c r="H17132" s="24"/>
      <c r="I17132" s="24"/>
      <c r="J17132" s="24"/>
      <c r="K17132" s="24"/>
      <c r="L17132" s="24"/>
      <c r="M17132" s="24"/>
      <c r="N17132" s="24"/>
      <c r="O17132" s="24"/>
      <c r="P17132" s="24"/>
      <c r="Q17132" s="24"/>
      <c r="R17132" s="24"/>
      <c r="S17132" s="24"/>
      <c r="T17132" s="24"/>
      <c r="U17132" s="24"/>
      <c r="V17132" s="24"/>
      <c r="W17132" s="24"/>
      <c r="X17132" s="24"/>
      <c r="Y17132" s="24"/>
      <c r="Z17132" s="24"/>
      <c r="AA17132" s="24"/>
    </row>
    <row r="17133">
      <c r="A17133" s="24"/>
      <c r="B17133" s="25"/>
      <c r="C17133" s="24"/>
      <c r="D17133" s="26"/>
      <c r="E17133" s="24"/>
      <c r="F17133" s="24"/>
      <c r="G17133" s="24"/>
      <c r="H17133" s="24"/>
      <c r="I17133" s="24"/>
      <c r="J17133" s="24"/>
      <c r="K17133" s="24"/>
      <c r="L17133" s="24"/>
      <c r="M17133" s="24"/>
      <c r="N17133" s="24"/>
      <c r="O17133" s="24"/>
      <c r="P17133" s="24"/>
      <c r="Q17133" s="24"/>
      <c r="R17133" s="24"/>
      <c r="S17133" s="24"/>
      <c r="T17133" s="24"/>
      <c r="U17133" s="24"/>
      <c r="V17133" s="24"/>
      <c r="W17133" s="24"/>
      <c r="X17133" s="24"/>
      <c r="Y17133" s="24"/>
      <c r="Z17133" s="24"/>
      <c r="AA17133" s="24"/>
    </row>
    <row r="17134">
      <c r="A17134" s="24"/>
      <c r="B17134" s="25"/>
      <c r="C17134" s="24"/>
      <c r="D17134" s="26"/>
      <c r="E17134" s="24"/>
      <c r="F17134" s="24"/>
      <c r="G17134" s="24"/>
      <c r="H17134" s="24"/>
      <c r="I17134" s="24"/>
      <c r="J17134" s="24"/>
      <c r="K17134" s="24"/>
      <c r="L17134" s="24"/>
      <c r="M17134" s="24"/>
      <c r="N17134" s="24"/>
      <c r="O17134" s="24"/>
      <c r="P17134" s="24"/>
      <c r="Q17134" s="24"/>
      <c r="R17134" s="24"/>
      <c r="S17134" s="24"/>
      <c r="T17134" s="24"/>
      <c r="U17134" s="24"/>
      <c r="V17134" s="24"/>
      <c r="W17134" s="24"/>
      <c r="X17134" s="24"/>
      <c r="Y17134" s="24"/>
      <c r="Z17134" s="24"/>
      <c r="AA17134" s="24"/>
    </row>
    <row r="17135">
      <c r="A17135" s="24"/>
      <c r="B17135" s="25"/>
      <c r="C17135" s="24"/>
      <c r="D17135" s="26"/>
      <c r="E17135" s="24"/>
      <c r="F17135" s="24"/>
      <c r="G17135" s="24"/>
      <c r="H17135" s="24"/>
      <c r="I17135" s="24"/>
      <c r="J17135" s="24"/>
      <c r="K17135" s="24"/>
      <c r="L17135" s="24"/>
      <c r="M17135" s="24"/>
      <c r="N17135" s="24"/>
      <c r="O17135" s="24"/>
      <c r="P17135" s="24"/>
      <c r="Q17135" s="24"/>
      <c r="R17135" s="24"/>
      <c r="S17135" s="24"/>
      <c r="T17135" s="24"/>
      <c r="U17135" s="24"/>
      <c r="V17135" s="24"/>
      <c r="W17135" s="24"/>
      <c r="X17135" s="24"/>
      <c r="Y17135" s="24"/>
      <c r="Z17135" s="24"/>
      <c r="AA17135" s="24"/>
    </row>
    <row r="17136">
      <c r="A17136" s="24"/>
      <c r="B17136" s="25"/>
      <c r="C17136" s="24"/>
      <c r="D17136" s="26"/>
      <c r="E17136" s="24"/>
      <c r="F17136" s="24"/>
      <c r="G17136" s="24"/>
      <c r="H17136" s="24"/>
      <c r="I17136" s="24"/>
      <c r="J17136" s="24"/>
      <c r="K17136" s="24"/>
      <c r="L17136" s="24"/>
      <c r="M17136" s="24"/>
      <c r="N17136" s="24"/>
      <c r="O17136" s="24"/>
      <c r="P17136" s="24"/>
      <c r="Q17136" s="24"/>
      <c r="R17136" s="24"/>
      <c r="S17136" s="24"/>
      <c r="T17136" s="24"/>
      <c r="U17136" s="24"/>
      <c r="V17136" s="24"/>
      <c r="W17136" s="24"/>
      <c r="X17136" s="24"/>
      <c r="Y17136" s="24"/>
      <c r="Z17136" s="24"/>
      <c r="AA17136" s="24"/>
    </row>
    <row r="17137">
      <c r="A17137" s="24"/>
      <c r="B17137" s="25"/>
      <c r="C17137" s="24"/>
      <c r="D17137" s="26"/>
      <c r="E17137" s="24"/>
      <c r="F17137" s="24"/>
      <c r="G17137" s="24"/>
      <c r="H17137" s="24"/>
      <c r="I17137" s="24"/>
      <c r="J17137" s="24"/>
      <c r="K17137" s="24"/>
      <c r="L17137" s="24"/>
      <c r="M17137" s="24"/>
      <c r="N17137" s="24"/>
      <c r="O17137" s="24"/>
      <c r="P17137" s="24"/>
      <c r="Q17137" s="24"/>
      <c r="R17137" s="24"/>
      <c r="S17137" s="24"/>
      <c r="T17137" s="24"/>
      <c r="U17137" s="24"/>
      <c r="V17137" s="24"/>
      <c r="W17137" s="24"/>
      <c r="X17137" s="24"/>
      <c r="Y17137" s="24"/>
      <c r="Z17137" s="24"/>
      <c r="AA17137" s="24"/>
    </row>
    <row r="17138">
      <c r="A17138" s="24"/>
      <c r="B17138" s="25"/>
      <c r="C17138" s="24"/>
      <c r="D17138" s="26"/>
      <c r="E17138" s="24"/>
      <c r="F17138" s="24"/>
      <c r="G17138" s="24"/>
      <c r="H17138" s="24"/>
      <c r="I17138" s="24"/>
      <c r="J17138" s="24"/>
      <c r="K17138" s="24"/>
      <c r="L17138" s="24"/>
      <c r="M17138" s="24"/>
      <c r="N17138" s="24"/>
      <c r="O17138" s="24"/>
      <c r="P17138" s="24"/>
      <c r="Q17138" s="24"/>
      <c r="R17138" s="24"/>
      <c r="S17138" s="24"/>
      <c r="T17138" s="24"/>
      <c r="U17138" s="24"/>
      <c r="V17138" s="24"/>
      <c r="W17138" s="24"/>
      <c r="X17138" s="24"/>
      <c r="Y17138" s="24"/>
      <c r="Z17138" s="24"/>
      <c r="AA17138" s="24"/>
    </row>
    <row r="17139">
      <c r="A17139" s="24"/>
      <c r="B17139" s="25"/>
      <c r="C17139" s="24"/>
      <c r="D17139" s="26"/>
      <c r="E17139" s="24"/>
      <c r="F17139" s="24"/>
      <c r="G17139" s="24"/>
      <c r="H17139" s="24"/>
      <c r="I17139" s="24"/>
      <c r="J17139" s="24"/>
      <c r="K17139" s="24"/>
      <c r="L17139" s="24"/>
      <c r="M17139" s="24"/>
      <c r="N17139" s="24"/>
      <c r="O17139" s="24"/>
      <c r="P17139" s="24"/>
      <c r="Q17139" s="24"/>
      <c r="R17139" s="24"/>
      <c r="S17139" s="24"/>
      <c r="T17139" s="24"/>
      <c r="U17139" s="24"/>
      <c r="V17139" s="24"/>
      <c r="W17139" s="24"/>
      <c r="X17139" s="24"/>
      <c r="Y17139" s="24"/>
      <c r="Z17139" s="24"/>
      <c r="AA17139" s="24"/>
    </row>
    <row r="17140">
      <c r="A17140" s="24"/>
      <c r="B17140" s="25"/>
      <c r="C17140" s="24"/>
      <c r="D17140" s="26"/>
      <c r="E17140" s="24"/>
      <c r="F17140" s="24"/>
      <c r="G17140" s="24"/>
      <c r="H17140" s="24"/>
      <c r="I17140" s="24"/>
      <c r="J17140" s="24"/>
      <c r="K17140" s="24"/>
      <c r="L17140" s="24"/>
      <c r="M17140" s="24"/>
      <c r="N17140" s="24"/>
      <c r="O17140" s="24"/>
      <c r="P17140" s="24"/>
      <c r="Q17140" s="24"/>
      <c r="R17140" s="24"/>
      <c r="S17140" s="24"/>
      <c r="T17140" s="24"/>
      <c r="U17140" s="24"/>
      <c r="V17140" s="24"/>
      <c r="W17140" s="24"/>
      <c r="X17140" s="24"/>
      <c r="Y17140" s="24"/>
      <c r="Z17140" s="24"/>
      <c r="AA17140" s="24"/>
    </row>
    <row r="17141">
      <c r="A17141" s="24"/>
      <c r="B17141" s="25"/>
      <c r="C17141" s="24"/>
      <c r="D17141" s="26"/>
      <c r="E17141" s="24"/>
      <c r="F17141" s="24"/>
      <c r="G17141" s="24"/>
      <c r="H17141" s="24"/>
      <c r="I17141" s="24"/>
      <c r="J17141" s="24"/>
      <c r="K17141" s="24"/>
      <c r="L17141" s="24"/>
      <c r="M17141" s="24"/>
      <c r="N17141" s="24"/>
      <c r="O17141" s="24"/>
      <c r="P17141" s="24"/>
      <c r="Q17141" s="24"/>
      <c r="R17141" s="24"/>
      <c r="S17141" s="24"/>
      <c r="T17141" s="24"/>
      <c r="U17141" s="24"/>
      <c r="V17141" s="24"/>
      <c r="W17141" s="24"/>
      <c r="X17141" s="24"/>
      <c r="Y17141" s="24"/>
      <c r="Z17141" s="24"/>
      <c r="AA17141" s="24"/>
    </row>
    <row r="17142">
      <c r="A17142" s="24"/>
      <c r="B17142" s="25"/>
      <c r="C17142" s="24"/>
      <c r="D17142" s="26"/>
      <c r="E17142" s="24"/>
      <c r="F17142" s="24"/>
      <c r="G17142" s="24"/>
      <c r="H17142" s="24"/>
      <c r="I17142" s="24"/>
      <c r="J17142" s="24"/>
      <c r="K17142" s="24"/>
      <c r="L17142" s="24"/>
      <c r="M17142" s="24"/>
      <c r="N17142" s="24"/>
      <c r="O17142" s="24"/>
      <c r="P17142" s="24"/>
      <c r="Q17142" s="24"/>
      <c r="R17142" s="24"/>
      <c r="S17142" s="24"/>
      <c r="T17142" s="24"/>
      <c r="U17142" s="24"/>
      <c r="V17142" s="24"/>
      <c r="W17142" s="24"/>
      <c r="X17142" s="24"/>
      <c r="Y17142" s="24"/>
      <c r="Z17142" s="24"/>
      <c r="AA17142" s="24"/>
    </row>
    <row r="17143">
      <c r="A17143" s="24"/>
      <c r="B17143" s="25"/>
      <c r="C17143" s="24"/>
      <c r="D17143" s="26"/>
      <c r="E17143" s="24"/>
      <c r="F17143" s="24"/>
      <c r="G17143" s="24"/>
      <c r="H17143" s="24"/>
      <c r="I17143" s="24"/>
      <c r="J17143" s="24"/>
      <c r="K17143" s="24"/>
      <c r="L17143" s="24"/>
      <c r="M17143" s="24"/>
      <c r="N17143" s="24"/>
      <c r="O17143" s="24"/>
      <c r="P17143" s="24"/>
      <c r="Q17143" s="24"/>
      <c r="R17143" s="24"/>
      <c r="S17143" s="24"/>
      <c r="T17143" s="24"/>
      <c r="U17143" s="24"/>
      <c r="V17143" s="24"/>
      <c r="W17143" s="24"/>
      <c r="X17143" s="24"/>
      <c r="Y17143" s="24"/>
      <c r="Z17143" s="24"/>
      <c r="AA17143" s="24"/>
    </row>
    <row r="17144">
      <c r="A17144" s="24"/>
      <c r="B17144" s="25"/>
      <c r="C17144" s="24"/>
      <c r="D17144" s="26"/>
      <c r="E17144" s="24"/>
      <c r="F17144" s="24"/>
      <c r="G17144" s="24"/>
      <c r="H17144" s="24"/>
      <c r="I17144" s="24"/>
      <c r="J17144" s="24"/>
      <c r="K17144" s="24"/>
      <c r="L17144" s="24"/>
      <c r="M17144" s="24"/>
      <c r="N17144" s="24"/>
      <c r="O17144" s="24"/>
      <c r="P17144" s="24"/>
      <c r="Q17144" s="24"/>
      <c r="R17144" s="24"/>
      <c r="S17144" s="24"/>
      <c r="T17144" s="24"/>
      <c r="U17144" s="24"/>
      <c r="V17144" s="24"/>
      <c r="W17144" s="24"/>
      <c r="X17144" s="24"/>
      <c r="Y17144" s="24"/>
      <c r="Z17144" s="24"/>
      <c r="AA17144" s="24"/>
    </row>
    <row r="17145">
      <c r="A17145" s="24"/>
      <c r="B17145" s="25"/>
      <c r="C17145" s="24"/>
      <c r="D17145" s="26"/>
      <c r="E17145" s="24"/>
      <c r="F17145" s="24"/>
      <c r="G17145" s="24"/>
      <c r="H17145" s="24"/>
      <c r="I17145" s="24"/>
      <c r="J17145" s="24"/>
      <c r="K17145" s="24"/>
      <c r="L17145" s="24"/>
      <c r="M17145" s="24"/>
      <c r="N17145" s="24"/>
      <c r="O17145" s="24"/>
      <c r="P17145" s="24"/>
      <c r="Q17145" s="24"/>
      <c r="R17145" s="24"/>
      <c r="S17145" s="24"/>
      <c r="T17145" s="24"/>
      <c r="U17145" s="24"/>
      <c r="V17145" s="24"/>
      <c r="W17145" s="24"/>
      <c r="X17145" s="24"/>
      <c r="Y17145" s="24"/>
      <c r="Z17145" s="24"/>
      <c r="AA17145" s="24"/>
    </row>
    <row r="17146">
      <c r="A17146" s="24"/>
      <c r="B17146" s="25"/>
      <c r="C17146" s="24"/>
      <c r="D17146" s="26"/>
      <c r="E17146" s="24"/>
      <c r="F17146" s="24"/>
      <c r="G17146" s="24"/>
      <c r="H17146" s="24"/>
      <c r="I17146" s="24"/>
      <c r="J17146" s="24"/>
      <c r="K17146" s="24"/>
      <c r="L17146" s="24"/>
      <c r="M17146" s="24"/>
      <c r="N17146" s="24"/>
      <c r="O17146" s="24"/>
      <c r="P17146" s="24"/>
      <c r="Q17146" s="24"/>
      <c r="R17146" s="24"/>
      <c r="S17146" s="24"/>
      <c r="T17146" s="24"/>
      <c r="U17146" s="24"/>
      <c r="V17146" s="24"/>
      <c r="W17146" s="24"/>
      <c r="X17146" s="24"/>
      <c r="Y17146" s="24"/>
      <c r="Z17146" s="24"/>
      <c r="AA17146" s="24"/>
    </row>
    <row r="17147">
      <c r="A17147" s="24"/>
      <c r="B17147" s="25"/>
      <c r="C17147" s="24"/>
      <c r="D17147" s="26"/>
      <c r="E17147" s="24"/>
      <c r="F17147" s="24"/>
      <c r="G17147" s="24"/>
      <c r="H17147" s="24"/>
      <c r="I17147" s="24"/>
      <c r="J17147" s="24"/>
      <c r="K17147" s="24"/>
      <c r="L17147" s="24"/>
      <c r="M17147" s="24"/>
      <c r="N17147" s="24"/>
      <c r="O17147" s="24"/>
      <c r="P17147" s="24"/>
      <c r="Q17147" s="24"/>
      <c r="R17147" s="24"/>
      <c r="S17147" s="24"/>
      <c r="T17147" s="24"/>
      <c r="U17147" s="24"/>
      <c r="V17147" s="24"/>
      <c r="W17147" s="24"/>
      <c r="X17147" s="24"/>
      <c r="Y17147" s="24"/>
      <c r="Z17147" s="24"/>
      <c r="AA17147" s="24"/>
    </row>
    <row r="17148">
      <c r="A17148" s="24"/>
      <c r="B17148" s="25"/>
      <c r="C17148" s="24"/>
      <c r="D17148" s="26"/>
      <c r="E17148" s="24"/>
      <c r="F17148" s="24"/>
      <c r="G17148" s="24"/>
      <c r="H17148" s="24"/>
      <c r="I17148" s="24"/>
      <c r="J17148" s="24"/>
      <c r="K17148" s="24"/>
      <c r="L17148" s="24"/>
      <c r="M17148" s="24"/>
      <c r="N17148" s="24"/>
      <c r="O17148" s="24"/>
      <c r="P17148" s="24"/>
      <c r="Q17148" s="24"/>
      <c r="R17148" s="24"/>
      <c r="S17148" s="24"/>
      <c r="T17148" s="24"/>
      <c r="U17148" s="24"/>
      <c r="V17148" s="24"/>
      <c r="W17148" s="24"/>
      <c r="X17148" s="24"/>
      <c r="Y17148" s="24"/>
      <c r="Z17148" s="24"/>
      <c r="AA17148" s="24"/>
    </row>
    <row r="17149">
      <c r="A17149" s="24"/>
      <c r="B17149" s="25"/>
      <c r="C17149" s="24"/>
      <c r="D17149" s="26"/>
      <c r="E17149" s="24"/>
      <c r="F17149" s="24"/>
      <c r="G17149" s="24"/>
      <c r="H17149" s="24"/>
      <c r="I17149" s="24"/>
      <c r="J17149" s="24"/>
      <c r="K17149" s="24"/>
      <c r="L17149" s="24"/>
      <c r="M17149" s="24"/>
      <c r="N17149" s="24"/>
      <c r="O17149" s="24"/>
      <c r="P17149" s="24"/>
      <c r="Q17149" s="24"/>
      <c r="R17149" s="24"/>
      <c r="S17149" s="24"/>
      <c r="T17149" s="24"/>
      <c r="U17149" s="24"/>
      <c r="V17149" s="24"/>
      <c r="W17149" s="24"/>
      <c r="X17149" s="24"/>
      <c r="Y17149" s="24"/>
      <c r="Z17149" s="24"/>
      <c r="AA17149" s="24"/>
    </row>
    <row r="17150">
      <c r="A17150" s="24"/>
      <c r="B17150" s="25"/>
      <c r="C17150" s="24"/>
      <c r="D17150" s="26"/>
      <c r="E17150" s="24"/>
      <c r="F17150" s="24"/>
      <c r="G17150" s="24"/>
      <c r="H17150" s="24"/>
      <c r="I17150" s="24"/>
      <c r="J17150" s="24"/>
      <c r="K17150" s="24"/>
      <c r="L17150" s="24"/>
      <c r="M17150" s="24"/>
      <c r="N17150" s="24"/>
      <c r="O17150" s="24"/>
      <c r="P17150" s="24"/>
      <c r="Q17150" s="24"/>
      <c r="R17150" s="24"/>
      <c r="S17150" s="24"/>
      <c r="T17150" s="24"/>
      <c r="U17150" s="24"/>
      <c r="V17150" s="24"/>
      <c r="W17150" s="24"/>
      <c r="X17150" s="24"/>
      <c r="Y17150" s="24"/>
      <c r="Z17150" s="24"/>
      <c r="AA17150" s="24"/>
    </row>
    <row r="17151">
      <c r="A17151" s="24"/>
      <c r="B17151" s="25"/>
      <c r="C17151" s="24"/>
      <c r="D17151" s="26"/>
      <c r="E17151" s="24"/>
      <c r="F17151" s="24"/>
      <c r="G17151" s="24"/>
      <c r="H17151" s="24"/>
      <c r="I17151" s="24"/>
      <c r="J17151" s="24"/>
      <c r="K17151" s="24"/>
      <c r="L17151" s="24"/>
      <c r="M17151" s="24"/>
      <c r="N17151" s="24"/>
      <c r="O17151" s="24"/>
      <c r="P17151" s="24"/>
      <c r="Q17151" s="24"/>
      <c r="R17151" s="24"/>
      <c r="S17151" s="24"/>
      <c r="T17151" s="24"/>
      <c r="U17151" s="24"/>
      <c r="V17151" s="24"/>
      <c r="W17151" s="24"/>
      <c r="X17151" s="24"/>
      <c r="Y17151" s="24"/>
      <c r="Z17151" s="24"/>
      <c r="AA17151" s="24"/>
    </row>
    <row r="17152">
      <c r="A17152" s="24"/>
      <c r="B17152" s="25"/>
      <c r="C17152" s="24"/>
      <c r="D17152" s="26"/>
      <c r="E17152" s="24"/>
      <c r="F17152" s="24"/>
      <c r="G17152" s="24"/>
      <c r="H17152" s="24"/>
      <c r="I17152" s="24"/>
      <c r="J17152" s="24"/>
      <c r="K17152" s="24"/>
      <c r="L17152" s="24"/>
      <c r="M17152" s="24"/>
      <c r="N17152" s="24"/>
      <c r="O17152" s="24"/>
      <c r="P17152" s="24"/>
      <c r="Q17152" s="24"/>
      <c r="R17152" s="24"/>
      <c r="S17152" s="24"/>
      <c r="T17152" s="24"/>
      <c r="U17152" s="24"/>
      <c r="V17152" s="24"/>
      <c r="W17152" s="24"/>
      <c r="X17152" s="24"/>
      <c r="Y17152" s="24"/>
      <c r="Z17152" s="24"/>
      <c r="AA17152" s="24"/>
    </row>
    <row r="17153">
      <c r="A17153" s="24"/>
      <c r="B17153" s="25"/>
      <c r="C17153" s="24"/>
      <c r="D17153" s="26"/>
      <c r="E17153" s="24"/>
      <c r="F17153" s="24"/>
      <c r="G17153" s="24"/>
      <c r="H17153" s="24"/>
      <c r="I17153" s="24"/>
      <c r="J17153" s="24"/>
      <c r="K17153" s="24"/>
      <c r="L17153" s="24"/>
      <c r="M17153" s="24"/>
      <c r="N17153" s="24"/>
      <c r="O17153" s="24"/>
      <c r="P17153" s="24"/>
      <c r="Q17153" s="24"/>
      <c r="R17153" s="24"/>
      <c r="S17153" s="24"/>
      <c r="T17153" s="24"/>
      <c r="U17153" s="24"/>
      <c r="V17153" s="24"/>
      <c r="W17153" s="24"/>
      <c r="X17153" s="24"/>
      <c r="Y17153" s="24"/>
      <c r="Z17153" s="24"/>
      <c r="AA17153" s="24"/>
    </row>
    <row r="17154">
      <c r="A17154" s="24"/>
      <c r="B17154" s="25"/>
      <c r="C17154" s="24"/>
      <c r="D17154" s="26"/>
      <c r="E17154" s="24"/>
      <c r="F17154" s="24"/>
      <c r="G17154" s="24"/>
      <c r="H17154" s="24"/>
      <c r="I17154" s="24"/>
      <c r="J17154" s="24"/>
      <c r="K17154" s="24"/>
      <c r="L17154" s="24"/>
      <c r="M17154" s="24"/>
      <c r="N17154" s="24"/>
      <c r="O17154" s="24"/>
      <c r="P17154" s="24"/>
      <c r="Q17154" s="24"/>
      <c r="R17154" s="24"/>
      <c r="S17154" s="24"/>
      <c r="T17154" s="24"/>
      <c r="U17154" s="24"/>
      <c r="V17154" s="24"/>
      <c r="W17154" s="24"/>
      <c r="X17154" s="24"/>
      <c r="Y17154" s="24"/>
      <c r="Z17154" s="24"/>
      <c r="AA17154" s="24"/>
    </row>
    <row r="17155">
      <c r="A17155" s="24"/>
      <c r="B17155" s="25"/>
      <c r="C17155" s="24"/>
      <c r="D17155" s="26"/>
      <c r="E17155" s="24"/>
      <c r="F17155" s="24"/>
      <c r="G17155" s="24"/>
      <c r="H17155" s="24"/>
      <c r="I17155" s="24"/>
      <c r="J17155" s="24"/>
      <c r="K17155" s="24"/>
      <c r="L17155" s="24"/>
      <c r="M17155" s="24"/>
      <c r="N17155" s="24"/>
      <c r="O17155" s="24"/>
      <c r="P17155" s="24"/>
      <c r="Q17155" s="24"/>
      <c r="R17155" s="24"/>
      <c r="S17155" s="24"/>
      <c r="T17155" s="24"/>
      <c r="U17155" s="24"/>
      <c r="V17155" s="24"/>
      <c r="W17155" s="24"/>
      <c r="X17155" s="24"/>
      <c r="Y17155" s="24"/>
      <c r="Z17155" s="24"/>
      <c r="AA17155" s="24"/>
    </row>
    <row r="17156">
      <c r="A17156" s="24"/>
      <c r="B17156" s="25"/>
      <c r="C17156" s="24"/>
      <c r="D17156" s="26"/>
      <c r="E17156" s="24"/>
      <c r="F17156" s="24"/>
      <c r="G17156" s="24"/>
      <c r="H17156" s="24"/>
      <c r="I17156" s="24"/>
      <c r="J17156" s="24"/>
      <c r="K17156" s="24"/>
      <c r="L17156" s="24"/>
      <c r="M17156" s="24"/>
      <c r="N17156" s="24"/>
      <c r="O17156" s="24"/>
      <c r="P17156" s="24"/>
      <c r="Q17156" s="24"/>
      <c r="R17156" s="24"/>
      <c r="S17156" s="24"/>
      <c r="T17156" s="24"/>
      <c r="U17156" s="24"/>
      <c r="V17156" s="24"/>
      <c r="W17156" s="24"/>
      <c r="X17156" s="24"/>
      <c r="Y17156" s="24"/>
      <c r="Z17156" s="24"/>
      <c r="AA17156" s="24"/>
    </row>
    <row r="17157">
      <c r="A17157" s="24"/>
      <c r="B17157" s="25"/>
      <c r="C17157" s="24"/>
      <c r="D17157" s="26"/>
      <c r="E17157" s="24"/>
      <c r="F17157" s="24"/>
      <c r="G17157" s="24"/>
      <c r="H17157" s="24"/>
      <c r="I17157" s="24"/>
      <c r="J17157" s="24"/>
      <c r="K17157" s="24"/>
      <c r="L17157" s="24"/>
      <c r="M17157" s="24"/>
      <c r="N17157" s="24"/>
      <c r="O17157" s="24"/>
      <c r="P17157" s="24"/>
      <c r="Q17157" s="24"/>
      <c r="R17157" s="24"/>
      <c r="S17157" s="24"/>
      <c r="T17157" s="24"/>
      <c r="U17157" s="24"/>
      <c r="V17157" s="24"/>
      <c r="W17157" s="24"/>
      <c r="X17157" s="24"/>
      <c r="Y17157" s="24"/>
      <c r="Z17157" s="24"/>
      <c r="AA17157" s="24"/>
    </row>
    <row r="17158">
      <c r="A17158" s="24"/>
      <c r="B17158" s="25"/>
      <c r="C17158" s="24"/>
      <c r="D17158" s="26"/>
      <c r="E17158" s="24"/>
      <c r="F17158" s="24"/>
      <c r="G17158" s="24"/>
      <c r="H17158" s="24"/>
      <c r="I17158" s="24"/>
      <c r="J17158" s="24"/>
      <c r="K17158" s="24"/>
      <c r="L17158" s="24"/>
      <c r="M17158" s="24"/>
      <c r="N17158" s="24"/>
      <c r="O17158" s="24"/>
      <c r="P17158" s="24"/>
      <c r="Q17158" s="24"/>
      <c r="R17158" s="24"/>
      <c r="S17158" s="24"/>
      <c r="T17158" s="24"/>
      <c r="U17158" s="24"/>
      <c r="V17158" s="24"/>
      <c r="W17158" s="24"/>
      <c r="X17158" s="24"/>
      <c r="Y17158" s="24"/>
      <c r="Z17158" s="24"/>
      <c r="AA17158" s="24"/>
    </row>
    <row r="17159">
      <c r="A17159" s="24"/>
      <c r="B17159" s="25"/>
      <c r="C17159" s="24"/>
      <c r="D17159" s="26"/>
      <c r="E17159" s="24"/>
      <c r="F17159" s="24"/>
      <c r="G17159" s="24"/>
      <c r="H17159" s="24"/>
      <c r="I17159" s="24"/>
      <c r="J17159" s="24"/>
      <c r="K17159" s="24"/>
      <c r="L17159" s="24"/>
      <c r="M17159" s="24"/>
      <c r="N17159" s="24"/>
      <c r="O17159" s="24"/>
      <c r="P17159" s="24"/>
      <c r="Q17159" s="24"/>
      <c r="R17159" s="24"/>
      <c r="S17159" s="24"/>
      <c r="T17159" s="24"/>
      <c r="U17159" s="24"/>
      <c r="V17159" s="24"/>
      <c r="W17159" s="24"/>
      <c r="X17159" s="24"/>
      <c r="Y17159" s="24"/>
      <c r="Z17159" s="24"/>
      <c r="AA17159" s="24"/>
    </row>
    <row r="17160">
      <c r="A17160" s="24"/>
      <c r="B17160" s="25"/>
      <c r="C17160" s="24"/>
      <c r="D17160" s="26"/>
      <c r="E17160" s="24"/>
      <c r="F17160" s="24"/>
      <c r="G17160" s="24"/>
      <c r="H17160" s="24"/>
      <c r="I17160" s="24"/>
      <c r="J17160" s="24"/>
      <c r="K17160" s="24"/>
      <c r="L17160" s="24"/>
      <c r="M17160" s="24"/>
      <c r="N17160" s="24"/>
      <c r="O17160" s="24"/>
      <c r="P17160" s="24"/>
      <c r="Q17160" s="24"/>
      <c r="R17160" s="24"/>
      <c r="S17160" s="24"/>
      <c r="T17160" s="24"/>
      <c r="U17160" s="24"/>
      <c r="V17160" s="24"/>
      <c r="W17160" s="24"/>
      <c r="X17160" s="24"/>
      <c r="Y17160" s="24"/>
      <c r="Z17160" s="24"/>
      <c r="AA17160" s="24"/>
    </row>
    <row r="17161">
      <c r="A17161" s="24"/>
      <c r="B17161" s="25"/>
      <c r="C17161" s="24"/>
      <c r="D17161" s="26"/>
      <c r="E17161" s="24"/>
      <c r="F17161" s="24"/>
      <c r="G17161" s="24"/>
      <c r="H17161" s="24"/>
      <c r="I17161" s="24"/>
      <c r="J17161" s="24"/>
      <c r="K17161" s="24"/>
      <c r="L17161" s="24"/>
      <c r="M17161" s="24"/>
      <c r="N17161" s="24"/>
      <c r="O17161" s="24"/>
      <c r="P17161" s="24"/>
      <c r="Q17161" s="24"/>
      <c r="R17161" s="24"/>
      <c r="S17161" s="24"/>
      <c r="T17161" s="24"/>
      <c r="U17161" s="24"/>
      <c r="V17161" s="24"/>
      <c r="W17161" s="24"/>
      <c r="X17161" s="24"/>
      <c r="Y17161" s="24"/>
      <c r="Z17161" s="24"/>
      <c r="AA17161" s="24"/>
    </row>
    <row r="17162">
      <c r="A17162" s="24"/>
      <c r="B17162" s="25"/>
      <c r="C17162" s="24"/>
      <c r="D17162" s="26"/>
      <c r="E17162" s="24"/>
      <c r="F17162" s="24"/>
      <c r="G17162" s="24"/>
      <c r="H17162" s="24"/>
      <c r="I17162" s="24"/>
      <c r="J17162" s="24"/>
      <c r="K17162" s="24"/>
      <c r="L17162" s="24"/>
      <c r="M17162" s="24"/>
      <c r="N17162" s="24"/>
      <c r="O17162" s="24"/>
      <c r="P17162" s="24"/>
      <c r="Q17162" s="24"/>
      <c r="R17162" s="24"/>
      <c r="S17162" s="24"/>
      <c r="T17162" s="24"/>
      <c r="U17162" s="24"/>
      <c r="V17162" s="24"/>
      <c r="W17162" s="24"/>
      <c r="X17162" s="24"/>
      <c r="Y17162" s="24"/>
      <c r="Z17162" s="24"/>
      <c r="AA17162" s="24"/>
    </row>
    <row r="17163">
      <c r="A17163" s="24"/>
      <c r="B17163" s="25"/>
      <c r="C17163" s="24"/>
      <c r="D17163" s="26"/>
      <c r="E17163" s="24"/>
      <c r="F17163" s="24"/>
      <c r="G17163" s="24"/>
      <c r="H17163" s="24"/>
      <c r="I17163" s="24"/>
      <c r="J17163" s="24"/>
      <c r="K17163" s="24"/>
      <c r="L17163" s="24"/>
      <c r="M17163" s="24"/>
      <c r="N17163" s="24"/>
      <c r="O17163" s="24"/>
      <c r="P17163" s="24"/>
      <c r="Q17163" s="24"/>
      <c r="R17163" s="24"/>
      <c r="S17163" s="24"/>
      <c r="T17163" s="24"/>
      <c r="U17163" s="24"/>
      <c r="V17163" s="24"/>
      <c r="W17163" s="24"/>
      <c r="X17163" s="24"/>
      <c r="Y17163" s="24"/>
      <c r="Z17163" s="24"/>
      <c r="AA17163" s="24"/>
    </row>
    <row r="17164">
      <c r="A17164" s="24"/>
      <c r="B17164" s="25"/>
      <c r="C17164" s="24"/>
      <c r="D17164" s="26"/>
      <c r="E17164" s="24"/>
      <c r="F17164" s="24"/>
      <c r="G17164" s="24"/>
      <c r="H17164" s="24"/>
      <c r="I17164" s="24"/>
      <c r="J17164" s="24"/>
      <c r="K17164" s="24"/>
      <c r="L17164" s="24"/>
      <c r="M17164" s="24"/>
      <c r="N17164" s="24"/>
      <c r="O17164" s="24"/>
      <c r="P17164" s="24"/>
      <c r="Q17164" s="24"/>
      <c r="R17164" s="24"/>
      <c r="S17164" s="24"/>
      <c r="T17164" s="24"/>
      <c r="U17164" s="24"/>
      <c r="V17164" s="24"/>
      <c r="W17164" s="24"/>
      <c r="X17164" s="24"/>
      <c r="Y17164" s="24"/>
      <c r="Z17164" s="24"/>
      <c r="AA17164" s="24"/>
    </row>
    <row r="17165">
      <c r="A17165" s="24"/>
      <c r="B17165" s="25"/>
      <c r="C17165" s="24"/>
      <c r="D17165" s="26"/>
      <c r="E17165" s="24"/>
      <c r="F17165" s="24"/>
      <c r="G17165" s="24"/>
      <c r="H17165" s="24"/>
      <c r="I17165" s="24"/>
      <c r="J17165" s="24"/>
      <c r="K17165" s="24"/>
      <c r="L17165" s="24"/>
      <c r="M17165" s="24"/>
      <c r="N17165" s="24"/>
      <c r="O17165" s="24"/>
      <c r="P17165" s="24"/>
      <c r="Q17165" s="24"/>
      <c r="R17165" s="24"/>
      <c r="S17165" s="24"/>
      <c r="T17165" s="24"/>
      <c r="U17165" s="24"/>
      <c r="V17165" s="24"/>
      <c r="W17165" s="24"/>
      <c r="X17165" s="24"/>
      <c r="Y17165" s="24"/>
      <c r="Z17165" s="24"/>
      <c r="AA17165" s="24"/>
    </row>
    <row r="17166">
      <c r="A17166" s="24"/>
      <c r="B17166" s="25"/>
      <c r="C17166" s="24"/>
      <c r="D17166" s="26"/>
      <c r="E17166" s="24"/>
      <c r="F17166" s="24"/>
      <c r="G17166" s="24"/>
      <c r="H17166" s="24"/>
      <c r="I17166" s="24"/>
      <c r="J17166" s="24"/>
      <c r="K17166" s="24"/>
      <c r="L17166" s="24"/>
      <c r="M17166" s="24"/>
      <c r="N17166" s="24"/>
      <c r="O17166" s="24"/>
      <c r="P17166" s="24"/>
      <c r="Q17166" s="24"/>
      <c r="R17166" s="24"/>
      <c r="S17166" s="24"/>
      <c r="T17166" s="24"/>
      <c r="U17166" s="24"/>
      <c r="V17166" s="24"/>
      <c r="W17166" s="24"/>
      <c r="X17166" s="24"/>
      <c r="Y17166" s="24"/>
      <c r="Z17166" s="24"/>
      <c r="AA17166" s="24"/>
    </row>
    <row r="17167">
      <c r="A17167" s="24"/>
      <c r="B17167" s="25"/>
      <c r="C17167" s="24"/>
      <c r="D17167" s="26"/>
      <c r="E17167" s="24"/>
      <c r="F17167" s="24"/>
      <c r="G17167" s="24"/>
      <c r="H17167" s="24"/>
      <c r="I17167" s="24"/>
      <c r="J17167" s="24"/>
      <c r="K17167" s="24"/>
      <c r="L17167" s="24"/>
      <c r="M17167" s="24"/>
      <c r="N17167" s="24"/>
      <c r="O17167" s="24"/>
      <c r="P17167" s="24"/>
      <c r="Q17167" s="24"/>
      <c r="R17167" s="24"/>
      <c r="S17167" s="24"/>
      <c r="T17167" s="24"/>
      <c r="U17167" s="24"/>
      <c r="V17167" s="24"/>
      <c r="W17167" s="24"/>
      <c r="X17167" s="24"/>
      <c r="Y17167" s="24"/>
      <c r="Z17167" s="24"/>
      <c r="AA17167" s="24"/>
    </row>
    <row r="17168">
      <c r="A17168" s="24"/>
      <c r="B17168" s="25"/>
      <c r="C17168" s="24"/>
      <c r="D17168" s="26"/>
      <c r="E17168" s="24"/>
      <c r="F17168" s="24"/>
      <c r="G17168" s="24"/>
      <c r="H17168" s="24"/>
      <c r="I17168" s="24"/>
      <c r="J17168" s="24"/>
      <c r="K17168" s="24"/>
      <c r="L17168" s="24"/>
      <c r="M17168" s="24"/>
      <c r="N17168" s="24"/>
      <c r="O17168" s="24"/>
      <c r="P17168" s="24"/>
      <c r="Q17168" s="24"/>
      <c r="R17168" s="24"/>
      <c r="S17168" s="24"/>
      <c r="T17168" s="24"/>
      <c r="U17168" s="24"/>
      <c r="V17168" s="24"/>
      <c r="W17168" s="24"/>
      <c r="X17168" s="24"/>
      <c r="Y17168" s="24"/>
      <c r="Z17168" s="24"/>
      <c r="AA17168" s="24"/>
    </row>
    <row r="17169">
      <c r="A17169" s="24"/>
      <c r="B17169" s="25"/>
      <c r="C17169" s="24"/>
      <c r="D17169" s="26"/>
      <c r="E17169" s="24"/>
      <c r="F17169" s="24"/>
      <c r="G17169" s="24"/>
      <c r="H17169" s="24"/>
      <c r="I17169" s="24"/>
      <c r="J17169" s="24"/>
      <c r="K17169" s="24"/>
      <c r="L17169" s="24"/>
      <c r="M17169" s="24"/>
      <c r="N17169" s="24"/>
      <c r="O17169" s="24"/>
      <c r="P17169" s="24"/>
      <c r="Q17169" s="24"/>
      <c r="R17169" s="24"/>
      <c r="S17169" s="24"/>
      <c r="T17169" s="24"/>
      <c r="U17169" s="24"/>
      <c r="V17169" s="24"/>
      <c r="W17169" s="24"/>
      <c r="X17169" s="24"/>
      <c r="Y17169" s="24"/>
      <c r="Z17169" s="24"/>
      <c r="AA17169" s="24"/>
    </row>
    <row r="17170">
      <c r="A17170" s="24"/>
      <c r="B17170" s="25"/>
      <c r="C17170" s="24"/>
      <c r="D17170" s="26"/>
      <c r="E17170" s="24"/>
      <c r="F17170" s="24"/>
      <c r="G17170" s="24"/>
      <c r="H17170" s="24"/>
      <c r="I17170" s="24"/>
      <c r="J17170" s="24"/>
      <c r="K17170" s="24"/>
      <c r="L17170" s="24"/>
      <c r="M17170" s="24"/>
      <c r="N17170" s="24"/>
      <c r="O17170" s="24"/>
      <c r="P17170" s="24"/>
      <c r="Q17170" s="24"/>
      <c r="R17170" s="24"/>
      <c r="S17170" s="24"/>
      <c r="T17170" s="24"/>
      <c r="U17170" s="24"/>
      <c r="V17170" s="24"/>
      <c r="W17170" s="24"/>
      <c r="X17170" s="24"/>
      <c r="Y17170" s="24"/>
      <c r="Z17170" s="24"/>
      <c r="AA17170" s="24"/>
    </row>
    <row r="17171">
      <c r="A17171" s="24"/>
      <c r="B17171" s="25"/>
      <c r="C17171" s="24"/>
      <c r="D17171" s="26"/>
      <c r="E17171" s="24"/>
      <c r="F17171" s="24"/>
      <c r="G17171" s="24"/>
      <c r="H17171" s="24"/>
      <c r="I17171" s="24"/>
      <c r="J17171" s="24"/>
      <c r="K17171" s="24"/>
      <c r="L17171" s="24"/>
      <c r="M17171" s="24"/>
      <c r="N17171" s="24"/>
      <c r="O17171" s="24"/>
      <c r="P17171" s="24"/>
      <c r="Q17171" s="24"/>
      <c r="R17171" s="24"/>
      <c r="S17171" s="24"/>
      <c r="T17171" s="24"/>
      <c r="U17171" s="24"/>
      <c r="V17171" s="24"/>
      <c r="W17171" s="24"/>
      <c r="X17171" s="24"/>
      <c r="Y17171" s="24"/>
      <c r="Z17171" s="24"/>
      <c r="AA17171" s="24"/>
    </row>
    <row r="17172">
      <c r="A17172" s="24"/>
      <c r="B17172" s="25"/>
      <c r="C17172" s="24"/>
      <c r="D17172" s="26"/>
      <c r="E17172" s="24"/>
      <c r="F17172" s="24"/>
      <c r="G17172" s="24"/>
      <c r="H17172" s="24"/>
      <c r="I17172" s="24"/>
      <c r="J17172" s="24"/>
      <c r="K17172" s="24"/>
      <c r="L17172" s="24"/>
      <c r="M17172" s="24"/>
      <c r="N17172" s="24"/>
      <c r="O17172" s="24"/>
      <c r="P17172" s="24"/>
      <c r="Q17172" s="24"/>
      <c r="R17172" s="24"/>
      <c r="S17172" s="24"/>
      <c r="T17172" s="24"/>
      <c r="U17172" s="24"/>
      <c r="V17172" s="24"/>
      <c r="W17172" s="24"/>
      <c r="X17172" s="24"/>
      <c r="Y17172" s="24"/>
      <c r="Z17172" s="24"/>
      <c r="AA17172" s="24"/>
    </row>
    <row r="17173">
      <c r="A17173" s="24"/>
      <c r="B17173" s="25"/>
      <c r="C17173" s="24"/>
      <c r="D17173" s="26"/>
      <c r="E17173" s="24"/>
      <c r="F17173" s="24"/>
      <c r="G17173" s="24"/>
      <c r="H17173" s="24"/>
      <c r="I17173" s="24"/>
      <c r="J17173" s="24"/>
      <c r="K17173" s="24"/>
      <c r="L17173" s="24"/>
      <c r="M17173" s="24"/>
      <c r="N17173" s="24"/>
      <c r="O17173" s="24"/>
      <c r="P17173" s="24"/>
      <c r="Q17173" s="24"/>
      <c r="R17173" s="24"/>
      <c r="S17173" s="24"/>
      <c r="T17173" s="24"/>
      <c r="U17173" s="24"/>
      <c r="V17173" s="24"/>
      <c r="W17173" s="24"/>
      <c r="X17173" s="24"/>
      <c r="Y17173" s="24"/>
      <c r="Z17173" s="24"/>
      <c r="AA17173" s="24"/>
    </row>
    <row r="17174">
      <c r="A17174" s="24"/>
      <c r="B17174" s="25"/>
      <c r="C17174" s="24"/>
      <c r="D17174" s="26"/>
      <c r="E17174" s="24"/>
      <c r="F17174" s="24"/>
      <c r="G17174" s="24"/>
      <c r="H17174" s="24"/>
      <c r="I17174" s="24"/>
      <c r="J17174" s="24"/>
      <c r="K17174" s="24"/>
      <c r="L17174" s="24"/>
      <c r="M17174" s="24"/>
      <c r="N17174" s="24"/>
      <c r="O17174" s="24"/>
      <c r="P17174" s="24"/>
      <c r="Q17174" s="24"/>
      <c r="R17174" s="24"/>
      <c r="S17174" s="24"/>
      <c r="T17174" s="24"/>
      <c r="U17174" s="24"/>
      <c r="V17174" s="24"/>
      <c r="W17174" s="24"/>
      <c r="X17174" s="24"/>
      <c r="Y17174" s="24"/>
      <c r="Z17174" s="24"/>
      <c r="AA17174" s="24"/>
    </row>
    <row r="17175">
      <c r="A17175" s="24"/>
      <c r="B17175" s="25"/>
      <c r="C17175" s="24"/>
      <c r="D17175" s="26"/>
      <c r="E17175" s="24"/>
      <c r="F17175" s="24"/>
      <c r="G17175" s="24"/>
      <c r="H17175" s="24"/>
      <c r="I17175" s="24"/>
      <c r="J17175" s="24"/>
      <c r="K17175" s="24"/>
      <c r="L17175" s="24"/>
      <c r="M17175" s="24"/>
      <c r="N17175" s="24"/>
      <c r="O17175" s="24"/>
      <c r="P17175" s="24"/>
      <c r="Q17175" s="24"/>
      <c r="R17175" s="24"/>
      <c r="S17175" s="24"/>
      <c r="T17175" s="24"/>
      <c r="U17175" s="24"/>
      <c r="V17175" s="24"/>
      <c r="W17175" s="24"/>
      <c r="X17175" s="24"/>
      <c r="Y17175" s="24"/>
      <c r="Z17175" s="24"/>
      <c r="AA17175" s="24"/>
    </row>
    <row r="17176">
      <c r="A17176" s="24"/>
      <c r="B17176" s="25"/>
      <c r="C17176" s="24"/>
      <c r="D17176" s="26"/>
      <c r="E17176" s="24"/>
      <c r="F17176" s="24"/>
      <c r="G17176" s="24"/>
      <c r="H17176" s="24"/>
      <c r="I17176" s="24"/>
      <c r="J17176" s="24"/>
      <c r="K17176" s="24"/>
      <c r="L17176" s="24"/>
      <c r="M17176" s="24"/>
      <c r="N17176" s="24"/>
      <c r="O17176" s="24"/>
      <c r="P17176" s="24"/>
      <c r="Q17176" s="24"/>
      <c r="R17176" s="24"/>
      <c r="S17176" s="24"/>
      <c r="T17176" s="24"/>
      <c r="U17176" s="24"/>
      <c r="V17176" s="24"/>
      <c r="W17176" s="24"/>
      <c r="X17176" s="24"/>
      <c r="Y17176" s="24"/>
      <c r="Z17176" s="24"/>
      <c r="AA17176" s="24"/>
    </row>
    <row r="17177">
      <c r="A17177" s="24"/>
      <c r="B17177" s="25"/>
      <c r="C17177" s="24"/>
      <c r="D17177" s="26"/>
      <c r="E17177" s="24"/>
      <c r="F17177" s="24"/>
      <c r="G17177" s="24"/>
      <c r="H17177" s="24"/>
      <c r="I17177" s="24"/>
      <c r="J17177" s="24"/>
      <c r="K17177" s="24"/>
      <c r="L17177" s="24"/>
      <c r="M17177" s="24"/>
      <c r="N17177" s="24"/>
      <c r="O17177" s="24"/>
      <c r="P17177" s="24"/>
      <c r="Q17177" s="24"/>
      <c r="R17177" s="24"/>
      <c r="S17177" s="24"/>
      <c r="T17177" s="24"/>
      <c r="U17177" s="24"/>
      <c r="V17177" s="24"/>
      <c r="W17177" s="24"/>
      <c r="X17177" s="24"/>
      <c r="Y17177" s="24"/>
      <c r="Z17177" s="24"/>
      <c r="AA17177" s="24"/>
    </row>
    <row r="17178">
      <c r="A17178" s="24"/>
      <c r="B17178" s="25"/>
      <c r="C17178" s="24"/>
      <c r="D17178" s="26"/>
      <c r="E17178" s="24"/>
      <c r="F17178" s="24"/>
      <c r="G17178" s="24"/>
      <c r="H17178" s="24"/>
      <c r="I17178" s="24"/>
      <c r="J17178" s="24"/>
      <c r="K17178" s="24"/>
      <c r="L17178" s="24"/>
      <c r="M17178" s="24"/>
      <c r="N17178" s="24"/>
      <c r="O17178" s="24"/>
      <c r="P17178" s="24"/>
      <c r="Q17178" s="24"/>
      <c r="R17178" s="24"/>
      <c r="S17178" s="24"/>
      <c r="T17178" s="24"/>
      <c r="U17178" s="24"/>
      <c r="V17178" s="24"/>
      <c r="W17178" s="24"/>
      <c r="X17178" s="24"/>
      <c r="Y17178" s="24"/>
      <c r="Z17178" s="24"/>
      <c r="AA17178" s="24"/>
    </row>
    <row r="17179">
      <c r="A17179" s="24"/>
      <c r="B17179" s="25"/>
      <c r="C17179" s="24"/>
      <c r="D17179" s="26"/>
      <c r="E17179" s="24"/>
      <c r="F17179" s="24"/>
      <c r="G17179" s="24"/>
      <c r="H17179" s="24"/>
      <c r="I17179" s="24"/>
      <c r="J17179" s="24"/>
      <c r="K17179" s="24"/>
      <c r="L17179" s="24"/>
      <c r="M17179" s="24"/>
      <c r="N17179" s="24"/>
      <c r="O17179" s="24"/>
      <c r="P17179" s="24"/>
      <c r="Q17179" s="24"/>
      <c r="R17179" s="24"/>
      <c r="S17179" s="24"/>
      <c r="T17179" s="24"/>
      <c r="U17179" s="24"/>
      <c r="V17179" s="24"/>
      <c r="W17179" s="24"/>
      <c r="X17179" s="24"/>
      <c r="Y17179" s="24"/>
      <c r="Z17179" s="24"/>
      <c r="AA17179" s="24"/>
    </row>
    <row r="17180">
      <c r="A17180" s="24"/>
      <c r="B17180" s="25"/>
      <c r="C17180" s="24"/>
      <c r="D17180" s="26"/>
      <c r="E17180" s="24"/>
      <c r="F17180" s="24"/>
      <c r="G17180" s="24"/>
      <c r="H17180" s="24"/>
      <c r="I17180" s="24"/>
      <c r="J17180" s="24"/>
      <c r="K17180" s="24"/>
      <c r="L17180" s="24"/>
      <c r="M17180" s="24"/>
      <c r="N17180" s="24"/>
      <c r="O17180" s="24"/>
      <c r="P17180" s="24"/>
      <c r="Q17180" s="24"/>
      <c r="R17180" s="24"/>
      <c r="S17180" s="24"/>
      <c r="T17180" s="24"/>
      <c r="U17180" s="24"/>
      <c r="V17180" s="24"/>
      <c r="W17180" s="24"/>
      <c r="X17180" s="24"/>
      <c r="Y17180" s="24"/>
      <c r="Z17180" s="24"/>
      <c r="AA17180" s="24"/>
    </row>
    <row r="17181">
      <c r="A17181" s="24"/>
      <c r="B17181" s="25"/>
      <c r="C17181" s="24"/>
      <c r="D17181" s="26"/>
      <c r="E17181" s="24"/>
      <c r="F17181" s="24"/>
      <c r="G17181" s="24"/>
      <c r="H17181" s="24"/>
      <c r="I17181" s="24"/>
      <c r="J17181" s="24"/>
      <c r="K17181" s="24"/>
      <c r="L17181" s="24"/>
      <c r="M17181" s="24"/>
      <c r="N17181" s="24"/>
      <c r="O17181" s="24"/>
      <c r="P17181" s="24"/>
      <c r="Q17181" s="24"/>
      <c r="R17181" s="24"/>
      <c r="S17181" s="24"/>
      <c r="T17181" s="24"/>
      <c r="U17181" s="24"/>
      <c r="V17181" s="24"/>
      <c r="W17181" s="24"/>
      <c r="X17181" s="24"/>
      <c r="Y17181" s="24"/>
      <c r="Z17181" s="24"/>
      <c r="AA17181" s="24"/>
    </row>
    <row r="17182">
      <c r="A17182" s="24"/>
      <c r="B17182" s="25"/>
      <c r="C17182" s="24"/>
      <c r="D17182" s="26"/>
      <c r="E17182" s="24"/>
      <c r="F17182" s="24"/>
      <c r="G17182" s="24"/>
      <c r="H17182" s="24"/>
      <c r="I17182" s="24"/>
      <c r="J17182" s="24"/>
      <c r="K17182" s="24"/>
      <c r="L17182" s="24"/>
      <c r="M17182" s="24"/>
      <c r="N17182" s="24"/>
      <c r="O17182" s="24"/>
      <c r="P17182" s="24"/>
      <c r="Q17182" s="24"/>
      <c r="R17182" s="24"/>
      <c r="S17182" s="24"/>
      <c r="T17182" s="24"/>
      <c r="U17182" s="24"/>
      <c r="V17182" s="24"/>
      <c r="W17182" s="24"/>
      <c r="X17182" s="24"/>
      <c r="Y17182" s="24"/>
      <c r="Z17182" s="24"/>
      <c r="AA17182" s="24"/>
    </row>
    <row r="17183">
      <c r="A17183" s="24"/>
      <c r="B17183" s="25"/>
      <c r="C17183" s="24"/>
      <c r="D17183" s="26"/>
      <c r="E17183" s="24"/>
      <c r="F17183" s="24"/>
      <c r="G17183" s="24"/>
      <c r="H17183" s="24"/>
      <c r="I17183" s="24"/>
      <c r="J17183" s="24"/>
      <c r="K17183" s="24"/>
      <c r="L17183" s="24"/>
      <c r="M17183" s="24"/>
      <c r="N17183" s="24"/>
      <c r="O17183" s="24"/>
      <c r="P17183" s="24"/>
      <c r="Q17183" s="24"/>
      <c r="R17183" s="24"/>
      <c r="S17183" s="24"/>
      <c r="T17183" s="24"/>
      <c r="U17183" s="24"/>
      <c r="V17183" s="24"/>
      <c r="W17183" s="24"/>
      <c r="X17183" s="24"/>
      <c r="Y17183" s="24"/>
      <c r="Z17183" s="24"/>
      <c r="AA17183" s="24"/>
    </row>
    <row r="17184">
      <c r="A17184" s="24"/>
      <c r="B17184" s="25"/>
      <c r="C17184" s="24"/>
      <c r="D17184" s="26"/>
      <c r="E17184" s="24"/>
      <c r="F17184" s="24"/>
      <c r="G17184" s="24"/>
      <c r="H17184" s="24"/>
      <c r="I17184" s="24"/>
      <c r="J17184" s="24"/>
      <c r="K17184" s="24"/>
      <c r="L17184" s="24"/>
      <c r="M17184" s="24"/>
      <c r="N17184" s="24"/>
      <c r="O17184" s="24"/>
      <c r="P17184" s="24"/>
      <c r="Q17184" s="24"/>
      <c r="R17184" s="24"/>
      <c r="S17184" s="24"/>
      <c r="T17184" s="24"/>
      <c r="U17184" s="24"/>
      <c r="V17184" s="24"/>
      <c r="W17184" s="24"/>
      <c r="X17184" s="24"/>
      <c r="Y17184" s="24"/>
      <c r="Z17184" s="24"/>
      <c r="AA17184" s="24"/>
    </row>
    <row r="17185">
      <c r="A17185" s="24"/>
      <c r="B17185" s="25"/>
      <c r="C17185" s="24"/>
      <c r="D17185" s="26"/>
      <c r="E17185" s="24"/>
      <c r="F17185" s="24"/>
      <c r="G17185" s="24"/>
      <c r="H17185" s="24"/>
      <c r="I17185" s="24"/>
      <c r="J17185" s="24"/>
      <c r="K17185" s="24"/>
      <c r="L17185" s="24"/>
      <c r="M17185" s="24"/>
      <c r="N17185" s="24"/>
      <c r="O17185" s="24"/>
      <c r="P17185" s="24"/>
      <c r="Q17185" s="24"/>
      <c r="R17185" s="24"/>
      <c r="S17185" s="24"/>
      <c r="T17185" s="24"/>
      <c r="U17185" s="24"/>
      <c r="V17185" s="24"/>
      <c r="W17185" s="24"/>
      <c r="X17185" s="24"/>
      <c r="Y17185" s="24"/>
      <c r="Z17185" s="24"/>
      <c r="AA17185" s="24"/>
    </row>
    <row r="17186">
      <c r="A17186" s="24"/>
      <c r="B17186" s="25"/>
      <c r="C17186" s="24"/>
      <c r="D17186" s="26"/>
      <c r="E17186" s="24"/>
      <c r="F17186" s="24"/>
      <c r="G17186" s="24"/>
      <c r="H17186" s="24"/>
      <c r="I17186" s="24"/>
      <c r="J17186" s="24"/>
      <c r="K17186" s="24"/>
      <c r="L17186" s="24"/>
      <c r="M17186" s="24"/>
      <c r="N17186" s="24"/>
      <c r="O17186" s="24"/>
      <c r="P17186" s="24"/>
      <c r="Q17186" s="24"/>
      <c r="R17186" s="24"/>
      <c r="S17186" s="24"/>
      <c r="T17186" s="24"/>
      <c r="U17186" s="24"/>
      <c r="V17186" s="24"/>
      <c r="W17186" s="24"/>
      <c r="X17186" s="24"/>
      <c r="Y17186" s="24"/>
      <c r="Z17186" s="24"/>
      <c r="AA17186" s="24"/>
    </row>
    <row r="17187">
      <c r="A17187" s="24"/>
      <c r="B17187" s="25"/>
      <c r="C17187" s="24"/>
      <c r="D17187" s="26"/>
      <c r="E17187" s="24"/>
      <c r="F17187" s="24"/>
      <c r="G17187" s="24"/>
      <c r="H17187" s="24"/>
      <c r="I17187" s="24"/>
      <c r="J17187" s="24"/>
      <c r="K17187" s="24"/>
      <c r="L17187" s="24"/>
      <c r="M17187" s="24"/>
      <c r="N17187" s="24"/>
      <c r="O17187" s="24"/>
      <c r="P17187" s="24"/>
      <c r="Q17187" s="24"/>
      <c r="R17187" s="24"/>
      <c r="S17187" s="24"/>
      <c r="T17187" s="24"/>
      <c r="U17187" s="24"/>
      <c r="V17187" s="24"/>
      <c r="W17187" s="24"/>
      <c r="X17187" s="24"/>
      <c r="Y17187" s="24"/>
      <c r="Z17187" s="24"/>
      <c r="AA17187" s="24"/>
    </row>
    <row r="17188">
      <c r="A17188" s="24"/>
      <c r="B17188" s="25"/>
      <c r="C17188" s="24"/>
      <c r="D17188" s="26"/>
      <c r="E17188" s="24"/>
      <c r="F17188" s="24"/>
      <c r="G17188" s="24"/>
      <c r="H17188" s="24"/>
      <c r="I17188" s="24"/>
      <c r="J17188" s="24"/>
      <c r="K17188" s="24"/>
      <c r="L17188" s="24"/>
      <c r="M17188" s="24"/>
      <c r="N17188" s="24"/>
      <c r="O17188" s="24"/>
      <c r="P17188" s="24"/>
      <c r="Q17188" s="24"/>
      <c r="R17188" s="24"/>
      <c r="S17188" s="24"/>
      <c r="T17188" s="24"/>
      <c r="U17188" s="24"/>
      <c r="V17188" s="24"/>
      <c r="W17188" s="24"/>
      <c r="X17188" s="24"/>
      <c r="Y17188" s="24"/>
      <c r="Z17188" s="24"/>
      <c r="AA17188" s="24"/>
    </row>
    <row r="17189">
      <c r="A17189" s="24"/>
      <c r="B17189" s="25"/>
      <c r="C17189" s="24"/>
      <c r="D17189" s="26"/>
      <c r="E17189" s="24"/>
      <c r="F17189" s="24"/>
      <c r="G17189" s="24"/>
      <c r="H17189" s="24"/>
      <c r="I17189" s="24"/>
      <c r="J17189" s="24"/>
      <c r="K17189" s="24"/>
      <c r="L17189" s="24"/>
      <c r="M17189" s="24"/>
      <c r="N17189" s="24"/>
      <c r="O17189" s="24"/>
      <c r="P17189" s="24"/>
      <c r="Q17189" s="24"/>
      <c r="R17189" s="24"/>
      <c r="S17189" s="24"/>
      <c r="T17189" s="24"/>
      <c r="U17189" s="24"/>
      <c r="V17189" s="24"/>
      <c r="W17189" s="24"/>
      <c r="X17189" s="24"/>
      <c r="Y17189" s="24"/>
      <c r="Z17189" s="24"/>
      <c r="AA17189" s="24"/>
    </row>
    <row r="17190">
      <c r="A17190" s="24"/>
      <c r="B17190" s="25"/>
      <c r="C17190" s="24"/>
      <c r="D17190" s="26"/>
      <c r="E17190" s="24"/>
      <c r="F17190" s="24"/>
      <c r="G17190" s="24"/>
      <c r="H17190" s="24"/>
      <c r="I17190" s="24"/>
      <c r="J17190" s="24"/>
      <c r="K17190" s="24"/>
      <c r="L17190" s="24"/>
      <c r="M17190" s="24"/>
      <c r="N17190" s="24"/>
      <c r="O17190" s="24"/>
      <c r="P17190" s="24"/>
      <c r="Q17190" s="24"/>
      <c r="R17190" s="24"/>
      <c r="S17190" s="24"/>
      <c r="T17190" s="24"/>
      <c r="U17190" s="24"/>
      <c r="V17190" s="24"/>
      <c r="W17190" s="24"/>
      <c r="X17190" s="24"/>
      <c r="Y17190" s="24"/>
      <c r="Z17190" s="24"/>
      <c r="AA17190" s="24"/>
    </row>
    <row r="17191">
      <c r="A17191" s="24"/>
      <c r="B17191" s="25"/>
      <c r="C17191" s="24"/>
      <c r="D17191" s="26"/>
      <c r="E17191" s="24"/>
      <c r="F17191" s="24"/>
      <c r="G17191" s="24"/>
      <c r="H17191" s="24"/>
      <c r="I17191" s="24"/>
      <c r="J17191" s="24"/>
      <c r="K17191" s="24"/>
      <c r="L17191" s="24"/>
      <c r="M17191" s="24"/>
      <c r="N17191" s="24"/>
      <c r="O17191" s="24"/>
      <c r="P17191" s="24"/>
      <c r="Q17191" s="24"/>
      <c r="R17191" s="24"/>
      <c r="S17191" s="24"/>
      <c r="T17191" s="24"/>
      <c r="U17191" s="24"/>
      <c r="V17191" s="24"/>
      <c r="W17191" s="24"/>
      <c r="X17191" s="24"/>
      <c r="Y17191" s="24"/>
      <c r="Z17191" s="24"/>
      <c r="AA17191" s="24"/>
    </row>
    <row r="17192">
      <c r="A17192" s="24"/>
      <c r="B17192" s="25"/>
      <c r="C17192" s="24"/>
      <c r="D17192" s="26"/>
      <c r="E17192" s="24"/>
      <c r="F17192" s="24"/>
      <c r="G17192" s="24"/>
      <c r="H17192" s="24"/>
      <c r="I17192" s="24"/>
      <c r="J17192" s="24"/>
      <c r="K17192" s="24"/>
      <c r="L17192" s="24"/>
      <c r="M17192" s="24"/>
      <c r="N17192" s="24"/>
      <c r="O17192" s="24"/>
      <c r="P17192" s="24"/>
      <c r="Q17192" s="24"/>
      <c r="R17192" s="24"/>
      <c r="S17192" s="24"/>
      <c r="T17192" s="24"/>
      <c r="U17192" s="24"/>
      <c r="V17192" s="24"/>
      <c r="W17192" s="24"/>
      <c r="X17192" s="24"/>
      <c r="Y17192" s="24"/>
      <c r="Z17192" s="24"/>
      <c r="AA17192" s="24"/>
    </row>
    <row r="17193">
      <c r="A17193" s="24"/>
      <c r="B17193" s="25"/>
      <c r="C17193" s="24"/>
      <c r="D17193" s="26"/>
      <c r="E17193" s="24"/>
      <c r="F17193" s="24"/>
      <c r="G17193" s="24"/>
      <c r="H17193" s="24"/>
      <c r="I17193" s="24"/>
      <c r="J17193" s="24"/>
      <c r="K17193" s="24"/>
      <c r="L17193" s="24"/>
      <c r="M17193" s="24"/>
      <c r="N17193" s="24"/>
      <c r="O17193" s="24"/>
      <c r="P17193" s="24"/>
      <c r="Q17193" s="24"/>
      <c r="R17193" s="24"/>
      <c r="S17193" s="24"/>
      <c r="T17193" s="24"/>
      <c r="U17193" s="24"/>
      <c r="V17193" s="24"/>
      <c r="W17193" s="24"/>
      <c r="X17193" s="24"/>
      <c r="Y17193" s="24"/>
      <c r="Z17193" s="24"/>
      <c r="AA17193" s="24"/>
    </row>
    <row r="17194">
      <c r="A17194" s="24"/>
      <c r="B17194" s="25"/>
      <c r="C17194" s="24"/>
      <c r="D17194" s="26"/>
      <c r="E17194" s="24"/>
      <c r="F17194" s="24"/>
      <c r="G17194" s="24"/>
      <c r="H17194" s="24"/>
      <c r="I17194" s="24"/>
      <c r="J17194" s="24"/>
      <c r="K17194" s="24"/>
      <c r="L17194" s="24"/>
      <c r="M17194" s="24"/>
      <c r="N17194" s="24"/>
      <c r="O17194" s="24"/>
      <c r="P17194" s="24"/>
      <c r="Q17194" s="24"/>
      <c r="R17194" s="24"/>
      <c r="S17194" s="24"/>
      <c r="T17194" s="24"/>
      <c r="U17194" s="24"/>
      <c r="V17194" s="24"/>
      <c r="W17194" s="24"/>
      <c r="X17194" s="24"/>
      <c r="Y17194" s="24"/>
      <c r="Z17194" s="24"/>
      <c r="AA17194" s="24"/>
    </row>
    <row r="17195">
      <c r="A17195" s="24"/>
      <c r="B17195" s="25"/>
      <c r="C17195" s="24"/>
      <c r="D17195" s="26"/>
      <c r="E17195" s="24"/>
      <c r="F17195" s="24"/>
      <c r="G17195" s="24"/>
      <c r="H17195" s="24"/>
      <c r="I17195" s="24"/>
      <c r="J17195" s="24"/>
      <c r="K17195" s="24"/>
      <c r="L17195" s="24"/>
      <c r="M17195" s="24"/>
      <c r="N17195" s="24"/>
      <c r="O17195" s="24"/>
      <c r="P17195" s="24"/>
      <c r="Q17195" s="24"/>
      <c r="R17195" s="24"/>
      <c r="S17195" s="24"/>
      <c r="T17195" s="24"/>
      <c r="U17195" s="24"/>
      <c r="V17195" s="24"/>
      <c r="W17195" s="24"/>
      <c r="X17195" s="24"/>
      <c r="Y17195" s="24"/>
      <c r="Z17195" s="24"/>
      <c r="AA17195" s="24"/>
    </row>
    <row r="17196">
      <c r="A17196" s="24"/>
      <c r="B17196" s="25"/>
      <c r="C17196" s="24"/>
      <c r="D17196" s="26"/>
      <c r="E17196" s="24"/>
      <c r="F17196" s="24"/>
      <c r="G17196" s="24"/>
      <c r="H17196" s="24"/>
      <c r="I17196" s="24"/>
      <c r="J17196" s="24"/>
      <c r="K17196" s="24"/>
      <c r="L17196" s="24"/>
      <c r="M17196" s="24"/>
      <c r="N17196" s="24"/>
      <c r="O17196" s="24"/>
      <c r="P17196" s="24"/>
      <c r="Q17196" s="24"/>
      <c r="R17196" s="24"/>
      <c r="S17196" s="24"/>
      <c r="T17196" s="24"/>
      <c r="U17196" s="24"/>
      <c r="V17196" s="24"/>
      <c r="W17196" s="24"/>
      <c r="X17196" s="24"/>
      <c r="Y17196" s="24"/>
      <c r="Z17196" s="24"/>
      <c r="AA17196" s="24"/>
    </row>
    <row r="17197">
      <c r="A17197" s="24"/>
      <c r="B17197" s="25"/>
      <c r="C17197" s="24"/>
      <c r="D17197" s="26"/>
      <c r="E17197" s="24"/>
      <c r="F17197" s="24"/>
      <c r="G17197" s="24"/>
      <c r="H17197" s="24"/>
      <c r="I17197" s="24"/>
      <c r="J17197" s="24"/>
      <c r="K17197" s="24"/>
      <c r="L17197" s="24"/>
      <c r="M17197" s="24"/>
      <c r="N17197" s="24"/>
      <c r="O17197" s="24"/>
      <c r="P17197" s="24"/>
      <c r="Q17197" s="24"/>
      <c r="R17197" s="24"/>
      <c r="S17197" s="24"/>
      <c r="T17197" s="24"/>
      <c r="U17197" s="24"/>
      <c r="V17197" s="24"/>
      <c r="W17197" s="24"/>
      <c r="X17197" s="24"/>
      <c r="Y17197" s="24"/>
      <c r="Z17197" s="24"/>
      <c r="AA17197" s="24"/>
    </row>
    <row r="17198">
      <c r="A17198" s="24"/>
      <c r="B17198" s="25"/>
      <c r="C17198" s="24"/>
      <c r="D17198" s="26"/>
      <c r="E17198" s="24"/>
      <c r="F17198" s="24"/>
      <c r="G17198" s="24"/>
      <c r="H17198" s="24"/>
      <c r="I17198" s="24"/>
      <c r="J17198" s="24"/>
      <c r="K17198" s="24"/>
      <c r="L17198" s="24"/>
      <c r="M17198" s="24"/>
      <c r="N17198" s="24"/>
      <c r="O17198" s="24"/>
      <c r="P17198" s="24"/>
      <c r="Q17198" s="24"/>
      <c r="R17198" s="24"/>
      <c r="S17198" s="24"/>
      <c r="T17198" s="24"/>
      <c r="U17198" s="24"/>
      <c r="V17198" s="24"/>
      <c r="W17198" s="24"/>
      <c r="X17198" s="24"/>
      <c r="Y17198" s="24"/>
      <c r="Z17198" s="24"/>
      <c r="AA17198" s="24"/>
    </row>
    <row r="17199">
      <c r="A17199" s="24"/>
      <c r="B17199" s="25"/>
      <c r="C17199" s="24"/>
      <c r="D17199" s="26"/>
      <c r="E17199" s="24"/>
      <c r="F17199" s="24"/>
      <c r="G17199" s="24"/>
      <c r="H17199" s="24"/>
      <c r="I17199" s="24"/>
      <c r="J17199" s="24"/>
      <c r="K17199" s="24"/>
      <c r="L17199" s="24"/>
      <c r="M17199" s="24"/>
      <c r="N17199" s="24"/>
      <c r="O17199" s="24"/>
      <c r="P17199" s="24"/>
      <c r="Q17199" s="24"/>
      <c r="R17199" s="24"/>
      <c r="S17199" s="24"/>
      <c r="T17199" s="24"/>
      <c r="U17199" s="24"/>
      <c r="V17199" s="24"/>
      <c r="W17199" s="24"/>
      <c r="X17199" s="24"/>
      <c r="Y17199" s="24"/>
      <c r="Z17199" s="24"/>
      <c r="AA17199" s="24"/>
    </row>
    <row r="17200">
      <c r="A17200" s="24"/>
      <c r="B17200" s="25"/>
      <c r="C17200" s="24"/>
      <c r="D17200" s="26"/>
      <c r="E17200" s="24"/>
      <c r="F17200" s="24"/>
      <c r="G17200" s="24"/>
      <c r="H17200" s="24"/>
      <c r="I17200" s="24"/>
      <c r="J17200" s="24"/>
      <c r="K17200" s="24"/>
      <c r="L17200" s="24"/>
      <c r="M17200" s="24"/>
      <c r="N17200" s="24"/>
      <c r="O17200" s="24"/>
      <c r="P17200" s="24"/>
      <c r="Q17200" s="24"/>
      <c r="R17200" s="24"/>
      <c r="S17200" s="24"/>
      <c r="T17200" s="24"/>
      <c r="U17200" s="24"/>
      <c r="V17200" s="24"/>
      <c r="W17200" s="24"/>
      <c r="X17200" s="24"/>
      <c r="Y17200" s="24"/>
      <c r="Z17200" s="24"/>
      <c r="AA17200" s="24"/>
    </row>
    <row r="17201">
      <c r="A17201" s="24"/>
      <c r="B17201" s="25"/>
      <c r="C17201" s="24"/>
      <c r="D17201" s="26"/>
      <c r="E17201" s="24"/>
      <c r="F17201" s="24"/>
      <c r="G17201" s="24"/>
      <c r="H17201" s="24"/>
      <c r="I17201" s="24"/>
      <c r="J17201" s="24"/>
      <c r="K17201" s="24"/>
      <c r="L17201" s="24"/>
      <c r="M17201" s="24"/>
      <c r="N17201" s="24"/>
      <c r="O17201" s="24"/>
      <c r="P17201" s="24"/>
      <c r="Q17201" s="24"/>
      <c r="R17201" s="24"/>
      <c r="S17201" s="24"/>
      <c r="T17201" s="24"/>
      <c r="U17201" s="24"/>
      <c r="V17201" s="24"/>
      <c r="W17201" s="24"/>
      <c r="X17201" s="24"/>
      <c r="Y17201" s="24"/>
      <c r="Z17201" s="24"/>
      <c r="AA17201" s="24"/>
    </row>
    <row r="17202">
      <c r="A17202" s="24"/>
      <c r="B17202" s="25"/>
      <c r="C17202" s="24"/>
      <c r="D17202" s="26"/>
      <c r="E17202" s="24"/>
      <c r="F17202" s="24"/>
      <c r="G17202" s="24"/>
      <c r="H17202" s="24"/>
      <c r="I17202" s="24"/>
      <c r="J17202" s="24"/>
      <c r="K17202" s="24"/>
      <c r="L17202" s="24"/>
      <c r="M17202" s="24"/>
      <c r="N17202" s="24"/>
      <c r="O17202" s="24"/>
      <c r="P17202" s="24"/>
      <c r="Q17202" s="24"/>
      <c r="R17202" s="24"/>
      <c r="S17202" s="24"/>
      <c r="T17202" s="24"/>
      <c r="U17202" s="24"/>
      <c r="V17202" s="24"/>
      <c r="W17202" s="24"/>
      <c r="X17202" s="24"/>
      <c r="Y17202" s="24"/>
      <c r="Z17202" s="24"/>
      <c r="AA17202" s="24"/>
    </row>
    <row r="17203">
      <c r="A17203" s="24"/>
      <c r="B17203" s="25"/>
      <c r="C17203" s="24"/>
      <c r="D17203" s="26"/>
      <c r="E17203" s="24"/>
      <c r="F17203" s="24"/>
      <c r="G17203" s="24"/>
      <c r="H17203" s="24"/>
      <c r="I17203" s="24"/>
      <c r="J17203" s="24"/>
      <c r="K17203" s="24"/>
      <c r="L17203" s="24"/>
      <c r="M17203" s="24"/>
      <c r="N17203" s="24"/>
      <c r="O17203" s="24"/>
      <c r="P17203" s="24"/>
      <c r="Q17203" s="24"/>
      <c r="R17203" s="24"/>
      <c r="S17203" s="24"/>
      <c r="T17203" s="24"/>
      <c r="U17203" s="24"/>
      <c r="V17203" s="24"/>
      <c r="W17203" s="24"/>
      <c r="X17203" s="24"/>
      <c r="Y17203" s="24"/>
      <c r="Z17203" s="24"/>
      <c r="AA17203" s="24"/>
    </row>
    <row r="17204">
      <c r="A17204" s="24"/>
      <c r="B17204" s="25"/>
      <c r="C17204" s="24"/>
      <c r="D17204" s="26"/>
      <c r="E17204" s="24"/>
      <c r="F17204" s="24"/>
      <c r="G17204" s="24"/>
      <c r="H17204" s="24"/>
      <c r="I17204" s="24"/>
      <c r="J17204" s="24"/>
      <c r="K17204" s="24"/>
      <c r="L17204" s="24"/>
      <c r="M17204" s="24"/>
      <c r="N17204" s="24"/>
      <c r="O17204" s="24"/>
      <c r="P17204" s="24"/>
      <c r="Q17204" s="24"/>
      <c r="R17204" s="24"/>
      <c r="S17204" s="24"/>
      <c r="T17204" s="24"/>
      <c r="U17204" s="24"/>
      <c r="V17204" s="24"/>
      <c r="W17204" s="24"/>
      <c r="X17204" s="24"/>
      <c r="Y17204" s="24"/>
      <c r="Z17204" s="24"/>
      <c r="AA17204" s="24"/>
    </row>
    <row r="17205">
      <c r="A17205" s="24"/>
      <c r="B17205" s="25"/>
      <c r="C17205" s="24"/>
      <c r="D17205" s="26"/>
      <c r="E17205" s="24"/>
      <c r="F17205" s="24"/>
      <c r="G17205" s="24"/>
      <c r="H17205" s="24"/>
      <c r="I17205" s="24"/>
      <c r="J17205" s="24"/>
      <c r="K17205" s="24"/>
      <c r="L17205" s="24"/>
      <c r="M17205" s="24"/>
      <c r="N17205" s="24"/>
      <c r="O17205" s="24"/>
      <c r="P17205" s="24"/>
      <c r="Q17205" s="24"/>
      <c r="R17205" s="24"/>
      <c r="S17205" s="24"/>
      <c r="T17205" s="24"/>
      <c r="U17205" s="24"/>
      <c r="V17205" s="24"/>
      <c r="W17205" s="24"/>
      <c r="X17205" s="24"/>
      <c r="Y17205" s="24"/>
      <c r="Z17205" s="24"/>
      <c r="AA17205" s="24"/>
    </row>
    <row r="17206">
      <c r="A17206" s="24"/>
      <c r="B17206" s="25"/>
      <c r="C17206" s="24"/>
      <c r="D17206" s="26"/>
      <c r="E17206" s="24"/>
      <c r="F17206" s="24"/>
      <c r="G17206" s="24"/>
      <c r="H17206" s="24"/>
      <c r="I17206" s="24"/>
      <c r="J17206" s="24"/>
      <c r="K17206" s="24"/>
      <c r="L17206" s="24"/>
      <c r="M17206" s="24"/>
      <c r="N17206" s="24"/>
      <c r="O17206" s="24"/>
      <c r="P17206" s="24"/>
      <c r="Q17206" s="24"/>
      <c r="R17206" s="24"/>
      <c r="S17206" s="24"/>
      <c r="T17206" s="24"/>
      <c r="U17206" s="24"/>
      <c r="V17206" s="24"/>
      <c r="W17206" s="24"/>
      <c r="X17206" s="24"/>
      <c r="Y17206" s="24"/>
      <c r="Z17206" s="24"/>
      <c r="AA17206" s="24"/>
    </row>
    <row r="17207">
      <c r="A17207" s="24"/>
      <c r="B17207" s="25"/>
      <c r="C17207" s="24"/>
      <c r="D17207" s="26"/>
      <c r="E17207" s="24"/>
      <c r="F17207" s="24"/>
      <c r="G17207" s="24"/>
      <c r="H17207" s="24"/>
      <c r="I17207" s="24"/>
      <c r="J17207" s="24"/>
      <c r="K17207" s="24"/>
      <c r="L17207" s="24"/>
      <c r="M17207" s="24"/>
      <c r="N17207" s="24"/>
      <c r="O17207" s="24"/>
      <c r="P17207" s="24"/>
      <c r="Q17207" s="24"/>
      <c r="R17207" s="24"/>
      <c r="S17207" s="24"/>
      <c r="T17207" s="24"/>
      <c r="U17207" s="24"/>
      <c r="V17207" s="24"/>
      <c r="W17207" s="24"/>
      <c r="X17207" s="24"/>
      <c r="Y17207" s="24"/>
      <c r="Z17207" s="24"/>
      <c r="AA17207" s="24"/>
    </row>
    <row r="17208">
      <c r="A17208" s="24"/>
      <c r="B17208" s="25"/>
      <c r="C17208" s="24"/>
      <c r="D17208" s="26"/>
      <c r="E17208" s="24"/>
      <c r="F17208" s="24"/>
      <c r="G17208" s="24"/>
      <c r="H17208" s="24"/>
      <c r="I17208" s="24"/>
      <c r="J17208" s="24"/>
      <c r="K17208" s="24"/>
      <c r="L17208" s="24"/>
      <c r="M17208" s="24"/>
      <c r="N17208" s="24"/>
      <c r="O17208" s="24"/>
      <c r="P17208" s="24"/>
      <c r="Q17208" s="24"/>
      <c r="R17208" s="24"/>
      <c r="S17208" s="24"/>
      <c r="T17208" s="24"/>
      <c r="U17208" s="24"/>
      <c r="V17208" s="24"/>
      <c r="W17208" s="24"/>
      <c r="X17208" s="24"/>
      <c r="Y17208" s="24"/>
      <c r="Z17208" s="24"/>
      <c r="AA17208" s="24"/>
    </row>
    <row r="17209">
      <c r="A17209" s="24"/>
      <c r="B17209" s="25"/>
      <c r="C17209" s="24"/>
      <c r="D17209" s="26"/>
      <c r="E17209" s="24"/>
      <c r="F17209" s="24"/>
      <c r="G17209" s="24"/>
      <c r="H17209" s="24"/>
      <c r="I17209" s="24"/>
      <c r="J17209" s="24"/>
      <c r="K17209" s="24"/>
      <c r="L17209" s="24"/>
      <c r="M17209" s="24"/>
      <c r="N17209" s="24"/>
      <c r="O17209" s="24"/>
      <c r="P17209" s="24"/>
      <c r="Q17209" s="24"/>
      <c r="R17209" s="24"/>
      <c r="S17209" s="24"/>
      <c r="T17209" s="24"/>
      <c r="U17209" s="24"/>
      <c r="V17209" s="24"/>
      <c r="W17209" s="24"/>
      <c r="X17209" s="24"/>
      <c r="Y17209" s="24"/>
      <c r="Z17209" s="24"/>
      <c r="AA17209" s="24"/>
    </row>
    <row r="17210">
      <c r="A17210" s="24"/>
      <c r="B17210" s="25"/>
      <c r="C17210" s="24"/>
      <c r="D17210" s="26"/>
      <c r="E17210" s="24"/>
      <c r="F17210" s="24"/>
      <c r="G17210" s="24"/>
      <c r="H17210" s="24"/>
      <c r="I17210" s="24"/>
      <c r="J17210" s="24"/>
      <c r="K17210" s="24"/>
      <c r="L17210" s="24"/>
      <c r="M17210" s="24"/>
      <c r="N17210" s="24"/>
      <c r="O17210" s="24"/>
      <c r="P17210" s="24"/>
      <c r="Q17210" s="24"/>
      <c r="R17210" s="24"/>
      <c r="S17210" s="24"/>
      <c r="T17210" s="24"/>
      <c r="U17210" s="24"/>
      <c r="V17210" s="24"/>
      <c r="W17210" s="24"/>
      <c r="X17210" s="24"/>
      <c r="Y17210" s="24"/>
      <c r="Z17210" s="24"/>
      <c r="AA17210" s="24"/>
    </row>
    <row r="17211">
      <c r="A17211" s="24"/>
      <c r="B17211" s="25"/>
      <c r="C17211" s="24"/>
      <c r="D17211" s="26"/>
      <c r="E17211" s="24"/>
      <c r="F17211" s="24"/>
      <c r="G17211" s="24"/>
      <c r="H17211" s="24"/>
      <c r="I17211" s="24"/>
      <c r="J17211" s="24"/>
      <c r="K17211" s="24"/>
      <c r="L17211" s="24"/>
      <c r="M17211" s="24"/>
      <c r="N17211" s="24"/>
      <c r="O17211" s="24"/>
      <c r="P17211" s="24"/>
      <c r="Q17211" s="24"/>
      <c r="R17211" s="24"/>
      <c r="S17211" s="24"/>
      <c r="T17211" s="24"/>
      <c r="U17211" s="24"/>
      <c r="V17211" s="24"/>
      <c r="W17211" s="24"/>
      <c r="X17211" s="24"/>
      <c r="Y17211" s="24"/>
      <c r="Z17211" s="24"/>
      <c r="AA17211" s="24"/>
    </row>
    <row r="17212">
      <c r="A17212" s="24"/>
      <c r="B17212" s="25"/>
      <c r="C17212" s="24"/>
      <c r="D17212" s="26"/>
      <c r="E17212" s="24"/>
      <c r="F17212" s="24"/>
      <c r="G17212" s="24"/>
      <c r="H17212" s="24"/>
      <c r="I17212" s="24"/>
      <c r="J17212" s="24"/>
      <c r="K17212" s="24"/>
      <c r="L17212" s="24"/>
      <c r="M17212" s="24"/>
      <c r="N17212" s="24"/>
      <c r="O17212" s="24"/>
      <c r="P17212" s="24"/>
      <c r="Q17212" s="24"/>
      <c r="R17212" s="24"/>
      <c r="S17212" s="24"/>
      <c r="T17212" s="24"/>
      <c r="U17212" s="24"/>
      <c r="V17212" s="24"/>
      <c r="W17212" s="24"/>
      <c r="X17212" s="24"/>
      <c r="Y17212" s="24"/>
      <c r="Z17212" s="24"/>
      <c r="AA17212" s="24"/>
    </row>
    <row r="17213">
      <c r="A17213" s="24"/>
      <c r="B17213" s="25"/>
      <c r="C17213" s="24"/>
      <c r="D17213" s="26"/>
      <c r="E17213" s="24"/>
      <c r="F17213" s="24"/>
      <c r="G17213" s="24"/>
      <c r="H17213" s="24"/>
      <c r="I17213" s="24"/>
      <c r="J17213" s="24"/>
      <c r="K17213" s="24"/>
      <c r="L17213" s="24"/>
      <c r="M17213" s="24"/>
      <c r="N17213" s="24"/>
      <c r="O17213" s="24"/>
      <c r="P17213" s="24"/>
      <c r="Q17213" s="24"/>
      <c r="R17213" s="24"/>
      <c r="S17213" s="24"/>
      <c r="T17213" s="24"/>
      <c r="U17213" s="24"/>
      <c r="V17213" s="24"/>
      <c r="W17213" s="24"/>
      <c r="X17213" s="24"/>
      <c r="Y17213" s="24"/>
      <c r="Z17213" s="24"/>
      <c r="AA17213" s="24"/>
    </row>
    <row r="17214">
      <c r="A17214" s="24"/>
      <c r="B17214" s="25"/>
      <c r="C17214" s="24"/>
      <c r="D17214" s="26"/>
      <c r="E17214" s="24"/>
      <c r="F17214" s="24"/>
      <c r="G17214" s="24"/>
      <c r="H17214" s="24"/>
      <c r="I17214" s="24"/>
      <c r="J17214" s="24"/>
      <c r="K17214" s="24"/>
      <c r="L17214" s="24"/>
      <c r="M17214" s="24"/>
      <c r="N17214" s="24"/>
      <c r="O17214" s="24"/>
      <c r="P17214" s="24"/>
      <c r="Q17214" s="24"/>
      <c r="R17214" s="24"/>
      <c r="S17214" s="24"/>
      <c r="T17214" s="24"/>
      <c r="U17214" s="24"/>
      <c r="V17214" s="24"/>
      <c r="W17214" s="24"/>
      <c r="X17214" s="24"/>
      <c r="Y17214" s="24"/>
      <c r="Z17214" s="24"/>
      <c r="AA17214" s="24"/>
    </row>
    <row r="17215">
      <c r="A17215" s="24"/>
      <c r="B17215" s="25"/>
      <c r="C17215" s="24"/>
      <c r="D17215" s="26"/>
      <c r="E17215" s="24"/>
      <c r="F17215" s="24"/>
      <c r="G17215" s="24"/>
      <c r="H17215" s="24"/>
      <c r="I17215" s="24"/>
      <c r="J17215" s="24"/>
      <c r="K17215" s="24"/>
      <c r="L17215" s="24"/>
      <c r="M17215" s="24"/>
      <c r="N17215" s="24"/>
      <c r="O17215" s="24"/>
      <c r="P17215" s="24"/>
      <c r="Q17215" s="24"/>
      <c r="R17215" s="24"/>
      <c r="S17215" s="24"/>
      <c r="T17215" s="24"/>
      <c r="U17215" s="24"/>
      <c r="V17215" s="24"/>
      <c r="W17215" s="24"/>
      <c r="X17215" s="24"/>
      <c r="Y17215" s="24"/>
      <c r="Z17215" s="24"/>
      <c r="AA17215" s="24"/>
    </row>
    <row r="17216">
      <c r="A17216" s="24"/>
      <c r="B17216" s="25"/>
      <c r="C17216" s="24"/>
      <c r="D17216" s="26"/>
      <c r="E17216" s="24"/>
      <c r="F17216" s="24"/>
      <c r="G17216" s="24"/>
      <c r="H17216" s="24"/>
      <c r="I17216" s="24"/>
      <c r="J17216" s="24"/>
      <c r="K17216" s="24"/>
      <c r="L17216" s="24"/>
      <c r="M17216" s="24"/>
      <c r="N17216" s="24"/>
      <c r="O17216" s="24"/>
      <c r="P17216" s="24"/>
      <c r="Q17216" s="24"/>
      <c r="R17216" s="24"/>
      <c r="S17216" s="24"/>
      <c r="T17216" s="24"/>
      <c r="U17216" s="24"/>
      <c r="V17216" s="24"/>
      <c r="W17216" s="24"/>
      <c r="X17216" s="24"/>
      <c r="Y17216" s="24"/>
      <c r="Z17216" s="24"/>
      <c r="AA17216" s="24"/>
    </row>
    <row r="17217">
      <c r="A17217" s="24"/>
      <c r="B17217" s="25"/>
      <c r="C17217" s="24"/>
      <c r="D17217" s="26"/>
      <c r="E17217" s="24"/>
      <c r="F17217" s="24"/>
      <c r="G17217" s="24"/>
      <c r="H17217" s="24"/>
      <c r="I17217" s="24"/>
      <c r="J17217" s="24"/>
      <c r="K17217" s="24"/>
      <c r="L17217" s="24"/>
      <c r="M17217" s="24"/>
      <c r="N17217" s="24"/>
      <c r="O17217" s="24"/>
      <c r="P17217" s="24"/>
      <c r="Q17217" s="24"/>
      <c r="R17217" s="24"/>
      <c r="S17217" s="24"/>
      <c r="T17217" s="24"/>
      <c r="U17217" s="24"/>
      <c r="V17217" s="24"/>
      <c r="W17217" s="24"/>
      <c r="X17217" s="24"/>
      <c r="Y17217" s="24"/>
      <c r="Z17217" s="24"/>
      <c r="AA17217" s="24"/>
    </row>
    <row r="17218">
      <c r="A17218" s="24"/>
      <c r="B17218" s="25"/>
      <c r="C17218" s="24"/>
      <c r="D17218" s="26"/>
      <c r="E17218" s="24"/>
      <c r="F17218" s="24"/>
      <c r="G17218" s="24"/>
      <c r="H17218" s="24"/>
      <c r="I17218" s="24"/>
      <c r="J17218" s="24"/>
      <c r="K17218" s="24"/>
      <c r="L17218" s="24"/>
      <c r="M17218" s="24"/>
      <c r="N17218" s="24"/>
      <c r="O17218" s="24"/>
      <c r="P17218" s="24"/>
      <c r="Q17218" s="24"/>
      <c r="R17218" s="24"/>
      <c r="S17218" s="24"/>
      <c r="T17218" s="24"/>
      <c r="U17218" s="24"/>
      <c r="V17218" s="24"/>
      <c r="W17218" s="24"/>
      <c r="X17218" s="24"/>
      <c r="Y17218" s="24"/>
      <c r="Z17218" s="24"/>
      <c r="AA17218" s="24"/>
    </row>
    <row r="17219">
      <c r="A17219" s="24"/>
      <c r="B17219" s="25"/>
      <c r="C17219" s="24"/>
      <c r="D17219" s="26"/>
      <c r="E17219" s="24"/>
      <c r="F17219" s="24"/>
      <c r="G17219" s="24"/>
      <c r="H17219" s="24"/>
      <c r="I17219" s="24"/>
      <c r="J17219" s="24"/>
      <c r="K17219" s="24"/>
      <c r="L17219" s="24"/>
      <c r="M17219" s="24"/>
      <c r="N17219" s="24"/>
      <c r="O17219" s="24"/>
      <c r="P17219" s="24"/>
      <c r="Q17219" s="24"/>
      <c r="R17219" s="24"/>
      <c r="S17219" s="24"/>
      <c r="T17219" s="24"/>
      <c r="U17219" s="24"/>
      <c r="V17219" s="24"/>
      <c r="W17219" s="24"/>
      <c r="X17219" s="24"/>
      <c r="Y17219" s="24"/>
      <c r="Z17219" s="24"/>
      <c r="AA17219" s="24"/>
    </row>
    <row r="17220">
      <c r="A17220" s="24"/>
      <c r="B17220" s="25"/>
      <c r="C17220" s="24"/>
      <c r="D17220" s="26"/>
      <c r="E17220" s="24"/>
      <c r="F17220" s="24"/>
      <c r="G17220" s="24"/>
      <c r="H17220" s="24"/>
      <c r="I17220" s="24"/>
      <c r="J17220" s="24"/>
      <c r="K17220" s="24"/>
      <c r="L17220" s="24"/>
      <c r="M17220" s="24"/>
      <c r="N17220" s="24"/>
      <c r="O17220" s="24"/>
      <c r="P17220" s="24"/>
      <c r="Q17220" s="24"/>
      <c r="R17220" s="24"/>
      <c r="S17220" s="24"/>
      <c r="T17220" s="24"/>
      <c r="U17220" s="24"/>
      <c r="V17220" s="24"/>
      <c r="W17220" s="24"/>
      <c r="X17220" s="24"/>
      <c r="Y17220" s="24"/>
      <c r="Z17220" s="24"/>
      <c r="AA17220" s="24"/>
    </row>
    <row r="17221">
      <c r="A17221" s="24"/>
      <c r="B17221" s="25"/>
      <c r="C17221" s="24"/>
      <c r="D17221" s="26"/>
      <c r="E17221" s="24"/>
      <c r="F17221" s="24"/>
      <c r="G17221" s="24"/>
      <c r="H17221" s="24"/>
      <c r="I17221" s="24"/>
      <c r="J17221" s="24"/>
      <c r="K17221" s="24"/>
      <c r="L17221" s="24"/>
      <c r="M17221" s="24"/>
      <c r="N17221" s="24"/>
      <c r="O17221" s="24"/>
      <c r="P17221" s="24"/>
      <c r="Q17221" s="24"/>
      <c r="R17221" s="24"/>
      <c r="S17221" s="24"/>
      <c r="T17221" s="24"/>
      <c r="U17221" s="24"/>
      <c r="V17221" s="24"/>
      <c r="W17221" s="24"/>
      <c r="X17221" s="24"/>
      <c r="Y17221" s="24"/>
      <c r="Z17221" s="24"/>
      <c r="AA17221" s="24"/>
    </row>
    <row r="17222">
      <c r="A17222" s="24"/>
      <c r="B17222" s="25"/>
      <c r="C17222" s="24"/>
      <c r="D17222" s="26"/>
      <c r="E17222" s="24"/>
      <c r="F17222" s="24"/>
      <c r="G17222" s="24"/>
      <c r="H17222" s="24"/>
      <c r="I17222" s="24"/>
      <c r="J17222" s="24"/>
      <c r="K17222" s="24"/>
      <c r="L17222" s="24"/>
      <c r="M17222" s="24"/>
      <c r="N17222" s="24"/>
      <c r="O17222" s="24"/>
      <c r="P17222" s="24"/>
      <c r="Q17222" s="24"/>
      <c r="R17222" s="24"/>
      <c r="S17222" s="24"/>
      <c r="T17222" s="24"/>
      <c r="U17222" s="24"/>
      <c r="V17222" s="24"/>
      <c r="W17222" s="24"/>
      <c r="X17222" s="24"/>
      <c r="Y17222" s="24"/>
      <c r="Z17222" s="24"/>
      <c r="AA17222" s="24"/>
    </row>
    <row r="17223">
      <c r="A17223" s="24"/>
      <c r="B17223" s="25"/>
      <c r="C17223" s="24"/>
      <c r="D17223" s="26"/>
      <c r="E17223" s="24"/>
      <c r="F17223" s="24"/>
      <c r="G17223" s="24"/>
      <c r="H17223" s="24"/>
      <c r="I17223" s="24"/>
      <c r="J17223" s="24"/>
      <c r="K17223" s="24"/>
      <c r="L17223" s="24"/>
      <c r="M17223" s="24"/>
      <c r="N17223" s="24"/>
      <c r="O17223" s="24"/>
      <c r="P17223" s="24"/>
      <c r="Q17223" s="24"/>
      <c r="R17223" s="24"/>
      <c r="S17223" s="24"/>
      <c r="T17223" s="24"/>
      <c r="U17223" s="24"/>
      <c r="V17223" s="24"/>
      <c r="W17223" s="24"/>
      <c r="X17223" s="24"/>
      <c r="Y17223" s="24"/>
      <c r="Z17223" s="24"/>
      <c r="AA17223" s="24"/>
    </row>
    <row r="17224">
      <c r="A17224" s="24"/>
      <c r="B17224" s="25"/>
      <c r="C17224" s="24"/>
      <c r="D17224" s="26"/>
      <c r="E17224" s="24"/>
      <c r="F17224" s="24"/>
      <c r="G17224" s="24"/>
      <c r="H17224" s="24"/>
      <c r="I17224" s="24"/>
      <c r="J17224" s="24"/>
      <c r="K17224" s="24"/>
      <c r="L17224" s="24"/>
      <c r="M17224" s="24"/>
      <c r="N17224" s="24"/>
      <c r="O17224" s="24"/>
      <c r="P17224" s="24"/>
      <c r="Q17224" s="24"/>
      <c r="R17224" s="24"/>
      <c r="S17224" s="24"/>
      <c r="T17224" s="24"/>
      <c r="U17224" s="24"/>
      <c r="V17224" s="24"/>
      <c r="W17224" s="24"/>
      <c r="X17224" s="24"/>
      <c r="Y17224" s="24"/>
      <c r="Z17224" s="24"/>
      <c r="AA17224" s="24"/>
    </row>
    <row r="17225">
      <c r="A17225" s="24"/>
      <c r="B17225" s="25"/>
      <c r="C17225" s="24"/>
      <c r="D17225" s="26"/>
      <c r="E17225" s="24"/>
      <c r="F17225" s="24"/>
      <c r="G17225" s="24"/>
      <c r="H17225" s="24"/>
      <c r="I17225" s="24"/>
      <c r="J17225" s="24"/>
      <c r="K17225" s="24"/>
      <c r="L17225" s="24"/>
      <c r="M17225" s="24"/>
      <c r="N17225" s="24"/>
      <c r="O17225" s="24"/>
      <c r="P17225" s="24"/>
      <c r="Q17225" s="24"/>
      <c r="R17225" s="24"/>
      <c r="S17225" s="24"/>
      <c r="T17225" s="24"/>
      <c r="U17225" s="24"/>
      <c r="V17225" s="24"/>
      <c r="W17225" s="24"/>
      <c r="X17225" s="24"/>
      <c r="Y17225" s="24"/>
      <c r="Z17225" s="24"/>
      <c r="AA17225" s="24"/>
    </row>
    <row r="17226">
      <c r="A17226" s="24"/>
      <c r="B17226" s="25"/>
      <c r="C17226" s="24"/>
      <c r="D17226" s="26"/>
      <c r="E17226" s="24"/>
      <c r="F17226" s="24"/>
      <c r="G17226" s="24"/>
      <c r="H17226" s="24"/>
      <c r="I17226" s="24"/>
      <c r="J17226" s="24"/>
      <c r="K17226" s="24"/>
      <c r="L17226" s="24"/>
      <c r="M17226" s="24"/>
      <c r="N17226" s="24"/>
      <c r="O17226" s="24"/>
      <c r="P17226" s="24"/>
      <c r="Q17226" s="24"/>
      <c r="R17226" s="24"/>
      <c r="S17226" s="24"/>
      <c r="T17226" s="24"/>
      <c r="U17226" s="24"/>
      <c r="V17226" s="24"/>
      <c r="W17226" s="24"/>
      <c r="X17226" s="24"/>
      <c r="Y17226" s="24"/>
      <c r="Z17226" s="24"/>
      <c r="AA17226" s="24"/>
    </row>
    <row r="17227">
      <c r="A17227" s="24"/>
      <c r="B17227" s="25"/>
      <c r="C17227" s="24"/>
      <c r="D17227" s="26"/>
      <c r="E17227" s="24"/>
      <c r="F17227" s="24"/>
      <c r="G17227" s="24"/>
      <c r="H17227" s="24"/>
      <c r="I17227" s="24"/>
      <c r="J17227" s="24"/>
      <c r="K17227" s="24"/>
      <c r="L17227" s="24"/>
      <c r="M17227" s="24"/>
      <c r="N17227" s="24"/>
      <c r="O17227" s="24"/>
      <c r="P17227" s="24"/>
      <c r="Q17227" s="24"/>
      <c r="R17227" s="24"/>
      <c r="S17227" s="24"/>
      <c r="T17227" s="24"/>
      <c r="U17227" s="24"/>
      <c r="V17227" s="24"/>
      <c r="W17227" s="24"/>
      <c r="X17227" s="24"/>
      <c r="Y17227" s="24"/>
      <c r="Z17227" s="24"/>
      <c r="AA17227" s="24"/>
    </row>
    <row r="17228">
      <c r="A17228" s="24"/>
      <c r="B17228" s="25"/>
      <c r="C17228" s="24"/>
      <c r="D17228" s="26"/>
      <c r="E17228" s="24"/>
      <c r="F17228" s="24"/>
      <c r="G17228" s="24"/>
      <c r="H17228" s="24"/>
      <c r="I17228" s="24"/>
      <c r="J17228" s="24"/>
      <c r="K17228" s="24"/>
      <c r="L17228" s="24"/>
      <c r="M17228" s="24"/>
      <c r="N17228" s="24"/>
      <c r="O17228" s="24"/>
      <c r="P17228" s="24"/>
      <c r="Q17228" s="24"/>
      <c r="R17228" s="24"/>
      <c r="S17228" s="24"/>
      <c r="T17228" s="24"/>
      <c r="U17228" s="24"/>
      <c r="V17228" s="24"/>
      <c r="W17228" s="24"/>
      <c r="X17228" s="24"/>
      <c r="Y17228" s="24"/>
      <c r="Z17228" s="24"/>
      <c r="AA17228" s="24"/>
    </row>
    <row r="17229">
      <c r="A17229" s="24"/>
      <c r="B17229" s="25"/>
      <c r="C17229" s="24"/>
      <c r="D17229" s="26"/>
      <c r="E17229" s="24"/>
      <c r="F17229" s="24"/>
      <c r="G17229" s="24"/>
      <c r="H17229" s="24"/>
      <c r="I17229" s="24"/>
      <c r="J17229" s="24"/>
      <c r="K17229" s="24"/>
      <c r="L17229" s="24"/>
      <c r="M17229" s="24"/>
      <c r="N17229" s="24"/>
      <c r="O17229" s="24"/>
      <c r="P17229" s="24"/>
      <c r="Q17229" s="24"/>
      <c r="R17229" s="24"/>
      <c r="S17229" s="24"/>
      <c r="T17229" s="24"/>
      <c r="U17229" s="24"/>
      <c r="V17229" s="24"/>
      <c r="W17229" s="24"/>
      <c r="X17229" s="24"/>
      <c r="Y17229" s="24"/>
      <c r="Z17229" s="24"/>
      <c r="AA17229" s="24"/>
    </row>
    <row r="17230">
      <c r="A17230" s="24"/>
      <c r="B17230" s="25"/>
      <c r="C17230" s="24"/>
      <c r="D17230" s="26"/>
      <c r="E17230" s="24"/>
      <c r="F17230" s="24"/>
      <c r="G17230" s="24"/>
      <c r="H17230" s="24"/>
      <c r="I17230" s="24"/>
      <c r="J17230" s="24"/>
      <c r="K17230" s="24"/>
      <c r="L17230" s="24"/>
      <c r="M17230" s="24"/>
      <c r="N17230" s="24"/>
      <c r="O17230" s="24"/>
      <c r="P17230" s="24"/>
      <c r="Q17230" s="24"/>
      <c r="R17230" s="24"/>
      <c r="S17230" s="24"/>
      <c r="T17230" s="24"/>
      <c r="U17230" s="24"/>
      <c r="V17230" s="24"/>
      <c r="W17230" s="24"/>
      <c r="X17230" s="24"/>
      <c r="Y17230" s="24"/>
      <c r="Z17230" s="24"/>
      <c r="AA17230" s="24"/>
    </row>
    <row r="17231">
      <c r="A17231" s="24"/>
      <c r="B17231" s="25"/>
      <c r="C17231" s="24"/>
      <c r="D17231" s="26"/>
      <c r="E17231" s="24"/>
      <c r="F17231" s="24"/>
      <c r="G17231" s="24"/>
      <c r="H17231" s="24"/>
      <c r="I17231" s="24"/>
      <c r="J17231" s="24"/>
      <c r="K17231" s="24"/>
      <c r="L17231" s="24"/>
      <c r="M17231" s="24"/>
      <c r="N17231" s="24"/>
      <c r="O17231" s="24"/>
      <c r="P17231" s="24"/>
      <c r="Q17231" s="24"/>
      <c r="R17231" s="24"/>
      <c r="S17231" s="24"/>
      <c r="T17231" s="24"/>
      <c r="U17231" s="24"/>
      <c r="V17231" s="24"/>
      <c r="W17231" s="24"/>
      <c r="X17231" s="24"/>
      <c r="Y17231" s="24"/>
      <c r="Z17231" s="24"/>
      <c r="AA17231" s="24"/>
    </row>
    <row r="17232">
      <c r="A17232" s="24"/>
      <c r="B17232" s="25"/>
      <c r="C17232" s="24"/>
      <c r="D17232" s="26"/>
      <c r="E17232" s="24"/>
      <c r="F17232" s="24"/>
      <c r="G17232" s="24"/>
      <c r="H17232" s="24"/>
      <c r="I17232" s="24"/>
      <c r="J17232" s="24"/>
      <c r="K17232" s="24"/>
      <c r="L17232" s="24"/>
      <c r="M17232" s="24"/>
      <c r="N17232" s="24"/>
      <c r="O17232" s="24"/>
      <c r="P17232" s="24"/>
      <c r="Q17232" s="24"/>
      <c r="R17232" s="24"/>
      <c r="S17232" s="24"/>
      <c r="T17232" s="24"/>
      <c r="U17232" s="24"/>
      <c r="V17232" s="24"/>
      <c r="W17232" s="24"/>
      <c r="X17232" s="24"/>
      <c r="Y17232" s="24"/>
      <c r="Z17232" s="24"/>
      <c r="AA17232" s="24"/>
    </row>
    <row r="17233">
      <c r="A17233" s="24"/>
      <c r="B17233" s="25"/>
      <c r="C17233" s="24"/>
      <c r="D17233" s="26"/>
      <c r="E17233" s="24"/>
      <c r="F17233" s="24"/>
      <c r="G17233" s="24"/>
      <c r="H17233" s="24"/>
      <c r="I17233" s="24"/>
      <c r="J17233" s="24"/>
      <c r="K17233" s="24"/>
      <c r="L17233" s="24"/>
      <c r="M17233" s="24"/>
      <c r="N17233" s="24"/>
      <c r="O17233" s="24"/>
      <c r="P17233" s="24"/>
      <c r="Q17233" s="24"/>
      <c r="R17233" s="24"/>
      <c r="S17233" s="24"/>
      <c r="T17233" s="24"/>
      <c r="U17233" s="24"/>
      <c r="V17233" s="24"/>
      <c r="W17233" s="24"/>
      <c r="X17233" s="24"/>
      <c r="Y17233" s="24"/>
      <c r="Z17233" s="24"/>
      <c r="AA17233" s="24"/>
    </row>
    <row r="17234">
      <c r="A17234" s="24"/>
      <c r="B17234" s="25"/>
      <c r="C17234" s="24"/>
      <c r="D17234" s="26"/>
      <c r="E17234" s="24"/>
      <c r="F17234" s="24"/>
      <c r="G17234" s="24"/>
      <c r="H17234" s="24"/>
      <c r="I17234" s="24"/>
      <c r="J17234" s="24"/>
      <c r="K17234" s="24"/>
      <c r="L17234" s="24"/>
      <c r="M17234" s="24"/>
      <c r="N17234" s="24"/>
      <c r="O17234" s="24"/>
      <c r="P17234" s="24"/>
      <c r="Q17234" s="24"/>
      <c r="R17234" s="24"/>
      <c r="S17234" s="24"/>
      <c r="T17234" s="24"/>
      <c r="U17234" s="24"/>
      <c r="V17234" s="24"/>
      <c r="W17234" s="24"/>
      <c r="X17234" s="24"/>
      <c r="Y17234" s="24"/>
      <c r="Z17234" s="24"/>
      <c r="AA17234" s="24"/>
    </row>
    <row r="17235">
      <c r="A17235" s="24"/>
      <c r="B17235" s="25"/>
      <c r="C17235" s="24"/>
      <c r="D17235" s="26"/>
      <c r="E17235" s="24"/>
      <c r="F17235" s="24"/>
      <c r="G17235" s="24"/>
      <c r="H17235" s="24"/>
      <c r="I17235" s="24"/>
      <c r="J17235" s="24"/>
      <c r="K17235" s="24"/>
      <c r="L17235" s="24"/>
      <c r="M17235" s="24"/>
      <c r="N17235" s="24"/>
      <c r="O17235" s="24"/>
      <c r="P17235" s="24"/>
      <c r="Q17235" s="24"/>
      <c r="R17235" s="24"/>
      <c r="S17235" s="24"/>
      <c r="T17235" s="24"/>
      <c r="U17235" s="24"/>
      <c r="V17235" s="24"/>
      <c r="W17235" s="24"/>
      <c r="X17235" s="24"/>
      <c r="Y17235" s="24"/>
      <c r="Z17235" s="24"/>
      <c r="AA17235" s="24"/>
    </row>
    <row r="17236">
      <c r="A17236" s="24"/>
      <c r="B17236" s="25"/>
      <c r="C17236" s="24"/>
      <c r="D17236" s="26"/>
      <c r="E17236" s="24"/>
      <c r="F17236" s="24"/>
      <c r="G17236" s="24"/>
      <c r="H17236" s="24"/>
      <c r="I17236" s="24"/>
      <c r="J17236" s="24"/>
      <c r="K17236" s="24"/>
      <c r="L17236" s="24"/>
      <c r="M17236" s="24"/>
      <c r="N17236" s="24"/>
      <c r="O17236" s="24"/>
      <c r="P17236" s="24"/>
      <c r="Q17236" s="24"/>
      <c r="R17236" s="24"/>
      <c r="S17236" s="24"/>
      <c r="T17236" s="24"/>
      <c r="U17236" s="24"/>
      <c r="V17236" s="24"/>
      <c r="W17236" s="24"/>
      <c r="X17236" s="24"/>
      <c r="Y17236" s="24"/>
      <c r="Z17236" s="24"/>
      <c r="AA17236" s="24"/>
    </row>
    <row r="17237">
      <c r="A17237" s="24"/>
      <c r="B17237" s="25"/>
      <c r="C17237" s="24"/>
      <c r="D17237" s="26"/>
      <c r="E17237" s="24"/>
      <c r="F17237" s="24"/>
      <c r="G17237" s="24"/>
      <c r="H17237" s="24"/>
      <c r="I17237" s="24"/>
      <c r="J17237" s="24"/>
      <c r="K17237" s="24"/>
      <c r="L17237" s="24"/>
      <c r="M17237" s="24"/>
      <c r="N17237" s="24"/>
      <c r="O17237" s="24"/>
      <c r="P17237" s="24"/>
      <c r="Q17237" s="24"/>
      <c r="R17237" s="24"/>
      <c r="S17237" s="24"/>
      <c r="T17237" s="24"/>
      <c r="U17237" s="24"/>
      <c r="V17237" s="24"/>
      <c r="W17237" s="24"/>
      <c r="X17237" s="24"/>
      <c r="Y17237" s="24"/>
      <c r="Z17237" s="24"/>
      <c r="AA17237" s="24"/>
    </row>
    <row r="17238">
      <c r="A17238" s="24"/>
      <c r="B17238" s="25"/>
      <c r="C17238" s="24"/>
      <c r="D17238" s="26"/>
      <c r="E17238" s="24"/>
      <c r="F17238" s="24"/>
      <c r="G17238" s="24"/>
      <c r="H17238" s="24"/>
      <c r="I17238" s="24"/>
      <c r="J17238" s="24"/>
      <c r="K17238" s="24"/>
      <c r="L17238" s="24"/>
      <c r="M17238" s="24"/>
      <c r="N17238" s="24"/>
      <c r="O17238" s="24"/>
      <c r="P17238" s="24"/>
      <c r="Q17238" s="24"/>
      <c r="R17238" s="24"/>
      <c r="S17238" s="24"/>
      <c r="T17238" s="24"/>
      <c r="U17238" s="24"/>
      <c r="V17238" s="24"/>
      <c r="W17238" s="24"/>
      <c r="X17238" s="24"/>
      <c r="Y17238" s="24"/>
      <c r="Z17238" s="24"/>
      <c r="AA17238" s="24"/>
    </row>
    <row r="17239">
      <c r="A17239" s="24"/>
      <c r="B17239" s="25"/>
      <c r="C17239" s="24"/>
      <c r="D17239" s="26"/>
      <c r="E17239" s="24"/>
      <c r="F17239" s="24"/>
      <c r="G17239" s="24"/>
      <c r="H17239" s="24"/>
      <c r="I17239" s="24"/>
      <c r="J17239" s="24"/>
      <c r="K17239" s="24"/>
      <c r="L17239" s="24"/>
      <c r="M17239" s="24"/>
      <c r="N17239" s="24"/>
      <c r="O17239" s="24"/>
      <c r="P17239" s="24"/>
      <c r="Q17239" s="24"/>
      <c r="R17239" s="24"/>
      <c r="S17239" s="24"/>
      <c r="T17239" s="24"/>
      <c r="U17239" s="24"/>
      <c r="V17239" s="24"/>
      <c r="W17239" s="24"/>
      <c r="X17239" s="24"/>
      <c r="Y17239" s="24"/>
      <c r="Z17239" s="24"/>
      <c r="AA17239" s="24"/>
    </row>
    <row r="17240">
      <c r="A17240" s="24"/>
      <c r="B17240" s="25"/>
      <c r="C17240" s="24"/>
      <c r="D17240" s="26"/>
      <c r="E17240" s="24"/>
      <c r="F17240" s="24"/>
      <c r="G17240" s="24"/>
      <c r="H17240" s="24"/>
      <c r="I17240" s="24"/>
      <c r="J17240" s="24"/>
      <c r="K17240" s="24"/>
      <c r="L17240" s="24"/>
      <c r="M17240" s="24"/>
      <c r="N17240" s="24"/>
      <c r="O17240" s="24"/>
      <c r="P17240" s="24"/>
      <c r="Q17240" s="24"/>
      <c r="R17240" s="24"/>
      <c r="S17240" s="24"/>
      <c r="T17240" s="24"/>
      <c r="U17240" s="24"/>
      <c r="V17240" s="24"/>
      <c r="W17240" s="24"/>
      <c r="X17240" s="24"/>
      <c r="Y17240" s="24"/>
      <c r="Z17240" s="24"/>
      <c r="AA17240" s="24"/>
    </row>
    <row r="17241">
      <c r="A17241" s="24"/>
      <c r="B17241" s="25"/>
      <c r="C17241" s="24"/>
      <c r="D17241" s="26"/>
      <c r="E17241" s="24"/>
      <c r="F17241" s="24"/>
      <c r="G17241" s="24"/>
      <c r="H17241" s="24"/>
      <c r="I17241" s="24"/>
      <c r="J17241" s="24"/>
      <c r="K17241" s="24"/>
      <c r="L17241" s="24"/>
      <c r="M17241" s="24"/>
      <c r="N17241" s="24"/>
      <c r="O17241" s="24"/>
      <c r="P17241" s="24"/>
      <c r="Q17241" s="24"/>
      <c r="R17241" s="24"/>
      <c r="S17241" s="24"/>
      <c r="T17241" s="24"/>
      <c r="U17241" s="24"/>
      <c r="V17241" s="24"/>
      <c r="W17241" s="24"/>
      <c r="X17241" s="24"/>
      <c r="Y17241" s="24"/>
      <c r="Z17241" s="24"/>
      <c r="AA17241" s="24"/>
    </row>
    <row r="17242">
      <c r="A17242" s="24"/>
      <c r="B17242" s="25"/>
      <c r="C17242" s="24"/>
      <c r="D17242" s="26"/>
      <c r="E17242" s="24"/>
      <c r="F17242" s="24"/>
      <c r="G17242" s="24"/>
      <c r="H17242" s="24"/>
      <c r="I17242" s="24"/>
      <c r="J17242" s="24"/>
      <c r="K17242" s="24"/>
      <c r="L17242" s="24"/>
      <c r="M17242" s="24"/>
      <c r="N17242" s="24"/>
      <c r="O17242" s="24"/>
      <c r="P17242" s="24"/>
      <c r="Q17242" s="24"/>
      <c r="R17242" s="24"/>
      <c r="S17242" s="24"/>
      <c r="T17242" s="24"/>
      <c r="U17242" s="24"/>
      <c r="V17242" s="24"/>
      <c r="W17242" s="24"/>
      <c r="X17242" s="24"/>
      <c r="Y17242" s="24"/>
      <c r="Z17242" s="24"/>
      <c r="AA17242" s="24"/>
    </row>
    <row r="17243">
      <c r="A17243" s="24"/>
      <c r="B17243" s="25"/>
      <c r="C17243" s="24"/>
      <c r="D17243" s="26"/>
      <c r="E17243" s="24"/>
      <c r="F17243" s="24"/>
      <c r="G17243" s="24"/>
      <c r="H17243" s="24"/>
      <c r="I17243" s="24"/>
      <c r="J17243" s="24"/>
      <c r="K17243" s="24"/>
      <c r="L17243" s="24"/>
      <c r="M17243" s="24"/>
      <c r="N17243" s="24"/>
      <c r="O17243" s="24"/>
      <c r="P17243" s="24"/>
      <c r="Q17243" s="24"/>
      <c r="R17243" s="24"/>
      <c r="S17243" s="24"/>
      <c r="T17243" s="24"/>
      <c r="U17243" s="24"/>
      <c r="V17243" s="24"/>
      <c r="W17243" s="24"/>
      <c r="X17243" s="24"/>
      <c r="Y17243" s="24"/>
      <c r="Z17243" s="24"/>
      <c r="AA17243" s="24"/>
    </row>
    <row r="17244">
      <c r="A17244" s="24"/>
      <c r="B17244" s="25"/>
      <c r="C17244" s="24"/>
      <c r="D17244" s="26"/>
      <c r="E17244" s="24"/>
      <c r="F17244" s="24"/>
      <c r="G17244" s="24"/>
      <c r="H17244" s="24"/>
      <c r="I17244" s="24"/>
      <c r="J17244" s="24"/>
      <c r="K17244" s="24"/>
      <c r="L17244" s="24"/>
      <c r="M17244" s="24"/>
      <c r="N17244" s="24"/>
      <c r="O17244" s="24"/>
      <c r="P17244" s="24"/>
      <c r="Q17244" s="24"/>
      <c r="R17244" s="24"/>
      <c r="S17244" s="24"/>
      <c r="T17244" s="24"/>
      <c r="U17244" s="24"/>
      <c r="V17244" s="24"/>
      <c r="W17244" s="24"/>
      <c r="X17244" s="24"/>
      <c r="Y17244" s="24"/>
      <c r="Z17244" s="24"/>
      <c r="AA17244" s="24"/>
    </row>
    <row r="17245">
      <c r="A17245" s="24"/>
      <c r="B17245" s="25"/>
      <c r="C17245" s="24"/>
      <c r="D17245" s="26"/>
      <c r="E17245" s="24"/>
      <c r="F17245" s="24"/>
      <c r="G17245" s="24"/>
      <c r="H17245" s="24"/>
      <c r="I17245" s="24"/>
      <c r="J17245" s="24"/>
      <c r="K17245" s="24"/>
      <c r="L17245" s="24"/>
      <c r="M17245" s="24"/>
      <c r="N17245" s="24"/>
      <c r="O17245" s="24"/>
      <c r="P17245" s="24"/>
      <c r="Q17245" s="24"/>
      <c r="R17245" s="24"/>
      <c r="S17245" s="24"/>
      <c r="T17245" s="24"/>
      <c r="U17245" s="24"/>
      <c r="V17245" s="24"/>
      <c r="W17245" s="24"/>
      <c r="X17245" s="24"/>
      <c r="Y17245" s="24"/>
      <c r="Z17245" s="24"/>
      <c r="AA17245" s="24"/>
    </row>
    <row r="17246">
      <c r="A17246" s="24"/>
      <c r="B17246" s="25"/>
      <c r="C17246" s="24"/>
      <c r="D17246" s="26"/>
      <c r="E17246" s="24"/>
      <c r="F17246" s="24"/>
      <c r="G17246" s="24"/>
      <c r="H17246" s="24"/>
      <c r="I17246" s="24"/>
      <c r="J17246" s="24"/>
      <c r="K17246" s="24"/>
      <c r="L17246" s="24"/>
      <c r="M17246" s="24"/>
      <c r="N17246" s="24"/>
      <c r="O17246" s="24"/>
      <c r="P17246" s="24"/>
      <c r="Q17246" s="24"/>
      <c r="R17246" s="24"/>
      <c r="S17246" s="24"/>
      <c r="T17246" s="24"/>
      <c r="U17246" s="24"/>
      <c r="V17246" s="24"/>
      <c r="W17246" s="24"/>
      <c r="X17246" s="24"/>
      <c r="Y17246" s="24"/>
      <c r="Z17246" s="24"/>
      <c r="AA17246" s="24"/>
    </row>
    <row r="17247">
      <c r="A17247" s="24"/>
      <c r="B17247" s="25"/>
      <c r="C17247" s="24"/>
      <c r="D17247" s="26"/>
      <c r="E17247" s="24"/>
      <c r="F17247" s="24"/>
      <c r="G17247" s="24"/>
      <c r="H17247" s="24"/>
      <c r="I17247" s="24"/>
      <c r="J17247" s="24"/>
      <c r="K17247" s="24"/>
      <c r="L17247" s="24"/>
      <c r="M17247" s="24"/>
      <c r="N17247" s="24"/>
      <c r="O17247" s="24"/>
      <c r="P17247" s="24"/>
      <c r="Q17247" s="24"/>
      <c r="R17247" s="24"/>
      <c r="S17247" s="24"/>
      <c r="T17247" s="24"/>
      <c r="U17247" s="24"/>
      <c r="V17247" s="24"/>
      <c r="W17247" s="24"/>
      <c r="X17247" s="24"/>
      <c r="Y17247" s="24"/>
      <c r="Z17247" s="24"/>
      <c r="AA17247" s="24"/>
    </row>
    <row r="17248">
      <c r="A17248" s="24"/>
      <c r="B17248" s="25"/>
      <c r="C17248" s="24"/>
      <c r="D17248" s="26"/>
      <c r="E17248" s="24"/>
      <c r="F17248" s="24"/>
      <c r="G17248" s="24"/>
      <c r="H17248" s="24"/>
      <c r="I17248" s="24"/>
      <c r="J17248" s="24"/>
      <c r="K17248" s="24"/>
      <c r="L17248" s="24"/>
      <c r="M17248" s="24"/>
      <c r="N17248" s="24"/>
      <c r="O17248" s="24"/>
      <c r="P17248" s="24"/>
      <c r="Q17248" s="24"/>
      <c r="R17248" s="24"/>
      <c r="S17248" s="24"/>
      <c r="T17248" s="24"/>
      <c r="U17248" s="24"/>
      <c r="V17248" s="24"/>
      <c r="W17248" s="24"/>
      <c r="X17248" s="24"/>
      <c r="Y17248" s="24"/>
      <c r="Z17248" s="24"/>
      <c r="AA17248" s="24"/>
    </row>
    <row r="17249">
      <c r="A17249" s="24"/>
      <c r="B17249" s="25"/>
      <c r="C17249" s="24"/>
      <c r="D17249" s="26"/>
      <c r="E17249" s="24"/>
      <c r="F17249" s="24"/>
      <c r="G17249" s="24"/>
      <c r="H17249" s="24"/>
      <c r="I17249" s="24"/>
      <c r="J17249" s="24"/>
      <c r="K17249" s="24"/>
      <c r="L17249" s="24"/>
      <c r="M17249" s="24"/>
      <c r="N17249" s="24"/>
      <c r="O17249" s="24"/>
      <c r="P17249" s="24"/>
      <c r="Q17249" s="24"/>
      <c r="R17249" s="24"/>
      <c r="S17249" s="24"/>
      <c r="T17249" s="24"/>
      <c r="U17249" s="24"/>
      <c r="V17249" s="24"/>
      <c r="W17249" s="24"/>
      <c r="X17249" s="24"/>
      <c r="Y17249" s="24"/>
      <c r="Z17249" s="24"/>
      <c r="AA17249" s="24"/>
    </row>
    <row r="17250">
      <c r="A17250" s="24"/>
      <c r="B17250" s="25"/>
      <c r="C17250" s="24"/>
      <c r="D17250" s="26"/>
      <c r="E17250" s="24"/>
      <c r="F17250" s="24"/>
      <c r="G17250" s="24"/>
      <c r="H17250" s="24"/>
      <c r="I17250" s="24"/>
      <c r="J17250" s="24"/>
      <c r="K17250" s="24"/>
      <c r="L17250" s="24"/>
      <c r="M17250" s="24"/>
      <c r="N17250" s="24"/>
      <c r="O17250" s="24"/>
      <c r="P17250" s="24"/>
      <c r="Q17250" s="24"/>
      <c r="R17250" s="24"/>
      <c r="S17250" s="24"/>
      <c r="T17250" s="24"/>
      <c r="U17250" s="24"/>
      <c r="V17250" s="24"/>
      <c r="W17250" s="24"/>
      <c r="X17250" s="24"/>
      <c r="Y17250" s="24"/>
      <c r="Z17250" s="24"/>
      <c r="AA17250" s="24"/>
    </row>
    <row r="17251">
      <c r="A17251" s="24"/>
      <c r="B17251" s="25"/>
      <c r="C17251" s="24"/>
      <c r="D17251" s="26"/>
      <c r="E17251" s="24"/>
      <c r="F17251" s="24"/>
      <c r="G17251" s="24"/>
      <c r="H17251" s="24"/>
      <c r="I17251" s="24"/>
      <c r="J17251" s="24"/>
      <c r="K17251" s="24"/>
      <c r="L17251" s="24"/>
      <c r="M17251" s="24"/>
      <c r="N17251" s="24"/>
      <c r="O17251" s="24"/>
      <c r="P17251" s="24"/>
      <c r="Q17251" s="24"/>
      <c r="R17251" s="24"/>
      <c r="S17251" s="24"/>
      <c r="T17251" s="24"/>
      <c r="U17251" s="24"/>
      <c r="V17251" s="24"/>
      <c r="W17251" s="24"/>
      <c r="X17251" s="24"/>
      <c r="Y17251" s="24"/>
      <c r="Z17251" s="24"/>
      <c r="AA17251" s="24"/>
    </row>
    <row r="17252">
      <c r="A17252" s="24"/>
      <c r="B17252" s="25"/>
      <c r="C17252" s="24"/>
      <c r="D17252" s="26"/>
      <c r="E17252" s="24"/>
      <c r="F17252" s="24"/>
      <c r="G17252" s="24"/>
      <c r="H17252" s="24"/>
      <c r="I17252" s="24"/>
      <c r="J17252" s="24"/>
      <c r="K17252" s="24"/>
      <c r="L17252" s="24"/>
      <c r="M17252" s="24"/>
      <c r="N17252" s="24"/>
      <c r="O17252" s="24"/>
      <c r="P17252" s="24"/>
      <c r="Q17252" s="24"/>
      <c r="R17252" s="24"/>
      <c r="S17252" s="24"/>
      <c r="T17252" s="24"/>
      <c r="U17252" s="24"/>
      <c r="V17252" s="24"/>
      <c r="W17252" s="24"/>
      <c r="X17252" s="24"/>
      <c r="Y17252" s="24"/>
      <c r="Z17252" s="24"/>
      <c r="AA17252" s="24"/>
    </row>
    <row r="17253">
      <c r="A17253" s="24"/>
      <c r="B17253" s="25"/>
      <c r="C17253" s="24"/>
      <c r="D17253" s="26"/>
      <c r="E17253" s="24"/>
      <c r="F17253" s="24"/>
      <c r="G17253" s="24"/>
      <c r="H17253" s="24"/>
      <c r="I17253" s="24"/>
      <c r="J17253" s="24"/>
      <c r="K17253" s="24"/>
      <c r="L17253" s="24"/>
      <c r="M17253" s="24"/>
      <c r="N17253" s="24"/>
      <c r="O17253" s="24"/>
      <c r="P17253" s="24"/>
      <c r="Q17253" s="24"/>
      <c r="R17253" s="24"/>
      <c r="S17253" s="24"/>
      <c r="T17253" s="24"/>
      <c r="U17253" s="24"/>
      <c r="V17253" s="24"/>
      <c r="W17253" s="24"/>
      <c r="X17253" s="24"/>
      <c r="Y17253" s="24"/>
      <c r="Z17253" s="24"/>
      <c r="AA17253" s="24"/>
    </row>
    <row r="17254">
      <c r="A17254" s="24"/>
      <c r="B17254" s="25"/>
      <c r="C17254" s="24"/>
      <c r="D17254" s="26"/>
      <c r="E17254" s="24"/>
      <c r="F17254" s="24"/>
      <c r="G17254" s="24"/>
      <c r="H17254" s="24"/>
      <c r="I17254" s="24"/>
      <c r="J17254" s="24"/>
      <c r="K17254" s="24"/>
      <c r="L17254" s="24"/>
      <c r="M17254" s="24"/>
      <c r="N17254" s="24"/>
      <c r="O17254" s="24"/>
      <c r="P17254" s="24"/>
      <c r="Q17254" s="24"/>
      <c r="R17254" s="24"/>
      <c r="S17254" s="24"/>
      <c r="T17254" s="24"/>
      <c r="U17254" s="24"/>
      <c r="V17254" s="24"/>
      <c r="W17254" s="24"/>
      <c r="X17254" s="24"/>
      <c r="Y17254" s="24"/>
      <c r="Z17254" s="24"/>
      <c r="AA17254" s="24"/>
    </row>
    <row r="17255">
      <c r="A17255" s="24"/>
      <c r="B17255" s="25"/>
      <c r="C17255" s="24"/>
      <c r="D17255" s="26"/>
      <c r="E17255" s="24"/>
      <c r="F17255" s="24"/>
      <c r="G17255" s="24"/>
      <c r="H17255" s="24"/>
      <c r="I17255" s="24"/>
      <c r="J17255" s="24"/>
      <c r="K17255" s="24"/>
      <c r="L17255" s="24"/>
      <c r="M17255" s="24"/>
      <c r="N17255" s="24"/>
      <c r="O17255" s="24"/>
      <c r="P17255" s="24"/>
      <c r="Q17255" s="24"/>
      <c r="R17255" s="24"/>
      <c r="S17255" s="24"/>
      <c r="T17255" s="24"/>
      <c r="U17255" s="24"/>
      <c r="V17255" s="24"/>
      <c r="W17255" s="24"/>
      <c r="X17255" s="24"/>
      <c r="Y17255" s="24"/>
      <c r="Z17255" s="24"/>
      <c r="AA17255" s="24"/>
    </row>
    <row r="17256">
      <c r="A17256" s="24"/>
      <c r="B17256" s="25"/>
      <c r="C17256" s="24"/>
      <c r="D17256" s="26"/>
      <c r="E17256" s="24"/>
      <c r="F17256" s="24"/>
      <c r="G17256" s="24"/>
      <c r="H17256" s="24"/>
      <c r="I17256" s="24"/>
      <c r="J17256" s="24"/>
      <c r="K17256" s="24"/>
      <c r="L17256" s="24"/>
      <c r="M17256" s="24"/>
      <c r="N17256" s="24"/>
      <c r="O17256" s="24"/>
      <c r="P17256" s="24"/>
      <c r="Q17256" s="24"/>
      <c r="R17256" s="24"/>
      <c r="S17256" s="24"/>
      <c r="T17256" s="24"/>
      <c r="U17256" s="24"/>
      <c r="V17256" s="24"/>
      <c r="W17256" s="24"/>
      <c r="X17256" s="24"/>
      <c r="Y17256" s="24"/>
      <c r="Z17256" s="24"/>
      <c r="AA17256" s="24"/>
    </row>
    <row r="17257">
      <c r="A17257" s="24"/>
      <c r="B17257" s="25"/>
      <c r="C17257" s="24"/>
      <c r="D17257" s="26"/>
      <c r="E17257" s="24"/>
      <c r="F17257" s="24"/>
      <c r="G17257" s="24"/>
      <c r="H17257" s="24"/>
      <c r="I17257" s="24"/>
      <c r="J17257" s="24"/>
      <c r="K17257" s="24"/>
      <c r="L17257" s="24"/>
      <c r="M17257" s="24"/>
      <c r="N17257" s="24"/>
      <c r="O17257" s="24"/>
      <c r="P17257" s="24"/>
      <c r="Q17257" s="24"/>
      <c r="R17257" s="24"/>
      <c r="S17257" s="24"/>
      <c r="T17257" s="24"/>
      <c r="U17257" s="24"/>
      <c r="V17257" s="24"/>
      <c r="W17257" s="24"/>
      <c r="X17257" s="24"/>
      <c r="Y17257" s="24"/>
      <c r="Z17257" s="24"/>
      <c r="AA17257" s="24"/>
    </row>
    <row r="17258">
      <c r="A17258" s="24"/>
      <c r="B17258" s="25"/>
      <c r="C17258" s="24"/>
      <c r="D17258" s="26"/>
      <c r="E17258" s="24"/>
      <c r="F17258" s="24"/>
      <c r="G17258" s="24"/>
      <c r="H17258" s="24"/>
      <c r="I17258" s="24"/>
      <c r="J17258" s="24"/>
      <c r="K17258" s="24"/>
      <c r="L17258" s="24"/>
      <c r="M17258" s="24"/>
      <c r="N17258" s="24"/>
      <c r="O17258" s="24"/>
      <c r="P17258" s="24"/>
      <c r="Q17258" s="24"/>
      <c r="R17258" s="24"/>
      <c r="S17258" s="24"/>
      <c r="T17258" s="24"/>
      <c r="U17258" s="24"/>
      <c r="V17258" s="24"/>
      <c r="W17258" s="24"/>
      <c r="X17258" s="24"/>
      <c r="Y17258" s="24"/>
      <c r="Z17258" s="24"/>
      <c r="AA17258" s="24"/>
    </row>
    <row r="17259">
      <c r="A17259" s="24"/>
      <c r="B17259" s="25"/>
      <c r="C17259" s="24"/>
      <c r="D17259" s="26"/>
      <c r="E17259" s="24"/>
      <c r="F17259" s="24"/>
      <c r="G17259" s="24"/>
      <c r="H17259" s="24"/>
      <c r="I17259" s="24"/>
      <c r="J17259" s="24"/>
      <c r="K17259" s="24"/>
      <c r="L17259" s="24"/>
      <c r="M17259" s="24"/>
      <c r="N17259" s="24"/>
      <c r="O17259" s="24"/>
      <c r="P17259" s="24"/>
      <c r="Q17259" s="24"/>
      <c r="R17259" s="24"/>
      <c r="S17259" s="24"/>
      <c r="T17259" s="24"/>
      <c r="U17259" s="24"/>
      <c r="V17259" s="24"/>
      <c r="W17259" s="24"/>
      <c r="X17259" s="24"/>
      <c r="Y17259" s="24"/>
      <c r="Z17259" s="24"/>
      <c r="AA17259" s="24"/>
    </row>
    <row r="17260">
      <c r="A17260" s="24"/>
      <c r="B17260" s="25"/>
      <c r="C17260" s="24"/>
      <c r="D17260" s="26"/>
      <c r="E17260" s="24"/>
      <c r="F17260" s="24"/>
      <c r="G17260" s="24"/>
      <c r="H17260" s="24"/>
      <c r="I17260" s="24"/>
      <c r="J17260" s="24"/>
      <c r="K17260" s="24"/>
      <c r="L17260" s="24"/>
      <c r="M17260" s="24"/>
      <c r="N17260" s="24"/>
      <c r="O17260" s="24"/>
      <c r="P17260" s="24"/>
      <c r="Q17260" s="24"/>
      <c r="R17260" s="24"/>
      <c r="S17260" s="24"/>
      <c r="T17260" s="24"/>
      <c r="U17260" s="24"/>
      <c r="V17260" s="24"/>
      <c r="W17260" s="24"/>
      <c r="X17260" s="24"/>
      <c r="Y17260" s="24"/>
      <c r="Z17260" s="24"/>
      <c r="AA17260" s="24"/>
    </row>
    <row r="17261">
      <c r="A17261" s="24"/>
      <c r="B17261" s="25"/>
      <c r="C17261" s="24"/>
      <c r="D17261" s="26"/>
      <c r="E17261" s="24"/>
      <c r="F17261" s="24"/>
      <c r="G17261" s="24"/>
      <c r="H17261" s="24"/>
      <c r="I17261" s="24"/>
      <c r="J17261" s="24"/>
      <c r="K17261" s="24"/>
      <c r="L17261" s="24"/>
      <c r="M17261" s="24"/>
      <c r="N17261" s="24"/>
      <c r="O17261" s="24"/>
      <c r="P17261" s="24"/>
      <c r="Q17261" s="24"/>
      <c r="R17261" s="24"/>
      <c r="S17261" s="24"/>
      <c r="T17261" s="24"/>
      <c r="U17261" s="24"/>
      <c r="V17261" s="24"/>
      <c r="W17261" s="24"/>
      <c r="X17261" s="24"/>
      <c r="Y17261" s="24"/>
      <c r="Z17261" s="24"/>
      <c r="AA17261" s="24"/>
    </row>
    <row r="17262">
      <c r="A17262" s="24"/>
      <c r="B17262" s="25"/>
      <c r="C17262" s="24"/>
      <c r="D17262" s="26"/>
      <c r="E17262" s="24"/>
      <c r="F17262" s="24"/>
      <c r="G17262" s="24"/>
      <c r="H17262" s="24"/>
      <c r="I17262" s="24"/>
      <c r="J17262" s="24"/>
      <c r="K17262" s="24"/>
      <c r="L17262" s="24"/>
      <c r="M17262" s="24"/>
      <c r="N17262" s="24"/>
      <c r="O17262" s="24"/>
      <c r="P17262" s="24"/>
      <c r="Q17262" s="24"/>
      <c r="R17262" s="24"/>
      <c r="S17262" s="24"/>
      <c r="T17262" s="24"/>
      <c r="U17262" s="24"/>
      <c r="V17262" s="24"/>
      <c r="W17262" s="24"/>
      <c r="X17262" s="24"/>
      <c r="Y17262" s="24"/>
      <c r="Z17262" s="24"/>
      <c r="AA17262" s="24"/>
    </row>
    <row r="17263">
      <c r="A17263" s="24"/>
      <c r="B17263" s="25"/>
      <c r="C17263" s="24"/>
      <c r="D17263" s="26"/>
      <c r="E17263" s="24"/>
      <c r="F17263" s="24"/>
      <c r="G17263" s="24"/>
      <c r="H17263" s="24"/>
      <c r="I17263" s="24"/>
      <c r="J17263" s="24"/>
      <c r="K17263" s="24"/>
      <c r="L17263" s="24"/>
      <c r="M17263" s="24"/>
      <c r="N17263" s="24"/>
      <c r="O17263" s="24"/>
      <c r="P17263" s="24"/>
      <c r="Q17263" s="24"/>
      <c r="R17263" s="24"/>
      <c r="S17263" s="24"/>
      <c r="T17263" s="24"/>
      <c r="U17263" s="24"/>
      <c r="V17263" s="24"/>
      <c r="W17263" s="24"/>
      <c r="X17263" s="24"/>
      <c r="Y17263" s="24"/>
      <c r="Z17263" s="24"/>
      <c r="AA17263" s="24"/>
    </row>
    <row r="17264">
      <c r="A17264" s="24"/>
      <c r="B17264" s="25"/>
      <c r="C17264" s="24"/>
      <c r="D17264" s="26"/>
      <c r="E17264" s="24"/>
      <c r="F17264" s="24"/>
      <c r="G17264" s="24"/>
      <c r="H17264" s="24"/>
      <c r="I17264" s="24"/>
      <c r="J17264" s="24"/>
      <c r="K17264" s="24"/>
      <c r="L17264" s="24"/>
      <c r="M17264" s="24"/>
      <c r="N17264" s="24"/>
      <c r="O17264" s="24"/>
      <c r="P17264" s="24"/>
      <c r="Q17264" s="24"/>
      <c r="R17264" s="24"/>
      <c r="S17264" s="24"/>
      <c r="T17264" s="24"/>
      <c r="U17264" s="24"/>
      <c r="V17264" s="24"/>
      <c r="W17264" s="24"/>
      <c r="X17264" s="24"/>
      <c r="Y17264" s="24"/>
      <c r="Z17264" s="24"/>
      <c r="AA17264" s="24"/>
    </row>
    <row r="17265">
      <c r="A17265" s="24"/>
      <c r="B17265" s="25"/>
      <c r="C17265" s="24"/>
      <c r="D17265" s="26"/>
      <c r="E17265" s="24"/>
      <c r="F17265" s="24"/>
      <c r="G17265" s="24"/>
      <c r="H17265" s="24"/>
      <c r="I17265" s="24"/>
      <c r="J17265" s="24"/>
      <c r="K17265" s="24"/>
      <c r="L17265" s="24"/>
      <c r="M17265" s="24"/>
      <c r="N17265" s="24"/>
      <c r="O17265" s="24"/>
      <c r="P17265" s="24"/>
      <c r="Q17265" s="24"/>
      <c r="R17265" s="24"/>
      <c r="S17265" s="24"/>
      <c r="T17265" s="24"/>
      <c r="U17265" s="24"/>
      <c r="V17265" s="24"/>
      <c r="W17265" s="24"/>
      <c r="X17265" s="24"/>
      <c r="Y17265" s="24"/>
      <c r="Z17265" s="24"/>
      <c r="AA17265" s="24"/>
    </row>
    <row r="17266">
      <c r="A17266" s="24"/>
      <c r="B17266" s="25"/>
      <c r="C17266" s="24"/>
      <c r="D17266" s="26"/>
      <c r="E17266" s="24"/>
      <c r="F17266" s="24"/>
      <c r="G17266" s="24"/>
      <c r="H17266" s="24"/>
      <c r="I17266" s="24"/>
      <c r="J17266" s="24"/>
      <c r="K17266" s="24"/>
      <c r="L17266" s="24"/>
      <c r="M17266" s="24"/>
      <c r="N17266" s="24"/>
      <c r="O17266" s="24"/>
      <c r="P17266" s="24"/>
      <c r="Q17266" s="24"/>
      <c r="R17266" s="24"/>
      <c r="S17266" s="24"/>
      <c r="T17266" s="24"/>
      <c r="U17266" s="24"/>
      <c r="V17266" s="24"/>
      <c r="W17266" s="24"/>
      <c r="X17266" s="24"/>
      <c r="Y17266" s="24"/>
      <c r="Z17266" s="24"/>
      <c r="AA17266" s="24"/>
    </row>
    <row r="17267">
      <c r="A17267" s="24"/>
      <c r="B17267" s="25"/>
      <c r="C17267" s="24"/>
      <c r="D17267" s="26"/>
      <c r="E17267" s="24"/>
      <c r="F17267" s="24"/>
      <c r="G17267" s="24"/>
      <c r="H17267" s="24"/>
      <c r="I17267" s="24"/>
      <c r="J17267" s="24"/>
      <c r="K17267" s="24"/>
      <c r="L17267" s="24"/>
      <c r="M17267" s="24"/>
      <c r="N17267" s="24"/>
      <c r="O17267" s="24"/>
      <c r="P17267" s="24"/>
      <c r="Q17267" s="24"/>
      <c r="R17267" s="24"/>
      <c r="S17267" s="24"/>
      <c r="T17267" s="24"/>
      <c r="U17267" s="24"/>
      <c r="V17267" s="24"/>
      <c r="W17267" s="24"/>
      <c r="X17267" s="24"/>
      <c r="Y17267" s="24"/>
      <c r="Z17267" s="24"/>
      <c r="AA17267" s="24"/>
    </row>
    <row r="17268">
      <c r="A17268" s="24"/>
      <c r="B17268" s="25"/>
      <c r="C17268" s="24"/>
      <c r="D17268" s="26"/>
      <c r="E17268" s="24"/>
      <c r="F17268" s="24"/>
      <c r="G17268" s="24"/>
      <c r="H17268" s="24"/>
      <c r="I17268" s="24"/>
      <c r="J17268" s="24"/>
      <c r="K17268" s="24"/>
      <c r="L17268" s="24"/>
      <c r="M17268" s="24"/>
      <c r="N17268" s="24"/>
      <c r="O17268" s="24"/>
      <c r="P17268" s="24"/>
      <c r="Q17268" s="24"/>
      <c r="R17268" s="24"/>
      <c r="S17268" s="24"/>
      <c r="T17268" s="24"/>
      <c r="U17268" s="24"/>
      <c r="V17268" s="24"/>
      <c r="W17268" s="24"/>
      <c r="X17268" s="24"/>
      <c r="Y17268" s="24"/>
      <c r="Z17268" s="24"/>
      <c r="AA17268" s="24"/>
    </row>
    <row r="17269">
      <c r="A17269" s="24"/>
      <c r="B17269" s="25"/>
      <c r="C17269" s="24"/>
      <c r="D17269" s="26"/>
      <c r="E17269" s="24"/>
      <c r="F17269" s="24"/>
      <c r="G17269" s="24"/>
      <c r="H17269" s="24"/>
      <c r="I17269" s="24"/>
      <c r="J17269" s="24"/>
      <c r="K17269" s="24"/>
      <c r="L17269" s="24"/>
      <c r="M17269" s="24"/>
      <c r="N17269" s="24"/>
      <c r="O17269" s="24"/>
      <c r="P17269" s="24"/>
      <c r="Q17269" s="24"/>
      <c r="R17269" s="24"/>
      <c r="S17269" s="24"/>
      <c r="T17269" s="24"/>
      <c r="U17269" s="24"/>
      <c r="V17269" s="24"/>
      <c r="W17269" s="24"/>
      <c r="X17269" s="24"/>
      <c r="Y17269" s="24"/>
      <c r="Z17269" s="24"/>
      <c r="AA17269" s="24"/>
    </row>
    <row r="17270">
      <c r="A17270" s="24"/>
      <c r="B17270" s="25"/>
      <c r="C17270" s="24"/>
      <c r="D17270" s="26"/>
      <c r="E17270" s="24"/>
      <c r="F17270" s="24"/>
      <c r="G17270" s="24"/>
      <c r="H17270" s="24"/>
      <c r="I17270" s="24"/>
      <c r="J17270" s="24"/>
      <c r="K17270" s="24"/>
      <c r="L17270" s="24"/>
      <c r="M17270" s="24"/>
      <c r="N17270" s="24"/>
      <c r="O17270" s="24"/>
      <c r="P17270" s="24"/>
      <c r="Q17270" s="24"/>
      <c r="R17270" s="24"/>
      <c r="S17270" s="24"/>
      <c r="T17270" s="24"/>
      <c r="U17270" s="24"/>
      <c r="V17270" s="24"/>
      <c r="W17270" s="24"/>
      <c r="X17270" s="24"/>
      <c r="Y17270" s="24"/>
      <c r="Z17270" s="24"/>
      <c r="AA17270" s="24"/>
    </row>
    <row r="17271">
      <c r="A17271" s="24"/>
      <c r="B17271" s="25"/>
      <c r="C17271" s="24"/>
      <c r="D17271" s="26"/>
      <c r="E17271" s="24"/>
      <c r="F17271" s="24"/>
      <c r="G17271" s="24"/>
      <c r="H17271" s="24"/>
      <c r="I17271" s="24"/>
      <c r="J17271" s="24"/>
      <c r="K17271" s="24"/>
      <c r="L17271" s="24"/>
      <c r="M17271" s="24"/>
      <c r="N17271" s="24"/>
      <c r="O17271" s="24"/>
      <c r="P17271" s="24"/>
      <c r="Q17271" s="24"/>
      <c r="R17271" s="24"/>
      <c r="S17271" s="24"/>
      <c r="T17271" s="24"/>
      <c r="U17271" s="24"/>
      <c r="V17271" s="24"/>
      <c r="W17271" s="24"/>
      <c r="X17271" s="24"/>
      <c r="Y17271" s="24"/>
      <c r="Z17271" s="24"/>
      <c r="AA17271" s="24"/>
    </row>
    <row r="17272">
      <c r="A17272" s="24"/>
      <c r="B17272" s="25"/>
      <c r="C17272" s="24"/>
      <c r="D17272" s="26"/>
      <c r="E17272" s="24"/>
      <c r="F17272" s="24"/>
      <c r="G17272" s="24"/>
      <c r="H17272" s="24"/>
      <c r="I17272" s="24"/>
      <c r="J17272" s="24"/>
      <c r="K17272" s="24"/>
      <c r="L17272" s="24"/>
      <c r="M17272" s="24"/>
      <c r="N17272" s="24"/>
      <c r="O17272" s="24"/>
      <c r="P17272" s="24"/>
      <c r="Q17272" s="24"/>
      <c r="R17272" s="24"/>
      <c r="S17272" s="24"/>
      <c r="T17272" s="24"/>
      <c r="U17272" s="24"/>
      <c r="V17272" s="24"/>
      <c r="W17272" s="24"/>
      <c r="X17272" s="24"/>
      <c r="Y17272" s="24"/>
      <c r="Z17272" s="24"/>
      <c r="AA17272" s="24"/>
    </row>
    <row r="17273">
      <c r="A17273" s="24"/>
      <c r="B17273" s="25"/>
      <c r="C17273" s="24"/>
      <c r="D17273" s="26"/>
      <c r="E17273" s="24"/>
      <c r="F17273" s="24"/>
      <c r="G17273" s="24"/>
      <c r="H17273" s="24"/>
      <c r="I17273" s="24"/>
      <c r="J17273" s="24"/>
      <c r="K17273" s="24"/>
      <c r="L17273" s="24"/>
      <c r="M17273" s="24"/>
      <c r="N17273" s="24"/>
      <c r="O17273" s="24"/>
      <c r="P17273" s="24"/>
      <c r="Q17273" s="24"/>
      <c r="R17273" s="24"/>
      <c r="S17273" s="24"/>
      <c r="T17273" s="24"/>
      <c r="U17273" s="24"/>
      <c r="V17273" s="24"/>
      <c r="W17273" s="24"/>
      <c r="X17273" s="24"/>
      <c r="Y17273" s="24"/>
      <c r="Z17273" s="24"/>
      <c r="AA17273" s="24"/>
    </row>
    <row r="17274">
      <c r="A17274" s="24"/>
      <c r="B17274" s="25"/>
      <c r="C17274" s="24"/>
      <c r="D17274" s="26"/>
      <c r="E17274" s="24"/>
      <c r="F17274" s="24"/>
      <c r="G17274" s="24"/>
      <c r="H17274" s="24"/>
      <c r="I17274" s="24"/>
      <c r="J17274" s="24"/>
      <c r="K17274" s="24"/>
      <c r="L17274" s="24"/>
      <c r="M17274" s="24"/>
      <c r="N17274" s="24"/>
      <c r="O17274" s="24"/>
      <c r="P17274" s="24"/>
      <c r="Q17274" s="24"/>
      <c r="R17274" s="24"/>
      <c r="S17274" s="24"/>
      <c r="T17274" s="24"/>
      <c r="U17274" s="24"/>
      <c r="V17274" s="24"/>
      <c r="W17274" s="24"/>
      <c r="X17274" s="24"/>
      <c r="Y17274" s="24"/>
      <c r="Z17274" s="24"/>
      <c r="AA17274" s="24"/>
    </row>
    <row r="17275">
      <c r="A17275" s="24"/>
      <c r="B17275" s="25"/>
      <c r="C17275" s="24"/>
      <c r="D17275" s="26"/>
      <c r="E17275" s="24"/>
      <c r="F17275" s="24"/>
      <c r="G17275" s="24"/>
      <c r="H17275" s="24"/>
      <c r="I17275" s="24"/>
      <c r="J17275" s="24"/>
      <c r="K17275" s="24"/>
      <c r="L17275" s="24"/>
      <c r="M17275" s="24"/>
      <c r="N17275" s="24"/>
      <c r="O17275" s="24"/>
      <c r="P17275" s="24"/>
      <c r="Q17275" s="24"/>
      <c r="R17275" s="24"/>
      <c r="S17275" s="24"/>
      <c r="T17275" s="24"/>
      <c r="U17275" s="24"/>
      <c r="V17275" s="24"/>
      <c r="W17275" s="24"/>
      <c r="X17275" s="24"/>
      <c r="Y17275" s="24"/>
      <c r="Z17275" s="24"/>
      <c r="AA17275" s="24"/>
    </row>
    <row r="17276">
      <c r="A17276" s="24"/>
      <c r="B17276" s="25"/>
      <c r="C17276" s="24"/>
      <c r="D17276" s="26"/>
      <c r="E17276" s="24"/>
      <c r="F17276" s="24"/>
      <c r="G17276" s="24"/>
      <c r="H17276" s="24"/>
      <c r="I17276" s="24"/>
      <c r="J17276" s="24"/>
      <c r="K17276" s="24"/>
      <c r="L17276" s="24"/>
      <c r="M17276" s="24"/>
      <c r="N17276" s="24"/>
      <c r="O17276" s="24"/>
      <c r="P17276" s="24"/>
      <c r="Q17276" s="24"/>
      <c r="R17276" s="24"/>
      <c r="S17276" s="24"/>
      <c r="T17276" s="24"/>
      <c r="U17276" s="24"/>
      <c r="V17276" s="24"/>
      <c r="W17276" s="24"/>
      <c r="X17276" s="24"/>
      <c r="Y17276" s="24"/>
      <c r="Z17276" s="24"/>
      <c r="AA17276" s="24"/>
    </row>
    <row r="17277">
      <c r="A17277" s="24"/>
      <c r="B17277" s="25"/>
      <c r="C17277" s="24"/>
      <c r="D17277" s="26"/>
      <c r="E17277" s="24"/>
      <c r="F17277" s="24"/>
      <c r="G17277" s="24"/>
      <c r="H17277" s="24"/>
      <c r="I17277" s="24"/>
      <c r="J17277" s="24"/>
      <c r="K17277" s="24"/>
      <c r="L17277" s="24"/>
      <c r="M17277" s="24"/>
      <c r="N17277" s="24"/>
      <c r="O17277" s="24"/>
      <c r="P17277" s="24"/>
      <c r="Q17277" s="24"/>
      <c r="R17277" s="24"/>
      <c r="S17277" s="24"/>
      <c r="T17277" s="24"/>
      <c r="U17277" s="24"/>
      <c r="V17277" s="24"/>
      <c r="W17277" s="24"/>
      <c r="X17277" s="24"/>
      <c r="Y17277" s="24"/>
      <c r="Z17277" s="24"/>
      <c r="AA17277" s="24"/>
    </row>
    <row r="17278">
      <c r="A17278" s="24"/>
      <c r="B17278" s="25"/>
      <c r="C17278" s="24"/>
      <c r="D17278" s="26"/>
      <c r="E17278" s="24"/>
      <c r="F17278" s="24"/>
      <c r="G17278" s="24"/>
      <c r="H17278" s="24"/>
      <c r="I17278" s="24"/>
      <c r="J17278" s="24"/>
      <c r="K17278" s="24"/>
      <c r="L17278" s="24"/>
      <c r="M17278" s="24"/>
      <c r="N17278" s="24"/>
      <c r="O17278" s="24"/>
      <c r="P17278" s="24"/>
      <c r="Q17278" s="24"/>
      <c r="R17278" s="24"/>
      <c r="S17278" s="24"/>
      <c r="T17278" s="24"/>
      <c r="U17278" s="24"/>
      <c r="V17278" s="24"/>
      <c r="W17278" s="24"/>
      <c r="X17278" s="24"/>
      <c r="Y17278" s="24"/>
      <c r="Z17278" s="24"/>
      <c r="AA17278" s="24"/>
    </row>
    <row r="17279">
      <c r="A17279" s="24"/>
      <c r="B17279" s="25"/>
      <c r="C17279" s="24"/>
      <c r="D17279" s="26"/>
      <c r="E17279" s="24"/>
      <c r="F17279" s="24"/>
      <c r="G17279" s="24"/>
      <c r="H17279" s="24"/>
      <c r="I17279" s="24"/>
      <c r="J17279" s="24"/>
      <c r="K17279" s="24"/>
      <c r="L17279" s="24"/>
      <c r="M17279" s="24"/>
      <c r="N17279" s="24"/>
      <c r="O17279" s="24"/>
      <c r="P17279" s="24"/>
      <c r="Q17279" s="24"/>
      <c r="R17279" s="24"/>
      <c r="S17279" s="24"/>
      <c r="T17279" s="24"/>
      <c r="U17279" s="24"/>
      <c r="V17279" s="24"/>
      <c r="W17279" s="24"/>
      <c r="X17279" s="24"/>
      <c r="Y17279" s="24"/>
      <c r="Z17279" s="24"/>
      <c r="AA17279" s="24"/>
    </row>
    <row r="17280">
      <c r="A17280" s="24"/>
      <c r="B17280" s="25"/>
      <c r="C17280" s="24"/>
      <c r="D17280" s="26"/>
      <c r="E17280" s="24"/>
      <c r="F17280" s="24"/>
      <c r="G17280" s="24"/>
      <c r="H17280" s="24"/>
      <c r="I17280" s="24"/>
      <c r="J17280" s="24"/>
      <c r="K17280" s="24"/>
      <c r="L17280" s="24"/>
      <c r="M17280" s="24"/>
      <c r="N17280" s="24"/>
      <c r="O17280" s="24"/>
      <c r="P17280" s="24"/>
      <c r="Q17280" s="24"/>
      <c r="R17280" s="24"/>
      <c r="S17280" s="24"/>
      <c r="T17280" s="24"/>
      <c r="U17280" s="24"/>
      <c r="V17280" s="24"/>
      <c r="W17280" s="24"/>
      <c r="X17280" s="24"/>
      <c r="Y17280" s="24"/>
      <c r="Z17280" s="24"/>
      <c r="AA17280" s="24"/>
    </row>
    <row r="17281">
      <c r="A17281" s="24"/>
      <c r="B17281" s="25"/>
      <c r="C17281" s="24"/>
      <c r="D17281" s="26"/>
      <c r="E17281" s="24"/>
      <c r="F17281" s="24"/>
      <c r="G17281" s="24"/>
      <c r="H17281" s="24"/>
      <c r="I17281" s="24"/>
      <c r="J17281" s="24"/>
      <c r="K17281" s="24"/>
      <c r="L17281" s="24"/>
      <c r="M17281" s="24"/>
      <c r="N17281" s="24"/>
      <c r="O17281" s="24"/>
      <c r="P17281" s="24"/>
      <c r="Q17281" s="24"/>
      <c r="R17281" s="24"/>
      <c r="S17281" s="24"/>
      <c r="T17281" s="24"/>
      <c r="U17281" s="24"/>
      <c r="V17281" s="24"/>
      <c r="W17281" s="24"/>
      <c r="X17281" s="24"/>
      <c r="Y17281" s="24"/>
      <c r="Z17281" s="24"/>
      <c r="AA17281" s="24"/>
    </row>
    <row r="17282">
      <c r="A17282" s="24"/>
      <c r="B17282" s="25"/>
      <c r="C17282" s="24"/>
      <c r="D17282" s="26"/>
      <c r="E17282" s="24"/>
      <c r="F17282" s="24"/>
      <c r="G17282" s="24"/>
      <c r="H17282" s="24"/>
      <c r="I17282" s="24"/>
      <c r="J17282" s="24"/>
      <c r="K17282" s="24"/>
      <c r="L17282" s="24"/>
      <c r="M17282" s="24"/>
      <c r="N17282" s="24"/>
      <c r="O17282" s="24"/>
      <c r="P17282" s="24"/>
      <c r="Q17282" s="24"/>
      <c r="R17282" s="24"/>
      <c r="S17282" s="24"/>
      <c r="T17282" s="24"/>
      <c r="U17282" s="24"/>
      <c r="V17282" s="24"/>
      <c r="W17282" s="24"/>
      <c r="X17282" s="24"/>
      <c r="Y17282" s="24"/>
      <c r="Z17282" s="24"/>
      <c r="AA17282" s="24"/>
    </row>
    <row r="17283">
      <c r="A17283" s="24"/>
      <c r="B17283" s="25"/>
      <c r="C17283" s="24"/>
      <c r="D17283" s="26"/>
      <c r="E17283" s="24"/>
      <c r="F17283" s="24"/>
      <c r="G17283" s="24"/>
      <c r="H17283" s="24"/>
      <c r="I17283" s="24"/>
      <c r="J17283" s="24"/>
      <c r="K17283" s="24"/>
      <c r="L17283" s="24"/>
      <c r="M17283" s="24"/>
      <c r="N17283" s="24"/>
      <c r="O17283" s="24"/>
      <c r="P17283" s="24"/>
      <c r="Q17283" s="24"/>
      <c r="R17283" s="24"/>
      <c r="S17283" s="24"/>
      <c r="T17283" s="24"/>
      <c r="U17283" s="24"/>
      <c r="V17283" s="24"/>
      <c r="W17283" s="24"/>
      <c r="X17283" s="24"/>
      <c r="Y17283" s="24"/>
      <c r="Z17283" s="24"/>
      <c r="AA17283" s="24"/>
    </row>
    <row r="17284">
      <c r="A17284" s="24"/>
      <c r="B17284" s="25"/>
      <c r="C17284" s="24"/>
      <c r="D17284" s="26"/>
      <c r="E17284" s="24"/>
      <c r="F17284" s="24"/>
      <c r="G17284" s="24"/>
      <c r="H17284" s="24"/>
      <c r="I17284" s="24"/>
      <c r="J17284" s="24"/>
      <c r="K17284" s="24"/>
      <c r="L17284" s="24"/>
      <c r="M17284" s="24"/>
      <c r="N17284" s="24"/>
      <c r="O17284" s="24"/>
      <c r="P17284" s="24"/>
      <c r="Q17284" s="24"/>
      <c r="R17284" s="24"/>
      <c r="S17284" s="24"/>
      <c r="T17284" s="24"/>
      <c r="U17284" s="24"/>
      <c r="V17284" s="24"/>
      <c r="W17284" s="24"/>
      <c r="X17284" s="24"/>
      <c r="Y17284" s="24"/>
      <c r="Z17284" s="24"/>
      <c r="AA17284" s="24"/>
    </row>
    <row r="17285">
      <c r="A17285" s="24"/>
      <c r="B17285" s="25"/>
      <c r="C17285" s="24"/>
      <c r="D17285" s="26"/>
      <c r="E17285" s="24"/>
      <c r="F17285" s="24"/>
      <c r="G17285" s="24"/>
      <c r="H17285" s="24"/>
      <c r="I17285" s="24"/>
      <c r="J17285" s="24"/>
      <c r="K17285" s="24"/>
      <c r="L17285" s="24"/>
      <c r="M17285" s="24"/>
      <c r="N17285" s="24"/>
      <c r="O17285" s="24"/>
      <c r="P17285" s="24"/>
      <c r="Q17285" s="24"/>
      <c r="R17285" s="24"/>
      <c r="S17285" s="24"/>
      <c r="T17285" s="24"/>
      <c r="U17285" s="24"/>
      <c r="V17285" s="24"/>
      <c r="W17285" s="24"/>
      <c r="X17285" s="24"/>
      <c r="Y17285" s="24"/>
      <c r="Z17285" s="24"/>
      <c r="AA17285" s="24"/>
    </row>
    <row r="17286">
      <c r="A17286" s="24"/>
      <c r="B17286" s="25"/>
      <c r="C17286" s="24"/>
      <c r="D17286" s="26"/>
      <c r="E17286" s="24"/>
      <c r="F17286" s="24"/>
      <c r="G17286" s="24"/>
      <c r="H17286" s="24"/>
      <c r="I17286" s="24"/>
      <c r="J17286" s="24"/>
      <c r="K17286" s="24"/>
      <c r="L17286" s="24"/>
      <c r="M17286" s="24"/>
      <c r="N17286" s="24"/>
      <c r="O17286" s="24"/>
      <c r="P17286" s="24"/>
      <c r="Q17286" s="24"/>
      <c r="R17286" s="24"/>
      <c r="S17286" s="24"/>
      <c r="T17286" s="24"/>
      <c r="U17286" s="24"/>
      <c r="V17286" s="24"/>
      <c r="W17286" s="24"/>
      <c r="X17286" s="24"/>
      <c r="Y17286" s="24"/>
      <c r="Z17286" s="24"/>
      <c r="AA17286" s="24"/>
    </row>
    <row r="17287">
      <c r="A17287" s="24"/>
      <c r="B17287" s="25"/>
      <c r="C17287" s="24"/>
      <c r="D17287" s="26"/>
      <c r="E17287" s="24"/>
      <c r="F17287" s="24"/>
      <c r="G17287" s="24"/>
      <c r="H17287" s="24"/>
      <c r="I17287" s="24"/>
      <c r="J17287" s="24"/>
      <c r="K17287" s="24"/>
      <c r="L17287" s="24"/>
      <c r="M17287" s="24"/>
      <c r="N17287" s="24"/>
      <c r="O17287" s="24"/>
      <c r="P17287" s="24"/>
      <c r="Q17287" s="24"/>
      <c r="R17287" s="24"/>
      <c r="S17287" s="24"/>
      <c r="T17287" s="24"/>
      <c r="U17287" s="24"/>
      <c r="V17287" s="24"/>
      <c r="W17287" s="24"/>
      <c r="X17287" s="24"/>
      <c r="Y17287" s="24"/>
      <c r="Z17287" s="24"/>
      <c r="AA17287" s="24"/>
    </row>
    <row r="17288">
      <c r="A17288" s="24"/>
      <c r="B17288" s="25"/>
      <c r="C17288" s="24"/>
      <c r="D17288" s="26"/>
      <c r="E17288" s="24"/>
      <c r="F17288" s="24"/>
      <c r="G17288" s="24"/>
      <c r="H17288" s="24"/>
      <c r="I17288" s="24"/>
      <c r="J17288" s="24"/>
      <c r="K17288" s="24"/>
      <c r="L17288" s="24"/>
      <c r="M17288" s="24"/>
      <c r="N17288" s="24"/>
      <c r="O17288" s="24"/>
      <c r="P17288" s="24"/>
      <c r="Q17288" s="24"/>
      <c r="R17288" s="24"/>
      <c r="S17288" s="24"/>
      <c r="T17288" s="24"/>
      <c r="U17288" s="24"/>
      <c r="V17288" s="24"/>
      <c r="W17288" s="24"/>
      <c r="X17288" s="24"/>
      <c r="Y17288" s="24"/>
      <c r="Z17288" s="24"/>
      <c r="AA17288" s="24"/>
    </row>
    <row r="17289">
      <c r="A17289" s="24"/>
      <c r="B17289" s="25"/>
      <c r="C17289" s="24"/>
      <c r="D17289" s="26"/>
      <c r="E17289" s="24"/>
      <c r="F17289" s="24"/>
      <c r="G17289" s="24"/>
      <c r="H17289" s="24"/>
      <c r="I17289" s="24"/>
      <c r="J17289" s="24"/>
      <c r="K17289" s="24"/>
      <c r="L17289" s="24"/>
      <c r="M17289" s="24"/>
      <c r="N17289" s="24"/>
      <c r="O17289" s="24"/>
      <c r="P17289" s="24"/>
      <c r="Q17289" s="24"/>
      <c r="R17289" s="24"/>
      <c r="S17289" s="24"/>
      <c r="T17289" s="24"/>
      <c r="U17289" s="24"/>
      <c r="V17289" s="24"/>
      <c r="W17289" s="24"/>
      <c r="X17289" s="24"/>
      <c r="Y17289" s="24"/>
      <c r="Z17289" s="24"/>
      <c r="AA17289" s="24"/>
    </row>
    <row r="17290">
      <c r="A17290" s="24"/>
      <c r="B17290" s="25"/>
      <c r="C17290" s="24"/>
      <c r="D17290" s="26"/>
      <c r="E17290" s="24"/>
      <c r="F17290" s="24"/>
      <c r="G17290" s="24"/>
      <c r="H17290" s="24"/>
      <c r="I17290" s="24"/>
      <c r="J17290" s="24"/>
      <c r="K17290" s="24"/>
      <c r="L17290" s="24"/>
      <c r="M17290" s="24"/>
      <c r="N17290" s="24"/>
      <c r="O17290" s="24"/>
      <c r="P17290" s="24"/>
      <c r="Q17290" s="24"/>
      <c r="R17290" s="24"/>
      <c r="S17290" s="24"/>
      <c r="T17290" s="24"/>
      <c r="U17290" s="24"/>
      <c r="V17290" s="24"/>
      <c r="W17290" s="24"/>
      <c r="X17290" s="24"/>
      <c r="Y17290" s="24"/>
      <c r="Z17290" s="24"/>
      <c r="AA17290" s="24"/>
    </row>
    <row r="17291">
      <c r="A17291" s="24"/>
      <c r="B17291" s="25"/>
      <c r="C17291" s="24"/>
      <c r="D17291" s="26"/>
      <c r="E17291" s="24"/>
      <c r="F17291" s="24"/>
      <c r="G17291" s="24"/>
      <c r="H17291" s="24"/>
      <c r="I17291" s="24"/>
      <c r="J17291" s="24"/>
      <c r="K17291" s="24"/>
      <c r="L17291" s="24"/>
      <c r="M17291" s="24"/>
      <c r="N17291" s="24"/>
      <c r="O17291" s="24"/>
      <c r="P17291" s="24"/>
      <c r="Q17291" s="24"/>
      <c r="R17291" s="24"/>
      <c r="S17291" s="24"/>
      <c r="T17291" s="24"/>
      <c r="U17291" s="24"/>
      <c r="V17291" s="24"/>
      <c r="W17291" s="24"/>
      <c r="X17291" s="24"/>
      <c r="Y17291" s="24"/>
      <c r="Z17291" s="24"/>
      <c r="AA17291" s="24"/>
    </row>
    <row r="17292">
      <c r="A17292" s="24"/>
      <c r="B17292" s="25"/>
      <c r="C17292" s="24"/>
      <c r="D17292" s="26"/>
      <c r="E17292" s="24"/>
      <c r="F17292" s="24"/>
      <c r="G17292" s="24"/>
      <c r="H17292" s="24"/>
      <c r="I17292" s="24"/>
      <c r="J17292" s="24"/>
      <c r="K17292" s="24"/>
      <c r="L17292" s="24"/>
      <c r="M17292" s="24"/>
      <c r="N17292" s="24"/>
      <c r="O17292" s="24"/>
      <c r="P17292" s="24"/>
      <c r="Q17292" s="24"/>
      <c r="R17292" s="24"/>
      <c r="S17292" s="24"/>
      <c r="T17292" s="24"/>
      <c r="U17292" s="24"/>
      <c r="V17292" s="24"/>
      <c r="W17292" s="24"/>
      <c r="X17292" s="24"/>
      <c r="Y17292" s="24"/>
      <c r="Z17292" s="24"/>
      <c r="AA17292" s="24"/>
    </row>
    <row r="17293">
      <c r="A17293" s="24"/>
      <c r="B17293" s="25"/>
      <c r="C17293" s="24"/>
      <c r="D17293" s="26"/>
      <c r="E17293" s="24"/>
      <c r="F17293" s="24"/>
      <c r="G17293" s="24"/>
      <c r="H17293" s="24"/>
      <c r="I17293" s="24"/>
      <c r="J17293" s="24"/>
      <c r="K17293" s="24"/>
      <c r="L17293" s="24"/>
      <c r="M17293" s="24"/>
      <c r="N17293" s="24"/>
      <c r="O17293" s="24"/>
      <c r="P17293" s="24"/>
      <c r="Q17293" s="24"/>
      <c r="R17293" s="24"/>
      <c r="S17293" s="24"/>
      <c r="T17293" s="24"/>
      <c r="U17293" s="24"/>
      <c r="V17293" s="24"/>
      <c r="W17293" s="24"/>
      <c r="X17293" s="24"/>
      <c r="Y17293" s="24"/>
      <c r="Z17293" s="24"/>
      <c r="AA17293" s="24"/>
    </row>
    <row r="17294">
      <c r="A17294" s="24"/>
      <c r="B17294" s="25"/>
      <c r="C17294" s="24"/>
      <c r="D17294" s="26"/>
      <c r="E17294" s="24"/>
      <c r="F17294" s="24"/>
      <c r="G17294" s="24"/>
      <c r="H17294" s="24"/>
      <c r="I17294" s="24"/>
      <c r="J17294" s="24"/>
      <c r="K17294" s="24"/>
      <c r="L17294" s="24"/>
      <c r="M17294" s="24"/>
      <c r="N17294" s="24"/>
      <c r="O17294" s="24"/>
      <c r="P17294" s="24"/>
      <c r="Q17294" s="24"/>
      <c r="R17294" s="24"/>
      <c r="S17294" s="24"/>
      <c r="T17294" s="24"/>
      <c r="U17294" s="24"/>
      <c r="V17294" s="24"/>
      <c r="W17294" s="24"/>
      <c r="X17294" s="24"/>
      <c r="Y17294" s="24"/>
      <c r="Z17294" s="24"/>
      <c r="AA17294" s="24"/>
    </row>
    <row r="17295">
      <c r="A17295" s="24"/>
      <c r="B17295" s="25"/>
      <c r="C17295" s="24"/>
      <c r="D17295" s="26"/>
      <c r="E17295" s="24"/>
      <c r="F17295" s="24"/>
      <c r="G17295" s="24"/>
      <c r="H17295" s="24"/>
      <c r="I17295" s="24"/>
      <c r="J17295" s="24"/>
      <c r="K17295" s="24"/>
      <c r="L17295" s="24"/>
      <c r="M17295" s="24"/>
      <c r="N17295" s="24"/>
      <c r="O17295" s="24"/>
      <c r="P17295" s="24"/>
      <c r="Q17295" s="24"/>
      <c r="R17295" s="24"/>
      <c r="S17295" s="24"/>
      <c r="T17295" s="24"/>
      <c r="U17295" s="24"/>
      <c r="V17295" s="24"/>
      <c r="W17295" s="24"/>
      <c r="X17295" s="24"/>
      <c r="Y17295" s="24"/>
      <c r="Z17295" s="24"/>
      <c r="AA17295" s="24"/>
    </row>
    <row r="17296">
      <c r="A17296" s="24"/>
      <c r="B17296" s="25"/>
      <c r="C17296" s="24"/>
      <c r="D17296" s="26"/>
      <c r="E17296" s="24"/>
      <c r="F17296" s="24"/>
      <c r="G17296" s="24"/>
      <c r="H17296" s="24"/>
      <c r="I17296" s="24"/>
      <c r="J17296" s="24"/>
      <c r="K17296" s="24"/>
      <c r="L17296" s="24"/>
      <c r="M17296" s="24"/>
      <c r="N17296" s="24"/>
      <c r="O17296" s="24"/>
      <c r="P17296" s="24"/>
      <c r="Q17296" s="24"/>
      <c r="R17296" s="24"/>
      <c r="S17296" s="24"/>
      <c r="T17296" s="24"/>
      <c r="U17296" s="24"/>
      <c r="V17296" s="24"/>
      <c r="W17296" s="24"/>
      <c r="X17296" s="24"/>
      <c r="Y17296" s="24"/>
      <c r="Z17296" s="24"/>
      <c r="AA17296" s="24"/>
    </row>
    <row r="17297">
      <c r="A17297" s="24"/>
      <c r="B17297" s="25"/>
      <c r="C17297" s="24"/>
      <c r="D17297" s="26"/>
      <c r="E17297" s="24"/>
      <c r="F17297" s="24"/>
      <c r="G17297" s="24"/>
      <c r="H17297" s="24"/>
      <c r="I17297" s="24"/>
      <c r="J17297" s="24"/>
      <c r="K17297" s="24"/>
      <c r="L17297" s="24"/>
      <c r="M17297" s="24"/>
      <c r="N17297" s="24"/>
      <c r="O17297" s="24"/>
      <c r="P17297" s="24"/>
      <c r="Q17297" s="24"/>
      <c r="R17297" s="24"/>
      <c r="S17297" s="24"/>
      <c r="T17297" s="24"/>
      <c r="U17297" s="24"/>
      <c r="V17297" s="24"/>
      <c r="W17297" s="24"/>
      <c r="X17297" s="24"/>
      <c r="Y17297" s="24"/>
      <c r="Z17297" s="24"/>
      <c r="AA17297" s="24"/>
    </row>
    <row r="17298">
      <c r="A17298" s="24"/>
      <c r="B17298" s="25"/>
      <c r="C17298" s="24"/>
      <c r="D17298" s="26"/>
      <c r="E17298" s="24"/>
      <c r="F17298" s="24"/>
      <c r="G17298" s="24"/>
      <c r="H17298" s="24"/>
      <c r="I17298" s="24"/>
      <c r="J17298" s="24"/>
      <c r="K17298" s="24"/>
      <c r="L17298" s="24"/>
      <c r="M17298" s="24"/>
      <c r="N17298" s="24"/>
      <c r="O17298" s="24"/>
      <c r="P17298" s="24"/>
      <c r="Q17298" s="24"/>
      <c r="R17298" s="24"/>
      <c r="S17298" s="24"/>
      <c r="T17298" s="24"/>
      <c r="U17298" s="24"/>
      <c r="V17298" s="24"/>
      <c r="W17298" s="24"/>
      <c r="X17298" s="24"/>
      <c r="Y17298" s="24"/>
      <c r="Z17298" s="24"/>
      <c r="AA17298" s="24"/>
    </row>
    <row r="17299">
      <c r="A17299" s="24"/>
      <c r="B17299" s="25"/>
      <c r="C17299" s="24"/>
      <c r="D17299" s="26"/>
      <c r="E17299" s="24"/>
      <c r="F17299" s="24"/>
      <c r="G17299" s="24"/>
      <c r="H17299" s="24"/>
      <c r="I17299" s="24"/>
      <c r="J17299" s="24"/>
      <c r="K17299" s="24"/>
      <c r="L17299" s="24"/>
      <c r="M17299" s="24"/>
      <c r="N17299" s="24"/>
      <c r="O17299" s="24"/>
      <c r="P17299" s="24"/>
      <c r="Q17299" s="24"/>
      <c r="R17299" s="24"/>
      <c r="S17299" s="24"/>
      <c r="T17299" s="24"/>
      <c r="U17299" s="24"/>
      <c r="V17299" s="24"/>
      <c r="W17299" s="24"/>
      <c r="X17299" s="24"/>
      <c r="Y17299" s="24"/>
      <c r="Z17299" s="24"/>
      <c r="AA17299" s="24"/>
    </row>
    <row r="17300">
      <c r="A17300" s="24"/>
      <c r="B17300" s="25"/>
      <c r="C17300" s="24"/>
      <c r="D17300" s="26"/>
      <c r="E17300" s="24"/>
      <c r="F17300" s="24"/>
      <c r="G17300" s="24"/>
      <c r="H17300" s="24"/>
      <c r="I17300" s="24"/>
      <c r="J17300" s="24"/>
      <c r="K17300" s="24"/>
      <c r="L17300" s="24"/>
      <c r="M17300" s="24"/>
      <c r="N17300" s="24"/>
      <c r="O17300" s="24"/>
      <c r="P17300" s="24"/>
      <c r="Q17300" s="24"/>
      <c r="R17300" s="24"/>
      <c r="S17300" s="24"/>
      <c r="T17300" s="24"/>
      <c r="U17300" s="24"/>
      <c r="V17300" s="24"/>
      <c r="W17300" s="24"/>
      <c r="X17300" s="24"/>
      <c r="Y17300" s="24"/>
      <c r="Z17300" s="24"/>
      <c r="AA17300" s="24"/>
    </row>
    <row r="17301">
      <c r="A17301" s="24"/>
      <c r="B17301" s="25"/>
      <c r="C17301" s="24"/>
      <c r="D17301" s="26"/>
      <c r="E17301" s="24"/>
      <c r="F17301" s="24"/>
      <c r="G17301" s="24"/>
      <c r="H17301" s="24"/>
      <c r="I17301" s="24"/>
      <c r="J17301" s="24"/>
      <c r="K17301" s="24"/>
      <c r="L17301" s="24"/>
      <c r="M17301" s="24"/>
      <c r="N17301" s="24"/>
      <c r="O17301" s="24"/>
      <c r="P17301" s="24"/>
      <c r="Q17301" s="24"/>
      <c r="R17301" s="24"/>
      <c r="S17301" s="24"/>
      <c r="T17301" s="24"/>
      <c r="U17301" s="24"/>
      <c r="V17301" s="24"/>
      <c r="W17301" s="24"/>
      <c r="X17301" s="24"/>
      <c r="Y17301" s="24"/>
      <c r="Z17301" s="24"/>
      <c r="AA17301" s="24"/>
    </row>
    <row r="17302">
      <c r="A17302" s="24"/>
      <c r="B17302" s="25"/>
      <c r="C17302" s="24"/>
      <c r="D17302" s="26"/>
      <c r="E17302" s="24"/>
      <c r="F17302" s="24"/>
      <c r="G17302" s="24"/>
      <c r="H17302" s="24"/>
      <c r="I17302" s="24"/>
      <c r="J17302" s="24"/>
      <c r="K17302" s="24"/>
      <c r="L17302" s="24"/>
      <c r="M17302" s="24"/>
      <c r="N17302" s="24"/>
      <c r="O17302" s="24"/>
      <c r="P17302" s="24"/>
      <c r="Q17302" s="24"/>
      <c r="R17302" s="24"/>
      <c r="S17302" s="24"/>
      <c r="T17302" s="24"/>
      <c r="U17302" s="24"/>
      <c r="V17302" s="24"/>
      <c r="W17302" s="24"/>
      <c r="X17302" s="24"/>
      <c r="Y17302" s="24"/>
      <c r="Z17302" s="24"/>
      <c r="AA17302" s="24"/>
    </row>
    <row r="17303">
      <c r="A17303" s="24"/>
      <c r="B17303" s="25"/>
      <c r="C17303" s="24"/>
      <c r="D17303" s="26"/>
      <c r="E17303" s="24"/>
      <c r="F17303" s="24"/>
      <c r="G17303" s="24"/>
      <c r="H17303" s="24"/>
      <c r="I17303" s="24"/>
      <c r="J17303" s="24"/>
      <c r="K17303" s="24"/>
      <c r="L17303" s="24"/>
      <c r="M17303" s="24"/>
      <c r="N17303" s="24"/>
      <c r="O17303" s="24"/>
      <c r="P17303" s="24"/>
      <c r="Q17303" s="24"/>
      <c r="R17303" s="24"/>
      <c r="S17303" s="24"/>
      <c r="T17303" s="24"/>
      <c r="U17303" s="24"/>
      <c r="V17303" s="24"/>
      <c r="W17303" s="24"/>
      <c r="X17303" s="24"/>
      <c r="Y17303" s="24"/>
      <c r="Z17303" s="24"/>
      <c r="AA17303" s="24"/>
    </row>
    <row r="17304">
      <c r="A17304" s="24"/>
      <c r="B17304" s="25"/>
      <c r="C17304" s="24"/>
      <c r="D17304" s="26"/>
      <c r="E17304" s="24"/>
      <c r="F17304" s="24"/>
      <c r="G17304" s="24"/>
      <c r="H17304" s="24"/>
      <c r="I17304" s="24"/>
      <c r="J17304" s="24"/>
      <c r="K17304" s="24"/>
      <c r="L17304" s="24"/>
      <c r="M17304" s="24"/>
      <c r="N17304" s="24"/>
      <c r="O17304" s="24"/>
      <c r="P17304" s="24"/>
      <c r="Q17304" s="24"/>
      <c r="R17304" s="24"/>
      <c r="S17304" s="24"/>
      <c r="T17304" s="24"/>
      <c r="U17304" s="24"/>
      <c r="V17304" s="24"/>
      <c r="W17304" s="24"/>
      <c r="X17304" s="24"/>
      <c r="Y17304" s="24"/>
      <c r="Z17304" s="24"/>
      <c r="AA17304" s="24"/>
    </row>
    <row r="17305">
      <c r="A17305" s="24"/>
      <c r="B17305" s="25"/>
      <c r="C17305" s="24"/>
      <c r="D17305" s="26"/>
      <c r="E17305" s="24"/>
      <c r="F17305" s="24"/>
      <c r="G17305" s="24"/>
      <c r="H17305" s="24"/>
      <c r="I17305" s="24"/>
      <c r="J17305" s="24"/>
      <c r="K17305" s="24"/>
      <c r="L17305" s="24"/>
      <c r="M17305" s="24"/>
      <c r="N17305" s="24"/>
      <c r="O17305" s="24"/>
      <c r="P17305" s="24"/>
      <c r="Q17305" s="24"/>
      <c r="R17305" s="24"/>
      <c r="S17305" s="24"/>
      <c r="T17305" s="24"/>
      <c r="U17305" s="24"/>
      <c r="V17305" s="24"/>
      <c r="W17305" s="24"/>
      <c r="X17305" s="24"/>
      <c r="Y17305" s="24"/>
      <c r="Z17305" s="24"/>
      <c r="AA17305" s="24"/>
    </row>
    <row r="17306">
      <c r="A17306" s="24"/>
      <c r="B17306" s="25"/>
      <c r="C17306" s="24"/>
      <c r="D17306" s="26"/>
      <c r="E17306" s="24"/>
      <c r="F17306" s="24"/>
      <c r="G17306" s="24"/>
      <c r="H17306" s="24"/>
      <c r="I17306" s="24"/>
      <c r="J17306" s="24"/>
      <c r="K17306" s="24"/>
      <c r="L17306" s="24"/>
      <c r="M17306" s="24"/>
      <c r="N17306" s="24"/>
      <c r="O17306" s="24"/>
      <c r="P17306" s="24"/>
      <c r="Q17306" s="24"/>
      <c r="R17306" s="24"/>
      <c r="S17306" s="24"/>
      <c r="T17306" s="24"/>
      <c r="U17306" s="24"/>
      <c r="V17306" s="24"/>
      <c r="W17306" s="24"/>
      <c r="X17306" s="24"/>
      <c r="Y17306" s="24"/>
      <c r="Z17306" s="24"/>
      <c r="AA17306" s="24"/>
    </row>
    <row r="17307">
      <c r="A17307" s="24"/>
      <c r="B17307" s="25"/>
      <c r="C17307" s="24"/>
      <c r="D17307" s="26"/>
      <c r="E17307" s="24"/>
      <c r="F17307" s="24"/>
      <c r="G17307" s="24"/>
      <c r="H17307" s="24"/>
      <c r="I17307" s="24"/>
      <c r="J17307" s="24"/>
      <c r="K17307" s="24"/>
      <c r="L17307" s="24"/>
      <c r="M17307" s="24"/>
      <c r="N17307" s="24"/>
      <c r="O17307" s="24"/>
      <c r="P17307" s="24"/>
      <c r="Q17307" s="24"/>
      <c r="R17307" s="24"/>
      <c r="S17307" s="24"/>
      <c r="T17307" s="24"/>
      <c r="U17307" s="24"/>
      <c r="V17307" s="24"/>
      <c r="W17307" s="24"/>
      <c r="X17307" s="24"/>
      <c r="Y17307" s="24"/>
      <c r="Z17307" s="24"/>
      <c r="AA17307" s="24"/>
    </row>
    <row r="17308">
      <c r="A17308" s="24"/>
      <c r="B17308" s="25"/>
      <c r="C17308" s="24"/>
      <c r="D17308" s="26"/>
      <c r="E17308" s="24"/>
      <c r="F17308" s="24"/>
      <c r="G17308" s="24"/>
      <c r="H17308" s="24"/>
      <c r="I17308" s="24"/>
      <c r="J17308" s="24"/>
      <c r="K17308" s="24"/>
      <c r="L17308" s="24"/>
      <c r="M17308" s="24"/>
      <c r="N17308" s="24"/>
      <c r="O17308" s="24"/>
      <c r="P17308" s="24"/>
      <c r="Q17308" s="24"/>
      <c r="R17308" s="24"/>
      <c r="S17308" s="24"/>
      <c r="T17308" s="24"/>
      <c r="U17308" s="24"/>
      <c r="V17308" s="24"/>
      <c r="W17308" s="24"/>
      <c r="X17308" s="24"/>
      <c r="Y17308" s="24"/>
      <c r="Z17308" s="24"/>
      <c r="AA17308" s="24"/>
    </row>
    <row r="17309">
      <c r="A17309" s="24"/>
      <c r="B17309" s="25"/>
      <c r="C17309" s="24"/>
      <c r="D17309" s="26"/>
      <c r="E17309" s="24"/>
      <c r="F17309" s="24"/>
      <c r="G17309" s="24"/>
      <c r="H17309" s="24"/>
      <c r="I17309" s="24"/>
      <c r="J17309" s="24"/>
      <c r="K17309" s="24"/>
      <c r="L17309" s="24"/>
      <c r="M17309" s="24"/>
      <c r="N17309" s="24"/>
      <c r="O17309" s="24"/>
      <c r="P17309" s="24"/>
      <c r="Q17309" s="24"/>
      <c r="R17309" s="24"/>
      <c r="S17309" s="24"/>
      <c r="T17309" s="24"/>
      <c r="U17309" s="24"/>
      <c r="V17309" s="24"/>
      <c r="W17309" s="24"/>
      <c r="X17309" s="24"/>
      <c r="Y17309" s="24"/>
      <c r="Z17309" s="24"/>
      <c r="AA17309" s="24"/>
    </row>
    <row r="17310">
      <c r="A17310" s="24"/>
      <c r="B17310" s="25"/>
      <c r="C17310" s="24"/>
      <c r="D17310" s="26"/>
      <c r="E17310" s="24"/>
      <c r="F17310" s="24"/>
      <c r="G17310" s="24"/>
      <c r="H17310" s="24"/>
      <c r="I17310" s="24"/>
      <c r="J17310" s="24"/>
      <c r="K17310" s="24"/>
      <c r="L17310" s="24"/>
      <c r="M17310" s="24"/>
      <c r="N17310" s="24"/>
      <c r="O17310" s="24"/>
      <c r="P17310" s="24"/>
      <c r="Q17310" s="24"/>
      <c r="R17310" s="24"/>
      <c r="S17310" s="24"/>
      <c r="T17310" s="24"/>
      <c r="U17310" s="24"/>
      <c r="V17310" s="24"/>
      <c r="W17310" s="24"/>
      <c r="X17310" s="24"/>
      <c r="Y17310" s="24"/>
      <c r="Z17310" s="24"/>
      <c r="AA17310" s="24"/>
    </row>
    <row r="17311">
      <c r="A17311" s="24"/>
      <c r="B17311" s="25"/>
      <c r="C17311" s="24"/>
      <c r="D17311" s="26"/>
      <c r="E17311" s="24"/>
      <c r="F17311" s="24"/>
      <c r="G17311" s="24"/>
      <c r="H17311" s="24"/>
      <c r="I17311" s="24"/>
      <c r="J17311" s="24"/>
      <c r="K17311" s="24"/>
      <c r="L17311" s="24"/>
      <c r="M17311" s="24"/>
      <c r="N17311" s="24"/>
      <c r="O17311" s="24"/>
      <c r="P17311" s="24"/>
      <c r="Q17311" s="24"/>
      <c r="R17311" s="24"/>
      <c r="S17311" s="24"/>
      <c r="T17311" s="24"/>
      <c r="U17311" s="24"/>
      <c r="V17311" s="24"/>
      <c r="W17311" s="24"/>
      <c r="X17311" s="24"/>
      <c r="Y17311" s="24"/>
      <c r="Z17311" s="24"/>
      <c r="AA17311" s="24"/>
    </row>
    <row r="17312">
      <c r="A17312" s="24"/>
      <c r="B17312" s="25"/>
      <c r="C17312" s="24"/>
      <c r="D17312" s="26"/>
      <c r="E17312" s="24"/>
      <c r="F17312" s="24"/>
      <c r="G17312" s="24"/>
      <c r="H17312" s="24"/>
      <c r="I17312" s="24"/>
      <c r="J17312" s="24"/>
      <c r="K17312" s="24"/>
      <c r="L17312" s="24"/>
      <c r="M17312" s="24"/>
      <c r="N17312" s="24"/>
      <c r="O17312" s="24"/>
      <c r="P17312" s="24"/>
      <c r="Q17312" s="24"/>
      <c r="R17312" s="24"/>
      <c r="S17312" s="24"/>
      <c r="T17312" s="24"/>
      <c r="U17312" s="24"/>
      <c r="V17312" s="24"/>
      <c r="W17312" s="24"/>
      <c r="X17312" s="24"/>
      <c r="Y17312" s="24"/>
      <c r="Z17312" s="24"/>
      <c r="AA17312" s="24"/>
    </row>
    <row r="17313">
      <c r="A17313" s="24"/>
      <c r="B17313" s="25"/>
      <c r="C17313" s="24"/>
      <c r="D17313" s="26"/>
      <c r="E17313" s="24"/>
      <c r="F17313" s="24"/>
      <c r="G17313" s="24"/>
      <c r="H17313" s="24"/>
      <c r="I17313" s="24"/>
      <c r="J17313" s="24"/>
      <c r="K17313" s="24"/>
      <c r="L17313" s="24"/>
      <c r="M17313" s="24"/>
      <c r="N17313" s="24"/>
      <c r="O17313" s="24"/>
      <c r="P17313" s="24"/>
      <c r="Q17313" s="24"/>
      <c r="R17313" s="24"/>
      <c r="S17313" s="24"/>
      <c r="T17313" s="24"/>
      <c r="U17313" s="24"/>
      <c r="V17313" s="24"/>
      <c r="W17313" s="24"/>
      <c r="X17313" s="24"/>
      <c r="Y17313" s="24"/>
      <c r="Z17313" s="24"/>
      <c r="AA17313" s="24"/>
    </row>
    <row r="17314">
      <c r="A17314" s="24"/>
      <c r="B17314" s="25"/>
      <c r="C17314" s="24"/>
      <c r="D17314" s="26"/>
      <c r="E17314" s="24"/>
      <c r="F17314" s="24"/>
      <c r="G17314" s="24"/>
      <c r="H17314" s="24"/>
      <c r="I17314" s="24"/>
      <c r="J17314" s="24"/>
      <c r="K17314" s="24"/>
      <c r="L17314" s="24"/>
      <c r="M17314" s="24"/>
      <c r="N17314" s="24"/>
      <c r="O17314" s="24"/>
      <c r="P17314" s="24"/>
      <c r="Q17314" s="24"/>
      <c r="R17314" s="24"/>
      <c r="S17314" s="24"/>
      <c r="T17314" s="24"/>
      <c r="U17314" s="24"/>
      <c r="V17314" s="24"/>
      <c r="W17314" s="24"/>
      <c r="X17314" s="24"/>
      <c r="Y17314" s="24"/>
      <c r="Z17314" s="24"/>
      <c r="AA17314" s="24"/>
    </row>
    <row r="17315">
      <c r="A17315" s="24"/>
      <c r="B17315" s="25"/>
      <c r="C17315" s="24"/>
      <c r="D17315" s="26"/>
      <c r="E17315" s="24"/>
      <c r="F17315" s="24"/>
      <c r="G17315" s="24"/>
      <c r="H17315" s="24"/>
      <c r="I17315" s="24"/>
      <c r="J17315" s="24"/>
      <c r="K17315" s="24"/>
      <c r="L17315" s="24"/>
      <c r="M17315" s="24"/>
      <c r="N17315" s="24"/>
      <c r="O17315" s="24"/>
      <c r="P17315" s="24"/>
      <c r="Q17315" s="24"/>
      <c r="R17315" s="24"/>
      <c r="S17315" s="24"/>
      <c r="T17315" s="24"/>
      <c r="U17315" s="24"/>
      <c r="V17315" s="24"/>
      <c r="W17315" s="24"/>
      <c r="X17315" s="24"/>
      <c r="Y17315" s="24"/>
      <c r="Z17315" s="24"/>
      <c r="AA17315" s="24"/>
    </row>
    <row r="17316">
      <c r="A17316" s="24"/>
      <c r="B17316" s="25"/>
      <c r="C17316" s="24"/>
      <c r="D17316" s="26"/>
      <c r="E17316" s="24"/>
      <c r="F17316" s="24"/>
      <c r="G17316" s="24"/>
      <c r="H17316" s="24"/>
      <c r="I17316" s="24"/>
      <c r="J17316" s="24"/>
      <c r="K17316" s="24"/>
      <c r="L17316" s="24"/>
      <c r="M17316" s="24"/>
      <c r="N17316" s="24"/>
      <c r="O17316" s="24"/>
      <c r="P17316" s="24"/>
      <c r="Q17316" s="24"/>
      <c r="R17316" s="24"/>
      <c r="S17316" s="24"/>
      <c r="T17316" s="24"/>
      <c r="U17316" s="24"/>
      <c r="V17316" s="24"/>
      <c r="W17316" s="24"/>
      <c r="X17316" s="24"/>
      <c r="Y17316" s="24"/>
      <c r="Z17316" s="24"/>
      <c r="AA17316" s="24"/>
    </row>
    <row r="17317">
      <c r="A17317" s="24"/>
      <c r="B17317" s="25"/>
      <c r="C17317" s="24"/>
      <c r="D17317" s="26"/>
      <c r="E17317" s="24"/>
      <c r="F17317" s="24"/>
      <c r="G17317" s="24"/>
      <c r="H17317" s="24"/>
      <c r="I17317" s="24"/>
      <c r="J17317" s="24"/>
      <c r="K17317" s="24"/>
      <c r="L17317" s="24"/>
      <c r="M17317" s="24"/>
      <c r="N17317" s="24"/>
      <c r="O17317" s="24"/>
      <c r="P17317" s="24"/>
      <c r="Q17317" s="24"/>
      <c r="R17317" s="24"/>
      <c r="S17317" s="24"/>
      <c r="T17317" s="24"/>
      <c r="U17317" s="24"/>
      <c r="V17317" s="24"/>
      <c r="W17317" s="24"/>
      <c r="X17317" s="24"/>
      <c r="Y17317" s="24"/>
      <c r="Z17317" s="24"/>
      <c r="AA17317" s="24"/>
    </row>
    <row r="17318">
      <c r="A17318" s="24"/>
      <c r="B17318" s="25"/>
      <c r="C17318" s="24"/>
      <c r="D17318" s="26"/>
      <c r="E17318" s="24"/>
      <c r="F17318" s="24"/>
      <c r="G17318" s="24"/>
      <c r="H17318" s="24"/>
      <c r="I17318" s="24"/>
      <c r="J17318" s="24"/>
      <c r="K17318" s="24"/>
      <c r="L17318" s="24"/>
      <c r="M17318" s="24"/>
      <c r="N17318" s="24"/>
      <c r="O17318" s="24"/>
      <c r="P17318" s="24"/>
      <c r="Q17318" s="24"/>
      <c r="R17318" s="24"/>
      <c r="S17318" s="24"/>
      <c r="T17318" s="24"/>
      <c r="U17318" s="24"/>
      <c r="V17318" s="24"/>
      <c r="W17318" s="24"/>
      <c r="X17318" s="24"/>
      <c r="Y17318" s="24"/>
      <c r="Z17318" s="24"/>
      <c r="AA17318" s="24"/>
    </row>
    <row r="17319">
      <c r="A17319" s="24"/>
      <c r="B17319" s="25"/>
      <c r="C17319" s="24"/>
      <c r="D17319" s="26"/>
      <c r="E17319" s="24"/>
      <c r="F17319" s="24"/>
      <c r="G17319" s="24"/>
      <c r="H17319" s="24"/>
      <c r="I17319" s="24"/>
      <c r="J17319" s="24"/>
      <c r="K17319" s="24"/>
      <c r="L17319" s="24"/>
      <c r="M17319" s="24"/>
      <c r="N17319" s="24"/>
      <c r="O17319" s="24"/>
      <c r="P17319" s="24"/>
      <c r="Q17319" s="24"/>
      <c r="R17319" s="24"/>
      <c r="S17319" s="24"/>
      <c r="T17319" s="24"/>
      <c r="U17319" s="24"/>
      <c r="V17319" s="24"/>
      <c r="W17319" s="24"/>
      <c r="X17319" s="24"/>
      <c r="Y17319" s="24"/>
      <c r="Z17319" s="24"/>
      <c r="AA17319" s="24"/>
    </row>
    <row r="17320">
      <c r="A17320" s="24"/>
      <c r="B17320" s="25"/>
      <c r="C17320" s="24"/>
      <c r="D17320" s="26"/>
      <c r="E17320" s="24"/>
      <c r="F17320" s="24"/>
      <c r="G17320" s="24"/>
      <c r="H17320" s="24"/>
      <c r="I17320" s="24"/>
      <c r="J17320" s="24"/>
      <c r="K17320" s="24"/>
      <c r="L17320" s="24"/>
      <c r="M17320" s="24"/>
      <c r="N17320" s="24"/>
      <c r="O17320" s="24"/>
      <c r="P17320" s="24"/>
      <c r="Q17320" s="24"/>
      <c r="R17320" s="24"/>
      <c r="S17320" s="24"/>
      <c r="T17320" s="24"/>
      <c r="U17320" s="24"/>
      <c r="V17320" s="24"/>
      <c r="W17320" s="24"/>
      <c r="X17320" s="24"/>
      <c r="Y17320" s="24"/>
      <c r="Z17320" s="24"/>
      <c r="AA17320" s="24"/>
    </row>
    <row r="17321">
      <c r="A17321" s="24"/>
      <c r="B17321" s="25"/>
      <c r="C17321" s="24"/>
      <c r="D17321" s="26"/>
      <c r="E17321" s="24"/>
      <c r="F17321" s="24"/>
      <c r="G17321" s="24"/>
      <c r="H17321" s="24"/>
      <c r="I17321" s="24"/>
      <c r="J17321" s="24"/>
      <c r="K17321" s="24"/>
      <c r="L17321" s="24"/>
      <c r="M17321" s="24"/>
      <c r="N17321" s="24"/>
      <c r="O17321" s="24"/>
      <c r="P17321" s="24"/>
      <c r="Q17321" s="24"/>
      <c r="R17321" s="24"/>
      <c r="S17321" s="24"/>
      <c r="T17321" s="24"/>
      <c r="U17321" s="24"/>
      <c r="V17321" s="24"/>
      <c r="W17321" s="24"/>
      <c r="X17321" s="24"/>
      <c r="Y17321" s="24"/>
      <c r="Z17321" s="24"/>
      <c r="AA17321" s="24"/>
    </row>
    <row r="17322">
      <c r="A17322" s="24"/>
      <c r="B17322" s="25"/>
      <c r="C17322" s="24"/>
      <c r="D17322" s="26"/>
      <c r="E17322" s="24"/>
      <c r="F17322" s="24"/>
      <c r="G17322" s="24"/>
      <c r="H17322" s="24"/>
      <c r="I17322" s="24"/>
      <c r="J17322" s="24"/>
      <c r="K17322" s="24"/>
      <c r="L17322" s="24"/>
      <c r="M17322" s="24"/>
      <c r="N17322" s="24"/>
      <c r="O17322" s="24"/>
      <c r="P17322" s="24"/>
      <c r="Q17322" s="24"/>
      <c r="R17322" s="24"/>
      <c r="S17322" s="24"/>
      <c r="T17322" s="24"/>
      <c r="U17322" s="24"/>
      <c r="V17322" s="24"/>
      <c r="W17322" s="24"/>
      <c r="X17322" s="24"/>
      <c r="Y17322" s="24"/>
      <c r="Z17322" s="24"/>
      <c r="AA17322" s="24"/>
    </row>
    <row r="17323">
      <c r="A17323" s="24"/>
      <c r="B17323" s="25"/>
      <c r="C17323" s="24"/>
      <c r="D17323" s="26"/>
      <c r="E17323" s="24"/>
      <c r="F17323" s="24"/>
      <c r="G17323" s="24"/>
      <c r="H17323" s="24"/>
      <c r="I17323" s="24"/>
      <c r="J17323" s="24"/>
      <c r="K17323" s="24"/>
      <c r="L17323" s="24"/>
      <c r="M17323" s="24"/>
      <c r="N17323" s="24"/>
      <c r="O17323" s="24"/>
      <c r="P17323" s="24"/>
      <c r="Q17323" s="24"/>
      <c r="R17323" s="24"/>
      <c r="S17323" s="24"/>
      <c r="T17323" s="24"/>
      <c r="U17323" s="24"/>
      <c r="V17323" s="24"/>
      <c r="W17323" s="24"/>
      <c r="X17323" s="24"/>
      <c r="Y17323" s="24"/>
      <c r="Z17323" s="24"/>
      <c r="AA17323" s="24"/>
    </row>
    <row r="17324">
      <c r="A17324" s="24"/>
      <c r="B17324" s="25"/>
      <c r="C17324" s="24"/>
      <c r="D17324" s="26"/>
      <c r="E17324" s="24"/>
      <c r="F17324" s="24"/>
      <c r="G17324" s="24"/>
      <c r="H17324" s="24"/>
      <c r="I17324" s="24"/>
      <c r="J17324" s="24"/>
      <c r="K17324" s="24"/>
      <c r="L17324" s="24"/>
      <c r="M17324" s="24"/>
      <c r="N17324" s="24"/>
      <c r="O17324" s="24"/>
      <c r="P17324" s="24"/>
      <c r="Q17324" s="24"/>
      <c r="R17324" s="24"/>
      <c r="S17324" s="24"/>
      <c r="T17324" s="24"/>
      <c r="U17324" s="24"/>
      <c r="V17324" s="24"/>
      <c r="W17324" s="24"/>
      <c r="X17324" s="24"/>
      <c r="Y17324" s="24"/>
      <c r="Z17324" s="24"/>
      <c r="AA17324" s="24"/>
    </row>
    <row r="17325">
      <c r="A17325" s="24"/>
      <c r="B17325" s="25"/>
      <c r="C17325" s="24"/>
      <c r="D17325" s="26"/>
      <c r="E17325" s="24"/>
      <c r="F17325" s="24"/>
      <c r="G17325" s="24"/>
      <c r="H17325" s="24"/>
      <c r="I17325" s="24"/>
      <c r="J17325" s="24"/>
      <c r="K17325" s="24"/>
      <c r="L17325" s="24"/>
      <c r="M17325" s="24"/>
      <c r="N17325" s="24"/>
      <c r="O17325" s="24"/>
      <c r="P17325" s="24"/>
      <c r="Q17325" s="24"/>
      <c r="R17325" s="24"/>
      <c r="S17325" s="24"/>
      <c r="T17325" s="24"/>
      <c r="U17325" s="24"/>
      <c r="V17325" s="24"/>
      <c r="W17325" s="24"/>
      <c r="X17325" s="24"/>
      <c r="Y17325" s="24"/>
      <c r="Z17325" s="24"/>
      <c r="AA17325" s="24"/>
    </row>
    <row r="17326">
      <c r="A17326" s="24"/>
      <c r="B17326" s="25"/>
      <c r="C17326" s="24"/>
      <c r="D17326" s="26"/>
      <c r="E17326" s="24"/>
      <c r="F17326" s="24"/>
      <c r="G17326" s="24"/>
      <c r="H17326" s="24"/>
      <c r="I17326" s="24"/>
      <c r="J17326" s="24"/>
      <c r="K17326" s="24"/>
      <c r="L17326" s="24"/>
      <c r="M17326" s="24"/>
      <c r="N17326" s="24"/>
      <c r="O17326" s="24"/>
      <c r="P17326" s="24"/>
      <c r="Q17326" s="24"/>
      <c r="R17326" s="24"/>
      <c r="S17326" s="24"/>
      <c r="T17326" s="24"/>
      <c r="U17326" s="24"/>
      <c r="V17326" s="24"/>
      <c r="W17326" s="24"/>
      <c r="X17326" s="24"/>
      <c r="Y17326" s="24"/>
      <c r="Z17326" s="24"/>
      <c r="AA17326" s="24"/>
    </row>
    <row r="17327">
      <c r="A17327" s="24"/>
      <c r="B17327" s="25"/>
      <c r="C17327" s="24"/>
      <c r="D17327" s="26"/>
      <c r="E17327" s="24"/>
      <c r="F17327" s="24"/>
      <c r="G17327" s="24"/>
      <c r="H17327" s="24"/>
      <c r="I17327" s="24"/>
      <c r="J17327" s="24"/>
      <c r="K17327" s="24"/>
      <c r="L17327" s="24"/>
      <c r="M17327" s="24"/>
      <c r="N17327" s="24"/>
      <c r="O17327" s="24"/>
      <c r="P17327" s="24"/>
      <c r="Q17327" s="24"/>
      <c r="R17327" s="24"/>
      <c r="S17327" s="24"/>
      <c r="T17327" s="24"/>
      <c r="U17327" s="24"/>
      <c r="V17327" s="24"/>
      <c r="W17327" s="24"/>
      <c r="X17327" s="24"/>
      <c r="Y17327" s="24"/>
      <c r="Z17327" s="24"/>
      <c r="AA17327" s="24"/>
    </row>
    <row r="17328">
      <c r="A17328" s="24"/>
      <c r="B17328" s="25"/>
      <c r="C17328" s="24"/>
      <c r="D17328" s="26"/>
      <c r="E17328" s="24"/>
      <c r="F17328" s="24"/>
      <c r="G17328" s="24"/>
      <c r="H17328" s="24"/>
      <c r="I17328" s="24"/>
      <c r="J17328" s="24"/>
      <c r="K17328" s="24"/>
      <c r="L17328" s="24"/>
      <c r="M17328" s="24"/>
      <c r="N17328" s="24"/>
      <c r="O17328" s="24"/>
      <c r="P17328" s="24"/>
      <c r="Q17328" s="24"/>
      <c r="R17328" s="24"/>
      <c r="S17328" s="24"/>
      <c r="T17328" s="24"/>
      <c r="U17328" s="24"/>
      <c r="V17328" s="24"/>
      <c r="W17328" s="24"/>
      <c r="X17328" s="24"/>
      <c r="Y17328" s="24"/>
      <c r="Z17328" s="24"/>
      <c r="AA17328" s="24"/>
    </row>
    <row r="17329">
      <c r="A17329" s="24"/>
      <c r="B17329" s="25"/>
      <c r="C17329" s="24"/>
      <c r="D17329" s="26"/>
      <c r="E17329" s="24"/>
      <c r="F17329" s="24"/>
      <c r="G17329" s="24"/>
      <c r="H17329" s="24"/>
      <c r="I17329" s="24"/>
      <c r="J17329" s="24"/>
      <c r="K17329" s="24"/>
      <c r="L17329" s="24"/>
      <c r="M17329" s="24"/>
      <c r="N17329" s="24"/>
      <c r="O17329" s="24"/>
      <c r="P17329" s="24"/>
      <c r="Q17329" s="24"/>
      <c r="R17329" s="24"/>
      <c r="S17329" s="24"/>
      <c r="T17329" s="24"/>
      <c r="U17329" s="24"/>
      <c r="V17329" s="24"/>
      <c r="W17329" s="24"/>
      <c r="X17329" s="24"/>
      <c r="Y17329" s="24"/>
      <c r="Z17329" s="24"/>
      <c r="AA17329" s="24"/>
    </row>
    <row r="17330">
      <c r="A17330" s="24"/>
      <c r="B17330" s="25"/>
      <c r="C17330" s="24"/>
      <c r="D17330" s="26"/>
      <c r="E17330" s="24"/>
      <c r="F17330" s="24"/>
      <c r="G17330" s="24"/>
      <c r="H17330" s="24"/>
      <c r="I17330" s="24"/>
      <c r="J17330" s="24"/>
      <c r="K17330" s="24"/>
      <c r="L17330" s="24"/>
      <c r="M17330" s="24"/>
      <c r="N17330" s="24"/>
      <c r="O17330" s="24"/>
      <c r="P17330" s="24"/>
      <c r="Q17330" s="24"/>
      <c r="R17330" s="24"/>
      <c r="S17330" s="24"/>
      <c r="T17330" s="24"/>
      <c r="U17330" s="24"/>
      <c r="V17330" s="24"/>
      <c r="W17330" s="24"/>
      <c r="X17330" s="24"/>
      <c r="Y17330" s="24"/>
      <c r="Z17330" s="24"/>
      <c r="AA17330" s="24"/>
    </row>
    <row r="17331">
      <c r="A17331" s="24"/>
      <c r="B17331" s="25"/>
      <c r="C17331" s="24"/>
      <c r="D17331" s="26"/>
      <c r="E17331" s="24"/>
      <c r="F17331" s="24"/>
      <c r="G17331" s="24"/>
      <c r="H17331" s="24"/>
      <c r="I17331" s="24"/>
      <c r="J17331" s="24"/>
      <c r="K17331" s="24"/>
      <c r="L17331" s="24"/>
      <c r="M17331" s="24"/>
      <c r="N17331" s="24"/>
      <c r="O17331" s="24"/>
      <c r="P17331" s="24"/>
      <c r="Q17331" s="24"/>
      <c r="R17331" s="24"/>
      <c r="S17331" s="24"/>
      <c r="T17331" s="24"/>
      <c r="U17331" s="24"/>
      <c r="V17331" s="24"/>
      <c r="W17331" s="24"/>
      <c r="X17331" s="24"/>
      <c r="Y17331" s="24"/>
      <c r="Z17331" s="24"/>
      <c r="AA17331" s="24"/>
    </row>
    <row r="17332">
      <c r="A17332" s="24"/>
      <c r="B17332" s="25"/>
      <c r="C17332" s="24"/>
      <c r="D17332" s="26"/>
      <c r="E17332" s="24"/>
      <c r="F17332" s="24"/>
      <c r="G17332" s="24"/>
      <c r="H17332" s="24"/>
      <c r="I17332" s="24"/>
      <c r="J17332" s="24"/>
      <c r="K17332" s="24"/>
      <c r="L17332" s="24"/>
      <c r="M17332" s="24"/>
      <c r="N17332" s="24"/>
      <c r="O17332" s="24"/>
      <c r="P17332" s="24"/>
      <c r="Q17332" s="24"/>
      <c r="R17332" s="24"/>
      <c r="S17332" s="24"/>
      <c r="T17332" s="24"/>
      <c r="U17332" s="24"/>
      <c r="V17332" s="24"/>
      <c r="W17332" s="24"/>
      <c r="X17332" s="24"/>
      <c r="Y17332" s="24"/>
      <c r="Z17332" s="24"/>
      <c r="AA17332" s="24"/>
    </row>
    <row r="17333">
      <c r="A17333" s="24"/>
      <c r="B17333" s="25"/>
      <c r="C17333" s="24"/>
      <c r="D17333" s="26"/>
      <c r="E17333" s="24"/>
      <c r="F17333" s="24"/>
      <c r="G17333" s="24"/>
      <c r="H17333" s="24"/>
      <c r="I17333" s="24"/>
      <c r="J17333" s="24"/>
      <c r="K17333" s="24"/>
      <c r="L17333" s="24"/>
      <c r="M17333" s="24"/>
      <c r="N17333" s="24"/>
      <c r="O17333" s="24"/>
      <c r="P17333" s="24"/>
      <c r="Q17333" s="24"/>
      <c r="R17333" s="24"/>
      <c r="S17333" s="24"/>
      <c r="T17333" s="24"/>
      <c r="U17333" s="24"/>
      <c r="V17333" s="24"/>
      <c r="W17333" s="24"/>
      <c r="X17333" s="24"/>
      <c r="Y17333" s="24"/>
      <c r="Z17333" s="24"/>
      <c r="AA17333" s="24"/>
    </row>
    <row r="17334">
      <c r="A17334" s="24"/>
      <c r="B17334" s="25"/>
      <c r="C17334" s="24"/>
      <c r="D17334" s="26"/>
      <c r="E17334" s="24"/>
      <c r="F17334" s="24"/>
      <c r="G17334" s="24"/>
      <c r="H17334" s="24"/>
      <c r="I17334" s="24"/>
      <c r="J17334" s="24"/>
      <c r="K17334" s="24"/>
      <c r="L17334" s="24"/>
      <c r="M17334" s="24"/>
      <c r="N17334" s="24"/>
      <c r="O17334" s="24"/>
      <c r="P17334" s="24"/>
      <c r="Q17334" s="24"/>
      <c r="R17334" s="24"/>
      <c r="S17334" s="24"/>
      <c r="T17334" s="24"/>
      <c r="U17334" s="24"/>
      <c r="V17334" s="24"/>
      <c r="W17334" s="24"/>
      <c r="X17334" s="24"/>
      <c r="Y17334" s="24"/>
      <c r="Z17334" s="24"/>
      <c r="AA17334" s="24"/>
    </row>
    <row r="17335">
      <c r="A17335" s="24"/>
      <c r="B17335" s="25"/>
      <c r="C17335" s="24"/>
      <c r="D17335" s="26"/>
      <c r="E17335" s="24"/>
      <c r="F17335" s="24"/>
      <c r="G17335" s="24"/>
      <c r="H17335" s="24"/>
      <c r="I17335" s="24"/>
      <c r="J17335" s="24"/>
      <c r="K17335" s="24"/>
      <c r="L17335" s="24"/>
      <c r="M17335" s="24"/>
      <c r="N17335" s="24"/>
      <c r="O17335" s="24"/>
      <c r="P17335" s="24"/>
      <c r="Q17335" s="24"/>
      <c r="R17335" s="24"/>
      <c r="S17335" s="24"/>
      <c r="T17335" s="24"/>
      <c r="U17335" s="24"/>
      <c r="V17335" s="24"/>
      <c r="W17335" s="24"/>
      <c r="X17335" s="24"/>
      <c r="Y17335" s="24"/>
      <c r="Z17335" s="24"/>
      <c r="AA17335" s="24"/>
    </row>
    <row r="17336">
      <c r="A17336" s="24"/>
      <c r="B17336" s="25"/>
      <c r="C17336" s="24"/>
      <c r="D17336" s="26"/>
      <c r="E17336" s="24"/>
      <c r="F17336" s="24"/>
      <c r="G17336" s="24"/>
      <c r="H17336" s="24"/>
      <c r="I17336" s="24"/>
      <c r="J17336" s="24"/>
      <c r="K17336" s="24"/>
      <c r="L17336" s="24"/>
      <c r="M17336" s="24"/>
      <c r="N17336" s="24"/>
      <c r="O17336" s="24"/>
      <c r="P17336" s="24"/>
      <c r="Q17336" s="24"/>
      <c r="R17336" s="24"/>
      <c r="S17336" s="24"/>
      <c r="T17336" s="24"/>
      <c r="U17336" s="24"/>
      <c r="V17336" s="24"/>
      <c r="W17336" s="24"/>
      <c r="X17336" s="24"/>
      <c r="Y17336" s="24"/>
      <c r="Z17336" s="24"/>
      <c r="AA17336" s="24"/>
    </row>
    <row r="17337">
      <c r="A17337" s="24"/>
      <c r="B17337" s="25"/>
      <c r="C17337" s="24"/>
      <c r="D17337" s="26"/>
      <c r="E17337" s="24"/>
      <c r="F17337" s="24"/>
      <c r="G17337" s="24"/>
      <c r="H17337" s="24"/>
      <c r="I17337" s="24"/>
      <c r="J17337" s="24"/>
      <c r="K17337" s="24"/>
      <c r="L17337" s="24"/>
      <c r="M17337" s="24"/>
      <c r="N17337" s="24"/>
      <c r="O17337" s="24"/>
      <c r="P17337" s="24"/>
      <c r="Q17337" s="24"/>
      <c r="R17337" s="24"/>
      <c r="S17337" s="24"/>
      <c r="T17337" s="24"/>
      <c r="U17337" s="24"/>
      <c r="V17337" s="24"/>
      <c r="W17337" s="24"/>
      <c r="X17337" s="24"/>
      <c r="Y17337" s="24"/>
      <c r="Z17337" s="24"/>
      <c r="AA17337" s="24"/>
    </row>
    <row r="17338">
      <c r="A17338" s="24"/>
      <c r="B17338" s="25"/>
      <c r="C17338" s="24"/>
      <c r="D17338" s="26"/>
      <c r="E17338" s="24"/>
      <c r="F17338" s="24"/>
      <c r="G17338" s="24"/>
      <c r="H17338" s="24"/>
      <c r="I17338" s="24"/>
      <c r="J17338" s="24"/>
      <c r="K17338" s="24"/>
      <c r="L17338" s="24"/>
      <c r="M17338" s="24"/>
      <c r="N17338" s="24"/>
      <c r="O17338" s="24"/>
      <c r="P17338" s="24"/>
      <c r="Q17338" s="24"/>
      <c r="R17338" s="24"/>
      <c r="S17338" s="24"/>
      <c r="T17338" s="24"/>
      <c r="U17338" s="24"/>
      <c r="V17338" s="24"/>
      <c r="W17338" s="24"/>
      <c r="X17338" s="24"/>
      <c r="Y17338" s="24"/>
      <c r="Z17338" s="24"/>
      <c r="AA17338" s="24"/>
    </row>
    <row r="17339">
      <c r="A17339" s="24"/>
      <c r="B17339" s="25"/>
      <c r="C17339" s="24"/>
      <c r="D17339" s="26"/>
      <c r="E17339" s="24"/>
      <c r="F17339" s="24"/>
      <c r="G17339" s="24"/>
      <c r="H17339" s="24"/>
      <c r="I17339" s="24"/>
      <c r="J17339" s="24"/>
      <c r="K17339" s="24"/>
      <c r="L17339" s="24"/>
      <c r="M17339" s="24"/>
      <c r="N17339" s="24"/>
      <c r="O17339" s="24"/>
      <c r="P17339" s="24"/>
      <c r="Q17339" s="24"/>
      <c r="R17339" s="24"/>
      <c r="S17339" s="24"/>
      <c r="T17339" s="24"/>
      <c r="U17339" s="24"/>
      <c r="V17339" s="24"/>
      <c r="W17339" s="24"/>
      <c r="X17339" s="24"/>
      <c r="Y17339" s="24"/>
      <c r="Z17339" s="24"/>
      <c r="AA17339" s="24"/>
    </row>
    <row r="17340">
      <c r="A17340" s="24"/>
      <c r="B17340" s="25"/>
      <c r="C17340" s="24"/>
      <c r="D17340" s="26"/>
      <c r="E17340" s="24"/>
      <c r="F17340" s="24"/>
      <c r="G17340" s="24"/>
      <c r="H17340" s="24"/>
      <c r="I17340" s="24"/>
      <c r="J17340" s="24"/>
      <c r="K17340" s="24"/>
      <c r="L17340" s="24"/>
      <c r="M17340" s="24"/>
      <c r="N17340" s="24"/>
      <c r="O17340" s="24"/>
      <c r="P17340" s="24"/>
      <c r="Q17340" s="24"/>
      <c r="R17340" s="24"/>
      <c r="S17340" s="24"/>
      <c r="T17340" s="24"/>
      <c r="U17340" s="24"/>
      <c r="V17340" s="24"/>
      <c r="W17340" s="24"/>
      <c r="X17340" s="24"/>
      <c r="Y17340" s="24"/>
      <c r="Z17340" s="24"/>
      <c r="AA17340" s="24"/>
    </row>
    <row r="17341">
      <c r="A17341" s="24"/>
      <c r="B17341" s="25"/>
      <c r="C17341" s="24"/>
      <c r="D17341" s="26"/>
      <c r="E17341" s="24"/>
      <c r="F17341" s="24"/>
      <c r="G17341" s="24"/>
      <c r="H17341" s="24"/>
      <c r="I17341" s="24"/>
      <c r="J17341" s="24"/>
      <c r="K17341" s="24"/>
      <c r="L17341" s="24"/>
      <c r="M17341" s="24"/>
      <c r="N17341" s="24"/>
      <c r="O17341" s="24"/>
      <c r="P17341" s="24"/>
      <c r="Q17341" s="24"/>
      <c r="R17341" s="24"/>
      <c r="S17341" s="24"/>
      <c r="T17341" s="24"/>
      <c r="U17341" s="24"/>
      <c r="V17341" s="24"/>
      <c r="W17341" s="24"/>
      <c r="X17341" s="24"/>
      <c r="Y17341" s="24"/>
      <c r="Z17341" s="24"/>
      <c r="AA17341" s="24"/>
    </row>
    <row r="17342">
      <c r="A17342" s="24"/>
      <c r="B17342" s="25"/>
      <c r="C17342" s="24"/>
      <c r="D17342" s="26"/>
      <c r="E17342" s="24"/>
      <c r="F17342" s="24"/>
      <c r="G17342" s="24"/>
      <c r="H17342" s="24"/>
      <c r="I17342" s="24"/>
      <c r="J17342" s="24"/>
      <c r="K17342" s="24"/>
      <c r="L17342" s="24"/>
      <c r="M17342" s="24"/>
      <c r="N17342" s="24"/>
      <c r="O17342" s="24"/>
      <c r="P17342" s="24"/>
      <c r="Q17342" s="24"/>
      <c r="R17342" s="24"/>
      <c r="S17342" s="24"/>
      <c r="T17342" s="24"/>
      <c r="U17342" s="24"/>
      <c r="V17342" s="24"/>
      <c r="W17342" s="24"/>
      <c r="X17342" s="24"/>
      <c r="Y17342" s="24"/>
      <c r="Z17342" s="24"/>
      <c r="AA17342" s="24"/>
    </row>
    <row r="17343">
      <c r="A17343" s="24"/>
      <c r="B17343" s="25"/>
      <c r="C17343" s="24"/>
      <c r="D17343" s="26"/>
      <c r="E17343" s="24"/>
      <c r="F17343" s="24"/>
      <c r="G17343" s="24"/>
      <c r="H17343" s="24"/>
      <c r="I17343" s="24"/>
      <c r="J17343" s="24"/>
      <c r="K17343" s="24"/>
      <c r="L17343" s="24"/>
      <c r="M17343" s="24"/>
      <c r="N17343" s="24"/>
      <c r="O17343" s="24"/>
      <c r="P17343" s="24"/>
      <c r="Q17343" s="24"/>
      <c r="R17343" s="24"/>
      <c r="S17343" s="24"/>
      <c r="T17343" s="24"/>
      <c r="U17343" s="24"/>
      <c r="V17343" s="24"/>
      <c r="W17343" s="24"/>
      <c r="X17343" s="24"/>
      <c r="Y17343" s="24"/>
      <c r="Z17343" s="24"/>
      <c r="AA17343" s="24"/>
    </row>
    <row r="17344">
      <c r="A17344" s="24"/>
      <c r="B17344" s="25"/>
      <c r="C17344" s="24"/>
      <c r="D17344" s="26"/>
      <c r="E17344" s="24"/>
      <c r="F17344" s="24"/>
      <c r="G17344" s="24"/>
      <c r="H17344" s="24"/>
      <c r="I17344" s="24"/>
      <c r="J17344" s="24"/>
      <c r="K17344" s="24"/>
      <c r="L17344" s="24"/>
      <c r="M17344" s="24"/>
      <c r="N17344" s="24"/>
      <c r="O17344" s="24"/>
      <c r="P17344" s="24"/>
      <c r="Q17344" s="24"/>
      <c r="R17344" s="24"/>
      <c r="S17344" s="24"/>
      <c r="T17344" s="24"/>
      <c r="U17344" s="24"/>
      <c r="V17344" s="24"/>
      <c r="W17344" s="24"/>
      <c r="X17344" s="24"/>
      <c r="Y17344" s="24"/>
      <c r="Z17344" s="24"/>
      <c r="AA17344" s="24"/>
    </row>
    <row r="17345">
      <c r="A17345" s="24"/>
      <c r="B17345" s="25"/>
      <c r="C17345" s="24"/>
      <c r="D17345" s="26"/>
      <c r="E17345" s="24"/>
      <c r="F17345" s="24"/>
      <c r="G17345" s="24"/>
      <c r="H17345" s="24"/>
      <c r="I17345" s="24"/>
      <c r="J17345" s="24"/>
      <c r="K17345" s="24"/>
      <c r="L17345" s="24"/>
      <c r="M17345" s="24"/>
      <c r="N17345" s="24"/>
      <c r="O17345" s="24"/>
      <c r="P17345" s="24"/>
      <c r="Q17345" s="24"/>
      <c r="R17345" s="24"/>
      <c r="S17345" s="24"/>
      <c r="T17345" s="24"/>
      <c r="U17345" s="24"/>
      <c r="V17345" s="24"/>
      <c r="W17345" s="24"/>
      <c r="X17345" s="24"/>
      <c r="Y17345" s="24"/>
      <c r="Z17345" s="24"/>
      <c r="AA17345" s="24"/>
    </row>
    <row r="17346">
      <c r="A17346" s="24"/>
      <c r="B17346" s="25"/>
      <c r="C17346" s="24"/>
      <c r="D17346" s="26"/>
      <c r="E17346" s="24"/>
      <c r="F17346" s="24"/>
      <c r="G17346" s="24"/>
      <c r="H17346" s="24"/>
      <c r="I17346" s="24"/>
      <c r="J17346" s="24"/>
      <c r="K17346" s="24"/>
      <c r="L17346" s="24"/>
      <c r="M17346" s="24"/>
      <c r="N17346" s="24"/>
      <c r="O17346" s="24"/>
      <c r="P17346" s="24"/>
      <c r="Q17346" s="24"/>
      <c r="R17346" s="24"/>
      <c r="S17346" s="24"/>
      <c r="T17346" s="24"/>
      <c r="U17346" s="24"/>
      <c r="V17346" s="24"/>
      <c r="W17346" s="24"/>
      <c r="X17346" s="24"/>
      <c r="Y17346" s="24"/>
      <c r="Z17346" s="24"/>
      <c r="AA17346" s="24"/>
    </row>
    <row r="17347">
      <c r="A17347" s="24"/>
      <c r="B17347" s="25"/>
      <c r="C17347" s="24"/>
      <c r="D17347" s="26"/>
      <c r="E17347" s="24"/>
      <c r="F17347" s="24"/>
      <c r="G17347" s="24"/>
      <c r="H17347" s="24"/>
      <c r="I17347" s="24"/>
      <c r="J17347" s="24"/>
      <c r="K17347" s="24"/>
      <c r="L17347" s="24"/>
      <c r="M17347" s="24"/>
      <c r="N17347" s="24"/>
      <c r="O17347" s="24"/>
      <c r="P17347" s="24"/>
      <c r="Q17347" s="24"/>
      <c r="R17347" s="24"/>
      <c r="S17347" s="24"/>
      <c r="T17347" s="24"/>
      <c r="U17347" s="24"/>
      <c r="V17347" s="24"/>
      <c r="W17347" s="24"/>
      <c r="X17347" s="24"/>
      <c r="Y17347" s="24"/>
      <c r="Z17347" s="24"/>
      <c r="AA17347" s="24"/>
    </row>
    <row r="17348">
      <c r="A17348" s="24"/>
      <c r="B17348" s="25"/>
      <c r="C17348" s="24"/>
      <c r="D17348" s="26"/>
      <c r="E17348" s="24"/>
      <c r="F17348" s="24"/>
      <c r="G17348" s="24"/>
      <c r="H17348" s="24"/>
      <c r="I17348" s="24"/>
      <c r="J17348" s="24"/>
      <c r="K17348" s="24"/>
      <c r="L17348" s="24"/>
      <c r="M17348" s="24"/>
      <c r="N17348" s="24"/>
      <c r="O17348" s="24"/>
      <c r="P17348" s="24"/>
      <c r="Q17348" s="24"/>
      <c r="R17348" s="24"/>
      <c r="S17348" s="24"/>
      <c r="T17348" s="24"/>
      <c r="U17348" s="24"/>
      <c r="V17348" s="24"/>
      <c r="W17348" s="24"/>
      <c r="X17348" s="24"/>
      <c r="Y17348" s="24"/>
      <c r="Z17348" s="24"/>
      <c r="AA17348" s="24"/>
    </row>
    <row r="17349">
      <c r="A17349" s="24"/>
      <c r="B17349" s="25"/>
      <c r="C17349" s="24"/>
      <c r="D17349" s="26"/>
      <c r="E17349" s="24"/>
      <c r="F17349" s="24"/>
      <c r="G17349" s="24"/>
      <c r="H17349" s="24"/>
      <c r="I17349" s="24"/>
      <c r="J17349" s="24"/>
      <c r="K17349" s="24"/>
      <c r="L17349" s="24"/>
      <c r="M17349" s="24"/>
      <c r="N17349" s="24"/>
      <c r="O17349" s="24"/>
      <c r="P17349" s="24"/>
      <c r="Q17349" s="24"/>
      <c r="R17349" s="24"/>
      <c r="S17349" s="24"/>
      <c r="T17349" s="24"/>
      <c r="U17349" s="24"/>
      <c r="V17349" s="24"/>
      <c r="W17349" s="24"/>
      <c r="X17349" s="24"/>
      <c r="Y17349" s="24"/>
      <c r="Z17349" s="24"/>
      <c r="AA17349" s="24"/>
    </row>
    <row r="17350">
      <c r="A17350" s="24"/>
      <c r="B17350" s="25"/>
      <c r="C17350" s="24"/>
      <c r="D17350" s="26"/>
      <c r="E17350" s="24"/>
      <c r="F17350" s="24"/>
      <c r="G17350" s="24"/>
      <c r="H17350" s="24"/>
      <c r="I17350" s="24"/>
      <c r="J17350" s="24"/>
      <c r="K17350" s="24"/>
      <c r="L17350" s="24"/>
      <c r="M17350" s="24"/>
      <c r="N17350" s="24"/>
      <c r="O17350" s="24"/>
      <c r="P17350" s="24"/>
      <c r="Q17350" s="24"/>
      <c r="R17350" s="24"/>
      <c r="S17350" s="24"/>
      <c r="T17350" s="24"/>
      <c r="U17350" s="24"/>
      <c r="V17350" s="24"/>
      <c r="W17350" s="24"/>
      <c r="X17350" s="24"/>
      <c r="Y17350" s="24"/>
      <c r="Z17350" s="24"/>
      <c r="AA17350" s="24"/>
    </row>
    <row r="17351">
      <c r="A17351" s="24"/>
      <c r="B17351" s="25"/>
      <c r="C17351" s="24"/>
      <c r="D17351" s="26"/>
      <c r="E17351" s="24"/>
      <c r="F17351" s="24"/>
      <c r="G17351" s="24"/>
      <c r="H17351" s="24"/>
      <c r="I17351" s="24"/>
      <c r="J17351" s="24"/>
      <c r="K17351" s="24"/>
      <c r="L17351" s="24"/>
      <c r="M17351" s="24"/>
      <c r="N17351" s="24"/>
      <c r="O17351" s="24"/>
      <c r="P17351" s="24"/>
      <c r="Q17351" s="24"/>
      <c r="R17351" s="24"/>
      <c r="S17351" s="24"/>
      <c r="T17351" s="24"/>
      <c r="U17351" s="24"/>
      <c r="V17351" s="24"/>
      <c r="W17351" s="24"/>
      <c r="X17351" s="24"/>
      <c r="Y17351" s="24"/>
      <c r="Z17351" s="24"/>
      <c r="AA17351" s="24"/>
    </row>
    <row r="17352">
      <c r="A17352" s="24"/>
      <c r="B17352" s="25"/>
      <c r="C17352" s="24"/>
      <c r="D17352" s="26"/>
      <c r="E17352" s="24"/>
      <c r="F17352" s="24"/>
      <c r="G17352" s="24"/>
      <c r="H17352" s="24"/>
      <c r="I17352" s="24"/>
      <c r="J17352" s="24"/>
      <c r="K17352" s="24"/>
      <c r="L17352" s="24"/>
      <c r="M17352" s="24"/>
      <c r="N17352" s="24"/>
      <c r="O17352" s="24"/>
      <c r="P17352" s="24"/>
      <c r="Q17352" s="24"/>
      <c r="R17352" s="24"/>
      <c r="S17352" s="24"/>
      <c r="T17352" s="24"/>
      <c r="U17352" s="24"/>
      <c r="V17352" s="24"/>
      <c r="W17352" s="24"/>
      <c r="X17352" s="24"/>
      <c r="Y17352" s="24"/>
      <c r="Z17352" s="24"/>
      <c r="AA17352" s="24"/>
    </row>
    <row r="17353">
      <c r="A17353" s="24"/>
      <c r="B17353" s="25"/>
      <c r="C17353" s="24"/>
      <c r="D17353" s="26"/>
      <c r="E17353" s="24"/>
      <c r="F17353" s="24"/>
      <c r="G17353" s="24"/>
      <c r="H17353" s="24"/>
      <c r="I17353" s="24"/>
      <c r="J17353" s="24"/>
      <c r="K17353" s="24"/>
      <c r="L17353" s="24"/>
      <c r="M17353" s="24"/>
      <c r="N17353" s="24"/>
      <c r="O17353" s="24"/>
      <c r="P17353" s="24"/>
      <c r="Q17353" s="24"/>
      <c r="R17353" s="24"/>
      <c r="S17353" s="24"/>
      <c r="T17353" s="24"/>
      <c r="U17353" s="24"/>
      <c r="V17353" s="24"/>
      <c r="W17353" s="24"/>
      <c r="X17353" s="24"/>
      <c r="Y17353" s="24"/>
      <c r="Z17353" s="24"/>
      <c r="AA17353" s="24"/>
    </row>
    <row r="17354">
      <c r="A17354" s="24"/>
      <c r="B17354" s="25"/>
      <c r="C17354" s="24"/>
      <c r="D17354" s="26"/>
      <c r="E17354" s="24"/>
      <c r="F17354" s="24"/>
      <c r="G17354" s="24"/>
      <c r="H17354" s="24"/>
      <c r="I17354" s="24"/>
      <c r="J17354" s="24"/>
      <c r="K17354" s="24"/>
      <c r="L17354" s="24"/>
      <c r="M17354" s="24"/>
      <c r="N17354" s="24"/>
      <c r="O17354" s="24"/>
      <c r="P17354" s="24"/>
      <c r="Q17354" s="24"/>
      <c r="R17354" s="24"/>
      <c r="S17354" s="24"/>
      <c r="T17354" s="24"/>
      <c r="U17354" s="24"/>
      <c r="V17354" s="24"/>
      <c r="W17354" s="24"/>
      <c r="X17354" s="24"/>
      <c r="Y17354" s="24"/>
      <c r="Z17354" s="24"/>
      <c r="AA17354" s="24"/>
    </row>
    <row r="17355">
      <c r="A17355" s="24"/>
      <c r="B17355" s="25"/>
      <c r="C17355" s="24"/>
      <c r="D17355" s="26"/>
      <c r="E17355" s="24"/>
      <c r="F17355" s="24"/>
      <c r="G17355" s="24"/>
      <c r="H17355" s="24"/>
      <c r="I17355" s="24"/>
      <c r="J17355" s="24"/>
      <c r="K17355" s="24"/>
      <c r="L17355" s="24"/>
      <c r="M17355" s="24"/>
      <c r="N17355" s="24"/>
      <c r="O17355" s="24"/>
      <c r="P17355" s="24"/>
      <c r="Q17355" s="24"/>
      <c r="R17355" s="24"/>
      <c r="S17355" s="24"/>
      <c r="T17355" s="24"/>
      <c r="U17355" s="24"/>
      <c r="V17355" s="24"/>
      <c r="W17355" s="24"/>
      <c r="X17355" s="24"/>
      <c r="Y17355" s="24"/>
      <c r="Z17355" s="24"/>
      <c r="AA17355" s="24"/>
    </row>
    <row r="17356">
      <c r="A17356" s="24"/>
      <c r="B17356" s="25"/>
      <c r="C17356" s="24"/>
      <c r="D17356" s="26"/>
      <c r="E17356" s="24"/>
      <c r="F17356" s="24"/>
      <c r="G17356" s="24"/>
      <c r="H17356" s="24"/>
      <c r="I17356" s="24"/>
      <c r="J17356" s="24"/>
      <c r="K17356" s="24"/>
      <c r="L17356" s="24"/>
      <c r="M17356" s="24"/>
      <c r="N17356" s="24"/>
      <c r="O17356" s="24"/>
      <c r="P17356" s="24"/>
      <c r="Q17356" s="24"/>
      <c r="R17356" s="24"/>
      <c r="S17356" s="24"/>
      <c r="T17356" s="24"/>
      <c r="U17356" s="24"/>
      <c r="V17356" s="24"/>
      <c r="W17356" s="24"/>
      <c r="X17356" s="24"/>
      <c r="Y17356" s="24"/>
      <c r="Z17356" s="24"/>
      <c r="AA17356" s="24"/>
    </row>
    <row r="17357">
      <c r="A17357" s="24"/>
      <c r="B17357" s="25"/>
      <c r="C17357" s="24"/>
      <c r="D17357" s="26"/>
      <c r="E17357" s="24"/>
      <c r="F17357" s="24"/>
      <c r="G17357" s="24"/>
      <c r="H17357" s="24"/>
      <c r="I17357" s="24"/>
      <c r="J17357" s="24"/>
      <c r="K17357" s="24"/>
      <c r="L17357" s="24"/>
      <c r="M17357" s="24"/>
      <c r="N17357" s="24"/>
      <c r="O17357" s="24"/>
      <c r="P17357" s="24"/>
      <c r="Q17357" s="24"/>
      <c r="R17357" s="24"/>
      <c r="S17357" s="24"/>
      <c r="T17357" s="24"/>
      <c r="U17357" s="24"/>
      <c r="V17357" s="24"/>
      <c r="W17357" s="24"/>
      <c r="X17357" s="24"/>
      <c r="Y17357" s="24"/>
      <c r="Z17357" s="24"/>
      <c r="AA17357" s="24"/>
    </row>
    <row r="17358">
      <c r="A17358" s="24"/>
      <c r="B17358" s="25"/>
      <c r="C17358" s="24"/>
      <c r="D17358" s="26"/>
      <c r="E17358" s="24"/>
      <c r="F17358" s="24"/>
      <c r="G17358" s="24"/>
      <c r="H17358" s="24"/>
      <c r="I17358" s="24"/>
      <c r="J17358" s="24"/>
      <c r="K17358" s="24"/>
      <c r="L17358" s="24"/>
      <c r="M17358" s="24"/>
      <c r="N17358" s="24"/>
      <c r="O17358" s="24"/>
      <c r="P17358" s="24"/>
      <c r="Q17358" s="24"/>
      <c r="R17358" s="24"/>
      <c r="S17358" s="24"/>
      <c r="T17358" s="24"/>
      <c r="U17358" s="24"/>
      <c r="V17358" s="24"/>
      <c r="W17358" s="24"/>
      <c r="X17358" s="24"/>
      <c r="Y17358" s="24"/>
      <c r="Z17358" s="24"/>
      <c r="AA17358" s="24"/>
    </row>
    <row r="17359">
      <c r="A17359" s="24"/>
      <c r="B17359" s="25"/>
      <c r="C17359" s="24"/>
      <c r="D17359" s="26"/>
      <c r="E17359" s="24"/>
      <c r="F17359" s="24"/>
      <c r="G17359" s="24"/>
      <c r="H17359" s="24"/>
      <c r="I17359" s="24"/>
      <c r="J17359" s="24"/>
      <c r="K17359" s="24"/>
      <c r="L17359" s="24"/>
      <c r="M17359" s="24"/>
      <c r="N17359" s="24"/>
      <c r="O17359" s="24"/>
      <c r="P17359" s="24"/>
      <c r="Q17359" s="24"/>
      <c r="R17359" s="24"/>
      <c r="S17359" s="24"/>
      <c r="T17359" s="24"/>
      <c r="U17359" s="24"/>
      <c r="V17359" s="24"/>
      <c r="W17359" s="24"/>
      <c r="X17359" s="24"/>
      <c r="Y17359" s="24"/>
      <c r="Z17359" s="24"/>
      <c r="AA17359" s="24"/>
    </row>
    <row r="17360">
      <c r="A17360" s="24"/>
      <c r="B17360" s="25"/>
      <c r="C17360" s="24"/>
      <c r="D17360" s="26"/>
      <c r="E17360" s="24"/>
      <c r="F17360" s="24"/>
      <c r="G17360" s="24"/>
      <c r="H17360" s="24"/>
      <c r="I17360" s="24"/>
      <c r="J17360" s="24"/>
      <c r="K17360" s="24"/>
      <c r="L17360" s="24"/>
      <c r="M17360" s="24"/>
      <c r="N17360" s="24"/>
      <c r="O17360" s="24"/>
      <c r="P17360" s="24"/>
      <c r="Q17360" s="24"/>
      <c r="R17360" s="24"/>
      <c r="S17360" s="24"/>
      <c r="T17360" s="24"/>
      <c r="U17360" s="24"/>
      <c r="V17360" s="24"/>
      <c r="W17360" s="24"/>
      <c r="X17360" s="24"/>
      <c r="Y17360" s="24"/>
      <c r="Z17360" s="24"/>
      <c r="AA17360" s="24"/>
    </row>
    <row r="17361">
      <c r="A17361" s="24"/>
      <c r="B17361" s="25"/>
      <c r="C17361" s="24"/>
      <c r="D17361" s="26"/>
      <c r="E17361" s="24"/>
      <c r="F17361" s="24"/>
      <c r="G17361" s="24"/>
      <c r="H17361" s="24"/>
      <c r="I17361" s="24"/>
      <c r="J17361" s="24"/>
      <c r="K17361" s="24"/>
      <c r="L17361" s="24"/>
      <c r="M17361" s="24"/>
      <c r="N17361" s="24"/>
      <c r="O17361" s="24"/>
      <c r="P17361" s="24"/>
      <c r="Q17361" s="24"/>
      <c r="R17361" s="24"/>
      <c r="S17361" s="24"/>
      <c r="T17361" s="24"/>
      <c r="U17361" s="24"/>
      <c r="V17361" s="24"/>
      <c r="W17361" s="24"/>
      <c r="X17361" s="24"/>
      <c r="Y17361" s="24"/>
      <c r="Z17361" s="24"/>
      <c r="AA17361" s="24"/>
    </row>
    <row r="17362">
      <c r="A17362" s="24"/>
      <c r="B17362" s="25"/>
      <c r="C17362" s="24"/>
      <c r="D17362" s="26"/>
      <c r="E17362" s="24"/>
      <c r="F17362" s="24"/>
      <c r="G17362" s="24"/>
      <c r="H17362" s="24"/>
      <c r="I17362" s="24"/>
      <c r="J17362" s="24"/>
      <c r="K17362" s="24"/>
      <c r="L17362" s="24"/>
      <c r="M17362" s="24"/>
      <c r="N17362" s="24"/>
      <c r="O17362" s="24"/>
      <c r="P17362" s="24"/>
      <c r="Q17362" s="24"/>
      <c r="R17362" s="24"/>
      <c r="S17362" s="24"/>
      <c r="T17362" s="24"/>
      <c r="U17362" s="24"/>
      <c r="V17362" s="24"/>
      <c r="W17362" s="24"/>
      <c r="X17362" s="24"/>
      <c r="Y17362" s="24"/>
      <c r="Z17362" s="24"/>
      <c r="AA17362" s="24"/>
    </row>
    <row r="17363">
      <c r="A17363" s="24"/>
      <c r="B17363" s="25"/>
      <c r="C17363" s="24"/>
      <c r="D17363" s="26"/>
      <c r="E17363" s="24"/>
      <c r="F17363" s="24"/>
      <c r="G17363" s="24"/>
      <c r="H17363" s="24"/>
      <c r="I17363" s="24"/>
      <c r="J17363" s="24"/>
      <c r="K17363" s="24"/>
      <c r="L17363" s="24"/>
      <c r="M17363" s="24"/>
      <c r="N17363" s="24"/>
      <c r="O17363" s="24"/>
      <c r="P17363" s="24"/>
      <c r="Q17363" s="24"/>
      <c r="R17363" s="24"/>
      <c r="S17363" s="24"/>
      <c r="T17363" s="24"/>
      <c r="U17363" s="24"/>
      <c r="V17363" s="24"/>
      <c r="W17363" s="24"/>
      <c r="X17363" s="24"/>
      <c r="Y17363" s="24"/>
      <c r="Z17363" s="24"/>
      <c r="AA17363" s="24"/>
    </row>
    <row r="17364">
      <c r="A17364" s="24"/>
      <c r="B17364" s="25"/>
      <c r="C17364" s="24"/>
      <c r="D17364" s="26"/>
      <c r="E17364" s="24"/>
      <c r="F17364" s="24"/>
      <c r="G17364" s="24"/>
      <c r="H17364" s="24"/>
      <c r="I17364" s="24"/>
      <c r="J17364" s="24"/>
      <c r="K17364" s="24"/>
      <c r="L17364" s="24"/>
      <c r="M17364" s="24"/>
      <c r="N17364" s="24"/>
      <c r="O17364" s="24"/>
      <c r="P17364" s="24"/>
      <c r="Q17364" s="24"/>
      <c r="R17364" s="24"/>
      <c r="S17364" s="24"/>
      <c r="T17364" s="24"/>
      <c r="U17364" s="24"/>
      <c r="V17364" s="24"/>
      <c r="W17364" s="24"/>
      <c r="X17364" s="24"/>
      <c r="Y17364" s="24"/>
      <c r="Z17364" s="24"/>
      <c r="AA17364" s="24"/>
    </row>
    <row r="17365">
      <c r="A17365" s="24"/>
      <c r="B17365" s="25"/>
      <c r="C17365" s="24"/>
      <c r="D17365" s="26"/>
      <c r="E17365" s="24"/>
      <c r="F17365" s="24"/>
      <c r="G17365" s="24"/>
      <c r="H17365" s="24"/>
      <c r="I17365" s="24"/>
      <c r="J17365" s="24"/>
      <c r="K17365" s="24"/>
      <c r="L17365" s="24"/>
      <c r="M17365" s="24"/>
      <c r="N17365" s="24"/>
      <c r="O17365" s="24"/>
      <c r="P17365" s="24"/>
      <c r="Q17365" s="24"/>
      <c r="R17365" s="24"/>
      <c r="S17365" s="24"/>
      <c r="T17365" s="24"/>
      <c r="U17365" s="24"/>
      <c r="V17365" s="24"/>
      <c r="W17365" s="24"/>
      <c r="X17365" s="24"/>
      <c r="Y17365" s="24"/>
      <c r="Z17365" s="24"/>
      <c r="AA17365" s="24"/>
    </row>
    <row r="17366">
      <c r="A17366" s="24"/>
      <c r="B17366" s="25"/>
      <c r="C17366" s="24"/>
      <c r="D17366" s="26"/>
      <c r="E17366" s="24"/>
      <c r="F17366" s="24"/>
      <c r="G17366" s="24"/>
      <c r="H17366" s="24"/>
      <c r="I17366" s="24"/>
      <c r="J17366" s="24"/>
      <c r="K17366" s="24"/>
      <c r="L17366" s="24"/>
      <c r="M17366" s="24"/>
      <c r="N17366" s="24"/>
      <c r="O17366" s="24"/>
      <c r="P17366" s="24"/>
      <c r="Q17366" s="24"/>
      <c r="R17366" s="24"/>
      <c r="S17366" s="24"/>
      <c r="T17366" s="24"/>
      <c r="U17366" s="24"/>
      <c r="V17366" s="24"/>
      <c r="W17366" s="24"/>
      <c r="X17366" s="24"/>
      <c r="Y17366" s="24"/>
      <c r="Z17366" s="24"/>
      <c r="AA17366" s="24"/>
    </row>
    <row r="17367">
      <c r="A17367" s="24"/>
      <c r="B17367" s="25"/>
      <c r="C17367" s="24"/>
      <c r="D17367" s="26"/>
      <c r="E17367" s="24"/>
      <c r="F17367" s="24"/>
      <c r="G17367" s="24"/>
      <c r="H17367" s="24"/>
      <c r="I17367" s="24"/>
      <c r="J17367" s="24"/>
      <c r="K17367" s="24"/>
      <c r="L17367" s="24"/>
      <c r="M17367" s="24"/>
      <c r="N17367" s="24"/>
      <c r="O17367" s="24"/>
      <c r="P17367" s="24"/>
      <c r="Q17367" s="24"/>
      <c r="R17367" s="24"/>
      <c r="S17367" s="24"/>
      <c r="T17367" s="24"/>
      <c r="U17367" s="24"/>
      <c r="V17367" s="24"/>
      <c r="W17367" s="24"/>
      <c r="X17367" s="24"/>
      <c r="Y17367" s="24"/>
      <c r="Z17367" s="24"/>
      <c r="AA17367" s="24"/>
    </row>
    <row r="17368">
      <c r="A17368" s="24"/>
      <c r="B17368" s="25"/>
      <c r="C17368" s="24"/>
      <c r="D17368" s="26"/>
      <c r="E17368" s="24"/>
      <c r="F17368" s="24"/>
      <c r="G17368" s="24"/>
      <c r="H17368" s="24"/>
      <c r="I17368" s="24"/>
      <c r="J17368" s="24"/>
      <c r="K17368" s="24"/>
      <c r="L17368" s="24"/>
      <c r="M17368" s="24"/>
      <c r="N17368" s="24"/>
      <c r="O17368" s="24"/>
      <c r="P17368" s="24"/>
      <c r="Q17368" s="24"/>
      <c r="R17368" s="24"/>
      <c r="S17368" s="24"/>
      <c r="T17368" s="24"/>
      <c r="U17368" s="24"/>
      <c r="V17368" s="24"/>
      <c r="W17368" s="24"/>
      <c r="X17368" s="24"/>
      <c r="Y17368" s="24"/>
      <c r="Z17368" s="24"/>
      <c r="AA17368" s="24"/>
    </row>
    <row r="17369">
      <c r="A17369" s="24"/>
      <c r="B17369" s="25"/>
      <c r="C17369" s="24"/>
      <c r="D17369" s="26"/>
      <c r="E17369" s="24"/>
      <c r="F17369" s="24"/>
      <c r="G17369" s="24"/>
      <c r="H17369" s="24"/>
      <c r="I17369" s="24"/>
      <c r="J17369" s="24"/>
      <c r="K17369" s="24"/>
      <c r="L17369" s="24"/>
      <c r="M17369" s="24"/>
      <c r="N17369" s="24"/>
      <c r="O17369" s="24"/>
      <c r="P17369" s="24"/>
      <c r="Q17369" s="24"/>
      <c r="R17369" s="24"/>
      <c r="S17369" s="24"/>
      <c r="T17369" s="24"/>
      <c r="U17369" s="24"/>
      <c r="V17369" s="24"/>
      <c r="W17369" s="24"/>
      <c r="X17369" s="24"/>
      <c r="Y17369" s="24"/>
      <c r="Z17369" s="24"/>
      <c r="AA17369" s="24"/>
    </row>
    <row r="17370">
      <c r="A17370" s="24"/>
      <c r="B17370" s="25"/>
      <c r="C17370" s="24"/>
      <c r="D17370" s="26"/>
      <c r="E17370" s="24"/>
      <c r="F17370" s="24"/>
      <c r="G17370" s="24"/>
      <c r="H17370" s="24"/>
      <c r="I17370" s="24"/>
      <c r="J17370" s="24"/>
      <c r="K17370" s="24"/>
      <c r="L17370" s="24"/>
      <c r="M17370" s="24"/>
      <c r="N17370" s="24"/>
      <c r="O17370" s="24"/>
      <c r="P17370" s="24"/>
      <c r="Q17370" s="24"/>
      <c r="R17370" s="24"/>
      <c r="S17370" s="24"/>
      <c r="T17370" s="24"/>
      <c r="U17370" s="24"/>
      <c r="V17370" s="24"/>
      <c r="W17370" s="24"/>
      <c r="X17370" s="24"/>
      <c r="Y17370" s="24"/>
      <c r="Z17370" s="24"/>
      <c r="AA17370" s="24"/>
    </row>
    <row r="17371">
      <c r="A17371" s="24"/>
      <c r="B17371" s="25"/>
      <c r="C17371" s="24"/>
      <c r="D17371" s="26"/>
      <c r="E17371" s="24"/>
      <c r="F17371" s="24"/>
      <c r="G17371" s="24"/>
      <c r="H17371" s="24"/>
      <c r="I17371" s="24"/>
      <c r="J17371" s="24"/>
      <c r="K17371" s="24"/>
      <c r="L17371" s="24"/>
      <c r="M17371" s="24"/>
      <c r="N17371" s="24"/>
      <c r="O17371" s="24"/>
      <c r="P17371" s="24"/>
      <c r="Q17371" s="24"/>
      <c r="R17371" s="24"/>
      <c r="S17371" s="24"/>
      <c r="T17371" s="24"/>
      <c r="U17371" s="24"/>
      <c r="V17371" s="24"/>
      <c r="W17371" s="24"/>
      <c r="X17371" s="24"/>
      <c r="Y17371" s="24"/>
      <c r="Z17371" s="24"/>
      <c r="AA17371" s="24"/>
    </row>
    <row r="17372">
      <c r="A17372" s="24"/>
      <c r="B17372" s="25"/>
      <c r="C17372" s="24"/>
      <c r="D17372" s="26"/>
      <c r="E17372" s="24"/>
      <c r="F17372" s="24"/>
      <c r="G17372" s="24"/>
      <c r="H17372" s="24"/>
      <c r="I17372" s="24"/>
      <c r="J17372" s="24"/>
      <c r="K17372" s="24"/>
      <c r="L17372" s="24"/>
      <c r="M17372" s="24"/>
      <c r="N17372" s="24"/>
      <c r="O17372" s="24"/>
      <c r="P17372" s="24"/>
      <c r="Q17372" s="24"/>
      <c r="R17372" s="24"/>
      <c r="S17372" s="24"/>
      <c r="T17372" s="24"/>
      <c r="U17372" s="24"/>
      <c r="V17372" s="24"/>
      <c r="W17372" s="24"/>
      <c r="X17372" s="24"/>
      <c r="Y17372" s="24"/>
      <c r="Z17372" s="24"/>
      <c r="AA17372" s="24"/>
    </row>
    <row r="17373">
      <c r="A17373" s="24"/>
      <c r="B17373" s="25"/>
      <c r="C17373" s="24"/>
      <c r="D17373" s="26"/>
      <c r="E17373" s="24"/>
      <c r="F17373" s="24"/>
      <c r="G17373" s="24"/>
      <c r="H17373" s="24"/>
      <c r="I17373" s="24"/>
      <c r="J17373" s="24"/>
      <c r="K17373" s="24"/>
      <c r="L17373" s="24"/>
      <c r="M17373" s="24"/>
      <c r="N17373" s="24"/>
      <c r="O17373" s="24"/>
      <c r="P17373" s="24"/>
      <c r="Q17373" s="24"/>
      <c r="R17373" s="24"/>
      <c r="S17373" s="24"/>
      <c r="T17373" s="24"/>
      <c r="U17373" s="24"/>
      <c r="V17373" s="24"/>
      <c r="W17373" s="24"/>
      <c r="X17373" s="24"/>
      <c r="Y17373" s="24"/>
      <c r="Z17373" s="24"/>
      <c r="AA17373" s="24"/>
    </row>
    <row r="17374">
      <c r="A17374" s="24"/>
      <c r="B17374" s="25"/>
      <c r="C17374" s="24"/>
      <c r="D17374" s="26"/>
      <c r="E17374" s="24"/>
      <c r="F17374" s="24"/>
      <c r="G17374" s="24"/>
      <c r="H17374" s="24"/>
      <c r="I17374" s="24"/>
      <c r="J17374" s="24"/>
      <c r="K17374" s="24"/>
      <c r="L17374" s="24"/>
      <c r="M17374" s="24"/>
      <c r="N17374" s="24"/>
      <c r="O17374" s="24"/>
      <c r="P17374" s="24"/>
      <c r="Q17374" s="24"/>
      <c r="R17374" s="24"/>
      <c r="S17374" s="24"/>
      <c r="T17374" s="24"/>
      <c r="U17374" s="24"/>
      <c r="V17374" s="24"/>
      <c r="W17374" s="24"/>
      <c r="X17374" s="24"/>
      <c r="Y17374" s="24"/>
      <c r="Z17374" s="24"/>
      <c r="AA17374" s="24"/>
    </row>
    <row r="17375">
      <c r="A17375" s="24"/>
      <c r="B17375" s="25"/>
      <c r="C17375" s="24"/>
      <c r="D17375" s="26"/>
      <c r="E17375" s="24"/>
      <c r="F17375" s="24"/>
      <c r="G17375" s="24"/>
      <c r="H17375" s="24"/>
      <c r="I17375" s="24"/>
      <c r="J17375" s="24"/>
      <c r="K17375" s="24"/>
      <c r="L17375" s="24"/>
      <c r="M17375" s="24"/>
      <c r="N17375" s="24"/>
      <c r="O17375" s="24"/>
      <c r="P17375" s="24"/>
      <c r="Q17375" s="24"/>
      <c r="R17375" s="24"/>
      <c r="S17375" s="24"/>
      <c r="T17375" s="24"/>
      <c r="U17375" s="24"/>
      <c r="V17375" s="24"/>
      <c r="W17375" s="24"/>
      <c r="X17375" s="24"/>
      <c r="Y17375" s="24"/>
      <c r="Z17375" s="24"/>
      <c r="AA17375" s="24"/>
    </row>
    <row r="17376">
      <c r="A17376" s="24"/>
      <c r="B17376" s="25"/>
      <c r="C17376" s="24"/>
      <c r="D17376" s="26"/>
      <c r="E17376" s="24"/>
      <c r="F17376" s="24"/>
      <c r="G17376" s="24"/>
      <c r="H17376" s="24"/>
      <c r="I17376" s="24"/>
      <c r="J17376" s="24"/>
      <c r="K17376" s="24"/>
      <c r="L17376" s="24"/>
      <c r="M17376" s="24"/>
      <c r="N17376" s="24"/>
      <c r="O17376" s="24"/>
      <c r="P17376" s="24"/>
      <c r="Q17376" s="24"/>
      <c r="R17376" s="24"/>
      <c r="S17376" s="24"/>
      <c r="T17376" s="24"/>
      <c r="U17376" s="24"/>
      <c r="V17376" s="24"/>
      <c r="W17376" s="24"/>
      <c r="X17376" s="24"/>
      <c r="Y17376" s="24"/>
      <c r="Z17376" s="24"/>
      <c r="AA17376" s="24"/>
    </row>
    <row r="17377">
      <c r="A17377" s="24"/>
      <c r="B17377" s="25"/>
      <c r="C17377" s="24"/>
      <c r="D17377" s="26"/>
      <c r="E17377" s="24"/>
      <c r="F17377" s="24"/>
      <c r="G17377" s="24"/>
      <c r="H17377" s="24"/>
      <c r="I17377" s="24"/>
      <c r="J17377" s="24"/>
      <c r="K17377" s="24"/>
      <c r="L17377" s="24"/>
      <c r="M17377" s="24"/>
      <c r="N17377" s="24"/>
      <c r="O17377" s="24"/>
      <c r="P17377" s="24"/>
      <c r="Q17377" s="24"/>
      <c r="R17377" s="24"/>
      <c r="S17377" s="24"/>
      <c r="T17377" s="24"/>
      <c r="U17377" s="24"/>
      <c r="V17377" s="24"/>
      <c r="W17377" s="24"/>
      <c r="X17377" s="24"/>
      <c r="Y17377" s="24"/>
      <c r="Z17377" s="24"/>
      <c r="AA17377" s="24"/>
    </row>
    <row r="17378">
      <c r="A17378" s="24"/>
      <c r="B17378" s="25"/>
      <c r="C17378" s="24"/>
      <c r="D17378" s="26"/>
      <c r="E17378" s="24"/>
      <c r="F17378" s="24"/>
      <c r="G17378" s="24"/>
      <c r="H17378" s="24"/>
      <c r="I17378" s="24"/>
      <c r="J17378" s="24"/>
      <c r="K17378" s="24"/>
      <c r="L17378" s="24"/>
      <c r="M17378" s="24"/>
      <c r="N17378" s="24"/>
      <c r="O17378" s="24"/>
      <c r="P17378" s="24"/>
      <c r="Q17378" s="24"/>
      <c r="R17378" s="24"/>
      <c r="S17378" s="24"/>
      <c r="T17378" s="24"/>
      <c r="U17378" s="24"/>
      <c r="V17378" s="24"/>
      <c r="W17378" s="24"/>
      <c r="X17378" s="24"/>
      <c r="Y17378" s="24"/>
      <c r="Z17378" s="24"/>
      <c r="AA17378" s="24"/>
    </row>
    <row r="17379">
      <c r="A17379" s="24"/>
      <c r="B17379" s="25"/>
      <c r="C17379" s="24"/>
      <c r="D17379" s="26"/>
      <c r="E17379" s="24"/>
      <c r="F17379" s="24"/>
      <c r="G17379" s="24"/>
      <c r="H17379" s="24"/>
      <c r="I17379" s="24"/>
      <c r="J17379" s="24"/>
      <c r="K17379" s="24"/>
      <c r="L17379" s="24"/>
      <c r="M17379" s="24"/>
      <c r="N17379" s="24"/>
      <c r="O17379" s="24"/>
      <c r="P17379" s="24"/>
      <c r="Q17379" s="24"/>
      <c r="R17379" s="24"/>
      <c r="S17379" s="24"/>
      <c r="T17379" s="24"/>
      <c r="U17379" s="24"/>
      <c r="V17379" s="24"/>
      <c r="W17379" s="24"/>
      <c r="X17379" s="24"/>
      <c r="Y17379" s="24"/>
      <c r="Z17379" s="24"/>
      <c r="AA17379" s="24"/>
    </row>
    <row r="17380">
      <c r="A17380" s="24"/>
      <c r="B17380" s="25"/>
      <c r="C17380" s="24"/>
      <c r="D17380" s="26"/>
      <c r="E17380" s="24"/>
      <c r="F17380" s="24"/>
      <c r="G17380" s="24"/>
      <c r="H17380" s="24"/>
      <c r="I17380" s="24"/>
      <c r="J17380" s="24"/>
      <c r="K17380" s="24"/>
      <c r="L17380" s="24"/>
      <c r="M17380" s="24"/>
      <c r="N17380" s="24"/>
      <c r="O17380" s="24"/>
      <c r="P17380" s="24"/>
      <c r="Q17380" s="24"/>
      <c r="R17380" s="24"/>
      <c r="S17380" s="24"/>
      <c r="T17380" s="24"/>
      <c r="U17380" s="24"/>
      <c r="V17380" s="24"/>
      <c r="W17380" s="24"/>
      <c r="X17380" s="24"/>
      <c r="Y17380" s="24"/>
      <c r="Z17380" s="24"/>
      <c r="AA17380" s="24"/>
    </row>
    <row r="17381">
      <c r="A17381" s="24"/>
      <c r="B17381" s="25"/>
      <c r="C17381" s="24"/>
      <c r="D17381" s="26"/>
      <c r="E17381" s="24"/>
      <c r="F17381" s="24"/>
      <c r="G17381" s="24"/>
      <c r="H17381" s="24"/>
      <c r="I17381" s="24"/>
      <c r="J17381" s="24"/>
      <c r="K17381" s="24"/>
      <c r="L17381" s="24"/>
      <c r="M17381" s="24"/>
      <c r="N17381" s="24"/>
      <c r="O17381" s="24"/>
      <c r="P17381" s="24"/>
      <c r="Q17381" s="24"/>
      <c r="R17381" s="24"/>
      <c r="S17381" s="24"/>
      <c r="T17381" s="24"/>
      <c r="U17381" s="24"/>
      <c r="V17381" s="24"/>
      <c r="W17381" s="24"/>
      <c r="X17381" s="24"/>
      <c r="Y17381" s="24"/>
      <c r="Z17381" s="24"/>
      <c r="AA17381" s="24"/>
    </row>
    <row r="17382">
      <c r="A17382" s="24"/>
      <c r="B17382" s="25"/>
      <c r="C17382" s="24"/>
      <c r="D17382" s="26"/>
      <c r="E17382" s="24"/>
      <c r="F17382" s="24"/>
      <c r="G17382" s="24"/>
      <c r="H17382" s="24"/>
      <c r="I17382" s="24"/>
      <c r="J17382" s="24"/>
      <c r="K17382" s="24"/>
      <c r="L17382" s="24"/>
      <c r="M17382" s="24"/>
      <c r="N17382" s="24"/>
      <c r="O17382" s="24"/>
      <c r="P17382" s="24"/>
      <c r="Q17382" s="24"/>
      <c r="R17382" s="24"/>
      <c r="S17382" s="24"/>
      <c r="T17382" s="24"/>
      <c r="U17382" s="24"/>
      <c r="V17382" s="24"/>
      <c r="W17382" s="24"/>
      <c r="X17382" s="24"/>
      <c r="Y17382" s="24"/>
      <c r="Z17382" s="24"/>
      <c r="AA17382" s="24"/>
    </row>
    <row r="17383">
      <c r="A17383" s="24"/>
      <c r="B17383" s="25"/>
      <c r="C17383" s="24"/>
      <c r="D17383" s="26"/>
      <c r="E17383" s="24"/>
      <c r="F17383" s="24"/>
      <c r="G17383" s="24"/>
      <c r="H17383" s="24"/>
      <c r="I17383" s="24"/>
      <c r="J17383" s="24"/>
      <c r="K17383" s="24"/>
      <c r="L17383" s="24"/>
      <c r="M17383" s="24"/>
      <c r="N17383" s="24"/>
      <c r="O17383" s="24"/>
      <c r="P17383" s="24"/>
      <c r="Q17383" s="24"/>
      <c r="R17383" s="24"/>
      <c r="S17383" s="24"/>
      <c r="T17383" s="24"/>
      <c r="U17383" s="24"/>
      <c r="V17383" s="24"/>
      <c r="W17383" s="24"/>
      <c r="X17383" s="24"/>
      <c r="Y17383" s="24"/>
      <c r="Z17383" s="24"/>
      <c r="AA17383" s="24"/>
    </row>
    <row r="17384">
      <c r="A17384" s="24"/>
      <c r="B17384" s="25"/>
      <c r="C17384" s="24"/>
      <c r="D17384" s="26"/>
      <c r="E17384" s="24"/>
      <c r="F17384" s="24"/>
      <c r="G17384" s="24"/>
      <c r="H17384" s="24"/>
      <c r="I17384" s="24"/>
      <c r="J17384" s="24"/>
      <c r="K17384" s="24"/>
      <c r="L17384" s="24"/>
      <c r="M17384" s="24"/>
      <c r="N17384" s="24"/>
      <c r="O17384" s="24"/>
      <c r="P17384" s="24"/>
      <c r="Q17384" s="24"/>
      <c r="R17384" s="24"/>
      <c r="S17384" s="24"/>
      <c r="T17384" s="24"/>
      <c r="U17384" s="24"/>
      <c r="V17384" s="24"/>
      <c r="W17384" s="24"/>
      <c r="X17384" s="24"/>
      <c r="Y17384" s="24"/>
      <c r="Z17384" s="24"/>
      <c r="AA17384" s="24"/>
    </row>
    <row r="17385">
      <c r="A17385" s="24"/>
      <c r="B17385" s="25"/>
      <c r="C17385" s="24"/>
      <c r="D17385" s="26"/>
      <c r="E17385" s="24"/>
      <c r="F17385" s="24"/>
      <c r="G17385" s="24"/>
      <c r="H17385" s="24"/>
      <c r="I17385" s="24"/>
      <c r="J17385" s="24"/>
      <c r="K17385" s="24"/>
      <c r="L17385" s="24"/>
      <c r="M17385" s="24"/>
      <c r="N17385" s="24"/>
      <c r="O17385" s="24"/>
      <c r="P17385" s="24"/>
      <c r="Q17385" s="24"/>
      <c r="R17385" s="24"/>
      <c r="S17385" s="24"/>
      <c r="T17385" s="24"/>
      <c r="U17385" s="24"/>
      <c r="V17385" s="24"/>
      <c r="W17385" s="24"/>
      <c r="X17385" s="24"/>
      <c r="Y17385" s="24"/>
      <c r="Z17385" s="24"/>
      <c r="AA17385" s="24"/>
    </row>
    <row r="17386">
      <c r="A17386" s="24"/>
      <c r="B17386" s="25"/>
      <c r="C17386" s="24"/>
      <c r="D17386" s="26"/>
      <c r="E17386" s="24"/>
      <c r="F17386" s="24"/>
      <c r="G17386" s="24"/>
      <c r="H17386" s="24"/>
      <c r="I17386" s="24"/>
      <c r="J17386" s="24"/>
      <c r="K17386" s="24"/>
      <c r="L17386" s="24"/>
      <c r="M17386" s="24"/>
      <c r="N17386" s="24"/>
      <c r="O17386" s="24"/>
      <c r="P17386" s="24"/>
      <c r="Q17386" s="24"/>
      <c r="R17386" s="24"/>
      <c r="S17386" s="24"/>
      <c r="T17386" s="24"/>
      <c r="U17386" s="24"/>
      <c r="V17386" s="24"/>
      <c r="W17386" s="24"/>
      <c r="X17386" s="24"/>
      <c r="Y17386" s="24"/>
      <c r="Z17386" s="24"/>
      <c r="AA17386" s="24"/>
    </row>
    <row r="17387">
      <c r="A17387" s="24"/>
      <c r="B17387" s="25"/>
      <c r="C17387" s="24"/>
      <c r="D17387" s="26"/>
      <c r="E17387" s="24"/>
      <c r="F17387" s="24"/>
      <c r="G17387" s="24"/>
      <c r="H17387" s="24"/>
      <c r="I17387" s="24"/>
      <c r="J17387" s="24"/>
      <c r="K17387" s="24"/>
      <c r="L17387" s="24"/>
      <c r="M17387" s="24"/>
      <c r="N17387" s="24"/>
      <c r="O17387" s="24"/>
      <c r="P17387" s="24"/>
      <c r="Q17387" s="24"/>
      <c r="R17387" s="24"/>
      <c r="S17387" s="24"/>
      <c r="T17387" s="24"/>
      <c r="U17387" s="24"/>
      <c r="V17387" s="24"/>
      <c r="W17387" s="24"/>
      <c r="X17387" s="24"/>
      <c r="Y17387" s="24"/>
      <c r="Z17387" s="24"/>
      <c r="AA17387" s="24"/>
    </row>
    <row r="17388">
      <c r="A17388" s="24"/>
      <c r="B17388" s="25"/>
      <c r="C17388" s="24"/>
      <c r="D17388" s="26"/>
      <c r="E17388" s="24"/>
      <c r="F17388" s="24"/>
      <c r="G17388" s="24"/>
      <c r="H17388" s="24"/>
      <c r="I17388" s="24"/>
      <c r="J17388" s="24"/>
      <c r="K17388" s="24"/>
      <c r="L17388" s="24"/>
      <c r="M17388" s="24"/>
      <c r="N17388" s="24"/>
      <c r="O17388" s="24"/>
      <c r="P17388" s="24"/>
      <c r="Q17388" s="24"/>
      <c r="R17388" s="24"/>
      <c r="S17388" s="24"/>
      <c r="T17388" s="24"/>
      <c r="U17388" s="24"/>
      <c r="V17388" s="24"/>
      <c r="W17388" s="24"/>
      <c r="X17388" s="24"/>
      <c r="Y17388" s="24"/>
      <c r="Z17388" s="24"/>
      <c r="AA17388" s="24"/>
    </row>
    <row r="17389">
      <c r="A17389" s="24"/>
      <c r="B17389" s="25"/>
      <c r="C17389" s="24"/>
      <c r="D17389" s="26"/>
      <c r="E17389" s="24"/>
      <c r="F17389" s="24"/>
      <c r="G17389" s="24"/>
      <c r="H17389" s="24"/>
      <c r="I17389" s="24"/>
      <c r="J17389" s="24"/>
      <c r="K17389" s="24"/>
      <c r="L17389" s="24"/>
      <c r="M17389" s="24"/>
      <c r="N17389" s="24"/>
      <c r="O17389" s="24"/>
      <c r="P17389" s="24"/>
      <c r="Q17389" s="24"/>
      <c r="R17389" s="24"/>
      <c r="S17389" s="24"/>
      <c r="T17389" s="24"/>
      <c r="U17389" s="24"/>
      <c r="V17389" s="24"/>
      <c r="W17389" s="24"/>
      <c r="X17389" s="24"/>
      <c r="Y17389" s="24"/>
      <c r="Z17389" s="24"/>
      <c r="AA17389" s="24"/>
    </row>
    <row r="17390">
      <c r="A17390" s="24"/>
      <c r="B17390" s="25"/>
      <c r="C17390" s="24"/>
      <c r="D17390" s="26"/>
      <c r="E17390" s="24"/>
      <c r="F17390" s="24"/>
      <c r="G17390" s="24"/>
      <c r="H17390" s="24"/>
      <c r="I17390" s="24"/>
      <c r="J17390" s="24"/>
      <c r="K17390" s="24"/>
      <c r="L17390" s="24"/>
      <c r="M17390" s="24"/>
      <c r="N17390" s="24"/>
      <c r="O17390" s="24"/>
      <c r="P17390" s="24"/>
      <c r="Q17390" s="24"/>
      <c r="R17390" s="24"/>
      <c r="S17390" s="24"/>
      <c r="T17390" s="24"/>
      <c r="U17390" s="24"/>
      <c r="V17390" s="24"/>
      <c r="W17390" s="24"/>
      <c r="X17390" s="24"/>
      <c r="Y17390" s="24"/>
      <c r="Z17390" s="24"/>
      <c r="AA17390" s="24"/>
    </row>
    <row r="17391">
      <c r="A17391" s="24"/>
      <c r="B17391" s="25"/>
      <c r="C17391" s="24"/>
      <c r="D17391" s="26"/>
      <c r="E17391" s="24"/>
      <c r="F17391" s="24"/>
      <c r="G17391" s="24"/>
      <c r="H17391" s="24"/>
      <c r="I17391" s="24"/>
      <c r="J17391" s="24"/>
      <c r="K17391" s="24"/>
      <c r="L17391" s="24"/>
      <c r="M17391" s="24"/>
      <c r="N17391" s="24"/>
      <c r="O17391" s="24"/>
      <c r="P17391" s="24"/>
      <c r="Q17391" s="24"/>
      <c r="R17391" s="24"/>
      <c r="S17391" s="24"/>
      <c r="T17391" s="24"/>
      <c r="U17391" s="24"/>
      <c r="V17391" s="24"/>
      <c r="W17391" s="24"/>
      <c r="X17391" s="24"/>
      <c r="Y17391" s="24"/>
      <c r="Z17391" s="24"/>
      <c r="AA17391" s="24"/>
    </row>
    <row r="17392">
      <c r="A17392" s="24"/>
      <c r="B17392" s="25"/>
      <c r="C17392" s="24"/>
      <c r="D17392" s="26"/>
      <c r="E17392" s="24"/>
      <c r="F17392" s="24"/>
      <c r="G17392" s="24"/>
      <c r="H17392" s="24"/>
      <c r="I17392" s="24"/>
      <c r="J17392" s="24"/>
      <c r="K17392" s="24"/>
      <c r="L17392" s="24"/>
      <c r="M17392" s="24"/>
      <c r="N17392" s="24"/>
      <c r="O17392" s="24"/>
      <c r="P17392" s="24"/>
      <c r="Q17392" s="24"/>
      <c r="R17392" s="24"/>
      <c r="S17392" s="24"/>
      <c r="T17392" s="24"/>
      <c r="U17392" s="24"/>
      <c r="V17392" s="24"/>
      <c r="W17392" s="24"/>
      <c r="X17392" s="24"/>
      <c r="Y17392" s="24"/>
      <c r="Z17392" s="24"/>
      <c r="AA17392" s="24"/>
    </row>
    <row r="17393">
      <c r="A17393" s="24"/>
      <c r="B17393" s="25"/>
      <c r="C17393" s="24"/>
      <c r="D17393" s="26"/>
      <c r="E17393" s="24"/>
      <c r="F17393" s="24"/>
      <c r="G17393" s="24"/>
      <c r="H17393" s="24"/>
      <c r="I17393" s="24"/>
      <c r="J17393" s="24"/>
      <c r="K17393" s="24"/>
      <c r="L17393" s="24"/>
      <c r="M17393" s="24"/>
      <c r="N17393" s="24"/>
      <c r="O17393" s="24"/>
      <c r="P17393" s="24"/>
      <c r="Q17393" s="24"/>
      <c r="R17393" s="24"/>
      <c r="S17393" s="24"/>
      <c r="T17393" s="24"/>
      <c r="U17393" s="24"/>
      <c r="V17393" s="24"/>
      <c r="W17393" s="24"/>
      <c r="X17393" s="24"/>
      <c r="Y17393" s="24"/>
      <c r="Z17393" s="24"/>
      <c r="AA17393" s="24"/>
    </row>
    <row r="17394">
      <c r="A17394" s="24"/>
      <c r="B17394" s="25"/>
      <c r="C17394" s="24"/>
      <c r="D17394" s="26"/>
      <c r="E17394" s="24"/>
      <c r="F17394" s="24"/>
      <c r="G17394" s="24"/>
      <c r="H17394" s="24"/>
      <c r="I17394" s="24"/>
      <c r="J17394" s="24"/>
      <c r="K17394" s="24"/>
      <c r="L17394" s="24"/>
      <c r="M17394" s="24"/>
      <c r="N17394" s="24"/>
      <c r="O17394" s="24"/>
      <c r="P17394" s="24"/>
      <c r="Q17394" s="24"/>
      <c r="R17394" s="24"/>
      <c r="S17394" s="24"/>
      <c r="T17394" s="24"/>
      <c r="U17394" s="24"/>
      <c r="V17394" s="24"/>
      <c r="W17394" s="24"/>
      <c r="X17394" s="24"/>
      <c r="Y17394" s="24"/>
      <c r="Z17394" s="24"/>
      <c r="AA17394" s="24"/>
    </row>
    <row r="17395">
      <c r="A17395" s="24"/>
      <c r="B17395" s="25"/>
      <c r="C17395" s="24"/>
      <c r="D17395" s="26"/>
      <c r="E17395" s="24"/>
      <c r="F17395" s="24"/>
      <c r="G17395" s="24"/>
      <c r="H17395" s="24"/>
      <c r="I17395" s="24"/>
      <c r="J17395" s="24"/>
      <c r="K17395" s="24"/>
      <c r="L17395" s="24"/>
      <c r="M17395" s="24"/>
      <c r="N17395" s="24"/>
      <c r="O17395" s="24"/>
      <c r="P17395" s="24"/>
      <c r="Q17395" s="24"/>
      <c r="R17395" s="24"/>
      <c r="S17395" s="24"/>
      <c r="T17395" s="24"/>
      <c r="U17395" s="24"/>
      <c r="V17395" s="24"/>
      <c r="W17395" s="24"/>
      <c r="X17395" s="24"/>
      <c r="Y17395" s="24"/>
      <c r="Z17395" s="24"/>
      <c r="AA17395" s="24"/>
    </row>
    <row r="17396">
      <c r="A17396" s="24"/>
      <c r="B17396" s="25"/>
      <c r="C17396" s="24"/>
      <c r="D17396" s="26"/>
      <c r="E17396" s="24"/>
      <c r="F17396" s="24"/>
      <c r="G17396" s="24"/>
      <c r="H17396" s="24"/>
      <c r="I17396" s="24"/>
      <c r="J17396" s="24"/>
      <c r="K17396" s="24"/>
      <c r="L17396" s="24"/>
      <c r="M17396" s="24"/>
      <c r="N17396" s="24"/>
      <c r="O17396" s="24"/>
      <c r="P17396" s="24"/>
      <c r="Q17396" s="24"/>
      <c r="R17396" s="24"/>
      <c r="S17396" s="24"/>
      <c r="T17396" s="24"/>
      <c r="U17396" s="24"/>
      <c r="V17396" s="24"/>
      <c r="W17396" s="24"/>
      <c r="X17396" s="24"/>
      <c r="Y17396" s="24"/>
      <c r="Z17396" s="24"/>
      <c r="AA17396" s="24"/>
    </row>
    <row r="17397">
      <c r="A17397" s="24"/>
      <c r="B17397" s="25"/>
      <c r="C17397" s="24"/>
      <c r="D17397" s="26"/>
      <c r="E17397" s="24"/>
      <c r="F17397" s="24"/>
      <c r="G17397" s="24"/>
      <c r="H17397" s="24"/>
      <c r="I17397" s="24"/>
      <c r="J17397" s="24"/>
      <c r="K17397" s="24"/>
      <c r="L17397" s="24"/>
      <c r="M17397" s="24"/>
      <c r="N17397" s="24"/>
      <c r="O17397" s="24"/>
      <c r="P17397" s="24"/>
      <c r="Q17397" s="24"/>
      <c r="R17397" s="24"/>
      <c r="S17397" s="24"/>
      <c r="T17397" s="24"/>
      <c r="U17397" s="24"/>
      <c r="V17397" s="24"/>
      <c r="W17397" s="24"/>
      <c r="X17397" s="24"/>
      <c r="Y17397" s="24"/>
      <c r="Z17397" s="24"/>
      <c r="AA17397" s="24"/>
    </row>
    <row r="17398">
      <c r="A17398" s="24"/>
      <c r="B17398" s="25"/>
      <c r="C17398" s="24"/>
      <c r="D17398" s="26"/>
      <c r="E17398" s="24"/>
      <c r="F17398" s="24"/>
      <c r="G17398" s="24"/>
      <c r="H17398" s="24"/>
      <c r="I17398" s="24"/>
      <c r="J17398" s="24"/>
      <c r="K17398" s="24"/>
      <c r="L17398" s="24"/>
      <c r="M17398" s="24"/>
      <c r="N17398" s="24"/>
      <c r="O17398" s="24"/>
      <c r="P17398" s="24"/>
      <c r="Q17398" s="24"/>
      <c r="R17398" s="24"/>
      <c r="S17398" s="24"/>
      <c r="T17398" s="24"/>
      <c r="U17398" s="24"/>
      <c r="V17398" s="24"/>
      <c r="W17398" s="24"/>
      <c r="X17398" s="24"/>
      <c r="Y17398" s="24"/>
      <c r="Z17398" s="24"/>
      <c r="AA17398" s="24"/>
    </row>
    <row r="17399">
      <c r="A17399" s="24"/>
      <c r="B17399" s="25"/>
      <c r="C17399" s="24"/>
      <c r="D17399" s="26"/>
      <c r="E17399" s="24"/>
      <c r="F17399" s="24"/>
      <c r="G17399" s="24"/>
      <c r="H17399" s="24"/>
      <c r="I17399" s="24"/>
      <c r="J17399" s="24"/>
      <c r="K17399" s="24"/>
      <c r="L17399" s="24"/>
      <c r="M17399" s="24"/>
      <c r="N17399" s="24"/>
      <c r="O17399" s="24"/>
      <c r="P17399" s="24"/>
      <c r="Q17399" s="24"/>
      <c r="R17399" s="24"/>
      <c r="S17399" s="24"/>
      <c r="T17399" s="24"/>
      <c r="U17399" s="24"/>
      <c r="V17399" s="24"/>
      <c r="W17399" s="24"/>
      <c r="X17399" s="24"/>
      <c r="Y17399" s="24"/>
      <c r="Z17399" s="24"/>
      <c r="AA17399" s="24"/>
    </row>
    <row r="17400">
      <c r="A17400" s="24"/>
      <c r="B17400" s="25"/>
      <c r="C17400" s="24"/>
      <c r="D17400" s="26"/>
      <c r="E17400" s="24"/>
      <c r="F17400" s="24"/>
      <c r="G17400" s="24"/>
      <c r="H17400" s="24"/>
      <c r="I17400" s="24"/>
      <c r="J17400" s="24"/>
      <c r="K17400" s="24"/>
      <c r="L17400" s="24"/>
      <c r="M17400" s="24"/>
      <c r="N17400" s="24"/>
      <c r="O17400" s="24"/>
      <c r="P17400" s="24"/>
      <c r="Q17400" s="24"/>
      <c r="R17400" s="24"/>
      <c r="S17400" s="24"/>
      <c r="T17400" s="24"/>
      <c r="U17400" s="24"/>
      <c r="V17400" s="24"/>
      <c r="W17400" s="24"/>
      <c r="X17400" s="24"/>
      <c r="Y17400" s="24"/>
      <c r="Z17400" s="24"/>
      <c r="AA17400" s="24"/>
    </row>
    <row r="17401">
      <c r="A17401" s="24"/>
      <c r="B17401" s="25"/>
      <c r="C17401" s="24"/>
      <c r="D17401" s="26"/>
      <c r="E17401" s="24"/>
      <c r="F17401" s="24"/>
      <c r="G17401" s="24"/>
      <c r="H17401" s="24"/>
      <c r="I17401" s="24"/>
      <c r="J17401" s="24"/>
      <c r="K17401" s="24"/>
      <c r="L17401" s="24"/>
      <c r="M17401" s="24"/>
      <c r="N17401" s="24"/>
      <c r="O17401" s="24"/>
      <c r="P17401" s="24"/>
      <c r="Q17401" s="24"/>
      <c r="R17401" s="24"/>
      <c r="S17401" s="24"/>
      <c r="T17401" s="24"/>
      <c r="U17401" s="24"/>
      <c r="V17401" s="24"/>
      <c r="W17401" s="24"/>
      <c r="X17401" s="24"/>
      <c r="Y17401" s="24"/>
      <c r="Z17401" s="24"/>
      <c r="AA17401" s="24"/>
    </row>
    <row r="17402">
      <c r="A17402" s="24"/>
      <c r="B17402" s="25"/>
      <c r="C17402" s="24"/>
      <c r="D17402" s="26"/>
      <c r="E17402" s="24"/>
      <c r="F17402" s="24"/>
      <c r="G17402" s="24"/>
      <c r="H17402" s="24"/>
      <c r="I17402" s="24"/>
      <c r="J17402" s="24"/>
      <c r="K17402" s="24"/>
      <c r="L17402" s="24"/>
      <c r="M17402" s="24"/>
      <c r="N17402" s="24"/>
      <c r="O17402" s="24"/>
      <c r="P17402" s="24"/>
      <c r="Q17402" s="24"/>
      <c r="R17402" s="24"/>
      <c r="S17402" s="24"/>
      <c r="T17402" s="24"/>
      <c r="U17402" s="24"/>
      <c r="V17402" s="24"/>
      <c r="W17402" s="24"/>
      <c r="X17402" s="24"/>
      <c r="Y17402" s="24"/>
      <c r="Z17402" s="24"/>
      <c r="AA17402" s="24"/>
    </row>
    <row r="17403">
      <c r="A17403" s="24"/>
      <c r="B17403" s="25"/>
      <c r="C17403" s="24"/>
      <c r="D17403" s="26"/>
      <c r="E17403" s="24"/>
      <c r="F17403" s="24"/>
      <c r="G17403" s="24"/>
      <c r="H17403" s="24"/>
      <c r="I17403" s="24"/>
      <c r="J17403" s="24"/>
      <c r="K17403" s="24"/>
      <c r="L17403" s="24"/>
      <c r="M17403" s="24"/>
      <c r="N17403" s="24"/>
      <c r="O17403" s="24"/>
      <c r="P17403" s="24"/>
      <c r="Q17403" s="24"/>
      <c r="R17403" s="24"/>
      <c r="S17403" s="24"/>
      <c r="T17403" s="24"/>
      <c r="U17403" s="24"/>
      <c r="V17403" s="24"/>
      <c r="W17403" s="24"/>
      <c r="X17403" s="24"/>
      <c r="Y17403" s="24"/>
      <c r="Z17403" s="24"/>
      <c r="AA17403" s="24"/>
    </row>
    <row r="17404">
      <c r="A17404" s="24"/>
      <c r="B17404" s="25"/>
      <c r="C17404" s="24"/>
      <c r="D17404" s="26"/>
      <c r="E17404" s="24"/>
      <c r="F17404" s="24"/>
      <c r="G17404" s="24"/>
      <c r="H17404" s="24"/>
      <c r="I17404" s="24"/>
      <c r="J17404" s="24"/>
      <c r="K17404" s="24"/>
      <c r="L17404" s="24"/>
      <c r="M17404" s="24"/>
      <c r="N17404" s="24"/>
      <c r="O17404" s="24"/>
      <c r="P17404" s="24"/>
      <c r="Q17404" s="24"/>
      <c r="R17404" s="24"/>
      <c r="S17404" s="24"/>
      <c r="T17404" s="24"/>
      <c r="U17404" s="24"/>
      <c r="V17404" s="24"/>
      <c r="W17404" s="24"/>
      <c r="X17404" s="24"/>
      <c r="Y17404" s="24"/>
      <c r="Z17404" s="24"/>
      <c r="AA17404" s="24"/>
    </row>
    <row r="17405">
      <c r="A17405" s="24"/>
      <c r="B17405" s="25"/>
      <c r="C17405" s="24"/>
      <c r="D17405" s="26"/>
      <c r="E17405" s="24"/>
      <c r="F17405" s="24"/>
      <c r="G17405" s="24"/>
      <c r="H17405" s="24"/>
      <c r="I17405" s="24"/>
      <c r="J17405" s="24"/>
      <c r="K17405" s="24"/>
      <c r="L17405" s="24"/>
      <c r="M17405" s="24"/>
      <c r="N17405" s="24"/>
      <c r="O17405" s="24"/>
      <c r="P17405" s="24"/>
      <c r="Q17405" s="24"/>
      <c r="R17405" s="24"/>
      <c r="S17405" s="24"/>
      <c r="T17405" s="24"/>
      <c r="U17405" s="24"/>
      <c r="V17405" s="24"/>
      <c r="W17405" s="24"/>
      <c r="X17405" s="24"/>
      <c r="Y17405" s="24"/>
      <c r="Z17405" s="24"/>
      <c r="AA17405" s="24"/>
    </row>
    <row r="17406">
      <c r="A17406" s="24"/>
      <c r="B17406" s="25"/>
      <c r="C17406" s="24"/>
      <c r="D17406" s="26"/>
      <c r="E17406" s="24"/>
      <c r="F17406" s="24"/>
      <c r="G17406" s="24"/>
      <c r="H17406" s="24"/>
      <c r="I17406" s="24"/>
      <c r="J17406" s="24"/>
      <c r="K17406" s="24"/>
      <c r="L17406" s="24"/>
      <c r="M17406" s="24"/>
      <c r="N17406" s="24"/>
      <c r="O17406" s="24"/>
      <c r="P17406" s="24"/>
      <c r="Q17406" s="24"/>
      <c r="R17406" s="24"/>
      <c r="S17406" s="24"/>
      <c r="T17406" s="24"/>
      <c r="U17406" s="24"/>
      <c r="V17406" s="24"/>
      <c r="W17406" s="24"/>
      <c r="X17406" s="24"/>
      <c r="Y17406" s="24"/>
      <c r="Z17406" s="24"/>
      <c r="AA17406" s="24"/>
    </row>
    <row r="17407">
      <c r="A17407" s="24"/>
      <c r="B17407" s="25"/>
      <c r="C17407" s="24"/>
      <c r="D17407" s="26"/>
      <c r="E17407" s="24"/>
      <c r="F17407" s="24"/>
      <c r="G17407" s="24"/>
      <c r="H17407" s="24"/>
      <c r="I17407" s="24"/>
      <c r="J17407" s="24"/>
      <c r="K17407" s="24"/>
      <c r="L17407" s="24"/>
      <c r="M17407" s="24"/>
      <c r="N17407" s="24"/>
      <c r="O17407" s="24"/>
      <c r="P17407" s="24"/>
      <c r="Q17407" s="24"/>
      <c r="R17407" s="24"/>
      <c r="S17407" s="24"/>
      <c r="T17407" s="24"/>
      <c r="U17407" s="24"/>
      <c r="V17407" s="24"/>
      <c r="W17407" s="24"/>
      <c r="X17407" s="24"/>
      <c r="Y17407" s="24"/>
      <c r="Z17407" s="24"/>
      <c r="AA17407" s="24"/>
    </row>
    <row r="17408">
      <c r="A17408" s="24"/>
      <c r="B17408" s="25"/>
      <c r="C17408" s="24"/>
      <c r="D17408" s="26"/>
      <c r="E17408" s="24"/>
      <c r="F17408" s="24"/>
      <c r="G17408" s="24"/>
      <c r="H17408" s="24"/>
      <c r="I17408" s="24"/>
      <c r="J17408" s="24"/>
      <c r="K17408" s="24"/>
      <c r="L17408" s="24"/>
      <c r="M17408" s="24"/>
      <c r="N17408" s="24"/>
      <c r="O17408" s="24"/>
      <c r="P17408" s="24"/>
      <c r="Q17408" s="24"/>
      <c r="R17408" s="24"/>
      <c r="S17408" s="24"/>
      <c r="T17408" s="24"/>
      <c r="U17408" s="24"/>
      <c r="V17408" s="24"/>
      <c r="W17408" s="24"/>
      <c r="X17408" s="24"/>
      <c r="Y17408" s="24"/>
      <c r="Z17408" s="24"/>
      <c r="AA17408" s="24"/>
    </row>
    <row r="17409">
      <c r="A17409" s="24"/>
      <c r="B17409" s="25"/>
      <c r="C17409" s="24"/>
      <c r="D17409" s="26"/>
      <c r="E17409" s="24"/>
      <c r="F17409" s="24"/>
      <c r="G17409" s="24"/>
      <c r="H17409" s="24"/>
      <c r="I17409" s="24"/>
      <c r="J17409" s="24"/>
      <c r="K17409" s="24"/>
      <c r="L17409" s="24"/>
      <c r="M17409" s="24"/>
      <c r="N17409" s="24"/>
      <c r="O17409" s="24"/>
      <c r="P17409" s="24"/>
      <c r="Q17409" s="24"/>
      <c r="R17409" s="24"/>
      <c r="S17409" s="24"/>
      <c r="T17409" s="24"/>
      <c r="U17409" s="24"/>
      <c r="V17409" s="24"/>
      <c r="W17409" s="24"/>
      <c r="X17409" s="24"/>
      <c r="Y17409" s="24"/>
      <c r="Z17409" s="24"/>
      <c r="AA17409" s="24"/>
    </row>
    <row r="17410">
      <c r="A17410" s="24"/>
      <c r="B17410" s="25"/>
      <c r="C17410" s="24"/>
      <c r="D17410" s="26"/>
      <c r="E17410" s="24"/>
      <c r="F17410" s="24"/>
      <c r="G17410" s="24"/>
      <c r="H17410" s="24"/>
      <c r="I17410" s="24"/>
      <c r="J17410" s="24"/>
      <c r="K17410" s="24"/>
      <c r="L17410" s="24"/>
      <c r="M17410" s="24"/>
      <c r="N17410" s="24"/>
      <c r="O17410" s="24"/>
      <c r="P17410" s="24"/>
      <c r="Q17410" s="24"/>
      <c r="R17410" s="24"/>
      <c r="S17410" s="24"/>
      <c r="T17410" s="24"/>
      <c r="U17410" s="24"/>
      <c r="V17410" s="24"/>
      <c r="W17410" s="24"/>
      <c r="X17410" s="24"/>
      <c r="Y17410" s="24"/>
      <c r="Z17410" s="24"/>
      <c r="AA17410" s="24"/>
    </row>
    <row r="17411">
      <c r="A17411" s="24"/>
      <c r="B17411" s="25"/>
      <c r="C17411" s="24"/>
      <c r="D17411" s="26"/>
      <c r="E17411" s="24"/>
      <c r="F17411" s="24"/>
      <c r="G17411" s="24"/>
      <c r="H17411" s="24"/>
      <c r="I17411" s="24"/>
      <c r="J17411" s="24"/>
      <c r="K17411" s="24"/>
      <c r="L17411" s="24"/>
      <c r="M17411" s="24"/>
      <c r="N17411" s="24"/>
      <c r="O17411" s="24"/>
      <c r="P17411" s="24"/>
      <c r="Q17411" s="24"/>
      <c r="R17411" s="24"/>
      <c r="S17411" s="24"/>
      <c r="T17411" s="24"/>
      <c r="U17411" s="24"/>
      <c r="V17411" s="24"/>
      <c r="W17411" s="24"/>
      <c r="X17411" s="24"/>
      <c r="Y17411" s="24"/>
      <c r="Z17411" s="24"/>
      <c r="AA17411" s="24"/>
    </row>
    <row r="17412">
      <c r="A17412" s="24"/>
      <c r="B17412" s="25"/>
      <c r="C17412" s="24"/>
      <c r="D17412" s="26"/>
      <c r="E17412" s="24"/>
      <c r="F17412" s="24"/>
      <c r="G17412" s="24"/>
      <c r="H17412" s="24"/>
      <c r="I17412" s="24"/>
      <c r="J17412" s="24"/>
      <c r="K17412" s="24"/>
      <c r="L17412" s="24"/>
      <c r="M17412" s="24"/>
      <c r="N17412" s="24"/>
      <c r="O17412" s="24"/>
      <c r="P17412" s="24"/>
      <c r="Q17412" s="24"/>
      <c r="R17412" s="24"/>
      <c r="S17412" s="24"/>
      <c r="T17412" s="24"/>
      <c r="U17412" s="24"/>
      <c r="V17412" s="24"/>
      <c r="W17412" s="24"/>
      <c r="X17412" s="24"/>
      <c r="Y17412" s="24"/>
      <c r="Z17412" s="24"/>
      <c r="AA17412" s="24"/>
    </row>
    <row r="17413">
      <c r="A17413" s="24"/>
      <c r="B17413" s="25"/>
      <c r="C17413" s="24"/>
      <c r="D17413" s="26"/>
      <c r="E17413" s="24"/>
      <c r="F17413" s="24"/>
      <c r="G17413" s="24"/>
      <c r="H17413" s="24"/>
      <c r="I17413" s="24"/>
      <c r="J17413" s="24"/>
      <c r="K17413" s="24"/>
      <c r="L17413" s="24"/>
      <c r="M17413" s="24"/>
      <c r="N17413" s="24"/>
      <c r="O17413" s="24"/>
      <c r="P17413" s="24"/>
      <c r="Q17413" s="24"/>
      <c r="R17413" s="24"/>
      <c r="S17413" s="24"/>
      <c r="T17413" s="24"/>
      <c r="U17413" s="24"/>
      <c r="V17413" s="24"/>
      <c r="W17413" s="24"/>
      <c r="X17413" s="24"/>
      <c r="Y17413" s="24"/>
      <c r="Z17413" s="24"/>
      <c r="AA17413" s="24"/>
    </row>
    <row r="17414">
      <c r="A17414" s="24"/>
      <c r="B17414" s="25"/>
      <c r="C17414" s="24"/>
      <c r="D17414" s="26"/>
      <c r="E17414" s="24"/>
      <c r="F17414" s="24"/>
      <c r="G17414" s="24"/>
      <c r="H17414" s="24"/>
      <c r="I17414" s="24"/>
      <c r="J17414" s="24"/>
      <c r="K17414" s="24"/>
      <c r="L17414" s="24"/>
      <c r="M17414" s="24"/>
      <c r="N17414" s="24"/>
      <c r="O17414" s="24"/>
      <c r="P17414" s="24"/>
      <c r="Q17414" s="24"/>
      <c r="R17414" s="24"/>
      <c r="S17414" s="24"/>
      <c r="T17414" s="24"/>
      <c r="U17414" s="24"/>
      <c r="V17414" s="24"/>
      <c r="W17414" s="24"/>
      <c r="X17414" s="24"/>
      <c r="Y17414" s="24"/>
      <c r="Z17414" s="24"/>
      <c r="AA17414" s="24"/>
    </row>
    <row r="17415">
      <c r="A17415" s="24"/>
      <c r="B17415" s="25"/>
      <c r="C17415" s="24"/>
      <c r="D17415" s="26"/>
      <c r="E17415" s="24"/>
      <c r="F17415" s="24"/>
      <c r="G17415" s="24"/>
      <c r="H17415" s="24"/>
      <c r="I17415" s="24"/>
      <c r="J17415" s="24"/>
      <c r="K17415" s="24"/>
      <c r="L17415" s="24"/>
      <c r="M17415" s="24"/>
      <c r="N17415" s="24"/>
      <c r="O17415" s="24"/>
      <c r="P17415" s="24"/>
      <c r="Q17415" s="24"/>
      <c r="R17415" s="24"/>
      <c r="S17415" s="24"/>
      <c r="T17415" s="24"/>
      <c r="U17415" s="24"/>
      <c r="V17415" s="24"/>
      <c r="W17415" s="24"/>
      <c r="X17415" s="24"/>
      <c r="Y17415" s="24"/>
      <c r="Z17415" s="24"/>
      <c r="AA17415" s="24"/>
    </row>
    <row r="17416">
      <c r="A17416" s="24"/>
      <c r="B17416" s="25"/>
      <c r="C17416" s="24"/>
      <c r="D17416" s="26"/>
      <c r="E17416" s="24"/>
      <c r="F17416" s="24"/>
      <c r="G17416" s="24"/>
      <c r="H17416" s="24"/>
      <c r="I17416" s="24"/>
      <c r="J17416" s="24"/>
      <c r="K17416" s="24"/>
      <c r="L17416" s="24"/>
      <c r="M17416" s="24"/>
      <c r="N17416" s="24"/>
      <c r="O17416" s="24"/>
      <c r="P17416" s="24"/>
      <c r="Q17416" s="24"/>
      <c r="R17416" s="24"/>
      <c r="S17416" s="24"/>
      <c r="T17416" s="24"/>
      <c r="U17416" s="24"/>
      <c r="V17416" s="24"/>
      <c r="W17416" s="24"/>
      <c r="X17416" s="24"/>
      <c r="Y17416" s="24"/>
      <c r="Z17416" s="24"/>
      <c r="AA17416" s="24"/>
    </row>
    <row r="17417">
      <c r="A17417" s="24"/>
      <c r="B17417" s="25"/>
      <c r="C17417" s="24"/>
      <c r="D17417" s="26"/>
      <c r="E17417" s="24"/>
      <c r="F17417" s="24"/>
      <c r="G17417" s="24"/>
      <c r="H17417" s="24"/>
      <c r="I17417" s="24"/>
      <c r="J17417" s="24"/>
      <c r="K17417" s="24"/>
      <c r="L17417" s="24"/>
      <c r="M17417" s="24"/>
      <c r="N17417" s="24"/>
      <c r="O17417" s="24"/>
      <c r="P17417" s="24"/>
      <c r="Q17417" s="24"/>
      <c r="R17417" s="24"/>
      <c r="S17417" s="24"/>
      <c r="T17417" s="24"/>
      <c r="U17417" s="24"/>
      <c r="V17417" s="24"/>
      <c r="W17417" s="24"/>
      <c r="X17417" s="24"/>
      <c r="Y17417" s="24"/>
      <c r="Z17417" s="24"/>
      <c r="AA17417" s="24"/>
    </row>
    <row r="17418">
      <c r="A17418" s="24"/>
      <c r="B17418" s="25"/>
      <c r="C17418" s="24"/>
      <c r="D17418" s="26"/>
      <c r="E17418" s="24"/>
      <c r="F17418" s="24"/>
      <c r="G17418" s="24"/>
      <c r="H17418" s="24"/>
      <c r="I17418" s="24"/>
      <c r="J17418" s="24"/>
      <c r="K17418" s="24"/>
      <c r="L17418" s="24"/>
      <c r="M17418" s="24"/>
      <c r="N17418" s="24"/>
      <c r="O17418" s="24"/>
      <c r="P17418" s="24"/>
      <c r="Q17418" s="24"/>
      <c r="R17418" s="24"/>
      <c r="S17418" s="24"/>
      <c r="T17418" s="24"/>
      <c r="U17418" s="24"/>
      <c r="V17418" s="24"/>
      <c r="W17418" s="24"/>
      <c r="X17418" s="24"/>
      <c r="Y17418" s="24"/>
      <c r="Z17418" s="24"/>
      <c r="AA17418" s="24"/>
    </row>
    <row r="17419">
      <c r="A17419" s="24"/>
      <c r="B17419" s="25"/>
      <c r="C17419" s="24"/>
      <c r="D17419" s="26"/>
      <c r="E17419" s="24"/>
      <c r="F17419" s="24"/>
      <c r="G17419" s="24"/>
      <c r="H17419" s="24"/>
      <c r="I17419" s="24"/>
      <c r="J17419" s="24"/>
      <c r="K17419" s="24"/>
      <c r="L17419" s="24"/>
      <c r="M17419" s="24"/>
      <c r="N17419" s="24"/>
      <c r="O17419" s="24"/>
      <c r="P17419" s="24"/>
      <c r="Q17419" s="24"/>
      <c r="R17419" s="24"/>
      <c r="S17419" s="24"/>
      <c r="T17419" s="24"/>
      <c r="U17419" s="24"/>
      <c r="V17419" s="24"/>
      <c r="W17419" s="24"/>
      <c r="X17419" s="24"/>
      <c r="Y17419" s="24"/>
      <c r="Z17419" s="24"/>
      <c r="AA17419" s="24"/>
    </row>
    <row r="17420">
      <c r="A17420" s="24"/>
      <c r="B17420" s="25"/>
      <c r="C17420" s="24"/>
      <c r="D17420" s="26"/>
      <c r="E17420" s="24"/>
      <c r="F17420" s="24"/>
      <c r="G17420" s="24"/>
      <c r="H17420" s="24"/>
      <c r="I17420" s="24"/>
      <c r="J17420" s="24"/>
      <c r="K17420" s="24"/>
      <c r="L17420" s="24"/>
      <c r="M17420" s="24"/>
      <c r="N17420" s="24"/>
      <c r="O17420" s="24"/>
      <c r="P17420" s="24"/>
      <c r="Q17420" s="24"/>
      <c r="R17420" s="24"/>
      <c r="S17420" s="24"/>
      <c r="T17420" s="24"/>
      <c r="U17420" s="24"/>
      <c r="V17420" s="24"/>
      <c r="W17420" s="24"/>
      <c r="X17420" s="24"/>
      <c r="Y17420" s="24"/>
      <c r="Z17420" s="24"/>
      <c r="AA17420" s="24"/>
    </row>
    <row r="17421">
      <c r="A17421" s="24"/>
      <c r="B17421" s="25"/>
      <c r="C17421" s="24"/>
      <c r="D17421" s="26"/>
      <c r="E17421" s="24"/>
      <c r="F17421" s="24"/>
      <c r="G17421" s="24"/>
      <c r="H17421" s="24"/>
      <c r="I17421" s="24"/>
      <c r="J17421" s="24"/>
      <c r="K17421" s="24"/>
      <c r="L17421" s="24"/>
      <c r="M17421" s="24"/>
      <c r="N17421" s="24"/>
      <c r="O17421" s="24"/>
      <c r="P17421" s="24"/>
      <c r="Q17421" s="24"/>
      <c r="R17421" s="24"/>
      <c r="S17421" s="24"/>
      <c r="T17421" s="24"/>
      <c r="U17421" s="24"/>
      <c r="V17421" s="24"/>
      <c r="W17421" s="24"/>
      <c r="X17421" s="24"/>
      <c r="Y17421" s="24"/>
      <c r="Z17421" s="24"/>
      <c r="AA17421" s="24"/>
    </row>
    <row r="17422">
      <c r="A17422" s="24"/>
      <c r="B17422" s="25"/>
      <c r="C17422" s="24"/>
      <c r="D17422" s="26"/>
      <c r="E17422" s="24"/>
      <c r="F17422" s="24"/>
      <c r="G17422" s="24"/>
      <c r="H17422" s="24"/>
      <c r="I17422" s="24"/>
      <c r="J17422" s="24"/>
      <c r="K17422" s="24"/>
      <c r="L17422" s="24"/>
      <c r="M17422" s="24"/>
      <c r="N17422" s="24"/>
      <c r="O17422" s="24"/>
      <c r="P17422" s="24"/>
      <c r="Q17422" s="24"/>
      <c r="R17422" s="24"/>
      <c r="S17422" s="24"/>
      <c r="T17422" s="24"/>
      <c r="U17422" s="24"/>
      <c r="V17422" s="24"/>
      <c r="W17422" s="24"/>
      <c r="X17422" s="24"/>
      <c r="Y17422" s="24"/>
      <c r="Z17422" s="24"/>
      <c r="AA17422" s="24"/>
    </row>
    <row r="17423">
      <c r="A17423" s="24"/>
      <c r="B17423" s="25"/>
      <c r="C17423" s="24"/>
      <c r="D17423" s="26"/>
      <c r="E17423" s="24"/>
      <c r="F17423" s="24"/>
      <c r="G17423" s="24"/>
      <c r="H17423" s="24"/>
      <c r="I17423" s="24"/>
      <c r="J17423" s="24"/>
      <c r="K17423" s="24"/>
      <c r="L17423" s="24"/>
      <c r="M17423" s="24"/>
      <c r="N17423" s="24"/>
      <c r="O17423" s="24"/>
      <c r="P17423" s="24"/>
      <c r="Q17423" s="24"/>
      <c r="R17423" s="24"/>
      <c r="S17423" s="24"/>
      <c r="T17423" s="24"/>
      <c r="U17423" s="24"/>
      <c r="V17423" s="24"/>
      <c r="W17423" s="24"/>
      <c r="X17423" s="24"/>
      <c r="Y17423" s="24"/>
      <c r="Z17423" s="24"/>
      <c r="AA17423" s="24"/>
    </row>
    <row r="17424">
      <c r="A17424" s="24"/>
      <c r="B17424" s="25"/>
      <c r="C17424" s="24"/>
      <c r="D17424" s="26"/>
      <c r="E17424" s="24"/>
      <c r="F17424" s="24"/>
      <c r="G17424" s="24"/>
      <c r="H17424" s="24"/>
      <c r="I17424" s="24"/>
      <c r="J17424" s="24"/>
      <c r="K17424" s="24"/>
      <c r="L17424" s="24"/>
      <c r="M17424" s="24"/>
      <c r="N17424" s="24"/>
      <c r="O17424" s="24"/>
      <c r="P17424" s="24"/>
      <c r="Q17424" s="24"/>
      <c r="R17424" s="24"/>
      <c r="S17424" s="24"/>
      <c r="T17424" s="24"/>
      <c r="U17424" s="24"/>
      <c r="V17424" s="24"/>
      <c r="W17424" s="24"/>
      <c r="X17424" s="24"/>
      <c r="Y17424" s="24"/>
      <c r="Z17424" s="24"/>
      <c r="AA17424" s="24"/>
    </row>
    <row r="17425">
      <c r="A17425" s="24"/>
      <c r="B17425" s="25"/>
      <c r="C17425" s="24"/>
      <c r="D17425" s="26"/>
      <c r="E17425" s="24"/>
      <c r="F17425" s="24"/>
      <c r="G17425" s="24"/>
      <c r="H17425" s="24"/>
      <c r="I17425" s="24"/>
      <c r="J17425" s="24"/>
      <c r="K17425" s="24"/>
      <c r="L17425" s="24"/>
      <c r="M17425" s="24"/>
      <c r="N17425" s="24"/>
      <c r="O17425" s="24"/>
      <c r="P17425" s="24"/>
      <c r="Q17425" s="24"/>
      <c r="R17425" s="24"/>
      <c r="S17425" s="24"/>
      <c r="T17425" s="24"/>
      <c r="U17425" s="24"/>
      <c r="V17425" s="24"/>
      <c r="W17425" s="24"/>
      <c r="X17425" s="24"/>
      <c r="Y17425" s="24"/>
      <c r="Z17425" s="24"/>
      <c r="AA17425" s="24"/>
    </row>
    <row r="17426">
      <c r="A17426" s="24"/>
      <c r="B17426" s="25"/>
      <c r="C17426" s="24"/>
      <c r="D17426" s="26"/>
      <c r="E17426" s="24"/>
      <c r="F17426" s="24"/>
      <c r="G17426" s="24"/>
      <c r="H17426" s="24"/>
      <c r="I17426" s="24"/>
      <c r="J17426" s="24"/>
      <c r="K17426" s="24"/>
      <c r="L17426" s="24"/>
      <c r="M17426" s="24"/>
      <c r="N17426" s="24"/>
      <c r="O17426" s="24"/>
      <c r="P17426" s="24"/>
      <c r="Q17426" s="24"/>
      <c r="R17426" s="24"/>
      <c r="S17426" s="24"/>
      <c r="T17426" s="24"/>
      <c r="U17426" s="24"/>
      <c r="V17426" s="24"/>
      <c r="W17426" s="24"/>
      <c r="X17426" s="24"/>
      <c r="Y17426" s="24"/>
      <c r="Z17426" s="24"/>
      <c r="AA17426" s="24"/>
    </row>
    <row r="17427">
      <c r="A17427" s="24"/>
      <c r="B17427" s="25"/>
      <c r="C17427" s="24"/>
      <c r="D17427" s="26"/>
      <c r="E17427" s="24"/>
      <c r="F17427" s="24"/>
      <c r="G17427" s="24"/>
      <c r="H17427" s="24"/>
      <c r="I17427" s="24"/>
      <c r="J17427" s="24"/>
      <c r="K17427" s="24"/>
      <c r="L17427" s="24"/>
      <c r="M17427" s="24"/>
      <c r="N17427" s="24"/>
      <c r="O17427" s="24"/>
      <c r="P17427" s="24"/>
      <c r="Q17427" s="24"/>
      <c r="R17427" s="24"/>
      <c r="S17427" s="24"/>
      <c r="T17427" s="24"/>
      <c r="U17427" s="24"/>
      <c r="V17427" s="24"/>
      <c r="W17427" s="24"/>
      <c r="X17427" s="24"/>
      <c r="Y17427" s="24"/>
      <c r="Z17427" s="24"/>
      <c r="AA17427" s="24"/>
    </row>
    <row r="17428">
      <c r="A17428" s="24"/>
      <c r="B17428" s="25"/>
      <c r="C17428" s="24"/>
      <c r="D17428" s="26"/>
      <c r="E17428" s="24"/>
      <c r="F17428" s="24"/>
      <c r="G17428" s="24"/>
      <c r="H17428" s="24"/>
      <c r="I17428" s="24"/>
      <c r="J17428" s="24"/>
      <c r="K17428" s="24"/>
      <c r="L17428" s="24"/>
      <c r="M17428" s="24"/>
      <c r="N17428" s="24"/>
      <c r="O17428" s="24"/>
      <c r="P17428" s="24"/>
      <c r="Q17428" s="24"/>
      <c r="R17428" s="24"/>
      <c r="S17428" s="24"/>
      <c r="T17428" s="24"/>
      <c r="U17428" s="24"/>
      <c r="V17428" s="24"/>
      <c r="W17428" s="24"/>
      <c r="X17428" s="24"/>
      <c r="Y17428" s="24"/>
      <c r="Z17428" s="24"/>
      <c r="AA17428" s="24"/>
    </row>
    <row r="17429">
      <c r="A17429" s="24"/>
      <c r="B17429" s="25"/>
      <c r="C17429" s="24"/>
      <c r="D17429" s="26"/>
      <c r="E17429" s="24"/>
      <c r="F17429" s="24"/>
      <c r="G17429" s="24"/>
      <c r="H17429" s="24"/>
      <c r="I17429" s="24"/>
      <c r="J17429" s="24"/>
      <c r="K17429" s="24"/>
      <c r="L17429" s="24"/>
      <c r="M17429" s="24"/>
      <c r="N17429" s="24"/>
      <c r="O17429" s="24"/>
      <c r="P17429" s="24"/>
      <c r="Q17429" s="24"/>
      <c r="R17429" s="24"/>
      <c r="S17429" s="24"/>
      <c r="T17429" s="24"/>
      <c r="U17429" s="24"/>
      <c r="V17429" s="24"/>
      <c r="W17429" s="24"/>
      <c r="X17429" s="24"/>
      <c r="Y17429" s="24"/>
      <c r="Z17429" s="24"/>
      <c r="AA17429" s="24"/>
    </row>
    <row r="17430">
      <c r="A17430" s="24"/>
      <c r="B17430" s="25"/>
      <c r="C17430" s="24"/>
      <c r="D17430" s="26"/>
      <c r="E17430" s="24"/>
      <c r="F17430" s="24"/>
      <c r="G17430" s="24"/>
      <c r="H17430" s="24"/>
      <c r="I17430" s="24"/>
      <c r="J17430" s="24"/>
      <c r="K17430" s="24"/>
      <c r="L17430" s="24"/>
      <c r="M17430" s="24"/>
      <c r="N17430" s="24"/>
      <c r="O17430" s="24"/>
      <c r="P17430" s="24"/>
      <c r="Q17430" s="24"/>
      <c r="R17430" s="24"/>
      <c r="S17430" s="24"/>
      <c r="T17430" s="24"/>
      <c r="U17430" s="24"/>
      <c r="V17430" s="24"/>
      <c r="W17430" s="24"/>
      <c r="X17430" s="24"/>
      <c r="Y17430" s="24"/>
      <c r="Z17430" s="24"/>
      <c r="AA17430" s="24"/>
    </row>
    <row r="17431">
      <c r="A17431" s="24"/>
      <c r="B17431" s="25"/>
      <c r="C17431" s="24"/>
      <c r="D17431" s="26"/>
      <c r="E17431" s="24"/>
      <c r="F17431" s="24"/>
      <c r="G17431" s="24"/>
      <c r="H17431" s="24"/>
      <c r="I17431" s="24"/>
      <c r="J17431" s="24"/>
      <c r="K17431" s="24"/>
      <c r="L17431" s="24"/>
      <c r="M17431" s="24"/>
      <c r="N17431" s="24"/>
      <c r="O17431" s="24"/>
      <c r="P17431" s="24"/>
      <c r="Q17431" s="24"/>
      <c r="R17431" s="24"/>
      <c r="S17431" s="24"/>
      <c r="T17431" s="24"/>
      <c r="U17431" s="24"/>
      <c r="V17431" s="24"/>
      <c r="W17431" s="24"/>
      <c r="X17431" s="24"/>
      <c r="Y17431" s="24"/>
      <c r="Z17431" s="24"/>
      <c r="AA17431" s="24"/>
    </row>
    <row r="17432">
      <c r="A17432" s="24"/>
      <c r="B17432" s="25"/>
      <c r="C17432" s="24"/>
      <c r="D17432" s="26"/>
      <c r="E17432" s="24"/>
      <c r="F17432" s="24"/>
      <c r="G17432" s="24"/>
      <c r="H17432" s="24"/>
      <c r="I17432" s="24"/>
      <c r="J17432" s="24"/>
      <c r="K17432" s="24"/>
      <c r="L17432" s="24"/>
      <c r="M17432" s="24"/>
      <c r="N17432" s="24"/>
      <c r="O17432" s="24"/>
      <c r="P17432" s="24"/>
      <c r="Q17432" s="24"/>
      <c r="R17432" s="24"/>
      <c r="S17432" s="24"/>
      <c r="T17432" s="24"/>
      <c r="U17432" s="24"/>
      <c r="V17432" s="24"/>
      <c r="W17432" s="24"/>
      <c r="X17432" s="24"/>
      <c r="Y17432" s="24"/>
      <c r="Z17432" s="24"/>
      <c r="AA17432" s="24"/>
    </row>
    <row r="17433">
      <c r="A17433" s="24"/>
      <c r="B17433" s="25"/>
      <c r="C17433" s="24"/>
      <c r="D17433" s="26"/>
      <c r="E17433" s="24"/>
      <c r="F17433" s="24"/>
      <c r="G17433" s="24"/>
      <c r="H17433" s="24"/>
      <c r="I17433" s="24"/>
      <c r="J17433" s="24"/>
      <c r="K17433" s="24"/>
      <c r="L17433" s="24"/>
      <c r="M17433" s="24"/>
      <c r="N17433" s="24"/>
      <c r="O17433" s="24"/>
      <c r="P17433" s="24"/>
      <c r="Q17433" s="24"/>
      <c r="R17433" s="24"/>
      <c r="S17433" s="24"/>
      <c r="T17433" s="24"/>
      <c r="U17433" s="24"/>
      <c r="V17433" s="24"/>
      <c r="W17433" s="24"/>
      <c r="X17433" s="24"/>
      <c r="Y17433" s="24"/>
      <c r="Z17433" s="24"/>
      <c r="AA17433" s="24"/>
    </row>
    <row r="17434">
      <c r="A17434" s="24"/>
      <c r="B17434" s="25"/>
      <c r="C17434" s="24"/>
      <c r="D17434" s="26"/>
      <c r="E17434" s="24"/>
      <c r="F17434" s="24"/>
      <c r="G17434" s="24"/>
      <c r="H17434" s="24"/>
      <c r="I17434" s="24"/>
      <c r="J17434" s="24"/>
      <c r="K17434" s="24"/>
      <c r="L17434" s="24"/>
      <c r="M17434" s="24"/>
      <c r="N17434" s="24"/>
      <c r="O17434" s="24"/>
      <c r="P17434" s="24"/>
      <c r="Q17434" s="24"/>
      <c r="R17434" s="24"/>
      <c r="S17434" s="24"/>
      <c r="T17434" s="24"/>
      <c r="U17434" s="24"/>
      <c r="V17434" s="24"/>
      <c r="W17434" s="24"/>
      <c r="X17434" s="24"/>
      <c r="Y17434" s="24"/>
      <c r="Z17434" s="24"/>
      <c r="AA17434" s="24"/>
    </row>
    <row r="17435">
      <c r="A17435" s="24"/>
      <c r="B17435" s="25"/>
      <c r="C17435" s="24"/>
      <c r="D17435" s="26"/>
      <c r="E17435" s="24"/>
      <c r="F17435" s="24"/>
      <c r="G17435" s="24"/>
      <c r="H17435" s="24"/>
      <c r="I17435" s="24"/>
      <c r="J17435" s="24"/>
      <c r="K17435" s="24"/>
      <c r="L17435" s="24"/>
      <c r="M17435" s="24"/>
      <c r="N17435" s="24"/>
      <c r="O17435" s="24"/>
      <c r="P17435" s="24"/>
      <c r="Q17435" s="24"/>
      <c r="R17435" s="24"/>
      <c r="S17435" s="24"/>
      <c r="T17435" s="24"/>
      <c r="U17435" s="24"/>
      <c r="V17435" s="24"/>
      <c r="W17435" s="24"/>
      <c r="X17435" s="24"/>
      <c r="Y17435" s="24"/>
      <c r="Z17435" s="24"/>
      <c r="AA17435" s="24"/>
    </row>
    <row r="17436">
      <c r="A17436" s="24"/>
      <c r="B17436" s="25"/>
      <c r="C17436" s="24"/>
      <c r="D17436" s="26"/>
      <c r="E17436" s="24"/>
      <c r="F17436" s="24"/>
      <c r="G17436" s="24"/>
      <c r="H17436" s="24"/>
      <c r="I17436" s="24"/>
      <c r="J17436" s="24"/>
      <c r="K17436" s="24"/>
      <c r="L17436" s="24"/>
      <c r="M17436" s="24"/>
      <c r="N17436" s="24"/>
      <c r="O17436" s="24"/>
      <c r="P17436" s="24"/>
      <c r="Q17436" s="24"/>
      <c r="R17436" s="24"/>
      <c r="S17436" s="24"/>
      <c r="T17436" s="24"/>
      <c r="U17436" s="24"/>
      <c r="V17436" s="24"/>
      <c r="W17436" s="24"/>
      <c r="X17436" s="24"/>
      <c r="Y17436" s="24"/>
      <c r="Z17436" s="24"/>
      <c r="AA17436" s="24"/>
    </row>
    <row r="17437">
      <c r="A17437" s="24"/>
      <c r="B17437" s="25"/>
      <c r="C17437" s="24"/>
      <c r="D17437" s="26"/>
      <c r="E17437" s="24"/>
      <c r="F17437" s="24"/>
      <c r="G17437" s="24"/>
      <c r="H17437" s="24"/>
      <c r="I17437" s="24"/>
      <c r="J17437" s="24"/>
      <c r="K17437" s="24"/>
      <c r="L17437" s="24"/>
      <c r="M17437" s="24"/>
      <c r="N17437" s="24"/>
      <c r="O17437" s="24"/>
      <c r="P17437" s="24"/>
      <c r="Q17437" s="24"/>
      <c r="R17437" s="24"/>
      <c r="S17437" s="24"/>
      <c r="T17437" s="24"/>
      <c r="U17437" s="24"/>
      <c r="V17437" s="24"/>
      <c r="W17437" s="24"/>
      <c r="X17437" s="24"/>
      <c r="Y17437" s="24"/>
      <c r="Z17437" s="24"/>
      <c r="AA17437" s="24"/>
    </row>
    <row r="17438">
      <c r="A17438" s="24"/>
      <c r="B17438" s="25"/>
      <c r="C17438" s="24"/>
      <c r="D17438" s="26"/>
      <c r="E17438" s="24"/>
      <c r="F17438" s="24"/>
      <c r="G17438" s="24"/>
      <c r="H17438" s="24"/>
      <c r="I17438" s="24"/>
      <c r="J17438" s="24"/>
      <c r="K17438" s="24"/>
      <c r="L17438" s="24"/>
      <c r="M17438" s="24"/>
      <c r="N17438" s="24"/>
      <c r="O17438" s="24"/>
      <c r="P17438" s="24"/>
      <c r="Q17438" s="24"/>
      <c r="R17438" s="24"/>
      <c r="S17438" s="24"/>
      <c r="T17438" s="24"/>
      <c r="U17438" s="24"/>
      <c r="V17438" s="24"/>
      <c r="W17438" s="24"/>
      <c r="X17438" s="24"/>
      <c r="Y17438" s="24"/>
      <c r="Z17438" s="24"/>
      <c r="AA17438" s="24"/>
    </row>
    <row r="17439">
      <c r="A17439" s="24"/>
      <c r="B17439" s="25"/>
      <c r="C17439" s="24"/>
      <c r="D17439" s="26"/>
      <c r="E17439" s="24"/>
      <c r="F17439" s="24"/>
      <c r="G17439" s="24"/>
      <c r="H17439" s="24"/>
      <c r="I17439" s="24"/>
      <c r="J17439" s="24"/>
      <c r="K17439" s="24"/>
      <c r="L17439" s="24"/>
      <c r="M17439" s="24"/>
      <c r="N17439" s="24"/>
      <c r="O17439" s="24"/>
      <c r="P17439" s="24"/>
      <c r="Q17439" s="24"/>
      <c r="R17439" s="24"/>
      <c r="S17439" s="24"/>
      <c r="T17439" s="24"/>
      <c r="U17439" s="24"/>
      <c r="V17439" s="24"/>
      <c r="W17439" s="24"/>
      <c r="X17439" s="24"/>
      <c r="Y17439" s="24"/>
      <c r="Z17439" s="24"/>
      <c r="AA17439" s="24"/>
    </row>
    <row r="17440">
      <c r="A17440" s="24"/>
      <c r="B17440" s="25"/>
      <c r="C17440" s="24"/>
      <c r="D17440" s="26"/>
      <c r="E17440" s="24"/>
      <c r="F17440" s="24"/>
      <c r="G17440" s="24"/>
      <c r="H17440" s="24"/>
      <c r="I17440" s="24"/>
      <c r="J17440" s="24"/>
      <c r="K17440" s="24"/>
      <c r="L17440" s="24"/>
      <c r="M17440" s="24"/>
      <c r="N17440" s="24"/>
      <c r="O17440" s="24"/>
      <c r="P17440" s="24"/>
      <c r="Q17440" s="24"/>
      <c r="R17440" s="24"/>
      <c r="S17440" s="24"/>
      <c r="T17440" s="24"/>
      <c r="U17440" s="24"/>
      <c r="V17440" s="24"/>
      <c r="W17440" s="24"/>
      <c r="X17440" s="24"/>
      <c r="Y17440" s="24"/>
      <c r="Z17440" s="24"/>
      <c r="AA17440" s="24"/>
    </row>
    <row r="17441">
      <c r="A17441" s="24"/>
      <c r="B17441" s="25"/>
      <c r="C17441" s="24"/>
      <c r="D17441" s="26"/>
      <c r="E17441" s="24"/>
      <c r="F17441" s="24"/>
      <c r="G17441" s="24"/>
      <c r="H17441" s="24"/>
      <c r="I17441" s="24"/>
      <c r="J17441" s="24"/>
      <c r="K17441" s="24"/>
      <c r="L17441" s="24"/>
      <c r="M17441" s="24"/>
      <c r="N17441" s="24"/>
      <c r="O17441" s="24"/>
      <c r="P17441" s="24"/>
      <c r="Q17441" s="24"/>
      <c r="R17441" s="24"/>
      <c r="S17441" s="24"/>
      <c r="T17441" s="24"/>
      <c r="U17441" s="24"/>
      <c r="V17441" s="24"/>
      <c r="W17441" s="24"/>
      <c r="X17441" s="24"/>
      <c r="Y17441" s="24"/>
      <c r="Z17441" s="24"/>
      <c r="AA17441" s="24"/>
    </row>
    <row r="17442">
      <c r="A17442" s="24"/>
      <c r="B17442" s="25"/>
      <c r="C17442" s="24"/>
      <c r="D17442" s="26"/>
      <c r="E17442" s="24"/>
      <c r="F17442" s="24"/>
      <c r="G17442" s="24"/>
      <c r="H17442" s="24"/>
      <c r="I17442" s="24"/>
      <c r="J17442" s="24"/>
      <c r="K17442" s="24"/>
      <c r="L17442" s="24"/>
      <c r="M17442" s="24"/>
      <c r="N17442" s="24"/>
      <c r="O17442" s="24"/>
      <c r="P17442" s="24"/>
      <c r="Q17442" s="24"/>
      <c r="R17442" s="24"/>
      <c r="S17442" s="24"/>
      <c r="T17442" s="24"/>
      <c r="U17442" s="24"/>
      <c r="V17442" s="24"/>
      <c r="W17442" s="24"/>
      <c r="X17442" s="24"/>
      <c r="Y17442" s="24"/>
      <c r="Z17442" s="24"/>
      <c r="AA17442" s="24"/>
    </row>
    <row r="17443">
      <c r="A17443" s="24"/>
      <c r="B17443" s="25"/>
      <c r="C17443" s="24"/>
      <c r="D17443" s="26"/>
      <c r="E17443" s="24"/>
      <c r="F17443" s="24"/>
      <c r="G17443" s="24"/>
      <c r="H17443" s="24"/>
      <c r="I17443" s="24"/>
      <c r="J17443" s="24"/>
      <c r="K17443" s="24"/>
      <c r="L17443" s="24"/>
      <c r="M17443" s="24"/>
      <c r="N17443" s="24"/>
      <c r="O17443" s="24"/>
      <c r="P17443" s="24"/>
      <c r="Q17443" s="24"/>
      <c r="R17443" s="24"/>
      <c r="S17443" s="24"/>
      <c r="T17443" s="24"/>
      <c r="U17443" s="24"/>
      <c r="V17443" s="24"/>
      <c r="W17443" s="24"/>
      <c r="X17443" s="24"/>
      <c r="Y17443" s="24"/>
      <c r="Z17443" s="24"/>
      <c r="AA17443" s="24"/>
    </row>
    <row r="17444">
      <c r="A17444" s="24"/>
      <c r="B17444" s="25"/>
      <c r="C17444" s="24"/>
      <c r="D17444" s="26"/>
      <c r="E17444" s="24"/>
      <c r="F17444" s="24"/>
      <c r="G17444" s="24"/>
      <c r="H17444" s="24"/>
      <c r="I17444" s="24"/>
      <c r="J17444" s="24"/>
      <c r="K17444" s="24"/>
      <c r="L17444" s="24"/>
      <c r="M17444" s="24"/>
      <c r="N17444" s="24"/>
      <c r="O17444" s="24"/>
      <c r="P17444" s="24"/>
      <c r="Q17444" s="24"/>
      <c r="R17444" s="24"/>
      <c r="S17444" s="24"/>
      <c r="T17444" s="24"/>
      <c r="U17444" s="24"/>
      <c r="V17444" s="24"/>
      <c r="W17444" s="24"/>
      <c r="X17444" s="24"/>
      <c r="Y17444" s="24"/>
      <c r="Z17444" s="24"/>
      <c r="AA17444" s="24"/>
    </row>
    <row r="17445">
      <c r="A17445" s="24"/>
      <c r="B17445" s="25"/>
      <c r="C17445" s="24"/>
      <c r="D17445" s="26"/>
      <c r="E17445" s="24"/>
      <c r="F17445" s="24"/>
      <c r="G17445" s="24"/>
      <c r="H17445" s="24"/>
      <c r="I17445" s="24"/>
      <c r="J17445" s="24"/>
      <c r="K17445" s="24"/>
      <c r="L17445" s="24"/>
      <c r="M17445" s="24"/>
      <c r="N17445" s="24"/>
      <c r="O17445" s="24"/>
      <c r="P17445" s="24"/>
      <c r="Q17445" s="24"/>
      <c r="R17445" s="24"/>
      <c r="S17445" s="24"/>
      <c r="T17445" s="24"/>
      <c r="U17445" s="24"/>
      <c r="V17445" s="24"/>
      <c r="W17445" s="24"/>
      <c r="X17445" s="24"/>
      <c r="Y17445" s="24"/>
      <c r="Z17445" s="24"/>
      <c r="AA17445" s="24"/>
    </row>
    <row r="17446">
      <c r="A17446" s="24"/>
      <c r="B17446" s="25"/>
      <c r="C17446" s="24"/>
      <c r="D17446" s="26"/>
      <c r="E17446" s="24"/>
      <c r="F17446" s="24"/>
      <c r="G17446" s="24"/>
      <c r="H17446" s="24"/>
      <c r="I17446" s="24"/>
      <c r="J17446" s="24"/>
      <c r="K17446" s="24"/>
      <c r="L17446" s="24"/>
      <c r="M17446" s="24"/>
      <c r="N17446" s="24"/>
      <c r="O17446" s="24"/>
      <c r="P17446" s="24"/>
      <c r="Q17446" s="24"/>
      <c r="R17446" s="24"/>
      <c r="S17446" s="24"/>
      <c r="T17446" s="24"/>
      <c r="U17446" s="24"/>
      <c r="V17446" s="24"/>
      <c r="W17446" s="24"/>
      <c r="X17446" s="24"/>
      <c r="Y17446" s="24"/>
      <c r="Z17446" s="24"/>
      <c r="AA17446" s="24"/>
    </row>
    <row r="17447">
      <c r="A17447" s="24"/>
      <c r="B17447" s="25"/>
      <c r="C17447" s="24"/>
      <c r="D17447" s="26"/>
      <c r="E17447" s="24"/>
      <c r="F17447" s="24"/>
      <c r="G17447" s="24"/>
      <c r="H17447" s="24"/>
      <c r="I17447" s="24"/>
      <c r="J17447" s="24"/>
      <c r="K17447" s="24"/>
      <c r="L17447" s="24"/>
      <c r="M17447" s="24"/>
      <c r="N17447" s="24"/>
      <c r="O17447" s="24"/>
      <c r="P17447" s="24"/>
      <c r="Q17447" s="24"/>
      <c r="R17447" s="24"/>
      <c r="S17447" s="24"/>
      <c r="T17447" s="24"/>
      <c r="U17447" s="24"/>
      <c r="V17447" s="24"/>
      <c r="W17447" s="24"/>
      <c r="X17447" s="24"/>
      <c r="Y17447" s="24"/>
      <c r="Z17447" s="24"/>
      <c r="AA17447" s="24"/>
    </row>
    <row r="17448">
      <c r="A17448" s="24"/>
      <c r="B17448" s="25"/>
      <c r="C17448" s="24"/>
      <c r="D17448" s="26"/>
      <c r="E17448" s="24"/>
      <c r="F17448" s="24"/>
      <c r="G17448" s="24"/>
      <c r="H17448" s="24"/>
      <c r="I17448" s="24"/>
      <c r="J17448" s="24"/>
      <c r="K17448" s="24"/>
      <c r="L17448" s="24"/>
      <c r="M17448" s="24"/>
      <c r="N17448" s="24"/>
      <c r="O17448" s="24"/>
      <c r="P17448" s="24"/>
      <c r="Q17448" s="24"/>
      <c r="R17448" s="24"/>
      <c r="S17448" s="24"/>
      <c r="T17448" s="24"/>
      <c r="U17448" s="24"/>
      <c r="V17448" s="24"/>
      <c r="W17448" s="24"/>
      <c r="X17448" s="24"/>
      <c r="Y17448" s="24"/>
      <c r="Z17448" s="24"/>
      <c r="AA17448" s="24"/>
    </row>
    <row r="17449">
      <c r="A17449" s="24"/>
      <c r="B17449" s="25"/>
      <c r="C17449" s="24"/>
      <c r="D17449" s="26"/>
      <c r="E17449" s="24"/>
      <c r="F17449" s="24"/>
      <c r="G17449" s="24"/>
      <c r="H17449" s="24"/>
      <c r="I17449" s="24"/>
      <c r="J17449" s="24"/>
      <c r="K17449" s="24"/>
      <c r="L17449" s="24"/>
      <c r="M17449" s="24"/>
      <c r="N17449" s="24"/>
      <c r="O17449" s="24"/>
      <c r="P17449" s="24"/>
      <c r="Q17449" s="24"/>
      <c r="R17449" s="24"/>
      <c r="S17449" s="24"/>
      <c r="T17449" s="24"/>
      <c r="U17449" s="24"/>
      <c r="V17449" s="24"/>
      <c r="W17449" s="24"/>
      <c r="X17449" s="24"/>
      <c r="Y17449" s="24"/>
      <c r="Z17449" s="24"/>
      <c r="AA17449" s="24"/>
    </row>
    <row r="17450">
      <c r="A17450" s="24"/>
      <c r="B17450" s="25"/>
      <c r="C17450" s="24"/>
      <c r="D17450" s="26"/>
      <c r="E17450" s="24"/>
      <c r="F17450" s="24"/>
      <c r="G17450" s="24"/>
      <c r="H17450" s="24"/>
      <c r="I17450" s="24"/>
      <c r="J17450" s="24"/>
      <c r="K17450" s="24"/>
      <c r="L17450" s="24"/>
      <c r="M17450" s="24"/>
      <c r="N17450" s="24"/>
      <c r="O17450" s="24"/>
      <c r="P17450" s="24"/>
      <c r="Q17450" s="24"/>
      <c r="R17450" s="24"/>
      <c r="S17450" s="24"/>
      <c r="T17450" s="24"/>
      <c r="U17450" s="24"/>
      <c r="V17450" s="24"/>
      <c r="W17450" s="24"/>
      <c r="X17450" s="24"/>
      <c r="Y17450" s="24"/>
      <c r="Z17450" s="24"/>
      <c r="AA17450" s="24"/>
    </row>
    <row r="17451">
      <c r="A17451" s="24"/>
      <c r="B17451" s="25"/>
      <c r="C17451" s="24"/>
      <c r="D17451" s="26"/>
      <c r="E17451" s="24"/>
      <c r="F17451" s="24"/>
      <c r="G17451" s="24"/>
      <c r="H17451" s="24"/>
      <c r="I17451" s="24"/>
      <c r="J17451" s="24"/>
      <c r="K17451" s="24"/>
      <c r="L17451" s="24"/>
      <c r="M17451" s="24"/>
      <c r="N17451" s="24"/>
      <c r="O17451" s="24"/>
      <c r="P17451" s="24"/>
      <c r="Q17451" s="24"/>
      <c r="R17451" s="24"/>
      <c r="S17451" s="24"/>
      <c r="T17451" s="24"/>
      <c r="U17451" s="24"/>
      <c r="V17451" s="24"/>
      <c r="W17451" s="24"/>
      <c r="X17451" s="24"/>
      <c r="Y17451" s="24"/>
      <c r="Z17451" s="24"/>
      <c r="AA17451" s="24"/>
    </row>
    <row r="17452">
      <c r="A17452" s="24"/>
      <c r="B17452" s="25"/>
      <c r="C17452" s="24"/>
      <c r="D17452" s="26"/>
      <c r="E17452" s="24"/>
      <c r="F17452" s="24"/>
      <c r="G17452" s="24"/>
      <c r="H17452" s="24"/>
      <c r="I17452" s="24"/>
      <c r="J17452" s="24"/>
      <c r="K17452" s="24"/>
      <c r="L17452" s="24"/>
      <c r="M17452" s="24"/>
      <c r="N17452" s="24"/>
      <c r="O17452" s="24"/>
      <c r="P17452" s="24"/>
      <c r="Q17452" s="24"/>
      <c r="R17452" s="24"/>
      <c r="S17452" s="24"/>
      <c r="T17452" s="24"/>
      <c r="U17452" s="24"/>
      <c r="V17452" s="24"/>
      <c r="W17452" s="24"/>
      <c r="X17452" s="24"/>
      <c r="Y17452" s="24"/>
      <c r="Z17452" s="24"/>
      <c r="AA17452" s="24"/>
    </row>
    <row r="17453">
      <c r="A17453" s="24"/>
      <c r="B17453" s="25"/>
      <c r="C17453" s="24"/>
      <c r="D17453" s="26"/>
      <c r="E17453" s="24"/>
      <c r="F17453" s="24"/>
      <c r="G17453" s="24"/>
      <c r="H17453" s="24"/>
      <c r="I17453" s="24"/>
      <c r="J17453" s="24"/>
      <c r="K17453" s="24"/>
      <c r="L17453" s="24"/>
      <c r="M17453" s="24"/>
      <c r="N17453" s="24"/>
      <c r="O17453" s="24"/>
      <c r="P17453" s="24"/>
      <c r="Q17453" s="24"/>
      <c r="R17453" s="24"/>
      <c r="S17453" s="24"/>
      <c r="T17453" s="24"/>
      <c r="U17453" s="24"/>
      <c r="V17453" s="24"/>
      <c r="W17453" s="24"/>
      <c r="X17453" s="24"/>
      <c r="Y17453" s="24"/>
      <c r="Z17453" s="24"/>
      <c r="AA17453" s="24"/>
    </row>
    <row r="17454">
      <c r="A17454" s="24"/>
      <c r="B17454" s="25"/>
      <c r="C17454" s="24"/>
      <c r="D17454" s="26"/>
      <c r="E17454" s="24"/>
      <c r="F17454" s="24"/>
      <c r="G17454" s="24"/>
      <c r="H17454" s="24"/>
      <c r="I17454" s="24"/>
      <c r="J17454" s="24"/>
      <c r="K17454" s="24"/>
      <c r="L17454" s="24"/>
      <c r="M17454" s="24"/>
      <c r="N17454" s="24"/>
      <c r="O17454" s="24"/>
      <c r="P17454" s="24"/>
      <c r="Q17454" s="24"/>
      <c r="R17454" s="24"/>
      <c r="S17454" s="24"/>
      <c r="T17454" s="24"/>
      <c r="U17454" s="24"/>
      <c r="V17454" s="24"/>
      <c r="W17454" s="24"/>
      <c r="X17454" s="24"/>
      <c r="Y17454" s="24"/>
      <c r="Z17454" s="24"/>
      <c r="AA17454" s="24"/>
    </row>
    <row r="17455">
      <c r="A17455" s="24"/>
      <c r="B17455" s="25"/>
      <c r="C17455" s="24"/>
      <c r="D17455" s="26"/>
      <c r="E17455" s="24"/>
      <c r="F17455" s="24"/>
      <c r="G17455" s="24"/>
      <c r="H17455" s="24"/>
      <c r="I17455" s="24"/>
      <c r="J17455" s="24"/>
      <c r="K17455" s="24"/>
      <c r="L17455" s="24"/>
      <c r="M17455" s="24"/>
      <c r="N17455" s="24"/>
      <c r="O17455" s="24"/>
      <c r="P17455" s="24"/>
      <c r="Q17455" s="24"/>
      <c r="R17455" s="24"/>
      <c r="S17455" s="24"/>
      <c r="T17455" s="24"/>
      <c r="U17455" s="24"/>
      <c r="V17455" s="24"/>
      <c r="W17455" s="24"/>
      <c r="X17455" s="24"/>
      <c r="Y17455" s="24"/>
      <c r="Z17455" s="24"/>
      <c r="AA17455" s="24"/>
    </row>
    <row r="17456">
      <c r="A17456" s="24"/>
      <c r="B17456" s="25"/>
      <c r="C17456" s="24"/>
      <c r="D17456" s="26"/>
      <c r="E17456" s="24"/>
      <c r="F17456" s="24"/>
      <c r="G17456" s="24"/>
      <c r="H17456" s="24"/>
      <c r="I17456" s="24"/>
      <c r="J17456" s="24"/>
      <c r="K17456" s="24"/>
      <c r="L17456" s="24"/>
      <c r="M17456" s="24"/>
      <c r="N17456" s="24"/>
      <c r="O17456" s="24"/>
      <c r="P17456" s="24"/>
      <c r="Q17456" s="24"/>
      <c r="R17456" s="24"/>
      <c r="S17456" s="24"/>
      <c r="T17456" s="24"/>
      <c r="U17456" s="24"/>
      <c r="V17456" s="24"/>
      <c r="W17456" s="24"/>
      <c r="X17456" s="24"/>
      <c r="Y17456" s="24"/>
      <c r="Z17456" s="24"/>
      <c r="AA17456" s="24"/>
    </row>
    <row r="17457">
      <c r="A17457" s="24"/>
      <c r="B17457" s="25"/>
      <c r="C17457" s="24"/>
      <c r="D17457" s="26"/>
      <c r="E17457" s="24"/>
      <c r="F17457" s="24"/>
      <c r="G17457" s="24"/>
      <c r="H17457" s="24"/>
      <c r="I17457" s="24"/>
      <c r="J17457" s="24"/>
      <c r="K17457" s="24"/>
      <c r="L17457" s="24"/>
      <c r="M17457" s="24"/>
      <c r="N17457" s="24"/>
      <c r="O17457" s="24"/>
      <c r="P17457" s="24"/>
      <c r="Q17457" s="24"/>
      <c r="R17457" s="24"/>
      <c r="S17457" s="24"/>
      <c r="T17457" s="24"/>
      <c r="U17457" s="24"/>
      <c r="V17457" s="24"/>
      <c r="W17457" s="24"/>
      <c r="X17457" s="24"/>
      <c r="Y17457" s="24"/>
      <c r="Z17457" s="24"/>
      <c r="AA17457" s="24"/>
    </row>
    <row r="17458">
      <c r="A17458" s="24"/>
      <c r="B17458" s="25"/>
      <c r="C17458" s="24"/>
      <c r="D17458" s="26"/>
      <c r="E17458" s="24"/>
      <c r="F17458" s="24"/>
      <c r="G17458" s="24"/>
      <c r="H17458" s="24"/>
      <c r="I17458" s="24"/>
      <c r="J17458" s="24"/>
      <c r="K17458" s="24"/>
      <c r="L17458" s="24"/>
      <c r="M17458" s="24"/>
      <c r="N17458" s="24"/>
      <c r="O17458" s="24"/>
      <c r="P17458" s="24"/>
      <c r="Q17458" s="24"/>
      <c r="R17458" s="24"/>
      <c r="S17458" s="24"/>
      <c r="T17458" s="24"/>
      <c r="U17458" s="24"/>
      <c r="V17458" s="24"/>
      <c r="W17458" s="24"/>
      <c r="X17458" s="24"/>
      <c r="Y17458" s="24"/>
      <c r="Z17458" s="24"/>
      <c r="AA17458" s="24"/>
    </row>
    <row r="17459">
      <c r="A17459" s="24"/>
      <c r="B17459" s="25"/>
      <c r="C17459" s="24"/>
      <c r="D17459" s="26"/>
      <c r="E17459" s="24"/>
      <c r="F17459" s="24"/>
      <c r="G17459" s="24"/>
      <c r="H17459" s="24"/>
      <c r="I17459" s="24"/>
      <c r="J17459" s="24"/>
      <c r="K17459" s="24"/>
      <c r="L17459" s="24"/>
      <c r="M17459" s="24"/>
      <c r="N17459" s="24"/>
      <c r="O17459" s="24"/>
      <c r="P17459" s="24"/>
      <c r="Q17459" s="24"/>
      <c r="R17459" s="24"/>
      <c r="S17459" s="24"/>
      <c r="T17459" s="24"/>
      <c r="U17459" s="24"/>
      <c r="V17459" s="24"/>
      <c r="W17459" s="24"/>
      <c r="X17459" s="24"/>
      <c r="Y17459" s="24"/>
      <c r="Z17459" s="24"/>
      <c r="AA17459" s="24"/>
    </row>
    <row r="17460">
      <c r="A17460" s="24"/>
      <c r="B17460" s="25"/>
      <c r="C17460" s="24"/>
      <c r="D17460" s="26"/>
      <c r="E17460" s="24"/>
      <c r="F17460" s="24"/>
      <c r="G17460" s="24"/>
      <c r="H17460" s="24"/>
      <c r="I17460" s="24"/>
      <c r="J17460" s="24"/>
      <c r="K17460" s="24"/>
      <c r="L17460" s="24"/>
      <c r="M17460" s="24"/>
      <c r="N17460" s="24"/>
      <c r="O17460" s="24"/>
      <c r="P17460" s="24"/>
      <c r="Q17460" s="24"/>
      <c r="R17460" s="24"/>
      <c r="S17460" s="24"/>
      <c r="T17460" s="24"/>
      <c r="U17460" s="24"/>
      <c r="V17460" s="24"/>
      <c r="W17460" s="24"/>
      <c r="X17460" s="24"/>
      <c r="Y17460" s="24"/>
      <c r="Z17460" s="24"/>
      <c r="AA17460" s="24"/>
    </row>
    <row r="17461">
      <c r="A17461" s="24"/>
      <c r="B17461" s="25"/>
      <c r="C17461" s="24"/>
      <c r="D17461" s="26"/>
      <c r="E17461" s="24"/>
      <c r="F17461" s="24"/>
      <c r="G17461" s="24"/>
      <c r="H17461" s="24"/>
      <c r="I17461" s="24"/>
      <c r="J17461" s="24"/>
      <c r="K17461" s="24"/>
      <c r="L17461" s="24"/>
      <c r="M17461" s="24"/>
      <c r="N17461" s="24"/>
      <c r="O17461" s="24"/>
      <c r="P17461" s="24"/>
      <c r="Q17461" s="24"/>
      <c r="R17461" s="24"/>
      <c r="S17461" s="24"/>
      <c r="T17461" s="24"/>
      <c r="U17461" s="24"/>
      <c r="V17461" s="24"/>
      <c r="W17461" s="24"/>
      <c r="X17461" s="24"/>
      <c r="Y17461" s="24"/>
      <c r="Z17461" s="24"/>
      <c r="AA17461" s="24"/>
    </row>
    <row r="17462">
      <c r="A17462" s="24"/>
      <c r="B17462" s="25"/>
      <c r="C17462" s="24"/>
      <c r="D17462" s="26"/>
      <c r="E17462" s="24"/>
      <c r="F17462" s="24"/>
      <c r="G17462" s="24"/>
      <c r="H17462" s="24"/>
      <c r="I17462" s="24"/>
      <c r="J17462" s="24"/>
      <c r="K17462" s="24"/>
      <c r="L17462" s="24"/>
      <c r="M17462" s="24"/>
      <c r="N17462" s="24"/>
      <c r="O17462" s="24"/>
      <c r="P17462" s="24"/>
      <c r="Q17462" s="24"/>
      <c r="R17462" s="24"/>
      <c r="S17462" s="24"/>
      <c r="T17462" s="24"/>
      <c r="U17462" s="24"/>
      <c r="V17462" s="24"/>
      <c r="W17462" s="24"/>
      <c r="X17462" s="24"/>
      <c r="Y17462" s="24"/>
      <c r="Z17462" s="24"/>
      <c r="AA17462" s="24"/>
    </row>
    <row r="17463">
      <c r="A17463" s="24"/>
      <c r="B17463" s="25"/>
      <c r="C17463" s="24"/>
      <c r="D17463" s="26"/>
      <c r="E17463" s="24"/>
      <c r="F17463" s="24"/>
      <c r="G17463" s="24"/>
      <c r="H17463" s="24"/>
      <c r="I17463" s="24"/>
      <c r="J17463" s="24"/>
      <c r="K17463" s="24"/>
      <c r="L17463" s="24"/>
      <c r="M17463" s="24"/>
      <c r="N17463" s="24"/>
      <c r="O17463" s="24"/>
      <c r="P17463" s="24"/>
      <c r="Q17463" s="24"/>
      <c r="R17463" s="24"/>
      <c r="S17463" s="24"/>
      <c r="T17463" s="24"/>
      <c r="U17463" s="24"/>
      <c r="V17463" s="24"/>
      <c r="W17463" s="24"/>
      <c r="X17463" s="24"/>
      <c r="Y17463" s="24"/>
      <c r="Z17463" s="24"/>
      <c r="AA17463" s="24"/>
    </row>
    <row r="17464">
      <c r="A17464" s="24"/>
      <c r="B17464" s="25"/>
      <c r="C17464" s="24"/>
      <c r="D17464" s="26"/>
      <c r="E17464" s="24"/>
      <c r="F17464" s="24"/>
      <c r="G17464" s="24"/>
      <c r="H17464" s="24"/>
      <c r="I17464" s="24"/>
      <c r="J17464" s="24"/>
      <c r="K17464" s="24"/>
      <c r="L17464" s="24"/>
      <c r="M17464" s="24"/>
      <c r="N17464" s="24"/>
      <c r="O17464" s="24"/>
      <c r="P17464" s="24"/>
      <c r="Q17464" s="24"/>
      <c r="R17464" s="24"/>
      <c r="S17464" s="24"/>
      <c r="T17464" s="24"/>
      <c r="U17464" s="24"/>
      <c r="V17464" s="24"/>
      <c r="W17464" s="24"/>
      <c r="X17464" s="24"/>
      <c r="Y17464" s="24"/>
      <c r="Z17464" s="24"/>
      <c r="AA17464" s="24"/>
    </row>
    <row r="17465">
      <c r="A17465" s="24"/>
      <c r="B17465" s="25"/>
      <c r="C17465" s="24"/>
      <c r="D17465" s="26"/>
      <c r="E17465" s="24"/>
      <c r="F17465" s="24"/>
      <c r="G17465" s="24"/>
      <c r="H17465" s="24"/>
      <c r="I17465" s="24"/>
      <c r="J17465" s="24"/>
      <c r="K17465" s="24"/>
      <c r="L17465" s="24"/>
      <c r="M17465" s="24"/>
      <c r="N17465" s="24"/>
      <c r="O17465" s="24"/>
      <c r="P17465" s="24"/>
      <c r="Q17465" s="24"/>
      <c r="R17465" s="24"/>
      <c r="S17465" s="24"/>
      <c r="T17465" s="24"/>
      <c r="U17465" s="24"/>
      <c r="V17465" s="24"/>
      <c r="W17465" s="24"/>
      <c r="X17465" s="24"/>
      <c r="Y17465" s="24"/>
      <c r="Z17465" s="24"/>
      <c r="AA17465" s="24"/>
    </row>
    <row r="17466">
      <c r="A17466" s="24"/>
      <c r="B17466" s="25"/>
      <c r="C17466" s="24"/>
      <c r="D17466" s="26"/>
      <c r="E17466" s="24"/>
      <c r="F17466" s="24"/>
      <c r="G17466" s="24"/>
      <c r="H17466" s="24"/>
      <c r="I17466" s="24"/>
      <c r="J17466" s="24"/>
      <c r="K17466" s="24"/>
      <c r="L17466" s="24"/>
      <c r="M17466" s="24"/>
      <c r="N17466" s="24"/>
      <c r="O17466" s="24"/>
      <c r="P17466" s="24"/>
      <c r="Q17466" s="24"/>
      <c r="R17466" s="24"/>
      <c r="S17466" s="24"/>
      <c r="T17466" s="24"/>
      <c r="U17466" s="24"/>
      <c r="V17466" s="24"/>
      <c r="W17466" s="24"/>
      <c r="X17466" s="24"/>
      <c r="Y17466" s="24"/>
      <c r="Z17466" s="24"/>
      <c r="AA17466" s="24"/>
    </row>
    <row r="17467">
      <c r="A17467" s="24"/>
      <c r="B17467" s="25"/>
      <c r="C17467" s="24"/>
      <c r="D17467" s="26"/>
      <c r="E17467" s="24"/>
      <c r="F17467" s="24"/>
      <c r="G17467" s="24"/>
      <c r="H17467" s="24"/>
      <c r="I17467" s="24"/>
      <c r="J17467" s="24"/>
      <c r="K17467" s="24"/>
      <c r="L17467" s="24"/>
      <c r="M17467" s="24"/>
      <c r="N17467" s="24"/>
      <c r="O17467" s="24"/>
      <c r="P17467" s="24"/>
      <c r="Q17467" s="24"/>
      <c r="R17467" s="24"/>
      <c r="S17467" s="24"/>
      <c r="T17467" s="24"/>
      <c r="U17467" s="24"/>
      <c r="V17467" s="24"/>
      <c r="W17467" s="24"/>
      <c r="X17467" s="24"/>
      <c r="Y17467" s="24"/>
      <c r="Z17467" s="24"/>
      <c r="AA17467" s="24"/>
    </row>
    <row r="17468">
      <c r="A17468" s="24"/>
      <c r="B17468" s="25"/>
      <c r="C17468" s="24"/>
      <c r="D17468" s="26"/>
      <c r="E17468" s="24"/>
      <c r="F17468" s="24"/>
      <c r="G17468" s="24"/>
      <c r="H17468" s="24"/>
      <c r="I17468" s="24"/>
      <c r="J17468" s="24"/>
      <c r="K17468" s="24"/>
      <c r="L17468" s="24"/>
      <c r="M17468" s="24"/>
      <c r="N17468" s="24"/>
      <c r="O17468" s="24"/>
      <c r="P17468" s="24"/>
      <c r="Q17468" s="24"/>
      <c r="R17468" s="24"/>
      <c r="S17468" s="24"/>
      <c r="T17468" s="24"/>
      <c r="U17468" s="24"/>
      <c r="V17468" s="24"/>
      <c r="W17468" s="24"/>
      <c r="X17468" s="24"/>
      <c r="Y17468" s="24"/>
      <c r="Z17468" s="24"/>
      <c r="AA17468" s="24"/>
    </row>
    <row r="17469">
      <c r="A17469" s="24"/>
      <c r="B17469" s="25"/>
      <c r="C17469" s="24"/>
      <c r="D17469" s="26"/>
      <c r="E17469" s="24"/>
      <c r="F17469" s="24"/>
      <c r="G17469" s="24"/>
      <c r="H17469" s="24"/>
      <c r="I17469" s="24"/>
      <c r="J17469" s="24"/>
      <c r="K17469" s="24"/>
      <c r="L17469" s="24"/>
      <c r="M17469" s="24"/>
      <c r="N17469" s="24"/>
      <c r="O17469" s="24"/>
      <c r="P17469" s="24"/>
      <c r="Q17469" s="24"/>
      <c r="R17469" s="24"/>
      <c r="S17469" s="24"/>
      <c r="T17469" s="24"/>
      <c r="U17469" s="24"/>
      <c r="V17469" s="24"/>
      <c r="W17469" s="24"/>
      <c r="X17469" s="24"/>
      <c r="Y17469" s="24"/>
      <c r="Z17469" s="24"/>
      <c r="AA17469" s="24"/>
    </row>
    <row r="17470">
      <c r="A17470" s="24"/>
      <c r="B17470" s="25"/>
      <c r="C17470" s="24"/>
      <c r="D17470" s="26"/>
      <c r="E17470" s="24"/>
      <c r="F17470" s="24"/>
      <c r="G17470" s="24"/>
      <c r="H17470" s="24"/>
      <c r="I17470" s="24"/>
      <c r="J17470" s="24"/>
      <c r="K17470" s="24"/>
      <c r="L17470" s="24"/>
      <c r="M17470" s="24"/>
      <c r="N17470" s="24"/>
      <c r="O17470" s="24"/>
      <c r="P17470" s="24"/>
      <c r="Q17470" s="24"/>
      <c r="R17470" s="24"/>
      <c r="S17470" s="24"/>
      <c r="T17470" s="24"/>
      <c r="U17470" s="24"/>
      <c r="V17470" s="24"/>
      <c r="W17470" s="24"/>
      <c r="X17470" s="24"/>
      <c r="Y17470" s="24"/>
      <c r="Z17470" s="24"/>
      <c r="AA17470" s="24"/>
    </row>
    <row r="17471">
      <c r="A17471" s="24"/>
      <c r="B17471" s="25"/>
      <c r="C17471" s="24"/>
      <c r="D17471" s="26"/>
      <c r="E17471" s="24"/>
      <c r="F17471" s="24"/>
      <c r="G17471" s="24"/>
      <c r="H17471" s="24"/>
      <c r="I17471" s="24"/>
      <c r="J17471" s="24"/>
      <c r="K17471" s="24"/>
      <c r="L17471" s="24"/>
      <c r="M17471" s="24"/>
      <c r="N17471" s="24"/>
      <c r="O17471" s="24"/>
      <c r="P17471" s="24"/>
      <c r="Q17471" s="24"/>
      <c r="R17471" s="24"/>
      <c r="S17471" s="24"/>
      <c r="T17471" s="24"/>
      <c r="U17471" s="24"/>
      <c r="V17471" s="24"/>
      <c r="W17471" s="24"/>
      <c r="X17471" s="24"/>
      <c r="Y17471" s="24"/>
      <c r="Z17471" s="24"/>
      <c r="AA17471" s="24"/>
    </row>
    <row r="17472">
      <c r="A17472" s="24"/>
      <c r="B17472" s="25"/>
      <c r="C17472" s="24"/>
      <c r="D17472" s="26"/>
      <c r="E17472" s="24"/>
      <c r="F17472" s="24"/>
      <c r="G17472" s="24"/>
      <c r="H17472" s="24"/>
      <c r="I17472" s="24"/>
      <c r="J17472" s="24"/>
      <c r="K17472" s="24"/>
      <c r="L17472" s="24"/>
      <c r="M17472" s="24"/>
      <c r="N17472" s="24"/>
      <c r="O17472" s="24"/>
      <c r="P17472" s="24"/>
      <c r="Q17472" s="24"/>
      <c r="R17472" s="24"/>
      <c r="S17472" s="24"/>
      <c r="T17472" s="24"/>
      <c r="U17472" s="24"/>
      <c r="V17472" s="24"/>
      <c r="W17472" s="24"/>
      <c r="X17472" s="24"/>
      <c r="Y17472" s="24"/>
      <c r="Z17472" s="24"/>
      <c r="AA17472" s="24"/>
    </row>
    <row r="17473">
      <c r="A17473" s="24"/>
      <c r="B17473" s="25"/>
      <c r="C17473" s="24"/>
      <c r="D17473" s="26"/>
      <c r="E17473" s="24"/>
      <c r="F17473" s="24"/>
      <c r="G17473" s="24"/>
      <c r="H17473" s="24"/>
      <c r="I17473" s="24"/>
      <c r="J17473" s="24"/>
      <c r="K17473" s="24"/>
      <c r="L17473" s="24"/>
      <c r="M17473" s="24"/>
      <c r="N17473" s="24"/>
      <c r="O17473" s="24"/>
      <c r="P17473" s="24"/>
      <c r="Q17473" s="24"/>
      <c r="R17473" s="24"/>
      <c r="S17473" s="24"/>
      <c r="T17473" s="24"/>
      <c r="U17473" s="24"/>
      <c r="V17473" s="24"/>
      <c r="W17473" s="24"/>
      <c r="X17473" s="24"/>
      <c r="Y17473" s="24"/>
      <c r="Z17473" s="24"/>
      <c r="AA17473" s="24"/>
    </row>
    <row r="17474">
      <c r="A17474" s="24"/>
      <c r="B17474" s="25"/>
      <c r="C17474" s="24"/>
      <c r="D17474" s="26"/>
      <c r="E17474" s="24"/>
      <c r="F17474" s="24"/>
      <c r="G17474" s="24"/>
      <c r="H17474" s="24"/>
      <c r="I17474" s="24"/>
      <c r="J17474" s="24"/>
      <c r="K17474" s="24"/>
      <c r="L17474" s="24"/>
      <c r="M17474" s="24"/>
      <c r="N17474" s="24"/>
      <c r="O17474" s="24"/>
      <c r="P17474" s="24"/>
      <c r="Q17474" s="24"/>
      <c r="R17474" s="24"/>
      <c r="S17474" s="24"/>
      <c r="T17474" s="24"/>
      <c r="U17474" s="24"/>
      <c r="V17474" s="24"/>
      <c r="W17474" s="24"/>
      <c r="X17474" s="24"/>
      <c r="Y17474" s="24"/>
      <c r="Z17474" s="24"/>
      <c r="AA17474" s="24"/>
    </row>
    <row r="17475">
      <c r="A17475" s="24"/>
      <c r="B17475" s="25"/>
      <c r="C17475" s="24"/>
      <c r="D17475" s="26"/>
      <c r="E17475" s="24"/>
      <c r="F17475" s="24"/>
      <c r="G17475" s="24"/>
      <c r="H17475" s="24"/>
      <c r="I17475" s="24"/>
      <c r="J17475" s="24"/>
      <c r="K17475" s="24"/>
      <c r="L17475" s="24"/>
      <c r="M17475" s="24"/>
      <c r="N17475" s="24"/>
      <c r="O17475" s="24"/>
      <c r="P17475" s="24"/>
      <c r="Q17475" s="24"/>
      <c r="R17475" s="24"/>
      <c r="S17475" s="24"/>
      <c r="T17475" s="24"/>
      <c r="U17475" s="24"/>
      <c r="V17475" s="24"/>
      <c r="W17475" s="24"/>
      <c r="X17475" s="24"/>
      <c r="Y17475" s="24"/>
      <c r="Z17475" s="24"/>
      <c r="AA17475" s="24"/>
    </row>
    <row r="17476">
      <c r="A17476" s="24"/>
      <c r="B17476" s="25"/>
      <c r="C17476" s="24"/>
      <c r="D17476" s="26"/>
      <c r="E17476" s="24"/>
      <c r="F17476" s="24"/>
      <c r="G17476" s="24"/>
      <c r="H17476" s="24"/>
      <c r="I17476" s="24"/>
      <c r="J17476" s="24"/>
      <c r="K17476" s="24"/>
      <c r="L17476" s="24"/>
      <c r="M17476" s="24"/>
      <c r="N17476" s="24"/>
      <c r="O17476" s="24"/>
      <c r="P17476" s="24"/>
      <c r="Q17476" s="24"/>
      <c r="R17476" s="24"/>
      <c r="S17476" s="24"/>
      <c r="T17476" s="24"/>
      <c r="U17476" s="24"/>
      <c r="V17476" s="24"/>
      <c r="W17476" s="24"/>
      <c r="X17476" s="24"/>
      <c r="Y17476" s="24"/>
      <c r="Z17476" s="24"/>
      <c r="AA17476" s="24"/>
    </row>
    <row r="17477">
      <c r="A17477" s="24"/>
      <c r="B17477" s="25"/>
      <c r="C17477" s="24"/>
      <c r="D17477" s="26"/>
      <c r="E17477" s="24"/>
      <c r="F17477" s="24"/>
      <c r="G17477" s="24"/>
      <c r="H17477" s="24"/>
      <c r="I17477" s="24"/>
      <c r="J17477" s="24"/>
      <c r="K17477" s="24"/>
      <c r="L17477" s="24"/>
      <c r="M17477" s="24"/>
      <c r="N17477" s="24"/>
      <c r="O17477" s="24"/>
      <c r="P17477" s="24"/>
      <c r="Q17477" s="24"/>
      <c r="R17477" s="24"/>
      <c r="S17477" s="24"/>
      <c r="T17477" s="24"/>
      <c r="U17477" s="24"/>
      <c r="V17477" s="24"/>
      <c r="W17477" s="24"/>
      <c r="X17477" s="24"/>
      <c r="Y17477" s="24"/>
      <c r="Z17477" s="24"/>
      <c r="AA17477" s="24"/>
    </row>
    <row r="17478">
      <c r="A17478" s="24"/>
      <c r="B17478" s="25"/>
      <c r="C17478" s="24"/>
      <c r="D17478" s="26"/>
      <c r="E17478" s="24"/>
      <c r="F17478" s="24"/>
      <c r="G17478" s="24"/>
      <c r="H17478" s="24"/>
      <c r="I17478" s="24"/>
      <c r="J17478" s="24"/>
      <c r="K17478" s="24"/>
      <c r="L17478" s="24"/>
      <c r="M17478" s="24"/>
      <c r="N17478" s="24"/>
      <c r="O17478" s="24"/>
      <c r="P17478" s="24"/>
      <c r="Q17478" s="24"/>
      <c r="R17478" s="24"/>
      <c r="S17478" s="24"/>
      <c r="T17478" s="24"/>
      <c r="U17478" s="24"/>
      <c r="V17478" s="24"/>
      <c r="W17478" s="24"/>
      <c r="X17478" s="24"/>
      <c r="Y17478" s="24"/>
      <c r="Z17478" s="24"/>
      <c r="AA17478" s="24"/>
    </row>
    <row r="17479">
      <c r="A17479" s="24"/>
      <c r="B17479" s="25"/>
      <c r="C17479" s="24"/>
      <c r="D17479" s="26"/>
      <c r="E17479" s="24"/>
      <c r="F17479" s="24"/>
      <c r="G17479" s="24"/>
      <c r="H17479" s="24"/>
      <c r="I17479" s="24"/>
      <c r="J17479" s="24"/>
      <c r="K17479" s="24"/>
      <c r="L17479" s="24"/>
      <c r="M17479" s="24"/>
      <c r="N17479" s="24"/>
      <c r="O17479" s="24"/>
      <c r="P17479" s="24"/>
      <c r="Q17479" s="24"/>
      <c r="R17479" s="24"/>
      <c r="S17479" s="24"/>
      <c r="T17479" s="24"/>
      <c r="U17479" s="24"/>
      <c r="V17479" s="24"/>
      <c r="W17479" s="24"/>
      <c r="X17479" s="24"/>
      <c r="Y17479" s="24"/>
      <c r="Z17479" s="24"/>
      <c r="AA17479" s="24"/>
    </row>
    <row r="17480">
      <c r="A17480" s="24"/>
      <c r="B17480" s="25"/>
      <c r="C17480" s="24"/>
      <c r="D17480" s="26"/>
      <c r="E17480" s="24"/>
      <c r="F17480" s="24"/>
      <c r="G17480" s="24"/>
      <c r="H17480" s="24"/>
      <c r="I17480" s="24"/>
      <c r="J17480" s="24"/>
      <c r="K17480" s="24"/>
      <c r="L17480" s="24"/>
      <c r="M17480" s="24"/>
      <c r="N17480" s="24"/>
      <c r="O17480" s="24"/>
      <c r="P17480" s="24"/>
      <c r="Q17480" s="24"/>
      <c r="R17480" s="24"/>
      <c r="S17480" s="24"/>
      <c r="T17480" s="24"/>
      <c r="U17480" s="24"/>
      <c r="V17480" s="24"/>
      <c r="W17480" s="24"/>
      <c r="X17480" s="24"/>
      <c r="Y17480" s="24"/>
      <c r="Z17480" s="24"/>
      <c r="AA17480" s="24"/>
    </row>
    <row r="17481">
      <c r="A17481" s="24"/>
      <c r="B17481" s="25"/>
      <c r="C17481" s="24"/>
      <c r="D17481" s="26"/>
      <c r="E17481" s="24"/>
      <c r="F17481" s="24"/>
      <c r="G17481" s="24"/>
      <c r="H17481" s="24"/>
      <c r="I17481" s="24"/>
      <c r="J17481" s="24"/>
      <c r="K17481" s="24"/>
      <c r="L17481" s="24"/>
      <c r="M17481" s="24"/>
      <c r="N17481" s="24"/>
      <c r="O17481" s="24"/>
      <c r="P17481" s="24"/>
      <c r="Q17481" s="24"/>
      <c r="R17481" s="24"/>
      <c r="S17481" s="24"/>
      <c r="T17481" s="24"/>
      <c r="U17481" s="24"/>
      <c r="V17481" s="24"/>
      <c r="W17481" s="24"/>
      <c r="X17481" s="24"/>
      <c r="Y17481" s="24"/>
      <c r="Z17481" s="24"/>
      <c r="AA17481" s="24"/>
    </row>
    <row r="17482">
      <c r="A17482" s="24"/>
      <c r="B17482" s="25"/>
      <c r="C17482" s="24"/>
      <c r="D17482" s="26"/>
      <c r="E17482" s="24"/>
      <c r="F17482" s="24"/>
      <c r="G17482" s="24"/>
      <c r="H17482" s="24"/>
      <c r="I17482" s="24"/>
      <c r="J17482" s="24"/>
      <c r="K17482" s="24"/>
      <c r="L17482" s="24"/>
      <c r="M17482" s="24"/>
      <c r="N17482" s="24"/>
      <c r="O17482" s="24"/>
      <c r="P17482" s="24"/>
      <c r="Q17482" s="24"/>
      <c r="R17482" s="24"/>
      <c r="S17482" s="24"/>
      <c r="T17482" s="24"/>
      <c r="U17482" s="24"/>
      <c r="V17482" s="24"/>
      <c r="W17482" s="24"/>
      <c r="X17482" s="24"/>
      <c r="Y17482" s="24"/>
      <c r="Z17482" s="24"/>
      <c r="AA17482" s="24"/>
    </row>
    <row r="17483">
      <c r="A17483" s="24"/>
      <c r="B17483" s="25"/>
      <c r="C17483" s="24"/>
      <c r="D17483" s="26"/>
      <c r="E17483" s="24"/>
      <c r="F17483" s="24"/>
      <c r="G17483" s="24"/>
      <c r="H17483" s="24"/>
      <c r="I17483" s="24"/>
      <c r="J17483" s="24"/>
      <c r="K17483" s="24"/>
      <c r="L17483" s="24"/>
      <c r="M17483" s="24"/>
      <c r="N17483" s="24"/>
      <c r="O17483" s="24"/>
      <c r="P17483" s="24"/>
      <c r="Q17483" s="24"/>
      <c r="R17483" s="24"/>
      <c r="S17483" s="24"/>
      <c r="T17483" s="24"/>
      <c r="U17483" s="24"/>
      <c r="V17483" s="24"/>
      <c r="W17483" s="24"/>
      <c r="X17483" s="24"/>
      <c r="Y17483" s="24"/>
      <c r="Z17483" s="24"/>
      <c r="AA17483" s="24"/>
    </row>
    <row r="17484">
      <c r="A17484" s="24"/>
      <c r="B17484" s="25"/>
      <c r="C17484" s="24"/>
      <c r="D17484" s="26"/>
      <c r="E17484" s="24"/>
      <c r="F17484" s="24"/>
      <c r="G17484" s="24"/>
      <c r="H17484" s="24"/>
      <c r="I17484" s="24"/>
      <c r="J17484" s="24"/>
      <c r="K17484" s="24"/>
      <c r="L17484" s="24"/>
      <c r="M17484" s="24"/>
      <c r="N17484" s="24"/>
      <c r="O17484" s="24"/>
      <c r="P17484" s="24"/>
      <c r="Q17484" s="24"/>
      <c r="R17484" s="24"/>
      <c r="S17484" s="24"/>
      <c r="T17484" s="24"/>
      <c r="U17484" s="24"/>
      <c r="V17484" s="24"/>
      <c r="W17484" s="24"/>
      <c r="X17484" s="24"/>
      <c r="Y17484" s="24"/>
      <c r="Z17484" s="24"/>
      <c r="AA17484" s="24"/>
    </row>
    <row r="17485">
      <c r="A17485" s="24"/>
      <c r="B17485" s="25"/>
      <c r="C17485" s="24"/>
      <c r="D17485" s="26"/>
      <c r="E17485" s="24"/>
      <c r="F17485" s="24"/>
      <c r="G17485" s="24"/>
      <c r="H17485" s="24"/>
      <c r="I17485" s="24"/>
      <c r="J17485" s="24"/>
      <c r="K17485" s="24"/>
      <c r="L17485" s="24"/>
      <c r="M17485" s="24"/>
      <c r="N17485" s="24"/>
      <c r="O17485" s="24"/>
      <c r="P17485" s="24"/>
      <c r="Q17485" s="24"/>
      <c r="R17485" s="24"/>
      <c r="S17485" s="24"/>
      <c r="T17485" s="24"/>
      <c r="U17485" s="24"/>
      <c r="V17485" s="24"/>
      <c r="W17485" s="24"/>
      <c r="X17485" s="24"/>
      <c r="Y17485" s="24"/>
      <c r="Z17485" s="24"/>
      <c r="AA17485" s="24"/>
    </row>
    <row r="17486">
      <c r="A17486" s="24"/>
      <c r="B17486" s="25"/>
      <c r="C17486" s="24"/>
      <c r="D17486" s="26"/>
      <c r="E17486" s="24"/>
      <c r="F17486" s="24"/>
      <c r="G17486" s="24"/>
      <c r="H17486" s="24"/>
      <c r="I17486" s="24"/>
      <c r="J17486" s="24"/>
      <c r="K17486" s="24"/>
      <c r="L17486" s="24"/>
      <c r="M17486" s="24"/>
      <c r="N17486" s="24"/>
      <c r="O17486" s="24"/>
      <c r="P17486" s="24"/>
      <c r="Q17486" s="24"/>
      <c r="R17486" s="24"/>
      <c r="S17486" s="24"/>
      <c r="T17486" s="24"/>
      <c r="U17486" s="24"/>
      <c r="V17486" s="24"/>
      <c r="W17486" s="24"/>
      <c r="X17486" s="24"/>
      <c r="Y17486" s="24"/>
      <c r="Z17486" s="24"/>
      <c r="AA17486" s="24"/>
    </row>
    <row r="17487">
      <c r="A17487" s="24"/>
      <c r="B17487" s="25"/>
      <c r="C17487" s="24"/>
      <c r="D17487" s="26"/>
      <c r="E17487" s="24"/>
      <c r="F17487" s="24"/>
      <c r="G17487" s="24"/>
      <c r="H17487" s="24"/>
      <c r="I17487" s="24"/>
      <c r="J17487" s="24"/>
      <c r="K17487" s="24"/>
      <c r="L17487" s="24"/>
      <c r="M17487" s="24"/>
      <c r="N17487" s="24"/>
      <c r="O17487" s="24"/>
      <c r="P17487" s="24"/>
      <c r="Q17487" s="24"/>
      <c r="R17487" s="24"/>
      <c r="S17487" s="24"/>
      <c r="T17487" s="24"/>
      <c r="U17487" s="24"/>
      <c r="V17487" s="24"/>
      <c r="W17487" s="24"/>
      <c r="X17487" s="24"/>
      <c r="Y17487" s="24"/>
      <c r="Z17487" s="24"/>
      <c r="AA17487" s="24"/>
    </row>
    <row r="17488">
      <c r="A17488" s="24"/>
      <c r="B17488" s="25"/>
      <c r="C17488" s="24"/>
      <c r="D17488" s="26"/>
      <c r="E17488" s="24"/>
      <c r="F17488" s="24"/>
      <c r="G17488" s="24"/>
      <c r="H17488" s="24"/>
      <c r="I17488" s="24"/>
      <c r="J17488" s="24"/>
      <c r="K17488" s="24"/>
      <c r="L17488" s="24"/>
      <c r="M17488" s="24"/>
      <c r="N17488" s="24"/>
      <c r="O17488" s="24"/>
      <c r="P17488" s="24"/>
      <c r="Q17488" s="24"/>
      <c r="R17488" s="24"/>
      <c r="S17488" s="24"/>
      <c r="T17488" s="24"/>
      <c r="U17488" s="24"/>
      <c r="V17488" s="24"/>
      <c r="W17488" s="24"/>
      <c r="X17488" s="24"/>
      <c r="Y17488" s="24"/>
      <c r="Z17488" s="24"/>
      <c r="AA17488" s="24"/>
    </row>
    <row r="17489">
      <c r="A17489" s="24"/>
      <c r="B17489" s="25"/>
      <c r="C17489" s="24"/>
      <c r="D17489" s="26"/>
      <c r="E17489" s="24"/>
      <c r="F17489" s="24"/>
      <c r="G17489" s="24"/>
      <c r="H17489" s="24"/>
      <c r="I17489" s="24"/>
      <c r="J17489" s="24"/>
      <c r="K17489" s="24"/>
      <c r="L17489" s="24"/>
      <c r="M17489" s="24"/>
      <c r="N17489" s="24"/>
      <c r="O17489" s="24"/>
      <c r="P17489" s="24"/>
      <c r="Q17489" s="24"/>
      <c r="R17489" s="24"/>
      <c r="S17489" s="24"/>
      <c r="T17489" s="24"/>
      <c r="U17489" s="24"/>
      <c r="V17489" s="24"/>
      <c r="W17489" s="24"/>
      <c r="X17489" s="24"/>
      <c r="Y17489" s="24"/>
      <c r="Z17489" s="24"/>
      <c r="AA17489" s="24"/>
    </row>
    <row r="17490">
      <c r="A17490" s="24"/>
      <c r="B17490" s="25"/>
      <c r="C17490" s="24"/>
      <c r="D17490" s="26"/>
      <c r="E17490" s="24"/>
      <c r="F17490" s="24"/>
      <c r="G17490" s="24"/>
      <c r="H17490" s="24"/>
      <c r="I17490" s="24"/>
      <c r="J17490" s="24"/>
      <c r="K17490" s="24"/>
      <c r="L17490" s="24"/>
      <c r="M17490" s="24"/>
      <c r="N17490" s="24"/>
      <c r="O17490" s="24"/>
      <c r="P17490" s="24"/>
      <c r="Q17490" s="24"/>
      <c r="R17490" s="24"/>
      <c r="S17490" s="24"/>
      <c r="T17490" s="24"/>
      <c r="U17490" s="24"/>
      <c r="V17490" s="24"/>
      <c r="W17490" s="24"/>
      <c r="X17490" s="24"/>
      <c r="Y17490" s="24"/>
      <c r="Z17490" s="24"/>
      <c r="AA17490" s="24"/>
    </row>
    <row r="17491">
      <c r="A17491" s="24"/>
      <c r="B17491" s="25"/>
      <c r="C17491" s="24"/>
      <c r="D17491" s="26"/>
      <c r="E17491" s="24"/>
      <c r="F17491" s="24"/>
      <c r="G17491" s="24"/>
      <c r="H17491" s="24"/>
      <c r="I17491" s="24"/>
      <c r="J17491" s="24"/>
      <c r="K17491" s="24"/>
      <c r="L17491" s="24"/>
      <c r="M17491" s="24"/>
      <c r="N17491" s="24"/>
      <c r="O17491" s="24"/>
      <c r="P17491" s="24"/>
      <c r="Q17491" s="24"/>
      <c r="R17491" s="24"/>
      <c r="S17491" s="24"/>
      <c r="T17491" s="24"/>
      <c r="U17491" s="24"/>
      <c r="V17491" s="24"/>
      <c r="W17491" s="24"/>
      <c r="X17491" s="24"/>
      <c r="Y17491" s="24"/>
      <c r="Z17491" s="24"/>
      <c r="AA17491" s="24"/>
    </row>
    <row r="17492">
      <c r="A17492" s="24"/>
      <c r="B17492" s="25"/>
      <c r="C17492" s="24"/>
      <c r="D17492" s="26"/>
      <c r="E17492" s="24"/>
      <c r="F17492" s="24"/>
      <c r="G17492" s="24"/>
      <c r="H17492" s="24"/>
      <c r="I17492" s="24"/>
      <c r="J17492" s="24"/>
      <c r="K17492" s="24"/>
      <c r="L17492" s="24"/>
      <c r="M17492" s="24"/>
      <c r="N17492" s="24"/>
      <c r="O17492" s="24"/>
      <c r="P17492" s="24"/>
      <c r="Q17492" s="24"/>
      <c r="R17492" s="24"/>
      <c r="S17492" s="24"/>
      <c r="T17492" s="24"/>
      <c r="U17492" s="24"/>
      <c r="V17492" s="24"/>
      <c r="W17492" s="24"/>
      <c r="X17492" s="24"/>
      <c r="Y17492" s="24"/>
      <c r="Z17492" s="24"/>
      <c r="AA17492" s="24"/>
    </row>
    <row r="17493">
      <c r="A17493" s="24"/>
      <c r="B17493" s="25"/>
      <c r="C17493" s="24"/>
      <c r="D17493" s="26"/>
      <c r="E17493" s="24"/>
      <c r="F17493" s="24"/>
      <c r="G17493" s="24"/>
      <c r="H17493" s="24"/>
      <c r="I17493" s="24"/>
      <c r="J17493" s="24"/>
      <c r="K17493" s="24"/>
      <c r="L17493" s="24"/>
      <c r="M17493" s="24"/>
      <c r="N17493" s="24"/>
      <c r="O17493" s="24"/>
      <c r="P17493" s="24"/>
      <c r="Q17493" s="24"/>
      <c r="R17493" s="24"/>
      <c r="S17493" s="24"/>
      <c r="T17493" s="24"/>
      <c r="U17493" s="24"/>
      <c r="V17493" s="24"/>
      <c r="W17493" s="24"/>
      <c r="X17493" s="24"/>
      <c r="Y17493" s="24"/>
      <c r="Z17493" s="24"/>
      <c r="AA17493" s="24"/>
    </row>
    <row r="17494">
      <c r="A17494" s="24"/>
      <c r="B17494" s="25"/>
      <c r="C17494" s="24"/>
      <c r="D17494" s="26"/>
      <c r="E17494" s="24"/>
      <c r="F17494" s="24"/>
      <c r="G17494" s="24"/>
      <c r="H17494" s="24"/>
      <c r="I17494" s="24"/>
      <c r="J17494" s="24"/>
      <c r="K17494" s="24"/>
      <c r="L17494" s="24"/>
      <c r="M17494" s="24"/>
      <c r="N17494" s="24"/>
      <c r="O17494" s="24"/>
      <c r="P17494" s="24"/>
      <c r="Q17494" s="24"/>
      <c r="R17494" s="24"/>
      <c r="S17494" s="24"/>
      <c r="T17494" s="24"/>
      <c r="U17494" s="24"/>
      <c r="V17494" s="24"/>
      <c r="W17494" s="24"/>
      <c r="X17494" s="24"/>
      <c r="Y17494" s="24"/>
      <c r="Z17494" s="24"/>
      <c r="AA17494" s="24"/>
    </row>
    <row r="17495">
      <c r="A17495" s="24"/>
      <c r="B17495" s="25"/>
      <c r="C17495" s="24"/>
      <c r="D17495" s="26"/>
      <c r="E17495" s="24"/>
      <c r="F17495" s="24"/>
      <c r="G17495" s="24"/>
      <c r="H17495" s="24"/>
      <c r="I17495" s="24"/>
      <c r="J17495" s="24"/>
      <c r="K17495" s="24"/>
      <c r="L17495" s="24"/>
      <c r="M17495" s="24"/>
      <c r="N17495" s="24"/>
      <c r="O17495" s="24"/>
      <c r="P17495" s="24"/>
      <c r="Q17495" s="24"/>
      <c r="R17495" s="24"/>
      <c r="S17495" s="24"/>
      <c r="T17495" s="24"/>
      <c r="U17495" s="24"/>
      <c r="V17495" s="24"/>
      <c r="W17495" s="24"/>
      <c r="X17495" s="24"/>
      <c r="Y17495" s="24"/>
      <c r="Z17495" s="24"/>
      <c r="AA17495" s="24"/>
    </row>
    <row r="17496">
      <c r="A17496" s="24"/>
      <c r="B17496" s="25"/>
      <c r="C17496" s="24"/>
      <c r="D17496" s="26"/>
      <c r="E17496" s="24"/>
      <c r="F17496" s="24"/>
      <c r="G17496" s="24"/>
      <c r="H17496" s="24"/>
      <c r="I17496" s="24"/>
      <c r="J17496" s="24"/>
      <c r="K17496" s="24"/>
      <c r="L17496" s="24"/>
      <c r="M17496" s="24"/>
      <c r="N17496" s="24"/>
      <c r="O17496" s="24"/>
      <c r="P17496" s="24"/>
      <c r="Q17496" s="24"/>
      <c r="R17496" s="24"/>
      <c r="S17496" s="24"/>
      <c r="T17496" s="24"/>
      <c r="U17496" s="24"/>
      <c r="V17496" s="24"/>
      <c r="W17496" s="24"/>
      <c r="X17496" s="24"/>
      <c r="Y17496" s="24"/>
      <c r="Z17496" s="24"/>
      <c r="AA17496" s="24"/>
    </row>
    <row r="17497">
      <c r="A17497" s="24"/>
      <c r="B17497" s="25"/>
      <c r="C17497" s="24"/>
      <c r="D17497" s="26"/>
      <c r="E17497" s="24"/>
      <c r="F17497" s="24"/>
      <c r="G17497" s="24"/>
      <c r="H17497" s="24"/>
      <c r="I17497" s="24"/>
      <c r="J17497" s="24"/>
      <c r="K17497" s="24"/>
      <c r="L17497" s="24"/>
      <c r="M17497" s="24"/>
      <c r="N17497" s="24"/>
      <c r="O17497" s="24"/>
      <c r="P17497" s="24"/>
      <c r="Q17497" s="24"/>
      <c r="R17497" s="24"/>
      <c r="S17497" s="24"/>
      <c r="T17497" s="24"/>
      <c r="U17497" s="24"/>
      <c r="V17497" s="24"/>
      <c r="W17497" s="24"/>
      <c r="X17497" s="24"/>
      <c r="Y17497" s="24"/>
      <c r="Z17497" s="24"/>
      <c r="AA17497" s="24"/>
    </row>
    <row r="17498">
      <c r="A17498" s="24"/>
      <c r="B17498" s="25"/>
      <c r="C17498" s="24"/>
      <c r="D17498" s="26"/>
      <c r="E17498" s="24"/>
      <c r="F17498" s="24"/>
      <c r="G17498" s="24"/>
      <c r="H17498" s="24"/>
      <c r="I17498" s="24"/>
      <c r="J17498" s="24"/>
      <c r="K17498" s="24"/>
      <c r="L17498" s="24"/>
      <c r="M17498" s="24"/>
      <c r="N17498" s="24"/>
      <c r="O17498" s="24"/>
      <c r="P17498" s="24"/>
      <c r="Q17498" s="24"/>
      <c r="R17498" s="24"/>
      <c r="S17498" s="24"/>
      <c r="T17498" s="24"/>
      <c r="U17498" s="24"/>
      <c r="V17498" s="24"/>
      <c r="W17498" s="24"/>
      <c r="X17498" s="24"/>
      <c r="Y17498" s="24"/>
      <c r="Z17498" s="24"/>
      <c r="AA17498" s="24"/>
    </row>
    <row r="17499">
      <c r="A17499" s="24"/>
      <c r="B17499" s="25"/>
      <c r="C17499" s="24"/>
      <c r="D17499" s="26"/>
      <c r="E17499" s="24"/>
      <c r="F17499" s="24"/>
      <c r="G17499" s="24"/>
      <c r="H17499" s="24"/>
      <c r="I17499" s="24"/>
      <c r="J17499" s="24"/>
      <c r="K17499" s="24"/>
      <c r="L17499" s="24"/>
      <c r="M17499" s="24"/>
      <c r="N17499" s="24"/>
      <c r="O17499" s="24"/>
      <c r="P17499" s="24"/>
      <c r="Q17499" s="24"/>
      <c r="R17499" s="24"/>
      <c r="S17499" s="24"/>
      <c r="T17499" s="24"/>
      <c r="U17499" s="24"/>
      <c r="V17499" s="24"/>
      <c r="W17499" s="24"/>
      <c r="X17499" s="24"/>
      <c r="Y17499" s="24"/>
      <c r="Z17499" s="24"/>
      <c r="AA17499" s="24"/>
    </row>
    <row r="17500">
      <c r="A17500" s="24"/>
      <c r="B17500" s="25"/>
      <c r="C17500" s="24"/>
      <c r="D17500" s="26"/>
      <c r="E17500" s="24"/>
      <c r="F17500" s="24"/>
      <c r="G17500" s="24"/>
      <c r="H17500" s="24"/>
      <c r="I17500" s="24"/>
      <c r="J17500" s="24"/>
      <c r="K17500" s="24"/>
      <c r="L17500" s="24"/>
      <c r="M17500" s="24"/>
      <c r="N17500" s="24"/>
      <c r="O17500" s="24"/>
      <c r="P17500" s="24"/>
      <c r="Q17500" s="24"/>
      <c r="R17500" s="24"/>
      <c r="S17500" s="24"/>
      <c r="T17500" s="24"/>
      <c r="U17500" s="24"/>
      <c r="V17500" s="24"/>
      <c r="W17500" s="24"/>
      <c r="X17500" s="24"/>
      <c r="Y17500" s="24"/>
      <c r="Z17500" s="24"/>
      <c r="AA17500" s="24"/>
    </row>
    <row r="17501">
      <c r="A17501" s="24"/>
      <c r="B17501" s="25"/>
      <c r="C17501" s="24"/>
      <c r="D17501" s="26"/>
      <c r="E17501" s="24"/>
      <c r="F17501" s="24"/>
      <c r="G17501" s="24"/>
      <c r="H17501" s="24"/>
      <c r="I17501" s="24"/>
      <c r="J17501" s="24"/>
      <c r="K17501" s="24"/>
      <c r="L17501" s="24"/>
      <c r="M17501" s="24"/>
      <c r="N17501" s="24"/>
      <c r="O17501" s="24"/>
      <c r="P17501" s="24"/>
      <c r="Q17501" s="24"/>
      <c r="R17501" s="24"/>
      <c r="S17501" s="24"/>
      <c r="T17501" s="24"/>
      <c r="U17501" s="24"/>
      <c r="V17501" s="24"/>
      <c r="W17501" s="24"/>
      <c r="X17501" s="24"/>
      <c r="Y17501" s="24"/>
      <c r="Z17501" s="24"/>
      <c r="AA17501" s="24"/>
    </row>
    <row r="17502">
      <c r="A17502" s="24"/>
      <c r="B17502" s="25"/>
      <c r="C17502" s="24"/>
      <c r="D17502" s="26"/>
      <c r="E17502" s="24"/>
      <c r="F17502" s="24"/>
      <c r="G17502" s="24"/>
      <c r="H17502" s="24"/>
      <c r="I17502" s="24"/>
      <c r="J17502" s="24"/>
      <c r="K17502" s="24"/>
      <c r="L17502" s="24"/>
      <c r="M17502" s="24"/>
      <c r="N17502" s="24"/>
      <c r="O17502" s="24"/>
      <c r="P17502" s="24"/>
      <c r="Q17502" s="24"/>
      <c r="R17502" s="24"/>
      <c r="S17502" s="24"/>
      <c r="T17502" s="24"/>
      <c r="U17502" s="24"/>
      <c r="V17502" s="24"/>
      <c r="W17502" s="24"/>
      <c r="X17502" s="24"/>
      <c r="Y17502" s="24"/>
      <c r="Z17502" s="24"/>
      <c r="AA17502" s="24"/>
    </row>
    <row r="17503">
      <c r="A17503" s="24"/>
      <c r="B17503" s="25"/>
      <c r="C17503" s="24"/>
      <c r="D17503" s="26"/>
      <c r="E17503" s="24"/>
      <c r="F17503" s="24"/>
      <c r="G17503" s="24"/>
      <c r="H17503" s="24"/>
      <c r="I17503" s="24"/>
      <c r="J17503" s="24"/>
      <c r="K17503" s="24"/>
      <c r="L17503" s="24"/>
      <c r="M17503" s="24"/>
      <c r="N17503" s="24"/>
      <c r="O17503" s="24"/>
      <c r="P17503" s="24"/>
      <c r="Q17503" s="24"/>
      <c r="R17503" s="24"/>
      <c r="S17503" s="24"/>
      <c r="T17503" s="24"/>
      <c r="U17503" s="24"/>
      <c r="V17503" s="24"/>
      <c r="W17503" s="24"/>
      <c r="X17503" s="24"/>
      <c r="Y17503" s="24"/>
      <c r="Z17503" s="24"/>
      <c r="AA17503" s="24"/>
    </row>
    <row r="17504">
      <c r="A17504" s="24"/>
      <c r="B17504" s="25"/>
      <c r="C17504" s="24"/>
      <c r="D17504" s="26"/>
      <c r="E17504" s="24"/>
      <c r="F17504" s="24"/>
      <c r="G17504" s="24"/>
      <c r="H17504" s="24"/>
      <c r="I17504" s="24"/>
      <c r="J17504" s="24"/>
      <c r="K17504" s="24"/>
      <c r="L17504" s="24"/>
      <c r="M17504" s="24"/>
      <c r="N17504" s="24"/>
      <c r="O17504" s="24"/>
      <c r="P17504" s="24"/>
      <c r="Q17504" s="24"/>
      <c r="R17504" s="24"/>
      <c r="S17504" s="24"/>
      <c r="T17504" s="24"/>
      <c r="U17504" s="24"/>
      <c r="V17504" s="24"/>
      <c r="W17504" s="24"/>
      <c r="X17504" s="24"/>
      <c r="Y17504" s="24"/>
      <c r="Z17504" s="24"/>
      <c r="AA17504" s="24"/>
    </row>
    <row r="17505">
      <c r="A17505" s="24"/>
      <c r="B17505" s="25"/>
      <c r="C17505" s="24"/>
      <c r="D17505" s="26"/>
      <c r="E17505" s="24"/>
      <c r="F17505" s="24"/>
      <c r="G17505" s="24"/>
      <c r="H17505" s="24"/>
      <c r="I17505" s="24"/>
      <c r="J17505" s="24"/>
      <c r="K17505" s="24"/>
      <c r="L17505" s="24"/>
      <c r="M17505" s="24"/>
      <c r="N17505" s="24"/>
      <c r="O17505" s="24"/>
      <c r="P17505" s="24"/>
      <c r="Q17505" s="24"/>
      <c r="R17505" s="24"/>
      <c r="S17505" s="24"/>
      <c r="T17505" s="24"/>
      <c r="U17505" s="24"/>
      <c r="V17505" s="24"/>
      <c r="W17505" s="24"/>
      <c r="X17505" s="24"/>
      <c r="Y17505" s="24"/>
      <c r="Z17505" s="24"/>
      <c r="AA17505" s="24"/>
    </row>
    <row r="17506">
      <c r="A17506" s="24"/>
      <c r="B17506" s="25"/>
      <c r="C17506" s="24"/>
      <c r="D17506" s="26"/>
      <c r="E17506" s="24"/>
      <c r="F17506" s="24"/>
      <c r="G17506" s="24"/>
      <c r="H17506" s="24"/>
      <c r="I17506" s="24"/>
      <c r="J17506" s="24"/>
      <c r="K17506" s="24"/>
      <c r="L17506" s="24"/>
      <c r="M17506" s="24"/>
      <c r="N17506" s="24"/>
      <c r="O17506" s="24"/>
      <c r="P17506" s="24"/>
      <c r="Q17506" s="24"/>
      <c r="R17506" s="24"/>
      <c r="S17506" s="24"/>
      <c r="T17506" s="24"/>
      <c r="U17506" s="24"/>
      <c r="V17506" s="24"/>
      <c r="W17506" s="24"/>
      <c r="X17506" s="24"/>
      <c r="Y17506" s="24"/>
      <c r="Z17506" s="24"/>
      <c r="AA17506" s="24"/>
    </row>
    <row r="17507">
      <c r="A17507" s="24"/>
      <c r="B17507" s="25"/>
      <c r="C17507" s="24"/>
      <c r="D17507" s="26"/>
      <c r="E17507" s="24"/>
      <c r="F17507" s="24"/>
      <c r="G17507" s="24"/>
      <c r="H17507" s="24"/>
      <c r="I17507" s="24"/>
      <c r="J17507" s="24"/>
      <c r="K17507" s="24"/>
      <c r="L17507" s="24"/>
      <c r="M17507" s="24"/>
      <c r="N17507" s="24"/>
      <c r="O17507" s="24"/>
      <c r="P17507" s="24"/>
      <c r="Q17507" s="24"/>
      <c r="R17507" s="24"/>
      <c r="S17507" s="24"/>
      <c r="T17507" s="24"/>
      <c r="U17507" s="24"/>
      <c r="V17507" s="24"/>
      <c r="W17507" s="24"/>
      <c r="X17507" s="24"/>
      <c r="Y17507" s="24"/>
      <c r="Z17507" s="24"/>
      <c r="AA17507" s="24"/>
    </row>
    <row r="17508">
      <c r="A17508" s="24"/>
      <c r="B17508" s="25"/>
      <c r="C17508" s="24"/>
      <c r="D17508" s="26"/>
      <c r="E17508" s="24"/>
      <c r="F17508" s="24"/>
      <c r="G17508" s="24"/>
      <c r="H17508" s="24"/>
      <c r="I17508" s="24"/>
      <c r="J17508" s="24"/>
      <c r="K17508" s="24"/>
      <c r="L17508" s="24"/>
      <c r="M17508" s="24"/>
      <c r="N17508" s="24"/>
      <c r="O17508" s="24"/>
      <c r="P17508" s="24"/>
      <c r="Q17508" s="24"/>
      <c r="R17508" s="24"/>
      <c r="S17508" s="24"/>
      <c r="T17508" s="24"/>
      <c r="U17508" s="24"/>
      <c r="V17508" s="24"/>
      <c r="W17508" s="24"/>
      <c r="X17508" s="24"/>
      <c r="Y17508" s="24"/>
      <c r="Z17508" s="24"/>
      <c r="AA17508" s="24"/>
    </row>
    <row r="17509">
      <c r="A17509" s="24"/>
      <c r="B17509" s="25"/>
      <c r="C17509" s="24"/>
      <c r="D17509" s="26"/>
      <c r="E17509" s="24"/>
      <c r="F17509" s="24"/>
      <c r="G17509" s="24"/>
      <c r="H17509" s="24"/>
      <c r="I17509" s="24"/>
      <c r="J17509" s="24"/>
      <c r="K17509" s="24"/>
      <c r="L17509" s="24"/>
      <c r="M17509" s="24"/>
      <c r="N17509" s="24"/>
      <c r="O17509" s="24"/>
      <c r="P17509" s="24"/>
      <c r="Q17509" s="24"/>
      <c r="R17509" s="24"/>
      <c r="S17509" s="24"/>
      <c r="T17509" s="24"/>
      <c r="U17509" s="24"/>
      <c r="V17509" s="24"/>
      <c r="W17509" s="24"/>
      <c r="X17509" s="24"/>
      <c r="Y17509" s="24"/>
      <c r="Z17509" s="24"/>
      <c r="AA17509" s="24"/>
    </row>
    <row r="17510">
      <c r="A17510" s="24"/>
      <c r="B17510" s="25"/>
      <c r="C17510" s="24"/>
      <c r="D17510" s="26"/>
      <c r="E17510" s="24"/>
      <c r="F17510" s="24"/>
      <c r="G17510" s="24"/>
      <c r="H17510" s="24"/>
      <c r="I17510" s="24"/>
      <c r="J17510" s="24"/>
      <c r="K17510" s="24"/>
      <c r="L17510" s="24"/>
      <c r="M17510" s="24"/>
      <c r="N17510" s="24"/>
      <c r="O17510" s="24"/>
      <c r="P17510" s="24"/>
      <c r="Q17510" s="24"/>
      <c r="R17510" s="24"/>
      <c r="S17510" s="24"/>
      <c r="T17510" s="24"/>
      <c r="U17510" s="24"/>
      <c r="V17510" s="24"/>
      <c r="W17510" s="24"/>
      <c r="X17510" s="24"/>
      <c r="Y17510" s="24"/>
      <c r="Z17510" s="24"/>
      <c r="AA17510" s="24"/>
    </row>
    <row r="17511">
      <c r="A17511" s="24"/>
      <c r="B17511" s="25"/>
      <c r="C17511" s="24"/>
      <c r="D17511" s="26"/>
      <c r="E17511" s="24"/>
      <c r="F17511" s="24"/>
      <c r="G17511" s="24"/>
      <c r="H17511" s="24"/>
      <c r="I17511" s="24"/>
      <c r="J17511" s="24"/>
      <c r="K17511" s="24"/>
      <c r="L17511" s="24"/>
      <c r="M17511" s="24"/>
      <c r="N17511" s="24"/>
      <c r="O17511" s="24"/>
      <c r="P17511" s="24"/>
      <c r="Q17511" s="24"/>
      <c r="R17511" s="24"/>
      <c r="S17511" s="24"/>
      <c r="T17511" s="24"/>
      <c r="U17511" s="24"/>
      <c r="V17511" s="24"/>
      <c r="W17511" s="24"/>
      <c r="X17511" s="24"/>
      <c r="Y17511" s="24"/>
      <c r="Z17511" s="24"/>
      <c r="AA17511" s="24"/>
    </row>
    <row r="17512">
      <c r="A17512" s="24"/>
      <c r="B17512" s="25"/>
      <c r="C17512" s="24"/>
      <c r="D17512" s="26"/>
      <c r="E17512" s="24"/>
      <c r="F17512" s="24"/>
      <c r="G17512" s="24"/>
      <c r="H17512" s="24"/>
      <c r="I17512" s="24"/>
      <c r="J17512" s="24"/>
      <c r="K17512" s="24"/>
      <c r="L17512" s="24"/>
      <c r="M17512" s="24"/>
      <c r="N17512" s="24"/>
      <c r="O17512" s="24"/>
      <c r="P17512" s="24"/>
      <c r="Q17512" s="24"/>
      <c r="R17512" s="24"/>
      <c r="S17512" s="24"/>
      <c r="T17512" s="24"/>
      <c r="U17512" s="24"/>
      <c r="V17512" s="24"/>
      <c r="W17512" s="24"/>
      <c r="X17512" s="24"/>
      <c r="Y17512" s="24"/>
      <c r="Z17512" s="24"/>
      <c r="AA17512" s="24"/>
    </row>
    <row r="17513">
      <c r="A17513" s="24"/>
      <c r="B17513" s="25"/>
      <c r="C17513" s="24"/>
      <c r="D17513" s="26"/>
      <c r="E17513" s="24"/>
      <c r="F17513" s="24"/>
      <c r="G17513" s="24"/>
      <c r="H17513" s="24"/>
      <c r="I17513" s="24"/>
      <c r="J17513" s="24"/>
      <c r="K17513" s="24"/>
      <c r="L17513" s="24"/>
      <c r="M17513" s="24"/>
      <c r="N17513" s="24"/>
      <c r="O17513" s="24"/>
      <c r="P17513" s="24"/>
      <c r="Q17513" s="24"/>
      <c r="R17513" s="24"/>
      <c r="S17513" s="24"/>
      <c r="T17513" s="24"/>
      <c r="U17513" s="24"/>
      <c r="V17513" s="24"/>
      <c r="W17513" s="24"/>
      <c r="X17513" s="24"/>
      <c r="Y17513" s="24"/>
      <c r="Z17513" s="24"/>
      <c r="AA17513" s="24"/>
    </row>
    <row r="17514">
      <c r="A17514" s="24"/>
      <c r="B17514" s="25"/>
      <c r="C17514" s="24"/>
      <c r="D17514" s="26"/>
      <c r="E17514" s="24"/>
      <c r="F17514" s="24"/>
      <c r="G17514" s="24"/>
      <c r="H17514" s="24"/>
      <c r="I17514" s="24"/>
      <c r="J17514" s="24"/>
      <c r="K17514" s="24"/>
      <c r="L17514" s="24"/>
      <c r="M17514" s="24"/>
      <c r="N17514" s="24"/>
      <c r="O17514" s="24"/>
      <c r="P17514" s="24"/>
      <c r="Q17514" s="24"/>
      <c r="R17514" s="24"/>
      <c r="S17514" s="24"/>
      <c r="T17514" s="24"/>
      <c r="U17514" s="24"/>
      <c r="V17514" s="24"/>
      <c r="W17514" s="24"/>
      <c r="X17514" s="24"/>
      <c r="Y17514" s="24"/>
      <c r="Z17514" s="24"/>
      <c r="AA17514" s="24"/>
    </row>
    <row r="17515">
      <c r="A17515" s="24"/>
      <c r="B17515" s="25"/>
      <c r="C17515" s="24"/>
      <c r="D17515" s="26"/>
      <c r="E17515" s="24"/>
      <c r="F17515" s="24"/>
      <c r="G17515" s="24"/>
      <c r="H17515" s="24"/>
      <c r="I17515" s="24"/>
      <c r="J17515" s="24"/>
      <c r="K17515" s="24"/>
      <c r="L17515" s="24"/>
      <c r="M17515" s="24"/>
      <c r="N17515" s="24"/>
      <c r="O17515" s="24"/>
      <c r="P17515" s="24"/>
      <c r="Q17515" s="24"/>
      <c r="R17515" s="24"/>
      <c r="S17515" s="24"/>
      <c r="T17515" s="24"/>
      <c r="U17515" s="24"/>
      <c r="V17515" s="24"/>
      <c r="W17515" s="24"/>
      <c r="X17515" s="24"/>
      <c r="Y17515" s="24"/>
      <c r="Z17515" s="24"/>
      <c r="AA17515" s="24"/>
    </row>
    <row r="17516">
      <c r="A17516" s="24"/>
      <c r="B17516" s="25"/>
      <c r="C17516" s="24"/>
      <c r="D17516" s="26"/>
      <c r="E17516" s="24"/>
      <c r="F17516" s="24"/>
      <c r="G17516" s="24"/>
      <c r="H17516" s="24"/>
      <c r="I17516" s="24"/>
      <c r="J17516" s="24"/>
      <c r="K17516" s="24"/>
      <c r="L17516" s="24"/>
      <c r="M17516" s="24"/>
      <c r="N17516" s="24"/>
      <c r="O17516" s="24"/>
      <c r="P17516" s="24"/>
      <c r="Q17516" s="24"/>
      <c r="R17516" s="24"/>
      <c r="S17516" s="24"/>
      <c r="T17516" s="24"/>
      <c r="U17516" s="24"/>
      <c r="V17516" s="24"/>
      <c r="W17516" s="24"/>
      <c r="X17516" s="24"/>
      <c r="Y17516" s="24"/>
      <c r="Z17516" s="24"/>
      <c r="AA17516" s="24"/>
    </row>
    <row r="17517">
      <c r="A17517" s="24"/>
      <c r="B17517" s="25"/>
      <c r="C17517" s="24"/>
      <c r="D17517" s="26"/>
      <c r="E17517" s="24"/>
      <c r="F17517" s="24"/>
      <c r="G17517" s="24"/>
      <c r="H17517" s="24"/>
      <c r="I17517" s="24"/>
      <c r="J17517" s="24"/>
      <c r="K17517" s="24"/>
      <c r="L17517" s="24"/>
      <c r="M17517" s="24"/>
      <c r="N17517" s="24"/>
      <c r="O17517" s="24"/>
      <c r="P17517" s="24"/>
      <c r="Q17517" s="24"/>
      <c r="R17517" s="24"/>
      <c r="S17517" s="24"/>
      <c r="T17517" s="24"/>
      <c r="U17517" s="24"/>
      <c r="V17517" s="24"/>
      <c r="W17517" s="24"/>
      <c r="X17517" s="24"/>
      <c r="Y17517" s="24"/>
      <c r="Z17517" s="24"/>
      <c r="AA17517" s="24"/>
    </row>
    <row r="17518">
      <c r="A17518" s="24"/>
      <c r="B17518" s="25"/>
      <c r="C17518" s="24"/>
      <c r="D17518" s="26"/>
      <c r="E17518" s="24"/>
      <c r="F17518" s="24"/>
      <c r="G17518" s="24"/>
      <c r="H17518" s="24"/>
      <c r="I17518" s="24"/>
      <c r="J17518" s="24"/>
      <c r="K17518" s="24"/>
      <c r="L17518" s="24"/>
      <c r="M17518" s="24"/>
      <c r="N17518" s="24"/>
      <c r="O17518" s="24"/>
      <c r="P17518" s="24"/>
      <c r="Q17518" s="24"/>
      <c r="R17518" s="24"/>
      <c r="S17518" s="24"/>
      <c r="T17518" s="24"/>
      <c r="U17518" s="24"/>
      <c r="V17518" s="24"/>
      <c r="W17518" s="24"/>
      <c r="X17518" s="24"/>
      <c r="Y17518" s="24"/>
      <c r="Z17518" s="24"/>
      <c r="AA17518" s="24"/>
    </row>
    <row r="17519">
      <c r="A17519" s="24"/>
      <c r="B17519" s="25"/>
      <c r="C17519" s="24"/>
      <c r="D17519" s="26"/>
      <c r="E17519" s="24"/>
      <c r="F17519" s="24"/>
      <c r="G17519" s="24"/>
      <c r="H17519" s="24"/>
      <c r="I17519" s="24"/>
      <c r="J17519" s="24"/>
      <c r="K17519" s="24"/>
      <c r="L17519" s="24"/>
      <c r="M17519" s="24"/>
      <c r="N17519" s="24"/>
      <c r="O17519" s="24"/>
      <c r="P17519" s="24"/>
      <c r="Q17519" s="24"/>
      <c r="R17519" s="24"/>
      <c r="S17519" s="24"/>
      <c r="T17519" s="24"/>
      <c r="U17519" s="24"/>
      <c r="V17519" s="24"/>
      <c r="W17519" s="24"/>
      <c r="X17519" s="24"/>
      <c r="Y17519" s="24"/>
      <c r="Z17519" s="24"/>
      <c r="AA17519" s="24"/>
    </row>
    <row r="17520">
      <c r="A17520" s="24"/>
      <c r="B17520" s="25"/>
      <c r="C17520" s="24"/>
      <c r="D17520" s="26"/>
      <c r="E17520" s="24"/>
      <c r="F17520" s="24"/>
      <c r="G17520" s="24"/>
      <c r="H17520" s="24"/>
      <c r="I17520" s="24"/>
      <c r="J17520" s="24"/>
      <c r="K17520" s="24"/>
      <c r="L17520" s="24"/>
      <c r="M17520" s="24"/>
      <c r="N17520" s="24"/>
      <c r="O17520" s="24"/>
      <c r="P17520" s="24"/>
      <c r="Q17520" s="24"/>
      <c r="R17520" s="24"/>
      <c r="S17520" s="24"/>
      <c r="T17520" s="24"/>
      <c r="U17520" s="24"/>
      <c r="V17520" s="24"/>
      <c r="W17520" s="24"/>
      <c r="X17520" s="24"/>
      <c r="Y17520" s="24"/>
      <c r="Z17520" s="24"/>
      <c r="AA17520" s="24"/>
    </row>
    <row r="17521">
      <c r="A17521" s="24"/>
      <c r="B17521" s="25"/>
      <c r="C17521" s="24"/>
      <c r="D17521" s="26"/>
      <c r="E17521" s="24"/>
      <c r="F17521" s="24"/>
      <c r="G17521" s="24"/>
      <c r="H17521" s="24"/>
      <c r="I17521" s="24"/>
      <c r="J17521" s="24"/>
      <c r="K17521" s="24"/>
      <c r="L17521" s="24"/>
      <c r="M17521" s="24"/>
      <c r="N17521" s="24"/>
      <c r="O17521" s="24"/>
      <c r="P17521" s="24"/>
      <c r="Q17521" s="24"/>
      <c r="R17521" s="24"/>
      <c r="S17521" s="24"/>
      <c r="T17521" s="24"/>
      <c r="U17521" s="24"/>
      <c r="V17521" s="24"/>
      <c r="W17521" s="24"/>
      <c r="X17521" s="24"/>
      <c r="Y17521" s="24"/>
      <c r="Z17521" s="24"/>
      <c r="AA17521" s="24"/>
    </row>
    <row r="17522">
      <c r="A17522" s="24"/>
      <c r="B17522" s="25"/>
      <c r="C17522" s="24"/>
      <c r="D17522" s="26"/>
      <c r="E17522" s="24"/>
      <c r="F17522" s="24"/>
      <c r="G17522" s="24"/>
      <c r="H17522" s="24"/>
      <c r="I17522" s="24"/>
      <c r="J17522" s="24"/>
      <c r="K17522" s="24"/>
      <c r="L17522" s="24"/>
      <c r="M17522" s="24"/>
      <c r="N17522" s="24"/>
      <c r="O17522" s="24"/>
      <c r="P17522" s="24"/>
      <c r="Q17522" s="24"/>
      <c r="R17522" s="24"/>
      <c r="S17522" s="24"/>
      <c r="T17522" s="24"/>
      <c r="U17522" s="24"/>
      <c r="V17522" s="24"/>
      <c r="W17522" s="24"/>
      <c r="X17522" s="24"/>
      <c r="Y17522" s="24"/>
      <c r="Z17522" s="24"/>
      <c r="AA17522" s="24"/>
    </row>
    <row r="17523">
      <c r="A17523" s="24"/>
      <c r="B17523" s="25"/>
      <c r="C17523" s="24"/>
      <c r="D17523" s="26"/>
      <c r="E17523" s="24"/>
      <c r="F17523" s="24"/>
      <c r="G17523" s="24"/>
      <c r="H17523" s="24"/>
      <c r="I17523" s="24"/>
      <c r="J17523" s="24"/>
      <c r="K17523" s="24"/>
      <c r="L17523" s="24"/>
      <c r="M17523" s="24"/>
      <c r="N17523" s="24"/>
      <c r="O17523" s="24"/>
      <c r="P17523" s="24"/>
      <c r="Q17523" s="24"/>
      <c r="R17523" s="24"/>
      <c r="S17523" s="24"/>
      <c r="T17523" s="24"/>
      <c r="U17523" s="24"/>
      <c r="V17523" s="24"/>
      <c r="W17523" s="24"/>
      <c r="X17523" s="24"/>
      <c r="Y17523" s="24"/>
      <c r="Z17523" s="24"/>
      <c r="AA17523" s="24"/>
    </row>
    <row r="17524">
      <c r="A17524" s="24"/>
      <c r="B17524" s="25"/>
      <c r="C17524" s="24"/>
      <c r="D17524" s="26"/>
      <c r="E17524" s="24"/>
      <c r="F17524" s="24"/>
      <c r="G17524" s="24"/>
      <c r="H17524" s="24"/>
      <c r="I17524" s="24"/>
      <c r="J17524" s="24"/>
      <c r="K17524" s="24"/>
      <c r="L17524" s="24"/>
      <c r="M17524" s="24"/>
      <c r="N17524" s="24"/>
      <c r="O17524" s="24"/>
      <c r="P17524" s="24"/>
      <c r="Q17524" s="24"/>
      <c r="R17524" s="24"/>
      <c r="S17524" s="24"/>
      <c r="T17524" s="24"/>
      <c r="U17524" s="24"/>
      <c r="V17524" s="24"/>
      <c r="W17524" s="24"/>
      <c r="X17524" s="24"/>
      <c r="Y17524" s="24"/>
      <c r="Z17524" s="24"/>
      <c r="AA17524" s="24"/>
    </row>
    <row r="17525">
      <c r="A17525" s="24"/>
      <c r="B17525" s="25"/>
      <c r="C17525" s="24"/>
      <c r="D17525" s="26"/>
      <c r="E17525" s="24"/>
      <c r="F17525" s="24"/>
      <c r="G17525" s="24"/>
      <c r="H17525" s="24"/>
      <c r="I17525" s="24"/>
      <c r="J17525" s="24"/>
      <c r="K17525" s="24"/>
      <c r="L17525" s="24"/>
      <c r="M17525" s="24"/>
      <c r="N17525" s="24"/>
      <c r="O17525" s="24"/>
      <c r="P17525" s="24"/>
      <c r="Q17525" s="24"/>
      <c r="R17525" s="24"/>
      <c r="S17525" s="24"/>
      <c r="T17525" s="24"/>
      <c r="U17525" s="24"/>
      <c r="V17525" s="24"/>
      <c r="W17525" s="24"/>
      <c r="X17525" s="24"/>
      <c r="Y17525" s="24"/>
      <c r="Z17525" s="24"/>
      <c r="AA17525" s="24"/>
    </row>
    <row r="17526">
      <c r="A17526" s="24"/>
      <c r="B17526" s="25"/>
      <c r="C17526" s="24"/>
      <c r="D17526" s="26"/>
      <c r="E17526" s="24"/>
      <c r="F17526" s="24"/>
      <c r="G17526" s="24"/>
      <c r="H17526" s="24"/>
      <c r="I17526" s="24"/>
      <c r="J17526" s="24"/>
      <c r="K17526" s="24"/>
      <c r="L17526" s="24"/>
      <c r="M17526" s="24"/>
      <c r="N17526" s="24"/>
      <c r="O17526" s="24"/>
      <c r="P17526" s="24"/>
      <c r="Q17526" s="24"/>
      <c r="R17526" s="24"/>
      <c r="S17526" s="24"/>
      <c r="T17526" s="24"/>
      <c r="U17526" s="24"/>
      <c r="V17526" s="24"/>
      <c r="W17526" s="24"/>
      <c r="X17526" s="24"/>
      <c r="Y17526" s="24"/>
      <c r="Z17526" s="24"/>
      <c r="AA17526" s="24"/>
    </row>
    <row r="17527">
      <c r="A17527" s="24"/>
      <c r="B17527" s="25"/>
      <c r="C17527" s="24"/>
      <c r="D17527" s="26"/>
      <c r="E17527" s="24"/>
      <c r="F17527" s="24"/>
      <c r="G17527" s="24"/>
      <c r="H17527" s="24"/>
      <c r="I17527" s="24"/>
      <c r="J17527" s="24"/>
      <c r="K17527" s="24"/>
      <c r="L17527" s="24"/>
      <c r="M17527" s="24"/>
      <c r="N17527" s="24"/>
      <c r="O17527" s="24"/>
      <c r="P17527" s="24"/>
      <c r="Q17527" s="24"/>
      <c r="R17527" s="24"/>
      <c r="S17527" s="24"/>
      <c r="T17527" s="24"/>
      <c r="U17527" s="24"/>
      <c r="V17527" s="24"/>
      <c r="W17527" s="24"/>
      <c r="X17527" s="24"/>
      <c r="Y17527" s="24"/>
      <c r="Z17527" s="24"/>
      <c r="AA17527" s="24"/>
    </row>
    <row r="17528">
      <c r="A17528" s="24"/>
      <c r="B17528" s="25"/>
      <c r="C17528" s="24"/>
      <c r="D17528" s="26"/>
      <c r="E17528" s="24"/>
      <c r="F17528" s="24"/>
      <c r="G17528" s="24"/>
      <c r="H17528" s="24"/>
      <c r="I17528" s="24"/>
      <c r="J17528" s="24"/>
      <c r="K17528" s="24"/>
      <c r="L17528" s="24"/>
      <c r="M17528" s="24"/>
      <c r="N17528" s="24"/>
      <c r="O17528" s="24"/>
      <c r="P17528" s="24"/>
      <c r="Q17528" s="24"/>
      <c r="R17528" s="24"/>
      <c r="S17528" s="24"/>
      <c r="T17528" s="24"/>
      <c r="U17528" s="24"/>
      <c r="V17528" s="24"/>
      <c r="W17528" s="24"/>
      <c r="X17528" s="24"/>
      <c r="Y17528" s="24"/>
      <c r="Z17528" s="24"/>
      <c r="AA17528" s="24"/>
    </row>
    <row r="17529">
      <c r="A17529" s="24"/>
      <c r="B17529" s="25"/>
      <c r="C17529" s="24"/>
      <c r="D17529" s="26"/>
      <c r="E17529" s="24"/>
      <c r="F17529" s="24"/>
      <c r="G17529" s="24"/>
      <c r="H17529" s="24"/>
      <c r="I17529" s="24"/>
      <c r="J17529" s="24"/>
      <c r="K17529" s="24"/>
      <c r="L17529" s="24"/>
      <c r="M17529" s="24"/>
      <c r="N17529" s="24"/>
      <c r="O17529" s="24"/>
      <c r="P17529" s="24"/>
      <c r="Q17529" s="24"/>
      <c r="R17529" s="24"/>
      <c r="S17529" s="24"/>
      <c r="T17529" s="24"/>
      <c r="U17529" s="24"/>
      <c r="V17529" s="24"/>
      <c r="W17529" s="24"/>
      <c r="X17529" s="24"/>
      <c r="Y17529" s="24"/>
      <c r="Z17529" s="24"/>
      <c r="AA17529" s="24"/>
    </row>
    <row r="17530">
      <c r="A17530" s="24"/>
      <c r="B17530" s="25"/>
      <c r="C17530" s="24"/>
      <c r="D17530" s="26"/>
      <c r="E17530" s="24"/>
      <c r="F17530" s="24"/>
      <c r="G17530" s="24"/>
      <c r="H17530" s="24"/>
      <c r="I17530" s="24"/>
      <c r="J17530" s="24"/>
      <c r="K17530" s="24"/>
      <c r="L17530" s="24"/>
      <c r="M17530" s="24"/>
      <c r="N17530" s="24"/>
      <c r="O17530" s="24"/>
      <c r="P17530" s="24"/>
      <c r="Q17530" s="24"/>
      <c r="R17530" s="24"/>
      <c r="S17530" s="24"/>
      <c r="T17530" s="24"/>
      <c r="U17530" s="24"/>
      <c r="V17530" s="24"/>
      <c r="W17530" s="24"/>
      <c r="X17530" s="24"/>
      <c r="Y17530" s="24"/>
      <c r="Z17530" s="24"/>
      <c r="AA17530" s="24"/>
    </row>
    <row r="17531">
      <c r="A17531" s="24"/>
      <c r="B17531" s="25"/>
      <c r="C17531" s="24"/>
      <c r="D17531" s="26"/>
      <c r="E17531" s="24"/>
      <c r="F17531" s="24"/>
      <c r="G17531" s="24"/>
      <c r="H17531" s="24"/>
      <c r="I17531" s="24"/>
      <c r="J17531" s="24"/>
      <c r="K17531" s="24"/>
      <c r="L17531" s="24"/>
      <c r="M17531" s="24"/>
      <c r="N17531" s="24"/>
      <c r="O17531" s="24"/>
      <c r="P17531" s="24"/>
      <c r="Q17531" s="24"/>
      <c r="R17531" s="24"/>
      <c r="S17531" s="24"/>
      <c r="T17531" s="24"/>
      <c r="U17531" s="24"/>
      <c r="V17531" s="24"/>
      <c r="W17531" s="24"/>
      <c r="X17531" s="24"/>
      <c r="Y17531" s="24"/>
      <c r="Z17531" s="24"/>
      <c r="AA17531" s="24"/>
    </row>
    <row r="17532">
      <c r="A17532" s="24"/>
      <c r="B17532" s="25"/>
      <c r="C17532" s="24"/>
      <c r="D17532" s="26"/>
      <c r="E17532" s="24"/>
      <c r="F17532" s="24"/>
      <c r="G17532" s="24"/>
      <c r="H17532" s="24"/>
      <c r="I17532" s="24"/>
      <c r="J17532" s="24"/>
      <c r="K17532" s="24"/>
      <c r="L17532" s="24"/>
      <c r="M17532" s="24"/>
      <c r="N17532" s="24"/>
      <c r="O17532" s="24"/>
      <c r="P17532" s="24"/>
      <c r="Q17532" s="24"/>
      <c r="R17532" s="24"/>
      <c r="S17532" s="24"/>
      <c r="T17532" s="24"/>
      <c r="U17532" s="24"/>
      <c r="V17532" s="24"/>
      <c r="W17532" s="24"/>
      <c r="X17532" s="24"/>
      <c r="Y17532" s="24"/>
      <c r="Z17532" s="24"/>
      <c r="AA17532" s="24"/>
    </row>
    <row r="17533">
      <c r="A17533" s="24"/>
      <c r="B17533" s="25"/>
      <c r="C17533" s="24"/>
      <c r="D17533" s="26"/>
      <c r="E17533" s="24"/>
      <c r="F17533" s="24"/>
      <c r="G17533" s="24"/>
      <c r="H17533" s="24"/>
      <c r="I17533" s="24"/>
      <c r="J17533" s="24"/>
      <c r="K17533" s="24"/>
      <c r="L17533" s="24"/>
      <c r="M17533" s="24"/>
      <c r="N17533" s="24"/>
      <c r="O17533" s="24"/>
      <c r="P17533" s="24"/>
      <c r="Q17533" s="24"/>
      <c r="R17533" s="24"/>
      <c r="S17533" s="24"/>
      <c r="T17533" s="24"/>
      <c r="U17533" s="24"/>
      <c r="V17533" s="24"/>
      <c r="W17533" s="24"/>
      <c r="X17533" s="24"/>
      <c r="Y17533" s="24"/>
      <c r="Z17533" s="24"/>
      <c r="AA17533" s="24"/>
    </row>
    <row r="17534">
      <c r="A17534" s="24"/>
      <c r="B17534" s="25"/>
      <c r="C17534" s="24"/>
      <c r="D17534" s="26"/>
      <c r="E17534" s="24"/>
      <c r="F17534" s="24"/>
      <c r="G17534" s="24"/>
      <c r="H17534" s="24"/>
      <c r="I17534" s="24"/>
      <c r="J17534" s="24"/>
      <c r="K17534" s="24"/>
      <c r="L17534" s="24"/>
      <c r="M17534" s="24"/>
      <c r="N17534" s="24"/>
      <c r="O17534" s="24"/>
      <c r="P17534" s="24"/>
      <c r="Q17534" s="24"/>
      <c r="R17534" s="24"/>
      <c r="S17534" s="24"/>
      <c r="T17534" s="24"/>
      <c r="U17534" s="24"/>
      <c r="V17534" s="24"/>
      <c r="W17534" s="24"/>
      <c r="X17534" s="24"/>
      <c r="Y17534" s="24"/>
      <c r="Z17534" s="24"/>
      <c r="AA17534" s="24"/>
    </row>
    <row r="17535">
      <c r="A17535" s="24"/>
      <c r="B17535" s="25"/>
      <c r="C17535" s="24"/>
      <c r="D17535" s="26"/>
      <c r="E17535" s="24"/>
      <c r="F17535" s="24"/>
      <c r="G17535" s="24"/>
      <c r="H17535" s="24"/>
      <c r="I17535" s="24"/>
      <c r="J17535" s="24"/>
      <c r="K17535" s="24"/>
      <c r="L17535" s="24"/>
      <c r="M17535" s="24"/>
      <c r="N17535" s="24"/>
      <c r="O17535" s="24"/>
      <c r="P17535" s="24"/>
      <c r="Q17535" s="24"/>
      <c r="R17535" s="24"/>
      <c r="S17535" s="24"/>
      <c r="T17535" s="24"/>
      <c r="U17535" s="24"/>
      <c r="V17535" s="24"/>
      <c r="W17535" s="24"/>
      <c r="X17535" s="24"/>
      <c r="Y17535" s="24"/>
      <c r="Z17535" s="24"/>
      <c r="AA17535" s="24"/>
    </row>
    <row r="17536">
      <c r="A17536" s="24"/>
      <c r="B17536" s="25"/>
      <c r="C17536" s="24"/>
      <c r="D17536" s="26"/>
      <c r="E17536" s="24"/>
      <c r="F17536" s="24"/>
      <c r="G17536" s="24"/>
      <c r="H17536" s="24"/>
      <c r="I17536" s="24"/>
      <c r="J17536" s="24"/>
      <c r="K17536" s="24"/>
      <c r="L17536" s="24"/>
      <c r="M17536" s="24"/>
      <c r="N17536" s="24"/>
      <c r="O17536" s="24"/>
      <c r="P17536" s="24"/>
      <c r="Q17536" s="24"/>
      <c r="R17536" s="24"/>
      <c r="S17536" s="24"/>
      <c r="T17536" s="24"/>
      <c r="U17536" s="24"/>
      <c r="V17536" s="24"/>
      <c r="W17536" s="24"/>
      <c r="X17536" s="24"/>
      <c r="Y17536" s="24"/>
      <c r="Z17536" s="24"/>
      <c r="AA17536" s="24"/>
    </row>
    <row r="17537">
      <c r="A17537" s="24"/>
      <c r="B17537" s="25"/>
      <c r="C17537" s="24"/>
      <c r="D17537" s="26"/>
      <c r="E17537" s="24"/>
      <c r="F17537" s="24"/>
      <c r="G17537" s="24"/>
      <c r="H17537" s="24"/>
      <c r="I17537" s="24"/>
      <c r="J17537" s="24"/>
      <c r="K17537" s="24"/>
      <c r="L17537" s="24"/>
      <c r="M17537" s="24"/>
      <c r="N17537" s="24"/>
      <c r="O17537" s="24"/>
      <c r="P17537" s="24"/>
      <c r="Q17537" s="24"/>
      <c r="R17537" s="24"/>
      <c r="S17537" s="24"/>
      <c r="T17537" s="24"/>
      <c r="U17537" s="24"/>
      <c r="V17537" s="24"/>
      <c r="W17537" s="24"/>
      <c r="X17537" s="24"/>
      <c r="Y17537" s="24"/>
      <c r="Z17537" s="24"/>
      <c r="AA17537" s="24"/>
    </row>
    <row r="17538">
      <c r="A17538" s="24"/>
      <c r="B17538" s="25"/>
      <c r="C17538" s="24"/>
      <c r="D17538" s="26"/>
      <c r="E17538" s="24"/>
      <c r="F17538" s="24"/>
      <c r="G17538" s="24"/>
      <c r="H17538" s="24"/>
      <c r="I17538" s="24"/>
      <c r="J17538" s="24"/>
      <c r="K17538" s="24"/>
      <c r="L17538" s="24"/>
      <c r="M17538" s="24"/>
      <c r="N17538" s="24"/>
      <c r="O17538" s="24"/>
      <c r="P17538" s="24"/>
      <c r="Q17538" s="24"/>
      <c r="R17538" s="24"/>
      <c r="S17538" s="24"/>
      <c r="T17538" s="24"/>
      <c r="U17538" s="24"/>
      <c r="V17538" s="24"/>
      <c r="W17538" s="24"/>
      <c r="X17538" s="24"/>
      <c r="Y17538" s="24"/>
      <c r="Z17538" s="24"/>
      <c r="AA17538" s="24"/>
    </row>
    <row r="17539">
      <c r="A17539" s="24"/>
      <c r="B17539" s="25"/>
      <c r="C17539" s="24"/>
      <c r="D17539" s="26"/>
      <c r="E17539" s="24"/>
      <c r="F17539" s="24"/>
      <c r="G17539" s="24"/>
      <c r="H17539" s="24"/>
      <c r="I17539" s="24"/>
      <c r="J17539" s="24"/>
      <c r="K17539" s="24"/>
      <c r="L17539" s="24"/>
      <c r="M17539" s="24"/>
      <c r="N17539" s="24"/>
      <c r="O17539" s="24"/>
      <c r="P17539" s="24"/>
      <c r="Q17539" s="24"/>
      <c r="R17539" s="24"/>
      <c r="S17539" s="24"/>
      <c r="T17539" s="24"/>
      <c r="U17539" s="24"/>
      <c r="V17539" s="24"/>
      <c r="W17539" s="24"/>
      <c r="X17539" s="24"/>
      <c r="Y17539" s="24"/>
      <c r="Z17539" s="24"/>
      <c r="AA17539" s="24"/>
    </row>
    <row r="17540">
      <c r="A17540" s="24"/>
      <c r="B17540" s="25"/>
      <c r="C17540" s="24"/>
      <c r="D17540" s="26"/>
      <c r="E17540" s="24"/>
      <c r="F17540" s="24"/>
      <c r="G17540" s="24"/>
      <c r="H17540" s="24"/>
      <c r="I17540" s="24"/>
      <c r="J17540" s="24"/>
      <c r="K17540" s="24"/>
      <c r="L17540" s="24"/>
      <c r="M17540" s="24"/>
      <c r="N17540" s="24"/>
      <c r="O17540" s="24"/>
      <c r="P17540" s="24"/>
      <c r="Q17540" s="24"/>
      <c r="R17540" s="24"/>
      <c r="S17540" s="24"/>
      <c r="T17540" s="24"/>
      <c r="U17540" s="24"/>
      <c r="V17540" s="24"/>
      <c r="W17540" s="24"/>
      <c r="X17540" s="24"/>
      <c r="Y17540" s="24"/>
      <c r="Z17540" s="24"/>
      <c r="AA17540" s="24"/>
    </row>
    <row r="17541">
      <c r="A17541" s="24"/>
      <c r="B17541" s="25"/>
      <c r="C17541" s="24"/>
      <c r="D17541" s="26"/>
      <c r="E17541" s="24"/>
      <c r="F17541" s="24"/>
      <c r="G17541" s="24"/>
      <c r="H17541" s="24"/>
      <c r="I17541" s="24"/>
      <c r="J17541" s="24"/>
      <c r="K17541" s="24"/>
      <c r="L17541" s="24"/>
      <c r="M17541" s="24"/>
      <c r="N17541" s="24"/>
      <c r="O17541" s="24"/>
      <c r="P17541" s="24"/>
      <c r="Q17541" s="24"/>
      <c r="R17541" s="24"/>
      <c r="S17541" s="24"/>
      <c r="T17541" s="24"/>
      <c r="U17541" s="24"/>
      <c r="V17541" s="24"/>
      <c r="W17541" s="24"/>
      <c r="X17541" s="24"/>
      <c r="Y17541" s="24"/>
      <c r="Z17541" s="24"/>
      <c r="AA17541" s="24"/>
    </row>
    <row r="17542">
      <c r="A17542" s="24"/>
      <c r="B17542" s="25"/>
      <c r="C17542" s="24"/>
      <c r="D17542" s="26"/>
      <c r="E17542" s="24"/>
      <c r="F17542" s="24"/>
      <c r="G17542" s="24"/>
      <c r="H17542" s="24"/>
      <c r="I17542" s="24"/>
      <c r="J17542" s="24"/>
      <c r="K17542" s="24"/>
      <c r="L17542" s="24"/>
      <c r="M17542" s="24"/>
      <c r="N17542" s="24"/>
      <c r="O17542" s="24"/>
      <c r="P17542" s="24"/>
      <c r="Q17542" s="24"/>
      <c r="R17542" s="24"/>
      <c r="S17542" s="24"/>
      <c r="T17542" s="24"/>
      <c r="U17542" s="24"/>
      <c r="V17542" s="24"/>
      <c r="W17542" s="24"/>
      <c r="X17542" s="24"/>
      <c r="Y17542" s="24"/>
      <c r="Z17542" s="24"/>
      <c r="AA17542" s="24"/>
    </row>
    <row r="17543">
      <c r="A17543" s="24"/>
      <c r="B17543" s="25"/>
      <c r="C17543" s="24"/>
      <c r="D17543" s="26"/>
      <c r="E17543" s="24"/>
      <c r="F17543" s="24"/>
      <c r="G17543" s="24"/>
      <c r="H17543" s="24"/>
      <c r="I17543" s="24"/>
      <c r="J17543" s="24"/>
      <c r="K17543" s="24"/>
      <c r="L17543" s="24"/>
      <c r="M17543" s="24"/>
      <c r="N17543" s="24"/>
      <c r="O17543" s="24"/>
      <c r="P17543" s="24"/>
      <c r="Q17543" s="24"/>
      <c r="R17543" s="24"/>
      <c r="S17543" s="24"/>
      <c r="T17543" s="24"/>
      <c r="U17543" s="24"/>
      <c r="V17543" s="24"/>
      <c r="W17543" s="24"/>
      <c r="X17543" s="24"/>
      <c r="Y17543" s="24"/>
      <c r="Z17543" s="24"/>
      <c r="AA17543" s="24"/>
    </row>
    <row r="17544">
      <c r="A17544" s="24"/>
      <c r="B17544" s="25"/>
      <c r="C17544" s="24"/>
      <c r="D17544" s="26"/>
      <c r="E17544" s="24"/>
      <c r="F17544" s="24"/>
      <c r="G17544" s="24"/>
      <c r="H17544" s="24"/>
      <c r="I17544" s="24"/>
      <c r="J17544" s="24"/>
      <c r="K17544" s="24"/>
      <c r="L17544" s="24"/>
      <c r="M17544" s="24"/>
      <c r="N17544" s="24"/>
      <c r="O17544" s="24"/>
      <c r="P17544" s="24"/>
      <c r="Q17544" s="24"/>
      <c r="R17544" s="24"/>
      <c r="S17544" s="24"/>
      <c r="T17544" s="24"/>
      <c r="U17544" s="24"/>
      <c r="V17544" s="24"/>
      <c r="W17544" s="24"/>
      <c r="X17544" s="24"/>
      <c r="Y17544" s="24"/>
      <c r="Z17544" s="24"/>
      <c r="AA17544" s="24"/>
    </row>
    <row r="17545">
      <c r="A17545" s="24"/>
      <c r="B17545" s="25"/>
      <c r="C17545" s="24"/>
      <c r="D17545" s="26"/>
      <c r="E17545" s="24"/>
      <c r="F17545" s="24"/>
      <c r="G17545" s="24"/>
      <c r="H17545" s="24"/>
      <c r="I17545" s="24"/>
      <c r="J17545" s="24"/>
      <c r="K17545" s="24"/>
      <c r="L17545" s="24"/>
      <c r="M17545" s="24"/>
      <c r="N17545" s="24"/>
      <c r="O17545" s="24"/>
      <c r="P17545" s="24"/>
      <c r="Q17545" s="24"/>
      <c r="R17545" s="24"/>
      <c r="S17545" s="24"/>
      <c r="T17545" s="24"/>
      <c r="U17545" s="24"/>
      <c r="V17545" s="24"/>
      <c r="W17545" s="24"/>
      <c r="X17545" s="24"/>
      <c r="Y17545" s="24"/>
      <c r="Z17545" s="24"/>
      <c r="AA17545" s="24"/>
    </row>
    <row r="17546">
      <c r="A17546" s="24"/>
      <c r="B17546" s="25"/>
      <c r="C17546" s="24"/>
      <c r="D17546" s="26"/>
      <c r="E17546" s="24"/>
      <c r="F17546" s="24"/>
      <c r="G17546" s="24"/>
      <c r="H17546" s="24"/>
      <c r="I17546" s="24"/>
      <c r="J17546" s="24"/>
      <c r="K17546" s="24"/>
      <c r="L17546" s="24"/>
      <c r="M17546" s="24"/>
      <c r="N17546" s="24"/>
      <c r="O17546" s="24"/>
      <c r="P17546" s="24"/>
      <c r="Q17546" s="24"/>
      <c r="R17546" s="24"/>
      <c r="S17546" s="24"/>
      <c r="T17546" s="24"/>
      <c r="U17546" s="24"/>
      <c r="V17546" s="24"/>
      <c r="W17546" s="24"/>
      <c r="X17546" s="24"/>
      <c r="Y17546" s="24"/>
      <c r="Z17546" s="24"/>
      <c r="AA17546" s="24"/>
    </row>
    <row r="17547">
      <c r="A17547" s="24"/>
      <c r="B17547" s="25"/>
      <c r="C17547" s="24"/>
      <c r="D17547" s="26"/>
      <c r="E17547" s="24"/>
      <c r="F17547" s="24"/>
      <c r="G17547" s="24"/>
      <c r="H17547" s="24"/>
      <c r="I17547" s="24"/>
      <c r="J17547" s="24"/>
      <c r="K17547" s="24"/>
      <c r="L17547" s="24"/>
      <c r="M17547" s="24"/>
      <c r="N17547" s="24"/>
      <c r="O17547" s="24"/>
      <c r="P17547" s="24"/>
      <c r="Q17547" s="24"/>
      <c r="R17547" s="24"/>
      <c r="S17547" s="24"/>
      <c r="T17547" s="24"/>
      <c r="U17547" s="24"/>
      <c r="V17547" s="24"/>
      <c r="W17547" s="24"/>
      <c r="X17547" s="24"/>
      <c r="Y17547" s="24"/>
      <c r="Z17547" s="24"/>
      <c r="AA17547" s="24"/>
    </row>
    <row r="17548">
      <c r="A17548" s="24"/>
      <c r="B17548" s="25"/>
      <c r="C17548" s="24"/>
      <c r="D17548" s="26"/>
      <c r="E17548" s="24"/>
      <c r="F17548" s="24"/>
      <c r="G17548" s="24"/>
      <c r="H17548" s="24"/>
      <c r="I17548" s="24"/>
      <c r="J17548" s="24"/>
      <c r="K17548" s="24"/>
      <c r="L17548" s="24"/>
      <c r="M17548" s="24"/>
      <c r="N17548" s="24"/>
      <c r="O17548" s="24"/>
      <c r="P17548" s="24"/>
      <c r="Q17548" s="24"/>
      <c r="R17548" s="24"/>
      <c r="S17548" s="24"/>
      <c r="T17548" s="24"/>
      <c r="U17548" s="24"/>
      <c r="V17548" s="24"/>
      <c r="W17548" s="24"/>
      <c r="X17548" s="24"/>
      <c r="Y17548" s="24"/>
      <c r="Z17548" s="24"/>
      <c r="AA17548" s="24"/>
    </row>
    <row r="17549">
      <c r="A17549" s="24"/>
      <c r="B17549" s="25"/>
      <c r="C17549" s="24"/>
      <c r="D17549" s="26"/>
      <c r="E17549" s="24"/>
      <c r="F17549" s="24"/>
      <c r="G17549" s="24"/>
      <c r="H17549" s="24"/>
      <c r="I17549" s="24"/>
      <c r="J17549" s="24"/>
      <c r="K17549" s="24"/>
      <c r="L17549" s="24"/>
      <c r="M17549" s="24"/>
      <c r="N17549" s="24"/>
      <c r="O17549" s="24"/>
      <c r="P17549" s="24"/>
      <c r="Q17549" s="24"/>
      <c r="R17549" s="24"/>
      <c r="S17549" s="24"/>
      <c r="T17549" s="24"/>
      <c r="U17549" s="24"/>
      <c r="V17549" s="24"/>
      <c r="W17549" s="24"/>
      <c r="X17549" s="24"/>
      <c r="Y17549" s="24"/>
      <c r="Z17549" s="24"/>
      <c r="AA17549" s="24"/>
    </row>
    <row r="17550">
      <c r="A17550" s="24"/>
      <c r="B17550" s="25"/>
      <c r="C17550" s="24"/>
      <c r="D17550" s="26"/>
      <c r="E17550" s="24"/>
      <c r="F17550" s="24"/>
      <c r="G17550" s="24"/>
      <c r="H17550" s="24"/>
      <c r="I17550" s="24"/>
      <c r="J17550" s="24"/>
      <c r="K17550" s="24"/>
      <c r="L17550" s="24"/>
      <c r="M17550" s="24"/>
      <c r="N17550" s="24"/>
      <c r="O17550" s="24"/>
      <c r="P17550" s="24"/>
      <c r="Q17550" s="24"/>
      <c r="R17550" s="24"/>
      <c r="S17550" s="24"/>
      <c r="T17550" s="24"/>
      <c r="U17550" s="24"/>
      <c r="V17550" s="24"/>
      <c r="W17550" s="24"/>
      <c r="X17550" s="24"/>
      <c r="Y17550" s="24"/>
      <c r="Z17550" s="24"/>
      <c r="AA17550" s="24"/>
    </row>
    <row r="17551">
      <c r="A17551" s="24"/>
      <c r="B17551" s="25"/>
      <c r="C17551" s="24"/>
      <c r="D17551" s="26"/>
      <c r="E17551" s="24"/>
      <c r="F17551" s="24"/>
      <c r="G17551" s="24"/>
      <c r="H17551" s="24"/>
      <c r="I17551" s="24"/>
      <c r="J17551" s="24"/>
      <c r="K17551" s="24"/>
      <c r="L17551" s="24"/>
      <c r="M17551" s="24"/>
      <c r="N17551" s="24"/>
      <c r="O17551" s="24"/>
      <c r="P17551" s="24"/>
      <c r="Q17551" s="24"/>
      <c r="R17551" s="24"/>
      <c r="S17551" s="24"/>
      <c r="T17551" s="24"/>
      <c r="U17551" s="24"/>
      <c r="V17551" s="24"/>
      <c r="W17551" s="24"/>
      <c r="X17551" s="24"/>
      <c r="Y17551" s="24"/>
      <c r="Z17551" s="24"/>
      <c r="AA17551" s="24"/>
    </row>
    <row r="17552">
      <c r="A17552" s="24"/>
      <c r="B17552" s="25"/>
      <c r="C17552" s="24"/>
      <c r="D17552" s="26"/>
      <c r="E17552" s="24"/>
      <c r="F17552" s="24"/>
      <c r="G17552" s="24"/>
      <c r="H17552" s="24"/>
      <c r="I17552" s="24"/>
      <c r="J17552" s="24"/>
      <c r="K17552" s="24"/>
      <c r="L17552" s="24"/>
      <c r="M17552" s="24"/>
      <c r="N17552" s="24"/>
      <c r="O17552" s="24"/>
      <c r="P17552" s="24"/>
      <c r="Q17552" s="24"/>
      <c r="R17552" s="24"/>
      <c r="S17552" s="24"/>
      <c r="T17552" s="24"/>
      <c r="U17552" s="24"/>
      <c r="V17552" s="24"/>
      <c r="W17552" s="24"/>
      <c r="X17552" s="24"/>
      <c r="Y17552" s="24"/>
      <c r="Z17552" s="24"/>
      <c r="AA17552" s="24"/>
    </row>
    <row r="17553">
      <c r="A17553" s="24"/>
      <c r="B17553" s="25"/>
      <c r="C17553" s="24"/>
      <c r="D17553" s="26"/>
      <c r="E17553" s="24"/>
      <c r="F17553" s="24"/>
      <c r="G17553" s="24"/>
      <c r="H17553" s="24"/>
      <c r="I17553" s="24"/>
      <c r="J17553" s="24"/>
      <c r="K17553" s="24"/>
      <c r="L17553" s="24"/>
      <c r="M17553" s="24"/>
      <c r="N17553" s="24"/>
      <c r="O17553" s="24"/>
      <c r="P17553" s="24"/>
      <c r="Q17553" s="24"/>
      <c r="R17553" s="24"/>
      <c r="S17553" s="24"/>
      <c r="T17553" s="24"/>
      <c r="U17553" s="24"/>
      <c r="V17553" s="24"/>
      <c r="W17553" s="24"/>
      <c r="X17553" s="24"/>
      <c r="Y17553" s="24"/>
      <c r="Z17553" s="24"/>
      <c r="AA17553" s="24"/>
    </row>
    <row r="17554">
      <c r="A17554" s="24"/>
      <c r="B17554" s="25"/>
      <c r="C17554" s="24"/>
      <c r="D17554" s="26"/>
      <c r="E17554" s="24"/>
      <c r="F17554" s="24"/>
      <c r="G17554" s="24"/>
      <c r="H17554" s="24"/>
      <c r="I17554" s="24"/>
      <c r="J17554" s="24"/>
      <c r="K17554" s="24"/>
      <c r="L17554" s="24"/>
      <c r="M17554" s="24"/>
      <c r="N17554" s="24"/>
      <c r="O17554" s="24"/>
      <c r="P17554" s="24"/>
      <c r="Q17554" s="24"/>
      <c r="R17554" s="24"/>
      <c r="S17554" s="24"/>
      <c r="T17554" s="24"/>
      <c r="U17554" s="24"/>
      <c r="V17554" s="24"/>
      <c r="W17554" s="24"/>
      <c r="X17554" s="24"/>
      <c r="Y17554" s="24"/>
      <c r="Z17554" s="24"/>
      <c r="AA17554" s="24"/>
    </row>
    <row r="17555">
      <c r="A17555" s="24"/>
      <c r="B17555" s="25"/>
      <c r="C17555" s="24"/>
      <c r="D17555" s="26"/>
      <c r="E17555" s="24"/>
      <c r="F17555" s="24"/>
      <c r="G17555" s="24"/>
      <c r="H17555" s="24"/>
      <c r="I17555" s="24"/>
      <c r="J17555" s="24"/>
      <c r="K17555" s="24"/>
      <c r="L17555" s="24"/>
      <c r="M17555" s="24"/>
      <c r="N17555" s="24"/>
      <c r="O17555" s="24"/>
      <c r="P17555" s="24"/>
      <c r="Q17555" s="24"/>
      <c r="R17555" s="24"/>
      <c r="S17555" s="24"/>
      <c r="T17555" s="24"/>
      <c r="U17555" s="24"/>
      <c r="V17555" s="24"/>
      <c r="W17555" s="24"/>
      <c r="X17555" s="24"/>
      <c r="Y17555" s="24"/>
      <c r="Z17555" s="24"/>
      <c r="AA17555" s="24"/>
    </row>
    <row r="17556">
      <c r="A17556" s="24"/>
      <c r="B17556" s="25"/>
      <c r="C17556" s="24"/>
      <c r="D17556" s="26"/>
      <c r="E17556" s="24"/>
      <c r="F17556" s="24"/>
      <c r="G17556" s="24"/>
      <c r="H17556" s="24"/>
      <c r="I17556" s="24"/>
      <c r="J17556" s="24"/>
      <c r="K17556" s="24"/>
      <c r="L17556" s="24"/>
      <c r="M17556" s="24"/>
      <c r="N17556" s="24"/>
      <c r="O17556" s="24"/>
      <c r="P17556" s="24"/>
      <c r="Q17556" s="24"/>
      <c r="R17556" s="24"/>
      <c r="S17556" s="24"/>
      <c r="T17556" s="24"/>
      <c r="U17556" s="24"/>
      <c r="V17556" s="24"/>
      <c r="W17556" s="24"/>
      <c r="X17556" s="24"/>
      <c r="Y17556" s="24"/>
      <c r="Z17556" s="24"/>
      <c r="AA17556" s="24"/>
    </row>
    <row r="17557">
      <c r="A17557" s="24"/>
      <c r="B17557" s="25"/>
      <c r="C17557" s="24"/>
      <c r="D17557" s="26"/>
      <c r="E17557" s="24"/>
      <c r="F17557" s="24"/>
      <c r="G17557" s="24"/>
      <c r="H17557" s="24"/>
      <c r="I17557" s="24"/>
      <c r="J17557" s="24"/>
      <c r="K17557" s="24"/>
      <c r="L17557" s="24"/>
      <c r="M17557" s="24"/>
      <c r="N17557" s="24"/>
      <c r="O17557" s="24"/>
      <c r="P17557" s="24"/>
      <c r="Q17557" s="24"/>
      <c r="R17557" s="24"/>
      <c r="S17557" s="24"/>
      <c r="T17557" s="24"/>
      <c r="U17557" s="24"/>
      <c r="V17557" s="24"/>
      <c r="W17557" s="24"/>
      <c r="X17557" s="24"/>
      <c r="Y17557" s="24"/>
      <c r="Z17557" s="24"/>
      <c r="AA17557" s="24"/>
    </row>
    <row r="17558">
      <c r="A17558" s="24"/>
      <c r="B17558" s="25"/>
      <c r="C17558" s="24"/>
      <c r="D17558" s="26"/>
      <c r="E17558" s="24"/>
      <c r="F17558" s="24"/>
      <c r="G17558" s="24"/>
      <c r="H17558" s="24"/>
      <c r="I17558" s="24"/>
      <c r="J17558" s="24"/>
      <c r="K17558" s="24"/>
      <c r="L17558" s="24"/>
      <c r="M17558" s="24"/>
      <c r="N17558" s="24"/>
      <c r="O17558" s="24"/>
      <c r="P17558" s="24"/>
      <c r="Q17558" s="24"/>
      <c r="R17558" s="24"/>
      <c r="S17558" s="24"/>
      <c r="T17558" s="24"/>
      <c r="U17558" s="24"/>
      <c r="V17558" s="24"/>
      <c r="W17558" s="24"/>
      <c r="X17558" s="24"/>
      <c r="Y17558" s="24"/>
      <c r="Z17558" s="24"/>
      <c r="AA17558" s="24"/>
    </row>
    <row r="17559">
      <c r="A17559" s="24"/>
      <c r="B17559" s="25"/>
      <c r="C17559" s="24"/>
      <c r="D17559" s="26"/>
      <c r="E17559" s="24"/>
      <c r="F17559" s="24"/>
      <c r="G17559" s="24"/>
      <c r="H17559" s="24"/>
      <c r="I17559" s="24"/>
      <c r="J17559" s="24"/>
      <c r="K17559" s="24"/>
      <c r="L17559" s="24"/>
      <c r="M17559" s="24"/>
      <c r="N17559" s="24"/>
      <c r="O17559" s="24"/>
      <c r="P17559" s="24"/>
      <c r="Q17559" s="24"/>
      <c r="R17559" s="24"/>
      <c r="S17559" s="24"/>
      <c r="T17559" s="24"/>
      <c r="U17559" s="24"/>
      <c r="V17559" s="24"/>
      <c r="W17559" s="24"/>
      <c r="X17559" s="24"/>
      <c r="Y17559" s="24"/>
      <c r="Z17559" s="24"/>
      <c r="AA17559" s="24"/>
    </row>
    <row r="17560">
      <c r="A17560" s="24"/>
      <c r="B17560" s="25"/>
      <c r="C17560" s="24"/>
      <c r="D17560" s="26"/>
      <c r="E17560" s="24"/>
      <c r="F17560" s="24"/>
      <c r="G17560" s="24"/>
      <c r="H17560" s="24"/>
      <c r="I17560" s="24"/>
      <c r="J17560" s="24"/>
      <c r="K17560" s="24"/>
      <c r="L17560" s="24"/>
      <c r="M17560" s="24"/>
      <c r="N17560" s="24"/>
      <c r="O17560" s="24"/>
      <c r="P17560" s="24"/>
      <c r="Q17560" s="24"/>
      <c r="R17560" s="24"/>
      <c r="S17560" s="24"/>
      <c r="T17560" s="24"/>
      <c r="U17560" s="24"/>
      <c r="V17560" s="24"/>
      <c r="W17560" s="24"/>
      <c r="X17560" s="24"/>
      <c r="Y17560" s="24"/>
      <c r="Z17560" s="24"/>
      <c r="AA17560" s="24"/>
    </row>
    <row r="17561">
      <c r="A17561" s="24"/>
      <c r="B17561" s="25"/>
      <c r="C17561" s="24"/>
      <c r="D17561" s="26"/>
      <c r="E17561" s="24"/>
      <c r="F17561" s="24"/>
      <c r="G17561" s="24"/>
      <c r="H17561" s="24"/>
      <c r="I17561" s="24"/>
      <c r="J17561" s="24"/>
      <c r="K17561" s="24"/>
      <c r="L17561" s="24"/>
      <c r="M17561" s="24"/>
      <c r="N17561" s="24"/>
      <c r="O17561" s="24"/>
      <c r="P17561" s="24"/>
      <c r="Q17561" s="24"/>
      <c r="R17561" s="24"/>
      <c r="S17561" s="24"/>
      <c r="T17561" s="24"/>
      <c r="U17561" s="24"/>
      <c r="V17561" s="24"/>
      <c r="W17561" s="24"/>
      <c r="X17561" s="24"/>
      <c r="Y17561" s="24"/>
      <c r="Z17561" s="24"/>
      <c r="AA17561" s="24"/>
    </row>
    <row r="17562">
      <c r="A17562" s="24"/>
      <c r="B17562" s="25"/>
      <c r="C17562" s="24"/>
      <c r="D17562" s="26"/>
      <c r="E17562" s="24"/>
      <c r="F17562" s="24"/>
      <c r="G17562" s="24"/>
      <c r="H17562" s="24"/>
      <c r="I17562" s="24"/>
      <c r="J17562" s="24"/>
      <c r="K17562" s="24"/>
      <c r="L17562" s="24"/>
      <c r="M17562" s="24"/>
      <c r="N17562" s="24"/>
      <c r="O17562" s="24"/>
      <c r="P17562" s="24"/>
      <c r="Q17562" s="24"/>
      <c r="R17562" s="24"/>
      <c r="S17562" s="24"/>
      <c r="T17562" s="24"/>
      <c r="U17562" s="24"/>
      <c r="V17562" s="24"/>
      <c r="W17562" s="24"/>
      <c r="X17562" s="24"/>
      <c r="Y17562" s="24"/>
      <c r="Z17562" s="24"/>
      <c r="AA17562" s="24"/>
    </row>
    <row r="17563">
      <c r="A17563" s="24"/>
      <c r="B17563" s="25"/>
      <c r="C17563" s="24"/>
      <c r="D17563" s="26"/>
      <c r="E17563" s="24"/>
      <c r="F17563" s="24"/>
      <c r="G17563" s="24"/>
      <c r="H17563" s="24"/>
      <c r="I17563" s="24"/>
      <c r="J17563" s="24"/>
      <c r="K17563" s="24"/>
      <c r="L17563" s="24"/>
      <c r="M17563" s="24"/>
      <c r="N17563" s="24"/>
      <c r="O17563" s="24"/>
      <c r="P17563" s="24"/>
      <c r="Q17563" s="24"/>
      <c r="R17563" s="24"/>
      <c r="S17563" s="24"/>
      <c r="T17563" s="24"/>
      <c r="U17563" s="24"/>
      <c r="V17563" s="24"/>
      <c r="W17563" s="24"/>
      <c r="X17563" s="24"/>
      <c r="Y17563" s="24"/>
      <c r="Z17563" s="24"/>
      <c r="AA17563" s="24"/>
    </row>
    <row r="17564">
      <c r="A17564" s="24"/>
      <c r="B17564" s="25"/>
      <c r="C17564" s="24"/>
      <c r="D17564" s="26"/>
      <c r="E17564" s="24"/>
      <c r="F17564" s="24"/>
      <c r="G17564" s="24"/>
      <c r="H17564" s="24"/>
      <c r="I17564" s="24"/>
      <c r="J17564" s="24"/>
      <c r="K17564" s="24"/>
      <c r="L17564" s="24"/>
      <c r="M17564" s="24"/>
      <c r="N17564" s="24"/>
      <c r="O17564" s="24"/>
      <c r="P17564" s="24"/>
      <c r="Q17564" s="24"/>
      <c r="R17564" s="24"/>
      <c r="S17564" s="24"/>
      <c r="T17564" s="24"/>
      <c r="U17564" s="24"/>
      <c r="V17564" s="24"/>
      <c r="W17564" s="24"/>
      <c r="X17564" s="24"/>
      <c r="Y17564" s="24"/>
      <c r="Z17564" s="24"/>
      <c r="AA17564" s="24"/>
    </row>
    <row r="17565">
      <c r="A17565" s="24"/>
      <c r="B17565" s="25"/>
      <c r="C17565" s="24"/>
      <c r="D17565" s="26"/>
      <c r="E17565" s="24"/>
      <c r="F17565" s="24"/>
      <c r="G17565" s="24"/>
      <c r="H17565" s="24"/>
      <c r="I17565" s="24"/>
      <c r="J17565" s="24"/>
      <c r="K17565" s="24"/>
      <c r="L17565" s="24"/>
      <c r="M17565" s="24"/>
      <c r="N17565" s="24"/>
      <c r="O17565" s="24"/>
      <c r="P17565" s="24"/>
      <c r="Q17565" s="24"/>
      <c r="R17565" s="24"/>
      <c r="S17565" s="24"/>
      <c r="T17565" s="24"/>
      <c r="U17565" s="24"/>
      <c r="V17565" s="24"/>
      <c r="W17565" s="24"/>
      <c r="X17565" s="24"/>
      <c r="Y17565" s="24"/>
      <c r="Z17565" s="24"/>
      <c r="AA17565" s="24"/>
    </row>
    <row r="17566">
      <c r="A17566" s="24"/>
      <c r="B17566" s="25"/>
      <c r="C17566" s="24"/>
      <c r="D17566" s="26"/>
      <c r="E17566" s="24"/>
      <c r="F17566" s="24"/>
      <c r="G17566" s="24"/>
      <c r="H17566" s="24"/>
      <c r="I17566" s="24"/>
      <c r="J17566" s="24"/>
      <c r="K17566" s="24"/>
      <c r="L17566" s="24"/>
      <c r="M17566" s="24"/>
      <c r="N17566" s="24"/>
      <c r="O17566" s="24"/>
      <c r="P17566" s="24"/>
      <c r="Q17566" s="24"/>
      <c r="R17566" s="24"/>
      <c r="S17566" s="24"/>
      <c r="T17566" s="24"/>
      <c r="U17566" s="24"/>
      <c r="V17566" s="24"/>
      <c r="W17566" s="24"/>
      <c r="X17566" s="24"/>
      <c r="Y17566" s="24"/>
      <c r="Z17566" s="24"/>
      <c r="AA17566" s="24"/>
    </row>
    <row r="17567">
      <c r="A17567" s="24"/>
      <c r="B17567" s="25"/>
      <c r="C17567" s="24"/>
      <c r="D17567" s="26"/>
      <c r="E17567" s="24"/>
      <c r="F17567" s="24"/>
      <c r="G17567" s="24"/>
      <c r="H17567" s="24"/>
      <c r="I17567" s="24"/>
      <c r="J17567" s="24"/>
      <c r="K17567" s="24"/>
      <c r="L17567" s="24"/>
      <c r="M17567" s="24"/>
      <c r="N17567" s="24"/>
      <c r="O17567" s="24"/>
      <c r="P17567" s="24"/>
      <c r="Q17567" s="24"/>
      <c r="R17567" s="24"/>
      <c r="S17567" s="24"/>
      <c r="T17567" s="24"/>
      <c r="U17567" s="24"/>
      <c r="V17567" s="24"/>
      <c r="W17567" s="24"/>
      <c r="X17567" s="24"/>
      <c r="Y17567" s="24"/>
      <c r="Z17567" s="24"/>
      <c r="AA17567" s="24"/>
    </row>
    <row r="17568">
      <c r="A17568" s="24"/>
      <c r="B17568" s="25"/>
      <c r="C17568" s="24"/>
      <c r="D17568" s="26"/>
      <c r="E17568" s="24"/>
      <c r="F17568" s="24"/>
      <c r="G17568" s="24"/>
      <c r="H17568" s="24"/>
      <c r="I17568" s="24"/>
      <c r="J17568" s="24"/>
      <c r="K17568" s="24"/>
      <c r="L17568" s="24"/>
      <c r="M17568" s="24"/>
      <c r="N17568" s="24"/>
      <c r="O17568" s="24"/>
      <c r="P17568" s="24"/>
      <c r="Q17568" s="24"/>
      <c r="R17568" s="24"/>
      <c r="S17568" s="24"/>
      <c r="T17568" s="24"/>
      <c r="U17568" s="24"/>
      <c r="V17568" s="24"/>
      <c r="W17568" s="24"/>
      <c r="X17568" s="24"/>
      <c r="Y17568" s="24"/>
      <c r="Z17568" s="24"/>
      <c r="AA17568" s="24"/>
    </row>
    <row r="17569">
      <c r="A17569" s="24"/>
      <c r="B17569" s="25"/>
      <c r="C17569" s="24"/>
      <c r="D17569" s="26"/>
      <c r="E17569" s="24"/>
      <c r="F17569" s="24"/>
      <c r="G17569" s="24"/>
      <c r="H17569" s="24"/>
      <c r="I17569" s="24"/>
      <c r="J17569" s="24"/>
      <c r="K17569" s="24"/>
      <c r="L17569" s="24"/>
      <c r="M17569" s="24"/>
      <c r="N17569" s="24"/>
      <c r="O17569" s="24"/>
      <c r="P17569" s="24"/>
      <c r="Q17569" s="24"/>
      <c r="R17569" s="24"/>
      <c r="S17569" s="24"/>
      <c r="T17569" s="24"/>
      <c r="U17569" s="24"/>
      <c r="V17569" s="24"/>
      <c r="W17569" s="24"/>
      <c r="X17569" s="24"/>
      <c r="Y17569" s="24"/>
      <c r="Z17569" s="24"/>
      <c r="AA17569" s="24"/>
    </row>
    <row r="17570">
      <c r="A17570" s="24"/>
      <c r="B17570" s="25"/>
      <c r="C17570" s="24"/>
      <c r="D17570" s="26"/>
      <c r="E17570" s="24"/>
      <c r="F17570" s="24"/>
      <c r="G17570" s="24"/>
      <c r="H17570" s="24"/>
      <c r="I17570" s="24"/>
      <c r="J17570" s="24"/>
      <c r="K17570" s="24"/>
      <c r="L17570" s="24"/>
      <c r="M17570" s="24"/>
      <c r="N17570" s="24"/>
      <c r="O17570" s="24"/>
      <c r="P17570" s="24"/>
      <c r="Q17570" s="24"/>
      <c r="R17570" s="24"/>
      <c r="S17570" s="24"/>
      <c r="T17570" s="24"/>
      <c r="U17570" s="24"/>
      <c r="V17570" s="24"/>
      <c r="W17570" s="24"/>
      <c r="X17570" s="24"/>
      <c r="Y17570" s="24"/>
      <c r="Z17570" s="24"/>
      <c r="AA17570" s="24"/>
    </row>
    <row r="17571">
      <c r="A17571" s="24"/>
      <c r="B17571" s="25"/>
      <c r="C17571" s="24"/>
      <c r="D17571" s="26"/>
      <c r="E17571" s="24"/>
      <c r="F17571" s="24"/>
      <c r="G17571" s="24"/>
      <c r="H17571" s="24"/>
      <c r="I17571" s="24"/>
      <c r="J17571" s="24"/>
      <c r="K17571" s="24"/>
      <c r="L17571" s="24"/>
      <c r="M17571" s="24"/>
      <c r="N17571" s="24"/>
      <c r="O17571" s="24"/>
      <c r="P17571" s="24"/>
      <c r="Q17571" s="24"/>
      <c r="R17571" s="24"/>
      <c r="S17571" s="24"/>
      <c r="T17571" s="24"/>
      <c r="U17571" s="24"/>
      <c r="V17571" s="24"/>
      <c r="W17571" s="24"/>
      <c r="X17571" s="24"/>
      <c r="Y17571" s="24"/>
      <c r="Z17571" s="24"/>
      <c r="AA17571" s="24"/>
    </row>
    <row r="17572">
      <c r="A17572" s="24"/>
      <c r="B17572" s="25"/>
      <c r="C17572" s="24"/>
      <c r="D17572" s="26"/>
      <c r="E17572" s="24"/>
      <c r="F17572" s="24"/>
      <c r="G17572" s="24"/>
      <c r="H17572" s="24"/>
      <c r="I17572" s="24"/>
      <c r="J17572" s="24"/>
      <c r="K17572" s="24"/>
      <c r="L17572" s="24"/>
      <c r="M17572" s="24"/>
      <c r="N17572" s="24"/>
      <c r="O17572" s="24"/>
      <c r="P17572" s="24"/>
      <c r="Q17572" s="24"/>
      <c r="R17572" s="24"/>
      <c r="S17572" s="24"/>
      <c r="T17572" s="24"/>
      <c r="U17572" s="24"/>
      <c r="V17572" s="24"/>
      <c r="W17572" s="24"/>
      <c r="X17572" s="24"/>
      <c r="Y17572" s="24"/>
      <c r="Z17572" s="24"/>
      <c r="AA17572" s="24"/>
    </row>
    <row r="17573">
      <c r="A17573" s="24"/>
      <c r="B17573" s="25"/>
      <c r="C17573" s="24"/>
      <c r="D17573" s="26"/>
      <c r="E17573" s="24"/>
      <c r="F17573" s="24"/>
      <c r="G17573" s="24"/>
      <c r="H17573" s="24"/>
      <c r="I17573" s="24"/>
      <c r="J17573" s="24"/>
      <c r="K17573" s="24"/>
      <c r="L17573" s="24"/>
      <c r="M17573" s="24"/>
      <c r="N17573" s="24"/>
      <c r="O17573" s="24"/>
      <c r="P17573" s="24"/>
      <c r="Q17573" s="24"/>
      <c r="R17573" s="24"/>
      <c r="S17573" s="24"/>
      <c r="T17573" s="24"/>
      <c r="U17573" s="24"/>
      <c r="V17573" s="24"/>
      <c r="W17573" s="24"/>
      <c r="X17573" s="24"/>
      <c r="Y17573" s="24"/>
      <c r="Z17573" s="24"/>
      <c r="AA17573" s="24"/>
    </row>
    <row r="17574">
      <c r="A17574" s="24"/>
      <c r="B17574" s="25"/>
      <c r="C17574" s="24"/>
      <c r="D17574" s="26"/>
      <c r="E17574" s="24"/>
      <c r="F17574" s="24"/>
      <c r="G17574" s="24"/>
      <c r="H17574" s="24"/>
      <c r="I17574" s="24"/>
      <c r="J17574" s="24"/>
      <c r="K17574" s="24"/>
      <c r="L17574" s="24"/>
      <c r="M17574" s="24"/>
      <c r="N17574" s="24"/>
      <c r="O17574" s="24"/>
      <c r="P17574" s="24"/>
      <c r="Q17574" s="24"/>
      <c r="R17574" s="24"/>
      <c r="S17574" s="24"/>
      <c r="T17574" s="24"/>
      <c r="U17574" s="24"/>
      <c r="V17574" s="24"/>
      <c r="W17574" s="24"/>
      <c r="X17574" s="24"/>
      <c r="Y17574" s="24"/>
      <c r="Z17574" s="24"/>
      <c r="AA17574" s="24"/>
    </row>
    <row r="17575">
      <c r="A17575" s="24"/>
      <c r="B17575" s="25"/>
      <c r="C17575" s="24"/>
      <c r="D17575" s="26"/>
      <c r="E17575" s="24"/>
      <c r="F17575" s="24"/>
      <c r="G17575" s="24"/>
      <c r="H17575" s="24"/>
      <c r="I17575" s="24"/>
      <c r="J17575" s="24"/>
      <c r="K17575" s="24"/>
      <c r="L17575" s="24"/>
      <c r="M17575" s="24"/>
      <c r="N17575" s="24"/>
      <c r="O17575" s="24"/>
      <c r="P17575" s="24"/>
      <c r="Q17575" s="24"/>
      <c r="R17575" s="24"/>
      <c r="S17575" s="24"/>
      <c r="T17575" s="24"/>
      <c r="U17575" s="24"/>
      <c r="V17575" s="24"/>
      <c r="W17575" s="24"/>
      <c r="X17575" s="24"/>
      <c r="Y17575" s="24"/>
      <c r="Z17575" s="24"/>
      <c r="AA17575" s="24"/>
    </row>
    <row r="17576">
      <c r="A17576" s="24"/>
      <c r="B17576" s="25"/>
      <c r="C17576" s="24"/>
      <c r="D17576" s="26"/>
      <c r="E17576" s="24"/>
      <c r="F17576" s="24"/>
      <c r="G17576" s="24"/>
      <c r="H17576" s="24"/>
      <c r="I17576" s="24"/>
      <c r="J17576" s="24"/>
      <c r="K17576" s="24"/>
      <c r="L17576" s="24"/>
      <c r="M17576" s="24"/>
      <c r="N17576" s="24"/>
      <c r="O17576" s="24"/>
      <c r="P17576" s="24"/>
      <c r="Q17576" s="24"/>
      <c r="R17576" s="24"/>
      <c r="S17576" s="24"/>
      <c r="T17576" s="24"/>
      <c r="U17576" s="24"/>
      <c r="V17576" s="24"/>
      <c r="W17576" s="24"/>
      <c r="X17576" s="24"/>
      <c r="Y17576" s="24"/>
      <c r="Z17576" s="24"/>
      <c r="AA17576" s="24"/>
    </row>
    <row r="17577">
      <c r="A17577" s="24"/>
      <c r="B17577" s="25"/>
      <c r="C17577" s="24"/>
      <c r="D17577" s="26"/>
      <c r="E17577" s="24"/>
      <c r="F17577" s="24"/>
      <c r="G17577" s="24"/>
      <c r="H17577" s="24"/>
      <c r="I17577" s="24"/>
      <c r="J17577" s="24"/>
      <c r="K17577" s="24"/>
      <c r="L17577" s="24"/>
      <c r="M17577" s="24"/>
      <c r="N17577" s="24"/>
      <c r="O17577" s="24"/>
      <c r="P17577" s="24"/>
      <c r="Q17577" s="24"/>
      <c r="R17577" s="24"/>
      <c r="S17577" s="24"/>
      <c r="T17577" s="24"/>
      <c r="U17577" s="24"/>
      <c r="V17577" s="24"/>
      <c r="W17577" s="24"/>
      <c r="X17577" s="24"/>
      <c r="Y17577" s="24"/>
      <c r="Z17577" s="24"/>
      <c r="AA17577" s="24"/>
    </row>
    <row r="17578">
      <c r="A17578" s="24"/>
      <c r="B17578" s="25"/>
      <c r="C17578" s="24"/>
      <c r="D17578" s="26"/>
      <c r="E17578" s="24"/>
      <c r="F17578" s="24"/>
      <c r="G17578" s="24"/>
      <c r="H17578" s="24"/>
      <c r="I17578" s="24"/>
      <c r="J17578" s="24"/>
      <c r="K17578" s="24"/>
      <c r="L17578" s="24"/>
      <c r="M17578" s="24"/>
      <c r="N17578" s="24"/>
      <c r="O17578" s="24"/>
      <c r="P17578" s="24"/>
      <c r="Q17578" s="24"/>
      <c r="R17578" s="24"/>
      <c r="S17578" s="24"/>
      <c r="T17578" s="24"/>
      <c r="U17578" s="24"/>
      <c r="V17578" s="24"/>
      <c r="W17578" s="24"/>
      <c r="X17578" s="24"/>
      <c r="Y17578" s="24"/>
      <c r="Z17578" s="24"/>
      <c r="AA17578" s="24"/>
    </row>
    <row r="17579">
      <c r="A17579" s="24"/>
      <c r="B17579" s="25"/>
      <c r="C17579" s="24"/>
      <c r="D17579" s="26"/>
      <c r="E17579" s="24"/>
      <c r="F17579" s="24"/>
      <c r="G17579" s="24"/>
      <c r="H17579" s="24"/>
      <c r="I17579" s="24"/>
      <c r="J17579" s="24"/>
      <c r="K17579" s="24"/>
      <c r="L17579" s="24"/>
      <c r="M17579" s="24"/>
      <c r="N17579" s="24"/>
      <c r="O17579" s="24"/>
      <c r="P17579" s="24"/>
      <c r="Q17579" s="24"/>
      <c r="R17579" s="24"/>
      <c r="S17579" s="24"/>
      <c r="T17579" s="24"/>
      <c r="U17579" s="24"/>
      <c r="V17579" s="24"/>
      <c r="W17579" s="24"/>
      <c r="X17579" s="24"/>
      <c r="Y17579" s="24"/>
      <c r="Z17579" s="24"/>
      <c r="AA17579" s="24"/>
    </row>
    <row r="17580">
      <c r="A17580" s="24"/>
      <c r="B17580" s="25"/>
      <c r="C17580" s="24"/>
      <c r="D17580" s="26"/>
      <c r="E17580" s="24"/>
      <c r="F17580" s="24"/>
      <c r="G17580" s="24"/>
      <c r="H17580" s="24"/>
      <c r="I17580" s="24"/>
      <c r="J17580" s="24"/>
      <c r="K17580" s="24"/>
      <c r="L17580" s="24"/>
      <c r="M17580" s="24"/>
      <c r="N17580" s="24"/>
      <c r="O17580" s="24"/>
      <c r="P17580" s="24"/>
      <c r="Q17580" s="24"/>
      <c r="R17580" s="24"/>
      <c r="S17580" s="24"/>
      <c r="T17580" s="24"/>
      <c r="U17580" s="24"/>
      <c r="V17580" s="24"/>
      <c r="W17580" s="24"/>
      <c r="X17580" s="24"/>
      <c r="Y17580" s="24"/>
      <c r="Z17580" s="24"/>
      <c r="AA17580" s="24"/>
    </row>
    <row r="17581">
      <c r="A17581" s="24"/>
      <c r="B17581" s="25"/>
      <c r="C17581" s="24"/>
      <c r="D17581" s="26"/>
      <c r="E17581" s="24"/>
      <c r="F17581" s="24"/>
      <c r="G17581" s="24"/>
      <c r="H17581" s="24"/>
      <c r="I17581" s="24"/>
      <c r="J17581" s="24"/>
      <c r="K17581" s="24"/>
      <c r="L17581" s="24"/>
      <c r="M17581" s="24"/>
      <c r="N17581" s="24"/>
      <c r="O17581" s="24"/>
      <c r="P17581" s="24"/>
      <c r="Q17581" s="24"/>
      <c r="R17581" s="24"/>
      <c r="S17581" s="24"/>
      <c r="T17581" s="24"/>
      <c r="U17581" s="24"/>
      <c r="V17581" s="24"/>
      <c r="W17581" s="24"/>
      <c r="X17581" s="24"/>
      <c r="Y17581" s="24"/>
      <c r="Z17581" s="24"/>
      <c r="AA17581" s="24"/>
    </row>
    <row r="17582">
      <c r="A17582" s="24"/>
      <c r="B17582" s="25"/>
      <c r="C17582" s="24"/>
      <c r="D17582" s="26"/>
      <c r="E17582" s="24"/>
      <c r="F17582" s="24"/>
      <c r="G17582" s="24"/>
      <c r="H17582" s="24"/>
      <c r="I17582" s="24"/>
      <c r="J17582" s="24"/>
      <c r="K17582" s="24"/>
      <c r="L17582" s="24"/>
      <c r="M17582" s="24"/>
      <c r="N17582" s="24"/>
      <c r="O17582" s="24"/>
      <c r="P17582" s="24"/>
      <c r="Q17582" s="24"/>
      <c r="R17582" s="24"/>
      <c r="S17582" s="24"/>
      <c r="T17582" s="24"/>
      <c r="U17582" s="24"/>
      <c r="V17582" s="24"/>
      <c r="W17582" s="24"/>
      <c r="X17582" s="24"/>
      <c r="Y17582" s="24"/>
      <c r="Z17582" s="24"/>
      <c r="AA17582" s="24"/>
    </row>
    <row r="17583">
      <c r="A17583" s="24"/>
      <c r="B17583" s="25"/>
      <c r="C17583" s="24"/>
      <c r="D17583" s="26"/>
      <c r="E17583" s="24"/>
      <c r="F17583" s="24"/>
      <c r="G17583" s="24"/>
      <c r="H17583" s="24"/>
      <c r="I17583" s="24"/>
      <c r="J17583" s="24"/>
      <c r="K17583" s="24"/>
      <c r="L17583" s="24"/>
      <c r="M17583" s="24"/>
      <c r="N17583" s="24"/>
      <c r="O17583" s="24"/>
      <c r="P17583" s="24"/>
      <c r="Q17583" s="24"/>
      <c r="R17583" s="24"/>
      <c r="S17583" s="24"/>
      <c r="T17583" s="24"/>
      <c r="U17583" s="24"/>
      <c r="V17583" s="24"/>
      <c r="W17583" s="24"/>
      <c r="X17583" s="24"/>
      <c r="Y17583" s="24"/>
      <c r="Z17583" s="24"/>
      <c r="AA17583" s="24"/>
    </row>
    <row r="17584">
      <c r="A17584" s="24"/>
      <c r="B17584" s="25"/>
      <c r="C17584" s="24"/>
      <c r="D17584" s="26"/>
      <c r="E17584" s="24"/>
      <c r="F17584" s="24"/>
      <c r="G17584" s="24"/>
      <c r="H17584" s="24"/>
      <c r="I17584" s="24"/>
      <c r="J17584" s="24"/>
      <c r="K17584" s="24"/>
      <c r="L17584" s="24"/>
      <c r="M17584" s="24"/>
      <c r="N17584" s="24"/>
      <c r="O17584" s="24"/>
      <c r="P17584" s="24"/>
      <c r="Q17584" s="24"/>
      <c r="R17584" s="24"/>
      <c r="S17584" s="24"/>
      <c r="T17584" s="24"/>
      <c r="U17584" s="24"/>
      <c r="V17584" s="24"/>
      <c r="W17584" s="24"/>
      <c r="X17584" s="24"/>
      <c r="Y17584" s="24"/>
      <c r="Z17584" s="24"/>
      <c r="AA17584" s="24"/>
    </row>
    <row r="17585">
      <c r="A17585" s="24"/>
      <c r="B17585" s="25"/>
      <c r="C17585" s="24"/>
      <c r="D17585" s="26"/>
      <c r="E17585" s="24"/>
      <c r="F17585" s="24"/>
      <c r="G17585" s="24"/>
      <c r="H17585" s="24"/>
      <c r="I17585" s="24"/>
      <c r="J17585" s="24"/>
      <c r="K17585" s="24"/>
      <c r="L17585" s="24"/>
      <c r="M17585" s="24"/>
      <c r="N17585" s="24"/>
      <c r="O17585" s="24"/>
      <c r="P17585" s="24"/>
      <c r="Q17585" s="24"/>
      <c r="R17585" s="24"/>
      <c r="S17585" s="24"/>
      <c r="T17585" s="24"/>
      <c r="U17585" s="24"/>
      <c r="V17585" s="24"/>
      <c r="W17585" s="24"/>
      <c r="X17585" s="24"/>
      <c r="Y17585" s="24"/>
      <c r="Z17585" s="24"/>
      <c r="AA17585" s="24"/>
    </row>
    <row r="17586">
      <c r="A17586" s="24"/>
      <c r="B17586" s="25"/>
      <c r="C17586" s="24"/>
      <c r="D17586" s="26"/>
      <c r="E17586" s="24"/>
      <c r="F17586" s="24"/>
      <c r="G17586" s="24"/>
      <c r="H17586" s="24"/>
      <c r="I17586" s="24"/>
      <c r="J17586" s="24"/>
      <c r="K17586" s="24"/>
      <c r="L17586" s="24"/>
      <c r="M17586" s="24"/>
      <c r="N17586" s="24"/>
      <c r="O17586" s="24"/>
      <c r="P17586" s="24"/>
      <c r="Q17586" s="24"/>
      <c r="R17586" s="24"/>
      <c r="S17586" s="24"/>
      <c r="T17586" s="24"/>
      <c r="U17586" s="24"/>
      <c r="V17586" s="24"/>
      <c r="W17586" s="24"/>
      <c r="X17586" s="24"/>
      <c r="Y17586" s="24"/>
      <c r="Z17586" s="24"/>
      <c r="AA17586" s="24"/>
    </row>
    <row r="17587">
      <c r="A17587" s="24"/>
      <c r="B17587" s="25"/>
      <c r="C17587" s="24"/>
      <c r="D17587" s="26"/>
      <c r="E17587" s="24"/>
      <c r="F17587" s="24"/>
      <c r="G17587" s="24"/>
      <c r="H17587" s="24"/>
      <c r="I17587" s="24"/>
      <c r="J17587" s="24"/>
      <c r="K17587" s="24"/>
      <c r="L17587" s="24"/>
      <c r="M17587" s="24"/>
      <c r="N17587" s="24"/>
      <c r="O17587" s="24"/>
      <c r="P17587" s="24"/>
      <c r="Q17587" s="24"/>
      <c r="R17587" s="24"/>
      <c r="S17587" s="24"/>
      <c r="T17587" s="24"/>
      <c r="U17587" s="24"/>
      <c r="V17587" s="24"/>
      <c r="W17587" s="24"/>
      <c r="X17587" s="24"/>
      <c r="Y17587" s="24"/>
      <c r="Z17587" s="24"/>
      <c r="AA17587" s="24"/>
    </row>
    <row r="17588">
      <c r="A17588" s="24"/>
      <c r="B17588" s="25"/>
      <c r="C17588" s="24"/>
      <c r="D17588" s="26"/>
      <c r="E17588" s="24"/>
      <c r="F17588" s="24"/>
      <c r="G17588" s="24"/>
      <c r="H17588" s="24"/>
      <c r="I17588" s="24"/>
      <c r="J17588" s="24"/>
      <c r="K17588" s="24"/>
      <c r="L17588" s="24"/>
      <c r="M17588" s="24"/>
      <c r="N17588" s="24"/>
      <c r="O17588" s="24"/>
      <c r="P17588" s="24"/>
      <c r="Q17588" s="24"/>
      <c r="R17588" s="24"/>
      <c r="S17588" s="24"/>
      <c r="T17588" s="24"/>
      <c r="U17588" s="24"/>
      <c r="V17588" s="24"/>
      <c r="W17588" s="24"/>
      <c r="X17588" s="24"/>
      <c r="Y17588" s="24"/>
      <c r="Z17588" s="24"/>
      <c r="AA17588" s="24"/>
    </row>
    <row r="17589">
      <c r="A17589" s="24"/>
      <c r="B17589" s="25"/>
      <c r="C17589" s="24"/>
      <c r="D17589" s="26"/>
      <c r="E17589" s="24"/>
      <c r="F17589" s="24"/>
      <c r="G17589" s="24"/>
      <c r="H17589" s="24"/>
      <c r="I17589" s="24"/>
      <c r="J17589" s="24"/>
      <c r="K17589" s="24"/>
      <c r="L17589" s="24"/>
      <c r="M17589" s="24"/>
      <c r="N17589" s="24"/>
      <c r="O17589" s="24"/>
      <c r="P17589" s="24"/>
      <c r="Q17589" s="24"/>
      <c r="R17589" s="24"/>
      <c r="S17589" s="24"/>
      <c r="T17589" s="24"/>
      <c r="U17589" s="24"/>
      <c r="V17589" s="24"/>
      <c r="W17589" s="24"/>
      <c r="X17589" s="24"/>
      <c r="Y17589" s="24"/>
      <c r="Z17589" s="24"/>
      <c r="AA17589" s="24"/>
    </row>
    <row r="17590">
      <c r="A17590" s="24"/>
      <c r="B17590" s="25"/>
      <c r="C17590" s="24"/>
      <c r="D17590" s="26"/>
      <c r="E17590" s="24"/>
      <c r="F17590" s="24"/>
      <c r="G17590" s="24"/>
      <c r="H17590" s="24"/>
      <c r="I17590" s="24"/>
      <c r="J17590" s="24"/>
      <c r="K17590" s="24"/>
      <c r="L17590" s="24"/>
      <c r="M17590" s="24"/>
      <c r="N17590" s="24"/>
      <c r="O17590" s="24"/>
      <c r="P17590" s="24"/>
      <c r="Q17590" s="24"/>
      <c r="R17590" s="24"/>
      <c r="S17590" s="24"/>
      <c r="T17590" s="24"/>
      <c r="U17590" s="24"/>
      <c r="V17590" s="24"/>
      <c r="W17590" s="24"/>
      <c r="X17590" s="24"/>
      <c r="Y17590" s="24"/>
      <c r="Z17590" s="24"/>
      <c r="AA17590" s="24"/>
    </row>
    <row r="17591">
      <c r="A17591" s="24"/>
      <c r="B17591" s="25"/>
      <c r="C17591" s="24"/>
      <c r="D17591" s="26"/>
      <c r="E17591" s="24"/>
      <c r="F17591" s="24"/>
      <c r="G17591" s="24"/>
      <c r="H17591" s="24"/>
      <c r="I17591" s="24"/>
      <c r="J17591" s="24"/>
      <c r="K17591" s="24"/>
      <c r="L17591" s="24"/>
      <c r="M17591" s="24"/>
      <c r="N17591" s="24"/>
      <c r="O17591" s="24"/>
      <c r="P17591" s="24"/>
      <c r="Q17591" s="24"/>
      <c r="R17591" s="24"/>
      <c r="S17591" s="24"/>
      <c r="T17591" s="24"/>
      <c r="U17591" s="24"/>
      <c r="V17591" s="24"/>
      <c r="W17591" s="24"/>
      <c r="X17591" s="24"/>
      <c r="Y17591" s="24"/>
      <c r="Z17591" s="24"/>
      <c r="AA17591" s="24"/>
    </row>
    <row r="17592">
      <c r="A17592" s="24"/>
      <c r="B17592" s="25"/>
      <c r="C17592" s="24"/>
      <c r="D17592" s="26"/>
      <c r="E17592" s="24"/>
      <c r="F17592" s="24"/>
      <c r="G17592" s="24"/>
      <c r="H17592" s="24"/>
      <c r="I17592" s="24"/>
      <c r="J17592" s="24"/>
      <c r="K17592" s="24"/>
      <c r="L17592" s="24"/>
      <c r="M17592" s="24"/>
      <c r="N17592" s="24"/>
      <c r="O17592" s="24"/>
      <c r="P17592" s="24"/>
      <c r="Q17592" s="24"/>
      <c r="R17592" s="24"/>
      <c r="S17592" s="24"/>
      <c r="T17592" s="24"/>
      <c r="U17592" s="24"/>
      <c r="V17592" s="24"/>
      <c r="W17592" s="24"/>
      <c r="X17592" s="24"/>
      <c r="Y17592" s="24"/>
      <c r="Z17592" s="24"/>
      <c r="AA17592" s="24"/>
    </row>
    <row r="17593">
      <c r="A17593" s="24"/>
      <c r="B17593" s="25"/>
      <c r="C17593" s="24"/>
      <c r="D17593" s="26"/>
      <c r="E17593" s="24"/>
      <c r="F17593" s="24"/>
      <c r="G17593" s="24"/>
      <c r="H17593" s="24"/>
      <c r="I17593" s="24"/>
      <c r="J17593" s="24"/>
      <c r="K17593" s="24"/>
      <c r="L17593" s="24"/>
      <c r="M17593" s="24"/>
      <c r="N17593" s="24"/>
      <c r="O17593" s="24"/>
      <c r="P17593" s="24"/>
      <c r="Q17593" s="24"/>
      <c r="R17593" s="24"/>
      <c r="S17593" s="24"/>
      <c r="T17593" s="24"/>
      <c r="U17593" s="24"/>
      <c r="V17593" s="24"/>
      <c r="W17593" s="24"/>
      <c r="X17593" s="24"/>
      <c r="Y17593" s="24"/>
      <c r="Z17593" s="24"/>
      <c r="AA17593" s="24"/>
    </row>
    <row r="17594">
      <c r="A17594" s="24"/>
      <c r="B17594" s="25"/>
      <c r="C17594" s="24"/>
      <c r="D17594" s="26"/>
      <c r="E17594" s="24"/>
      <c r="F17594" s="24"/>
      <c r="G17594" s="24"/>
      <c r="H17594" s="24"/>
      <c r="I17594" s="24"/>
      <c r="J17594" s="24"/>
      <c r="K17594" s="24"/>
      <c r="L17594" s="24"/>
      <c r="M17594" s="24"/>
      <c r="N17594" s="24"/>
      <c r="O17594" s="24"/>
      <c r="P17594" s="24"/>
      <c r="Q17594" s="24"/>
      <c r="R17594" s="24"/>
      <c r="S17594" s="24"/>
      <c r="T17594" s="24"/>
      <c r="U17594" s="24"/>
      <c r="V17594" s="24"/>
      <c r="W17594" s="24"/>
      <c r="X17594" s="24"/>
      <c r="Y17594" s="24"/>
      <c r="Z17594" s="24"/>
      <c r="AA17594" s="24"/>
    </row>
    <row r="17595">
      <c r="A17595" s="24"/>
      <c r="B17595" s="25"/>
      <c r="C17595" s="24"/>
      <c r="D17595" s="26"/>
      <c r="E17595" s="24"/>
      <c r="F17595" s="24"/>
      <c r="G17595" s="24"/>
      <c r="H17595" s="24"/>
      <c r="I17595" s="24"/>
      <c r="J17595" s="24"/>
      <c r="K17595" s="24"/>
      <c r="L17595" s="24"/>
      <c r="M17595" s="24"/>
      <c r="N17595" s="24"/>
      <c r="O17595" s="24"/>
      <c r="P17595" s="24"/>
      <c r="Q17595" s="24"/>
      <c r="R17595" s="24"/>
      <c r="S17595" s="24"/>
      <c r="T17595" s="24"/>
      <c r="U17595" s="24"/>
      <c r="V17595" s="24"/>
      <c r="W17595" s="24"/>
      <c r="X17595" s="24"/>
      <c r="Y17595" s="24"/>
      <c r="Z17595" s="24"/>
      <c r="AA17595" s="24"/>
    </row>
    <row r="17596">
      <c r="A17596" s="24"/>
      <c r="B17596" s="25"/>
      <c r="C17596" s="24"/>
      <c r="D17596" s="26"/>
      <c r="E17596" s="24"/>
      <c r="F17596" s="24"/>
      <c r="G17596" s="24"/>
      <c r="H17596" s="24"/>
      <c r="I17596" s="24"/>
      <c r="J17596" s="24"/>
      <c r="K17596" s="24"/>
      <c r="L17596" s="24"/>
      <c r="M17596" s="24"/>
      <c r="N17596" s="24"/>
      <c r="O17596" s="24"/>
      <c r="P17596" s="24"/>
      <c r="Q17596" s="24"/>
      <c r="R17596" s="24"/>
      <c r="S17596" s="24"/>
      <c r="T17596" s="24"/>
      <c r="U17596" s="24"/>
      <c r="V17596" s="24"/>
      <c r="W17596" s="24"/>
      <c r="X17596" s="24"/>
      <c r="Y17596" s="24"/>
      <c r="Z17596" s="24"/>
      <c r="AA17596" s="24"/>
    </row>
    <row r="17597">
      <c r="A17597" s="24"/>
      <c r="B17597" s="25"/>
      <c r="C17597" s="24"/>
      <c r="D17597" s="26"/>
      <c r="E17597" s="24"/>
      <c r="F17597" s="24"/>
      <c r="G17597" s="24"/>
      <c r="H17597" s="24"/>
      <c r="I17597" s="24"/>
      <c r="J17597" s="24"/>
      <c r="K17597" s="24"/>
      <c r="L17597" s="24"/>
      <c r="M17597" s="24"/>
      <c r="N17597" s="24"/>
      <c r="O17597" s="24"/>
      <c r="P17597" s="24"/>
      <c r="Q17597" s="24"/>
      <c r="R17597" s="24"/>
      <c r="S17597" s="24"/>
      <c r="T17597" s="24"/>
      <c r="U17597" s="24"/>
      <c r="V17597" s="24"/>
      <c r="W17597" s="24"/>
      <c r="X17597" s="24"/>
      <c r="Y17597" s="24"/>
      <c r="Z17597" s="24"/>
      <c r="AA17597" s="24"/>
    </row>
    <row r="17598">
      <c r="A17598" s="24"/>
      <c r="B17598" s="25"/>
      <c r="C17598" s="24"/>
      <c r="D17598" s="26"/>
      <c r="E17598" s="24"/>
      <c r="F17598" s="24"/>
      <c r="G17598" s="24"/>
      <c r="H17598" s="24"/>
      <c r="I17598" s="24"/>
      <c r="J17598" s="24"/>
      <c r="K17598" s="24"/>
      <c r="L17598" s="24"/>
      <c r="M17598" s="24"/>
      <c r="N17598" s="24"/>
      <c r="O17598" s="24"/>
      <c r="P17598" s="24"/>
      <c r="Q17598" s="24"/>
      <c r="R17598" s="24"/>
      <c r="S17598" s="24"/>
      <c r="T17598" s="24"/>
      <c r="U17598" s="24"/>
      <c r="V17598" s="24"/>
      <c r="W17598" s="24"/>
      <c r="X17598" s="24"/>
      <c r="Y17598" s="24"/>
      <c r="Z17598" s="24"/>
      <c r="AA17598" s="24"/>
    </row>
    <row r="17599">
      <c r="A17599" s="24"/>
      <c r="B17599" s="25"/>
      <c r="C17599" s="24"/>
      <c r="D17599" s="26"/>
      <c r="E17599" s="24"/>
      <c r="F17599" s="24"/>
      <c r="G17599" s="24"/>
      <c r="H17599" s="24"/>
      <c r="I17599" s="24"/>
      <c r="J17599" s="24"/>
      <c r="K17599" s="24"/>
      <c r="L17599" s="24"/>
      <c r="M17599" s="24"/>
      <c r="N17599" s="24"/>
      <c r="O17599" s="24"/>
      <c r="P17599" s="24"/>
      <c r="Q17599" s="24"/>
      <c r="R17599" s="24"/>
      <c r="S17599" s="24"/>
      <c r="T17599" s="24"/>
      <c r="U17599" s="24"/>
      <c r="V17599" s="24"/>
      <c r="W17599" s="24"/>
      <c r="X17599" s="24"/>
      <c r="Y17599" s="24"/>
      <c r="Z17599" s="24"/>
      <c r="AA17599" s="24"/>
    </row>
    <row r="17600">
      <c r="A17600" s="24"/>
      <c r="B17600" s="25"/>
      <c r="C17600" s="24"/>
      <c r="D17600" s="26"/>
      <c r="E17600" s="24"/>
      <c r="F17600" s="24"/>
      <c r="G17600" s="24"/>
      <c r="H17600" s="24"/>
      <c r="I17600" s="24"/>
      <c r="J17600" s="24"/>
      <c r="K17600" s="24"/>
      <c r="L17600" s="24"/>
      <c r="M17600" s="24"/>
      <c r="N17600" s="24"/>
      <c r="O17600" s="24"/>
      <c r="P17600" s="24"/>
      <c r="Q17600" s="24"/>
      <c r="R17600" s="24"/>
      <c r="S17600" s="24"/>
      <c r="T17600" s="24"/>
      <c r="U17600" s="24"/>
      <c r="V17600" s="24"/>
      <c r="W17600" s="24"/>
      <c r="X17600" s="24"/>
      <c r="Y17600" s="24"/>
      <c r="Z17600" s="24"/>
      <c r="AA17600" s="24"/>
    </row>
    <row r="17601">
      <c r="A17601" s="24"/>
      <c r="B17601" s="25"/>
      <c r="C17601" s="24"/>
      <c r="D17601" s="26"/>
      <c r="E17601" s="24"/>
      <c r="F17601" s="24"/>
      <c r="G17601" s="24"/>
      <c r="H17601" s="24"/>
      <c r="I17601" s="24"/>
      <c r="J17601" s="24"/>
      <c r="K17601" s="24"/>
      <c r="L17601" s="24"/>
      <c r="M17601" s="24"/>
      <c r="N17601" s="24"/>
      <c r="O17601" s="24"/>
      <c r="P17601" s="24"/>
      <c r="Q17601" s="24"/>
      <c r="R17601" s="24"/>
      <c r="S17601" s="24"/>
      <c r="T17601" s="24"/>
      <c r="U17601" s="24"/>
      <c r="V17601" s="24"/>
      <c r="W17601" s="24"/>
      <c r="X17601" s="24"/>
      <c r="Y17601" s="24"/>
      <c r="Z17601" s="24"/>
      <c r="AA17601" s="24"/>
    </row>
    <row r="17602">
      <c r="A17602" s="24"/>
      <c r="B17602" s="25"/>
      <c r="C17602" s="24"/>
      <c r="D17602" s="26"/>
      <c r="E17602" s="24"/>
      <c r="F17602" s="24"/>
      <c r="G17602" s="24"/>
      <c r="H17602" s="24"/>
      <c r="I17602" s="24"/>
      <c r="J17602" s="24"/>
      <c r="K17602" s="24"/>
      <c r="L17602" s="24"/>
      <c r="M17602" s="24"/>
      <c r="N17602" s="24"/>
      <c r="O17602" s="24"/>
      <c r="P17602" s="24"/>
      <c r="Q17602" s="24"/>
      <c r="R17602" s="24"/>
      <c r="S17602" s="24"/>
      <c r="T17602" s="24"/>
      <c r="U17602" s="24"/>
      <c r="V17602" s="24"/>
      <c r="W17602" s="24"/>
      <c r="X17602" s="24"/>
      <c r="Y17602" s="24"/>
      <c r="Z17602" s="24"/>
      <c r="AA17602" s="24"/>
    </row>
    <row r="17603">
      <c r="A17603" s="24"/>
      <c r="B17603" s="25"/>
      <c r="C17603" s="24"/>
      <c r="D17603" s="26"/>
      <c r="E17603" s="24"/>
      <c r="F17603" s="24"/>
      <c r="G17603" s="24"/>
      <c r="H17603" s="24"/>
      <c r="I17603" s="24"/>
      <c r="J17603" s="24"/>
      <c r="K17603" s="24"/>
      <c r="L17603" s="24"/>
      <c r="M17603" s="24"/>
      <c r="N17603" s="24"/>
      <c r="O17603" s="24"/>
      <c r="P17603" s="24"/>
      <c r="Q17603" s="24"/>
      <c r="R17603" s="24"/>
      <c r="S17603" s="24"/>
      <c r="T17603" s="24"/>
      <c r="U17603" s="24"/>
      <c r="V17603" s="24"/>
      <c r="W17603" s="24"/>
      <c r="X17603" s="24"/>
      <c r="Y17603" s="24"/>
      <c r="Z17603" s="24"/>
      <c r="AA17603" s="24"/>
    </row>
    <row r="17604">
      <c r="A17604" s="24"/>
      <c r="B17604" s="25"/>
      <c r="C17604" s="24"/>
      <c r="D17604" s="26"/>
      <c r="E17604" s="24"/>
      <c r="F17604" s="24"/>
      <c r="G17604" s="24"/>
      <c r="H17604" s="24"/>
      <c r="I17604" s="24"/>
      <c r="J17604" s="24"/>
      <c r="K17604" s="24"/>
      <c r="L17604" s="24"/>
      <c r="M17604" s="24"/>
      <c r="N17604" s="24"/>
      <c r="O17604" s="24"/>
      <c r="P17604" s="24"/>
      <c r="Q17604" s="24"/>
      <c r="R17604" s="24"/>
      <c r="S17604" s="24"/>
      <c r="T17604" s="24"/>
      <c r="U17604" s="24"/>
      <c r="V17604" s="24"/>
      <c r="W17604" s="24"/>
      <c r="X17604" s="24"/>
      <c r="Y17604" s="24"/>
      <c r="Z17604" s="24"/>
      <c r="AA17604" s="24"/>
    </row>
    <row r="17605">
      <c r="A17605" s="24"/>
      <c r="B17605" s="25"/>
      <c r="C17605" s="24"/>
      <c r="D17605" s="26"/>
      <c r="E17605" s="24"/>
      <c r="F17605" s="24"/>
      <c r="G17605" s="24"/>
      <c r="H17605" s="24"/>
      <c r="I17605" s="24"/>
      <c r="J17605" s="24"/>
      <c r="K17605" s="24"/>
      <c r="L17605" s="24"/>
      <c r="M17605" s="24"/>
      <c r="N17605" s="24"/>
      <c r="O17605" s="24"/>
      <c r="P17605" s="24"/>
      <c r="Q17605" s="24"/>
      <c r="R17605" s="24"/>
      <c r="S17605" s="24"/>
      <c r="T17605" s="24"/>
      <c r="U17605" s="24"/>
      <c r="V17605" s="24"/>
      <c r="W17605" s="24"/>
      <c r="X17605" s="24"/>
      <c r="Y17605" s="24"/>
      <c r="Z17605" s="24"/>
      <c r="AA17605" s="24"/>
    </row>
    <row r="17606">
      <c r="A17606" s="24"/>
      <c r="B17606" s="25"/>
      <c r="C17606" s="24"/>
      <c r="D17606" s="26"/>
      <c r="E17606" s="24"/>
      <c r="F17606" s="24"/>
      <c r="G17606" s="24"/>
      <c r="H17606" s="24"/>
      <c r="I17606" s="24"/>
      <c r="J17606" s="24"/>
      <c r="K17606" s="24"/>
      <c r="L17606" s="24"/>
      <c r="M17606" s="24"/>
      <c r="N17606" s="24"/>
      <c r="O17606" s="24"/>
      <c r="P17606" s="24"/>
      <c r="Q17606" s="24"/>
      <c r="R17606" s="24"/>
      <c r="S17606" s="24"/>
      <c r="T17606" s="24"/>
      <c r="U17606" s="24"/>
      <c r="V17606" s="24"/>
      <c r="W17606" s="24"/>
      <c r="X17606" s="24"/>
      <c r="Y17606" s="24"/>
      <c r="Z17606" s="24"/>
      <c r="AA17606" s="24"/>
    </row>
    <row r="17607">
      <c r="A17607" s="24"/>
      <c r="B17607" s="25"/>
      <c r="C17607" s="24"/>
      <c r="D17607" s="26"/>
      <c r="E17607" s="24"/>
      <c r="F17607" s="24"/>
      <c r="G17607" s="24"/>
      <c r="H17607" s="24"/>
      <c r="I17607" s="24"/>
      <c r="J17607" s="24"/>
      <c r="K17607" s="24"/>
      <c r="L17607" s="24"/>
      <c r="M17607" s="24"/>
      <c r="N17607" s="24"/>
      <c r="O17607" s="24"/>
      <c r="P17607" s="24"/>
      <c r="Q17607" s="24"/>
      <c r="R17607" s="24"/>
      <c r="S17607" s="24"/>
      <c r="T17607" s="24"/>
      <c r="U17607" s="24"/>
      <c r="V17607" s="24"/>
      <c r="W17607" s="24"/>
      <c r="X17607" s="24"/>
      <c r="Y17607" s="24"/>
      <c r="Z17607" s="24"/>
      <c r="AA17607" s="24"/>
    </row>
    <row r="17608">
      <c r="A17608" s="24"/>
      <c r="B17608" s="25"/>
      <c r="C17608" s="24"/>
      <c r="D17608" s="26"/>
      <c r="E17608" s="24"/>
      <c r="F17608" s="24"/>
      <c r="G17608" s="24"/>
      <c r="H17608" s="24"/>
      <c r="I17608" s="24"/>
      <c r="J17608" s="24"/>
      <c r="K17608" s="24"/>
      <c r="L17608" s="24"/>
      <c r="M17608" s="24"/>
      <c r="N17608" s="24"/>
      <c r="O17608" s="24"/>
      <c r="P17608" s="24"/>
      <c r="Q17608" s="24"/>
      <c r="R17608" s="24"/>
      <c r="S17608" s="24"/>
      <c r="T17608" s="24"/>
      <c r="U17608" s="24"/>
      <c r="V17608" s="24"/>
      <c r="W17608" s="24"/>
      <c r="X17608" s="24"/>
      <c r="Y17608" s="24"/>
      <c r="Z17608" s="24"/>
      <c r="AA17608" s="24"/>
    </row>
    <row r="17609">
      <c r="A17609" s="24"/>
      <c r="B17609" s="25"/>
      <c r="C17609" s="24"/>
      <c r="D17609" s="26"/>
      <c r="E17609" s="24"/>
      <c r="F17609" s="24"/>
      <c r="G17609" s="24"/>
      <c r="H17609" s="24"/>
      <c r="I17609" s="24"/>
      <c r="J17609" s="24"/>
      <c r="K17609" s="24"/>
      <c r="L17609" s="24"/>
      <c r="M17609" s="24"/>
      <c r="N17609" s="24"/>
      <c r="O17609" s="24"/>
      <c r="P17609" s="24"/>
      <c r="Q17609" s="24"/>
      <c r="R17609" s="24"/>
      <c r="S17609" s="24"/>
      <c r="T17609" s="24"/>
      <c r="U17609" s="24"/>
      <c r="V17609" s="24"/>
      <c r="W17609" s="24"/>
      <c r="X17609" s="24"/>
      <c r="Y17609" s="24"/>
      <c r="Z17609" s="24"/>
      <c r="AA17609" s="24"/>
    </row>
    <row r="17610">
      <c r="A17610" s="24"/>
      <c r="B17610" s="25"/>
      <c r="C17610" s="24"/>
      <c r="D17610" s="26"/>
      <c r="E17610" s="24"/>
      <c r="F17610" s="24"/>
      <c r="G17610" s="24"/>
      <c r="H17610" s="24"/>
      <c r="I17610" s="24"/>
      <c r="J17610" s="24"/>
      <c r="K17610" s="24"/>
      <c r="L17610" s="24"/>
      <c r="M17610" s="24"/>
      <c r="N17610" s="24"/>
      <c r="O17610" s="24"/>
      <c r="P17610" s="24"/>
      <c r="Q17610" s="24"/>
      <c r="R17610" s="24"/>
      <c r="S17610" s="24"/>
      <c r="T17610" s="24"/>
      <c r="U17610" s="24"/>
      <c r="V17610" s="24"/>
      <c r="W17610" s="24"/>
      <c r="X17610" s="24"/>
      <c r="Y17610" s="24"/>
      <c r="Z17610" s="24"/>
      <c r="AA17610" s="24"/>
    </row>
    <row r="17611">
      <c r="A17611" s="24"/>
      <c r="B17611" s="25"/>
      <c r="C17611" s="24"/>
      <c r="D17611" s="26"/>
      <c r="E17611" s="24"/>
      <c r="F17611" s="24"/>
      <c r="G17611" s="24"/>
      <c r="H17611" s="24"/>
      <c r="I17611" s="24"/>
      <c r="J17611" s="24"/>
      <c r="K17611" s="24"/>
      <c r="L17611" s="24"/>
      <c r="M17611" s="24"/>
      <c r="N17611" s="24"/>
      <c r="O17611" s="24"/>
      <c r="P17611" s="24"/>
      <c r="Q17611" s="24"/>
      <c r="R17611" s="24"/>
      <c r="S17611" s="24"/>
      <c r="T17611" s="24"/>
      <c r="U17611" s="24"/>
      <c r="V17611" s="24"/>
      <c r="W17611" s="24"/>
      <c r="X17611" s="24"/>
      <c r="Y17611" s="24"/>
      <c r="Z17611" s="24"/>
      <c r="AA17611" s="24"/>
    </row>
    <row r="17612">
      <c r="A17612" s="24"/>
      <c r="B17612" s="25"/>
      <c r="C17612" s="24"/>
      <c r="D17612" s="26"/>
      <c r="E17612" s="24"/>
      <c r="F17612" s="24"/>
      <c r="G17612" s="24"/>
      <c r="H17612" s="24"/>
      <c r="I17612" s="24"/>
      <c r="J17612" s="24"/>
      <c r="K17612" s="24"/>
      <c r="L17612" s="24"/>
      <c r="M17612" s="24"/>
      <c r="N17612" s="24"/>
      <c r="O17612" s="24"/>
      <c r="P17612" s="24"/>
      <c r="Q17612" s="24"/>
      <c r="R17612" s="24"/>
      <c r="S17612" s="24"/>
      <c r="T17612" s="24"/>
      <c r="U17612" s="24"/>
      <c r="V17612" s="24"/>
      <c r="W17612" s="24"/>
      <c r="X17612" s="24"/>
      <c r="Y17612" s="24"/>
      <c r="Z17612" s="24"/>
      <c r="AA17612" s="24"/>
    </row>
    <row r="17613">
      <c r="A17613" s="24"/>
      <c r="B17613" s="25"/>
      <c r="C17613" s="24"/>
      <c r="D17613" s="26"/>
      <c r="E17613" s="24"/>
      <c r="F17613" s="24"/>
      <c r="G17613" s="24"/>
      <c r="H17613" s="24"/>
      <c r="I17613" s="24"/>
      <c r="J17613" s="24"/>
      <c r="K17613" s="24"/>
      <c r="L17613" s="24"/>
      <c r="M17613" s="24"/>
      <c r="N17613" s="24"/>
      <c r="O17613" s="24"/>
      <c r="P17613" s="24"/>
      <c r="Q17613" s="24"/>
      <c r="R17613" s="24"/>
      <c r="S17613" s="24"/>
      <c r="T17613" s="24"/>
      <c r="U17613" s="24"/>
      <c r="V17613" s="24"/>
      <c r="W17613" s="24"/>
      <c r="X17613" s="24"/>
      <c r="Y17613" s="24"/>
      <c r="Z17613" s="24"/>
      <c r="AA17613" s="24"/>
    </row>
    <row r="17614">
      <c r="A17614" s="24"/>
      <c r="B17614" s="25"/>
      <c r="C17614" s="24"/>
      <c r="D17614" s="26"/>
      <c r="E17614" s="24"/>
      <c r="F17614" s="24"/>
      <c r="G17614" s="24"/>
      <c r="H17614" s="24"/>
      <c r="I17614" s="24"/>
      <c r="J17614" s="24"/>
      <c r="K17614" s="24"/>
      <c r="L17614" s="24"/>
      <c r="M17614" s="24"/>
      <c r="N17614" s="24"/>
      <c r="O17614" s="24"/>
      <c r="P17614" s="24"/>
      <c r="Q17614" s="24"/>
      <c r="R17614" s="24"/>
      <c r="S17614" s="24"/>
      <c r="T17614" s="24"/>
      <c r="U17614" s="24"/>
      <c r="V17614" s="24"/>
      <c r="W17614" s="24"/>
      <c r="X17614" s="24"/>
      <c r="Y17614" s="24"/>
      <c r="Z17614" s="24"/>
      <c r="AA17614" s="24"/>
    </row>
    <row r="17615">
      <c r="A17615" s="24"/>
      <c r="B17615" s="25"/>
      <c r="C17615" s="24"/>
      <c r="D17615" s="26"/>
      <c r="E17615" s="24"/>
      <c r="F17615" s="24"/>
      <c r="G17615" s="24"/>
      <c r="H17615" s="24"/>
      <c r="I17615" s="24"/>
      <c r="J17615" s="24"/>
      <c r="K17615" s="24"/>
      <c r="L17615" s="24"/>
      <c r="M17615" s="24"/>
      <c r="N17615" s="24"/>
      <c r="O17615" s="24"/>
      <c r="P17615" s="24"/>
      <c r="Q17615" s="24"/>
      <c r="R17615" s="24"/>
      <c r="S17615" s="24"/>
      <c r="T17615" s="24"/>
      <c r="U17615" s="24"/>
      <c r="V17615" s="24"/>
      <c r="W17615" s="24"/>
      <c r="X17615" s="24"/>
      <c r="Y17615" s="24"/>
      <c r="Z17615" s="24"/>
      <c r="AA17615" s="24"/>
    </row>
    <row r="17616">
      <c r="A17616" s="24"/>
      <c r="B17616" s="25"/>
      <c r="C17616" s="24"/>
      <c r="D17616" s="26"/>
      <c r="E17616" s="24"/>
      <c r="F17616" s="24"/>
      <c r="G17616" s="24"/>
      <c r="H17616" s="24"/>
      <c r="I17616" s="24"/>
      <c r="J17616" s="24"/>
      <c r="K17616" s="24"/>
      <c r="L17616" s="24"/>
      <c r="M17616" s="24"/>
      <c r="N17616" s="24"/>
      <c r="O17616" s="24"/>
      <c r="P17616" s="24"/>
      <c r="Q17616" s="24"/>
      <c r="R17616" s="24"/>
      <c r="S17616" s="24"/>
      <c r="T17616" s="24"/>
      <c r="U17616" s="24"/>
      <c r="V17616" s="24"/>
      <c r="W17616" s="24"/>
      <c r="X17616" s="24"/>
      <c r="Y17616" s="24"/>
      <c r="Z17616" s="24"/>
      <c r="AA17616" s="24"/>
    </row>
    <row r="17617">
      <c r="A17617" s="24"/>
      <c r="B17617" s="25"/>
      <c r="C17617" s="24"/>
      <c r="D17617" s="26"/>
      <c r="E17617" s="24"/>
      <c r="F17617" s="24"/>
      <c r="G17617" s="24"/>
      <c r="H17617" s="24"/>
      <c r="I17617" s="24"/>
      <c r="J17617" s="24"/>
      <c r="K17617" s="24"/>
      <c r="L17617" s="24"/>
      <c r="M17617" s="24"/>
      <c r="N17617" s="24"/>
      <c r="O17617" s="24"/>
      <c r="P17617" s="24"/>
      <c r="Q17617" s="24"/>
      <c r="R17617" s="24"/>
      <c r="S17617" s="24"/>
      <c r="T17617" s="24"/>
      <c r="U17617" s="24"/>
      <c r="V17617" s="24"/>
      <c r="W17617" s="24"/>
      <c r="X17617" s="24"/>
      <c r="Y17617" s="24"/>
      <c r="Z17617" s="24"/>
      <c r="AA17617" s="24"/>
    </row>
    <row r="17618">
      <c r="A17618" s="24"/>
      <c r="B17618" s="25"/>
      <c r="C17618" s="24"/>
      <c r="D17618" s="26"/>
      <c r="E17618" s="24"/>
      <c r="F17618" s="24"/>
      <c r="G17618" s="24"/>
      <c r="H17618" s="24"/>
      <c r="I17618" s="24"/>
      <c r="J17618" s="24"/>
      <c r="K17618" s="24"/>
      <c r="L17618" s="24"/>
      <c r="M17618" s="24"/>
      <c r="N17618" s="24"/>
      <c r="O17618" s="24"/>
      <c r="P17618" s="24"/>
      <c r="Q17618" s="24"/>
      <c r="R17618" s="24"/>
      <c r="S17618" s="24"/>
      <c r="T17618" s="24"/>
      <c r="U17618" s="24"/>
      <c r="V17618" s="24"/>
      <c r="W17618" s="24"/>
      <c r="X17618" s="24"/>
      <c r="Y17618" s="24"/>
      <c r="Z17618" s="24"/>
      <c r="AA17618" s="24"/>
    </row>
    <row r="17619">
      <c r="A17619" s="24"/>
      <c r="B17619" s="25"/>
      <c r="C17619" s="24"/>
      <c r="D17619" s="26"/>
      <c r="E17619" s="24"/>
      <c r="F17619" s="24"/>
      <c r="G17619" s="24"/>
      <c r="H17619" s="24"/>
      <c r="I17619" s="24"/>
      <c r="J17619" s="24"/>
      <c r="K17619" s="24"/>
      <c r="L17619" s="24"/>
      <c r="M17619" s="24"/>
      <c r="N17619" s="24"/>
      <c r="O17619" s="24"/>
      <c r="P17619" s="24"/>
      <c r="Q17619" s="24"/>
      <c r="R17619" s="24"/>
      <c r="S17619" s="24"/>
      <c r="T17619" s="24"/>
      <c r="U17619" s="24"/>
      <c r="V17619" s="24"/>
      <c r="W17619" s="24"/>
      <c r="X17619" s="24"/>
      <c r="Y17619" s="24"/>
      <c r="Z17619" s="24"/>
      <c r="AA17619" s="24"/>
    </row>
    <row r="17620">
      <c r="A17620" s="24"/>
      <c r="B17620" s="25"/>
      <c r="C17620" s="24"/>
      <c r="D17620" s="26"/>
      <c r="E17620" s="24"/>
      <c r="F17620" s="24"/>
      <c r="G17620" s="24"/>
      <c r="H17620" s="24"/>
      <c r="I17620" s="24"/>
      <c r="J17620" s="24"/>
      <c r="K17620" s="24"/>
      <c r="L17620" s="24"/>
      <c r="M17620" s="24"/>
      <c r="N17620" s="24"/>
      <c r="O17620" s="24"/>
      <c r="P17620" s="24"/>
      <c r="Q17620" s="24"/>
      <c r="R17620" s="24"/>
      <c r="S17620" s="24"/>
      <c r="T17620" s="24"/>
      <c r="U17620" s="24"/>
      <c r="V17620" s="24"/>
      <c r="W17620" s="24"/>
      <c r="X17620" s="24"/>
      <c r="Y17620" s="24"/>
      <c r="Z17620" s="24"/>
      <c r="AA17620" s="24"/>
    </row>
    <row r="17621">
      <c r="A17621" s="24"/>
      <c r="B17621" s="25"/>
      <c r="C17621" s="24"/>
      <c r="D17621" s="26"/>
      <c r="E17621" s="24"/>
      <c r="F17621" s="24"/>
      <c r="G17621" s="24"/>
      <c r="H17621" s="24"/>
      <c r="I17621" s="24"/>
      <c r="J17621" s="24"/>
      <c r="K17621" s="24"/>
      <c r="L17621" s="24"/>
      <c r="M17621" s="24"/>
      <c r="N17621" s="24"/>
      <c r="O17621" s="24"/>
      <c r="P17621" s="24"/>
      <c r="Q17621" s="24"/>
      <c r="R17621" s="24"/>
      <c r="S17621" s="24"/>
      <c r="T17621" s="24"/>
      <c r="U17621" s="24"/>
      <c r="V17621" s="24"/>
      <c r="W17621" s="24"/>
      <c r="X17621" s="24"/>
      <c r="Y17621" s="24"/>
      <c r="Z17621" s="24"/>
      <c r="AA17621" s="24"/>
    </row>
    <row r="17622">
      <c r="A17622" s="24"/>
      <c r="B17622" s="25"/>
      <c r="C17622" s="24"/>
      <c r="D17622" s="26"/>
      <c r="E17622" s="24"/>
      <c r="F17622" s="24"/>
      <c r="G17622" s="24"/>
      <c r="H17622" s="24"/>
      <c r="I17622" s="24"/>
      <c r="J17622" s="24"/>
      <c r="K17622" s="24"/>
      <c r="L17622" s="24"/>
      <c r="M17622" s="24"/>
      <c r="N17622" s="24"/>
      <c r="O17622" s="24"/>
      <c r="P17622" s="24"/>
      <c r="Q17622" s="24"/>
      <c r="R17622" s="24"/>
      <c r="S17622" s="24"/>
      <c r="T17622" s="24"/>
      <c r="U17622" s="24"/>
      <c r="V17622" s="24"/>
      <c r="W17622" s="24"/>
      <c r="X17622" s="24"/>
      <c r="Y17622" s="24"/>
      <c r="Z17622" s="24"/>
      <c r="AA17622" s="24"/>
    </row>
    <row r="17623">
      <c r="A17623" s="24"/>
      <c r="B17623" s="25"/>
      <c r="C17623" s="24"/>
      <c r="D17623" s="26"/>
      <c r="E17623" s="24"/>
      <c r="F17623" s="24"/>
      <c r="G17623" s="24"/>
      <c r="H17623" s="24"/>
      <c r="I17623" s="24"/>
      <c r="J17623" s="24"/>
      <c r="K17623" s="24"/>
      <c r="L17623" s="24"/>
      <c r="M17623" s="24"/>
      <c r="N17623" s="24"/>
      <c r="O17623" s="24"/>
      <c r="P17623" s="24"/>
      <c r="Q17623" s="24"/>
      <c r="R17623" s="24"/>
      <c r="S17623" s="24"/>
      <c r="T17623" s="24"/>
      <c r="U17623" s="24"/>
      <c r="V17623" s="24"/>
      <c r="W17623" s="24"/>
      <c r="X17623" s="24"/>
      <c r="Y17623" s="24"/>
      <c r="Z17623" s="24"/>
      <c r="AA17623" s="24"/>
    </row>
    <row r="17624">
      <c r="A17624" s="24"/>
      <c r="B17624" s="25"/>
      <c r="C17624" s="24"/>
      <c r="D17624" s="26"/>
      <c r="E17624" s="24"/>
      <c r="F17624" s="24"/>
      <c r="G17624" s="24"/>
      <c r="H17624" s="24"/>
      <c r="I17624" s="24"/>
      <c r="J17624" s="24"/>
      <c r="K17624" s="24"/>
      <c r="L17624" s="24"/>
      <c r="M17624" s="24"/>
      <c r="N17624" s="24"/>
      <c r="O17624" s="24"/>
      <c r="P17624" s="24"/>
      <c r="Q17624" s="24"/>
      <c r="R17624" s="24"/>
      <c r="S17624" s="24"/>
      <c r="T17624" s="24"/>
      <c r="U17624" s="24"/>
      <c r="V17624" s="24"/>
      <c r="W17624" s="24"/>
      <c r="X17624" s="24"/>
      <c r="Y17624" s="24"/>
      <c r="Z17624" s="24"/>
      <c r="AA17624" s="24"/>
    </row>
    <row r="17625">
      <c r="A17625" s="24"/>
      <c r="B17625" s="25"/>
      <c r="C17625" s="24"/>
      <c r="D17625" s="26"/>
      <c r="E17625" s="24"/>
      <c r="F17625" s="24"/>
      <c r="G17625" s="24"/>
      <c r="H17625" s="24"/>
      <c r="I17625" s="24"/>
      <c r="J17625" s="24"/>
      <c r="K17625" s="24"/>
      <c r="L17625" s="24"/>
      <c r="M17625" s="24"/>
      <c r="N17625" s="24"/>
      <c r="O17625" s="24"/>
      <c r="P17625" s="24"/>
      <c r="Q17625" s="24"/>
      <c r="R17625" s="24"/>
      <c r="S17625" s="24"/>
      <c r="T17625" s="24"/>
      <c r="U17625" s="24"/>
      <c r="V17625" s="24"/>
      <c r="W17625" s="24"/>
      <c r="X17625" s="24"/>
      <c r="Y17625" s="24"/>
      <c r="Z17625" s="24"/>
      <c r="AA17625" s="24"/>
    </row>
    <row r="17626">
      <c r="A17626" s="24"/>
      <c r="B17626" s="25"/>
      <c r="C17626" s="24"/>
      <c r="D17626" s="26"/>
      <c r="E17626" s="24"/>
      <c r="F17626" s="24"/>
      <c r="G17626" s="24"/>
      <c r="H17626" s="24"/>
      <c r="I17626" s="24"/>
      <c r="J17626" s="24"/>
      <c r="K17626" s="24"/>
      <c r="L17626" s="24"/>
      <c r="M17626" s="24"/>
      <c r="N17626" s="24"/>
      <c r="O17626" s="24"/>
      <c r="P17626" s="24"/>
      <c r="Q17626" s="24"/>
      <c r="R17626" s="24"/>
      <c r="S17626" s="24"/>
      <c r="T17626" s="24"/>
      <c r="U17626" s="24"/>
      <c r="V17626" s="24"/>
      <c r="W17626" s="24"/>
      <c r="X17626" s="24"/>
      <c r="Y17626" s="24"/>
      <c r="Z17626" s="24"/>
      <c r="AA17626" s="24"/>
    </row>
    <row r="17627">
      <c r="A17627" s="24"/>
      <c r="B17627" s="25"/>
      <c r="C17627" s="24"/>
      <c r="D17627" s="26"/>
      <c r="E17627" s="24"/>
      <c r="F17627" s="24"/>
      <c r="G17627" s="24"/>
      <c r="H17627" s="24"/>
      <c r="I17627" s="24"/>
      <c r="J17627" s="24"/>
      <c r="K17627" s="24"/>
      <c r="L17627" s="24"/>
      <c r="M17627" s="24"/>
      <c r="N17627" s="24"/>
      <c r="O17627" s="24"/>
      <c r="P17627" s="24"/>
      <c r="Q17627" s="24"/>
      <c r="R17627" s="24"/>
      <c r="S17627" s="24"/>
      <c r="T17627" s="24"/>
      <c r="U17627" s="24"/>
      <c r="V17627" s="24"/>
      <c r="W17627" s="24"/>
      <c r="X17627" s="24"/>
      <c r="Y17627" s="24"/>
      <c r="Z17627" s="24"/>
      <c r="AA17627" s="24"/>
    </row>
    <row r="17628">
      <c r="A17628" s="24"/>
      <c r="B17628" s="25"/>
      <c r="C17628" s="24"/>
      <c r="D17628" s="26"/>
      <c r="E17628" s="24"/>
      <c r="F17628" s="24"/>
      <c r="G17628" s="24"/>
      <c r="H17628" s="24"/>
      <c r="I17628" s="24"/>
      <c r="J17628" s="24"/>
      <c r="K17628" s="24"/>
      <c r="L17628" s="24"/>
      <c r="M17628" s="24"/>
      <c r="N17628" s="24"/>
      <c r="O17628" s="24"/>
      <c r="P17628" s="24"/>
      <c r="Q17628" s="24"/>
      <c r="R17628" s="24"/>
      <c r="S17628" s="24"/>
      <c r="T17628" s="24"/>
      <c r="U17628" s="24"/>
      <c r="V17628" s="24"/>
      <c r="W17628" s="24"/>
      <c r="X17628" s="24"/>
      <c r="Y17628" s="24"/>
      <c r="Z17628" s="24"/>
      <c r="AA17628" s="24"/>
    </row>
    <row r="17629">
      <c r="A17629" s="24"/>
      <c r="B17629" s="25"/>
      <c r="C17629" s="24"/>
      <c r="D17629" s="26"/>
      <c r="E17629" s="24"/>
      <c r="F17629" s="24"/>
      <c r="G17629" s="24"/>
      <c r="H17629" s="24"/>
      <c r="I17629" s="24"/>
      <c r="J17629" s="24"/>
      <c r="K17629" s="24"/>
      <c r="L17629" s="24"/>
      <c r="M17629" s="24"/>
      <c r="N17629" s="24"/>
      <c r="O17629" s="24"/>
      <c r="P17629" s="24"/>
      <c r="Q17629" s="24"/>
      <c r="R17629" s="24"/>
      <c r="S17629" s="24"/>
      <c r="T17629" s="24"/>
      <c r="U17629" s="24"/>
      <c r="V17629" s="24"/>
      <c r="W17629" s="24"/>
      <c r="X17629" s="24"/>
      <c r="Y17629" s="24"/>
      <c r="Z17629" s="24"/>
      <c r="AA17629" s="24"/>
    </row>
    <row r="17630">
      <c r="A17630" s="24"/>
      <c r="B17630" s="25"/>
      <c r="C17630" s="24"/>
      <c r="D17630" s="26"/>
      <c r="E17630" s="24"/>
      <c r="F17630" s="24"/>
      <c r="G17630" s="24"/>
      <c r="H17630" s="24"/>
      <c r="I17630" s="24"/>
      <c r="J17630" s="24"/>
      <c r="K17630" s="24"/>
      <c r="L17630" s="24"/>
      <c r="M17630" s="24"/>
      <c r="N17630" s="24"/>
      <c r="O17630" s="24"/>
      <c r="P17630" s="24"/>
      <c r="Q17630" s="24"/>
      <c r="R17630" s="24"/>
      <c r="S17630" s="24"/>
      <c r="T17630" s="24"/>
      <c r="U17630" s="24"/>
      <c r="V17630" s="24"/>
      <c r="W17630" s="24"/>
      <c r="X17630" s="24"/>
      <c r="Y17630" s="24"/>
      <c r="Z17630" s="24"/>
      <c r="AA17630" s="24"/>
    </row>
    <row r="17631">
      <c r="A17631" s="24"/>
      <c r="B17631" s="25"/>
      <c r="C17631" s="24"/>
      <c r="D17631" s="26"/>
      <c r="E17631" s="24"/>
      <c r="F17631" s="24"/>
      <c r="G17631" s="24"/>
      <c r="H17631" s="24"/>
      <c r="I17631" s="24"/>
      <c r="J17631" s="24"/>
      <c r="K17631" s="24"/>
      <c r="L17631" s="24"/>
      <c r="M17631" s="24"/>
      <c r="N17631" s="24"/>
      <c r="O17631" s="24"/>
      <c r="P17631" s="24"/>
      <c r="Q17631" s="24"/>
      <c r="R17631" s="24"/>
      <c r="S17631" s="24"/>
      <c r="T17631" s="24"/>
      <c r="U17631" s="24"/>
      <c r="V17631" s="24"/>
      <c r="W17631" s="24"/>
      <c r="X17631" s="24"/>
      <c r="Y17631" s="24"/>
      <c r="Z17631" s="24"/>
      <c r="AA17631" s="24"/>
    </row>
    <row r="17632">
      <c r="A17632" s="24"/>
      <c r="B17632" s="25"/>
      <c r="C17632" s="24"/>
      <c r="D17632" s="26"/>
      <c r="E17632" s="24"/>
      <c r="F17632" s="24"/>
      <c r="G17632" s="24"/>
      <c r="H17632" s="24"/>
      <c r="I17632" s="24"/>
      <c r="J17632" s="24"/>
      <c r="K17632" s="24"/>
      <c r="L17632" s="24"/>
      <c r="M17632" s="24"/>
      <c r="N17632" s="24"/>
      <c r="O17632" s="24"/>
      <c r="P17632" s="24"/>
      <c r="Q17632" s="24"/>
      <c r="R17632" s="24"/>
      <c r="S17632" s="24"/>
      <c r="T17632" s="24"/>
      <c r="U17632" s="24"/>
      <c r="V17632" s="24"/>
      <c r="W17632" s="24"/>
      <c r="X17632" s="24"/>
      <c r="Y17632" s="24"/>
      <c r="Z17632" s="24"/>
      <c r="AA17632" s="24"/>
    </row>
    <row r="17633">
      <c r="A17633" s="24"/>
      <c r="B17633" s="25"/>
      <c r="C17633" s="24"/>
      <c r="D17633" s="26"/>
      <c r="E17633" s="24"/>
      <c r="F17633" s="24"/>
      <c r="G17633" s="24"/>
      <c r="H17633" s="24"/>
      <c r="I17633" s="24"/>
      <c r="J17633" s="24"/>
      <c r="K17633" s="24"/>
      <c r="L17633" s="24"/>
      <c r="M17633" s="24"/>
      <c r="N17633" s="24"/>
      <c r="O17633" s="24"/>
      <c r="P17633" s="24"/>
      <c r="Q17633" s="24"/>
      <c r="R17633" s="24"/>
      <c r="S17633" s="24"/>
      <c r="T17633" s="24"/>
      <c r="U17633" s="24"/>
      <c r="V17633" s="24"/>
      <c r="W17633" s="24"/>
      <c r="X17633" s="24"/>
      <c r="Y17633" s="24"/>
      <c r="Z17633" s="24"/>
      <c r="AA17633" s="24"/>
    </row>
    <row r="17634">
      <c r="A17634" s="24"/>
      <c r="B17634" s="25"/>
      <c r="C17634" s="24"/>
      <c r="D17634" s="26"/>
      <c r="E17634" s="24"/>
      <c r="F17634" s="24"/>
      <c r="G17634" s="24"/>
      <c r="H17634" s="24"/>
      <c r="I17634" s="24"/>
      <c r="J17634" s="24"/>
      <c r="K17634" s="24"/>
      <c r="L17634" s="24"/>
      <c r="M17634" s="24"/>
      <c r="N17634" s="24"/>
      <c r="O17634" s="24"/>
      <c r="P17634" s="24"/>
      <c r="Q17634" s="24"/>
      <c r="R17634" s="24"/>
      <c r="S17634" s="24"/>
      <c r="T17634" s="24"/>
      <c r="U17634" s="24"/>
      <c r="V17634" s="24"/>
      <c r="W17634" s="24"/>
      <c r="X17634" s="24"/>
      <c r="Y17634" s="24"/>
      <c r="Z17634" s="24"/>
      <c r="AA17634" s="24"/>
    </row>
    <row r="17635">
      <c r="A17635" s="24"/>
      <c r="B17635" s="25"/>
      <c r="C17635" s="24"/>
      <c r="D17635" s="26"/>
      <c r="E17635" s="24"/>
      <c r="F17635" s="24"/>
      <c r="G17635" s="24"/>
      <c r="H17635" s="24"/>
      <c r="I17635" s="24"/>
      <c r="J17635" s="24"/>
      <c r="K17635" s="24"/>
      <c r="L17635" s="24"/>
      <c r="M17635" s="24"/>
      <c r="N17635" s="24"/>
      <c r="O17635" s="24"/>
      <c r="P17635" s="24"/>
      <c r="Q17635" s="24"/>
      <c r="R17635" s="24"/>
      <c r="S17635" s="24"/>
      <c r="T17635" s="24"/>
      <c r="U17635" s="24"/>
      <c r="V17635" s="24"/>
      <c r="W17635" s="24"/>
      <c r="X17635" s="24"/>
      <c r="Y17635" s="24"/>
      <c r="Z17635" s="24"/>
      <c r="AA17635" s="24"/>
    </row>
    <row r="17636">
      <c r="A17636" s="24"/>
      <c r="B17636" s="25"/>
      <c r="C17636" s="24"/>
      <c r="D17636" s="26"/>
      <c r="E17636" s="24"/>
      <c r="F17636" s="24"/>
      <c r="G17636" s="24"/>
      <c r="H17636" s="24"/>
      <c r="I17636" s="24"/>
      <c r="J17636" s="24"/>
      <c r="K17636" s="24"/>
      <c r="L17636" s="24"/>
      <c r="M17636" s="24"/>
      <c r="N17636" s="24"/>
      <c r="O17636" s="24"/>
      <c r="P17636" s="24"/>
      <c r="Q17636" s="24"/>
      <c r="R17636" s="24"/>
      <c r="S17636" s="24"/>
      <c r="T17636" s="24"/>
      <c r="U17636" s="24"/>
      <c r="V17636" s="24"/>
      <c r="W17636" s="24"/>
      <c r="X17636" s="24"/>
      <c r="Y17636" s="24"/>
      <c r="Z17636" s="24"/>
      <c r="AA17636" s="24"/>
    </row>
    <row r="17637">
      <c r="A17637" s="24"/>
      <c r="B17637" s="25"/>
      <c r="C17637" s="24"/>
      <c r="D17637" s="26"/>
      <c r="E17637" s="24"/>
      <c r="F17637" s="24"/>
      <c r="G17637" s="24"/>
      <c r="H17637" s="24"/>
      <c r="I17637" s="24"/>
      <c r="J17637" s="24"/>
      <c r="K17637" s="24"/>
      <c r="L17637" s="24"/>
      <c r="M17637" s="24"/>
      <c r="N17637" s="24"/>
      <c r="O17637" s="24"/>
      <c r="P17637" s="24"/>
      <c r="Q17637" s="24"/>
      <c r="R17637" s="24"/>
      <c r="S17637" s="24"/>
      <c r="T17637" s="24"/>
      <c r="U17637" s="24"/>
      <c r="V17637" s="24"/>
      <c r="W17637" s="24"/>
      <c r="X17637" s="24"/>
      <c r="Y17637" s="24"/>
      <c r="Z17637" s="24"/>
      <c r="AA17637" s="24"/>
    </row>
    <row r="17638">
      <c r="A17638" s="24"/>
      <c r="B17638" s="25"/>
      <c r="C17638" s="24"/>
      <c r="D17638" s="26"/>
      <c r="E17638" s="24"/>
      <c r="F17638" s="24"/>
      <c r="G17638" s="24"/>
      <c r="H17638" s="24"/>
      <c r="I17638" s="24"/>
      <c r="J17638" s="24"/>
      <c r="K17638" s="24"/>
      <c r="L17638" s="24"/>
      <c r="M17638" s="24"/>
      <c r="N17638" s="24"/>
      <c r="O17638" s="24"/>
      <c r="P17638" s="24"/>
      <c r="Q17638" s="24"/>
      <c r="R17638" s="24"/>
      <c r="S17638" s="24"/>
      <c r="T17638" s="24"/>
      <c r="U17638" s="24"/>
      <c r="V17638" s="24"/>
      <c r="W17638" s="24"/>
      <c r="X17638" s="24"/>
      <c r="Y17638" s="24"/>
      <c r="Z17638" s="24"/>
      <c r="AA17638" s="24"/>
    </row>
    <row r="17639">
      <c r="A17639" s="24"/>
      <c r="B17639" s="25"/>
      <c r="C17639" s="24"/>
      <c r="D17639" s="26"/>
      <c r="E17639" s="24"/>
      <c r="F17639" s="24"/>
      <c r="G17639" s="24"/>
      <c r="H17639" s="24"/>
      <c r="I17639" s="24"/>
      <c r="J17639" s="24"/>
      <c r="K17639" s="24"/>
      <c r="L17639" s="24"/>
      <c r="M17639" s="24"/>
      <c r="N17639" s="24"/>
      <c r="O17639" s="24"/>
      <c r="P17639" s="24"/>
      <c r="Q17639" s="24"/>
      <c r="R17639" s="24"/>
      <c r="S17639" s="24"/>
      <c r="T17639" s="24"/>
      <c r="U17639" s="24"/>
      <c r="V17639" s="24"/>
      <c r="W17639" s="24"/>
      <c r="X17639" s="24"/>
      <c r="Y17639" s="24"/>
      <c r="Z17639" s="24"/>
      <c r="AA17639" s="24"/>
    </row>
    <row r="17640">
      <c r="A17640" s="24"/>
      <c r="B17640" s="25"/>
      <c r="C17640" s="24"/>
      <c r="D17640" s="26"/>
      <c r="E17640" s="24"/>
      <c r="F17640" s="24"/>
      <c r="G17640" s="24"/>
      <c r="H17640" s="24"/>
      <c r="I17640" s="24"/>
      <c r="J17640" s="24"/>
      <c r="K17640" s="24"/>
      <c r="L17640" s="24"/>
      <c r="M17640" s="24"/>
      <c r="N17640" s="24"/>
      <c r="O17640" s="24"/>
      <c r="P17640" s="24"/>
      <c r="Q17640" s="24"/>
      <c r="R17640" s="24"/>
      <c r="S17640" s="24"/>
      <c r="T17640" s="24"/>
      <c r="U17640" s="24"/>
      <c r="V17640" s="24"/>
      <c r="W17640" s="24"/>
      <c r="X17640" s="24"/>
      <c r="Y17640" s="24"/>
      <c r="Z17640" s="24"/>
      <c r="AA17640" s="24"/>
    </row>
    <row r="17641">
      <c r="A17641" s="24"/>
      <c r="B17641" s="25"/>
      <c r="C17641" s="24"/>
      <c r="D17641" s="26"/>
      <c r="E17641" s="24"/>
      <c r="F17641" s="24"/>
      <c r="G17641" s="24"/>
      <c r="H17641" s="24"/>
      <c r="I17641" s="24"/>
      <c r="J17641" s="24"/>
      <c r="K17641" s="24"/>
      <c r="L17641" s="24"/>
      <c r="M17641" s="24"/>
      <c r="N17641" s="24"/>
      <c r="O17641" s="24"/>
      <c r="P17641" s="24"/>
      <c r="Q17641" s="24"/>
      <c r="R17641" s="24"/>
      <c r="S17641" s="24"/>
      <c r="T17641" s="24"/>
      <c r="U17641" s="24"/>
      <c r="V17641" s="24"/>
      <c r="W17641" s="24"/>
      <c r="X17641" s="24"/>
      <c r="Y17641" s="24"/>
      <c r="Z17641" s="24"/>
      <c r="AA17641" s="24"/>
    </row>
    <row r="17642">
      <c r="A17642" s="24"/>
      <c r="B17642" s="25"/>
      <c r="C17642" s="24"/>
      <c r="D17642" s="26"/>
      <c r="E17642" s="24"/>
      <c r="F17642" s="24"/>
      <c r="G17642" s="24"/>
      <c r="H17642" s="24"/>
      <c r="I17642" s="24"/>
      <c r="J17642" s="24"/>
      <c r="K17642" s="24"/>
      <c r="L17642" s="24"/>
      <c r="M17642" s="24"/>
      <c r="N17642" s="24"/>
      <c r="O17642" s="24"/>
      <c r="P17642" s="24"/>
      <c r="Q17642" s="24"/>
      <c r="R17642" s="24"/>
      <c r="S17642" s="24"/>
      <c r="T17642" s="24"/>
      <c r="U17642" s="24"/>
      <c r="V17642" s="24"/>
      <c r="W17642" s="24"/>
      <c r="X17642" s="24"/>
      <c r="Y17642" s="24"/>
      <c r="Z17642" s="24"/>
      <c r="AA17642" s="24"/>
    </row>
    <row r="17643">
      <c r="A17643" s="24"/>
      <c r="B17643" s="25"/>
      <c r="C17643" s="24"/>
      <c r="D17643" s="26"/>
      <c r="E17643" s="24"/>
      <c r="F17643" s="24"/>
      <c r="G17643" s="24"/>
      <c r="H17643" s="24"/>
      <c r="I17643" s="24"/>
      <c r="J17643" s="24"/>
      <c r="K17643" s="24"/>
      <c r="L17643" s="24"/>
      <c r="M17643" s="24"/>
      <c r="N17643" s="24"/>
      <c r="O17643" s="24"/>
      <c r="P17643" s="24"/>
      <c r="Q17643" s="24"/>
      <c r="R17643" s="24"/>
      <c r="S17643" s="24"/>
      <c r="T17643" s="24"/>
      <c r="U17643" s="24"/>
      <c r="V17643" s="24"/>
      <c r="W17643" s="24"/>
      <c r="X17643" s="24"/>
      <c r="Y17643" s="24"/>
      <c r="Z17643" s="24"/>
      <c r="AA17643" s="24"/>
    </row>
    <row r="17644">
      <c r="A17644" s="24"/>
      <c r="B17644" s="25"/>
      <c r="C17644" s="24"/>
      <c r="D17644" s="26"/>
      <c r="E17644" s="24"/>
      <c r="F17644" s="24"/>
      <c r="G17644" s="24"/>
      <c r="H17644" s="24"/>
      <c r="I17644" s="24"/>
      <c r="J17644" s="24"/>
      <c r="K17644" s="24"/>
      <c r="L17644" s="24"/>
      <c r="M17644" s="24"/>
      <c r="N17644" s="24"/>
      <c r="O17644" s="24"/>
      <c r="P17644" s="24"/>
      <c r="Q17644" s="24"/>
      <c r="R17644" s="24"/>
      <c r="S17644" s="24"/>
      <c r="T17644" s="24"/>
      <c r="U17644" s="24"/>
      <c r="V17644" s="24"/>
      <c r="W17644" s="24"/>
      <c r="X17644" s="24"/>
      <c r="Y17644" s="24"/>
      <c r="Z17644" s="24"/>
      <c r="AA17644" s="24"/>
    </row>
    <row r="17645">
      <c r="A17645" s="24"/>
      <c r="B17645" s="25"/>
      <c r="C17645" s="24"/>
      <c r="D17645" s="26"/>
      <c r="E17645" s="24"/>
      <c r="F17645" s="24"/>
      <c r="G17645" s="24"/>
      <c r="H17645" s="24"/>
      <c r="I17645" s="24"/>
      <c r="J17645" s="24"/>
      <c r="K17645" s="24"/>
      <c r="L17645" s="24"/>
      <c r="M17645" s="24"/>
      <c r="N17645" s="24"/>
      <c r="O17645" s="24"/>
      <c r="P17645" s="24"/>
      <c r="Q17645" s="24"/>
      <c r="R17645" s="24"/>
      <c r="S17645" s="24"/>
      <c r="T17645" s="24"/>
      <c r="U17645" s="24"/>
      <c r="V17645" s="24"/>
      <c r="W17645" s="24"/>
      <c r="X17645" s="24"/>
      <c r="Y17645" s="24"/>
      <c r="Z17645" s="24"/>
      <c r="AA17645" s="24"/>
    </row>
    <row r="17646">
      <c r="A17646" s="24"/>
      <c r="B17646" s="25"/>
      <c r="C17646" s="24"/>
      <c r="D17646" s="26"/>
      <c r="E17646" s="24"/>
      <c r="F17646" s="24"/>
      <c r="G17646" s="24"/>
      <c r="H17646" s="24"/>
      <c r="I17646" s="24"/>
      <c r="J17646" s="24"/>
      <c r="K17646" s="24"/>
      <c r="L17646" s="24"/>
      <c r="M17646" s="24"/>
      <c r="N17646" s="24"/>
      <c r="O17646" s="24"/>
      <c r="P17646" s="24"/>
      <c r="Q17646" s="24"/>
      <c r="R17646" s="24"/>
      <c r="S17646" s="24"/>
      <c r="T17646" s="24"/>
      <c r="U17646" s="24"/>
      <c r="V17646" s="24"/>
      <c r="W17646" s="24"/>
      <c r="X17646" s="24"/>
      <c r="Y17646" s="24"/>
      <c r="Z17646" s="24"/>
      <c r="AA17646" s="24"/>
    </row>
    <row r="17647">
      <c r="A17647" s="24"/>
      <c r="B17647" s="25"/>
      <c r="C17647" s="24"/>
      <c r="D17647" s="26"/>
      <c r="E17647" s="24"/>
      <c r="F17647" s="24"/>
      <c r="G17647" s="24"/>
      <c r="H17647" s="24"/>
      <c r="I17647" s="24"/>
      <c r="J17647" s="24"/>
      <c r="K17647" s="24"/>
      <c r="L17647" s="24"/>
      <c r="M17647" s="24"/>
      <c r="N17647" s="24"/>
      <c r="O17647" s="24"/>
      <c r="P17647" s="24"/>
      <c r="Q17647" s="24"/>
      <c r="R17647" s="24"/>
      <c r="S17647" s="24"/>
      <c r="T17647" s="24"/>
      <c r="U17647" s="24"/>
      <c r="V17647" s="24"/>
      <c r="W17647" s="24"/>
      <c r="X17647" s="24"/>
      <c r="Y17647" s="24"/>
      <c r="Z17647" s="24"/>
      <c r="AA17647" s="24"/>
    </row>
    <row r="17648">
      <c r="A17648" s="24"/>
      <c r="B17648" s="25"/>
      <c r="C17648" s="24"/>
      <c r="D17648" s="26"/>
      <c r="E17648" s="24"/>
      <c r="F17648" s="24"/>
      <c r="G17648" s="24"/>
      <c r="H17648" s="24"/>
      <c r="I17648" s="24"/>
      <c r="J17648" s="24"/>
      <c r="K17648" s="24"/>
      <c r="L17648" s="24"/>
      <c r="M17648" s="24"/>
      <c r="N17648" s="24"/>
      <c r="O17648" s="24"/>
      <c r="P17648" s="24"/>
      <c r="Q17648" s="24"/>
      <c r="R17648" s="24"/>
      <c r="S17648" s="24"/>
      <c r="T17648" s="24"/>
      <c r="U17648" s="24"/>
      <c r="V17648" s="24"/>
      <c r="W17648" s="24"/>
      <c r="X17648" s="24"/>
      <c r="Y17648" s="24"/>
      <c r="Z17648" s="24"/>
      <c r="AA17648" s="24"/>
    </row>
    <row r="17649">
      <c r="A17649" s="24"/>
      <c r="B17649" s="25"/>
      <c r="C17649" s="24"/>
      <c r="D17649" s="26"/>
      <c r="E17649" s="24"/>
      <c r="F17649" s="24"/>
      <c r="G17649" s="24"/>
      <c r="H17649" s="24"/>
      <c r="I17649" s="24"/>
      <c r="J17649" s="24"/>
      <c r="K17649" s="24"/>
      <c r="L17649" s="24"/>
      <c r="M17649" s="24"/>
      <c r="N17649" s="24"/>
      <c r="O17649" s="24"/>
      <c r="P17649" s="24"/>
      <c r="Q17649" s="24"/>
      <c r="R17649" s="24"/>
      <c r="S17649" s="24"/>
      <c r="T17649" s="24"/>
      <c r="U17649" s="24"/>
      <c r="V17649" s="24"/>
      <c r="W17649" s="24"/>
      <c r="X17649" s="24"/>
      <c r="Y17649" s="24"/>
      <c r="Z17649" s="24"/>
      <c r="AA17649" s="24"/>
    </row>
    <row r="17650">
      <c r="A17650" s="24"/>
      <c r="B17650" s="25"/>
      <c r="C17650" s="24"/>
      <c r="D17650" s="26"/>
      <c r="E17650" s="24"/>
      <c r="F17650" s="24"/>
      <c r="G17650" s="24"/>
      <c r="H17650" s="24"/>
      <c r="I17650" s="24"/>
      <c r="J17650" s="24"/>
      <c r="K17650" s="24"/>
      <c r="L17650" s="24"/>
      <c r="M17650" s="24"/>
      <c r="N17650" s="24"/>
      <c r="O17650" s="24"/>
      <c r="P17650" s="24"/>
      <c r="Q17650" s="24"/>
      <c r="R17650" s="24"/>
      <c r="S17650" s="24"/>
      <c r="T17650" s="24"/>
      <c r="U17650" s="24"/>
      <c r="V17650" s="24"/>
      <c r="W17650" s="24"/>
      <c r="X17650" s="24"/>
      <c r="Y17650" s="24"/>
      <c r="Z17650" s="24"/>
      <c r="AA17650" s="24"/>
    </row>
    <row r="17651">
      <c r="A17651" s="24"/>
      <c r="B17651" s="25"/>
      <c r="C17651" s="24"/>
      <c r="D17651" s="26"/>
      <c r="E17651" s="24"/>
      <c r="F17651" s="24"/>
      <c r="G17651" s="24"/>
      <c r="H17651" s="24"/>
      <c r="I17651" s="24"/>
      <c r="J17651" s="24"/>
      <c r="K17651" s="24"/>
      <c r="L17651" s="24"/>
      <c r="M17651" s="24"/>
      <c r="N17651" s="24"/>
      <c r="O17651" s="24"/>
      <c r="P17651" s="24"/>
      <c r="Q17651" s="24"/>
      <c r="R17651" s="24"/>
      <c r="S17651" s="24"/>
      <c r="T17651" s="24"/>
      <c r="U17651" s="24"/>
      <c r="V17651" s="24"/>
      <c r="W17651" s="24"/>
      <c r="X17651" s="24"/>
      <c r="Y17651" s="24"/>
      <c r="Z17651" s="24"/>
      <c r="AA17651" s="24"/>
    </row>
    <row r="17652">
      <c r="A17652" s="24"/>
      <c r="B17652" s="25"/>
      <c r="C17652" s="24"/>
      <c r="D17652" s="26"/>
      <c r="E17652" s="24"/>
      <c r="F17652" s="24"/>
      <c r="G17652" s="24"/>
      <c r="H17652" s="24"/>
      <c r="I17652" s="24"/>
      <c r="J17652" s="24"/>
      <c r="K17652" s="24"/>
      <c r="L17652" s="24"/>
      <c r="M17652" s="24"/>
      <c r="N17652" s="24"/>
      <c r="O17652" s="24"/>
      <c r="P17652" s="24"/>
      <c r="Q17652" s="24"/>
      <c r="R17652" s="24"/>
      <c r="S17652" s="24"/>
      <c r="T17652" s="24"/>
      <c r="U17652" s="24"/>
      <c r="V17652" s="24"/>
      <c r="W17652" s="24"/>
      <c r="X17652" s="24"/>
      <c r="Y17652" s="24"/>
      <c r="Z17652" s="24"/>
      <c r="AA17652" s="24"/>
    </row>
    <row r="17653">
      <c r="A17653" s="24"/>
      <c r="B17653" s="25"/>
      <c r="C17653" s="24"/>
      <c r="D17653" s="26"/>
      <c r="E17653" s="24"/>
      <c r="F17653" s="24"/>
      <c r="G17653" s="24"/>
      <c r="H17653" s="24"/>
      <c r="I17653" s="24"/>
      <c r="J17653" s="24"/>
      <c r="K17653" s="24"/>
      <c r="L17653" s="24"/>
      <c r="M17653" s="24"/>
      <c r="N17653" s="24"/>
      <c r="O17653" s="24"/>
      <c r="P17653" s="24"/>
      <c r="Q17653" s="24"/>
      <c r="R17653" s="24"/>
      <c r="S17653" s="24"/>
      <c r="T17653" s="24"/>
      <c r="U17653" s="24"/>
      <c r="V17653" s="24"/>
      <c r="W17653" s="24"/>
      <c r="X17653" s="24"/>
      <c r="Y17653" s="24"/>
      <c r="Z17653" s="24"/>
      <c r="AA17653" s="24"/>
    </row>
    <row r="17654">
      <c r="A17654" s="24"/>
      <c r="B17654" s="25"/>
      <c r="C17654" s="24"/>
      <c r="D17654" s="26"/>
      <c r="E17654" s="24"/>
      <c r="F17654" s="24"/>
      <c r="G17654" s="24"/>
      <c r="H17654" s="24"/>
      <c r="I17654" s="24"/>
      <c r="J17654" s="24"/>
      <c r="K17654" s="24"/>
      <c r="L17654" s="24"/>
      <c r="M17654" s="24"/>
      <c r="N17654" s="24"/>
      <c r="O17654" s="24"/>
      <c r="P17654" s="24"/>
      <c r="Q17654" s="24"/>
      <c r="R17654" s="24"/>
      <c r="S17654" s="24"/>
      <c r="T17654" s="24"/>
      <c r="U17654" s="24"/>
      <c r="V17654" s="24"/>
      <c r="W17654" s="24"/>
      <c r="X17654" s="24"/>
      <c r="Y17654" s="24"/>
      <c r="Z17654" s="24"/>
      <c r="AA17654" s="24"/>
    </row>
    <row r="17655">
      <c r="A17655" s="24"/>
      <c r="B17655" s="25"/>
      <c r="C17655" s="24"/>
      <c r="D17655" s="26"/>
      <c r="E17655" s="24"/>
      <c r="F17655" s="24"/>
      <c r="G17655" s="24"/>
      <c r="H17655" s="24"/>
      <c r="I17655" s="24"/>
      <c r="J17655" s="24"/>
      <c r="K17655" s="24"/>
      <c r="L17655" s="24"/>
      <c r="M17655" s="24"/>
      <c r="N17655" s="24"/>
      <c r="O17655" s="24"/>
      <c r="P17655" s="24"/>
      <c r="Q17655" s="24"/>
      <c r="R17655" s="24"/>
      <c r="S17655" s="24"/>
      <c r="T17655" s="24"/>
      <c r="U17655" s="24"/>
      <c r="V17655" s="24"/>
      <c r="W17655" s="24"/>
      <c r="X17655" s="24"/>
      <c r="Y17655" s="24"/>
      <c r="Z17655" s="24"/>
      <c r="AA17655" s="24"/>
    </row>
    <row r="17656">
      <c r="A17656" s="24"/>
      <c r="B17656" s="25"/>
      <c r="C17656" s="24"/>
      <c r="D17656" s="26"/>
      <c r="E17656" s="24"/>
      <c r="F17656" s="24"/>
      <c r="G17656" s="24"/>
      <c r="H17656" s="24"/>
      <c r="I17656" s="24"/>
      <c r="J17656" s="24"/>
      <c r="K17656" s="24"/>
      <c r="L17656" s="24"/>
      <c r="M17656" s="24"/>
      <c r="N17656" s="24"/>
      <c r="O17656" s="24"/>
      <c r="P17656" s="24"/>
      <c r="Q17656" s="24"/>
      <c r="R17656" s="24"/>
      <c r="S17656" s="24"/>
      <c r="T17656" s="24"/>
      <c r="U17656" s="24"/>
      <c r="V17656" s="24"/>
      <c r="W17656" s="24"/>
      <c r="X17656" s="24"/>
      <c r="Y17656" s="24"/>
      <c r="Z17656" s="24"/>
      <c r="AA17656" s="24"/>
    </row>
    <row r="17657">
      <c r="A17657" s="24"/>
      <c r="B17657" s="25"/>
      <c r="C17657" s="24"/>
      <c r="D17657" s="26"/>
      <c r="E17657" s="24"/>
      <c r="F17657" s="24"/>
      <c r="G17657" s="24"/>
      <c r="H17657" s="24"/>
      <c r="I17657" s="24"/>
      <c r="J17657" s="24"/>
      <c r="K17657" s="24"/>
      <c r="L17657" s="24"/>
      <c r="M17657" s="24"/>
      <c r="N17657" s="24"/>
      <c r="O17657" s="24"/>
      <c r="P17657" s="24"/>
      <c r="Q17657" s="24"/>
      <c r="R17657" s="24"/>
      <c r="S17657" s="24"/>
      <c r="T17657" s="24"/>
      <c r="U17657" s="24"/>
      <c r="V17657" s="24"/>
      <c r="W17657" s="24"/>
      <c r="X17657" s="24"/>
      <c r="Y17657" s="24"/>
      <c r="Z17657" s="24"/>
      <c r="AA17657" s="24"/>
    </row>
    <row r="17658">
      <c r="A17658" s="24"/>
      <c r="B17658" s="25"/>
      <c r="C17658" s="24"/>
      <c r="D17658" s="26"/>
      <c r="E17658" s="24"/>
      <c r="F17658" s="24"/>
      <c r="G17658" s="24"/>
      <c r="H17658" s="24"/>
      <c r="I17658" s="24"/>
      <c r="J17658" s="24"/>
      <c r="K17658" s="24"/>
      <c r="L17658" s="24"/>
      <c r="M17658" s="24"/>
      <c r="N17658" s="24"/>
      <c r="O17658" s="24"/>
      <c r="P17658" s="24"/>
      <c r="Q17658" s="24"/>
      <c r="R17658" s="24"/>
      <c r="S17658" s="24"/>
      <c r="T17658" s="24"/>
      <c r="U17658" s="24"/>
      <c r="V17658" s="24"/>
      <c r="W17658" s="24"/>
      <c r="X17658" s="24"/>
      <c r="Y17658" s="24"/>
      <c r="Z17658" s="24"/>
      <c r="AA17658" s="24"/>
    </row>
    <row r="17659">
      <c r="A17659" s="24"/>
      <c r="B17659" s="25"/>
      <c r="C17659" s="24"/>
      <c r="D17659" s="26"/>
      <c r="E17659" s="24"/>
      <c r="F17659" s="24"/>
      <c r="G17659" s="24"/>
      <c r="H17659" s="24"/>
      <c r="I17659" s="24"/>
      <c r="J17659" s="24"/>
      <c r="K17659" s="24"/>
      <c r="L17659" s="24"/>
      <c r="M17659" s="24"/>
      <c r="N17659" s="24"/>
      <c r="O17659" s="24"/>
      <c r="P17659" s="24"/>
      <c r="Q17659" s="24"/>
      <c r="R17659" s="24"/>
      <c r="S17659" s="24"/>
      <c r="T17659" s="24"/>
      <c r="U17659" s="24"/>
      <c r="V17659" s="24"/>
      <c r="W17659" s="24"/>
      <c r="X17659" s="24"/>
      <c r="Y17659" s="24"/>
      <c r="Z17659" s="24"/>
      <c r="AA17659" s="24"/>
    </row>
    <row r="17660">
      <c r="A17660" s="24"/>
      <c r="B17660" s="25"/>
      <c r="C17660" s="24"/>
      <c r="D17660" s="26"/>
      <c r="E17660" s="24"/>
      <c r="F17660" s="24"/>
      <c r="G17660" s="24"/>
      <c r="H17660" s="24"/>
      <c r="I17660" s="24"/>
      <c r="J17660" s="24"/>
      <c r="K17660" s="24"/>
      <c r="L17660" s="24"/>
      <c r="M17660" s="24"/>
      <c r="N17660" s="24"/>
      <c r="O17660" s="24"/>
      <c r="P17660" s="24"/>
      <c r="Q17660" s="24"/>
      <c r="R17660" s="24"/>
      <c r="S17660" s="24"/>
      <c r="T17660" s="24"/>
      <c r="U17660" s="24"/>
      <c r="V17660" s="24"/>
      <c r="W17660" s="24"/>
      <c r="X17660" s="24"/>
      <c r="Y17660" s="24"/>
      <c r="Z17660" s="24"/>
      <c r="AA17660" s="24"/>
    </row>
    <row r="17661">
      <c r="A17661" s="24"/>
      <c r="B17661" s="25"/>
      <c r="C17661" s="24"/>
      <c r="D17661" s="26"/>
      <c r="E17661" s="24"/>
      <c r="F17661" s="24"/>
      <c r="G17661" s="24"/>
      <c r="H17661" s="24"/>
      <c r="I17661" s="24"/>
      <c r="J17661" s="24"/>
      <c r="K17661" s="24"/>
      <c r="L17661" s="24"/>
      <c r="M17661" s="24"/>
      <c r="N17661" s="24"/>
      <c r="O17661" s="24"/>
      <c r="P17661" s="24"/>
      <c r="Q17661" s="24"/>
      <c r="R17661" s="24"/>
      <c r="S17661" s="24"/>
      <c r="T17661" s="24"/>
      <c r="U17661" s="24"/>
      <c r="V17661" s="24"/>
      <c r="W17661" s="24"/>
      <c r="X17661" s="24"/>
      <c r="Y17661" s="24"/>
      <c r="Z17661" s="24"/>
      <c r="AA17661" s="24"/>
    </row>
    <row r="17662">
      <c r="A17662" s="24"/>
      <c r="B17662" s="25"/>
      <c r="C17662" s="24"/>
      <c r="D17662" s="26"/>
      <c r="E17662" s="24"/>
      <c r="F17662" s="24"/>
      <c r="G17662" s="24"/>
      <c r="H17662" s="24"/>
      <c r="I17662" s="24"/>
      <c r="J17662" s="24"/>
      <c r="K17662" s="24"/>
      <c r="L17662" s="24"/>
      <c r="M17662" s="24"/>
      <c r="N17662" s="24"/>
      <c r="O17662" s="24"/>
      <c r="P17662" s="24"/>
      <c r="Q17662" s="24"/>
      <c r="R17662" s="24"/>
      <c r="S17662" s="24"/>
      <c r="T17662" s="24"/>
      <c r="U17662" s="24"/>
      <c r="V17662" s="24"/>
      <c r="W17662" s="24"/>
      <c r="X17662" s="24"/>
      <c r="Y17662" s="24"/>
      <c r="Z17662" s="24"/>
      <c r="AA17662" s="24"/>
    </row>
    <row r="17663">
      <c r="A17663" s="24"/>
      <c r="B17663" s="25"/>
      <c r="C17663" s="24"/>
      <c r="D17663" s="26"/>
      <c r="E17663" s="24"/>
      <c r="F17663" s="24"/>
      <c r="G17663" s="24"/>
      <c r="H17663" s="24"/>
      <c r="I17663" s="24"/>
      <c r="J17663" s="24"/>
      <c r="K17663" s="24"/>
      <c r="L17663" s="24"/>
      <c r="M17663" s="24"/>
      <c r="N17663" s="24"/>
      <c r="O17663" s="24"/>
      <c r="P17663" s="24"/>
      <c r="Q17663" s="24"/>
      <c r="R17663" s="24"/>
      <c r="S17663" s="24"/>
      <c r="T17663" s="24"/>
      <c r="U17663" s="24"/>
      <c r="V17663" s="24"/>
      <c r="W17663" s="24"/>
      <c r="X17663" s="24"/>
      <c r="Y17663" s="24"/>
      <c r="Z17663" s="24"/>
      <c r="AA17663" s="24"/>
    </row>
    <row r="17664">
      <c r="A17664" s="24"/>
      <c r="B17664" s="25"/>
      <c r="C17664" s="24"/>
      <c r="D17664" s="26"/>
      <c r="E17664" s="24"/>
      <c r="F17664" s="24"/>
      <c r="G17664" s="24"/>
      <c r="H17664" s="24"/>
      <c r="I17664" s="24"/>
      <c r="J17664" s="24"/>
      <c r="K17664" s="24"/>
      <c r="L17664" s="24"/>
      <c r="M17664" s="24"/>
      <c r="N17664" s="24"/>
      <c r="O17664" s="24"/>
      <c r="P17664" s="24"/>
      <c r="Q17664" s="24"/>
      <c r="R17664" s="24"/>
      <c r="S17664" s="24"/>
      <c r="T17664" s="24"/>
      <c r="U17664" s="24"/>
      <c r="V17664" s="24"/>
      <c r="W17664" s="24"/>
      <c r="X17664" s="24"/>
      <c r="Y17664" s="24"/>
      <c r="Z17664" s="24"/>
      <c r="AA17664" s="24"/>
    </row>
    <row r="17665">
      <c r="A17665" s="24"/>
      <c r="B17665" s="25"/>
      <c r="C17665" s="24"/>
      <c r="D17665" s="26"/>
      <c r="E17665" s="24"/>
      <c r="F17665" s="24"/>
      <c r="G17665" s="24"/>
      <c r="H17665" s="24"/>
      <c r="I17665" s="24"/>
      <c r="J17665" s="24"/>
      <c r="K17665" s="24"/>
      <c r="L17665" s="24"/>
      <c r="M17665" s="24"/>
      <c r="N17665" s="24"/>
      <c r="O17665" s="24"/>
      <c r="P17665" s="24"/>
      <c r="Q17665" s="24"/>
      <c r="R17665" s="24"/>
      <c r="S17665" s="24"/>
      <c r="T17665" s="24"/>
      <c r="U17665" s="24"/>
      <c r="V17665" s="24"/>
      <c r="W17665" s="24"/>
      <c r="X17665" s="24"/>
      <c r="Y17665" s="24"/>
      <c r="Z17665" s="24"/>
      <c r="AA17665" s="24"/>
    </row>
    <row r="17666">
      <c r="A17666" s="24"/>
      <c r="B17666" s="25"/>
      <c r="C17666" s="24"/>
      <c r="D17666" s="26"/>
      <c r="E17666" s="24"/>
      <c r="F17666" s="24"/>
      <c r="G17666" s="24"/>
      <c r="H17666" s="24"/>
      <c r="I17666" s="24"/>
      <c r="J17666" s="24"/>
      <c r="K17666" s="24"/>
      <c r="L17666" s="24"/>
      <c r="M17666" s="24"/>
      <c r="N17666" s="24"/>
      <c r="O17666" s="24"/>
      <c r="P17666" s="24"/>
      <c r="Q17666" s="24"/>
      <c r="R17666" s="24"/>
      <c r="S17666" s="24"/>
      <c r="T17666" s="24"/>
      <c r="U17666" s="24"/>
      <c r="V17666" s="24"/>
      <c r="W17666" s="24"/>
      <c r="X17666" s="24"/>
      <c r="Y17666" s="24"/>
      <c r="Z17666" s="24"/>
      <c r="AA17666" s="24"/>
    </row>
    <row r="17667">
      <c r="A17667" s="24"/>
      <c r="B17667" s="25"/>
      <c r="C17667" s="24"/>
      <c r="D17667" s="26"/>
      <c r="E17667" s="24"/>
      <c r="F17667" s="24"/>
      <c r="G17667" s="24"/>
      <c r="H17667" s="24"/>
      <c r="I17667" s="24"/>
      <c r="J17667" s="24"/>
      <c r="K17667" s="24"/>
      <c r="L17667" s="24"/>
      <c r="M17667" s="24"/>
      <c r="N17667" s="24"/>
      <c r="O17667" s="24"/>
      <c r="P17667" s="24"/>
      <c r="Q17667" s="24"/>
      <c r="R17667" s="24"/>
      <c r="S17667" s="24"/>
      <c r="T17667" s="24"/>
      <c r="U17667" s="24"/>
      <c r="V17667" s="24"/>
      <c r="W17667" s="24"/>
      <c r="X17667" s="24"/>
      <c r="Y17667" s="24"/>
      <c r="Z17667" s="24"/>
      <c r="AA17667" s="24"/>
    </row>
    <row r="17668">
      <c r="A17668" s="24"/>
      <c r="B17668" s="25"/>
      <c r="C17668" s="24"/>
      <c r="D17668" s="26"/>
      <c r="E17668" s="24"/>
      <c r="F17668" s="24"/>
      <c r="G17668" s="24"/>
      <c r="H17668" s="24"/>
      <c r="I17668" s="24"/>
      <c r="J17668" s="24"/>
      <c r="K17668" s="24"/>
      <c r="L17668" s="24"/>
      <c r="M17668" s="24"/>
      <c r="N17668" s="24"/>
      <c r="O17668" s="24"/>
      <c r="P17668" s="24"/>
      <c r="Q17668" s="24"/>
      <c r="R17668" s="24"/>
      <c r="S17668" s="24"/>
      <c r="T17668" s="24"/>
      <c r="U17668" s="24"/>
      <c r="V17668" s="24"/>
      <c r="W17668" s="24"/>
      <c r="X17668" s="24"/>
      <c r="Y17668" s="24"/>
      <c r="Z17668" s="24"/>
      <c r="AA17668" s="24"/>
    </row>
    <row r="17669">
      <c r="A17669" s="24"/>
      <c r="B17669" s="25"/>
      <c r="C17669" s="24"/>
      <c r="D17669" s="26"/>
      <c r="E17669" s="24"/>
      <c r="F17669" s="24"/>
      <c r="G17669" s="24"/>
      <c r="H17669" s="24"/>
      <c r="I17669" s="24"/>
      <c r="J17669" s="24"/>
      <c r="K17669" s="24"/>
      <c r="L17669" s="24"/>
      <c r="M17669" s="24"/>
      <c r="N17669" s="24"/>
      <c r="O17669" s="24"/>
      <c r="P17669" s="24"/>
      <c r="Q17669" s="24"/>
      <c r="R17669" s="24"/>
      <c r="S17669" s="24"/>
      <c r="T17669" s="24"/>
      <c r="U17669" s="24"/>
      <c r="V17669" s="24"/>
      <c r="W17669" s="24"/>
      <c r="X17669" s="24"/>
      <c r="Y17669" s="24"/>
      <c r="Z17669" s="24"/>
      <c r="AA17669" s="24"/>
    </row>
    <row r="17670">
      <c r="A17670" s="24"/>
      <c r="B17670" s="25"/>
      <c r="C17670" s="24"/>
      <c r="D17670" s="26"/>
      <c r="E17670" s="24"/>
      <c r="F17670" s="24"/>
      <c r="G17670" s="24"/>
      <c r="H17670" s="24"/>
      <c r="I17670" s="24"/>
      <c r="J17670" s="24"/>
      <c r="K17670" s="24"/>
      <c r="L17670" s="24"/>
      <c r="M17670" s="24"/>
      <c r="N17670" s="24"/>
      <c r="O17670" s="24"/>
      <c r="P17670" s="24"/>
      <c r="Q17670" s="24"/>
      <c r="R17670" s="24"/>
      <c r="S17670" s="24"/>
      <c r="T17670" s="24"/>
      <c r="U17670" s="24"/>
      <c r="V17670" s="24"/>
      <c r="W17670" s="24"/>
      <c r="X17670" s="24"/>
      <c r="Y17670" s="24"/>
      <c r="Z17670" s="24"/>
      <c r="AA17670" s="24"/>
    </row>
    <row r="17671">
      <c r="A17671" s="24"/>
      <c r="B17671" s="25"/>
      <c r="C17671" s="24"/>
      <c r="D17671" s="26"/>
      <c r="E17671" s="24"/>
      <c r="F17671" s="24"/>
      <c r="G17671" s="24"/>
      <c r="H17671" s="24"/>
      <c r="I17671" s="24"/>
      <c r="J17671" s="24"/>
      <c r="K17671" s="24"/>
      <c r="L17671" s="24"/>
      <c r="M17671" s="24"/>
      <c r="N17671" s="24"/>
      <c r="O17671" s="24"/>
      <c r="P17671" s="24"/>
      <c r="Q17671" s="24"/>
      <c r="R17671" s="24"/>
      <c r="S17671" s="24"/>
      <c r="T17671" s="24"/>
      <c r="U17671" s="24"/>
      <c r="V17671" s="24"/>
      <c r="W17671" s="24"/>
      <c r="X17671" s="24"/>
      <c r="Y17671" s="24"/>
      <c r="Z17671" s="24"/>
      <c r="AA17671" s="24"/>
    </row>
    <row r="17672">
      <c r="A17672" s="24"/>
      <c r="B17672" s="25"/>
      <c r="C17672" s="24"/>
      <c r="D17672" s="26"/>
      <c r="E17672" s="24"/>
      <c r="F17672" s="24"/>
      <c r="G17672" s="24"/>
      <c r="H17672" s="24"/>
      <c r="I17672" s="24"/>
      <c r="J17672" s="24"/>
      <c r="K17672" s="24"/>
      <c r="L17672" s="24"/>
      <c r="M17672" s="24"/>
      <c r="N17672" s="24"/>
      <c r="O17672" s="24"/>
      <c r="P17672" s="24"/>
      <c r="Q17672" s="24"/>
      <c r="R17672" s="24"/>
      <c r="S17672" s="24"/>
      <c r="T17672" s="24"/>
      <c r="U17672" s="24"/>
      <c r="V17672" s="24"/>
      <c r="W17672" s="24"/>
      <c r="X17672" s="24"/>
      <c r="Y17672" s="24"/>
      <c r="Z17672" s="24"/>
      <c r="AA17672" s="24"/>
    </row>
    <row r="17673">
      <c r="A17673" s="24"/>
      <c r="B17673" s="25"/>
      <c r="C17673" s="24"/>
      <c r="D17673" s="26"/>
      <c r="E17673" s="24"/>
      <c r="F17673" s="24"/>
      <c r="G17673" s="24"/>
      <c r="H17673" s="24"/>
      <c r="I17673" s="24"/>
      <c r="J17673" s="24"/>
      <c r="K17673" s="24"/>
      <c r="L17673" s="24"/>
      <c r="M17673" s="24"/>
      <c r="N17673" s="24"/>
      <c r="O17673" s="24"/>
      <c r="P17673" s="24"/>
      <c r="Q17673" s="24"/>
      <c r="R17673" s="24"/>
      <c r="S17673" s="24"/>
      <c r="T17673" s="24"/>
      <c r="U17673" s="24"/>
      <c r="V17673" s="24"/>
      <c r="W17673" s="24"/>
      <c r="X17673" s="24"/>
      <c r="Y17673" s="24"/>
      <c r="Z17673" s="24"/>
      <c r="AA17673" s="24"/>
    </row>
    <row r="17674">
      <c r="A17674" s="24"/>
      <c r="B17674" s="25"/>
      <c r="C17674" s="24"/>
      <c r="D17674" s="26"/>
      <c r="E17674" s="24"/>
      <c r="F17674" s="24"/>
      <c r="G17674" s="24"/>
      <c r="H17674" s="24"/>
      <c r="I17674" s="24"/>
      <c r="J17674" s="24"/>
      <c r="K17674" s="24"/>
      <c r="L17674" s="24"/>
      <c r="M17674" s="24"/>
      <c r="N17674" s="24"/>
      <c r="O17674" s="24"/>
      <c r="P17674" s="24"/>
      <c r="Q17674" s="24"/>
      <c r="R17674" s="24"/>
      <c r="S17674" s="24"/>
      <c r="T17674" s="24"/>
      <c r="U17674" s="24"/>
      <c r="V17674" s="24"/>
      <c r="W17674" s="24"/>
      <c r="X17674" s="24"/>
      <c r="Y17674" s="24"/>
      <c r="Z17674" s="24"/>
      <c r="AA17674" s="24"/>
    </row>
    <row r="17675">
      <c r="A17675" s="24"/>
      <c r="B17675" s="25"/>
      <c r="C17675" s="24"/>
      <c r="D17675" s="26"/>
      <c r="E17675" s="24"/>
      <c r="F17675" s="24"/>
      <c r="G17675" s="24"/>
      <c r="H17675" s="24"/>
      <c r="I17675" s="24"/>
      <c r="J17675" s="24"/>
      <c r="K17675" s="24"/>
      <c r="L17675" s="24"/>
      <c r="M17675" s="24"/>
      <c r="N17675" s="24"/>
      <c r="O17675" s="24"/>
      <c r="P17675" s="24"/>
      <c r="Q17675" s="24"/>
      <c r="R17675" s="24"/>
      <c r="S17675" s="24"/>
      <c r="T17675" s="24"/>
      <c r="U17675" s="24"/>
      <c r="V17675" s="24"/>
      <c r="W17675" s="24"/>
      <c r="X17675" s="24"/>
      <c r="Y17675" s="24"/>
      <c r="Z17675" s="24"/>
      <c r="AA17675" s="24"/>
    </row>
    <row r="17676">
      <c r="A17676" s="24"/>
      <c r="B17676" s="25"/>
      <c r="C17676" s="24"/>
      <c r="D17676" s="26"/>
      <c r="E17676" s="24"/>
      <c r="F17676" s="24"/>
      <c r="G17676" s="24"/>
      <c r="H17676" s="24"/>
      <c r="I17676" s="24"/>
      <c r="J17676" s="24"/>
      <c r="K17676" s="24"/>
      <c r="L17676" s="24"/>
      <c r="M17676" s="24"/>
      <c r="N17676" s="24"/>
      <c r="O17676" s="24"/>
      <c r="P17676" s="24"/>
      <c r="Q17676" s="24"/>
      <c r="R17676" s="24"/>
      <c r="S17676" s="24"/>
      <c r="T17676" s="24"/>
      <c r="U17676" s="24"/>
      <c r="V17676" s="24"/>
      <c r="W17676" s="24"/>
      <c r="X17676" s="24"/>
      <c r="Y17676" s="24"/>
      <c r="Z17676" s="24"/>
      <c r="AA17676" s="24"/>
    </row>
    <row r="17677">
      <c r="A17677" s="24"/>
      <c r="B17677" s="25"/>
      <c r="C17677" s="24"/>
      <c r="D17677" s="26"/>
      <c r="E17677" s="24"/>
      <c r="F17677" s="24"/>
      <c r="G17677" s="24"/>
      <c r="H17677" s="24"/>
      <c r="I17677" s="24"/>
      <c r="J17677" s="24"/>
      <c r="K17677" s="24"/>
      <c r="L17677" s="24"/>
      <c r="M17677" s="24"/>
      <c r="N17677" s="24"/>
      <c r="O17677" s="24"/>
      <c r="P17677" s="24"/>
      <c r="Q17677" s="24"/>
      <c r="R17677" s="24"/>
      <c r="S17677" s="24"/>
      <c r="T17677" s="24"/>
      <c r="U17677" s="24"/>
      <c r="V17677" s="24"/>
      <c r="W17677" s="24"/>
      <c r="X17677" s="24"/>
      <c r="Y17677" s="24"/>
      <c r="Z17677" s="24"/>
      <c r="AA17677" s="24"/>
    </row>
    <row r="17678">
      <c r="A17678" s="24"/>
      <c r="B17678" s="25"/>
      <c r="C17678" s="24"/>
      <c r="D17678" s="26"/>
      <c r="E17678" s="24"/>
      <c r="F17678" s="24"/>
      <c r="G17678" s="24"/>
      <c r="H17678" s="24"/>
      <c r="I17678" s="24"/>
      <c r="J17678" s="24"/>
      <c r="K17678" s="24"/>
      <c r="L17678" s="24"/>
      <c r="M17678" s="24"/>
      <c r="N17678" s="24"/>
      <c r="O17678" s="24"/>
      <c r="P17678" s="24"/>
      <c r="Q17678" s="24"/>
      <c r="R17678" s="24"/>
      <c r="S17678" s="24"/>
      <c r="T17678" s="24"/>
      <c r="U17678" s="24"/>
      <c r="V17678" s="24"/>
      <c r="W17678" s="24"/>
      <c r="X17678" s="24"/>
      <c r="Y17678" s="24"/>
      <c r="Z17678" s="24"/>
      <c r="AA17678" s="24"/>
    </row>
    <row r="17679">
      <c r="A17679" s="24"/>
      <c r="B17679" s="25"/>
      <c r="C17679" s="24"/>
      <c r="D17679" s="26"/>
      <c r="E17679" s="24"/>
      <c r="F17679" s="24"/>
      <c r="G17679" s="24"/>
      <c r="H17679" s="24"/>
      <c r="I17679" s="24"/>
      <c r="J17679" s="24"/>
      <c r="K17679" s="24"/>
      <c r="L17679" s="24"/>
      <c r="M17679" s="24"/>
      <c r="N17679" s="24"/>
      <c r="O17679" s="24"/>
      <c r="P17679" s="24"/>
      <c r="Q17679" s="24"/>
      <c r="R17679" s="24"/>
      <c r="S17679" s="24"/>
      <c r="T17679" s="24"/>
      <c r="U17679" s="24"/>
      <c r="V17679" s="24"/>
      <c r="W17679" s="24"/>
      <c r="X17679" s="24"/>
      <c r="Y17679" s="24"/>
      <c r="Z17679" s="24"/>
      <c r="AA17679" s="24"/>
    </row>
    <row r="17680">
      <c r="A17680" s="24"/>
      <c r="B17680" s="25"/>
      <c r="C17680" s="24"/>
      <c r="D17680" s="26"/>
      <c r="E17680" s="24"/>
      <c r="F17680" s="24"/>
      <c r="G17680" s="24"/>
      <c r="H17680" s="24"/>
      <c r="I17680" s="24"/>
      <c r="J17680" s="24"/>
      <c r="K17680" s="24"/>
      <c r="L17680" s="24"/>
      <c r="M17680" s="24"/>
      <c r="N17680" s="24"/>
      <c r="O17680" s="24"/>
      <c r="P17680" s="24"/>
      <c r="Q17680" s="24"/>
      <c r="R17680" s="24"/>
      <c r="S17680" s="24"/>
      <c r="T17680" s="24"/>
      <c r="U17680" s="24"/>
      <c r="V17680" s="24"/>
      <c r="W17680" s="24"/>
      <c r="X17680" s="24"/>
      <c r="Y17680" s="24"/>
      <c r="Z17680" s="24"/>
      <c r="AA17680" s="24"/>
    </row>
    <row r="17681">
      <c r="A17681" s="24"/>
      <c r="B17681" s="25"/>
      <c r="C17681" s="24"/>
      <c r="D17681" s="26"/>
      <c r="E17681" s="24"/>
      <c r="F17681" s="24"/>
      <c r="G17681" s="24"/>
      <c r="H17681" s="24"/>
      <c r="I17681" s="24"/>
      <c r="J17681" s="24"/>
      <c r="K17681" s="24"/>
      <c r="L17681" s="24"/>
      <c r="M17681" s="24"/>
      <c r="N17681" s="24"/>
      <c r="O17681" s="24"/>
      <c r="P17681" s="24"/>
      <c r="Q17681" s="24"/>
      <c r="R17681" s="24"/>
      <c r="S17681" s="24"/>
      <c r="T17681" s="24"/>
      <c r="U17681" s="24"/>
      <c r="V17681" s="24"/>
      <c r="W17681" s="24"/>
      <c r="X17681" s="24"/>
      <c r="Y17681" s="24"/>
      <c r="Z17681" s="24"/>
      <c r="AA17681" s="24"/>
    </row>
    <row r="17682">
      <c r="A17682" s="24"/>
      <c r="B17682" s="25"/>
      <c r="C17682" s="24"/>
      <c r="D17682" s="26"/>
      <c r="E17682" s="24"/>
      <c r="F17682" s="24"/>
      <c r="G17682" s="24"/>
      <c r="H17682" s="24"/>
      <c r="I17682" s="24"/>
      <c r="J17682" s="24"/>
      <c r="K17682" s="24"/>
      <c r="L17682" s="24"/>
      <c r="M17682" s="24"/>
      <c r="N17682" s="24"/>
      <c r="O17682" s="24"/>
      <c r="P17682" s="24"/>
      <c r="Q17682" s="24"/>
      <c r="R17682" s="24"/>
      <c r="S17682" s="24"/>
      <c r="T17682" s="24"/>
      <c r="U17682" s="24"/>
      <c r="V17682" s="24"/>
      <c r="W17682" s="24"/>
      <c r="X17682" s="24"/>
      <c r="Y17682" s="24"/>
      <c r="Z17682" s="24"/>
      <c r="AA17682" s="24"/>
    </row>
    <row r="17683">
      <c r="A17683" s="24"/>
      <c r="B17683" s="25"/>
      <c r="C17683" s="24"/>
      <c r="D17683" s="26"/>
      <c r="E17683" s="24"/>
      <c r="F17683" s="24"/>
      <c r="G17683" s="24"/>
      <c r="H17683" s="24"/>
      <c r="I17683" s="24"/>
      <c r="J17683" s="24"/>
      <c r="K17683" s="24"/>
      <c r="L17683" s="24"/>
      <c r="M17683" s="24"/>
      <c r="N17683" s="24"/>
      <c r="O17683" s="24"/>
      <c r="P17683" s="24"/>
      <c r="Q17683" s="24"/>
      <c r="R17683" s="24"/>
      <c r="S17683" s="24"/>
      <c r="T17683" s="24"/>
      <c r="U17683" s="24"/>
      <c r="V17683" s="24"/>
      <c r="W17683" s="24"/>
      <c r="X17683" s="24"/>
      <c r="Y17683" s="24"/>
      <c r="Z17683" s="24"/>
      <c r="AA17683" s="24"/>
    </row>
    <row r="17684">
      <c r="A17684" s="24"/>
      <c r="B17684" s="25"/>
      <c r="C17684" s="24"/>
      <c r="D17684" s="26"/>
      <c r="E17684" s="24"/>
      <c r="F17684" s="24"/>
      <c r="G17684" s="24"/>
      <c r="H17684" s="24"/>
      <c r="I17684" s="24"/>
      <c r="J17684" s="24"/>
      <c r="K17684" s="24"/>
      <c r="L17684" s="24"/>
      <c r="M17684" s="24"/>
      <c r="N17684" s="24"/>
      <c r="O17684" s="24"/>
      <c r="P17684" s="24"/>
      <c r="Q17684" s="24"/>
      <c r="R17684" s="24"/>
      <c r="S17684" s="24"/>
      <c r="T17684" s="24"/>
      <c r="U17684" s="24"/>
      <c r="V17684" s="24"/>
      <c r="W17684" s="24"/>
      <c r="X17684" s="24"/>
      <c r="Y17684" s="24"/>
      <c r="Z17684" s="24"/>
      <c r="AA17684" s="24"/>
    </row>
    <row r="17685">
      <c r="A17685" s="24"/>
      <c r="B17685" s="25"/>
      <c r="C17685" s="24"/>
      <c r="D17685" s="26"/>
      <c r="E17685" s="24"/>
      <c r="F17685" s="24"/>
      <c r="G17685" s="24"/>
      <c r="H17685" s="24"/>
      <c r="I17685" s="24"/>
      <c r="J17685" s="24"/>
      <c r="K17685" s="24"/>
      <c r="L17685" s="24"/>
      <c r="M17685" s="24"/>
      <c r="N17685" s="24"/>
      <c r="O17685" s="24"/>
      <c r="P17685" s="24"/>
      <c r="Q17685" s="24"/>
      <c r="R17685" s="24"/>
      <c r="S17685" s="24"/>
      <c r="T17685" s="24"/>
      <c r="U17685" s="24"/>
      <c r="V17685" s="24"/>
      <c r="W17685" s="24"/>
      <c r="X17685" s="24"/>
      <c r="Y17685" s="24"/>
      <c r="Z17685" s="24"/>
      <c r="AA17685" s="24"/>
    </row>
    <row r="17686">
      <c r="A17686" s="24"/>
      <c r="B17686" s="25"/>
      <c r="C17686" s="24"/>
      <c r="D17686" s="26"/>
      <c r="E17686" s="24"/>
      <c r="F17686" s="24"/>
      <c r="G17686" s="24"/>
      <c r="H17686" s="24"/>
      <c r="I17686" s="24"/>
      <c r="J17686" s="24"/>
      <c r="K17686" s="24"/>
      <c r="L17686" s="24"/>
      <c r="M17686" s="24"/>
      <c r="N17686" s="24"/>
      <c r="O17686" s="24"/>
      <c r="P17686" s="24"/>
      <c r="Q17686" s="24"/>
      <c r="R17686" s="24"/>
      <c r="S17686" s="24"/>
      <c r="T17686" s="24"/>
      <c r="U17686" s="24"/>
      <c r="V17686" s="24"/>
      <c r="W17686" s="24"/>
      <c r="X17686" s="24"/>
      <c r="Y17686" s="24"/>
      <c r="Z17686" s="24"/>
      <c r="AA17686" s="24"/>
    </row>
    <row r="17687">
      <c r="A17687" s="24"/>
      <c r="B17687" s="25"/>
      <c r="C17687" s="24"/>
      <c r="D17687" s="26"/>
      <c r="E17687" s="24"/>
      <c r="F17687" s="24"/>
      <c r="G17687" s="24"/>
      <c r="H17687" s="24"/>
      <c r="I17687" s="24"/>
      <c r="J17687" s="24"/>
      <c r="K17687" s="24"/>
      <c r="L17687" s="24"/>
      <c r="M17687" s="24"/>
      <c r="N17687" s="24"/>
      <c r="O17687" s="24"/>
      <c r="P17687" s="24"/>
      <c r="Q17687" s="24"/>
      <c r="R17687" s="24"/>
      <c r="S17687" s="24"/>
      <c r="T17687" s="24"/>
      <c r="U17687" s="24"/>
      <c r="V17687" s="24"/>
      <c r="W17687" s="24"/>
      <c r="X17687" s="24"/>
      <c r="Y17687" s="24"/>
      <c r="Z17687" s="24"/>
      <c r="AA17687" s="24"/>
    </row>
    <row r="17688">
      <c r="A17688" s="24"/>
      <c r="B17688" s="25"/>
      <c r="C17688" s="24"/>
      <c r="D17688" s="26"/>
      <c r="E17688" s="24"/>
      <c r="F17688" s="24"/>
      <c r="G17688" s="24"/>
      <c r="H17688" s="24"/>
      <c r="I17688" s="24"/>
      <c r="J17688" s="24"/>
      <c r="K17688" s="24"/>
      <c r="L17688" s="24"/>
      <c r="M17688" s="24"/>
      <c r="N17688" s="24"/>
      <c r="O17688" s="24"/>
      <c r="P17688" s="24"/>
      <c r="Q17688" s="24"/>
      <c r="R17688" s="24"/>
      <c r="S17688" s="24"/>
      <c r="T17688" s="24"/>
      <c r="U17688" s="24"/>
      <c r="V17688" s="24"/>
      <c r="W17688" s="24"/>
      <c r="X17688" s="24"/>
      <c r="Y17688" s="24"/>
      <c r="Z17688" s="24"/>
      <c r="AA17688" s="24"/>
    </row>
    <row r="17689">
      <c r="A17689" s="24"/>
      <c r="B17689" s="25"/>
      <c r="C17689" s="24"/>
      <c r="D17689" s="26"/>
      <c r="E17689" s="24"/>
      <c r="F17689" s="24"/>
      <c r="G17689" s="24"/>
      <c r="H17689" s="24"/>
      <c r="I17689" s="24"/>
      <c r="J17689" s="24"/>
      <c r="K17689" s="24"/>
      <c r="L17689" s="24"/>
      <c r="M17689" s="24"/>
      <c r="N17689" s="24"/>
      <c r="O17689" s="24"/>
      <c r="P17689" s="24"/>
      <c r="Q17689" s="24"/>
      <c r="R17689" s="24"/>
      <c r="S17689" s="24"/>
      <c r="T17689" s="24"/>
      <c r="U17689" s="24"/>
      <c r="V17689" s="24"/>
      <c r="W17689" s="24"/>
      <c r="X17689" s="24"/>
      <c r="Y17689" s="24"/>
      <c r="Z17689" s="24"/>
      <c r="AA17689" s="24"/>
    </row>
    <row r="17690">
      <c r="A17690" s="24"/>
      <c r="B17690" s="25"/>
      <c r="C17690" s="24"/>
      <c r="D17690" s="26"/>
      <c r="E17690" s="24"/>
      <c r="F17690" s="24"/>
      <c r="G17690" s="24"/>
      <c r="H17690" s="24"/>
      <c r="I17690" s="24"/>
      <c r="J17690" s="24"/>
      <c r="K17690" s="24"/>
      <c r="L17690" s="24"/>
      <c r="M17690" s="24"/>
      <c r="N17690" s="24"/>
      <c r="O17690" s="24"/>
      <c r="P17690" s="24"/>
      <c r="Q17690" s="24"/>
      <c r="R17690" s="24"/>
      <c r="S17690" s="24"/>
      <c r="T17690" s="24"/>
      <c r="U17690" s="24"/>
      <c r="V17690" s="24"/>
      <c r="W17690" s="24"/>
      <c r="X17690" s="24"/>
      <c r="Y17690" s="24"/>
      <c r="Z17690" s="24"/>
      <c r="AA17690" s="24"/>
    </row>
    <row r="17691">
      <c r="A17691" s="24"/>
      <c r="B17691" s="25"/>
      <c r="C17691" s="24"/>
      <c r="D17691" s="26"/>
      <c r="E17691" s="24"/>
      <c r="F17691" s="24"/>
      <c r="G17691" s="24"/>
      <c r="H17691" s="24"/>
      <c r="I17691" s="24"/>
      <c r="J17691" s="24"/>
      <c r="K17691" s="24"/>
      <c r="L17691" s="24"/>
      <c r="M17691" s="24"/>
      <c r="N17691" s="24"/>
      <c r="O17691" s="24"/>
      <c r="P17691" s="24"/>
      <c r="Q17691" s="24"/>
      <c r="R17691" s="24"/>
      <c r="S17691" s="24"/>
      <c r="T17691" s="24"/>
      <c r="U17691" s="24"/>
      <c r="V17691" s="24"/>
      <c r="W17691" s="24"/>
      <c r="X17691" s="24"/>
      <c r="Y17691" s="24"/>
      <c r="Z17691" s="24"/>
      <c r="AA17691" s="24"/>
    </row>
    <row r="17692">
      <c r="A17692" s="24"/>
      <c r="B17692" s="25"/>
      <c r="C17692" s="24"/>
      <c r="D17692" s="26"/>
      <c r="E17692" s="24"/>
      <c r="F17692" s="24"/>
      <c r="G17692" s="24"/>
      <c r="H17692" s="24"/>
      <c r="I17692" s="24"/>
      <c r="J17692" s="24"/>
      <c r="K17692" s="24"/>
      <c r="L17692" s="24"/>
      <c r="M17692" s="24"/>
      <c r="N17692" s="24"/>
      <c r="O17692" s="24"/>
      <c r="P17692" s="24"/>
      <c r="Q17692" s="24"/>
      <c r="R17692" s="24"/>
      <c r="S17692" s="24"/>
      <c r="T17692" s="24"/>
      <c r="U17692" s="24"/>
      <c r="V17692" s="24"/>
      <c r="W17692" s="24"/>
      <c r="X17692" s="24"/>
      <c r="Y17692" s="24"/>
      <c r="Z17692" s="24"/>
      <c r="AA17692" s="24"/>
    </row>
    <row r="17693">
      <c r="A17693" s="24"/>
      <c r="B17693" s="25"/>
      <c r="C17693" s="24"/>
      <c r="D17693" s="26"/>
      <c r="E17693" s="24"/>
      <c r="F17693" s="24"/>
      <c r="G17693" s="24"/>
      <c r="H17693" s="24"/>
      <c r="I17693" s="24"/>
      <c r="J17693" s="24"/>
      <c r="K17693" s="24"/>
      <c r="L17693" s="24"/>
      <c r="M17693" s="24"/>
      <c r="N17693" s="24"/>
      <c r="O17693" s="24"/>
      <c r="P17693" s="24"/>
      <c r="Q17693" s="24"/>
      <c r="R17693" s="24"/>
      <c r="S17693" s="24"/>
      <c r="T17693" s="24"/>
      <c r="U17693" s="24"/>
      <c r="V17693" s="24"/>
      <c r="W17693" s="24"/>
      <c r="X17693" s="24"/>
      <c r="Y17693" s="24"/>
      <c r="Z17693" s="24"/>
      <c r="AA17693" s="24"/>
    </row>
    <row r="17694">
      <c r="A17694" s="24"/>
      <c r="B17694" s="25"/>
      <c r="C17694" s="24"/>
      <c r="D17694" s="26"/>
      <c r="E17694" s="24"/>
      <c r="F17694" s="24"/>
      <c r="G17694" s="24"/>
      <c r="H17694" s="24"/>
      <c r="I17694" s="24"/>
      <c r="J17694" s="24"/>
      <c r="K17694" s="24"/>
      <c r="L17694" s="24"/>
      <c r="M17694" s="24"/>
      <c r="N17694" s="24"/>
      <c r="O17694" s="24"/>
      <c r="P17694" s="24"/>
      <c r="Q17694" s="24"/>
      <c r="R17694" s="24"/>
      <c r="S17694" s="24"/>
      <c r="T17694" s="24"/>
      <c r="U17694" s="24"/>
      <c r="V17694" s="24"/>
      <c r="W17694" s="24"/>
      <c r="X17694" s="24"/>
      <c r="Y17694" s="24"/>
      <c r="Z17694" s="24"/>
      <c r="AA17694" s="24"/>
    </row>
    <row r="17695">
      <c r="A17695" s="24"/>
      <c r="B17695" s="25"/>
      <c r="C17695" s="24"/>
      <c r="D17695" s="26"/>
      <c r="E17695" s="24"/>
      <c r="F17695" s="24"/>
      <c r="G17695" s="24"/>
      <c r="H17695" s="24"/>
      <c r="I17695" s="24"/>
      <c r="J17695" s="24"/>
      <c r="K17695" s="24"/>
      <c r="L17695" s="24"/>
      <c r="M17695" s="24"/>
      <c r="N17695" s="24"/>
      <c r="O17695" s="24"/>
      <c r="P17695" s="24"/>
      <c r="Q17695" s="24"/>
      <c r="R17695" s="24"/>
      <c r="S17695" s="24"/>
      <c r="T17695" s="24"/>
      <c r="U17695" s="24"/>
      <c r="V17695" s="24"/>
      <c r="W17695" s="24"/>
      <c r="X17695" s="24"/>
      <c r="Y17695" s="24"/>
      <c r="Z17695" s="24"/>
      <c r="AA17695" s="24"/>
    </row>
    <row r="17696">
      <c r="A17696" s="24"/>
      <c r="B17696" s="25"/>
      <c r="C17696" s="24"/>
      <c r="D17696" s="26"/>
      <c r="E17696" s="24"/>
      <c r="F17696" s="24"/>
      <c r="G17696" s="24"/>
      <c r="H17696" s="24"/>
      <c r="I17696" s="24"/>
      <c r="J17696" s="24"/>
      <c r="K17696" s="24"/>
      <c r="L17696" s="24"/>
      <c r="M17696" s="24"/>
      <c r="N17696" s="24"/>
      <c r="O17696" s="24"/>
      <c r="P17696" s="24"/>
      <c r="Q17696" s="24"/>
      <c r="R17696" s="24"/>
      <c r="S17696" s="24"/>
      <c r="T17696" s="24"/>
      <c r="U17696" s="24"/>
      <c r="V17696" s="24"/>
      <c r="W17696" s="24"/>
      <c r="X17696" s="24"/>
      <c r="Y17696" s="24"/>
      <c r="Z17696" s="24"/>
      <c r="AA17696" s="24"/>
    </row>
    <row r="17697">
      <c r="A17697" s="24"/>
      <c r="B17697" s="25"/>
      <c r="C17697" s="24"/>
      <c r="D17697" s="26"/>
      <c r="E17697" s="24"/>
      <c r="F17697" s="24"/>
      <c r="G17697" s="24"/>
      <c r="H17697" s="24"/>
      <c r="I17697" s="24"/>
      <c r="J17697" s="24"/>
      <c r="K17697" s="24"/>
      <c r="L17697" s="24"/>
      <c r="M17697" s="24"/>
      <c r="N17697" s="24"/>
      <c r="O17697" s="24"/>
      <c r="P17697" s="24"/>
      <c r="Q17697" s="24"/>
      <c r="R17697" s="24"/>
      <c r="S17697" s="24"/>
      <c r="T17697" s="24"/>
      <c r="U17697" s="24"/>
      <c r="V17697" s="24"/>
      <c r="W17697" s="24"/>
      <c r="X17697" s="24"/>
      <c r="Y17697" s="24"/>
      <c r="Z17697" s="24"/>
      <c r="AA17697" s="24"/>
    </row>
    <row r="17698">
      <c r="A17698" s="24"/>
      <c r="B17698" s="25"/>
      <c r="C17698" s="24"/>
      <c r="D17698" s="26"/>
      <c r="E17698" s="24"/>
      <c r="F17698" s="24"/>
      <c r="G17698" s="24"/>
      <c r="H17698" s="24"/>
      <c r="I17698" s="24"/>
      <c r="J17698" s="24"/>
      <c r="K17698" s="24"/>
      <c r="L17698" s="24"/>
      <c r="M17698" s="24"/>
      <c r="N17698" s="24"/>
      <c r="O17698" s="24"/>
      <c r="P17698" s="24"/>
      <c r="Q17698" s="24"/>
      <c r="R17698" s="24"/>
      <c r="S17698" s="24"/>
      <c r="T17698" s="24"/>
      <c r="U17698" s="24"/>
      <c r="V17698" s="24"/>
      <c r="W17698" s="24"/>
      <c r="X17698" s="24"/>
      <c r="Y17698" s="24"/>
      <c r="Z17698" s="24"/>
      <c r="AA17698" s="24"/>
    </row>
    <row r="17699">
      <c r="A17699" s="24"/>
      <c r="B17699" s="25"/>
      <c r="C17699" s="24"/>
      <c r="D17699" s="26"/>
      <c r="E17699" s="24"/>
      <c r="F17699" s="24"/>
      <c r="G17699" s="24"/>
      <c r="H17699" s="24"/>
      <c r="I17699" s="24"/>
      <c r="J17699" s="24"/>
      <c r="K17699" s="24"/>
      <c r="L17699" s="24"/>
      <c r="M17699" s="24"/>
      <c r="N17699" s="24"/>
      <c r="O17699" s="24"/>
      <c r="P17699" s="24"/>
      <c r="Q17699" s="24"/>
      <c r="R17699" s="24"/>
      <c r="S17699" s="24"/>
      <c r="T17699" s="24"/>
      <c r="U17699" s="24"/>
      <c r="V17699" s="24"/>
      <c r="W17699" s="24"/>
      <c r="X17699" s="24"/>
      <c r="Y17699" s="24"/>
      <c r="Z17699" s="24"/>
      <c r="AA17699" s="24"/>
    </row>
    <row r="17700">
      <c r="A17700" s="24"/>
      <c r="B17700" s="25"/>
      <c r="C17700" s="24"/>
      <c r="D17700" s="26"/>
      <c r="E17700" s="24"/>
      <c r="F17700" s="24"/>
      <c r="G17700" s="24"/>
      <c r="H17700" s="24"/>
      <c r="I17700" s="24"/>
      <c r="J17700" s="24"/>
      <c r="K17700" s="24"/>
      <c r="L17700" s="24"/>
      <c r="M17700" s="24"/>
      <c r="N17700" s="24"/>
      <c r="O17700" s="24"/>
      <c r="P17700" s="24"/>
      <c r="Q17700" s="24"/>
      <c r="R17700" s="24"/>
      <c r="S17700" s="24"/>
      <c r="T17700" s="24"/>
      <c r="U17700" s="24"/>
      <c r="V17700" s="24"/>
      <c r="W17700" s="24"/>
      <c r="X17700" s="24"/>
      <c r="Y17700" s="24"/>
      <c r="Z17700" s="24"/>
      <c r="AA17700" s="24"/>
    </row>
    <row r="17701">
      <c r="A17701" s="24"/>
      <c r="B17701" s="25"/>
      <c r="C17701" s="24"/>
      <c r="D17701" s="26"/>
      <c r="E17701" s="24"/>
      <c r="F17701" s="24"/>
      <c r="G17701" s="24"/>
      <c r="H17701" s="24"/>
      <c r="I17701" s="24"/>
      <c r="J17701" s="24"/>
      <c r="K17701" s="24"/>
      <c r="L17701" s="24"/>
      <c r="M17701" s="24"/>
      <c r="N17701" s="24"/>
      <c r="O17701" s="24"/>
      <c r="P17701" s="24"/>
      <c r="Q17701" s="24"/>
      <c r="R17701" s="24"/>
      <c r="S17701" s="24"/>
      <c r="T17701" s="24"/>
      <c r="U17701" s="24"/>
      <c r="V17701" s="24"/>
      <c r="W17701" s="24"/>
      <c r="X17701" s="24"/>
      <c r="Y17701" s="24"/>
      <c r="Z17701" s="24"/>
      <c r="AA17701" s="24"/>
    </row>
    <row r="17702">
      <c r="A17702" s="24"/>
      <c r="B17702" s="25"/>
      <c r="C17702" s="24"/>
      <c r="D17702" s="26"/>
      <c r="E17702" s="24"/>
      <c r="F17702" s="24"/>
      <c r="G17702" s="24"/>
      <c r="H17702" s="24"/>
      <c r="I17702" s="24"/>
      <c r="J17702" s="24"/>
      <c r="K17702" s="24"/>
      <c r="L17702" s="24"/>
      <c r="M17702" s="24"/>
      <c r="N17702" s="24"/>
      <c r="O17702" s="24"/>
      <c r="P17702" s="24"/>
      <c r="Q17702" s="24"/>
      <c r="R17702" s="24"/>
      <c r="S17702" s="24"/>
      <c r="T17702" s="24"/>
      <c r="U17702" s="24"/>
      <c r="V17702" s="24"/>
      <c r="W17702" s="24"/>
      <c r="X17702" s="24"/>
      <c r="Y17702" s="24"/>
      <c r="Z17702" s="24"/>
      <c r="AA17702" s="24"/>
    </row>
    <row r="17703">
      <c r="A17703" s="24"/>
      <c r="B17703" s="25"/>
      <c r="C17703" s="24"/>
      <c r="D17703" s="26"/>
      <c r="E17703" s="24"/>
      <c r="F17703" s="24"/>
      <c r="G17703" s="24"/>
      <c r="H17703" s="24"/>
      <c r="I17703" s="24"/>
      <c r="J17703" s="24"/>
      <c r="K17703" s="24"/>
      <c r="L17703" s="24"/>
      <c r="M17703" s="24"/>
      <c r="N17703" s="24"/>
      <c r="O17703" s="24"/>
      <c r="P17703" s="24"/>
      <c r="Q17703" s="24"/>
      <c r="R17703" s="24"/>
      <c r="S17703" s="24"/>
      <c r="T17703" s="24"/>
      <c r="U17703" s="24"/>
      <c r="V17703" s="24"/>
      <c r="W17703" s="24"/>
      <c r="X17703" s="24"/>
      <c r="Y17703" s="24"/>
      <c r="Z17703" s="24"/>
      <c r="AA17703" s="24"/>
    </row>
    <row r="17704">
      <c r="A17704" s="24"/>
      <c r="B17704" s="25"/>
      <c r="C17704" s="24"/>
      <c r="D17704" s="26"/>
      <c r="E17704" s="24"/>
      <c r="F17704" s="24"/>
      <c r="G17704" s="24"/>
      <c r="H17704" s="24"/>
      <c r="I17704" s="24"/>
      <c r="J17704" s="24"/>
      <c r="K17704" s="24"/>
      <c r="L17704" s="24"/>
      <c r="M17704" s="24"/>
      <c r="N17704" s="24"/>
      <c r="O17704" s="24"/>
      <c r="P17704" s="24"/>
      <c r="Q17704" s="24"/>
      <c r="R17704" s="24"/>
      <c r="S17704" s="24"/>
      <c r="T17704" s="24"/>
      <c r="U17704" s="24"/>
      <c r="V17704" s="24"/>
      <c r="W17704" s="24"/>
      <c r="X17704" s="24"/>
      <c r="Y17704" s="24"/>
      <c r="Z17704" s="24"/>
      <c r="AA17704" s="24"/>
    </row>
    <row r="17705">
      <c r="A17705" s="24"/>
      <c r="B17705" s="25"/>
      <c r="C17705" s="24"/>
      <c r="D17705" s="26"/>
      <c r="E17705" s="24"/>
      <c r="F17705" s="24"/>
      <c r="G17705" s="24"/>
      <c r="H17705" s="24"/>
      <c r="I17705" s="24"/>
      <c r="J17705" s="24"/>
      <c r="K17705" s="24"/>
      <c r="L17705" s="24"/>
      <c r="M17705" s="24"/>
      <c r="N17705" s="24"/>
      <c r="O17705" s="24"/>
      <c r="P17705" s="24"/>
      <c r="Q17705" s="24"/>
      <c r="R17705" s="24"/>
      <c r="S17705" s="24"/>
      <c r="T17705" s="24"/>
      <c r="U17705" s="24"/>
      <c r="V17705" s="24"/>
      <c r="W17705" s="24"/>
      <c r="X17705" s="24"/>
      <c r="Y17705" s="24"/>
      <c r="Z17705" s="24"/>
      <c r="AA17705" s="24"/>
    </row>
    <row r="17706">
      <c r="A17706" s="24"/>
      <c r="B17706" s="25"/>
      <c r="C17706" s="24"/>
      <c r="D17706" s="26"/>
      <c r="E17706" s="24"/>
      <c r="F17706" s="24"/>
      <c r="G17706" s="24"/>
      <c r="H17706" s="24"/>
      <c r="I17706" s="24"/>
      <c r="J17706" s="24"/>
      <c r="K17706" s="24"/>
      <c r="L17706" s="24"/>
      <c r="M17706" s="24"/>
      <c r="N17706" s="24"/>
      <c r="O17706" s="24"/>
      <c r="P17706" s="24"/>
      <c r="Q17706" s="24"/>
      <c r="R17706" s="24"/>
      <c r="S17706" s="24"/>
      <c r="T17706" s="24"/>
      <c r="U17706" s="24"/>
      <c r="V17706" s="24"/>
      <c r="W17706" s="24"/>
      <c r="X17706" s="24"/>
      <c r="Y17706" s="24"/>
      <c r="Z17706" s="24"/>
      <c r="AA17706" s="24"/>
    </row>
    <row r="17707">
      <c r="A17707" s="24"/>
      <c r="B17707" s="25"/>
      <c r="C17707" s="24"/>
      <c r="D17707" s="26"/>
      <c r="E17707" s="24"/>
      <c r="F17707" s="24"/>
      <c r="G17707" s="24"/>
      <c r="H17707" s="24"/>
      <c r="I17707" s="24"/>
      <c r="J17707" s="24"/>
      <c r="K17707" s="24"/>
      <c r="L17707" s="24"/>
      <c r="M17707" s="24"/>
      <c r="N17707" s="24"/>
      <c r="O17707" s="24"/>
      <c r="P17707" s="24"/>
      <c r="Q17707" s="24"/>
      <c r="R17707" s="24"/>
      <c r="S17707" s="24"/>
      <c r="T17707" s="24"/>
      <c r="U17707" s="24"/>
      <c r="V17707" s="24"/>
      <c r="W17707" s="24"/>
      <c r="X17707" s="24"/>
      <c r="Y17707" s="24"/>
      <c r="Z17707" s="24"/>
      <c r="AA17707" s="24"/>
    </row>
    <row r="17708">
      <c r="A17708" s="24"/>
      <c r="B17708" s="25"/>
      <c r="C17708" s="24"/>
      <c r="D17708" s="26"/>
      <c r="E17708" s="24"/>
      <c r="F17708" s="24"/>
      <c r="G17708" s="24"/>
      <c r="H17708" s="24"/>
      <c r="I17708" s="24"/>
      <c r="J17708" s="24"/>
      <c r="K17708" s="24"/>
      <c r="L17708" s="24"/>
      <c r="M17708" s="24"/>
      <c r="N17708" s="24"/>
      <c r="O17708" s="24"/>
      <c r="P17708" s="24"/>
      <c r="Q17708" s="24"/>
      <c r="R17708" s="24"/>
      <c r="S17708" s="24"/>
      <c r="T17708" s="24"/>
      <c r="U17708" s="24"/>
      <c r="V17708" s="24"/>
      <c r="W17708" s="24"/>
      <c r="X17708" s="24"/>
      <c r="Y17708" s="24"/>
      <c r="Z17708" s="24"/>
      <c r="AA17708" s="24"/>
    </row>
    <row r="17709">
      <c r="A17709" s="24"/>
      <c r="B17709" s="25"/>
      <c r="C17709" s="24"/>
      <c r="D17709" s="26"/>
      <c r="E17709" s="24"/>
      <c r="F17709" s="24"/>
      <c r="G17709" s="24"/>
      <c r="H17709" s="24"/>
      <c r="I17709" s="24"/>
      <c r="J17709" s="24"/>
      <c r="K17709" s="24"/>
      <c r="L17709" s="24"/>
      <c r="M17709" s="24"/>
      <c r="N17709" s="24"/>
      <c r="O17709" s="24"/>
      <c r="P17709" s="24"/>
      <c r="Q17709" s="24"/>
      <c r="R17709" s="24"/>
      <c r="S17709" s="24"/>
      <c r="T17709" s="24"/>
      <c r="U17709" s="24"/>
      <c r="V17709" s="24"/>
      <c r="W17709" s="24"/>
      <c r="X17709" s="24"/>
      <c r="Y17709" s="24"/>
      <c r="Z17709" s="24"/>
      <c r="AA17709" s="24"/>
    </row>
    <row r="17710">
      <c r="A17710" s="24"/>
      <c r="B17710" s="25"/>
      <c r="C17710" s="24"/>
      <c r="D17710" s="26"/>
      <c r="E17710" s="24"/>
      <c r="F17710" s="24"/>
      <c r="G17710" s="24"/>
      <c r="H17710" s="24"/>
      <c r="I17710" s="24"/>
      <c r="J17710" s="24"/>
      <c r="K17710" s="24"/>
      <c r="L17710" s="24"/>
      <c r="M17710" s="24"/>
      <c r="N17710" s="24"/>
      <c r="O17710" s="24"/>
      <c r="P17710" s="24"/>
      <c r="Q17710" s="24"/>
      <c r="R17710" s="24"/>
      <c r="S17710" s="24"/>
      <c r="T17710" s="24"/>
      <c r="U17710" s="24"/>
      <c r="V17710" s="24"/>
      <c r="W17710" s="24"/>
      <c r="X17710" s="24"/>
      <c r="Y17710" s="24"/>
      <c r="Z17710" s="24"/>
      <c r="AA17710" s="24"/>
    </row>
    <row r="17711">
      <c r="A17711" s="24"/>
      <c r="B17711" s="25"/>
      <c r="C17711" s="24"/>
      <c r="D17711" s="26"/>
      <c r="E17711" s="24"/>
      <c r="F17711" s="24"/>
      <c r="G17711" s="24"/>
      <c r="H17711" s="24"/>
      <c r="I17711" s="24"/>
      <c r="J17711" s="24"/>
      <c r="K17711" s="24"/>
      <c r="L17711" s="24"/>
      <c r="M17711" s="24"/>
      <c r="N17711" s="24"/>
      <c r="O17711" s="24"/>
      <c r="P17711" s="24"/>
      <c r="Q17711" s="24"/>
      <c r="R17711" s="24"/>
      <c r="S17711" s="24"/>
      <c r="T17711" s="24"/>
      <c r="U17711" s="24"/>
      <c r="V17711" s="24"/>
      <c r="W17711" s="24"/>
      <c r="X17711" s="24"/>
      <c r="Y17711" s="24"/>
      <c r="Z17711" s="24"/>
      <c r="AA17711" s="24"/>
    </row>
    <row r="17712">
      <c r="A17712" s="24"/>
      <c r="B17712" s="25"/>
      <c r="C17712" s="24"/>
      <c r="D17712" s="26"/>
      <c r="E17712" s="24"/>
      <c r="F17712" s="24"/>
      <c r="G17712" s="24"/>
      <c r="H17712" s="24"/>
      <c r="I17712" s="24"/>
      <c r="J17712" s="24"/>
      <c r="K17712" s="24"/>
      <c r="L17712" s="24"/>
      <c r="M17712" s="24"/>
      <c r="N17712" s="24"/>
      <c r="O17712" s="24"/>
      <c r="P17712" s="24"/>
      <c r="Q17712" s="24"/>
      <c r="R17712" s="24"/>
      <c r="S17712" s="24"/>
      <c r="T17712" s="24"/>
      <c r="U17712" s="24"/>
      <c r="V17712" s="24"/>
      <c r="W17712" s="24"/>
      <c r="X17712" s="24"/>
      <c r="Y17712" s="24"/>
      <c r="Z17712" s="24"/>
      <c r="AA17712" s="24"/>
    </row>
    <row r="17713">
      <c r="A17713" s="24"/>
      <c r="B17713" s="25"/>
      <c r="C17713" s="24"/>
      <c r="D17713" s="26"/>
      <c r="E17713" s="24"/>
      <c r="F17713" s="24"/>
      <c r="G17713" s="24"/>
      <c r="H17713" s="24"/>
      <c r="I17713" s="24"/>
      <c r="J17713" s="24"/>
      <c r="K17713" s="24"/>
      <c r="L17713" s="24"/>
      <c r="M17713" s="24"/>
      <c r="N17713" s="24"/>
      <c r="O17713" s="24"/>
      <c r="P17713" s="24"/>
      <c r="Q17713" s="24"/>
      <c r="R17713" s="24"/>
      <c r="S17713" s="24"/>
      <c r="T17713" s="24"/>
      <c r="U17713" s="24"/>
      <c r="V17713" s="24"/>
      <c r="W17713" s="24"/>
      <c r="X17713" s="24"/>
      <c r="Y17713" s="24"/>
      <c r="Z17713" s="24"/>
      <c r="AA17713" s="24"/>
    </row>
    <row r="17714">
      <c r="A17714" s="24"/>
      <c r="B17714" s="25"/>
      <c r="C17714" s="24"/>
      <c r="D17714" s="26"/>
      <c r="E17714" s="24"/>
      <c r="F17714" s="24"/>
      <c r="G17714" s="24"/>
      <c r="H17714" s="24"/>
      <c r="I17714" s="24"/>
      <c r="J17714" s="24"/>
      <c r="K17714" s="24"/>
      <c r="L17714" s="24"/>
      <c r="M17714" s="24"/>
      <c r="N17714" s="24"/>
      <c r="O17714" s="24"/>
      <c r="P17714" s="24"/>
      <c r="Q17714" s="24"/>
      <c r="R17714" s="24"/>
      <c r="S17714" s="24"/>
      <c r="T17714" s="24"/>
      <c r="U17714" s="24"/>
      <c r="V17714" s="24"/>
      <c r="W17714" s="24"/>
      <c r="X17714" s="24"/>
      <c r="Y17714" s="24"/>
      <c r="Z17714" s="24"/>
      <c r="AA17714" s="24"/>
    </row>
    <row r="17715">
      <c r="A17715" s="24"/>
      <c r="B17715" s="25"/>
      <c r="C17715" s="24"/>
      <c r="D17715" s="26"/>
      <c r="E17715" s="24"/>
      <c r="F17715" s="24"/>
      <c r="G17715" s="24"/>
      <c r="H17715" s="24"/>
      <c r="I17715" s="24"/>
      <c r="J17715" s="24"/>
      <c r="K17715" s="24"/>
      <c r="L17715" s="24"/>
      <c r="M17715" s="24"/>
      <c r="N17715" s="24"/>
      <c r="O17715" s="24"/>
      <c r="P17715" s="24"/>
      <c r="Q17715" s="24"/>
      <c r="R17715" s="24"/>
      <c r="S17715" s="24"/>
      <c r="T17715" s="24"/>
      <c r="U17715" s="24"/>
      <c r="V17715" s="24"/>
      <c r="W17715" s="24"/>
      <c r="X17715" s="24"/>
      <c r="Y17715" s="24"/>
      <c r="Z17715" s="24"/>
      <c r="AA17715" s="24"/>
    </row>
    <row r="17716">
      <c r="A17716" s="24"/>
      <c r="B17716" s="25"/>
      <c r="C17716" s="24"/>
      <c r="D17716" s="26"/>
      <c r="E17716" s="24"/>
      <c r="F17716" s="24"/>
      <c r="G17716" s="24"/>
      <c r="H17716" s="24"/>
      <c r="I17716" s="24"/>
      <c r="J17716" s="24"/>
      <c r="K17716" s="24"/>
      <c r="L17716" s="24"/>
      <c r="M17716" s="24"/>
      <c r="N17716" s="24"/>
      <c r="O17716" s="24"/>
      <c r="P17716" s="24"/>
      <c r="Q17716" s="24"/>
      <c r="R17716" s="24"/>
      <c r="S17716" s="24"/>
      <c r="T17716" s="24"/>
      <c r="U17716" s="24"/>
      <c r="V17716" s="24"/>
      <c r="W17716" s="24"/>
      <c r="X17716" s="24"/>
      <c r="Y17716" s="24"/>
      <c r="Z17716" s="24"/>
      <c r="AA17716" s="24"/>
    </row>
    <row r="17717">
      <c r="A17717" s="24"/>
      <c r="B17717" s="25"/>
      <c r="C17717" s="24"/>
      <c r="D17717" s="26"/>
      <c r="E17717" s="24"/>
      <c r="F17717" s="24"/>
      <c r="G17717" s="24"/>
      <c r="H17717" s="24"/>
      <c r="I17717" s="24"/>
      <c r="J17717" s="24"/>
      <c r="K17717" s="24"/>
      <c r="L17717" s="24"/>
      <c r="M17717" s="24"/>
      <c r="N17717" s="24"/>
      <c r="O17717" s="24"/>
      <c r="P17717" s="24"/>
      <c r="Q17717" s="24"/>
      <c r="R17717" s="24"/>
      <c r="S17717" s="24"/>
      <c r="T17717" s="24"/>
      <c r="U17717" s="24"/>
      <c r="V17717" s="24"/>
      <c r="W17717" s="24"/>
      <c r="X17717" s="24"/>
      <c r="Y17717" s="24"/>
      <c r="Z17717" s="24"/>
      <c r="AA17717" s="24"/>
    </row>
    <row r="17718">
      <c r="A17718" s="24"/>
      <c r="B17718" s="25"/>
      <c r="C17718" s="24"/>
      <c r="D17718" s="26"/>
      <c r="E17718" s="24"/>
      <c r="F17718" s="24"/>
      <c r="G17718" s="24"/>
      <c r="H17718" s="24"/>
      <c r="I17718" s="24"/>
      <c r="J17718" s="24"/>
      <c r="K17718" s="24"/>
      <c r="L17718" s="24"/>
      <c r="M17718" s="24"/>
      <c r="N17718" s="24"/>
      <c r="O17718" s="24"/>
      <c r="P17718" s="24"/>
      <c r="Q17718" s="24"/>
      <c r="R17718" s="24"/>
      <c r="S17718" s="24"/>
      <c r="T17718" s="24"/>
      <c r="U17718" s="24"/>
      <c r="V17718" s="24"/>
      <c r="W17718" s="24"/>
      <c r="X17718" s="24"/>
      <c r="Y17718" s="24"/>
      <c r="Z17718" s="24"/>
      <c r="AA17718" s="24"/>
    </row>
    <row r="17719">
      <c r="A17719" s="24"/>
      <c r="B17719" s="25"/>
      <c r="C17719" s="24"/>
      <c r="D17719" s="26"/>
      <c r="E17719" s="24"/>
      <c r="F17719" s="24"/>
      <c r="G17719" s="24"/>
      <c r="H17719" s="24"/>
      <c r="I17719" s="24"/>
      <c r="J17719" s="24"/>
      <c r="K17719" s="24"/>
      <c r="L17719" s="24"/>
      <c r="M17719" s="24"/>
      <c r="N17719" s="24"/>
      <c r="O17719" s="24"/>
      <c r="P17719" s="24"/>
      <c r="Q17719" s="24"/>
      <c r="R17719" s="24"/>
      <c r="S17719" s="24"/>
      <c r="T17719" s="24"/>
      <c r="U17719" s="24"/>
      <c r="V17719" s="24"/>
      <c r="W17719" s="24"/>
      <c r="X17719" s="24"/>
      <c r="Y17719" s="24"/>
      <c r="Z17719" s="24"/>
      <c r="AA17719" s="24"/>
    </row>
    <row r="17720">
      <c r="A17720" s="24"/>
      <c r="B17720" s="25"/>
      <c r="C17720" s="24"/>
      <c r="D17720" s="26"/>
      <c r="E17720" s="24"/>
      <c r="F17720" s="24"/>
      <c r="G17720" s="24"/>
      <c r="H17720" s="24"/>
      <c r="I17720" s="24"/>
      <c r="J17720" s="24"/>
      <c r="K17720" s="24"/>
      <c r="L17720" s="24"/>
      <c r="M17720" s="24"/>
      <c r="N17720" s="24"/>
      <c r="O17720" s="24"/>
      <c r="P17720" s="24"/>
      <c r="Q17720" s="24"/>
      <c r="R17720" s="24"/>
      <c r="S17720" s="24"/>
      <c r="T17720" s="24"/>
      <c r="U17720" s="24"/>
      <c r="V17720" s="24"/>
      <c r="W17720" s="24"/>
      <c r="X17720" s="24"/>
      <c r="Y17720" s="24"/>
      <c r="Z17720" s="24"/>
      <c r="AA17720" s="24"/>
    </row>
    <row r="17721">
      <c r="A17721" s="24"/>
      <c r="B17721" s="25"/>
      <c r="C17721" s="24"/>
      <c r="D17721" s="26"/>
      <c r="E17721" s="24"/>
      <c r="F17721" s="24"/>
      <c r="G17721" s="24"/>
      <c r="H17721" s="24"/>
      <c r="I17721" s="24"/>
      <c r="J17721" s="24"/>
      <c r="K17721" s="24"/>
      <c r="L17721" s="24"/>
      <c r="M17721" s="24"/>
      <c r="N17721" s="24"/>
      <c r="O17721" s="24"/>
      <c r="P17721" s="24"/>
      <c r="Q17721" s="24"/>
      <c r="R17721" s="24"/>
      <c r="S17721" s="24"/>
      <c r="T17721" s="24"/>
      <c r="U17721" s="24"/>
      <c r="V17721" s="24"/>
      <c r="W17721" s="24"/>
      <c r="X17721" s="24"/>
      <c r="Y17721" s="24"/>
      <c r="Z17721" s="24"/>
      <c r="AA17721" s="24"/>
    </row>
    <row r="17722">
      <c r="A17722" s="24"/>
      <c r="B17722" s="25"/>
      <c r="C17722" s="24"/>
      <c r="D17722" s="26"/>
      <c r="E17722" s="24"/>
      <c r="F17722" s="24"/>
      <c r="G17722" s="24"/>
      <c r="H17722" s="24"/>
      <c r="I17722" s="24"/>
      <c r="J17722" s="24"/>
      <c r="K17722" s="24"/>
      <c r="L17722" s="24"/>
      <c r="M17722" s="24"/>
      <c r="N17722" s="24"/>
      <c r="O17722" s="24"/>
      <c r="P17722" s="24"/>
      <c r="Q17722" s="24"/>
      <c r="R17722" s="24"/>
      <c r="S17722" s="24"/>
      <c r="T17722" s="24"/>
      <c r="U17722" s="24"/>
      <c r="V17722" s="24"/>
      <c r="W17722" s="24"/>
      <c r="X17722" s="24"/>
      <c r="Y17722" s="24"/>
      <c r="Z17722" s="24"/>
      <c r="AA17722" s="24"/>
    </row>
    <row r="17723">
      <c r="A17723" s="24"/>
      <c r="B17723" s="25"/>
      <c r="C17723" s="24"/>
      <c r="D17723" s="26"/>
      <c r="E17723" s="24"/>
      <c r="F17723" s="24"/>
      <c r="G17723" s="24"/>
      <c r="H17723" s="24"/>
      <c r="I17723" s="24"/>
      <c r="J17723" s="24"/>
      <c r="K17723" s="24"/>
      <c r="L17723" s="24"/>
      <c r="M17723" s="24"/>
      <c r="N17723" s="24"/>
      <c r="O17723" s="24"/>
      <c r="P17723" s="24"/>
      <c r="Q17723" s="24"/>
      <c r="R17723" s="24"/>
      <c r="S17723" s="24"/>
      <c r="T17723" s="24"/>
      <c r="U17723" s="24"/>
      <c r="V17723" s="24"/>
      <c r="W17723" s="24"/>
      <c r="X17723" s="24"/>
      <c r="Y17723" s="24"/>
      <c r="Z17723" s="24"/>
      <c r="AA17723" s="24"/>
    </row>
    <row r="17724">
      <c r="A17724" s="24"/>
      <c r="B17724" s="25"/>
      <c r="C17724" s="24"/>
      <c r="D17724" s="26"/>
      <c r="E17724" s="24"/>
      <c r="F17724" s="24"/>
      <c r="G17724" s="24"/>
      <c r="H17724" s="24"/>
      <c r="I17724" s="24"/>
      <c r="J17724" s="24"/>
      <c r="K17724" s="24"/>
      <c r="L17724" s="24"/>
      <c r="M17724" s="24"/>
      <c r="N17724" s="24"/>
      <c r="O17724" s="24"/>
      <c r="P17724" s="24"/>
      <c r="Q17724" s="24"/>
      <c r="R17724" s="24"/>
      <c r="S17724" s="24"/>
      <c r="T17724" s="24"/>
      <c r="U17724" s="24"/>
      <c r="V17724" s="24"/>
      <c r="W17724" s="24"/>
      <c r="X17724" s="24"/>
      <c r="Y17724" s="24"/>
      <c r="Z17724" s="24"/>
      <c r="AA17724" s="24"/>
    </row>
    <row r="17725">
      <c r="A17725" s="24"/>
      <c r="B17725" s="25"/>
      <c r="C17725" s="24"/>
      <c r="D17725" s="26"/>
      <c r="E17725" s="24"/>
      <c r="F17725" s="24"/>
      <c r="G17725" s="24"/>
      <c r="H17725" s="24"/>
      <c r="I17725" s="24"/>
      <c r="J17725" s="24"/>
      <c r="K17725" s="24"/>
      <c r="L17725" s="24"/>
      <c r="M17725" s="24"/>
      <c r="N17725" s="24"/>
      <c r="O17725" s="24"/>
      <c r="P17725" s="24"/>
      <c r="Q17725" s="24"/>
      <c r="R17725" s="24"/>
      <c r="S17725" s="24"/>
      <c r="T17725" s="24"/>
      <c r="U17725" s="24"/>
      <c r="V17725" s="24"/>
      <c r="W17725" s="24"/>
      <c r="X17725" s="24"/>
      <c r="Y17725" s="24"/>
      <c r="Z17725" s="24"/>
      <c r="AA17725" s="24"/>
    </row>
    <row r="17726">
      <c r="A17726" s="24"/>
      <c r="B17726" s="25"/>
      <c r="C17726" s="24"/>
      <c r="D17726" s="26"/>
      <c r="E17726" s="24"/>
      <c r="F17726" s="24"/>
      <c r="G17726" s="24"/>
      <c r="H17726" s="24"/>
      <c r="I17726" s="24"/>
      <c r="J17726" s="24"/>
      <c r="K17726" s="24"/>
      <c r="L17726" s="24"/>
      <c r="M17726" s="24"/>
      <c r="N17726" s="24"/>
      <c r="O17726" s="24"/>
      <c r="P17726" s="24"/>
      <c r="Q17726" s="24"/>
      <c r="R17726" s="24"/>
      <c r="S17726" s="24"/>
      <c r="T17726" s="24"/>
      <c r="U17726" s="24"/>
      <c r="V17726" s="24"/>
      <c r="W17726" s="24"/>
      <c r="X17726" s="24"/>
      <c r="Y17726" s="24"/>
      <c r="Z17726" s="24"/>
      <c r="AA17726" s="24"/>
    </row>
    <row r="17727">
      <c r="A17727" s="24"/>
      <c r="B17727" s="25"/>
      <c r="C17727" s="24"/>
      <c r="D17727" s="26"/>
      <c r="E17727" s="24"/>
      <c r="F17727" s="24"/>
      <c r="G17727" s="24"/>
      <c r="H17727" s="24"/>
      <c r="I17727" s="24"/>
      <c r="J17727" s="24"/>
      <c r="K17727" s="24"/>
      <c r="L17727" s="24"/>
      <c r="M17727" s="24"/>
      <c r="N17727" s="24"/>
      <c r="O17727" s="24"/>
      <c r="P17727" s="24"/>
      <c r="Q17727" s="24"/>
      <c r="R17727" s="24"/>
      <c r="S17727" s="24"/>
      <c r="T17727" s="24"/>
      <c r="U17727" s="24"/>
      <c r="V17727" s="24"/>
      <c r="W17727" s="24"/>
      <c r="X17727" s="24"/>
      <c r="Y17727" s="24"/>
      <c r="Z17727" s="24"/>
      <c r="AA17727" s="24"/>
    </row>
    <row r="17728">
      <c r="A17728" s="24"/>
      <c r="B17728" s="25"/>
      <c r="C17728" s="24"/>
      <c r="D17728" s="26"/>
      <c r="E17728" s="24"/>
      <c r="F17728" s="24"/>
      <c r="G17728" s="24"/>
      <c r="H17728" s="24"/>
      <c r="I17728" s="24"/>
      <c r="J17728" s="24"/>
      <c r="K17728" s="24"/>
      <c r="L17728" s="24"/>
      <c r="M17728" s="24"/>
      <c r="N17728" s="24"/>
      <c r="O17728" s="24"/>
      <c r="P17728" s="24"/>
      <c r="Q17728" s="24"/>
      <c r="R17728" s="24"/>
      <c r="S17728" s="24"/>
      <c r="T17728" s="24"/>
      <c r="U17728" s="24"/>
      <c r="V17728" s="24"/>
      <c r="W17728" s="24"/>
      <c r="X17728" s="24"/>
      <c r="Y17728" s="24"/>
      <c r="Z17728" s="24"/>
      <c r="AA17728" s="24"/>
    </row>
    <row r="17729">
      <c r="A17729" s="24"/>
      <c r="B17729" s="25"/>
      <c r="C17729" s="24"/>
      <c r="D17729" s="26"/>
      <c r="E17729" s="24"/>
      <c r="F17729" s="24"/>
      <c r="G17729" s="24"/>
      <c r="H17729" s="24"/>
      <c r="I17729" s="24"/>
      <c r="J17729" s="24"/>
      <c r="K17729" s="24"/>
      <c r="L17729" s="24"/>
      <c r="M17729" s="24"/>
      <c r="N17729" s="24"/>
      <c r="O17729" s="24"/>
      <c r="P17729" s="24"/>
      <c r="Q17729" s="24"/>
      <c r="R17729" s="24"/>
      <c r="S17729" s="24"/>
      <c r="T17729" s="24"/>
      <c r="U17729" s="24"/>
      <c r="V17729" s="24"/>
      <c r="W17729" s="24"/>
      <c r="X17729" s="24"/>
      <c r="Y17729" s="24"/>
      <c r="Z17729" s="24"/>
      <c r="AA17729" s="24"/>
    </row>
    <row r="17730">
      <c r="A17730" s="24"/>
      <c r="B17730" s="25"/>
      <c r="C17730" s="24"/>
      <c r="D17730" s="26"/>
      <c r="E17730" s="24"/>
      <c r="F17730" s="24"/>
      <c r="G17730" s="24"/>
      <c r="H17730" s="24"/>
      <c r="I17730" s="24"/>
      <c r="J17730" s="24"/>
      <c r="K17730" s="24"/>
      <c r="L17730" s="24"/>
      <c r="M17730" s="24"/>
      <c r="N17730" s="24"/>
      <c r="O17730" s="24"/>
      <c r="P17730" s="24"/>
      <c r="Q17730" s="24"/>
      <c r="R17730" s="24"/>
      <c r="S17730" s="24"/>
      <c r="T17730" s="24"/>
      <c r="U17730" s="24"/>
      <c r="V17730" s="24"/>
      <c r="W17730" s="24"/>
      <c r="X17730" s="24"/>
      <c r="Y17730" s="24"/>
      <c r="Z17730" s="24"/>
      <c r="AA17730" s="24"/>
    </row>
    <row r="17731">
      <c r="A17731" s="24"/>
      <c r="B17731" s="25"/>
      <c r="C17731" s="24"/>
      <c r="D17731" s="26"/>
      <c r="E17731" s="24"/>
      <c r="F17731" s="24"/>
      <c r="G17731" s="24"/>
      <c r="H17731" s="24"/>
      <c r="I17731" s="24"/>
      <c r="J17731" s="24"/>
      <c r="K17731" s="24"/>
      <c r="L17731" s="24"/>
      <c r="M17731" s="24"/>
      <c r="N17731" s="24"/>
      <c r="O17731" s="24"/>
      <c r="P17731" s="24"/>
      <c r="Q17731" s="24"/>
      <c r="R17731" s="24"/>
      <c r="S17731" s="24"/>
      <c r="T17731" s="24"/>
      <c r="U17731" s="24"/>
      <c r="V17731" s="24"/>
      <c r="W17731" s="24"/>
      <c r="X17731" s="24"/>
      <c r="Y17731" s="24"/>
      <c r="Z17731" s="24"/>
      <c r="AA17731" s="24"/>
    </row>
    <row r="17732">
      <c r="A17732" s="24"/>
      <c r="B17732" s="25"/>
      <c r="C17732" s="24"/>
      <c r="D17732" s="26"/>
      <c r="E17732" s="24"/>
      <c r="F17732" s="24"/>
      <c r="G17732" s="24"/>
      <c r="H17732" s="24"/>
      <c r="I17732" s="24"/>
      <c r="J17732" s="24"/>
      <c r="K17732" s="24"/>
      <c r="L17732" s="24"/>
      <c r="M17732" s="24"/>
      <c r="N17732" s="24"/>
      <c r="O17732" s="24"/>
      <c r="P17732" s="24"/>
      <c r="Q17732" s="24"/>
      <c r="R17732" s="24"/>
      <c r="S17732" s="24"/>
      <c r="T17732" s="24"/>
      <c r="U17732" s="24"/>
      <c r="V17732" s="24"/>
      <c r="W17732" s="24"/>
      <c r="X17732" s="24"/>
      <c r="Y17732" s="24"/>
      <c r="Z17732" s="24"/>
      <c r="AA17732" s="24"/>
    </row>
    <row r="17733">
      <c r="A17733" s="24"/>
      <c r="B17733" s="25"/>
      <c r="C17733" s="24"/>
      <c r="D17733" s="26"/>
      <c r="E17733" s="24"/>
      <c r="F17733" s="24"/>
      <c r="G17733" s="24"/>
      <c r="H17733" s="24"/>
      <c r="I17733" s="24"/>
      <c r="J17733" s="24"/>
      <c r="K17733" s="24"/>
      <c r="L17733" s="24"/>
      <c r="M17733" s="24"/>
      <c r="N17733" s="24"/>
      <c r="O17733" s="24"/>
      <c r="P17733" s="24"/>
      <c r="Q17733" s="24"/>
      <c r="R17733" s="24"/>
      <c r="S17733" s="24"/>
      <c r="T17733" s="24"/>
      <c r="U17733" s="24"/>
      <c r="V17733" s="24"/>
      <c r="W17733" s="24"/>
      <c r="X17733" s="24"/>
      <c r="Y17733" s="24"/>
      <c r="Z17733" s="24"/>
      <c r="AA17733" s="24"/>
    </row>
    <row r="17734">
      <c r="A17734" s="24"/>
      <c r="B17734" s="25"/>
      <c r="C17734" s="24"/>
      <c r="D17734" s="26"/>
      <c r="E17734" s="24"/>
      <c r="F17734" s="24"/>
      <c r="G17734" s="24"/>
      <c r="H17734" s="24"/>
      <c r="I17734" s="24"/>
      <c r="J17734" s="24"/>
      <c r="K17734" s="24"/>
      <c r="L17734" s="24"/>
      <c r="M17734" s="24"/>
      <c r="N17734" s="24"/>
      <c r="O17734" s="24"/>
      <c r="P17734" s="24"/>
      <c r="Q17734" s="24"/>
      <c r="R17734" s="24"/>
      <c r="S17734" s="24"/>
      <c r="T17734" s="24"/>
      <c r="U17734" s="24"/>
      <c r="V17734" s="24"/>
      <c r="W17734" s="24"/>
      <c r="X17734" s="24"/>
      <c r="Y17734" s="24"/>
      <c r="Z17734" s="24"/>
      <c r="AA17734" s="24"/>
    </row>
    <row r="17735">
      <c r="A17735" s="24"/>
      <c r="B17735" s="25"/>
      <c r="C17735" s="24"/>
      <c r="D17735" s="26"/>
      <c r="E17735" s="24"/>
      <c r="F17735" s="24"/>
      <c r="G17735" s="24"/>
      <c r="H17735" s="24"/>
      <c r="I17735" s="24"/>
      <c r="J17735" s="24"/>
      <c r="K17735" s="24"/>
      <c r="L17735" s="24"/>
      <c r="M17735" s="24"/>
      <c r="N17735" s="24"/>
      <c r="O17735" s="24"/>
      <c r="P17735" s="24"/>
      <c r="Q17735" s="24"/>
      <c r="R17735" s="24"/>
      <c r="S17735" s="24"/>
      <c r="T17735" s="24"/>
      <c r="U17735" s="24"/>
      <c r="V17735" s="24"/>
      <c r="W17735" s="24"/>
      <c r="X17735" s="24"/>
      <c r="Y17735" s="24"/>
      <c r="Z17735" s="24"/>
      <c r="AA17735" s="24"/>
    </row>
    <row r="17736">
      <c r="A17736" s="24"/>
      <c r="B17736" s="25"/>
      <c r="C17736" s="24"/>
      <c r="D17736" s="26"/>
      <c r="E17736" s="24"/>
      <c r="F17736" s="24"/>
      <c r="G17736" s="24"/>
      <c r="H17736" s="24"/>
      <c r="I17736" s="24"/>
      <c r="J17736" s="24"/>
      <c r="K17736" s="24"/>
      <c r="L17736" s="24"/>
      <c r="M17736" s="24"/>
      <c r="N17736" s="24"/>
      <c r="O17736" s="24"/>
      <c r="P17736" s="24"/>
      <c r="Q17736" s="24"/>
      <c r="R17736" s="24"/>
      <c r="S17736" s="24"/>
      <c r="T17736" s="24"/>
      <c r="U17736" s="24"/>
      <c r="V17736" s="24"/>
      <c r="W17736" s="24"/>
      <c r="X17736" s="24"/>
      <c r="Y17736" s="24"/>
      <c r="Z17736" s="24"/>
      <c r="AA17736" s="24"/>
    </row>
    <row r="17737">
      <c r="A17737" s="24"/>
      <c r="B17737" s="25"/>
      <c r="C17737" s="24"/>
      <c r="D17737" s="26"/>
      <c r="E17737" s="24"/>
      <c r="F17737" s="24"/>
      <c r="G17737" s="24"/>
      <c r="H17737" s="24"/>
      <c r="I17737" s="24"/>
      <c r="J17737" s="24"/>
      <c r="K17737" s="24"/>
      <c r="L17737" s="24"/>
      <c r="M17737" s="24"/>
      <c r="N17737" s="24"/>
      <c r="O17737" s="24"/>
      <c r="P17737" s="24"/>
      <c r="Q17737" s="24"/>
      <c r="R17737" s="24"/>
      <c r="S17737" s="24"/>
      <c r="T17737" s="24"/>
      <c r="U17737" s="24"/>
      <c r="V17737" s="24"/>
      <c r="W17737" s="24"/>
      <c r="X17737" s="24"/>
      <c r="Y17737" s="24"/>
      <c r="Z17737" s="24"/>
      <c r="AA17737" s="24"/>
    </row>
    <row r="17738">
      <c r="A17738" s="24"/>
      <c r="B17738" s="25"/>
      <c r="C17738" s="24"/>
      <c r="D17738" s="26"/>
      <c r="E17738" s="24"/>
      <c r="F17738" s="24"/>
      <c r="G17738" s="24"/>
      <c r="H17738" s="24"/>
      <c r="I17738" s="24"/>
      <c r="J17738" s="24"/>
      <c r="K17738" s="24"/>
      <c r="L17738" s="24"/>
      <c r="M17738" s="24"/>
      <c r="N17738" s="24"/>
      <c r="O17738" s="24"/>
      <c r="P17738" s="24"/>
      <c r="Q17738" s="24"/>
      <c r="R17738" s="24"/>
      <c r="S17738" s="24"/>
      <c r="T17738" s="24"/>
      <c r="U17738" s="24"/>
      <c r="V17738" s="24"/>
      <c r="W17738" s="24"/>
      <c r="X17738" s="24"/>
      <c r="Y17738" s="24"/>
      <c r="Z17738" s="24"/>
      <c r="AA17738" s="24"/>
    </row>
    <row r="17739">
      <c r="A17739" s="24"/>
      <c r="B17739" s="25"/>
      <c r="C17739" s="24"/>
      <c r="D17739" s="26"/>
      <c r="E17739" s="24"/>
      <c r="F17739" s="24"/>
      <c r="G17739" s="24"/>
      <c r="H17739" s="24"/>
      <c r="I17739" s="24"/>
      <c r="J17739" s="24"/>
      <c r="K17739" s="24"/>
      <c r="L17739" s="24"/>
      <c r="M17739" s="24"/>
      <c r="N17739" s="24"/>
      <c r="O17739" s="24"/>
      <c r="P17739" s="24"/>
      <c r="Q17739" s="24"/>
      <c r="R17739" s="24"/>
      <c r="S17739" s="24"/>
      <c r="T17739" s="24"/>
      <c r="U17739" s="24"/>
      <c r="V17739" s="24"/>
      <c r="W17739" s="24"/>
      <c r="X17739" s="24"/>
      <c r="Y17739" s="24"/>
      <c r="Z17739" s="24"/>
      <c r="AA17739" s="24"/>
    </row>
    <row r="17740">
      <c r="A17740" s="24"/>
      <c r="B17740" s="25"/>
      <c r="C17740" s="24"/>
      <c r="D17740" s="26"/>
      <c r="E17740" s="24"/>
      <c r="F17740" s="24"/>
      <c r="G17740" s="24"/>
      <c r="H17740" s="24"/>
      <c r="I17740" s="24"/>
      <c r="J17740" s="24"/>
      <c r="K17740" s="24"/>
      <c r="L17740" s="24"/>
      <c r="M17740" s="24"/>
      <c r="N17740" s="24"/>
      <c r="O17740" s="24"/>
      <c r="P17740" s="24"/>
      <c r="Q17740" s="24"/>
      <c r="R17740" s="24"/>
      <c r="S17740" s="24"/>
      <c r="T17740" s="24"/>
      <c r="U17740" s="24"/>
      <c r="V17740" s="24"/>
      <c r="W17740" s="24"/>
      <c r="X17740" s="24"/>
      <c r="Y17740" s="24"/>
      <c r="Z17740" s="24"/>
      <c r="AA17740" s="24"/>
    </row>
    <row r="17741">
      <c r="A17741" s="24"/>
      <c r="B17741" s="25"/>
      <c r="C17741" s="24"/>
      <c r="D17741" s="26"/>
      <c r="E17741" s="24"/>
      <c r="F17741" s="24"/>
      <c r="G17741" s="24"/>
      <c r="H17741" s="24"/>
      <c r="I17741" s="24"/>
      <c r="J17741" s="24"/>
      <c r="K17741" s="24"/>
      <c r="L17741" s="24"/>
      <c r="M17741" s="24"/>
      <c r="N17741" s="24"/>
      <c r="O17741" s="24"/>
      <c r="P17741" s="24"/>
      <c r="Q17741" s="24"/>
      <c r="R17741" s="24"/>
      <c r="S17741" s="24"/>
      <c r="T17741" s="24"/>
      <c r="U17741" s="24"/>
      <c r="V17741" s="24"/>
      <c r="W17741" s="24"/>
      <c r="X17741" s="24"/>
      <c r="Y17741" s="24"/>
      <c r="Z17741" s="24"/>
      <c r="AA17741" s="24"/>
    </row>
    <row r="17742">
      <c r="A17742" s="24"/>
      <c r="B17742" s="25"/>
      <c r="C17742" s="24"/>
      <c r="D17742" s="26"/>
      <c r="E17742" s="24"/>
      <c r="F17742" s="24"/>
      <c r="G17742" s="24"/>
      <c r="H17742" s="24"/>
      <c r="I17742" s="24"/>
      <c r="J17742" s="24"/>
      <c r="K17742" s="24"/>
      <c r="L17742" s="24"/>
      <c r="M17742" s="24"/>
      <c r="N17742" s="24"/>
      <c r="O17742" s="24"/>
      <c r="P17742" s="24"/>
      <c r="Q17742" s="24"/>
      <c r="R17742" s="24"/>
      <c r="S17742" s="24"/>
      <c r="T17742" s="24"/>
      <c r="U17742" s="24"/>
      <c r="V17742" s="24"/>
      <c r="W17742" s="24"/>
      <c r="X17742" s="24"/>
      <c r="Y17742" s="24"/>
      <c r="Z17742" s="24"/>
      <c r="AA17742" s="24"/>
    </row>
    <row r="17743">
      <c r="A17743" s="24"/>
      <c r="B17743" s="25"/>
      <c r="C17743" s="24"/>
      <c r="D17743" s="26"/>
      <c r="E17743" s="24"/>
      <c r="F17743" s="24"/>
      <c r="G17743" s="24"/>
      <c r="H17743" s="24"/>
      <c r="I17743" s="24"/>
      <c r="J17743" s="24"/>
      <c r="K17743" s="24"/>
      <c r="L17743" s="24"/>
      <c r="M17743" s="24"/>
      <c r="N17743" s="24"/>
      <c r="O17743" s="24"/>
      <c r="P17743" s="24"/>
      <c r="Q17743" s="24"/>
      <c r="R17743" s="24"/>
      <c r="S17743" s="24"/>
      <c r="T17743" s="24"/>
      <c r="U17743" s="24"/>
      <c r="V17743" s="24"/>
      <c r="W17743" s="24"/>
      <c r="X17743" s="24"/>
      <c r="Y17743" s="24"/>
      <c r="Z17743" s="24"/>
      <c r="AA17743" s="24"/>
    </row>
    <row r="17744">
      <c r="A17744" s="24"/>
      <c r="B17744" s="25"/>
      <c r="C17744" s="24"/>
      <c r="D17744" s="26"/>
      <c r="E17744" s="24"/>
      <c r="F17744" s="24"/>
      <c r="G17744" s="24"/>
      <c r="H17744" s="24"/>
      <c r="I17744" s="24"/>
      <c r="J17744" s="24"/>
      <c r="K17744" s="24"/>
      <c r="L17744" s="24"/>
      <c r="M17744" s="24"/>
      <c r="N17744" s="24"/>
      <c r="O17744" s="24"/>
      <c r="P17744" s="24"/>
      <c r="Q17744" s="24"/>
      <c r="R17744" s="24"/>
      <c r="S17744" s="24"/>
      <c r="T17744" s="24"/>
      <c r="U17744" s="24"/>
      <c r="V17744" s="24"/>
      <c r="W17744" s="24"/>
      <c r="X17744" s="24"/>
      <c r="Y17744" s="24"/>
      <c r="Z17744" s="24"/>
      <c r="AA17744" s="24"/>
    </row>
    <row r="17745">
      <c r="A17745" s="24"/>
      <c r="B17745" s="25"/>
      <c r="C17745" s="24"/>
      <c r="D17745" s="26"/>
      <c r="E17745" s="24"/>
      <c r="F17745" s="24"/>
      <c r="G17745" s="24"/>
      <c r="H17745" s="24"/>
      <c r="I17745" s="24"/>
      <c r="J17745" s="24"/>
      <c r="K17745" s="24"/>
      <c r="L17745" s="24"/>
      <c r="M17745" s="24"/>
      <c r="N17745" s="24"/>
      <c r="O17745" s="24"/>
      <c r="P17745" s="24"/>
      <c r="Q17745" s="24"/>
      <c r="R17745" s="24"/>
      <c r="S17745" s="24"/>
      <c r="T17745" s="24"/>
      <c r="U17745" s="24"/>
      <c r="V17745" s="24"/>
      <c r="W17745" s="24"/>
      <c r="X17745" s="24"/>
      <c r="Y17745" s="24"/>
      <c r="Z17745" s="24"/>
      <c r="AA17745" s="24"/>
    </row>
    <row r="17746">
      <c r="A17746" s="24"/>
      <c r="B17746" s="25"/>
      <c r="C17746" s="24"/>
      <c r="D17746" s="26"/>
      <c r="E17746" s="24"/>
      <c r="F17746" s="24"/>
      <c r="G17746" s="24"/>
      <c r="H17746" s="24"/>
      <c r="I17746" s="24"/>
      <c r="J17746" s="24"/>
      <c r="K17746" s="24"/>
      <c r="L17746" s="24"/>
      <c r="M17746" s="24"/>
      <c r="N17746" s="24"/>
      <c r="O17746" s="24"/>
      <c r="P17746" s="24"/>
      <c r="Q17746" s="24"/>
      <c r="R17746" s="24"/>
      <c r="S17746" s="24"/>
      <c r="T17746" s="24"/>
      <c r="U17746" s="24"/>
      <c r="V17746" s="24"/>
      <c r="W17746" s="24"/>
      <c r="X17746" s="24"/>
      <c r="Y17746" s="24"/>
      <c r="Z17746" s="24"/>
      <c r="AA17746" s="24"/>
    </row>
    <row r="17747">
      <c r="A17747" s="24"/>
      <c r="B17747" s="25"/>
      <c r="C17747" s="24"/>
      <c r="D17747" s="26"/>
      <c r="E17747" s="24"/>
      <c r="F17747" s="24"/>
      <c r="G17747" s="24"/>
      <c r="H17747" s="24"/>
      <c r="I17747" s="24"/>
      <c r="J17747" s="24"/>
      <c r="K17747" s="24"/>
      <c r="L17747" s="24"/>
      <c r="M17747" s="24"/>
      <c r="N17747" s="24"/>
      <c r="O17747" s="24"/>
      <c r="P17747" s="24"/>
      <c r="Q17747" s="24"/>
      <c r="R17747" s="24"/>
      <c r="S17747" s="24"/>
      <c r="T17747" s="24"/>
      <c r="U17747" s="24"/>
      <c r="V17747" s="24"/>
      <c r="W17747" s="24"/>
      <c r="X17747" s="24"/>
      <c r="Y17747" s="24"/>
      <c r="Z17747" s="24"/>
      <c r="AA17747" s="24"/>
    </row>
    <row r="17748">
      <c r="A17748" s="24"/>
      <c r="B17748" s="25"/>
      <c r="C17748" s="24"/>
      <c r="D17748" s="26"/>
      <c r="E17748" s="24"/>
      <c r="F17748" s="24"/>
      <c r="G17748" s="24"/>
      <c r="H17748" s="24"/>
      <c r="I17748" s="24"/>
      <c r="J17748" s="24"/>
      <c r="K17748" s="24"/>
      <c r="L17748" s="24"/>
      <c r="M17748" s="24"/>
      <c r="N17748" s="24"/>
      <c r="O17748" s="24"/>
      <c r="P17748" s="24"/>
      <c r="Q17748" s="24"/>
      <c r="R17748" s="24"/>
      <c r="S17748" s="24"/>
      <c r="T17748" s="24"/>
      <c r="U17748" s="24"/>
      <c r="V17748" s="24"/>
      <c r="W17748" s="24"/>
      <c r="X17748" s="24"/>
      <c r="Y17748" s="24"/>
      <c r="Z17748" s="24"/>
      <c r="AA17748" s="24"/>
    </row>
    <row r="17749">
      <c r="A17749" s="24"/>
      <c r="B17749" s="25"/>
      <c r="C17749" s="24"/>
      <c r="D17749" s="26"/>
      <c r="E17749" s="24"/>
      <c r="F17749" s="24"/>
      <c r="G17749" s="24"/>
      <c r="H17749" s="24"/>
      <c r="I17749" s="24"/>
      <c r="J17749" s="24"/>
      <c r="K17749" s="24"/>
      <c r="L17749" s="24"/>
      <c r="M17749" s="24"/>
      <c r="N17749" s="24"/>
      <c r="O17749" s="24"/>
      <c r="P17749" s="24"/>
      <c r="Q17749" s="24"/>
      <c r="R17749" s="24"/>
      <c r="S17749" s="24"/>
      <c r="T17749" s="24"/>
      <c r="U17749" s="24"/>
      <c r="V17749" s="24"/>
      <c r="W17749" s="24"/>
      <c r="X17749" s="24"/>
      <c r="Y17749" s="24"/>
      <c r="Z17749" s="24"/>
      <c r="AA17749" s="24"/>
    </row>
    <row r="17750">
      <c r="A17750" s="24"/>
      <c r="B17750" s="25"/>
      <c r="C17750" s="24"/>
      <c r="D17750" s="26"/>
      <c r="E17750" s="24"/>
      <c r="F17750" s="24"/>
      <c r="G17750" s="24"/>
      <c r="H17750" s="24"/>
      <c r="I17750" s="24"/>
      <c r="J17750" s="24"/>
      <c r="K17750" s="24"/>
      <c r="L17750" s="24"/>
      <c r="M17750" s="24"/>
      <c r="N17750" s="24"/>
      <c r="O17750" s="24"/>
      <c r="P17750" s="24"/>
      <c r="Q17750" s="24"/>
      <c r="R17750" s="24"/>
      <c r="S17750" s="24"/>
      <c r="T17750" s="24"/>
      <c r="U17750" s="24"/>
      <c r="V17750" s="24"/>
      <c r="W17750" s="24"/>
      <c r="X17750" s="24"/>
      <c r="Y17750" s="24"/>
      <c r="Z17750" s="24"/>
      <c r="AA17750" s="24"/>
    </row>
    <row r="17751">
      <c r="A17751" s="24"/>
      <c r="B17751" s="25"/>
      <c r="C17751" s="24"/>
      <c r="D17751" s="26"/>
      <c r="E17751" s="24"/>
      <c r="F17751" s="24"/>
      <c r="G17751" s="24"/>
      <c r="H17751" s="24"/>
      <c r="I17751" s="24"/>
      <c r="J17751" s="24"/>
      <c r="K17751" s="24"/>
      <c r="L17751" s="24"/>
      <c r="M17751" s="24"/>
      <c r="N17751" s="24"/>
      <c r="O17751" s="24"/>
      <c r="P17751" s="24"/>
      <c r="Q17751" s="24"/>
      <c r="R17751" s="24"/>
      <c r="S17751" s="24"/>
      <c r="T17751" s="24"/>
      <c r="U17751" s="24"/>
      <c r="V17751" s="24"/>
      <c r="W17751" s="24"/>
      <c r="X17751" s="24"/>
      <c r="Y17751" s="24"/>
      <c r="Z17751" s="24"/>
      <c r="AA17751" s="24"/>
    </row>
    <row r="17752">
      <c r="A17752" s="24"/>
      <c r="B17752" s="25"/>
      <c r="C17752" s="24"/>
      <c r="D17752" s="26"/>
      <c r="E17752" s="24"/>
      <c r="F17752" s="24"/>
      <c r="G17752" s="24"/>
      <c r="H17752" s="24"/>
      <c r="I17752" s="24"/>
      <c r="J17752" s="24"/>
      <c r="K17752" s="24"/>
      <c r="L17752" s="24"/>
      <c r="M17752" s="24"/>
      <c r="N17752" s="24"/>
      <c r="O17752" s="24"/>
      <c r="P17752" s="24"/>
      <c r="Q17752" s="24"/>
      <c r="R17752" s="24"/>
      <c r="S17752" s="24"/>
      <c r="T17752" s="24"/>
      <c r="U17752" s="24"/>
      <c r="V17752" s="24"/>
      <c r="W17752" s="24"/>
      <c r="X17752" s="24"/>
      <c r="Y17752" s="24"/>
      <c r="Z17752" s="24"/>
      <c r="AA17752" s="24"/>
    </row>
    <row r="17753">
      <c r="A17753" s="24"/>
      <c r="B17753" s="25"/>
      <c r="C17753" s="24"/>
      <c r="D17753" s="26"/>
      <c r="E17753" s="24"/>
      <c r="F17753" s="24"/>
      <c r="G17753" s="24"/>
      <c r="H17753" s="24"/>
      <c r="I17753" s="24"/>
      <c r="J17753" s="24"/>
      <c r="K17753" s="24"/>
      <c r="L17753" s="24"/>
      <c r="M17753" s="24"/>
      <c r="N17753" s="24"/>
      <c r="O17753" s="24"/>
      <c r="P17753" s="24"/>
      <c r="Q17753" s="24"/>
      <c r="R17753" s="24"/>
      <c r="S17753" s="24"/>
      <c r="T17753" s="24"/>
      <c r="U17753" s="24"/>
      <c r="V17753" s="24"/>
      <c r="W17753" s="24"/>
      <c r="X17753" s="24"/>
      <c r="Y17753" s="24"/>
      <c r="Z17753" s="24"/>
      <c r="AA17753" s="24"/>
    </row>
    <row r="17754">
      <c r="A17754" s="24"/>
      <c r="B17754" s="25"/>
      <c r="C17754" s="24"/>
      <c r="D17754" s="26"/>
      <c r="E17754" s="24"/>
      <c r="F17754" s="24"/>
      <c r="G17754" s="24"/>
      <c r="H17754" s="24"/>
      <c r="I17754" s="24"/>
      <c r="J17754" s="24"/>
      <c r="K17754" s="24"/>
      <c r="L17754" s="24"/>
      <c r="M17754" s="24"/>
      <c r="N17754" s="24"/>
      <c r="O17754" s="24"/>
      <c r="P17754" s="24"/>
      <c r="Q17754" s="24"/>
      <c r="R17754" s="24"/>
      <c r="S17754" s="24"/>
      <c r="T17754" s="24"/>
      <c r="U17754" s="24"/>
      <c r="V17754" s="24"/>
      <c r="W17754" s="24"/>
      <c r="X17754" s="24"/>
      <c r="Y17754" s="24"/>
      <c r="Z17754" s="24"/>
      <c r="AA17754" s="24"/>
    </row>
    <row r="17755">
      <c r="A17755" s="24"/>
      <c r="B17755" s="25"/>
      <c r="C17755" s="24"/>
      <c r="D17755" s="26"/>
      <c r="E17755" s="24"/>
      <c r="F17755" s="24"/>
      <c r="G17755" s="24"/>
      <c r="H17755" s="24"/>
      <c r="I17755" s="24"/>
      <c r="J17755" s="24"/>
      <c r="K17755" s="24"/>
      <c r="L17755" s="24"/>
      <c r="M17755" s="24"/>
      <c r="N17755" s="24"/>
      <c r="O17755" s="24"/>
      <c r="P17755" s="24"/>
      <c r="Q17755" s="24"/>
      <c r="R17755" s="24"/>
      <c r="S17755" s="24"/>
      <c r="T17755" s="24"/>
      <c r="U17755" s="24"/>
      <c r="V17755" s="24"/>
      <c r="W17755" s="24"/>
      <c r="X17755" s="24"/>
      <c r="Y17755" s="24"/>
      <c r="Z17755" s="24"/>
      <c r="AA17755" s="24"/>
    </row>
    <row r="17756">
      <c r="A17756" s="24"/>
      <c r="B17756" s="25"/>
      <c r="C17756" s="24"/>
      <c r="D17756" s="26"/>
      <c r="E17756" s="24"/>
      <c r="F17756" s="24"/>
      <c r="G17756" s="24"/>
      <c r="H17756" s="24"/>
      <c r="I17756" s="24"/>
      <c r="J17756" s="24"/>
      <c r="K17756" s="24"/>
      <c r="L17756" s="24"/>
      <c r="M17756" s="24"/>
      <c r="N17756" s="24"/>
      <c r="O17756" s="24"/>
      <c r="P17756" s="24"/>
      <c r="Q17756" s="24"/>
      <c r="R17756" s="24"/>
      <c r="S17756" s="24"/>
      <c r="T17756" s="24"/>
      <c r="U17756" s="24"/>
      <c r="V17756" s="24"/>
      <c r="W17756" s="24"/>
      <c r="X17756" s="24"/>
      <c r="Y17756" s="24"/>
      <c r="Z17756" s="24"/>
      <c r="AA17756" s="24"/>
    </row>
    <row r="17757">
      <c r="A17757" s="24"/>
      <c r="B17757" s="25"/>
      <c r="C17757" s="24"/>
      <c r="D17757" s="26"/>
      <c r="E17757" s="24"/>
      <c r="F17757" s="24"/>
      <c r="G17757" s="24"/>
      <c r="H17757" s="24"/>
      <c r="I17757" s="24"/>
      <c r="J17757" s="24"/>
      <c r="K17757" s="24"/>
      <c r="L17757" s="24"/>
      <c r="M17757" s="24"/>
      <c r="N17757" s="24"/>
      <c r="O17757" s="24"/>
      <c r="P17757" s="24"/>
      <c r="Q17757" s="24"/>
      <c r="R17757" s="24"/>
      <c r="S17757" s="24"/>
      <c r="T17757" s="24"/>
      <c r="U17757" s="24"/>
      <c r="V17757" s="24"/>
      <c r="W17757" s="24"/>
      <c r="X17757" s="24"/>
      <c r="Y17757" s="24"/>
      <c r="Z17757" s="24"/>
      <c r="AA17757" s="24"/>
    </row>
    <row r="17758">
      <c r="A17758" s="24"/>
      <c r="B17758" s="25"/>
      <c r="C17758" s="24"/>
      <c r="D17758" s="26"/>
      <c r="E17758" s="24"/>
      <c r="F17758" s="24"/>
      <c r="G17758" s="24"/>
      <c r="H17758" s="24"/>
      <c r="I17758" s="24"/>
      <c r="J17758" s="24"/>
      <c r="K17758" s="24"/>
      <c r="L17758" s="24"/>
      <c r="M17758" s="24"/>
      <c r="N17758" s="24"/>
      <c r="O17758" s="24"/>
      <c r="P17758" s="24"/>
      <c r="Q17758" s="24"/>
      <c r="R17758" s="24"/>
      <c r="S17758" s="24"/>
      <c r="T17758" s="24"/>
      <c r="U17758" s="24"/>
      <c r="V17758" s="24"/>
      <c r="W17758" s="24"/>
      <c r="X17758" s="24"/>
      <c r="Y17758" s="24"/>
      <c r="Z17758" s="24"/>
      <c r="AA17758" s="24"/>
    </row>
    <row r="17759">
      <c r="A17759" s="24"/>
      <c r="B17759" s="25"/>
      <c r="C17759" s="24"/>
      <c r="D17759" s="26"/>
      <c r="E17759" s="24"/>
      <c r="F17759" s="24"/>
      <c r="G17759" s="24"/>
      <c r="H17759" s="24"/>
      <c r="I17759" s="24"/>
      <c r="J17759" s="24"/>
      <c r="K17759" s="24"/>
      <c r="L17759" s="24"/>
      <c r="M17759" s="24"/>
      <c r="N17759" s="24"/>
      <c r="O17759" s="24"/>
      <c r="P17759" s="24"/>
      <c r="Q17759" s="24"/>
      <c r="R17759" s="24"/>
      <c r="S17759" s="24"/>
      <c r="T17759" s="24"/>
      <c r="U17759" s="24"/>
      <c r="V17759" s="24"/>
      <c r="W17759" s="24"/>
      <c r="X17759" s="24"/>
      <c r="Y17759" s="24"/>
      <c r="Z17759" s="24"/>
      <c r="AA17759" s="24"/>
    </row>
    <row r="17760">
      <c r="A17760" s="24"/>
      <c r="B17760" s="25"/>
      <c r="C17760" s="24"/>
      <c r="D17760" s="26"/>
      <c r="E17760" s="24"/>
      <c r="F17760" s="24"/>
      <c r="G17760" s="24"/>
      <c r="H17760" s="24"/>
      <c r="I17760" s="24"/>
      <c r="J17760" s="24"/>
      <c r="K17760" s="24"/>
      <c r="L17760" s="24"/>
      <c r="M17760" s="24"/>
      <c r="N17760" s="24"/>
      <c r="O17760" s="24"/>
      <c r="P17760" s="24"/>
      <c r="Q17760" s="24"/>
      <c r="R17760" s="24"/>
      <c r="S17760" s="24"/>
      <c r="T17760" s="24"/>
      <c r="U17760" s="24"/>
      <c r="V17760" s="24"/>
      <c r="W17760" s="24"/>
      <c r="X17760" s="24"/>
      <c r="Y17760" s="24"/>
      <c r="Z17760" s="24"/>
      <c r="AA17760" s="24"/>
    </row>
    <row r="17761">
      <c r="A17761" s="24"/>
      <c r="B17761" s="25"/>
      <c r="C17761" s="24"/>
      <c r="D17761" s="26"/>
      <c r="E17761" s="24"/>
      <c r="F17761" s="24"/>
      <c r="G17761" s="24"/>
      <c r="H17761" s="24"/>
      <c r="I17761" s="24"/>
      <c r="J17761" s="24"/>
      <c r="K17761" s="24"/>
      <c r="L17761" s="24"/>
      <c r="M17761" s="24"/>
      <c r="N17761" s="24"/>
      <c r="O17761" s="24"/>
      <c r="P17761" s="24"/>
      <c r="Q17761" s="24"/>
      <c r="R17761" s="24"/>
      <c r="S17761" s="24"/>
      <c r="T17761" s="24"/>
      <c r="U17761" s="24"/>
      <c r="V17761" s="24"/>
      <c r="W17761" s="24"/>
      <c r="X17761" s="24"/>
      <c r="Y17761" s="24"/>
      <c r="Z17761" s="24"/>
      <c r="AA17761" s="24"/>
    </row>
    <row r="17762">
      <c r="A17762" s="24"/>
      <c r="B17762" s="25"/>
      <c r="C17762" s="24"/>
      <c r="D17762" s="26"/>
      <c r="E17762" s="24"/>
      <c r="F17762" s="24"/>
      <c r="G17762" s="24"/>
      <c r="H17762" s="24"/>
      <c r="I17762" s="24"/>
      <c r="J17762" s="24"/>
      <c r="K17762" s="24"/>
      <c r="L17762" s="24"/>
      <c r="M17762" s="24"/>
      <c r="N17762" s="24"/>
      <c r="O17762" s="24"/>
      <c r="P17762" s="24"/>
      <c r="Q17762" s="24"/>
      <c r="R17762" s="24"/>
      <c r="S17762" s="24"/>
      <c r="T17762" s="24"/>
      <c r="U17762" s="24"/>
      <c r="V17762" s="24"/>
      <c r="W17762" s="24"/>
      <c r="X17762" s="24"/>
      <c r="Y17762" s="24"/>
      <c r="Z17762" s="24"/>
      <c r="AA17762" s="24"/>
    </row>
    <row r="17763">
      <c r="A17763" s="24"/>
      <c r="B17763" s="25"/>
      <c r="C17763" s="24"/>
      <c r="D17763" s="26"/>
      <c r="E17763" s="24"/>
      <c r="F17763" s="24"/>
      <c r="G17763" s="24"/>
      <c r="H17763" s="24"/>
      <c r="I17763" s="24"/>
      <c r="J17763" s="24"/>
      <c r="K17763" s="24"/>
      <c r="L17763" s="24"/>
      <c r="M17763" s="24"/>
      <c r="N17763" s="24"/>
      <c r="O17763" s="24"/>
      <c r="P17763" s="24"/>
      <c r="Q17763" s="24"/>
      <c r="R17763" s="24"/>
      <c r="S17763" s="24"/>
      <c r="T17763" s="24"/>
      <c r="U17763" s="24"/>
      <c r="V17763" s="24"/>
      <c r="W17763" s="24"/>
      <c r="X17763" s="24"/>
      <c r="Y17763" s="24"/>
      <c r="Z17763" s="24"/>
      <c r="AA17763" s="24"/>
    </row>
    <row r="17764">
      <c r="A17764" s="24"/>
      <c r="B17764" s="25"/>
      <c r="C17764" s="24"/>
      <c r="D17764" s="26"/>
      <c r="E17764" s="24"/>
      <c r="F17764" s="24"/>
      <c r="G17764" s="24"/>
      <c r="H17764" s="24"/>
      <c r="I17764" s="24"/>
      <c r="J17764" s="24"/>
      <c r="K17764" s="24"/>
      <c r="L17764" s="24"/>
      <c r="M17764" s="24"/>
      <c r="N17764" s="24"/>
      <c r="O17764" s="24"/>
      <c r="P17764" s="24"/>
      <c r="Q17764" s="24"/>
      <c r="R17764" s="24"/>
      <c r="S17764" s="24"/>
      <c r="T17764" s="24"/>
      <c r="U17764" s="24"/>
      <c r="V17764" s="24"/>
      <c r="W17764" s="24"/>
      <c r="X17764" s="24"/>
      <c r="Y17764" s="24"/>
      <c r="Z17764" s="24"/>
      <c r="AA17764" s="24"/>
    </row>
    <row r="17765">
      <c r="A17765" s="24"/>
      <c r="B17765" s="25"/>
      <c r="C17765" s="24"/>
      <c r="D17765" s="26"/>
      <c r="E17765" s="24"/>
      <c r="F17765" s="24"/>
      <c r="G17765" s="24"/>
      <c r="H17765" s="24"/>
      <c r="I17765" s="24"/>
      <c r="J17765" s="24"/>
      <c r="K17765" s="24"/>
      <c r="L17765" s="24"/>
      <c r="M17765" s="24"/>
      <c r="N17765" s="24"/>
      <c r="O17765" s="24"/>
      <c r="P17765" s="24"/>
      <c r="Q17765" s="24"/>
      <c r="R17765" s="24"/>
      <c r="S17765" s="24"/>
      <c r="T17765" s="24"/>
      <c r="U17765" s="24"/>
      <c r="V17765" s="24"/>
      <c r="W17765" s="24"/>
      <c r="X17765" s="24"/>
      <c r="Y17765" s="24"/>
      <c r="Z17765" s="24"/>
      <c r="AA17765" s="24"/>
    </row>
    <row r="17766">
      <c r="A17766" s="24"/>
      <c r="B17766" s="25"/>
      <c r="C17766" s="24"/>
      <c r="D17766" s="26"/>
      <c r="E17766" s="24"/>
      <c r="F17766" s="24"/>
      <c r="G17766" s="24"/>
      <c r="H17766" s="24"/>
      <c r="I17766" s="24"/>
      <c r="J17766" s="24"/>
      <c r="K17766" s="24"/>
      <c r="L17766" s="24"/>
      <c r="M17766" s="24"/>
      <c r="N17766" s="24"/>
      <c r="O17766" s="24"/>
      <c r="P17766" s="24"/>
      <c r="Q17766" s="24"/>
      <c r="R17766" s="24"/>
      <c r="S17766" s="24"/>
      <c r="T17766" s="24"/>
      <c r="U17766" s="24"/>
      <c r="V17766" s="24"/>
      <c r="W17766" s="24"/>
      <c r="X17766" s="24"/>
      <c r="Y17766" s="24"/>
      <c r="Z17766" s="24"/>
      <c r="AA17766" s="24"/>
    </row>
    <row r="17767">
      <c r="A17767" s="24"/>
      <c r="B17767" s="25"/>
      <c r="C17767" s="24"/>
      <c r="D17767" s="26"/>
      <c r="E17767" s="24"/>
      <c r="F17767" s="24"/>
      <c r="G17767" s="24"/>
      <c r="H17767" s="24"/>
      <c r="I17767" s="24"/>
      <c r="J17767" s="24"/>
      <c r="K17767" s="24"/>
      <c r="L17767" s="24"/>
      <c r="M17767" s="24"/>
      <c r="N17767" s="24"/>
      <c r="O17767" s="24"/>
      <c r="P17767" s="24"/>
      <c r="Q17767" s="24"/>
      <c r="R17767" s="24"/>
      <c r="S17767" s="24"/>
      <c r="T17767" s="24"/>
      <c r="U17767" s="24"/>
      <c r="V17767" s="24"/>
      <c r="W17767" s="24"/>
      <c r="X17767" s="24"/>
      <c r="Y17767" s="24"/>
      <c r="Z17767" s="24"/>
      <c r="AA17767" s="24"/>
    </row>
    <row r="17768">
      <c r="A17768" s="24"/>
      <c r="B17768" s="25"/>
      <c r="C17768" s="24"/>
      <c r="D17768" s="26"/>
      <c r="E17768" s="24"/>
      <c r="F17768" s="24"/>
      <c r="G17768" s="24"/>
      <c r="H17768" s="24"/>
      <c r="I17768" s="24"/>
      <c r="J17768" s="24"/>
      <c r="K17768" s="24"/>
      <c r="L17768" s="24"/>
      <c r="M17768" s="24"/>
      <c r="N17768" s="24"/>
      <c r="O17768" s="24"/>
      <c r="P17768" s="24"/>
      <c r="Q17768" s="24"/>
      <c r="R17768" s="24"/>
      <c r="S17768" s="24"/>
      <c r="T17768" s="24"/>
      <c r="U17768" s="24"/>
      <c r="V17768" s="24"/>
      <c r="W17768" s="24"/>
      <c r="X17768" s="24"/>
      <c r="Y17768" s="24"/>
      <c r="Z17768" s="24"/>
      <c r="AA17768" s="24"/>
    </row>
    <row r="17769">
      <c r="A17769" s="24"/>
      <c r="B17769" s="25"/>
      <c r="C17769" s="24"/>
      <c r="D17769" s="26"/>
      <c r="E17769" s="24"/>
      <c r="F17769" s="24"/>
      <c r="G17769" s="24"/>
      <c r="H17769" s="24"/>
      <c r="I17769" s="24"/>
      <c r="J17769" s="24"/>
      <c r="K17769" s="24"/>
      <c r="L17769" s="24"/>
      <c r="M17769" s="24"/>
      <c r="N17769" s="24"/>
      <c r="O17769" s="24"/>
      <c r="P17769" s="24"/>
      <c r="Q17769" s="24"/>
      <c r="R17769" s="24"/>
      <c r="S17769" s="24"/>
      <c r="T17769" s="24"/>
      <c r="U17769" s="24"/>
      <c r="V17769" s="24"/>
      <c r="W17769" s="24"/>
      <c r="X17769" s="24"/>
      <c r="Y17769" s="24"/>
      <c r="Z17769" s="24"/>
      <c r="AA17769" s="24"/>
    </row>
    <row r="17770">
      <c r="A17770" s="24"/>
      <c r="B17770" s="25"/>
      <c r="C17770" s="24"/>
      <c r="D17770" s="26"/>
      <c r="E17770" s="24"/>
      <c r="F17770" s="24"/>
      <c r="G17770" s="24"/>
      <c r="H17770" s="24"/>
      <c r="I17770" s="24"/>
      <c r="J17770" s="24"/>
      <c r="K17770" s="24"/>
      <c r="L17770" s="24"/>
      <c r="M17770" s="24"/>
      <c r="N17770" s="24"/>
      <c r="O17770" s="24"/>
      <c r="P17770" s="24"/>
      <c r="Q17770" s="24"/>
      <c r="R17770" s="24"/>
      <c r="S17770" s="24"/>
      <c r="T17770" s="24"/>
      <c r="U17770" s="24"/>
      <c r="V17770" s="24"/>
      <c r="W17770" s="24"/>
      <c r="X17770" s="24"/>
      <c r="Y17770" s="24"/>
      <c r="Z17770" s="24"/>
      <c r="AA17770" s="24"/>
    </row>
    <row r="17771">
      <c r="A17771" s="24"/>
      <c r="B17771" s="25"/>
      <c r="C17771" s="24"/>
      <c r="D17771" s="26"/>
      <c r="E17771" s="24"/>
      <c r="F17771" s="24"/>
      <c r="G17771" s="24"/>
      <c r="H17771" s="24"/>
      <c r="I17771" s="24"/>
      <c r="J17771" s="24"/>
      <c r="K17771" s="24"/>
      <c r="L17771" s="24"/>
      <c r="M17771" s="24"/>
      <c r="N17771" s="24"/>
      <c r="O17771" s="24"/>
      <c r="P17771" s="24"/>
      <c r="Q17771" s="24"/>
      <c r="R17771" s="24"/>
      <c r="S17771" s="24"/>
      <c r="T17771" s="24"/>
      <c r="U17771" s="24"/>
      <c r="V17771" s="24"/>
      <c r="W17771" s="24"/>
      <c r="X17771" s="24"/>
      <c r="Y17771" s="24"/>
      <c r="Z17771" s="24"/>
      <c r="AA17771" s="24"/>
    </row>
    <row r="17772">
      <c r="A17772" s="24"/>
      <c r="B17772" s="25"/>
      <c r="C17772" s="24"/>
      <c r="D17772" s="26"/>
      <c r="E17772" s="24"/>
      <c r="F17772" s="24"/>
      <c r="G17772" s="24"/>
      <c r="H17772" s="24"/>
      <c r="I17772" s="24"/>
      <c r="J17772" s="24"/>
      <c r="K17772" s="24"/>
      <c r="L17772" s="24"/>
      <c r="M17772" s="24"/>
      <c r="N17772" s="24"/>
      <c r="O17772" s="24"/>
      <c r="P17772" s="24"/>
      <c r="Q17772" s="24"/>
      <c r="R17772" s="24"/>
      <c r="S17772" s="24"/>
      <c r="T17772" s="24"/>
      <c r="U17772" s="24"/>
      <c r="V17772" s="24"/>
      <c r="W17772" s="24"/>
      <c r="X17772" s="24"/>
      <c r="Y17772" s="24"/>
      <c r="Z17772" s="24"/>
      <c r="AA17772" s="24"/>
    </row>
    <row r="17773">
      <c r="A17773" s="24"/>
      <c r="B17773" s="25"/>
      <c r="C17773" s="24"/>
      <c r="D17773" s="26"/>
      <c r="E17773" s="24"/>
      <c r="F17773" s="24"/>
      <c r="G17773" s="24"/>
      <c r="H17773" s="24"/>
      <c r="I17773" s="24"/>
      <c r="J17773" s="24"/>
      <c r="K17773" s="24"/>
      <c r="L17773" s="24"/>
      <c r="M17773" s="24"/>
      <c r="N17773" s="24"/>
      <c r="O17773" s="24"/>
      <c r="P17773" s="24"/>
      <c r="Q17773" s="24"/>
      <c r="R17773" s="24"/>
      <c r="S17773" s="24"/>
      <c r="T17773" s="24"/>
      <c r="U17773" s="24"/>
      <c r="V17773" s="24"/>
      <c r="W17773" s="24"/>
      <c r="X17773" s="24"/>
      <c r="Y17773" s="24"/>
      <c r="Z17773" s="24"/>
      <c r="AA17773" s="24"/>
    </row>
    <row r="17774">
      <c r="A17774" s="24"/>
      <c r="B17774" s="25"/>
      <c r="C17774" s="24"/>
      <c r="D17774" s="26"/>
      <c r="E17774" s="24"/>
      <c r="F17774" s="24"/>
      <c r="G17774" s="24"/>
      <c r="H17774" s="24"/>
      <c r="I17774" s="24"/>
      <c r="J17774" s="24"/>
      <c r="K17774" s="24"/>
      <c r="L17774" s="24"/>
      <c r="M17774" s="24"/>
      <c r="N17774" s="24"/>
      <c r="O17774" s="24"/>
      <c r="P17774" s="24"/>
      <c r="Q17774" s="24"/>
      <c r="R17774" s="24"/>
      <c r="S17774" s="24"/>
      <c r="T17774" s="24"/>
      <c r="U17774" s="24"/>
      <c r="V17774" s="24"/>
      <c r="W17774" s="24"/>
      <c r="X17774" s="24"/>
      <c r="Y17774" s="24"/>
      <c r="Z17774" s="24"/>
      <c r="AA17774" s="24"/>
    </row>
    <row r="17775">
      <c r="A17775" s="24"/>
      <c r="B17775" s="25"/>
      <c r="C17775" s="24"/>
      <c r="D17775" s="26"/>
      <c r="E17775" s="24"/>
      <c r="F17775" s="24"/>
      <c r="G17775" s="24"/>
      <c r="H17775" s="24"/>
      <c r="I17775" s="24"/>
      <c r="J17775" s="24"/>
      <c r="K17775" s="24"/>
      <c r="L17775" s="24"/>
      <c r="M17775" s="24"/>
      <c r="N17775" s="24"/>
      <c r="O17775" s="24"/>
      <c r="P17775" s="24"/>
      <c r="Q17775" s="24"/>
      <c r="R17775" s="24"/>
      <c r="S17775" s="24"/>
      <c r="T17775" s="24"/>
      <c r="U17775" s="24"/>
      <c r="V17775" s="24"/>
      <c r="W17775" s="24"/>
      <c r="X17775" s="24"/>
      <c r="Y17775" s="24"/>
      <c r="Z17775" s="24"/>
      <c r="AA17775" s="24"/>
    </row>
    <row r="17776">
      <c r="A17776" s="24"/>
      <c r="B17776" s="25"/>
      <c r="C17776" s="24"/>
      <c r="D17776" s="26"/>
      <c r="E17776" s="24"/>
      <c r="F17776" s="24"/>
      <c r="G17776" s="24"/>
      <c r="H17776" s="24"/>
      <c r="I17776" s="24"/>
      <c r="J17776" s="24"/>
      <c r="K17776" s="24"/>
      <c r="L17776" s="24"/>
      <c r="M17776" s="24"/>
      <c r="N17776" s="24"/>
      <c r="O17776" s="24"/>
      <c r="P17776" s="24"/>
      <c r="Q17776" s="24"/>
      <c r="R17776" s="24"/>
      <c r="S17776" s="24"/>
      <c r="T17776" s="24"/>
      <c r="U17776" s="24"/>
      <c r="V17776" s="24"/>
      <c r="W17776" s="24"/>
      <c r="X17776" s="24"/>
      <c r="Y17776" s="24"/>
      <c r="Z17776" s="24"/>
      <c r="AA17776" s="24"/>
    </row>
    <row r="17777">
      <c r="A17777" s="24"/>
      <c r="B17777" s="25"/>
      <c r="C17777" s="24"/>
      <c r="D17777" s="26"/>
      <c r="E17777" s="24"/>
      <c r="F17777" s="24"/>
      <c r="G17777" s="24"/>
      <c r="H17777" s="24"/>
      <c r="I17777" s="24"/>
      <c r="J17777" s="24"/>
      <c r="K17777" s="24"/>
      <c r="L17777" s="24"/>
      <c r="M17777" s="24"/>
      <c r="N17777" s="24"/>
      <c r="O17777" s="24"/>
      <c r="P17777" s="24"/>
      <c r="Q17777" s="24"/>
      <c r="R17777" s="24"/>
      <c r="S17777" s="24"/>
      <c r="T17777" s="24"/>
      <c r="U17777" s="24"/>
      <c r="V17777" s="24"/>
      <c r="W17777" s="24"/>
      <c r="X17777" s="24"/>
      <c r="Y17777" s="24"/>
      <c r="Z17777" s="24"/>
      <c r="AA17777" s="24"/>
    </row>
    <row r="17778">
      <c r="A17778" s="24"/>
      <c r="B17778" s="25"/>
      <c r="C17778" s="24"/>
      <c r="D17778" s="26"/>
      <c r="E17778" s="24"/>
      <c r="F17778" s="24"/>
      <c r="G17778" s="24"/>
      <c r="H17778" s="24"/>
      <c r="I17778" s="24"/>
      <c r="J17778" s="24"/>
      <c r="K17778" s="24"/>
      <c r="L17778" s="24"/>
      <c r="M17778" s="24"/>
      <c r="N17778" s="24"/>
      <c r="O17778" s="24"/>
      <c r="P17778" s="24"/>
      <c r="Q17778" s="24"/>
      <c r="R17778" s="24"/>
      <c r="S17778" s="24"/>
      <c r="T17778" s="24"/>
      <c r="U17778" s="24"/>
      <c r="V17778" s="24"/>
      <c r="W17778" s="24"/>
      <c r="X17778" s="24"/>
      <c r="Y17778" s="24"/>
      <c r="Z17778" s="24"/>
      <c r="AA17778" s="24"/>
    </row>
    <row r="17779">
      <c r="A17779" s="24"/>
      <c r="B17779" s="25"/>
      <c r="C17779" s="24"/>
      <c r="D17779" s="26"/>
      <c r="E17779" s="24"/>
      <c r="F17779" s="24"/>
      <c r="G17779" s="24"/>
      <c r="H17779" s="24"/>
      <c r="I17779" s="24"/>
      <c r="J17779" s="24"/>
      <c r="K17779" s="24"/>
      <c r="L17779" s="24"/>
      <c r="M17779" s="24"/>
      <c r="N17779" s="24"/>
      <c r="O17779" s="24"/>
      <c r="P17779" s="24"/>
      <c r="Q17779" s="24"/>
      <c r="R17779" s="24"/>
      <c r="S17779" s="24"/>
      <c r="T17779" s="24"/>
      <c r="U17779" s="24"/>
      <c r="V17779" s="24"/>
      <c r="W17779" s="24"/>
      <c r="X17779" s="24"/>
      <c r="Y17779" s="24"/>
      <c r="Z17779" s="24"/>
      <c r="AA17779" s="24"/>
    </row>
    <row r="17780">
      <c r="A17780" s="24"/>
      <c r="B17780" s="25"/>
      <c r="C17780" s="24"/>
      <c r="D17780" s="26"/>
      <c r="E17780" s="24"/>
      <c r="F17780" s="24"/>
      <c r="G17780" s="24"/>
      <c r="H17780" s="24"/>
      <c r="I17780" s="24"/>
      <c r="J17780" s="24"/>
      <c r="K17780" s="24"/>
      <c r="L17780" s="24"/>
      <c r="M17780" s="24"/>
      <c r="N17780" s="24"/>
      <c r="O17780" s="24"/>
      <c r="P17780" s="24"/>
      <c r="Q17780" s="24"/>
      <c r="R17780" s="24"/>
      <c r="S17780" s="24"/>
      <c r="T17780" s="24"/>
      <c r="U17780" s="24"/>
      <c r="V17780" s="24"/>
      <c r="W17780" s="24"/>
      <c r="X17780" s="24"/>
      <c r="Y17780" s="24"/>
      <c r="Z17780" s="24"/>
      <c r="AA17780" s="24"/>
    </row>
    <row r="17781">
      <c r="A17781" s="24"/>
      <c r="B17781" s="25"/>
      <c r="C17781" s="24"/>
      <c r="D17781" s="26"/>
      <c r="E17781" s="24"/>
      <c r="F17781" s="24"/>
      <c r="G17781" s="24"/>
      <c r="H17781" s="24"/>
      <c r="I17781" s="24"/>
      <c r="J17781" s="24"/>
      <c r="K17781" s="24"/>
      <c r="L17781" s="24"/>
      <c r="M17781" s="24"/>
      <c r="N17781" s="24"/>
      <c r="O17781" s="24"/>
      <c r="P17781" s="24"/>
      <c r="Q17781" s="24"/>
      <c r="R17781" s="24"/>
      <c r="S17781" s="24"/>
      <c r="T17781" s="24"/>
      <c r="U17781" s="24"/>
      <c r="V17781" s="24"/>
      <c r="W17781" s="24"/>
      <c r="X17781" s="24"/>
      <c r="Y17781" s="24"/>
      <c r="Z17781" s="24"/>
      <c r="AA17781" s="24"/>
    </row>
    <row r="17782">
      <c r="A17782" s="24"/>
      <c r="B17782" s="25"/>
      <c r="C17782" s="24"/>
      <c r="D17782" s="26"/>
      <c r="E17782" s="24"/>
      <c r="F17782" s="24"/>
      <c r="G17782" s="24"/>
      <c r="H17782" s="24"/>
      <c r="I17782" s="24"/>
      <c r="J17782" s="24"/>
      <c r="K17782" s="24"/>
      <c r="L17782" s="24"/>
      <c r="M17782" s="24"/>
      <c r="N17782" s="24"/>
      <c r="O17782" s="24"/>
      <c r="P17782" s="24"/>
      <c r="Q17782" s="24"/>
      <c r="R17782" s="24"/>
      <c r="S17782" s="24"/>
      <c r="T17782" s="24"/>
      <c r="U17782" s="24"/>
      <c r="V17782" s="24"/>
      <c r="W17782" s="24"/>
      <c r="X17782" s="24"/>
      <c r="Y17782" s="24"/>
      <c r="Z17782" s="24"/>
      <c r="AA17782" s="24"/>
    </row>
    <row r="17783">
      <c r="A17783" s="24"/>
      <c r="B17783" s="25"/>
      <c r="C17783" s="24"/>
      <c r="D17783" s="26"/>
      <c r="E17783" s="24"/>
      <c r="F17783" s="24"/>
      <c r="G17783" s="24"/>
      <c r="H17783" s="24"/>
      <c r="I17783" s="24"/>
      <c r="J17783" s="24"/>
      <c r="K17783" s="24"/>
      <c r="L17783" s="24"/>
      <c r="M17783" s="24"/>
      <c r="N17783" s="24"/>
      <c r="O17783" s="24"/>
      <c r="P17783" s="24"/>
      <c r="Q17783" s="24"/>
      <c r="R17783" s="24"/>
      <c r="S17783" s="24"/>
      <c r="T17783" s="24"/>
      <c r="U17783" s="24"/>
      <c r="V17783" s="24"/>
      <c r="W17783" s="24"/>
      <c r="X17783" s="24"/>
      <c r="Y17783" s="24"/>
      <c r="Z17783" s="24"/>
      <c r="AA17783" s="24"/>
    </row>
    <row r="17784">
      <c r="A17784" s="24"/>
      <c r="B17784" s="25"/>
      <c r="C17784" s="24"/>
      <c r="D17784" s="26"/>
      <c r="E17784" s="24"/>
      <c r="F17784" s="24"/>
      <c r="G17784" s="24"/>
      <c r="H17784" s="24"/>
      <c r="I17784" s="24"/>
      <c r="J17784" s="24"/>
      <c r="K17784" s="24"/>
      <c r="L17784" s="24"/>
      <c r="M17784" s="24"/>
      <c r="N17784" s="24"/>
      <c r="O17784" s="24"/>
      <c r="P17784" s="24"/>
      <c r="Q17784" s="24"/>
      <c r="R17784" s="24"/>
      <c r="S17784" s="24"/>
      <c r="T17784" s="24"/>
      <c r="U17784" s="24"/>
      <c r="V17784" s="24"/>
      <c r="W17784" s="24"/>
      <c r="X17784" s="24"/>
      <c r="Y17784" s="24"/>
      <c r="Z17784" s="24"/>
      <c r="AA17784" s="24"/>
    </row>
    <row r="17785">
      <c r="A17785" s="24"/>
      <c r="B17785" s="25"/>
      <c r="C17785" s="24"/>
      <c r="D17785" s="26"/>
      <c r="E17785" s="24"/>
      <c r="F17785" s="24"/>
      <c r="G17785" s="24"/>
      <c r="H17785" s="24"/>
      <c r="I17785" s="24"/>
      <c r="J17785" s="24"/>
      <c r="K17785" s="24"/>
      <c r="L17785" s="24"/>
      <c r="M17785" s="24"/>
      <c r="N17785" s="24"/>
      <c r="O17785" s="24"/>
      <c r="P17785" s="24"/>
      <c r="Q17785" s="24"/>
      <c r="R17785" s="24"/>
      <c r="S17785" s="24"/>
      <c r="T17785" s="24"/>
      <c r="U17785" s="24"/>
      <c r="V17785" s="24"/>
      <c r="W17785" s="24"/>
      <c r="X17785" s="24"/>
      <c r="Y17785" s="24"/>
      <c r="Z17785" s="24"/>
      <c r="AA17785" s="24"/>
    </row>
    <row r="17786">
      <c r="A17786" s="24"/>
      <c r="B17786" s="25"/>
      <c r="C17786" s="24"/>
      <c r="D17786" s="26"/>
      <c r="E17786" s="24"/>
      <c r="F17786" s="24"/>
      <c r="G17786" s="24"/>
      <c r="H17786" s="24"/>
      <c r="I17786" s="24"/>
      <c r="J17786" s="24"/>
      <c r="K17786" s="24"/>
      <c r="L17786" s="24"/>
      <c r="M17786" s="24"/>
      <c r="N17786" s="24"/>
      <c r="O17786" s="24"/>
      <c r="P17786" s="24"/>
      <c r="Q17786" s="24"/>
      <c r="R17786" s="24"/>
      <c r="S17786" s="24"/>
      <c r="T17786" s="24"/>
      <c r="U17786" s="24"/>
      <c r="V17786" s="24"/>
      <c r="W17786" s="24"/>
      <c r="X17786" s="24"/>
      <c r="Y17786" s="24"/>
      <c r="Z17786" s="24"/>
      <c r="AA17786" s="24"/>
    </row>
    <row r="17787">
      <c r="A17787" s="24"/>
      <c r="B17787" s="25"/>
      <c r="C17787" s="24"/>
      <c r="D17787" s="26"/>
      <c r="E17787" s="24"/>
      <c r="F17787" s="24"/>
      <c r="G17787" s="24"/>
      <c r="H17787" s="24"/>
      <c r="I17787" s="24"/>
      <c r="J17787" s="24"/>
      <c r="K17787" s="24"/>
      <c r="L17787" s="24"/>
      <c r="M17787" s="24"/>
      <c r="N17787" s="24"/>
      <c r="O17787" s="24"/>
      <c r="P17787" s="24"/>
      <c r="Q17787" s="24"/>
      <c r="R17787" s="24"/>
      <c r="S17787" s="24"/>
      <c r="T17787" s="24"/>
      <c r="U17787" s="24"/>
      <c r="V17787" s="24"/>
      <c r="W17787" s="24"/>
      <c r="X17787" s="24"/>
      <c r="Y17787" s="24"/>
      <c r="Z17787" s="24"/>
      <c r="AA17787" s="24"/>
    </row>
    <row r="17788">
      <c r="A17788" s="24"/>
      <c r="B17788" s="25"/>
      <c r="C17788" s="24"/>
      <c r="D17788" s="26"/>
      <c r="E17788" s="24"/>
      <c r="F17788" s="24"/>
      <c r="G17788" s="24"/>
      <c r="H17788" s="24"/>
      <c r="I17788" s="24"/>
      <c r="J17788" s="24"/>
      <c r="K17788" s="24"/>
      <c r="L17788" s="24"/>
      <c r="M17788" s="24"/>
      <c r="N17788" s="24"/>
      <c r="O17788" s="24"/>
      <c r="P17788" s="24"/>
      <c r="Q17788" s="24"/>
      <c r="R17788" s="24"/>
      <c r="S17788" s="24"/>
      <c r="T17788" s="24"/>
      <c r="U17788" s="24"/>
      <c r="V17788" s="24"/>
      <c r="W17788" s="24"/>
      <c r="X17788" s="24"/>
      <c r="Y17788" s="24"/>
      <c r="Z17788" s="24"/>
      <c r="AA17788" s="24"/>
    </row>
    <row r="17789">
      <c r="A17789" s="24"/>
      <c r="B17789" s="25"/>
      <c r="C17789" s="24"/>
      <c r="D17789" s="26"/>
      <c r="E17789" s="24"/>
      <c r="F17789" s="24"/>
      <c r="G17789" s="24"/>
      <c r="H17789" s="24"/>
      <c r="I17789" s="24"/>
      <c r="J17789" s="24"/>
      <c r="K17789" s="24"/>
      <c r="L17789" s="24"/>
      <c r="M17789" s="24"/>
      <c r="N17789" s="24"/>
      <c r="O17789" s="24"/>
      <c r="P17789" s="24"/>
      <c r="Q17789" s="24"/>
      <c r="R17789" s="24"/>
      <c r="S17789" s="24"/>
      <c r="T17789" s="24"/>
      <c r="U17789" s="24"/>
      <c r="V17789" s="24"/>
      <c r="W17789" s="24"/>
      <c r="X17789" s="24"/>
      <c r="Y17789" s="24"/>
      <c r="Z17789" s="24"/>
      <c r="AA17789" s="24"/>
    </row>
    <row r="17790">
      <c r="A17790" s="24"/>
      <c r="B17790" s="25"/>
      <c r="C17790" s="24"/>
      <c r="D17790" s="26"/>
      <c r="E17790" s="24"/>
      <c r="F17790" s="24"/>
      <c r="G17790" s="24"/>
      <c r="H17790" s="24"/>
      <c r="I17790" s="24"/>
      <c r="J17790" s="24"/>
      <c r="K17790" s="24"/>
      <c r="L17790" s="24"/>
      <c r="M17790" s="24"/>
      <c r="N17790" s="24"/>
      <c r="O17790" s="24"/>
      <c r="P17790" s="24"/>
      <c r="Q17790" s="24"/>
      <c r="R17790" s="24"/>
      <c r="S17790" s="24"/>
      <c r="T17790" s="24"/>
      <c r="U17790" s="24"/>
      <c r="V17790" s="24"/>
      <c r="W17790" s="24"/>
      <c r="X17790" s="24"/>
      <c r="Y17790" s="24"/>
      <c r="Z17790" s="24"/>
      <c r="AA17790" s="24"/>
    </row>
    <row r="17791">
      <c r="A17791" s="24"/>
      <c r="B17791" s="25"/>
      <c r="C17791" s="24"/>
      <c r="D17791" s="26"/>
      <c r="E17791" s="24"/>
      <c r="F17791" s="24"/>
      <c r="G17791" s="24"/>
      <c r="H17791" s="24"/>
      <c r="I17791" s="24"/>
      <c r="J17791" s="24"/>
      <c r="K17791" s="24"/>
      <c r="L17791" s="24"/>
      <c r="M17791" s="24"/>
      <c r="N17791" s="24"/>
      <c r="O17791" s="24"/>
      <c r="P17791" s="24"/>
      <c r="Q17791" s="24"/>
      <c r="R17791" s="24"/>
      <c r="S17791" s="24"/>
      <c r="T17791" s="24"/>
      <c r="U17791" s="24"/>
      <c r="V17791" s="24"/>
      <c r="W17791" s="24"/>
      <c r="X17791" s="24"/>
      <c r="Y17791" s="24"/>
      <c r="Z17791" s="24"/>
      <c r="AA17791" s="24"/>
    </row>
    <row r="17792">
      <c r="A17792" s="24"/>
      <c r="B17792" s="25"/>
      <c r="C17792" s="24"/>
      <c r="D17792" s="26"/>
      <c r="E17792" s="24"/>
      <c r="F17792" s="24"/>
      <c r="G17792" s="24"/>
      <c r="H17792" s="24"/>
      <c r="I17792" s="24"/>
      <c r="J17792" s="24"/>
      <c r="K17792" s="24"/>
      <c r="L17792" s="24"/>
      <c r="M17792" s="24"/>
      <c r="N17792" s="24"/>
      <c r="O17792" s="24"/>
      <c r="P17792" s="24"/>
      <c r="Q17792" s="24"/>
      <c r="R17792" s="24"/>
      <c r="S17792" s="24"/>
      <c r="T17792" s="24"/>
      <c r="U17792" s="24"/>
      <c r="V17792" s="24"/>
      <c r="W17792" s="24"/>
      <c r="X17792" s="24"/>
      <c r="Y17792" s="24"/>
      <c r="Z17792" s="24"/>
      <c r="AA17792" s="24"/>
    </row>
    <row r="17793">
      <c r="A17793" s="24"/>
      <c r="B17793" s="25"/>
      <c r="C17793" s="24"/>
      <c r="D17793" s="26"/>
      <c r="E17793" s="24"/>
      <c r="F17793" s="24"/>
      <c r="G17793" s="24"/>
      <c r="H17793" s="24"/>
      <c r="I17793" s="24"/>
      <c r="J17793" s="24"/>
      <c r="K17793" s="24"/>
      <c r="L17793" s="24"/>
      <c r="M17793" s="24"/>
      <c r="N17793" s="24"/>
      <c r="O17793" s="24"/>
      <c r="P17793" s="24"/>
      <c r="Q17793" s="24"/>
      <c r="R17793" s="24"/>
      <c r="S17793" s="24"/>
      <c r="T17793" s="24"/>
      <c r="U17793" s="24"/>
      <c r="V17793" s="24"/>
      <c r="W17793" s="24"/>
      <c r="X17793" s="24"/>
      <c r="Y17793" s="24"/>
      <c r="Z17793" s="24"/>
      <c r="AA17793" s="24"/>
    </row>
    <row r="17794">
      <c r="A17794" s="24"/>
      <c r="B17794" s="25"/>
      <c r="C17794" s="24"/>
      <c r="D17794" s="26"/>
      <c r="E17794" s="24"/>
      <c r="F17794" s="24"/>
      <c r="G17794" s="24"/>
      <c r="H17794" s="24"/>
      <c r="I17794" s="24"/>
      <c r="J17794" s="24"/>
      <c r="K17794" s="24"/>
      <c r="L17794" s="24"/>
      <c r="M17794" s="24"/>
      <c r="N17794" s="24"/>
      <c r="O17794" s="24"/>
      <c r="P17794" s="24"/>
      <c r="Q17794" s="24"/>
      <c r="R17794" s="24"/>
      <c r="S17794" s="24"/>
      <c r="T17794" s="24"/>
      <c r="U17794" s="24"/>
      <c r="V17794" s="24"/>
      <c r="W17794" s="24"/>
      <c r="X17794" s="24"/>
      <c r="Y17794" s="24"/>
      <c r="Z17794" s="24"/>
      <c r="AA17794" s="24"/>
    </row>
    <row r="17795">
      <c r="A17795" s="24"/>
      <c r="B17795" s="25"/>
      <c r="C17795" s="24"/>
      <c r="D17795" s="26"/>
      <c r="E17795" s="24"/>
      <c r="F17795" s="24"/>
      <c r="G17795" s="24"/>
      <c r="H17795" s="24"/>
      <c r="I17795" s="24"/>
      <c r="J17795" s="24"/>
      <c r="K17795" s="24"/>
      <c r="L17795" s="24"/>
      <c r="M17795" s="24"/>
      <c r="N17795" s="24"/>
      <c r="O17795" s="24"/>
      <c r="P17795" s="24"/>
      <c r="Q17795" s="24"/>
      <c r="R17795" s="24"/>
      <c r="S17795" s="24"/>
      <c r="T17795" s="24"/>
      <c r="U17795" s="24"/>
      <c r="V17795" s="24"/>
      <c r="W17795" s="24"/>
      <c r="X17795" s="24"/>
      <c r="Y17795" s="24"/>
      <c r="Z17795" s="24"/>
      <c r="AA17795" s="24"/>
    </row>
    <row r="17796">
      <c r="A17796" s="24"/>
      <c r="B17796" s="25"/>
      <c r="C17796" s="24"/>
      <c r="D17796" s="26"/>
      <c r="E17796" s="24"/>
      <c r="F17796" s="24"/>
      <c r="G17796" s="24"/>
      <c r="H17796" s="24"/>
      <c r="I17796" s="24"/>
      <c r="J17796" s="24"/>
      <c r="K17796" s="24"/>
      <c r="L17796" s="24"/>
      <c r="M17796" s="24"/>
      <c r="N17796" s="24"/>
      <c r="O17796" s="24"/>
      <c r="P17796" s="24"/>
      <c r="Q17796" s="24"/>
      <c r="R17796" s="24"/>
      <c r="S17796" s="24"/>
      <c r="T17796" s="24"/>
      <c r="U17796" s="24"/>
      <c r="V17796" s="24"/>
      <c r="W17796" s="24"/>
      <c r="X17796" s="24"/>
      <c r="Y17796" s="24"/>
      <c r="Z17796" s="24"/>
      <c r="AA17796" s="24"/>
    </row>
    <row r="17797">
      <c r="A17797" s="24"/>
      <c r="B17797" s="25"/>
      <c r="C17797" s="24"/>
      <c r="D17797" s="26"/>
      <c r="E17797" s="24"/>
      <c r="F17797" s="24"/>
      <c r="G17797" s="24"/>
      <c r="H17797" s="24"/>
      <c r="I17797" s="24"/>
      <c r="J17797" s="24"/>
      <c r="K17797" s="24"/>
      <c r="L17797" s="24"/>
      <c r="M17797" s="24"/>
      <c r="N17797" s="24"/>
      <c r="O17797" s="24"/>
      <c r="P17797" s="24"/>
      <c r="Q17797" s="24"/>
      <c r="R17797" s="24"/>
      <c r="S17797" s="24"/>
      <c r="T17797" s="24"/>
      <c r="U17797" s="24"/>
      <c r="V17797" s="24"/>
      <c r="W17797" s="24"/>
      <c r="X17797" s="24"/>
      <c r="Y17797" s="24"/>
      <c r="Z17797" s="24"/>
      <c r="AA17797" s="24"/>
    </row>
    <row r="17798">
      <c r="A17798" s="24"/>
      <c r="B17798" s="25"/>
      <c r="C17798" s="24"/>
      <c r="D17798" s="26"/>
      <c r="E17798" s="24"/>
      <c r="F17798" s="24"/>
      <c r="G17798" s="24"/>
      <c r="H17798" s="24"/>
      <c r="I17798" s="24"/>
      <c r="J17798" s="24"/>
      <c r="K17798" s="24"/>
      <c r="L17798" s="24"/>
      <c r="M17798" s="24"/>
      <c r="N17798" s="24"/>
      <c r="O17798" s="24"/>
      <c r="P17798" s="24"/>
      <c r="Q17798" s="24"/>
      <c r="R17798" s="24"/>
      <c r="S17798" s="24"/>
      <c r="T17798" s="24"/>
      <c r="U17798" s="24"/>
      <c r="V17798" s="24"/>
      <c r="W17798" s="24"/>
      <c r="X17798" s="24"/>
      <c r="Y17798" s="24"/>
      <c r="Z17798" s="24"/>
      <c r="AA17798" s="24"/>
    </row>
    <row r="17799">
      <c r="A17799" s="24"/>
      <c r="B17799" s="25"/>
      <c r="C17799" s="24"/>
      <c r="D17799" s="26"/>
      <c r="E17799" s="24"/>
      <c r="F17799" s="24"/>
      <c r="G17799" s="24"/>
      <c r="H17799" s="24"/>
      <c r="I17799" s="24"/>
      <c r="J17799" s="24"/>
      <c r="K17799" s="24"/>
      <c r="L17799" s="24"/>
      <c r="M17799" s="24"/>
      <c r="N17799" s="24"/>
      <c r="O17799" s="24"/>
      <c r="P17799" s="24"/>
      <c r="Q17799" s="24"/>
      <c r="R17799" s="24"/>
      <c r="S17799" s="24"/>
      <c r="T17799" s="24"/>
      <c r="U17799" s="24"/>
      <c r="V17799" s="24"/>
      <c r="W17799" s="24"/>
      <c r="X17799" s="24"/>
      <c r="Y17799" s="24"/>
      <c r="Z17799" s="24"/>
      <c r="AA17799" s="24"/>
    </row>
    <row r="17800">
      <c r="A17800" s="24"/>
      <c r="B17800" s="25"/>
      <c r="C17800" s="24"/>
      <c r="D17800" s="26"/>
      <c r="E17800" s="24"/>
      <c r="F17800" s="24"/>
      <c r="G17800" s="24"/>
      <c r="H17800" s="24"/>
      <c r="I17800" s="24"/>
      <c r="J17800" s="24"/>
      <c r="K17800" s="24"/>
      <c r="L17800" s="24"/>
      <c r="M17800" s="24"/>
      <c r="N17800" s="24"/>
      <c r="O17800" s="24"/>
      <c r="P17800" s="24"/>
      <c r="Q17800" s="24"/>
      <c r="R17800" s="24"/>
      <c r="S17800" s="24"/>
      <c r="T17800" s="24"/>
      <c r="U17800" s="24"/>
      <c r="V17800" s="24"/>
      <c r="W17800" s="24"/>
      <c r="X17800" s="24"/>
      <c r="Y17800" s="24"/>
      <c r="Z17800" s="24"/>
      <c r="AA17800" s="24"/>
    </row>
    <row r="17801">
      <c r="A17801" s="24"/>
      <c r="B17801" s="25"/>
      <c r="C17801" s="24"/>
      <c r="D17801" s="26"/>
      <c r="E17801" s="24"/>
      <c r="F17801" s="24"/>
      <c r="G17801" s="24"/>
      <c r="H17801" s="24"/>
      <c r="I17801" s="24"/>
      <c r="J17801" s="24"/>
      <c r="K17801" s="24"/>
      <c r="L17801" s="24"/>
      <c r="M17801" s="24"/>
      <c r="N17801" s="24"/>
      <c r="O17801" s="24"/>
      <c r="P17801" s="24"/>
      <c r="Q17801" s="24"/>
      <c r="R17801" s="24"/>
      <c r="S17801" s="24"/>
      <c r="T17801" s="24"/>
      <c r="U17801" s="24"/>
      <c r="V17801" s="24"/>
      <c r="W17801" s="24"/>
      <c r="X17801" s="24"/>
      <c r="Y17801" s="24"/>
      <c r="Z17801" s="24"/>
      <c r="AA17801" s="24"/>
    </row>
    <row r="17802">
      <c r="A17802" s="24"/>
      <c r="B17802" s="25"/>
      <c r="C17802" s="24"/>
      <c r="D17802" s="26"/>
      <c r="E17802" s="24"/>
      <c r="F17802" s="24"/>
      <c r="G17802" s="24"/>
      <c r="H17802" s="24"/>
      <c r="I17802" s="24"/>
      <c r="J17802" s="24"/>
      <c r="K17802" s="24"/>
      <c r="L17802" s="24"/>
      <c r="M17802" s="24"/>
      <c r="N17802" s="24"/>
      <c r="O17802" s="24"/>
      <c r="P17802" s="24"/>
      <c r="Q17802" s="24"/>
      <c r="R17802" s="24"/>
      <c r="S17802" s="24"/>
      <c r="T17802" s="24"/>
      <c r="U17802" s="24"/>
      <c r="V17802" s="24"/>
      <c r="W17802" s="24"/>
      <c r="X17802" s="24"/>
      <c r="Y17802" s="24"/>
      <c r="Z17802" s="24"/>
      <c r="AA17802" s="24"/>
    </row>
    <row r="17803">
      <c r="A17803" s="24"/>
      <c r="B17803" s="25"/>
      <c r="C17803" s="24"/>
      <c r="D17803" s="26"/>
      <c r="E17803" s="24"/>
      <c r="F17803" s="24"/>
      <c r="G17803" s="24"/>
      <c r="H17803" s="24"/>
      <c r="I17803" s="24"/>
      <c r="J17803" s="24"/>
      <c r="K17803" s="24"/>
      <c r="L17803" s="24"/>
      <c r="M17803" s="24"/>
      <c r="N17803" s="24"/>
      <c r="O17803" s="24"/>
      <c r="P17803" s="24"/>
      <c r="Q17803" s="24"/>
      <c r="R17803" s="24"/>
      <c r="S17803" s="24"/>
      <c r="T17803" s="24"/>
      <c r="U17803" s="24"/>
      <c r="V17803" s="24"/>
      <c r="W17803" s="24"/>
      <c r="X17803" s="24"/>
      <c r="Y17803" s="24"/>
      <c r="Z17803" s="24"/>
      <c r="AA17803" s="24"/>
    </row>
    <row r="17804">
      <c r="A17804" s="24"/>
      <c r="B17804" s="25"/>
      <c r="C17804" s="24"/>
      <c r="D17804" s="26"/>
      <c r="E17804" s="24"/>
      <c r="F17804" s="24"/>
      <c r="G17804" s="24"/>
      <c r="H17804" s="24"/>
      <c r="I17804" s="24"/>
      <c r="J17804" s="24"/>
      <c r="K17804" s="24"/>
      <c r="L17804" s="24"/>
      <c r="M17804" s="24"/>
      <c r="N17804" s="24"/>
      <c r="O17804" s="24"/>
      <c r="P17804" s="24"/>
      <c r="Q17804" s="24"/>
      <c r="R17804" s="24"/>
      <c r="S17804" s="24"/>
      <c r="T17804" s="24"/>
      <c r="U17804" s="24"/>
      <c r="V17804" s="24"/>
      <c r="W17804" s="24"/>
      <c r="X17804" s="24"/>
      <c r="Y17804" s="24"/>
      <c r="Z17804" s="24"/>
      <c r="AA17804" s="24"/>
    </row>
    <row r="17805">
      <c r="A17805" s="24"/>
      <c r="B17805" s="25"/>
      <c r="C17805" s="24"/>
      <c r="D17805" s="26"/>
      <c r="E17805" s="24"/>
      <c r="F17805" s="24"/>
      <c r="G17805" s="24"/>
      <c r="H17805" s="24"/>
      <c r="I17805" s="24"/>
      <c r="J17805" s="24"/>
      <c r="K17805" s="24"/>
      <c r="L17805" s="24"/>
      <c r="M17805" s="24"/>
      <c r="N17805" s="24"/>
      <c r="O17805" s="24"/>
      <c r="P17805" s="24"/>
      <c r="Q17805" s="24"/>
      <c r="R17805" s="24"/>
      <c r="S17805" s="24"/>
      <c r="T17805" s="24"/>
      <c r="U17805" s="24"/>
      <c r="V17805" s="24"/>
      <c r="W17805" s="24"/>
      <c r="X17805" s="24"/>
      <c r="Y17805" s="24"/>
      <c r="Z17805" s="24"/>
      <c r="AA17805" s="24"/>
    </row>
    <row r="17806">
      <c r="A17806" s="24"/>
      <c r="B17806" s="25"/>
      <c r="C17806" s="24"/>
      <c r="D17806" s="26"/>
      <c r="E17806" s="24"/>
      <c r="F17806" s="24"/>
      <c r="G17806" s="24"/>
      <c r="H17806" s="24"/>
      <c r="I17806" s="24"/>
      <c r="J17806" s="24"/>
      <c r="K17806" s="24"/>
      <c r="L17806" s="24"/>
      <c r="M17806" s="24"/>
      <c r="N17806" s="24"/>
      <c r="O17806" s="24"/>
      <c r="P17806" s="24"/>
      <c r="Q17806" s="24"/>
      <c r="R17806" s="24"/>
      <c r="S17806" s="24"/>
      <c r="T17806" s="24"/>
      <c r="U17806" s="24"/>
      <c r="V17806" s="24"/>
      <c r="W17806" s="24"/>
      <c r="X17806" s="24"/>
      <c r="Y17806" s="24"/>
      <c r="Z17806" s="24"/>
      <c r="AA17806" s="24"/>
    </row>
    <row r="17807">
      <c r="A17807" s="24"/>
      <c r="B17807" s="25"/>
      <c r="C17807" s="24"/>
      <c r="D17807" s="26"/>
      <c r="E17807" s="24"/>
      <c r="F17807" s="24"/>
      <c r="G17807" s="24"/>
      <c r="H17807" s="24"/>
      <c r="I17807" s="24"/>
      <c r="J17807" s="24"/>
      <c r="K17807" s="24"/>
      <c r="L17807" s="24"/>
      <c r="M17807" s="24"/>
      <c r="N17807" s="24"/>
      <c r="O17807" s="24"/>
      <c r="P17807" s="24"/>
      <c r="Q17807" s="24"/>
      <c r="R17807" s="24"/>
      <c r="S17807" s="24"/>
      <c r="T17807" s="24"/>
      <c r="U17807" s="24"/>
      <c r="V17807" s="24"/>
      <c r="W17807" s="24"/>
      <c r="X17807" s="24"/>
      <c r="Y17807" s="24"/>
      <c r="Z17807" s="24"/>
      <c r="AA17807" s="24"/>
    </row>
    <row r="17808">
      <c r="A17808" s="24"/>
      <c r="B17808" s="25"/>
      <c r="C17808" s="24"/>
      <c r="D17808" s="26"/>
      <c r="E17808" s="24"/>
      <c r="F17808" s="24"/>
      <c r="G17808" s="24"/>
      <c r="H17808" s="24"/>
      <c r="I17808" s="24"/>
      <c r="J17808" s="24"/>
      <c r="K17808" s="24"/>
      <c r="L17808" s="24"/>
      <c r="M17808" s="24"/>
      <c r="N17808" s="24"/>
      <c r="O17808" s="24"/>
      <c r="P17808" s="24"/>
      <c r="Q17808" s="24"/>
      <c r="R17808" s="24"/>
      <c r="S17808" s="24"/>
      <c r="T17808" s="24"/>
      <c r="U17808" s="24"/>
      <c r="V17808" s="24"/>
      <c r="W17808" s="24"/>
      <c r="X17808" s="24"/>
      <c r="Y17808" s="24"/>
      <c r="Z17808" s="24"/>
      <c r="AA17808" s="24"/>
    </row>
    <row r="17809">
      <c r="A17809" s="24"/>
      <c r="B17809" s="25"/>
      <c r="C17809" s="24"/>
      <c r="D17809" s="26"/>
      <c r="E17809" s="24"/>
      <c r="F17809" s="24"/>
      <c r="G17809" s="24"/>
      <c r="H17809" s="24"/>
      <c r="I17809" s="24"/>
      <c r="J17809" s="24"/>
      <c r="K17809" s="24"/>
      <c r="L17809" s="24"/>
      <c r="M17809" s="24"/>
      <c r="N17809" s="24"/>
      <c r="O17809" s="24"/>
      <c r="P17809" s="24"/>
      <c r="Q17809" s="24"/>
      <c r="R17809" s="24"/>
      <c r="S17809" s="24"/>
      <c r="T17809" s="24"/>
      <c r="U17809" s="24"/>
      <c r="V17809" s="24"/>
      <c r="W17809" s="24"/>
      <c r="X17809" s="24"/>
      <c r="Y17809" s="24"/>
      <c r="Z17809" s="24"/>
      <c r="AA17809" s="24"/>
    </row>
    <row r="17810">
      <c r="A17810" s="24"/>
      <c r="B17810" s="25"/>
      <c r="C17810" s="24"/>
      <c r="D17810" s="26"/>
      <c r="E17810" s="24"/>
      <c r="F17810" s="24"/>
      <c r="G17810" s="24"/>
      <c r="H17810" s="24"/>
      <c r="I17810" s="24"/>
      <c r="J17810" s="24"/>
      <c r="K17810" s="24"/>
      <c r="L17810" s="24"/>
      <c r="M17810" s="24"/>
      <c r="N17810" s="24"/>
      <c r="O17810" s="24"/>
      <c r="P17810" s="24"/>
      <c r="Q17810" s="24"/>
      <c r="R17810" s="24"/>
      <c r="S17810" s="24"/>
      <c r="T17810" s="24"/>
      <c r="U17810" s="24"/>
      <c r="V17810" s="24"/>
      <c r="W17810" s="24"/>
      <c r="X17810" s="24"/>
      <c r="Y17810" s="24"/>
      <c r="Z17810" s="24"/>
      <c r="AA17810" s="24"/>
    </row>
    <row r="17811">
      <c r="A17811" s="24"/>
      <c r="B17811" s="25"/>
      <c r="C17811" s="24"/>
      <c r="D17811" s="26"/>
      <c r="E17811" s="24"/>
      <c r="F17811" s="24"/>
      <c r="G17811" s="24"/>
      <c r="H17811" s="24"/>
      <c r="I17811" s="24"/>
      <c r="J17811" s="24"/>
      <c r="K17811" s="24"/>
      <c r="L17811" s="24"/>
      <c r="M17811" s="24"/>
      <c r="N17811" s="24"/>
      <c r="O17811" s="24"/>
      <c r="P17811" s="24"/>
      <c r="Q17811" s="24"/>
      <c r="R17811" s="24"/>
      <c r="S17811" s="24"/>
      <c r="T17811" s="24"/>
      <c r="U17811" s="24"/>
      <c r="V17811" s="24"/>
      <c r="W17811" s="24"/>
      <c r="X17811" s="24"/>
      <c r="Y17811" s="24"/>
      <c r="Z17811" s="24"/>
      <c r="AA17811" s="24"/>
    </row>
    <row r="17812">
      <c r="A17812" s="24"/>
      <c r="B17812" s="25"/>
      <c r="C17812" s="24"/>
      <c r="D17812" s="26"/>
      <c r="E17812" s="24"/>
      <c r="F17812" s="24"/>
      <c r="G17812" s="24"/>
      <c r="H17812" s="24"/>
      <c r="I17812" s="24"/>
      <c r="J17812" s="24"/>
      <c r="K17812" s="24"/>
      <c r="L17812" s="24"/>
      <c r="M17812" s="24"/>
      <c r="N17812" s="24"/>
      <c r="O17812" s="24"/>
      <c r="P17812" s="24"/>
      <c r="Q17812" s="24"/>
      <c r="R17812" s="24"/>
      <c r="S17812" s="24"/>
      <c r="T17812" s="24"/>
      <c r="U17812" s="24"/>
      <c r="V17812" s="24"/>
      <c r="W17812" s="24"/>
      <c r="X17812" s="24"/>
      <c r="Y17812" s="24"/>
      <c r="Z17812" s="24"/>
      <c r="AA17812" s="24"/>
    </row>
    <row r="17813">
      <c r="A17813" s="24"/>
      <c r="B17813" s="25"/>
      <c r="C17813" s="24"/>
      <c r="D17813" s="26"/>
      <c r="E17813" s="24"/>
      <c r="F17813" s="24"/>
      <c r="G17813" s="24"/>
      <c r="H17813" s="24"/>
      <c r="I17813" s="24"/>
      <c r="J17813" s="24"/>
      <c r="K17813" s="24"/>
      <c r="L17813" s="24"/>
      <c r="M17813" s="24"/>
      <c r="N17813" s="24"/>
      <c r="O17813" s="24"/>
      <c r="P17813" s="24"/>
      <c r="Q17813" s="24"/>
      <c r="R17813" s="24"/>
      <c r="S17813" s="24"/>
      <c r="T17813" s="24"/>
      <c r="U17813" s="24"/>
      <c r="V17813" s="24"/>
      <c r="W17813" s="24"/>
      <c r="X17813" s="24"/>
      <c r="Y17813" s="24"/>
      <c r="Z17813" s="24"/>
      <c r="AA17813" s="24"/>
    </row>
    <row r="17814">
      <c r="A17814" s="24"/>
      <c r="B17814" s="25"/>
      <c r="C17814" s="24"/>
      <c r="D17814" s="26"/>
      <c r="E17814" s="24"/>
      <c r="F17814" s="24"/>
      <c r="G17814" s="24"/>
      <c r="H17814" s="24"/>
      <c r="I17814" s="24"/>
      <c r="J17814" s="24"/>
      <c r="K17814" s="24"/>
      <c r="L17814" s="24"/>
      <c r="M17814" s="24"/>
      <c r="N17814" s="24"/>
      <c r="O17814" s="24"/>
      <c r="P17814" s="24"/>
      <c r="Q17814" s="24"/>
      <c r="R17814" s="24"/>
      <c r="S17814" s="24"/>
      <c r="T17814" s="24"/>
      <c r="U17814" s="24"/>
      <c r="V17814" s="24"/>
      <c r="W17814" s="24"/>
      <c r="X17814" s="24"/>
      <c r="Y17814" s="24"/>
      <c r="Z17814" s="24"/>
      <c r="AA17814" s="24"/>
    </row>
    <row r="17815">
      <c r="A17815" s="24"/>
      <c r="B17815" s="25"/>
      <c r="C17815" s="24"/>
      <c r="D17815" s="26"/>
      <c r="E17815" s="24"/>
      <c r="F17815" s="24"/>
      <c r="G17815" s="24"/>
      <c r="H17815" s="24"/>
      <c r="I17815" s="24"/>
      <c r="J17815" s="24"/>
      <c r="K17815" s="24"/>
      <c r="L17815" s="24"/>
      <c r="M17815" s="24"/>
      <c r="N17815" s="24"/>
      <c r="O17815" s="24"/>
      <c r="P17815" s="24"/>
      <c r="Q17815" s="24"/>
      <c r="R17815" s="24"/>
      <c r="S17815" s="24"/>
      <c r="T17815" s="24"/>
      <c r="U17815" s="24"/>
      <c r="V17815" s="24"/>
      <c r="W17815" s="24"/>
      <c r="X17815" s="24"/>
      <c r="Y17815" s="24"/>
      <c r="Z17815" s="24"/>
      <c r="AA17815" s="24"/>
    </row>
    <row r="17816">
      <c r="A17816" s="24"/>
      <c r="B17816" s="25"/>
      <c r="C17816" s="24"/>
      <c r="D17816" s="26"/>
      <c r="E17816" s="24"/>
      <c r="F17816" s="24"/>
      <c r="G17816" s="24"/>
      <c r="H17816" s="24"/>
      <c r="I17816" s="24"/>
      <c r="J17816" s="24"/>
      <c r="K17816" s="24"/>
      <c r="L17816" s="24"/>
      <c r="M17816" s="24"/>
      <c r="N17816" s="24"/>
      <c r="O17816" s="24"/>
      <c r="P17816" s="24"/>
      <c r="Q17816" s="24"/>
      <c r="R17816" s="24"/>
      <c r="S17816" s="24"/>
      <c r="T17816" s="24"/>
      <c r="U17816" s="24"/>
      <c r="V17816" s="24"/>
      <c r="W17816" s="24"/>
      <c r="X17816" s="24"/>
      <c r="Y17816" s="24"/>
      <c r="Z17816" s="24"/>
      <c r="AA17816" s="24"/>
    </row>
    <row r="17817">
      <c r="A17817" s="24"/>
      <c r="B17817" s="25"/>
      <c r="C17817" s="24"/>
      <c r="D17817" s="26"/>
      <c r="E17817" s="24"/>
      <c r="F17817" s="24"/>
      <c r="G17817" s="24"/>
      <c r="H17817" s="24"/>
      <c r="I17817" s="24"/>
      <c r="J17817" s="24"/>
      <c r="K17817" s="24"/>
      <c r="L17817" s="24"/>
      <c r="M17817" s="24"/>
      <c r="N17817" s="24"/>
      <c r="O17817" s="24"/>
      <c r="P17817" s="24"/>
      <c r="Q17817" s="24"/>
      <c r="R17817" s="24"/>
      <c r="S17817" s="24"/>
      <c r="T17817" s="24"/>
      <c r="U17817" s="24"/>
      <c r="V17817" s="24"/>
      <c r="W17817" s="24"/>
      <c r="X17817" s="24"/>
      <c r="Y17817" s="24"/>
      <c r="Z17817" s="24"/>
      <c r="AA17817" s="24"/>
    </row>
    <row r="17818">
      <c r="A17818" s="24"/>
      <c r="B17818" s="25"/>
      <c r="C17818" s="24"/>
      <c r="D17818" s="26"/>
      <c r="E17818" s="24"/>
      <c r="F17818" s="24"/>
      <c r="G17818" s="24"/>
      <c r="H17818" s="24"/>
      <c r="I17818" s="24"/>
      <c r="J17818" s="24"/>
      <c r="K17818" s="24"/>
      <c r="L17818" s="24"/>
      <c r="M17818" s="24"/>
      <c r="N17818" s="24"/>
      <c r="O17818" s="24"/>
      <c r="P17818" s="24"/>
      <c r="Q17818" s="24"/>
      <c r="R17818" s="24"/>
      <c r="S17818" s="24"/>
      <c r="T17818" s="24"/>
      <c r="U17818" s="24"/>
      <c r="V17818" s="24"/>
      <c r="W17818" s="24"/>
      <c r="X17818" s="24"/>
      <c r="Y17818" s="24"/>
      <c r="Z17818" s="24"/>
      <c r="AA17818" s="24"/>
    </row>
    <row r="17819">
      <c r="A17819" s="24"/>
      <c r="B17819" s="25"/>
      <c r="C17819" s="24"/>
      <c r="D17819" s="26"/>
      <c r="E17819" s="24"/>
      <c r="F17819" s="24"/>
      <c r="G17819" s="24"/>
      <c r="H17819" s="24"/>
      <c r="I17819" s="24"/>
      <c r="J17819" s="24"/>
      <c r="K17819" s="24"/>
      <c r="L17819" s="24"/>
      <c r="M17819" s="24"/>
      <c r="N17819" s="24"/>
      <c r="O17819" s="24"/>
      <c r="P17819" s="24"/>
      <c r="Q17819" s="24"/>
      <c r="R17819" s="24"/>
      <c r="S17819" s="24"/>
      <c r="T17819" s="24"/>
      <c r="U17819" s="24"/>
      <c r="V17819" s="24"/>
      <c r="W17819" s="24"/>
      <c r="X17819" s="24"/>
      <c r="Y17819" s="24"/>
      <c r="Z17819" s="24"/>
      <c r="AA17819" s="24"/>
    </row>
    <row r="17820">
      <c r="A17820" s="24"/>
      <c r="B17820" s="25"/>
      <c r="C17820" s="24"/>
      <c r="D17820" s="26"/>
      <c r="E17820" s="24"/>
      <c r="F17820" s="24"/>
      <c r="G17820" s="24"/>
      <c r="H17820" s="24"/>
      <c r="I17820" s="24"/>
      <c r="J17820" s="24"/>
      <c r="K17820" s="24"/>
      <c r="L17820" s="24"/>
      <c r="M17820" s="24"/>
      <c r="N17820" s="24"/>
      <c r="O17820" s="24"/>
      <c r="P17820" s="24"/>
      <c r="Q17820" s="24"/>
      <c r="R17820" s="24"/>
      <c r="S17820" s="24"/>
      <c r="T17820" s="24"/>
      <c r="U17820" s="24"/>
      <c r="V17820" s="24"/>
      <c r="W17820" s="24"/>
      <c r="X17820" s="24"/>
      <c r="Y17820" s="24"/>
      <c r="Z17820" s="24"/>
      <c r="AA17820" s="24"/>
    </row>
    <row r="17821">
      <c r="A17821" s="24"/>
      <c r="B17821" s="25"/>
      <c r="C17821" s="24"/>
      <c r="D17821" s="26"/>
      <c r="E17821" s="24"/>
      <c r="F17821" s="24"/>
      <c r="G17821" s="24"/>
      <c r="H17821" s="24"/>
      <c r="I17821" s="24"/>
      <c r="J17821" s="24"/>
      <c r="K17821" s="24"/>
      <c r="L17821" s="24"/>
      <c r="M17821" s="24"/>
      <c r="N17821" s="24"/>
      <c r="O17821" s="24"/>
      <c r="P17821" s="24"/>
      <c r="Q17821" s="24"/>
      <c r="R17821" s="24"/>
      <c r="S17821" s="24"/>
      <c r="T17821" s="24"/>
      <c r="U17821" s="24"/>
      <c r="V17821" s="24"/>
      <c r="W17821" s="24"/>
      <c r="X17821" s="24"/>
      <c r="Y17821" s="24"/>
      <c r="Z17821" s="24"/>
      <c r="AA17821" s="24"/>
    </row>
    <row r="17822">
      <c r="A17822" s="24"/>
      <c r="B17822" s="25"/>
      <c r="C17822" s="24"/>
      <c r="D17822" s="26"/>
      <c r="E17822" s="24"/>
      <c r="F17822" s="24"/>
      <c r="G17822" s="24"/>
      <c r="H17822" s="24"/>
      <c r="I17822" s="24"/>
      <c r="J17822" s="24"/>
      <c r="K17822" s="24"/>
      <c r="L17822" s="24"/>
      <c r="M17822" s="24"/>
      <c r="N17822" s="24"/>
      <c r="O17822" s="24"/>
      <c r="P17822" s="24"/>
      <c r="Q17822" s="24"/>
      <c r="R17822" s="24"/>
      <c r="S17822" s="24"/>
      <c r="T17822" s="24"/>
      <c r="U17822" s="24"/>
      <c r="V17822" s="24"/>
      <c r="W17822" s="24"/>
      <c r="X17822" s="24"/>
      <c r="Y17822" s="24"/>
      <c r="Z17822" s="24"/>
      <c r="AA17822" s="24"/>
    </row>
    <row r="17823">
      <c r="A17823" s="24"/>
      <c r="B17823" s="25"/>
      <c r="C17823" s="24"/>
      <c r="D17823" s="26"/>
      <c r="E17823" s="24"/>
      <c r="F17823" s="24"/>
      <c r="G17823" s="24"/>
      <c r="H17823" s="24"/>
      <c r="I17823" s="24"/>
      <c r="J17823" s="24"/>
      <c r="K17823" s="24"/>
      <c r="L17823" s="24"/>
      <c r="M17823" s="24"/>
      <c r="N17823" s="24"/>
      <c r="O17823" s="24"/>
      <c r="P17823" s="24"/>
      <c r="Q17823" s="24"/>
      <c r="R17823" s="24"/>
      <c r="S17823" s="24"/>
      <c r="T17823" s="24"/>
      <c r="U17823" s="24"/>
      <c r="V17823" s="24"/>
      <c r="W17823" s="24"/>
      <c r="X17823" s="24"/>
      <c r="Y17823" s="24"/>
      <c r="Z17823" s="24"/>
      <c r="AA17823" s="24"/>
    </row>
    <row r="17824">
      <c r="A17824" s="24"/>
      <c r="B17824" s="25"/>
      <c r="C17824" s="24"/>
      <c r="D17824" s="26"/>
      <c r="E17824" s="24"/>
      <c r="F17824" s="24"/>
      <c r="G17824" s="24"/>
      <c r="H17824" s="24"/>
      <c r="I17824" s="24"/>
      <c r="J17824" s="24"/>
      <c r="K17824" s="24"/>
      <c r="L17824" s="24"/>
      <c r="M17824" s="24"/>
      <c r="N17824" s="24"/>
      <c r="O17824" s="24"/>
      <c r="P17824" s="24"/>
      <c r="Q17824" s="24"/>
      <c r="R17824" s="24"/>
      <c r="S17824" s="24"/>
      <c r="T17824" s="24"/>
      <c r="U17824" s="24"/>
      <c r="V17824" s="24"/>
      <c r="W17824" s="24"/>
      <c r="X17824" s="24"/>
      <c r="Y17824" s="24"/>
      <c r="Z17824" s="24"/>
      <c r="AA17824" s="24"/>
    </row>
    <row r="17825">
      <c r="A17825" s="24"/>
      <c r="B17825" s="25"/>
      <c r="C17825" s="24"/>
      <c r="D17825" s="26"/>
      <c r="E17825" s="24"/>
      <c r="F17825" s="24"/>
      <c r="G17825" s="24"/>
      <c r="H17825" s="24"/>
      <c r="I17825" s="24"/>
      <c r="J17825" s="24"/>
      <c r="K17825" s="24"/>
      <c r="L17825" s="24"/>
      <c r="M17825" s="24"/>
      <c r="N17825" s="24"/>
      <c r="O17825" s="24"/>
      <c r="P17825" s="24"/>
      <c r="Q17825" s="24"/>
      <c r="R17825" s="24"/>
      <c r="S17825" s="24"/>
      <c r="T17825" s="24"/>
      <c r="U17825" s="24"/>
      <c r="V17825" s="24"/>
      <c r="W17825" s="24"/>
      <c r="X17825" s="24"/>
      <c r="Y17825" s="24"/>
      <c r="Z17825" s="24"/>
      <c r="AA17825" s="24"/>
    </row>
    <row r="17826">
      <c r="A17826" s="24"/>
      <c r="B17826" s="25"/>
      <c r="C17826" s="24"/>
      <c r="D17826" s="26"/>
      <c r="E17826" s="24"/>
      <c r="F17826" s="24"/>
      <c r="G17826" s="24"/>
      <c r="H17826" s="24"/>
      <c r="I17826" s="24"/>
      <c r="J17826" s="24"/>
      <c r="K17826" s="24"/>
      <c r="L17826" s="24"/>
      <c r="M17826" s="24"/>
      <c r="N17826" s="24"/>
      <c r="O17826" s="24"/>
      <c r="P17826" s="24"/>
      <c r="Q17826" s="24"/>
      <c r="R17826" s="24"/>
      <c r="S17826" s="24"/>
      <c r="T17826" s="24"/>
      <c r="U17826" s="24"/>
      <c r="V17826" s="24"/>
      <c r="W17826" s="24"/>
      <c r="X17826" s="24"/>
      <c r="Y17826" s="24"/>
      <c r="Z17826" s="24"/>
      <c r="AA17826" s="24"/>
    </row>
    <row r="17827">
      <c r="A17827" s="24"/>
      <c r="B17827" s="25"/>
      <c r="C17827" s="24"/>
      <c r="D17827" s="26"/>
      <c r="E17827" s="24"/>
      <c r="F17827" s="24"/>
      <c r="G17827" s="24"/>
      <c r="H17827" s="24"/>
      <c r="I17827" s="24"/>
      <c r="J17827" s="24"/>
      <c r="K17827" s="24"/>
      <c r="L17827" s="24"/>
      <c r="M17827" s="24"/>
      <c r="N17827" s="24"/>
      <c r="O17827" s="24"/>
      <c r="P17827" s="24"/>
      <c r="Q17827" s="24"/>
      <c r="R17827" s="24"/>
      <c r="S17827" s="24"/>
      <c r="T17827" s="24"/>
      <c r="U17827" s="24"/>
      <c r="V17827" s="24"/>
      <c r="W17827" s="24"/>
      <c r="X17827" s="24"/>
      <c r="Y17827" s="24"/>
      <c r="Z17827" s="24"/>
      <c r="AA17827" s="24"/>
    </row>
    <row r="17828">
      <c r="A17828" s="24"/>
      <c r="B17828" s="25"/>
      <c r="C17828" s="24"/>
      <c r="D17828" s="26"/>
      <c r="E17828" s="24"/>
      <c r="F17828" s="24"/>
      <c r="G17828" s="24"/>
      <c r="H17828" s="24"/>
      <c r="I17828" s="24"/>
      <c r="J17828" s="24"/>
      <c r="K17828" s="24"/>
      <c r="L17828" s="24"/>
      <c r="M17828" s="24"/>
      <c r="N17828" s="24"/>
      <c r="O17828" s="24"/>
      <c r="P17828" s="24"/>
      <c r="Q17828" s="24"/>
      <c r="R17828" s="24"/>
      <c r="S17828" s="24"/>
      <c r="T17828" s="24"/>
      <c r="U17828" s="24"/>
      <c r="V17828" s="24"/>
      <c r="W17828" s="24"/>
      <c r="X17828" s="24"/>
      <c r="Y17828" s="24"/>
      <c r="Z17828" s="24"/>
      <c r="AA17828" s="24"/>
    </row>
    <row r="17829">
      <c r="A17829" s="24"/>
      <c r="B17829" s="25"/>
      <c r="C17829" s="24"/>
      <c r="D17829" s="26"/>
      <c r="E17829" s="24"/>
      <c r="F17829" s="24"/>
      <c r="G17829" s="24"/>
      <c r="H17829" s="24"/>
      <c r="I17829" s="24"/>
      <c r="J17829" s="24"/>
      <c r="K17829" s="24"/>
      <c r="L17829" s="24"/>
      <c r="M17829" s="24"/>
      <c r="N17829" s="24"/>
      <c r="O17829" s="24"/>
      <c r="P17829" s="24"/>
      <c r="Q17829" s="24"/>
      <c r="R17829" s="24"/>
      <c r="S17829" s="24"/>
      <c r="T17829" s="24"/>
      <c r="U17829" s="24"/>
      <c r="V17829" s="24"/>
      <c r="W17829" s="24"/>
      <c r="X17829" s="24"/>
      <c r="Y17829" s="24"/>
      <c r="Z17829" s="24"/>
      <c r="AA17829" s="24"/>
    </row>
    <row r="17830">
      <c r="A17830" s="24"/>
      <c r="B17830" s="25"/>
      <c r="C17830" s="24"/>
      <c r="D17830" s="26"/>
      <c r="E17830" s="24"/>
      <c r="F17830" s="24"/>
      <c r="G17830" s="24"/>
      <c r="H17830" s="24"/>
      <c r="I17830" s="24"/>
      <c r="J17830" s="24"/>
      <c r="K17830" s="24"/>
      <c r="L17830" s="24"/>
      <c r="M17830" s="24"/>
      <c r="N17830" s="24"/>
      <c r="O17830" s="24"/>
      <c r="P17830" s="24"/>
      <c r="Q17830" s="24"/>
      <c r="R17830" s="24"/>
      <c r="S17830" s="24"/>
      <c r="T17830" s="24"/>
      <c r="U17830" s="24"/>
      <c r="V17830" s="24"/>
      <c r="W17830" s="24"/>
      <c r="X17830" s="24"/>
      <c r="Y17830" s="24"/>
      <c r="Z17830" s="24"/>
      <c r="AA17830" s="24"/>
    </row>
    <row r="17831">
      <c r="A17831" s="24"/>
      <c r="B17831" s="25"/>
      <c r="C17831" s="24"/>
      <c r="D17831" s="26"/>
      <c r="E17831" s="24"/>
      <c r="F17831" s="24"/>
      <c r="G17831" s="24"/>
      <c r="H17831" s="24"/>
      <c r="I17831" s="24"/>
      <c r="J17831" s="24"/>
      <c r="K17831" s="24"/>
      <c r="L17831" s="24"/>
      <c r="M17831" s="24"/>
      <c r="N17831" s="24"/>
      <c r="O17831" s="24"/>
      <c r="P17831" s="24"/>
      <c r="Q17831" s="24"/>
      <c r="R17831" s="24"/>
      <c r="S17831" s="24"/>
      <c r="T17831" s="24"/>
      <c r="U17831" s="24"/>
      <c r="V17831" s="24"/>
      <c r="W17831" s="24"/>
      <c r="X17831" s="24"/>
      <c r="Y17831" s="24"/>
      <c r="Z17831" s="24"/>
      <c r="AA17831" s="24"/>
    </row>
    <row r="17832">
      <c r="A17832" s="24"/>
      <c r="B17832" s="25"/>
      <c r="C17832" s="24"/>
      <c r="D17832" s="26"/>
      <c r="E17832" s="24"/>
      <c r="F17832" s="24"/>
      <c r="G17832" s="24"/>
      <c r="H17832" s="24"/>
      <c r="I17832" s="24"/>
      <c r="J17832" s="24"/>
      <c r="K17832" s="24"/>
      <c r="L17832" s="24"/>
      <c r="M17832" s="24"/>
      <c r="N17832" s="24"/>
      <c r="O17832" s="24"/>
      <c r="P17832" s="24"/>
      <c r="Q17832" s="24"/>
      <c r="R17832" s="24"/>
      <c r="S17832" s="24"/>
      <c r="T17832" s="24"/>
      <c r="U17832" s="24"/>
      <c r="V17832" s="24"/>
      <c r="W17832" s="24"/>
      <c r="X17832" s="24"/>
      <c r="Y17832" s="24"/>
      <c r="Z17832" s="24"/>
      <c r="AA17832" s="24"/>
    </row>
    <row r="17833">
      <c r="A17833" s="24"/>
      <c r="B17833" s="25"/>
      <c r="C17833" s="24"/>
      <c r="D17833" s="26"/>
      <c r="E17833" s="24"/>
      <c r="F17833" s="24"/>
      <c r="G17833" s="24"/>
      <c r="H17833" s="24"/>
      <c r="I17833" s="24"/>
      <c r="J17833" s="24"/>
      <c r="K17833" s="24"/>
      <c r="L17833" s="24"/>
      <c r="M17833" s="24"/>
      <c r="N17833" s="24"/>
      <c r="O17833" s="24"/>
      <c r="P17833" s="24"/>
      <c r="Q17833" s="24"/>
      <c r="R17833" s="24"/>
      <c r="S17833" s="24"/>
      <c r="T17833" s="24"/>
      <c r="U17833" s="24"/>
      <c r="V17833" s="24"/>
      <c r="W17833" s="24"/>
      <c r="X17833" s="24"/>
      <c r="Y17833" s="24"/>
      <c r="Z17833" s="24"/>
      <c r="AA17833" s="24"/>
    </row>
    <row r="17834">
      <c r="A17834" s="24"/>
      <c r="B17834" s="25"/>
      <c r="C17834" s="24"/>
      <c r="D17834" s="26"/>
      <c r="E17834" s="24"/>
      <c r="F17834" s="24"/>
      <c r="G17834" s="24"/>
      <c r="H17834" s="24"/>
      <c r="I17834" s="24"/>
      <c r="J17834" s="24"/>
      <c r="K17834" s="24"/>
      <c r="L17834" s="24"/>
      <c r="M17834" s="24"/>
      <c r="N17834" s="24"/>
      <c r="O17834" s="24"/>
      <c r="P17834" s="24"/>
      <c r="Q17834" s="24"/>
      <c r="R17834" s="24"/>
      <c r="S17834" s="24"/>
      <c r="T17834" s="24"/>
      <c r="U17834" s="24"/>
      <c r="V17834" s="24"/>
      <c r="W17834" s="24"/>
      <c r="X17834" s="24"/>
      <c r="Y17834" s="24"/>
      <c r="Z17834" s="24"/>
      <c r="AA17834" s="24"/>
    </row>
    <row r="17835">
      <c r="A17835" s="24"/>
      <c r="B17835" s="25"/>
      <c r="C17835" s="24"/>
      <c r="D17835" s="26"/>
      <c r="E17835" s="24"/>
      <c r="F17835" s="24"/>
      <c r="G17835" s="24"/>
      <c r="H17835" s="24"/>
      <c r="I17835" s="24"/>
      <c r="J17835" s="24"/>
      <c r="K17835" s="24"/>
      <c r="L17835" s="24"/>
      <c r="M17835" s="24"/>
      <c r="N17835" s="24"/>
      <c r="O17835" s="24"/>
      <c r="P17835" s="24"/>
      <c r="Q17835" s="24"/>
      <c r="R17835" s="24"/>
      <c r="S17835" s="24"/>
      <c r="T17835" s="24"/>
      <c r="U17835" s="24"/>
      <c r="V17835" s="24"/>
      <c r="W17835" s="24"/>
      <c r="X17835" s="24"/>
      <c r="Y17835" s="24"/>
      <c r="Z17835" s="24"/>
      <c r="AA17835" s="24"/>
    </row>
    <row r="17836">
      <c r="A17836" s="24"/>
      <c r="B17836" s="25"/>
      <c r="C17836" s="24"/>
      <c r="D17836" s="26"/>
      <c r="E17836" s="24"/>
      <c r="F17836" s="24"/>
      <c r="G17836" s="24"/>
      <c r="H17836" s="24"/>
      <c r="I17836" s="24"/>
      <c r="J17836" s="24"/>
      <c r="K17836" s="24"/>
      <c r="L17836" s="24"/>
      <c r="M17836" s="24"/>
      <c r="N17836" s="24"/>
      <c r="O17836" s="24"/>
      <c r="P17836" s="24"/>
      <c r="Q17836" s="24"/>
      <c r="R17836" s="24"/>
      <c r="S17836" s="24"/>
      <c r="T17836" s="24"/>
      <c r="U17836" s="24"/>
      <c r="V17836" s="24"/>
      <c r="W17836" s="24"/>
      <c r="X17836" s="24"/>
      <c r="Y17836" s="24"/>
      <c r="Z17836" s="24"/>
      <c r="AA17836" s="24"/>
    </row>
    <row r="17837">
      <c r="A17837" s="24"/>
      <c r="B17837" s="25"/>
      <c r="C17837" s="24"/>
      <c r="D17837" s="26"/>
      <c r="E17837" s="24"/>
      <c r="F17837" s="24"/>
      <c r="G17837" s="24"/>
      <c r="H17837" s="24"/>
      <c r="I17837" s="24"/>
      <c r="J17837" s="24"/>
      <c r="K17837" s="24"/>
      <c r="L17837" s="24"/>
      <c r="M17837" s="24"/>
      <c r="N17837" s="24"/>
      <c r="O17837" s="24"/>
      <c r="P17837" s="24"/>
      <c r="Q17837" s="24"/>
      <c r="R17837" s="24"/>
      <c r="S17837" s="24"/>
      <c r="T17837" s="24"/>
      <c r="U17837" s="24"/>
      <c r="V17837" s="24"/>
      <c r="W17837" s="24"/>
      <c r="X17837" s="24"/>
      <c r="Y17837" s="24"/>
      <c r="Z17837" s="24"/>
      <c r="AA17837" s="24"/>
    </row>
    <row r="17838">
      <c r="A17838" s="24"/>
      <c r="B17838" s="25"/>
      <c r="C17838" s="24"/>
      <c r="D17838" s="26"/>
      <c r="E17838" s="24"/>
      <c r="F17838" s="24"/>
      <c r="G17838" s="24"/>
      <c r="H17838" s="24"/>
      <c r="I17838" s="24"/>
      <c r="J17838" s="24"/>
      <c r="K17838" s="24"/>
      <c r="L17838" s="24"/>
      <c r="M17838" s="24"/>
      <c r="N17838" s="24"/>
      <c r="O17838" s="24"/>
      <c r="P17838" s="24"/>
      <c r="Q17838" s="24"/>
      <c r="R17838" s="24"/>
      <c r="S17838" s="24"/>
      <c r="T17838" s="24"/>
      <c r="U17838" s="24"/>
      <c r="V17838" s="24"/>
      <c r="W17838" s="24"/>
      <c r="X17838" s="24"/>
      <c r="Y17838" s="24"/>
      <c r="Z17838" s="24"/>
      <c r="AA17838" s="24"/>
    </row>
    <row r="17839">
      <c r="A17839" s="24"/>
      <c r="B17839" s="25"/>
      <c r="C17839" s="24"/>
      <c r="D17839" s="26"/>
      <c r="E17839" s="24"/>
      <c r="F17839" s="24"/>
      <c r="G17839" s="24"/>
      <c r="H17839" s="24"/>
      <c r="I17839" s="24"/>
      <c r="J17839" s="24"/>
      <c r="K17839" s="24"/>
      <c r="L17839" s="24"/>
      <c r="M17839" s="24"/>
      <c r="N17839" s="24"/>
      <c r="O17839" s="24"/>
      <c r="P17839" s="24"/>
      <c r="Q17839" s="24"/>
      <c r="R17839" s="24"/>
      <c r="S17839" s="24"/>
      <c r="T17839" s="24"/>
      <c r="U17839" s="24"/>
      <c r="V17839" s="24"/>
      <c r="W17839" s="24"/>
      <c r="X17839" s="24"/>
      <c r="Y17839" s="24"/>
      <c r="Z17839" s="24"/>
      <c r="AA17839" s="24"/>
    </row>
    <row r="17840">
      <c r="A17840" s="24"/>
      <c r="B17840" s="25"/>
      <c r="C17840" s="24"/>
      <c r="D17840" s="26"/>
      <c r="E17840" s="24"/>
      <c r="F17840" s="24"/>
      <c r="G17840" s="24"/>
      <c r="H17840" s="24"/>
      <c r="I17840" s="24"/>
      <c r="J17840" s="24"/>
      <c r="K17840" s="24"/>
      <c r="L17840" s="24"/>
      <c r="M17840" s="24"/>
      <c r="N17840" s="24"/>
      <c r="O17840" s="24"/>
      <c r="P17840" s="24"/>
      <c r="Q17840" s="24"/>
      <c r="R17840" s="24"/>
      <c r="S17840" s="24"/>
      <c r="T17840" s="24"/>
      <c r="U17840" s="24"/>
      <c r="V17840" s="24"/>
      <c r="W17840" s="24"/>
      <c r="X17840" s="24"/>
      <c r="Y17840" s="24"/>
      <c r="Z17840" s="24"/>
      <c r="AA17840" s="24"/>
    </row>
    <row r="17841">
      <c r="A17841" s="24"/>
      <c r="B17841" s="25"/>
      <c r="C17841" s="24"/>
      <c r="D17841" s="26"/>
      <c r="E17841" s="24"/>
      <c r="F17841" s="24"/>
      <c r="G17841" s="24"/>
      <c r="H17841" s="24"/>
      <c r="I17841" s="24"/>
      <c r="J17841" s="24"/>
      <c r="K17841" s="24"/>
      <c r="L17841" s="24"/>
      <c r="M17841" s="24"/>
      <c r="N17841" s="24"/>
      <c r="O17841" s="24"/>
      <c r="P17841" s="24"/>
      <c r="Q17841" s="24"/>
      <c r="R17841" s="24"/>
      <c r="S17841" s="24"/>
      <c r="T17841" s="24"/>
      <c r="U17841" s="24"/>
      <c r="V17841" s="24"/>
      <c r="W17841" s="24"/>
      <c r="X17841" s="24"/>
      <c r="Y17841" s="24"/>
      <c r="Z17841" s="24"/>
      <c r="AA17841" s="24"/>
    </row>
    <row r="17842">
      <c r="A17842" s="24"/>
      <c r="B17842" s="25"/>
      <c r="C17842" s="24"/>
      <c r="D17842" s="26"/>
      <c r="E17842" s="24"/>
      <c r="F17842" s="24"/>
      <c r="G17842" s="24"/>
      <c r="H17842" s="24"/>
      <c r="I17842" s="24"/>
      <c r="J17842" s="24"/>
      <c r="K17842" s="24"/>
      <c r="L17842" s="24"/>
      <c r="M17842" s="24"/>
      <c r="N17842" s="24"/>
      <c r="O17842" s="24"/>
      <c r="P17842" s="24"/>
      <c r="Q17842" s="24"/>
      <c r="R17842" s="24"/>
      <c r="S17842" s="24"/>
      <c r="T17842" s="24"/>
      <c r="U17842" s="24"/>
      <c r="V17842" s="24"/>
      <c r="W17842" s="24"/>
      <c r="X17842" s="24"/>
      <c r="Y17842" s="24"/>
      <c r="Z17842" s="24"/>
      <c r="AA17842" s="24"/>
    </row>
    <row r="17843">
      <c r="A17843" s="24"/>
      <c r="B17843" s="25"/>
      <c r="C17843" s="24"/>
      <c r="D17843" s="26"/>
      <c r="E17843" s="24"/>
      <c r="F17843" s="24"/>
      <c r="G17843" s="24"/>
      <c r="H17843" s="24"/>
      <c r="I17843" s="24"/>
      <c r="J17843" s="24"/>
      <c r="K17843" s="24"/>
      <c r="L17843" s="24"/>
      <c r="M17843" s="24"/>
      <c r="N17843" s="24"/>
      <c r="O17843" s="24"/>
      <c r="P17843" s="24"/>
      <c r="Q17843" s="24"/>
      <c r="R17843" s="24"/>
      <c r="S17843" s="24"/>
      <c r="T17843" s="24"/>
      <c r="U17843" s="24"/>
      <c r="V17843" s="24"/>
      <c r="W17843" s="24"/>
      <c r="X17843" s="24"/>
      <c r="Y17843" s="24"/>
      <c r="Z17843" s="24"/>
      <c r="AA17843" s="24"/>
    </row>
    <row r="17844">
      <c r="A17844" s="24"/>
      <c r="B17844" s="25"/>
      <c r="C17844" s="24"/>
      <c r="D17844" s="26"/>
      <c r="E17844" s="24"/>
      <c r="F17844" s="24"/>
      <c r="G17844" s="24"/>
      <c r="H17844" s="24"/>
      <c r="I17844" s="24"/>
      <c r="J17844" s="24"/>
      <c r="K17844" s="24"/>
      <c r="L17844" s="24"/>
      <c r="M17844" s="24"/>
      <c r="N17844" s="24"/>
      <c r="O17844" s="24"/>
      <c r="P17844" s="24"/>
      <c r="Q17844" s="24"/>
      <c r="R17844" s="24"/>
      <c r="S17844" s="24"/>
      <c r="T17844" s="24"/>
      <c r="U17844" s="24"/>
      <c r="V17844" s="24"/>
      <c r="W17844" s="24"/>
      <c r="X17844" s="24"/>
      <c r="Y17844" s="24"/>
      <c r="Z17844" s="24"/>
      <c r="AA17844" s="24"/>
    </row>
    <row r="17845">
      <c r="A17845" s="24"/>
      <c r="B17845" s="25"/>
      <c r="C17845" s="24"/>
      <c r="D17845" s="26"/>
      <c r="E17845" s="24"/>
      <c r="F17845" s="24"/>
      <c r="G17845" s="24"/>
      <c r="H17845" s="24"/>
      <c r="I17845" s="24"/>
      <c r="J17845" s="24"/>
      <c r="K17845" s="24"/>
      <c r="L17845" s="24"/>
      <c r="M17845" s="24"/>
      <c r="N17845" s="24"/>
      <c r="O17845" s="24"/>
      <c r="P17845" s="24"/>
      <c r="Q17845" s="24"/>
      <c r="R17845" s="24"/>
      <c r="S17845" s="24"/>
      <c r="T17845" s="24"/>
      <c r="U17845" s="24"/>
      <c r="V17845" s="24"/>
      <c r="W17845" s="24"/>
      <c r="X17845" s="24"/>
      <c r="Y17845" s="24"/>
      <c r="Z17845" s="24"/>
      <c r="AA17845" s="24"/>
    </row>
    <row r="17846">
      <c r="A17846" s="24"/>
      <c r="B17846" s="25"/>
      <c r="C17846" s="24"/>
      <c r="D17846" s="26"/>
      <c r="E17846" s="24"/>
      <c r="F17846" s="24"/>
      <c r="G17846" s="24"/>
      <c r="H17846" s="24"/>
      <c r="I17846" s="24"/>
      <c r="J17846" s="24"/>
      <c r="K17846" s="24"/>
      <c r="L17846" s="24"/>
      <c r="M17846" s="24"/>
      <c r="N17846" s="24"/>
      <c r="O17846" s="24"/>
      <c r="P17846" s="24"/>
      <c r="Q17846" s="24"/>
      <c r="R17846" s="24"/>
      <c r="S17846" s="24"/>
      <c r="T17846" s="24"/>
      <c r="U17846" s="24"/>
      <c r="V17846" s="24"/>
      <c r="W17846" s="24"/>
      <c r="X17846" s="24"/>
      <c r="Y17846" s="24"/>
      <c r="Z17846" s="24"/>
      <c r="AA17846" s="24"/>
    </row>
    <row r="17847">
      <c r="A17847" s="24"/>
      <c r="B17847" s="25"/>
      <c r="C17847" s="24"/>
      <c r="D17847" s="26"/>
      <c r="E17847" s="24"/>
      <c r="F17847" s="24"/>
      <c r="G17847" s="24"/>
      <c r="H17847" s="24"/>
      <c r="I17847" s="24"/>
      <c r="J17847" s="24"/>
      <c r="K17847" s="24"/>
      <c r="L17847" s="24"/>
      <c r="M17847" s="24"/>
      <c r="N17847" s="24"/>
      <c r="O17847" s="24"/>
      <c r="P17847" s="24"/>
      <c r="Q17847" s="24"/>
      <c r="R17847" s="24"/>
      <c r="S17847" s="24"/>
      <c r="T17847" s="24"/>
      <c r="U17847" s="24"/>
      <c r="V17847" s="24"/>
      <c r="W17847" s="24"/>
      <c r="X17847" s="24"/>
      <c r="Y17847" s="24"/>
      <c r="Z17847" s="24"/>
      <c r="AA17847" s="24"/>
    </row>
    <row r="17848">
      <c r="A17848" s="24"/>
      <c r="B17848" s="25"/>
      <c r="C17848" s="24"/>
      <c r="D17848" s="26"/>
      <c r="E17848" s="24"/>
      <c r="F17848" s="24"/>
      <c r="G17848" s="24"/>
      <c r="H17848" s="24"/>
      <c r="I17848" s="24"/>
      <c r="J17848" s="24"/>
      <c r="K17848" s="24"/>
      <c r="L17848" s="24"/>
      <c r="M17848" s="24"/>
      <c r="N17848" s="24"/>
      <c r="O17848" s="24"/>
      <c r="P17848" s="24"/>
      <c r="Q17848" s="24"/>
      <c r="R17848" s="24"/>
      <c r="S17848" s="24"/>
      <c r="T17848" s="24"/>
      <c r="U17848" s="24"/>
      <c r="V17848" s="24"/>
      <c r="W17848" s="24"/>
      <c r="X17848" s="24"/>
      <c r="Y17848" s="24"/>
      <c r="Z17848" s="24"/>
      <c r="AA17848" s="24"/>
    </row>
    <row r="17849">
      <c r="A17849" s="24"/>
      <c r="B17849" s="25"/>
      <c r="C17849" s="24"/>
      <c r="D17849" s="26"/>
      <c r="E17849" s="24"/>
      <c r="F17849" s="24"/>
      <c r="G17849" s="24"/>
      <c r="H17849" s="24"/>
      <c r="I17849" s="24"/>
      <c r="J17849" s="24"/>
      <c r="K17849" s="24"/>
      <c r="L17849" s="24"/>
      <c r="M17849" s="24"/>
      <c r="N17849" s="24"/>
      <c r="O17849" s="24"/>
      <c r="P17849" s="24"/>
      <c r="Q17849" s="24"/>
      <c r="R17849" s="24"/>
      <c r="S17849" s="24"/>
      <c r="T17849" s="24"/>
      <c r="U17849" s="24"/>
      <c r="V17849" s="24"/>
      <c r="W17849" s="24"/>
      <c r="X17849" s="24"/>
      <c r="Y17849" s="24"/>
      <c r="Z17849" s="24"/>
      <c r="AA17849" s="24"/>
    </row>
    <row r="17850">
      <c r="A17850" s="24"/>
      <c r="B17850" s="25"/>
      <c r="C17850" s="24"/>
      <c r="D17850" s="26"/>
      <c r="E17850" s="24"/>
      <c r="F17850" s="24"/>
      <c r="G17850" s="24"/>
      <c r="H17850" s="24"/>
      <c r="I17850" s="24"/>
      <c r="J17850" s="24"/>
      <c r="K17850" s="24"/>
      <c r="L17850" s="24"/>
      <c r="M17850" s="24"/>
      <c r="N17850" s="24"/>
      <c r="O17850" s="24"/>
      <c r="P17850" s="24"/>
      <c r="Q17850" s="24"/>
      <c r="R17850" s="24"/>
      <c r="S17850" s="24"/>
      <c r="T17850" s="24"/>
      <c r="U17850" s="24"/>
      <c r="V17850" s="24"/>
      <c r="W17850" s="24"/>
      <c r="X17850" s="24"/>
      <c r="Y17850" s="24"/>
      <c r="Z17850" s="24"/>
      <c r="AA17850" s="24"/>
    </row>
    <row r="17851">
      <c r="A17851" s="24"/>
      <c r="B17851" s="25"/>
      <c r="C17851" s="24"/>
      <c r="D17851" s="26"/>
      <c r="E17851" s="24"/>
      <c r="F17851" s="24"/>
      <c r="G17851" s="24"/>
      <c r="H17851" s="24"/>
      <c r="I17851" s="24"/>
      <c r="J17851" s="24"/>
      <c r="K17851" s="24"/>
      <c r="L17851" s="24"/>
      <c r="M17851" s="24"/>
      <c r="N17851" s="24"/>
      <c r="O17851" s="24"/>
      <c r="P17851" s="24"/>
      <c r="Q17851" s="24"/>
      <c r="R17851" s="24"/>
      <c r="S17851" s="24"/>
      <c r="T17851" s="24"/>
      <c r="U17851" s="24"/>
      <c r="V17851" s="24"/>
      <c r="W17851" s="24"/>
      <c r="X17851" s="24"/>
      <c r="Y17851" s="24"/>
      <c r="Z17851" s="24"/>
      <c r="AA17851" s="24"/>
    </row>
    <row r="17852">
      <c r="A17852" s="24"/>
      <c r="B17852" s="25"/>
      <c r="C17852" s="24"/>
      <c r="D17852" s="26"/>
      <c r="E17852" s="24"/>
      <c r="F17852" s="24"/>
      <c r="G17852" s="24"/>
      <c r="H17852" s="24"/>
      <c r="I17852" s="24"/>
      <c r="J17852" s="24"/>
      <c r="K17852" s="24"/>
      <c r="L17852" s="24"/>
      <c r="M17852" s="24"/>
      <c r="N17852" s="24"/>
      <c r="O17852" s="24"/>
      <c r="P17852" s="24"/>
      <c r="Q17852" s="24"/>
      <c r="R17852" s="24"/>
      <c r="S17852" s="24"/>
      <c r="T17852" s="24"/>
      <c r="U17852" s="24"/>
      <c r="V17852" s="24"/>
      <c r="W17852" s="24"/>
      <c r="X17852" s="24"/>
      <c r="Y17852" s="24"/>
      <c r="Z17852" s="24"/>
      <c r="AA17852" s="24"/>
    </row>
    <row r="17853">
      <c r="A17853" s="24"/>
      <c r="B17853" s="25"/>
      <c r="C17853" s="24"/>
      <c r="D17853" s="26"/>
      <c r="E17853" s="24"/>
      <c r="F17853" s="24"/>
      <c r="G17853" s="24"/>
      <c r="H17853" s="24"/>
      <c r="I17853" s="24"/>
      <c r="J17853" s="24"/>
      <c r="K17853" s="24"/>
      <c r="L17853" s="24"/>
      <c r="M17853" s="24"/>
      <c r="N17853" s="24"/>
      <c r="O17853" s="24"/>
      <c r="P17853" s="24"/>
      <c r="Q17853" s="24"/>
      <c r="R17853" s="24"/>
      <c r="S17853" s="24"/>
      <c r="T17853" s="24"/>
      <c r="U17853" s="24"/>
      <c r="V17853" s="24"/>
      <c r="W17853" s="24"/>
      <c r="X17853" s="24"/>
      <c r="Y17853" s="24"/>
      <c r="Z17853" s="24"/>
      <c r="AA17853" s="24"/>
    </row>
    <row r="17854">
      <c r="A17854" s="24"/>
      <c r="B17854" s="25"/>
      <c r="C17854" s="24"/>
      <c r="D17854" s="26"/>
      <c r="E17854" s="24"/>
      <c r="F17854" s="24"/>
      <c r="G17854" s="24"/>
      <c r="H17854" s="24"/>
      <c r="I17854" s="24"/>
      <c r="J17854" s="24"/>
      <c r="K17854" s="24"/>
      <c r="L17854" s="24"/>
      <c r="M17854" s="24"/>
      <c r="N17854" s="24"/>
      <c r="O17854" s="24"/>
      <c r="P17854" s="24"/>
      <c r="Q17854" s="24"/>
      <c r="R17854" s="24"/>
      <c r="S17854" s="24"/>
      <c r="T17854" s="24"/>
      <c r="U17854" s="24"/>
      <c r="V17854" s="24"/>
      <c r="W17854" s="24"/>
      <c r="X17854" s="24"/>
      <c r="Y17854" s="24"/>
      <c r="Z17854" s="24"/>
      <c r="AA17854" s="24"/>
    </row>
    <row r="17855">
      <c r="A17855" s="24"/>
      <c r="B17855" s="25"/>
      <c r="C17855" s="24"/>
      <c r="D17855" s="26"/>
      <c r="E17855" s="24"/>
      <c r="F17855" s="24"/>
      <c r="G17855" s="24"/>
      <c r="H17855" s="24"/>
      <c r="I17855" s="24"/>
      <c r="J17855" s="24"/>
      <c r="K17855" s="24"/>
      <c r="L17855" s="24"/>
      <c r="M17855" s="24"/>
      <c r="N17855" s="24"/>
      <c r="O17855" s="24"/>
      <c r="P17855" s="24"/>
      <c r="Q17855" s="24"/>
      <c r="R17855" s="24"/>
      <c r="S17855" s="24"/>
      <c r="T17855" s="24"/>
      <c r="U17855" s="24"/>
      <c r="V17855" s="24"/>
      <c r="W17855" s="24"/>
      <c r="X17855" s="24"/>
      <c r="Y17855" s="24"/>
      <c r="Z17855" s="24"/>
      <c r="AA17855" s="24"/>
    </row>
    <row r="17856">
      <c r="A17856" s="24"/>
      <c r="B17856" s="25"/>
      <c r="C17856" s="24"/>
      <c r="D17856" s="26"/>
      <c r="E17856" s="24"/>
      <c r="F17856" s="24"/>
      <c r="G17856" s="24"/>
      <c r="H17856" s="24"/>
      <c r="I17856" s="24"/>
      <c r="J17856" s="24"/>
      <c r="K17856" s="24"/>
      <c r="L17856" s="24"/>
      <c r="M17856" s="24"/>
      <c r="N17856" s="24"/>
      <c r="O17856" s="24"/>
      <c r="P17856" s="24"/>
      <c r="Q17856" s="24"/>
      <c r="R17856" s="24"/>
      <c r="S17856" s="24"/>
      <c r="T17856" s="24"/>
      <c r="U17856" s="24"/>
      <c r="V17856" s="24"/>
      <c r="W17856" s="24"/>
      <c r="X17856" s="24"/>
      <c r="Y17856" s="24"/>
      <c r="Z17856" s="24"/>
      <c r="AA17856" s="24"/>
    </row>
    <row r="17857">
      <c r="A17857" s="24"/>
      <c r="B17857" s="25"/>
      <c r="C17857" s="24"/>
      <c r="D17857" s="26"/>
      <c r="E17857" s="24"/>
      <c r="F17857" s="24"/>
      <c r="G17857" s="24"/>
      <c r="H17857" s="24"/>
      <c r="I17857" s="24"/>
      <c r="J17857" s="24"/>
      <c r="K17857" s="24"/>
      <c r="L17857" s="24"/>
      <c r="M17857" s="24"/>
      <c r="N17857" s="24"/>
      <c r="O17857" s="24"/>
      <c r="P17857" s="24"/>
      <c r="Q17857" s="24"/>
      <c r="R17857" s="24"/>
      <c r="S17857" s="24"/>
      <c r="T17857" s="24"/>
      <c r="U17857" s="24"/>
      <c r="V17857" s="24"/>
      <c r="W17857" s="24"/>
      <c r="X17857" s="24"/>
      <c r="Y17857" s="24"/>
      <c r="Z17857" s="24"/>
      <c r="AA17857" s="24"/>
    </row>
    <row r="17858">
      <c r="A17858" s="24"/>
      <c r="B17858" s="25"/>
      <c r="C17858" s="24"/>
      <c r="D17858" s="26"/>
      <c r="E17858" s="24"/>
      <c r="F17858" s="24"/>
      <c r="G17858" s="24"/>
      <c r="H17858" s="24"/>
      <c r="I17858" s="24"/>
      <c r="J17858" s="24"/>
      <c r="K17858" s="24"/>
      <c r="L17858" s="24"/>
      <c r="M17858" s="24"/>
      <c r="N17858" s="24"/>
      <c r="O17858" s="24"/>
      <c r="P17858" s="24"/>
      <c r="Q17858" s="24"/>
      <c r="R17858" s="24"/>
      <c r="S17858" s="24"/>
      <c r="T17858" s="24"/>
      <c r="U17858" s="24"/>
      <c r="V17858" s="24"/>
      <c r="W17858" s="24"/>
      <c r="X17858" s="24"/>
      <c r="Y17858" s="24"/>
      <c r="Z17858" s="24"/>
      <c r="AA17858" s="24"/>
    </row>
    <row r="17859">
      <c r="A17859" s="24"/>
      <c r="B17859" s="25"/>
      <c r="C17859" s="24"/>
      <c r="D17859" s="26"/>
      <c r="E17859" s="24"/>
      <c r="F17859" s="24"/>
      <c r="G17859" s="24"/>
      <c r="H17859" s="24"/>
      <c r="I17859" s="24"/>
      <c r="J17859" s="24"/>
      <c r="K17859" s="24"/>
      <c r="L17859" s="24"/>
      <c r="M17859" s="24"/>
      <c r="N17859" s="24"/>
      <c r="O17859" s="24"/>
      <c r="P17859" s="24"/>
      <c r="Q17859" s="24"/>
      <c r="R17859" s="24"/>
      <c r="S17859" s="24"/>
      <c r="T17859" s="24"/>
      <c r="U17859" s="24"/>
      <c r="V17859" s="24"/>
      <c r="W17859" s="24"/>
      <c r="X17859" s="24"/>
      <c r="Y17859" s="24"/>
      <c r="Z17859" s="24"/>
      <c r="AA17859" s="24"/>
    </row>
    <row r="17860">
      <c r="A17860" s="24"/>
      <c r="B17860" s="25"/>
      <c r="C17860" s="24"/>
      <c r="D17860" s="26"/>
      <c r="E17860" s="24"/>
      <c r="F17860" s="24"/>
      <c r="G17860" s="24"/>
      <c r="H17860" s="24"/>
      <c r="I17860" s="24"/>
      <c r="J17860" s="24"/>
      <c r="K17860" s="24"/>
      <c r="L17860" s="24"/>
      <c r="M17860" s="24"/>
      <c r="N17860" s="24"/>
      <c r="O17860" s="24"/>
      <c r="P17860" s="24"/>
      <c r="Q17860" s="24"/>
      <c r="R17860" s="24"/>
      <c r="S17860" s="24"/>
      <c r="T17860" s="24"/>
      <c r="U17860" s="24"/>
      <c r="V17860" s="24"/>
      <c r="W17860" s="24"/>
      <c r="X17860" s="24"/>
      <c r="Y17860" s="24"/>
      <c r="Z17860" s="24"/>
      <c r="AA17860" s="24"/>
    </row>
    <row r="17861">
      <c r="A17861" s="24"/>
      <c r="B17861" s="25"/>
      <c r="C17861" s="24"/>
      <c r="D17861" s="26"/>
      <c r="E17861" s="24"/>
      <c r="F17861" s="24"/>
      <c r="G17861" s="24"/>
      <c r="H17861" s="24"/>
      <c r="I17861" s="24"/>
      <c r="J17861" s="24"/>
      <c r="K17861" s="24"/>
      <c r="L17861" s="24"/>
      <c r="M17861" s="24"/>
      <c r="N17861" s="24"/>
      <c r="O17861" s="24"/>
      <c r="P17861" s="24"/>
      <c r="Q17861" s="24"/>
      <c r="R17861" s="24"/>
      <c r="S17861" s="24"/>
      <c r="T17861" s="24"/>
      <c r="U17861" s="24"/>
      <c r="V17861" s="24"/>
      <c r="W17861" s="24"/>
      <c r="X17861" s="24"/>
      <c r="Y17861" s="24"/>
      <c r="Z17861" s="24"/>
      <c r="AA17861" s="24"/>
    </row>
    <row r="17862">
      <c r="A17862" s="24"/>
      <c r="B17862" s="25"/>
      <c r="C17862" s="24"/>
      <c r="D17862" s="26"/>
      <c r="E17862" s="24"/>
      <c r="F17862" s="24"/>
      <c r="G17862" s="24"/>
      <c r="H17862" s="24"/>
      <c r="I17862" s="24"/>
      <c r="J17862" s="24"/>
      <c r="K17862" s="24"/>
      <c r="L17862" s="24"/>
      <c r="M17862" s="24"/>
      <c r="N17862" s="24"/>
      <c r="O17862" s="24"/>
      <c r="P17862" s="24"/>
      <c r="Q17862" s="24"/>
      <c r="R17862" s="24"/>
      <c r="S17862" s="24"/>
      <c r="T17862" s="24"/>
      <c r="U17862" s="24"/>
      <c r="V17862" s="24"/>
      <c r="W17862" s="24"/>
      <c r="X17862" s="24"/>
      <c r="Y17862" s="24"/>
      <c r="Z17862" s="24"/>
      <c r="AA17862" s="24"/>
    </row>
    <row r="17863">
      <c r="A17863" s="24"/>
      <c r="B17863" s="25"/>
      <c r="C17863" s="24"/>
      <c r="D17863" s="26"/>
      <c r="E17863" s="24"/>
      <c r="F17863" s="24"/>
      <c r="G17863" s="24"/>
      <c r="H17863" s="24"/>
      <c r="I17863" s="24"/>
      <c r="J17863" s="24"/>
      <c r="K17863" s="24"/>
      <c r="L17863" s="24"/>
      <c r="M17863" s="24"/>
      <c r="N17863" s="24"/>
      <c r="O17863" s="24"/>
      <c r="P17863" s="24"/>
      <c r="Q17863" s="24"/>
      <c r="R17863" s="24"/>
      <c r="S17863" s="24"/>
      <c r="T17863" s="24"/>
      <c r="U17863" s="24"/>
      <c r="V17863" s="24"/>
      <c r="W17863" s="24"/>
      <c r="X17863" s="24"/>
      <c r="Y17863" s="24"/>
      <c r="Z17863" s="24"/>
      <c r="AA17863" s="24"/>
    </row>
    <row r="17864">
      <c r="A17864" s="24"/>
      <c r="B17864" s="25"/>
      <c r="C17864" s="24"/>
      <c r="D17864" s="26"/>
      <c r="E17864" s="24"/>
      <c r="F17864" s="24"/>
      <c r="G17864" s="24"/>
      <c r="H17864" s="24"/>
      <c r="I17864" s="24"/>
      <c r="J17864" s="24"/>
      <c r="K17864" s="24"/>
      <c r="L17864" s="24"/>
      <c r="M17864" s="24"/>
      <c r="N17864" s="24"/>
      <c r="O17864" s="24"/>
      <c r="P17864" s="24"/>
      <c r="Q17864" s="24"/>
      <c r="R17864" s="24"/>
      <c r="S17864" s="24"/>
      <c r="T17864" s="24"/>
      <c r="U17864" s="24"/>
      <c r="V17864" s="24"/>
      <c r="W17864" s="24"/>
      <c r="X17864" s="24"/>
      <c r="Y17864" s="24"/>
      <c r="Z17864" s="24"/>
      <c r="AA17864" s="24"/>
    </row>
    <row r="17865">
      <c r="A17865" s="24"/>
      <c r="B17865" s="25"/>
      <c r="C17865" s="24"/>
      <c r="D17865" s="26"/>
      <c r="E17865" s="24"/>
      <c r="F17865" s="24"/>
      <c r="G17865" s="24"/>
      <c r="H17865" s="24"/>
      <c r="I17865" s="24"/>
      <c r="J17865" s="24"/>
      <c r="K17865" s="24"/>
      <c r="L17865" s="24"/>
      <c r="M17865" s="24"/>
      <c r="N17865" s="24"/>
      <c r="O17865" s="24"/>
      <c r="P17865" s="24"/>
      <c r="Q17865" s="24"/>
      <c r="R17865" s="24"/>
      <c r="S17865" s="24"/>
      <c r="T17865" s="24"/>
      <c r="U17865" s="24"/>
      <c r="V17865" s="24"/>
      <c r="W17865" s="24"/>
      <c r="X17865" s="24"/>
      <c r="Y17865" s="24"/>
      <c r="Z17865" s="24"/>
      <c r="AA17865" s="24"/>
    </row>
    <row r="17866">
      <c r="A17866" s="24"/>
      <c r="B17866" s="25"/>
      <c r="C17866" s="24"/>
      <c r="D17866" s="26"/>
      <c r="E17866" s="24"/>
      <c r="F17866" s="24"/>
      <c r="G17866" s="24"/>
      <c r="H17866" s="24"/>
      <c r="I17866" s="24"/>
      <c r="J17866" s="24"/>
      <c r="K17866" s="24"/>
      <c r="L17866" s="24"/>
      <c r="M17866" s="24"/>
      <c r="N17866" s="24"/>
      <c r="O17866" s="24"/>
      <c r="P17866" s="24"/>
      <c r="Q17866" s="24"/>
      <c r="R17866" s="24"/>
      <c r="S17866" s="24"/>
      <c r="T17866" s="24"/>
      <c r="U17866" s="24"/>
      <c r="V17866" s="24"/>
      <c r="W17866" s="24"/>
      <c r="X17866" s="24"/>
      <c r="Y17866" s="24"/>
      <c r="Z17866" s="24"/>
      <c r="AA17866" s="24"/>
    </row>
    <row r="17867">
      <c r="A17867" s="24"/>
      <c r="B17867" s="25"/>
      <c r="C17867" s="24"/>
      <c r="D17867" s="26"/>
      <c r="E17867" s="24"/>
      <c r="F17867" s="24"/>
      <c r="G17867" s="24"/>
      <c r="H17867" s="24"/>
      <c r="I17867" s="24"/>
      <c r="J17867" s="24"/>
      <c r="K17867" s="24"/>
      <c r="L17867" s="24"/>
      <c r="M17867" s="24"/>
      <c r="N17867" s="24"/>
      <c r="O17867" s="24"/>
      <c r="P17867" s="24"/>
      <c r="Q17867" s="24"/>
      <c r="R17867" s="24"/>
      <c r="S17867" s="24"/>
      <c r="T17867" s="24"/>
      <c r="U17867" s="24"/>
      <c r="V17867" s="24"/>
      <c r="W17867" s="24"/>
      <c r="X17867" s="24"/>
      <c r="Y17867" s="24"/>
      <c r="Z17867" s="24"/>
      <c r="AA17867" s="24"/>
    </row>
    <row r="17868">
      <c r="A17868" s="24"/>
      <c r="B17868" s="25"/>
      <c r="C17868" s="24"/>
      <c r="D17868" s="26"/>
      <c r="E17868" s="24"/>
      <c r="F17868" s="24"/>
      <c r="G17868" s="24"/>
      <c r="H17868" s="24"/>
      <c r="I17868" s="24"/>
      <c r="J17868" s="24"/>
      <c r="K17868" s="24"/>
      <c r="L17868" s="24"/>
      <c r="M17868" s="24"/>
      <c r="N17868" s="24"/>
      <c r="O17868" s="24"/>
      <c r="P17868" s="24"/>
      <c r="Q17868" s="24"/>
      <c r="R17868" s="24"/>
      <c r="S17868" s="24"/>
      <c r="T17868" s="24"/>
      <c r="U17868" s="24"/>
      <c r="V17868" s="24"/>
      <c r="W17868" s="24"/>
      <c r="X17868" s="24"/>
      <c r="Y17868" s="24"/>
      <c r="Z17868" s="24"/>
      <c r="AA17868" s="24"/>
    </row>
    <row r="17869">
      <c r="A17869" s="24"/>
      <c r="B17869" s="25"/>
      <c r="C17869" s="24"/>
      <c r="D17869" s="26"/>
      <c r="E17869" s="24"/>
      <c r="F17869" s="24"/>
      <c r="G17869" s="24"/>
      <c r="H17869" s="24"/>
      <c r="I17869" s="24"/>
      <c r="J17869" s="24"/>
      <c r="K17869" s="24"/>
      <c r="L17869" s="24"/>
      <c r="M17869" s="24"/>
      <c r="N17869" s="24"/>
      <c r="O17869" s="24"/>
      <c r="P17869" s="24"/>
      <c r="Q17869" s="24"/>
      <c r="R17869" s="24"/>
      <c r="S17869" s="24"/>
      <c r="T17869" s="24"/>
      <c r="U17869" s="24"/>
      <c r="V17869" s="24"/>
      <c r="W17869" s="24"/>
      <c r="X17869" s="24"/>
      <c r="Y17869" s="24"/>
      <c r="Z17869" s="24"/>
      <c r="AA17869" s="24"/>
    </row>
    <row r="17870">
      <c r="A17870" s="24"/>
      <c r="B17870" s="25"/>
      <c r="C17870" s="24"/>
      <c r="D17870" s="26"/>
      <c r="E17870" s="24"/>
      <c r="F17870" s="24"/>
      <c r="G17870" s="24"/>
      <c r="H17870" s="24"/>
      <c r="I17870" s="24"/>
      <c r="J17870" s="24"/>
      <c r="K17870" s="24"/>
      <c r="L17870" s="24"/>
      <c r="M17870" s="24"/>
      <c r="N17870" s="24"/>
      <c r="O17870" s="24"/>
      <c r="P17870" s="24"/>
      <c r="Q17870" s="24"/>
      <c r="R17870" s="24"/>
      <c r="S17870" s="24"/>
      <c r="T17870" s="24"/>
      <c r="U17870" s="24"/>
      <c r="V17870" s="24"/>
      <c r="W17870" s="24"/>
      <c r="X17870" s="24"/>
      <c r="Y17870" s="24"/>
      <c r="Z17870" s="24"/>
      <c r="AA17870" s="24"/>
    </row>
    <row r="17871">
      <c r="A17871" s="24"/>
      <c r="B17871" s="25"/>
      <c r="C17871" s="24"/>
      <c r="D17871" s="26"/>
      <c r="E17871" s="24"/>
      <c r="F17871" s="24"/>
      <c r="G17871" s="24"/>
      <c r="H17871" s="24"/>
      <c r="I17871" s="24"/>
      <c r="J17871" s="24"/>
      <c r="K17871" s="24"/>
      <c r="L17871" s="24"/>
      <c r="M17871" s="24"/>
      <c r="N17871" s="24"/>
      <c r="O17871" s="24"/>
      <c r="P17871" s="24"/>
      <c r="Q17871" s="24"/>
      <c r="R17871" s="24"/>
      <c r="S17871" s="24"/>
      <c r="T17871" s="24"/>
      <c r="U17871" s="24"/>
      <c r="V17871" s="24"/>
      <c r="W17871" s="24"/>
      <c r="X17871" s="24"/>
      <c r="Y17871" s="24"/>
      <c r="Z17871" s="24"/>
      <c r="AA17871" s="24"/>
    </row>
    <row r="17872">
      <c r="A17872" s="24"/>
      <c r="B17872" s="25"/>
      <c r="C17872" s="24"/>
      <c r="D17872" s="26"/>
      <c r="E17872" s="24"/>
      <c r="F17872" s="24"/>
      <c r="G17872" s="24"/>
      <c r="H17872" s="24"/>
      <c r="I17872" s="24"/>
      <c r="J17872" s="24"/>
      <c r="K17872" s="24"/>
      <c r="L17872" s="24"/>
      <c r="M17872" s="24"/>
      <c r="N17872" s="24"/>
      <c r="O17872" s="24"/>
      <c r="P17872" s="24"/>
      <c r="Q17872" s="24"/>
      <c r="R17872" s="24"/>
      <c r="S17872" s="24"/>
      <c r="T17872" s="24"/>
      <c r="U17872" s="24"/>
      <c r="V17872" s="24"/>
      <c r="W17872" s="24"/>
      <c r="X17872" s="24"/>
      <c r="Y17872" s="24"/>
      <c r="Z17872" s="24"/>
      <c r="AA17872" s="24"/>
    </row>
    <row r="17873">
      <c r="A17873" s="24"/>
      <c r="B17873" s="25"/>
      <c r="C17873" s="24"/>
      <c r="D17873" s="26"/>
      <c r="E17873" s="24"/>
      <c r="F17873" s="24"/>
      <c r="G17873" s="24"/>
      <c r="H17873" s="24"/>
      <c r="I17873" s="24"/>
      <c r="J17873" s="24"/>
      <c r="K17873" s="24"/>
      <c r="L17873" s="24"/>
      <c r="M17873" s="24"/>
      <c r="N17873" s="24"/>
      <c r="O17873" s="24"/>
      <c r="P17873" s="24"/>
      <c r="Q17873" s="24"/>
      <c r="R17873" s="24"/>
      <c r="S17873" s="24"/>
      <c r="T17873" s="24"/>
      <c r="U17873" s="24"/>
      <c r="V17873" s="24"/>
      <c r="W17873" s="24"/>
      <c r="X17873" s="24"/>
      <c r="Y17873" s="24"/>
      <c r="Z17873" s="24"/>
      <c r="AA17873" s="24"/>
    </row>
    <row r="17874">
      <c r="A17874" s="24"/>
      <c r="B17874" s="25"/>
      <c r="C17874" s="24"/>
      <c r="D17874" s="26"/>
      <c r="E17874" s="24"/>
      <c r="F17874" s="24"/>
      <c r="G17874" s="24"/>
      <c r="H17874" s="24"/>
      <c r="I17874" s="24"/>
      <c r="J17874" s="24"/>
      <c r="K17874" s="24"/>
      <c r="L17874" s="24"/>
      <c r="M17874" s="24"/>
      <c r="N17874" s="24"/>
      <c r="O17874" s="24"/>
      <c r="P17874" s="24"/>
      <c r="Q17874" s="24"/>
      <c r="R17874" s="24"/>
      <c r="S17874" s="24"/>
      <c r="T17874" s="24"/>
      <c r="U17874" s="24"/>
      <c r="V17874" s="24"/>
      <c r="W17874" s="24"/>
      <c r="X17874" s="24"/>
      <c r="Y17874" s="24"/>
      <c r="Z17874" s="24"/>
      <c r="AA17874" s="24"/>
    </row>
    <row r="17875">
      <c r="A17875" s="24"/>
      <c r="B17875" s="25"/>
      <c r="C17875" s="24"/>
      <c r="D17875" s="26"/>
      <c r="E17875" s="24"/>
      <c r="F17875" s="24"/>
      <c r="G17875" s="24"/>
      <c r="H17875" s="24"/>
      <c r="I17875" s="24"/>
      <c r="J17875" s="24"/>
      <c r="K17875" s="24"/>
      <c r="L17875" s="24"/>
      <c r="M17875" s="24"/>
      <c r="N17875" s="24"/>
      <c r="O17875" s="24"/>
      <c r="P17875" s="24"/>
      <c r="Q17875" s="24"/>
      <c r="R17875" s="24"/>
      <c r="S17875" s="24"/>
      <c r="T17875" s="24"/>
      <c r="U17875" s="24"/>
      <c r="V17875" s="24"/>
      <c r="W17875" s="24"/>
      <c r="X17875" s="24"/>
      <c r="Y17875" s="24"/>
      <c r="Z17875" s="24"/>
      <c r="AA17875" s="24"/>
    </row>
    <row r="17876">
      <c r="A17876" s="24"/>
      <c r="B17876" s="25"/>
      <c r="C17876" s="24"/>
      <c r="D17876" s="26"/>
      <c r="E17876" s="24"/>
      <c r="F17876" s="24"/>
      <c r="G17876" s="24"/>
      <c r="H17876" s="24"/>
      <c r="I17876" s="24"/>
      <c r="J17876" s="24"/>
      <c r="K17876" s="24"/>
      <c r="L17876" s="24"/>
      <c r="M17876" s="24"/>
      <c r="N17876" s="24"/>
      <c r="O17876" s="24"/>
      <c r="P17876" s="24"/>
      <c r="Q17876" s="24"/>
      <c r="R17876" s="24"/>
      <c r="S17876" s="24"/>
      <c r="T17876" s="24"/>
      <c r="U17876" s="24"/>
      <c r="V17876" s="24"/>
      <c r="W17876" s="24"/>
      <c r="X17876" s="24"/>
      <c r="Y17876" s="24"/>
      <c r="Z17876" s="24"/>
      <c r="AA17876" s="24"/>
    </row>
    <row r="17877">
      <c r="A17877" s="24"/>
      <c r="B17877" s="25"/>
      <c r="C17877" s="24"/>
      <c r="D17877" s="26"/>
      <c r="E17877" s="24"/>
      <c r="F17877" s="24"/>
      <c r="G17877" s="24"/>
      <c r="H17877" s="24"/>
      <c r="I17877" s="24"/>
      <c r="J17877" s="24"/>
      <c r="K17877" s="24"/>
      <c r="L17877" s="24"/>
      <c r="M17877" s="24"/>
      <c r="N17877" s="24"/>
      <c r="O17877" s="24"/>
      <c r="P17877" s="24"/>
      <c r="Q17877" s="24"/>
      <c r="R17877" s="24"/>
      <c r="S17877" s="24"/>
      <c r="T17877" s="24"/>
      <c r="U17877" s="24"/>
      <c r="V17877" s="24"/>
      <c r="W17877" s="24"/>
      <c r="X17877" s="24"/>
      <c r="Y17877" s="24"/>
      <c r="Z17877" s="24"/>
      <c r="AA17877" s="24"/>
    </row>
    <row r="17878">
      <c r="A17878" s="24"/>
      <c r="B17878" s="25"/>
      <c r="C17878" s="24"/>
      <c r="D17878" s="26"/>
      <c r="E17878" s="24"/>
      <c r="F17878" s="24"/>
      <c r="G17878" s="24"/>
      <c r="H17878" s="24"/>
      <c r="I17878" s="24"/>
      <c r="J17878" s="24"/>
      <c r="K17878" s="24"/>
      <c r="L17878" s="24"/>
      <c r="M17878" s="24"/>
      <c r="N17878" s="24"/>
      <c r="O17878" s="24"/>
      <c r="P17878" s="24"/>
      <c r="Q17878" s="24"/>
      <c r="R17878" s="24"/>
      <c r="S17878" s="24"/>
      <c r="T17878" s="24"/>
      <c r="U17878" s="24"/>
      <c r="V17878" s="24"/>
      <c r="W17878" s="24"/>
      <c r="X17878" s="24"/>
      <c r="Y17878" s="24"/>
      <c r="Z17878" s="24"/>
      <c r="AA17878" s="24"/>
    </row>
    <row r="17879">
      <c r="A17879" s="24"/>
      <c r="B17879" s="25"/>
      <c r="C17879" s="24"/>
      <c r="D17879" s="26"/>
      <c r="E17879" s="24"/>
      <c r="F17879" s="24"/>
      <c r="G17879" s="24"/>
      <c r="H17879" s="24"/>
      <c r="I17879" s="24"/>
      <c r="J17879" s="24"/>
      <c r="K17879" s="24"/>
      <c r="L17879" s="24"/>
      <c r="M17879" s="24"/>
      <c r="N17879" s="24"/>
      <c r="O17879" s="24"/>
      <c r="P17879" s="24"/>
      <c r="Q17879" s="24"/>
      <c r="R17879" s="24"/>
      <c r="S17879" s="24"/>
      <c r="T17879" s="24"/>
      <c r="U17879" s="24"/>
      <c r="V17879" s="24"/>
      <c r="W17879" s="24"/>
      <c r="X17879" s="24"/>
      <c r="Y17879" s="24"/>
      <c r="Z17879" s="24"/>
      <c r="AA17879" s="24"/>
    </row>
    <row r="17880">
      <c r="A17880" s="24"/>
      <c r="B17880" s="25"/>
      <c r="C17880" s="24"/>
      <c r="D17880" s="26"/>
      <c r="E17880" s="24"/>
      <c r="F17880" s="24"/>
      <c r="G17880" s="24"/>
      <c r="H17880" s="24"/>
      <c r="I17880" s="24"/>
      <c r="J17880" s="24"/>
      <c r="K17880" s="24"/>
      <c r="L17880" s="24"/>
      <c r="M17880" s="24"/>
      <c r="N17880" s="24"/>
      <c r="O17880" s="24"/>
      <c r="P17880" s="24"/>
      <c r="Q17880" s="24"/>
      <c r="R17880" s="24"/>
      <c r="S17880" s="24"/>
      <c r="T17880" s="24"/>
      <c r="U17880" s="24"/>
      <c r="V17880" s="24"/>
      <c r="W17880" s="24"/>
      <c r="X17880" s="24"/>
      <c r="Y17880" s="24"/>
      <c r="Z17880" s="24"/>
      <c r="AA17880" s="24"/>
    </row>
    <row r="17881">
      <c r="A17881" s="24"/>
      <c r="B17881" s="25"/>
      <c r="C17881" s="24"/>
      <c r="D17881" s="26"/>
      <c r="E17881" s="24"/>
      <c r="F17881" s="24"/>
      <c r="G17881" s="24"/>
      <c r="H17881" s="24"/>
      <c r="I17881" s="24"/>
      <c r="J17881" s="24"/>
      <c r="K17881" s="24"/>
      <c r="L17881" s="24"/>
      <c r="M17881" s="24"/>
      <c r="N17881" s="24"/>
      <c r="O17881" s="24"/>
      <c r="P17881" s="24"/>
      <c r="Q17881" s="24"/>
      <c r="R17881" s="24"/>
      <c r="S17881" s="24"/>
      <c r="T17881" s="24"/>
      <c r="U17881" s="24"/>
      <c r="V17881" s="24"/>
      <c r="W17881" s="24"/>
      <c r="X17881" s="24"/>
      <c r="Y17881" s="24"/>
      <c r="Z17881" s="24"/>
      <c r="AA17881" s="24"/>
    </row>
    <row r="17882">
      <c r="A17882" s="24"/>
      <c r="B17882" s="25"/>
      <c r="C17882" s="24"/>
      <c r="D17882" s="26"/>
      <c r="E17882" s="24"/>
      <c r="F17882" s="24"/>
      <c r="G17882" s="24"/>
      <c r="H17882" s="24"/>
      <c r="I17882" s="24"/>
      <c r="J17882" s="24"/>
      <c r="K17882" s="24"/>
      <c r="L17882" s="24"/>
      <c r="M17882" s="24"/>
      <c r="N17882" s="24"/>
      <c r="O17882" s="24"/>
      <c r="P17882" s="24"/>
      <c r="Q17882" s="24"/>
      <c r="R17882" s="24"/>
      <c r="S17882" s="24"/>
      <c r="T17882" s="24"/>
      <c r="U17882" s="24"/>
      <c r="V17882" s="24"/>
      <c r="W17882" s="24"/>
      <c r="X17882" s="24"/>
      <c r="Y17882" s="24"/>
      <c r="Z17882" s="24"/>
      <c r="AA17882" s="24"/>
    </row>
    <row r="17883">
      <c r="A17883" s="24"/>
      <c r="B17883" s="25"/>
      <c r="C17883" s="24"/>
      <c r="D17883" s="26"/>
      <c r="E17883" s="24"/>
      <c r="F17883" s="24"/>
      <c r="G17883" s="24"/>
      <c r="H17883" s="24"/>
      <c r="I17883" s="24"/>
      <c r="J17883" s="24"/>
      <c r="K17883" s="24"/>
      <c r="L17883" s="24"/>
      <c r="M17883" s="24"/>
      <c r="N17883" s="24"/>
      <c r="O17883" s="24"/>
      <c r="P17883" s="24"/>
      <c r="Q17883" s="24"/>
      <c r="R17883" s="24"/>
      <c r="S17883" s="24"/>
      <c r="T17883" s="24"/>
      <c r="U17883" s="24"/>
      <c r="V17883" s="24"/>
      <c r="W17883" s="24"/>
      <c r="X17883" s="24"/>
      <c r="Y17883" s="24"/>
      <c r="Z17883" s="24"/>
      <c r="AA17883" s="24"/>
    </row>
    <row r="17884">
      <c r="A17884" s="24"/>
      <c r="B17884" s="25"/>
      <c r="C17884" s="24"/>
      <c r="D17884" s="26"/>
      <c r="E17884" s="24"/>
      <c r="F17884" s="24"/>
      <c r="G17884" s="24"/>
      <c r="H17884" s="24"/>
      <c r="I17884" s="24"/>
      <c r="J17884" s="24"/>
      <c r="K17884" s="24"/>
      <c r="L17884" s="24"/>
      <c r="M17884" s="24"/>
      <c r="N17884" s="24"/>
      <c r="O17884" s="24"/>
      <c r="P17884" s="24"/>
      <c r="Q17884" s="24"/>
      <c r="R17884" s="24"/>
      <c r="S17884" s="24"/>
      <c r="T17884" s="24"/>
      <c r="U17884" s="24"/>
      <c r="V17884" s="24"/>
      <c r="W17884" s="24"/>
      <c r="X17884" s="24"/>
      <c r="Y17884" s="24"/>
      <c r="Z17884" s="24"/>
      <c r="AA17884" s="24"/>
    </row>
    <row r="17885">
      <c r="A17885" s="24"/>
      <c r="B17885" s="25"/>
      <c r="C17885" s="24"/>
      <c r="D17885" s="26"/>
      <c r="E17885" s="24"/>
      <c r="F17885" s="24"/>
      <c r="G17885" s="24"/>
      <c r="H17885" s="24"/>
      <c r="I17885" s="24"/>
      <c r="J17885" s="24"/>
      <c r="K17885" s="24"/>
      <c r="L17885" s="24"/>
      <c r="M17885" s="24"/>
      <c r="N17885" s="24"/>
      <c r="O17885" s="24"/>
      <c r="P17885" s="24"/>
      <c r="Q17885" s="24"/>
      <c r="R17885" s="24"/>
      <c r="S17885" s="24"/>
      <c r="T17885" s="24"/>
      <c r="U17885" s="24"/>
      <c r="V17885" s="24"/>
      <c r="W17885" s="24"/>
      <c r="X17885" s="24"/>
      <c r="Y17885" s="24"/>
      <c r="Z17885" s="24"/>
      <c r="AA17885" s="24"/>
    </row>
    <row r="17886">
      <c r="A17886" s="24"/>
      <c r="B17886" s="25"/>
      <c r="C17886" s="24"/>
      <c r="D17886" s="26"/>
      <c r="E17886" s="24"/>
      <c r="F17886" s="24"/>
      <c r="G17886" s="24"/>
      <c r="H17886" s="24"/>
      <c r="I17886" s="24"/>
      <c r="J17886" s="24"/>
      <c r="K17886" s="24"/>
      <c r="L17886" s="24"/>
      <c r="M17886" s="24"/>
      <c r="N17886" s="24"/>
      <c r="O17886" s="24"/>
      <c r="P17886" s="24"/>
      <c r="Q17886" s="24"/>
      <c r="R17886" s="24"/>
      <c r="S17886" s="24"/>
      <c r="T17886" s="24"/>
      <c r="U17886" s="24"/>
      <c r="V17886" s="24"/>
      <c r="W17886" s="24"/>
      <c r="X17886" s="24"/>
      <c r="Y17886" s="24"/>
      <c r="Z17886" s="24"/>
      <c r="AA17886" s="24"/>
    </row>
    <row r="17887">
      <c r="A17887" s="24"/>
      <c r="B17887" s="25"/>
      <c r="C17887" s="24"/>
      <c r="D17887" s="26"/>
      <c r="E17887" s="24"/>
      <c r="F17887" s="24"/>
      <c r="G17887" s="24"/>
      <c r="H17887" s="24"/>
      <c r="I17887" s="24"/>
      <c r="J17887" s="24"/>
      <c r="K17887" s="24"/>
      <c r="L17887" s="24"/>
      <c r="M17887" s="24"/>
      <c r="N17887" s="24"/>
      <c r="O17887" s="24"/>
      <c r="P17887" s="24"/>
      <c r="Q17887" s="24"/>
      <c r="R17887" s="24"/>
      <c r="S17887" s="24"/>
      <c r="T17887" s="24"/>
      <c r="U17887" s="24"/>
      <c r="V17887" s="24"/>
      <c r="W17887" s="24"/>
      <c r="X17887" s="24"/>
      <c r="Y17887" s="24"/>
      <c r="Z17887" s="24"/>
      <c r="AA17887" s="24"/>
    </row>
    <row r="17888">
      <c r="A17888" s="24"/>
      <c r="B17888" s="25"/>
      <c r="C17888" s="24"/>
      <c r="D17888" s="26"/>
      <c r="E17888" s="24"/>
      <c r="F17888" s="24"/>
      <c r="G17888" s="24"/>
      <c r="H17888" s="24"/>
      <c r="I17888" s="24"/>
      <c r="J17888" s="24"/>
      <c r="K17888" s="24"/>
      <c r="L17888" s="24"/>
      <c r="M17888" s="24"/>
      <c r="N17888" s="24"/>
      <c r="O17888" s="24"/>
      <c r="P17888" s="24"/>
      <c r="Q17888" s="24"/>
      <c r="R17888" s="24"/>
      <c r="S17888" s="24"/>
      <c r="T17888" s="24"/>
      <c r="U17888" s="24"/>
      <c r="V17888" s="24"/>
      <c r="W17888" s="24"/>
      <c r="X17888" s="24"/>
      <c r="Y17888" s="24"/>
      <c r="Z17888" s="24"/>
      <c r="AA17888" s="24"/>
    </row>
    <row r="17889">
      <c r="A17889" s="24"/>
      <c r="B17889" s="25"/>
      <c r="C17889" s="24"/>
      <c r="D17889" s="26"/>
      <c r="E17889" s="24"/>
      <c r="F17889" s="24"/>
      <c r="G17889" s="24"/>
      <c r="H17889" s="24"/>
      <c r="I17889" s="24"/>
      <c r="J17889" s="24"/>
      <c r="K17889" s="24"/>
      <c r="L17889" s="24"/>
      <c r="M17889" s="24"/>
      <c r="N17889" s="24"/>
      <c r="O17889" s="24"/>
      <c r="P17889" s="24"/>
      <c r="Q17889" s="24"/>
      <c r="R17889" s="24"/>
      <c r="S17889" s="24"/>
      <c r="T17889" s="24"/>
      <c r="U17889" s="24"/>
      <c r="V17889" s="24"/>
      <c r="W17889" s="24"/>
      <c r="X17889" s="24"/>
      <c r="Y17889" s="24"/>
      <c r="Z17889" s="24"/>
      <c r="AA17889" s="24"/>
    </row>
    <row r="17890">
      <c r="A17890" s="24"/>
      <c r="B17890" s="25"/>
      <c r="C17890" s="24"/>
      <c r="D17890" s="26"/>
      <c r="E17890" s="24"/>
      <c r="F17890" s="24"/>
      <c r="G17890" s="24"/>
      <c r="H17890" s="24"/>
      <c r="I17890" s="24"/>
      <c r="J17890" s="24"/>
      <c r="K17890" s="24"/>
      <c r="L17890" s="24"/>
      <c r="M17890" s="24"/>
      <c r="N17890" s="24"/>
      <c r="O17890" s="24"/>
      <c r="P17890" s="24"/>
      <c r="Q17890" s="24"/>
      <c r="R17890" s="24"/>
      <c r="S17890" s="24"/>
      <c r="T17890" s="24"/>
      <c r="U17890" s="24"/>
      <c r="V17890" s="24"/>
      <c r="W17890" s="24"/>
      <c r="X17890" s="24"/>
      <c r="Y17890" s="24"/>
      <c r="Z17890" s="24"/>
      <c r="AA17890" s="24"/>
    </row>
    <row r="17891">
      <c r="A17891" s="24"/>
      <c r="B17891" s="25"/>
      <c r="C17891" s="24"/>
      <c r="D17891" s="26"/>
      <c r="E17891" s="24"/>
      <c r="F17891" s="24"/>
      <c r="G17891" s="24"/>
      <c r="H17891" s="24"/>
      <c r="I17891" s="24"/>
      <c r="J17891" s="24"/>
      <c r="K17891" s="24"/>
      <c r="L17891" s="24"/>
      <c r="M17891" s="24"/>
      <c r="N17891" s="24"/>
      <c r="O17891" s="24"/>
      <c r="P17891" s="24"/>
      <c r="Q17891" s="24"/>
      <c r="R17891" s="24"/>
      <c r="S17891" s="24"/>
      <c r="T17891" s="24"/>
      <c r="U17891" s="24"/>
      <c r="V17891" s="24"/>
      <c r="W17891" s="24"/>
      <c r="X17891" s="24"/>
      <c r="Y17891" s="24"/>
      <c r="Z17891" s="24"/>
      <c r="AA17891" s="24"/>
    </row>
    <row r="17892">
      <c r="A17892" s="24"/>
      <c r="B17892" s="25"/>
      <c r="C17892" s="24"/>
      <c r="D17892" s="26"/>
      <c r="E17892" s="24"/>
      <c r="F17892" s="24"/>
      <c r="G17892" s="24"/>
      <c r="H17892" s="24"/>
      <c r="I17892" s="24"/>
      <c r="J17892" s="24"/>
      <c r="K17892" s="24"/>
      <c r="L17892" s="24"/>
      <c r="M17892" s="24"/>
      <c r="N17892" s="24"/>
      <c r="O17892" s="24"/>
      <c r="P17892" s="24"/>
      <c r="Q17892" s="24"/>
      <c r="R17892" s="24"/>
      <c r="S17892" s="24"/>
      <c r="T17892" s="24"/>
      <c r="U17892" s="24"/>
      <c r="V17892" s="24"/>
      <c r="W17892" s="24"/>
      <c r="X17892" s="24"/>
      <c r="Y17892" s="24"/>
      <c r="Z17892" s="24"/>
      <c r="AA17892" s="24"/>
    </row>
    <row r="17893">
      <c r="A17893" s="24"/>
      <c r="B17893" s="25"/>
      <c r="C17893" s="24"/>
      <c r="D17893" s="26"/>
      <c r="E17893" s="24"/>
      <c r="F17893" s="24"/>
      <c r="G17893" s="24"/>
      <c r="H17893" s="24"/>
      <c r="I17893" s="24"/>
      <c r="J17893" s="24"/>
      <c r="K17893" s="24"/>
      <c r="L17893" s="24"/>
      <c r="M17893" s="24"/>
      <c r="N17893" s="24"/>
      <c r="O17893" s="24"/>
      <c r="P17893" s="24"/>
      <c r="Q17893" s="24"/>
      <c r="R17893" s="24"/>
      <c r="S17893" s="24"/>
      <c r="T17893" s="24"/>
      <c r="U17893" s="24"/>
      <c r="V17893" s="24"/>
      <c r="W17893" s="24"/>
      <c r="X17893" s="24"/>
      <c r="Y17893" s="24"/>
      <c r="Z17893" s="24"/>
      <c r="AA17893" s="24"/>
    </row>
    <row r="17894">
      <c r="A17894" s="24"/>
      <c r="B17894" s="25"/>
      <c r="C17894" s="24"/>
      <c r="D17894" s="26"/>
      <c r="E17894" s="24"/>
      <c r="F17894" s="24"/>
      <c r="G17894" s="24"/>
      <c r="H17894" s="24"/>
      <c r="I17894" s="24"/>
      <c r="J17894" s="24"/>
      <c r="K17894" s="24"/>
      <c r="L17894" s="24"/>
      <c r="M17894" s="24"/>
      <c r="N17894" s="24"/>
      <c r="O17894" s="24"/>
      <c r="P17894" s="24"/>
      <c r="Q17894" s="24"/>
      <c r="R17894" s="24"/>
      <c r="S17894" s="24"/>
      <c r="T17894" s="24"/>
      <c r="U17894" s="24"/>
      <c r="V17894" s="24"/>
      <c r="W17894" s="24"/>
      <c r="X17894" s="24"/>
      <c r="Y17894" s="24"/>
      <c r="Z17894" s="24"/>
      <c r="AA17894" s="24"/>
    </row>
    <row r="17895">
      <c r="A17895" s="24"/>
      <c r="B17895" s="25"/>
      <c r="C17895" s="24"/>
      <c r="D17895" s="26"/>
      <c r="E17895" s="24"/>
      <c r="F17895" s="24"/>
      <c r="G17895" s="24"/>
      <c r="H17895" s="24"/>
      <c r="I17895" s="24"/>
      <c r="J17895" s="24"/>
      <c r="K17895" s="24"/>
      <c r="L17895" s="24"/>
      <c r="M17895" s="24"/>
      <c r="N17895" s="24"/>
      <c r="O17895" s="24"/>
      <c r="P17895" s="24"/>
      <c r="Q17895" s="24"/>
      <c r="R17895" s="24"/>
      <c r="S17895" s="24"/>
      <c r="T17895" s="24"/>
      <c r="U17895" s="24"/>
      <c r="V17895" s="24"/>
      <c r="W17895" s="24"/>
      <c r="X17895" s="24"/>
      <c r="Y17895" s="24"/>
      <c r="Z17895" s="24"/>
      <c r="AA17895" s="24"/>
    </row>
    <row r="17896">
      <c r="A17896" s="24"/>
      <c r="B17896" s="25"/>
      <c r="C17896" s="24"/>
      <c r="D17896" s="26"/>
      <c r="E17896" s="24"/>
      <c r="F17896" s="24"/>
      <c r="G17896" s="24"/>
      <c r="H17896" s="24"/>
      <c r="I17896" s="24"/>
      <c r="J17896" s="24"/>
      <c r="K17896" s="24"/>
      <c r="L17896" s="24"/>
      <c r="M17896" s="24"/>
      <c r="N17896" s="24"/>
      <c r="O17896" s="24"/>
      <c r="P17896" s="24"/>
      <c r="Q17896" s="24"/>
      <c r="R17896" s="24"/>
      <c r="S17896" s="24"/>
      <c r="T17896" s="24"/>
      <c r="U17896" s="24"/>
      <c r="V17896" s="24"/>
      <c r="W17896" s="24"/>
      <c r="X17896" s="24"/>
      <c r="Y17896" s="24"/>
      <c r="Z17896" s="24"/>
      <c r="AA17896" s="24"/>
    </row>
    <row r="17897">
      <c r="A17897" s="24"/>
      <c r="B17897" s="25"/>
      <c r="C17897" s="24"/>
      <c r="D17897" s="26"/>
      <c r="E17897" s="24"/>
      <c r="F17897" s="24"/>
      <c r="G17897" s="24"/>
      <c r="H17897" s="24"/>
      <c r="I17897" s="24"/>
      <c r="J17897" s="24"/>
      <c r="K17897" s="24"/>
      <c r="L17897" s="24"/>
      <c r="M17897" s="24"/>
      <c r="N17897" s="24"/>
      <c r="O17897" s="24"/>
      <c r="P17897" s="24"/>
      <c r="Q17897" s="24"/>
      <c r="R17897" s="24"/>
      <c r="S17897" s="24"/>
      <c r="T17897" s="24"/>
      <c r="U17897" s="24"/>
      <c r="V17897" s="24"/>
      <c r="W17897" s="24"/>
      <c r="X17897" s="24"/>
      <c r="Y17897" s="24"/>
      <c r="Z17897" s="24"/>
      <c r="AA17897" s="24"/>
    </row>
    <row r="17898">
      <c r="A17898" s="24"/>
      <c r="B17898" s="25"/>
      <c r="C17898" s="24"/>
      <c r="D17898" s="26"/>
      <c r="E17898" s="24"/>
      <c r="F17898" s="24"/>
      <c r="G17898" s="24"/>
      <c r="H17898" s="24"/>
      <c r="I17898" s="24"/>
      <c r="J17898" s="24"/>
      <c r="K17898" s="24"/>
      <c r="L17898" s="24"/>
      <c r="M17898" s="24"/>
      <c r="N17898" s="24"/>
      <c r="O17898" s="24"/>
      <c r="P17898" s="24"/>
      <c r="Q17898" s="24"/>
      <c r="R17898" s="24"/>
      <c r="S17898" s="24"/>
      <c r="T17898" s="24"/>
      <c r="U17898" s="24"/>
      <c r="V17898" s="24"/>
      <c r="W17898" s="24"/>
      <c r="X17898" s="24"/>
      <c r="Y17898" s="24"/>
      <c r="Z17898" s="24"/>
      <c r="AA17898" s="24"/>
    </row>
    <row r="17899">
      <c r="A17899" s="24"/>
      <c r="B17899" s="25"/>
      <c r="C17899" s="24"/>
      <c r="D17899" s="26"/>
      <c r="E17899" s="24"/>
      <c r="F17899" s="24"/>
      <c r="G17899" s="24"/>
      <c r="H17899" s="24"/>
      <c r="I17899" s="24"/>
      <c r="J17899" s="24"/>
      <c r="K17899" s="24"/>
      <c r="L17899" s="24"/>
      <c r="M17899" s="24"/>
      <c r="N17899" s="24"/>
      <c r="O17899" s="24"/>
      <c r="P17899" s="24"/>
      <c r="Q17899" s="24"/>
      <c r="R17899" s="24"/>
      <c r="S17899" s="24"/>
      <c r="T17899" s="24"/>
      <c r="U17899" s="24"/>
      <c r="V17899" s="24"/>
      <c r="W17899" s="24"/>
      <c r="X17899" s="24"/>
      <c r="Y17899" s="24"/>
      <c r="Z17899" s="24"/>
      <c r="AA17899" s="24"/>
    </row>
    <row r="17900">
      <c r="A17900" s="24"/>
      <c r="B17900" s="25"/>
      <c r="C17900" s="24"/>
      <c r="D17900" s="26"/>
      <c r="E17900" s="24"/>
      <c r="F17900" s="24"/>
      <c r="G17900" s="24"/>
      <c r="H17900" s="24"/>
      <c r="I17900" s="24"/>
      <c r="J17900" s="24"/>
      <c r="K17900" s="24"/>
      <c r="L17900" s="24"/>
      <c r="M17900" s="24"/>
      <c r="N17900" s="24"/>
      <c r="O17900" s="24"/>
      <c r="P17900" s="24"/>
      <c r="Q17900" s="24"/>
      <c r="R17900" s="24"/>
      <c r="S17900" s="24"/>
      <c r="T17900" s="24"/>
      <c r="U17900" s="24"/>
      <c r="V17900" s="24"/>
      <c r="W17900" s="24"/>
      <c r="X17900" s="24"/>
      <c r="Y17900" s="24"/>
      <c r="Z17900" s="24"/>
      <c r="AA17900" s="24"/>
    </row>
    <row r="17901">
      <c r="A17901" s="24"/>
      <c r="B17901" s="25"/>
      <c r="C17901" s="24"/>
      <c r="D17901" s="26"/>
      <c r="E17901" s="24"/>
      <c r="F17901" s="24"/>
      <c r="G17901" s="24"/>
      <c r="H17901" s="24"/>
      <c r="I17901" s="24"/>
      <c r="J17901" s="24"/>
      <c r="K17901" s="24"/>
      <c r="L17901" s="24"/>
      <c r="M17901" s="24"/>
      <c r="N17901" s="24"/>
      <c r="O17901" s="24"/>
      <c r="P17901" s="24"/>
      <c r="Q17901" s="24"/>
      <c r="R17901" s="24"/>
      <c r="S17901" s="24"/>
      <c r="T17901" s="24"/>
      <c r="U17901" s="24"/>
      <c r="V17901" s="24"/>
      <c r="W17901" s="24"/>
      <c r="X17901" s="24"/>
      <c r="Y17901" s="24"/>
      <c r="Z17901" s="24"/>
      <c r="AA17901" s="24"/>
    </row>
    <row r="17902">
      <c r="A17902" s="24"/>
      <c r="B17902" s="25"/>
      <c r="C17902" s="24"/>
      <c r="D17902" s="26"/>
      <c r="E17902" s="24"/>
      <c r="F17902" s="24"/>
      <c r="G17902" s="24"/>
      <c r="H17902" s="24"/>
      <c r="I17902" s="24"/>
      <c r="J17902" s="24"/>
      <c r="K17902" s="24"/>
      <c r="L17902" s="24"/>
      <c r="M17902" s="24"/>
      <c r="N17902" s="24"/>
      <c r="O17902" s="24"/>
      <c r="P17902" s="24"/>
      <c r="Q17902" s="24"/>
      <c r="R17902" s="24"/>
      <c r="S17902" s="24"/>
      <c r="T17902" s="24"/>
      <c r="U17902" s="24"/>
      <c r="V17902" s="24"/>
      <c r="W17902" s="24"/>
      <c r="X17902" s="24"/>
      <c r="Y17902" s="24"/>
      <c r="Z17902" s="24"/>
      <c r="AA17902" s="24"/>
    </row>
    <row r="17903">
      <c r="A17903" s="24"/>
      <c r="B17903" s="25"/>
      <c r="C17903" s="24"/>
      <c r="D17903" s="26"/>
      <c r="E17903" s="24"/>
      <c r="F17903" s="24"/>
      <c r="G17903" s="24"/>
      <c r="H17903" s="24"/>
      <c r="I17903" s="24"/>
      <c r="J17903" s="24"/>
      <c r="K17903" s="24"/>
      <c r="L17903" s="24"/>
      <c r="M17903" s="24"/>
      <c r="N17903" s="24"/>
      <c r="O17903" s="24"/>
      <c r="P17903" s="24"/>
      <c r="Q17903" s="24"/>
      <c r="R17903" s="24"/>
      <c r="S17903" s="24"/>
      <c r="T17903" s="24"/>
      <c r="U17903" s="24"/>
      <c r="V17903" s="24"/>
      <c r="W17903" s="24"/>
      <c r="X17903" s="24"/>
      <c r="Y17903" s="24"/>
      <c r="Z17903" s="24"/>
      <c r="AA17903" s="24"/>
    </row>
    <row r="17904">
      <c r="A17904" s="24"/>
      <c r="B17904" s="25"/>
      <c r="C17904" s="24"/>
      <c r="D17904" s="26"/>
      <c r="E17904" s="24"/>
      <c r="F17904" s="24"/>
      <c r="G17904" s="24"/>
      <c r="H17904" s="24"/>
      <c r="I17904" s="24"/>
      <c r="J17904" s="24"/>
      <c r="K17904" s="24"/>
      <c r="L17904" s="24"/>
      <c r="M17904" s="24"/>
      <c r="N17904" s="24"/>
      <c r="O17904" s="24"/>
      <c r="P17904" s="24"/>
      <c r="Q17904" s="24"/>
      <c r="R17904" s="24"/>
      <c r="S17904" s="24"/>
      <c r="T17904" s="24"/>
      <c r="U17904" s="24"/>
      <c r="V17904" s="24"/>
      <c r="W17904" s="24"/>
      <c r="X17904" s="24"/>
      <c r="Y17904" s="24"/>
      <c r="Z17904" s="24"/>
      <c r="AA17904" s="24"/>
    </row>
    <row r="17905">
      <c r="A17905" s="24"/>
      <c r="B17905" s="25"/>
      <c r="C17905" s="24"/>
      <c r="D17905" s="26"/>
      <c r="E17905" s="24"/>
      <c r="F17905" s="24"/>
      <c r="G17905" s="24"/>
      <c r="H17905" s="24"/>
      <c r="I17905" s="24"/>
      <c r="J17905" s="24"/>
      <c r="K17905" s="24"/>
      <c r="L17905" s="24"/>
      <c r="M17905" s="24"/>
      <c r="N17905" s="24"/>
      <c r="O17905" s="24"/>
      <c r="P17905" s="24"/>
      <c r="Q17905" s="24"/>
      <c r="R17905" s="24"/>
      <c r="S17905" s="24"/>
      <c r="T17905" s="24"/>
      <c r="U17905" s="24"/>
      <c r="V17905" s="24"/>
      <c r="W17905" s="24"/>
      <c r="X17905" s="24"/>
      <c r="Y17905" s="24"/>
      <c r="Z17905" s="24"/>
      <c r="AA17905" s="24"/>
    </row>
    <row r="17906">
      <c r="A17906" s="24"/>
      <c r="B17906" s="25"/>
      <c r="C17906" s="24"/>
      <c r="D17906" s="26"/>
      <c r="E17906" s="24"/>
      <c r="F17906" s="24"/>
      <c r="G17906" s="24"/>
      <c r="H17906" s="24"/>
      <c r="I17906" s="24"/>
      <c r="J17906" s="24"/>
      <c r="K17906" s="24"/>
      <c r="L17906" s="24"/>
      <c r="M17906" s="24"/>
      <c r="N17906" s="24"/>
      <c r="O17906" s="24"/>
      <c r="P17906" s="24"/>
      <c r="Q17906" s="24"/>
      <c r="R17906" s="24"/>
      <c r="S17906" s="24"/>
      <c r="T17906" s="24"/>
      <c r="U17906" s="24"/>
      <c r="V17906" s="24"/>
      <c r="W17906" s="24"/>
      <c r="X17906" s="24"/>
      <c r="Y17906" s="24"/>
      <c r="Z17906" s="24"/>
      <c r="AA17906" s="24"/>
    </row>
    <row r="17907">
      <c r="A17907" s="24"/>
      <c r="B17907" s="25"/>
      <c r="C17907" s="24"/>
      <c r="D17907" s="26"/>
      <c r="E17907" s="24"/>
      <c r="F17907" s="24"/>
      <c r="G17907" s="24"/>
      <c r="H17907" s="24"/>
      <c r="I17907" s="24"/>
      <c r="J17907" s="24"/>
      <c r="K17907" s="24"/>
      <c r="L17907" s="24"/>
      <c r="M17907" s="24"/>
      <c r="N17907" s="24"/>
      <c r="O17907" s="24"/>
      <c r="P17907" s="24"/>
      <c r="Q17907" s="24"/>
      <c r="R17907" s="24"/>
      <c r="S17907" s="24"/>
      <c r="T17907" s="24"/>
      <c r="U17907" s="24"/>
      <c r="V17907" s="24"/>
      <c r="W17907" s="24"/>
      <c r="X17907" s="24"/>
      <c r="Y17907" s="24"/>
      <c r="Z17907" s="24"/>
      <c r="AA17907" s="24"/>
    </row>
    <row r="17908">
      <c r="A17908" s="24"/>
      <c r="B17908" s="25"/>
      <c r="C17908" s="24"/>
      <c r="D17908" s="26"/>
      <c r="E17908" s="24"/>
      <c r="F17908" s="24"/>
      <c r="G17908" s="24"/>
      <c r="H17908" s="24"/>
      <c r="I17908" s="24"/>
      <c r="J17908" s="24"/>
      <c r="K17908" s="24"/>
      <c r="L17908" s="24"/>
      <c r="M17908" s="24"/>
      <c r="N17908" s="24"/>
      <c r="O17908" s="24"/>
      <c r="P17908" s="24"/>
      <c r="Q17908" s="24"/>
      <c r="R17908" s="24"/>
      <c r="S17908" s="24"/>
      <c r="T17908" s="24"/>
      <c r="U17908" s="24"/>
      <c r="V17908" s="24"/>
      <c r="W17908" s="24"/>
      <c r="X17908" s="24"/>
      <c r="Y17908" s="24"/>
      <c r="Z17908" s="24"/>
      <c r="AA17908" s="24"/>
    </row>
    <row r="17909">
      <c r="A17909" s="24"/>
      <c r="B17909" s="25"/>
      <c r="C17909" s="24"/>
      <c r="D17909" s="26"/>
      <c r="E17909" s="24"/>
      <c r="F17909" s="24"/>
      <c r="G17909" s="24"/>
      <c r="H17909" s="24"/>
      <c r="I17909" s="24"/>
      <c r="J17909" s="24"/>
      <c r="K17909" s="24"/>
      <c r="L17909" s="24"/>
      <c r="M17909" s="24"/>
      <c r="N17909" s="24"/>
      <c r="O17909" s="24"/>
      <c r="P17909" s="24"/>
      <c r="Q17909" s="24"/>
      <c r="R17909" s="24"/>
      <c r="S17909" s="24"/>
      <c r="T17909" s="24"/>
      <c r="U17909" s="24"/>
      <c r="V17909" s="24"/>
      <c r="W17909" s="24"/>
      <c r="X17909" s="24"/>
      <c r="Y17909" s="24"/>
      <c r="Z17909" s="24"/>
      <c r="AA17909" s="24"/>
    </row>
    <row r="17910">
      <c r="A17910" s="24"/>
      <c r="B17910" s="25"/>
      <c r="C17910" s="24"/>
      <c r="D17910" s="26"/>
      <c r="E17910" s="24"/>
      <c r="F17910" s="24"/>
      <c r="G17910" s="24"/>
      <c r="H17910" s="24"/>
      <c r="I17910" s="24"/>
      <c r="J17910" s="24"/>
      <c r="K17910" s="24"/>
      <c r="L17910" s="24"/>
      <c r="M17910" s="24"/>
      <c r="N17910" s="24"/>
      <c r="O17910" s="24"/>
      <c r="P17910" s="24"/>
      <c r="Q17910" s="24"/>
      <c r="R17910" s="24"/>
      <c r="S17910" s="24"/>
      <c r="T17910" s="24"/>
      <c r="U17910" s="24"/>
      <c r="V17910" s="24"/>
      <c r="W17910" s="24"/>
      <c r="X17910" s="24"/>
      <c r="Y17910" s="24"/>
      <c r="Z17910" s="24"/>
      <c r="AA17910" s="24"/>
    </row>
    <row r="17911">
      <c r="A17911" s="24"/>
      <c r="B17911" s="25"/>
      <c r="C17911" s="24"/>
      <c r="D17911" s="26"/>
      <c r="E17911" s="24"/>
      <c r="F17911" s="24"/>
      <c r="G17911" s="24"/>
      <c r="H17911" s="24"/>
      <c r="I17911" s="24"/>
      <c r="J17911" s="24"/>
      <c r="K17911" s="24"/>
      <c r="L17911" s="24"/>
      <c r="M17911" s="24"/>
      <c r="N17911" s="24"/>
      <c r="O17911" s="24"/>
      <c r="P17911" s="24"/>
      <c r="Q17911" s="24"/>
      <c r="R17911" s="24"/>
      <c r="S17911" s="24"/>
      <c r="T17911" s="24"/>
      <c r="U17911" s="24"/>
      <c r="V17911" s="24"/>
      <c r="W17911" s="24"/>
      <c r="X17911" s="24"/>
      <c r="Y17911" s="24"/>
      <c r="Z17911" s="24"/>
      <c r="AA17911" s="24"/>
    </row>
    <row r="17912">
      <c r="A17912" s="24"/>
      <c r="B17912" s="25"/>
      <c r="C17912" s="24"/>
      <c r="D17912" s="26"/>
      <c r="E17912" s="24"/>
      <c r="F17912" s="24"/>
      <c r="G17912" s="24"/>
      <c r="H17912" s="24"/>
      <c r="I17912" s="24"/>
      <c r="J17912" s="24"/>
      <c r="K17912" s="24"/>
      <c r="L17912" s="24"/>
      <c r="M17912" s="24"/>
      <c r="N17912" s="24"/>
      <c r="O17912" s="24"/>
      <c r="P17912" s="24"/>
      <c r="Q17912" s="24"/>
      <c r="R17912" s="24"/>
      <c r="S17912" s="24"/>
      <c r="T17912" s="24"/>
      <c r="U17912" s="24"/>
      <c r="V17912" s="24"/>
      <c r="W17912" s="24"/>
      <c r="X17912" s="24"/>
      <c r="Y17912" s="24"/>
      <c r="Z17912" s="24"/>
      <c r="AA17912" s="24"/>
    </row>
    <row r="17913">
      <c r="A17913" s="24"/>
      <c r="B17913" s="25"/>
      <c r="C17913" s="24"/>
      <c r="D17913" s="26"/>
      <c r="E17913" s="24"/>
      <c r="F17913" s="24"/>
      <c r="G17913" s="24"/>
      <c r="H17913" s="24"/>
      <c r="I17913" s="24"/>
      <c r="J17913" s="24"/>
      <c r="K17913" s="24"/>
      <c r="L17913" s="24"/>
      <c r="M17913" s="24"/>
      <c r="N17913" s="24"/>
      <c r="O17913" s="24"/>
      <c r="P17913" s="24"/>
      <c r="Q17913" s="24"/>
      <c r="R17913" s="24"/>
      <c r="S17913" s="24"/>
      <c r="T17913" s="24"/>
      <c r="U17913" s="24"/>
      <c r="V17913" s="24"/>
      <c r="W17913" s="24"/>
      <c r="X17913" s="24"/>
      <c r="Y17913" s="24"/>
      <c r="Z17913" s="24"/>
      <c r="AA17913" s="24"/>
    </row>
    <row r="17914">
      <c r="A17914" s="24"/>
      <c r="B17914" s="25"/>
      <c r="C17914" s="24"/>
      <c r="D17914" s="26"/>
      <c r="E17914" s="24"/>
      <c r="F17914" s="24"/>
      <c r="G17914" s="24"/>
      <c r="H17914" s="24"/>
      <c r="I17914" s="24"/>
      <c r="J17914" s="24"/>
      <c r="K17914" s="24"/>
      <c r="L17914" s="24"/>
      <c r="M17914" s="24"/>
      <c r="N17914" s="24"/>
      <c r="O17914" s="24"/>
      <c r="P17914" s="24"/>
      <c r="Q17914" s="24"/>
      <c r="R17914" s="24"/>
      <c r="S17914" s="24"/>
      <c r="T17914" s="24"/>
      <c r="U17914" s="24"/>
      <c r="V17914" s="24"/>
      <c r="W17914" s="24"/>
      <c r="X17914" s="24"/>
      <c r="Y17914" s="24"/>
      <c r="Z17914" s="24"/>
      <c r="AA17914" s="24"/>
    </row>
    <row r="17915">
      <c r="A17915" s="24"/>
      <c r="B17915" s="25"/>
      <c r="C17915" s="24"/>
      <c r="D17915" s="26"/>
      <c r="E17915" s="24"/>
      <c r="F17915" s="24"/>
      <c r="G17915" s="24"/>
      <c r="H17915" s="24"/>
      <c r="I17915" s="24"/>
      <c r="J17915" s="24"/>
      <c r="K17915" s="24"/>
      <c r="L17915" s="24"/>
      <c r="M17915" s="24"/>
      <c r="N17915" s="24"/>
      <c r="O17915" s="24"/>
      <c r="P17915" s="24"/>
      <c r="Q17915" s="24"/>
      <c r="R17915" s="24"/>
      <c r="S17915" s="24"/>
      <c r="T17915" s="24"/>
      <c r="U17915" s="24"/>
      <c r="V17915" s="24"/>
      <c r="W17915" s="24"/>
      <c r="X17915" s="24"/>
      <c r="Y17915" s="24"/>
      <c r="Z17915" s="24"/>
      <c r="AA17915" s="24"/>
    </row>
    <row r="17916">
      <c r="A17916" s="24"/>
      <c r="B17916" s="25"/>
      <c r="C17916" s="24"/>
      <c r="D17916" s="26"/>
      <c r="E17916" s="24"/>
      <c r="F17916" s="24"/>
      <c r="G17916" s="24"/>
      <c r="H17916" s="24"/>
      <c r="I17916" s="24"/>
      <c r="J17916" s="24"/>
      <c r="K17916" s="24"/>
      <c r="L17916" s="24"/>
      <c r="M17916" s="24"/>
      <c r="N17916" s="24"/>
      <c r="O17916" s="24"/>
      <c r="P17916" s="24"/>
      <c r="Q17916" s="24"/>
      <c r="R17916" s="24"/>
      <c r="S17916" s="24"/>
      <c r="T17916" s="24"/>
      <c r="U17916" s="24"/>
      <c r="V17916" s="24"/>
      <c r="W17916" s="24"/>
      <c r="X17916" s="24"/>
      <c r="Y17916" s="24"/>
      <c r="Z17916" s="24"/>
      <c r="AA17916" s="24"/>
    </row>
    <row r="17917">
      <c r="A17917" s="24"/>
      <c r="B17917" s="25"/>
      <c r="C17917" s="24"/>
      <c r="D17917" s="26"/>
      <c r="E17917" s="24"/>
      <c r="F17917" s="24"/>
      <c r="G17917" s="24"/>
      <c r="H17917" s="24"/>
      <c r="I17917" s="24"/>
      <c r="J17917" s="24"/>
      <c r="K17917" s="24"/>
      <c r="L17917" s="24"/>
      <c r="M17917" s="24"/>
      <c r="N17917" s="24"/>
      <c r="O17917" s="24"/>
      <c r="P17917" s="24"/>
      <c r="Q17917" s="24"/>
      <c r="R17917" s="24"/>
      <c r="S17917" s="24"/>
      <c r="T17917" s="24"/>
      <c r="U17917" s="24"/>
      <c r="V17917" s="24"/>
      <c r="W17917" s="24"/>
      <c r="X17917" s="24"/>
      <c r="Y17917" s="24"/>
      <c r="Z17917" s="24"/>
      <c r="AA17917" s="24"/>
    </row>
    <row r="17918">
      <c r="A17918" s="24"/>
      <c r="B17918" s="25"/>
      <c r="C17918" s="24"/>
      <c r="D17918" s="26"/>
      <c r="E17918" s="24"/>
      <c r="F17918" s="24"/>
      <c r="G17918" s="24"/>
      <c r="H17918" s="24"/>
      <c r="I17918" s="24"/>
      <c r="J17918" s="24"/>
      <c r="K17918" s="24"/>
      <c r="L17918" s="24"/>
      <c r="M17918" s="24"/>
      <c r="N17918" s="24"/>
      <c r="O17918" s="24"/>
      <c r="P17918" s="24"/>
      <c r="Q17918" s="24"/>
      <c r="R17918" s="24"/>
      <c r="S17918" s="24"/>
      <c r="T17918" s="24"/>
      <c r="U17918" s="24"/>
      <c r="V17918" s="24"/>
      <c r="W17918" s="24"/>
      <c r="X17918" s="24"/>
      <c r="Y17918" s="24"/>
      <c r="Z17918" s="24"/>
      <c r="AA17918" s="24"/>
    </row>
    <row r="17919">
      <c r="A17919" s="24"/>
      <c r="B17919" s="25"/>
      <c r="C17919" s="24"/>
      <c r="D17919" s="26"/>
      <c r="E17919" s="24"/>
      <c r="F17919" s="24"/>
      <c r="G17919" s="24"/>
      <c r="H17919" s="24"/>
      <c r="I17919" s="24"/>
      <c r="J17919" s="24"/>
      <c r="K17919" s="24"/>
      <c r="L17919" s="24"/>
      <c r="M17919" s="24"/>
      <c r="N17919" s="24"/>
      <c r="O17919" s="24"/>
      <c r="P17919" s="24"/>
      <c r="Q17919" s="24"/>
      <c r="R17919" s="24"/>
      <c r="S17919" s="24"/>
      <c r="T17919" s="24"/>
      <c r="U17919" s="24"/>
      <c r="V17919" s="24"/>
      <c r="W17919" s="24"/>
      <c r="X17919" s="24"/>
      <c r="Y17919" s="24"/>
      <c r="Z17919" s="24"/>
      <c r="AA17919" s="24"/>
    </row>
    <row r="17920">
      <c r="A17920" s="24"/>
      <c r="B17920" s="25"/>
      <c r="C17920" s="24"/>
      <c r="D17920" s="26"/>
      <c r="E17920" s="24"/>
      <c r="F17920" s="24"/>
      <c r="G17920" s="24"/>
      <c r="H17920" s="24"/>
      <c r="I17920" s="24"/>
      <c r="J17920" s="24"/>
      <c r="K17920" s="24"/>
      <c r="L17920" s="24"/>
      <c r="M17920" s="24"/>
      <c r="N17920" s="24"/>
      <c r="O17920" s="24"/>
      <c r="P17920" s="24"/>
      <c r="Q17920" s="24"/>
      <c r="R17920" s="24"/>
      <c r="S17920" s="24"/>
      <c r="T17920" s="24"/>
      <c r="U17920" s="24"/>
      <c r="V17920" s="24"/>
      <c r="W17920" s="24"/>
      <c r="X17920" s="24"/>
      <c r="Y17920" s="24"/>
      <c r="Z17920" s="24"/>
      <c r="AA17920" s="24"/>
    </row>
    <row r="17921">
      <c r="A17921" s="24"/>
      <c r="B17921" s="25"/>
      <c r="C17921" s="24"/>
      <c r="D17921" s="26"/>
      <c r="E17921" s="24"/>
      <c r="F17921" s="24"/>
      <c r="G17921" s="24"/>
      <c r="H17921" s="24"/>
      <c r="I17921" s="24"/>
      <c r="J17921" s="24"/>
      <c r="K17921" s="24"/>
      <c r="L17921" s="24"/>
      <c r="M17921" s="24"/>
      <c r="N17921" s="24"/>
      <c r="O17921" s="24"/>
      <c r="P17921" s="24"/>
      <c r="Q17921" s="24"/>
      <c r="R17921" s="24"/>
      <c r="S17921" s="24"/>
      <c r="T17921" s="24"/>
      <c r="U17921" s="24"/>
      <c r="V17921" s="24"/>
      <c r="W17921" s="24"/>
      <c r="X17921" s="24"/>
      <c r="Y17921" s="24"/>
      <c r="Z17921" s="24"/>
      <c r="AA17921" s="24"/>
    </row>
    <row r="17922">
      <c r="A17922" s="24"/>
      <c r="B17922" s="25"/>
      <c r="C17922" s="24"/>
      <c r="D17922" s="26"/>
      <c r="E17922" s="24"/>
      <c r="F17922" s="24"/>
      <c r="G17922" s="24"/>
      <c r="H17922" s="24"/>
      <c r="I17922" s="24"/>
      <c r="J17922" s="24"/>
      <c r="K17922" s="24"/>
      <c r="L17922" s="24"/>
      <c r="M17922" s="24"/>
      <c r="N17922" s="24"/>
      <c r="O17922" s="24"/>
      <c r="P17922" s="24"/>
      <c r="Q17922" s="24"/>
      <c r="R17922" s="24"/>
      <c r="S17922" s="24"/>
      <c r="T17922" s="24"/>
      <c r="U17922" s="24"/>
      <c r="V17922" s="24"/>
      <c r="W17922" s="24"/>
      <c r="X17922" s="24"/>
      <c r="Y17922" s="24"/>
      <c r="Z17922" s="24"/>
      <c r="AA17922" s="24"/>
    </row>
    <row r="17923">
      <c r="A17923" s="24"/>
      <c r="B17923" s="25"/>
      <c r="C17923" s="24"/>
      <c r="D17923" s="26"/>
      <c r="E17923" s="24"/>
      <c r="F17923" s="24"/>
      <c r="G17923" s="24"/>
      <c r="H17923" s="24"/>
      <c r="I17923" s="24"/>
      <c r="J17923" s="24"/>
      <c r="K17923" s="24"/>
      <c r="L17923" s="24"/>
      <c r="M17923" s="24"/>
      <c r="N17923" s="24"/>
      <c r="O17923" s="24"/>
      <c r="P17923" s="24"/>
      <c r="Q17923" s="24"/>
      <c r="R17923" s="24"/>
      <c r="S17923" s="24"/>
      <c r="T17923" s="24"/>
      <c r="U17923" s="24"/>
      <c r="V17923" s="24"/>
      <c r="W17923" s="24"/>
      <c r="X17923" s="24"/>
      <c r="Y17923" s="24"/>
      <c r="Z17923" s="24"/>
      <c r="AA17923" s="24"/>
    </row>
    <row r="17924">
      <c r="A17924" s="24"/>
      <c r="B17924" s="25"/>
      <c r="C17924" s="24"/>
      <c r="D17924" s="26"/>
      <c r="E17924" s="24"/>
      <c r="F17924" s="24"/>
      <c r="G17924" s="24"/>
      <c r="H17924" s="24"/>
      <c r="I17924" s="24"/>
      <c r="J17924" s="24"/>
      <c r="K17924" s="24"/>
      <c r="L17924" s="24"/>
      <c r="M17924" s="24"/>
      <c r="N17924" s="24"/>
      <c r="O17924" s="24"/>
      <c r="P17924" s="24"/>
      <c r="Q17924" s="24"/>
      <c r="R17924" s="24"/>
      <c r="S17924" s="24"/>
      <c r="T17924" s="24"/>
      <c r="U17924" s="24"/>
      <c r="V17924" s="24"/>
      <c r="W17924" s="24"/>
      <c r="X17924" s="24"/>
      <c r="Y17924" s="24"/>
      <c r="Z17924" s="24"/>
      <c r="AA17924" s="24"/>
    </row>
    <row r="17925">
      <c r="A17925" s="24"/>
      <c r="B17925" s="25"/>
      <c r="C17925" s="24"/>
      <c r="D17925" s="26"/>
      <c r="E17925" s="24"/>
      <c r="F17925" s="24"/>
      <c r="G17925" s="24"/>
      <c r="H17925" s="24"/>
      <c r="I17925" s="24"/>
      <c r="J17925" s="24"/>
      <c r="K17925" s="24"/>
      <c r="L17925" s="24"/>
      <c r="M17925" s="24"/>
      <c r="N17925" s="24"/>
      <c r="O17925" s="24"/>
      <c r="P17925" s="24"/>
      <c r="Q17925" s="24"/>
      <c r="R17925" s="24"/>
      <c r="S17925" s="24"/>
      <c r="T17925" s="24"/>
      <c r="U17925" s="24"/>
      <c r="V17925" s="24"/>
      <c r="W17925" s="24"/>
      <c r="X17925" s="24"/>
      <c r="Y17925" s="24"/>
      <c r="Z17925" s="24"/>
      <c r="AA17925" s="24"/>
    </row>
    <row r="17926">
      <c r="A17926" s="24"/>
      <c r="B17926" s="25"/>
      <c r="C17926" s="24"/>
      <c r="D17926" s="26"/>
      <c r="E17926" s="24"/>
      <c r="F17926" s="24"/>
      <c r="G17926" s="24"/>
      <c r="H17926" s="24"/>
      <c r="I17926" s="24"/>
      <c r="J17926" s="24"/>
      <c r="K17926" s="24"/>
      <c r="L17926" s="24"/>
      <c r="M17926" s="24"/>
      <c r="N17926" s="24"/>
      <c r="O17926" s="24"/>
      <c r="P17926" s="24"/>
      <c r="Q17926" s="24"/>
      <c r="R17926" s="24"/>
      <c r="S17926" s="24"/>
      <c r="T17926" s="24"/>
      <c r="U17926" s="24"/>
      <c r="V17926" s="24"/>
      <c r="W17926" s="24"/>
      <c r="X17926" s="24"/>
      <c r="Y17926" s="24"/>
      <c r="Z17926" s="24"/>
      <c r="AA17926" s="24"/>
    </row>
    <row r="17927">
      <c r="A17927" s="24"/>
      <c r="B17927" s="25"/>
      <c r="C17927" s="24"/>
      <c r="D17927" s="26"/>
      <c r="E17927" s="24"/>
      <c r="F17927" s="24"/>
      <c r="G17927" s="24"/>
      <c r="H17927" s="24"/>
      <c r="I17927" s="24"/>
      <c r="J17927" s="24"/>
      <c r="K17927" s="24"/>
      <c r="L17927" s="24"/>
      <c r="M17927" s="24"/>
      <c r="N17927" s="24"/>
      <c r="O17927" s="24"/>
      <c r="P17927" s="24"/>
      <c r="Q17927" s="24"/>
      <c r="R17927" s="24"/>
      <c r="S17927" s="24"/>
      <c r="T17927" s="24"/>
      <c r="U17927" s="24"/>
      <c r="V17927" s="24"/>
      <c r="W17927" s="24"/>
      <c r="X17927" s="24"/>
      <c r="Y17927" s="24"/>
      <c r="Z17927" s="24"/>
      <c r="AA17927" s="24"/>
    </row>
    <row r="17928">
      <c r="A17928" s="24"/>
      <c r="B17928" s="25"/>
      <c r="C17928" s="24"/>
      <c r="D17928" s="26"/>
      <c r="E17928" s="24"/>
      <c r="F17928" s="24"/>
      <c r="G17928" s="24"/>
      <c r="H17928" s="24"/>
      <c r="I17928" s="24"/>
      <c r="J17928" s="24"/>
      <c r="K17928" s="24"/>
      <c r="L17928" s="24"/>
      <c r="M17928" s="24"/>
      <c r="N17928" s="24"/>
      <c r="O17928" s="24"/>
      <c r="P17928" s="24"/>
      <c r="Q17928" s="24"/>
      <c r="R17928" s="24"/>
      <c r="S17928" s="24"/>
      <c r="T17928" s="24"/>
      <c r="U17928" s="24"/>
      <c r="V17928" s="24"/>
      <c r="W17928" s="24"/>
      <c r="X17928" s="24"/>
      <c r="Y17928" s="24"/>
      <c r="Z17928" s="24"/>
      <c r="AA17928" s="24"/>
    </row>
    <row r="17929">
      <c r="A17929" s="24"/>
      <c r="B17929" s="25"/>
      <c r="C17929" s="24"/>
      <c r="D17929" s="26"/>
      <c r="E17929" s="24"/>
      <c r="F17929" s="24"/>
      <c r="G17929" s="24"/>
      <c r="H17929" s="24"/>
      <c r="I17929" s="24"/>
      <c r="J17929" s="24"/>
      <c r="K17929" s="24"/>
      <c r="L17929" s="24"/>
      <c r="M17929" s="24"/>
      <c r="N17929" s="24"/>
      <c r="O17929" s="24"/>
      <c r="P17929" s="24"/>
      <c r="Q17929" s="24"/>
      <c r="R17929" s="24"/>
      <c r="S17929" s="24"/>
      <c r="T17929" s="24"/>
      <c r="U17929" s="24"/>
      <c r="V17929" s="24"/>
      <c r="W17929" s="24"/>
      <c r="X17929" s="24"/>
      <c r="Y17929" s="24"/>
      <c r="Z17929" s="24"/>
      <c r="AA17929" s="24"/>
    </row>
    <row r="17930">
      <c r="A17930" s="24"/>
      <c r="B17930" s="25"/>
      <c r="C17930" s="24"/>
      <c r="D17930" s="26"/>
      <c r="E17930" s="24"/>
      <c r="F17930" s="24"/>
      <c r="G17930" s="24"/>
      <c r="H17930" s="24"/>
      <c r="I17930" s="24"/>
      <c r="J17930" s="24"/>
      <c r="K17930" s="24"/>
      <c r="L17930" s="24"/>
      <c r="M17930" s="24"/>
      <c r="N17930" s="24"/>
      <c r="O17930" s="24"/>
      <c r="P17930" s="24"/>
      <c r="Q17930" s="24"/>
      <c r="R17930" s="24"/>
      <c r="S17930" s="24"/>
      <c r="T17930" s="24"/>
      <c r="U17930" s="24"/>
      <c r="V17930" s="24"/>
      <c r="W17930" s="24"/>
      <c r="X17930" s="24"/>
      <c r="Y17930" s="24"/>
      <c r="Z17930" s="24"/>
      <c r="AA17930" s="24"/>
    </row>
    <row r="17931">
      <c r="A17931" s="24"/>
      <c r="B17931" s="25"/>
      <c r="C17931" s="24"/>
      <c r="D17931" s="26"/>
      <c r="E17931" s="24"/>
      <c r="F17931" s="24"/>
      <c r="G17931" s="24"/>
      <c r="H17931" s="24"/>
      <c r="I17931" s="24"/>
      <c r="J17931" s="24"/>
      <c r="K17931" s="24"/>
      <c r="L17931" s="24"/>
      <c r="M17931" s="24"/>
      <c r="N17931" s="24"/>
      <c r="O17931" s="24"/>
      <c r="P17931" s="24"/>
      <c r="Q17931" s="24"/>
      <c r="R17931" s="24"/>
      <c r="S17931" s="24"/>
      <c r="T17931" s="24"/>
      <c r="U17931" s="24"/>
      <c r="V17931" s="24"/>
      <c r="W17931" s="24"/>
      <c r="X17931" s="24"/>
      <c r="Y17931" s="24"/>
      <c r="Z17931" s="24"/>
      <c r="AA17931" s="24"/>
    </row>
    <row r="17932">
      <c r="A17932" s="24"/>
      <c r="B17932" s="25"/>
      <c r="C17932" s="24"/>
      <c r="D17932" s="26"/>
      <c r="E17932" s="24"/>
      <c r="F17932" s="24"/>
      <c r="G17932" s="24"/>
      <c r="H17932" s="24"/>
      <c r="I17932" s="24"/>
      <c r="J17932" s="24"/>
      <c r="K17932" s="24"/>
      <c r="L17932" s="24"/>
      <c r="M17932" s="24"/>
      <c r="N17932" s="24"/>
      <c r="O17932" s="24"/>
      <c r="P17932" s="24"/>
      <c r="Q17932" s="24"/>
      <c r="R17932" s="24"/>
      <c r="S17932" s="24"/>
      <c r="T17932" s="24"/>
      <c r="U17932" s="24"/>
      <c r="V17932" s="24"/>
      <c r="W17932" s="24"/>
      <c r="X17932" s="24"/>
      <c r="Y17932" s="24"/>
      <c r="Z17932" s="24"/>
      <c r="AA17932" s="24"/>
    </row>
    <row r="17933">
      <c r="A17933" s="24"/>
      <c r="B17933" s="25"/>
      <c r="C17933" s="24"/>
      <c r="D17933" s="26"/>
      <c r="E17933" s="24"/>
      <c r="F17933" s="24"/>
      <c r="G17933" s="24"/>
      <c r="H17933" s="24"/>
      <c r="I17933" s="24"/>
      <c r="J17933" s="24"/>
      <c r="K17933" s="24"/>
      <c r="L17933" s="24"/>
      <c r="M17933" s="24"/>
      <c r="N17933" s="24"/>
      <c r="O17933" s="24"/>
      <c r="P17933" s="24"/>
      <c r="Q17933" s="24"/>
      <c r="R17933" s="24"/>
      <c r="S17933" s="24"/>
      <c r="T17933" s="24"/>
      <c r="U17933" s="24"/>
      <c r="V17933" s="24"/>
      <c r="W17933" s="24"/>
      <c r="X17933" s="24"/>
      <c r="Y17933" s="24"/>
      <c r="Z17933" s="24"/>
      <c r="AA17933" s="24"/>
    </row>
    <row r="17934">
      <c r="A17934" s="24"/>
      <c r="B17934" s="25"/>
      <c r="C17934" s="24"/>
      <c r="D17934" s="26"/>
      <c r="E17934" s="24"/>
      <c r="F17934" s="24"/>
      <c r="G17934" s="24"/>
      <c r="H17934" s="24"/>
      <c r="I17934" s="24"/>
      <c r="J17934" s="24"/>
      <c r="K17934" s="24"/>
      <c r="L17934" s="24"/>
      <c r="M17934" s="24"/>
      <c r="N17934" s="24"/>
      <c r="O17934" s="24"/>
      <c r="P17934" s="24"/>
      <c r="Q17934" s="24"/>
      <c r="R17934" s="24"/>
      <c r="S17934" s="24"/>
      <c r="T17934" s="24"/>
      <c r="U17934" s="24"/>
      <c r="V17934" s="24"/>
      <c r="W17934" s="24"/>
      <c r="X17934" s="24"/>
      <c r="Y17934" s="24"/>
      <c r="Z17934" s="24"/>
      <c r="AA17934" s="24"/>
    </row>
    <row r="17935">
      <c r="A17935" s="24"/>
      <c r="B17935" s="25"/>
      <c r="C17935" s="24"/>
      <c r="D17935" s="26"/>
      <c r="E17935" s="24"/>
      <c r="F17935" s="24"/>
      <c r="G17935" s="24"/>
      <c r="H17935" s="24"/>
      <c r="I17935" s="24"/>
      <c r="J17935" s="24"/>
      <c r="K17935" s="24"/>
      <c r="L17935" s="24"/>
      <c r="M17935" s="24"/>
      <c r="N17935" s="24"/>
      <c r="O17935" s="24"/>
      <c r="P17935" s="24"/>
      <c r="Q17935" s="24"/>
      <c r="R17935" s="24"/>
      <c r="S17935" s="24"/>
      <c r="T17935" s="24"/>
      <c r="U17935" s="24"/>
      <c r="V17935" s="24"/>
      <c r="W17935" s="24"/>
      <c r="X17935" s="24"/>
      <c r="Y17935" s="24"/>
      <c r="Z17935" s="24"/>
      <c r="AA17935" s="24"/>
    </row>
    <row r="17936">
      <c r="A17936" s="24"/>
      <c r="B17936" s="25"/>
      <c r="C17936" s="24"/>
      <c r="D17936" s="26"/>
      <c r="E17936" s="24"/>
      <c r="F17936" s="24"/>
      <c r="G17936" s="24"/>
      <c r="H17936" s="24"/>
      <c r="I17936" s="24"/>
      <c r="J17936" s="24"/>
      <c r="K17936" s="24"/>
      <c r="L17936" s="24"/>
      <c r="M17936" s="24"/>
      <c r="N17936" s="24"/>
      <c r="O17936" s="24"/>
      <c r="P17936" s="24"/>
      <c r="Q17936" s="24"/>
      <c r="R17936" s="24"/>
      <c r="S17936" s="24"/>
      <c r="T17936" s="24"/>
      <c r="U17936" s="24"/>
      <c r="V17936" s="24"/>
      <c r="W17936" s="24"/>
      <c r="X17936" s="24"/>
      <c r="Y17936" s="24"/>
      <c r="Z17936" s="24"/>
      <c r="AA17936" s="24"/>
    </row>
    <row r="17937">
      <c r="A17937" s="24"/>
      <c r="B17937" s="25"/>
      <c r="C17937" s="24"/>
      <c r="D17937" s="26"/>
      <c r="E17937" s="24"/>
      <c r="F17937" s="24"/>
      <c r="G17937" s="24"/>
      <c r="H17937" s="24"/>
      <c r="I17937" s="24"/>
      <c r="J17937" s="24"/>
      <c r="K17937" s="24"/>
      <c r="L17937" s="24"/>
      <c r="M17937" s="24"/>
      <c r="N17937" s="24"/>
      <c r="O17937" s="24"/>
      <c r="P17937" s="24"/>
      <c r="Q17937" s="24"/>
      <c r="R17937" s="24"/>
      <c r="S17937" s="24"/>
      <c r="T17937" s="24"/>
      <c r="U17937" s="24"/>
      <c r="V17937" s="24"/>
      <c r="W17937" s="24"/>
      <c r="X17937" s="24"/>
      <c r="Y17937" s="24"/>
      <c r="Z17937" s="24"/>
      <c r="AA17937" s="24"/>
    </row>
    <row r="17938">
      <c r="A17938" s="24"/>
      <c r="B17938" s="25"/>
      <c r="C17938" s="24"/>
      <c r="D17938" s="26"/>
      <c r="E17938" s="24"/>
      <c r="F17938" s="24"/>
      <c r="G17938" s="24"/>
      <c r="H17938" s="24"/>
      <c r="I17938" s="24"/>
      <c r="J17938" s="24"/>
      <c r="K17938" s="24"/>
      <c r="L17938" s="24"/>
      <c r="M17938" s="24"/>
      <c r="N17938" s="24"/>
      <c r="O17938" s="24"/>
      <c r="P17938" s="24"/>
      <c r="Q17938" s="24"/>
      <c r="R17938" s="24"/>
      <c r="S17938" s="24"/>
      <c r="T17938" s="24"/>
      <c r="U17938" s="24"/>
      <c r="V17938" s="24"/>
      <c r="W17938" s="24"/>
      <c r="X17938" s="24"/>
      <c r="Y17938" s="24"/>
      <c r="Z17938" s="24"/>
      <c r="AA17938" s="24"/>
    </row>
    <row r="17939">
      <c r="A17939" s="24"/>
      <c r="B17939" s="25"/>
      <c r="C17939" s="24"/>
      <c r="D17939" s="26"/>
      <c r="E17939" s="24"/>
      <c r="F17939" s="24"/>
      <c r="G17939" s="24"/>
      <c r="H17939" s="24"/>
      <c r="I17939" s="24"/>
      <c r="J17939" s="24"/>
      <c r="K17939" s="24"/>
      <c r="L17939" s="24"/>
      <c r="M17939" s="24"/>
      <c r="N17939" s="24"/>
      <c r="O17939" s="24"/>
      <c r="P17939" s="24"/>
      <c r="Q17939" s="24"/>
      <c r="R17939" s="24"/>
      <c r="S17939" s="24"/>
      <c r="T17939" s="24"/>
      <c r="U17939" s="24"/>
      <c r="V17939" s="24"/>
      <c r="W17939" s="24"/>
      <c r="X17939" s="24"/>
      <c r="Y17939" s="24"/>
      <c r="Z17939" s="24"/>
      <c r="AA17939" s="24"/>
    </row>
    <row r="17940">
      <c r="A17940" s="24"/>
      <c r="B17940" s="25"/>
      <c r="C17940" s="24"/>
      <c r="D17940" s="26"/>
      <c r="E17940" s="24"/>
      <c r="F17940" s="24"/>
      <c r="G17940" s="24"/>
      <c r="H17940" s="24"/>
      <c r="I17940" s="24"/>
      <c r="J17940" s="24"/>
      <c r="K17940" s="24"/>
      <c r="L17940" s="24"/>
      <c r="M17940" s="24"/>
      <c r="N17940" s="24"/>
      <c r="O17940" s="24"/>
      <c r="P17940" s="24"/>
      <c r="Q17940" s="24"/>
      <c r="R17940" s="24"/>
      <c r="S17940" s="24"/>
      <c r="T17940" s="24"/>
      <c r="U17940" s="24"/>
      <c r="V17940" s="24"/>
      <c r="W17940" s="24"/>
      <c r="X17940" s="24"/>
      <c r="Y17940" s="24"/>
      <c r="Z17940" s="24"/>
      <c r="AA17940" s="24"/>
    </row>
    <row r="17941">
      <c r="A17941" s="24"/>
      <c r="B17941" s="25"/>
      <c r="C17941" s="24"/>
      <c r="D17941" s="26"/>
      <c r="E17941" s="24"/>
      <c r="F17941" s="24"/>
      <c r="G17941" s="24"/>
      <c r="H17941" s="24"/>
      <c r="I17941" s="24"/>
      <c r="J17941" s="24"/>
      <c r="K17941" s="24"/>
      <c r="L17941" s="24"/>
      <c r="M17941" s="24"/>
      <c r="N17941" s="24"/>
      <c r="O17941" s="24"/>
      <c r="P17941" s="24"/>
      <c r="Q17941" s="24"/>
      <c r="R17941" s="24"/>
      <c r="S17941" s="24"/>
      <c r="T17941" s="24"/>
      <c r="U17941" s="24"/>
      <c r="V17941" s="24"/>
      <c r="W17941" s="24"/>
      <c r="X17941" s="24"/>
      <c r="Y17941" s="24"/>
      <c r="Z17941" s="24"/>
      <c r="AA17941" s="24"/>
    </row>
    <row r="17942">
      <c r="A17942" s="24"/>
      <c r="B17942" s="25"/>
      <c r="C17942" s="24"/>
      <c r="D17942" s="26"/>
      <c r="E17942" s="24"/>
      <c r="F17942" s="24"/>
      <c r="G17942" s="24"/>
      <c r="H17942" s="24"/>
      <c r="I17942" s="24"/>
      <c r="J17942" s="24"/>
      <c r="K17942" s="24"/>
      <c r="L17942" s="24"/>
      <c r="M17942" s="24"/>
      <c r="N17942" s="24"/>
      <c r="O17942" s="24"/>
      <c r="P17942" s="24"/>
      <c r="Q17942" s="24"/>
      <c r="R17942" s="24"/>
      <c r="S17942" s="24"/>
      <c r="T17942" s="24"/>
      <c r="U17942" s="24"/>
      <c r="V17942" s="24"/>
      <c r="W17942" s="24"/>
      <c r="X17942" s="24"/>
      <c r="Y17942" s="24"/>
      <c r="Z17942" s="24"/>
      <c r="AA17942" s="24"/>
    </row>
    <row r="17943">
      <c r="A17943" s="24"/>
      <c r="B17943" s="25"/>
      <c r="C17943" s="24"/>
      <c r="D17943" s="26"/>
      <c r="E17943" s="24"/>
      <c r="F17943" s="24"/>
      <c r="G17943" s="24"/>
      <c r="H17943" s="24"/>
      <c r="I17943" s="24"/>
      <c r="J17943" s="24"/>
      <c r="K17943" s="24"/>
      <c r="L17943" s="24"/>
      <c r="M17943" s="24"/>
      <c r="N17943" s="24"/>
      <c r="O17943" s="24"/>
      <c r="P17943" s="24"/>
      <c r="Q17943" s="24"/>
      <c r="R17943" s="24"/>
      <c r="S17943" s="24"/>
      <c r="T17943" s="24"/>
      <c r="U17943" s="24"/>
      <c r="V17943" s="24"/>
      <c r="W17943" s="24"/>
      <c r="X17943" s="24"/>
      <c r="Y17943" s="24"/>
      <c r="Z17943" s="24"/>
      <c r="AA17943" s="24"/>
    </row>
    <row r="17944">
      <c r="A17944" s="24"/>
      <c r="B17944" s="25"/>
      <c r="C17944" s="24"/>
      <c r="D17944" s="26"/>
      <c r="E17944" s="24"/>
      <c r="F17944" s="24"/>
      <c r="G17944" s="24"/>
      <c r="H17944" s="24"/>
      <c r="I17944" s="24"/>
      <c r="J17944" s="24"/>
      <c r="K17944" s="24"/>
      <c r="L17944" s="24"/>
      <c r="M17944" s="24"/>
      <c r="N17944" s="24"/>
      <c r="O17944" s="24"/>
      <c r="P17944" s="24"/>
      <c r="Q17944" s="24"/>
      <c r="R17944" s="24"/>
      <c r="S17944" s="24"/>
      <c r="T17944" s="24"/>
      <c r="U17944" s="24"/>
      <c r="V17944" s="24"/>
      <c r="W17944" s="24"/>
      <c r="X17944" s="24"/>
      <c r="Y17944" s="24"/>
      <c r="Z17944" s="24"/>
      <c r="AA17944" s="24"/>
    </row>
    <row r="17945">
      <c r="A17945" s="24"/>
      <c r="B17945" s="25"/>
      <c r="C17945" s="24"/>
      <c r="D17945" s="26"/>
      <c r="E17945" s="24"/>
      <c r="F17945" s="24"/>
      <c r="G17945" s="24"/>
      <c r="H17945" s="24"/>
      <c r="I17945" s="24"/>
      <c r="J17945" s="24"/>
      <c r="K17945" s="24"/>
      <c r="L17945" s="24"/>
      <c r="M17945" s="24"/>
      <c r="N17945" s="24"/>
      <c r="O17945" s="24"/>
      <c r="P17945" s="24"/>
      <c r="Q17945" s="24"/>
      <c r="R17945" s="24"/>
      <c r="S17945" s="24"/>
      <c r="T17945" s="24"/>
      <c r="U17945" s="24"/>
      <c r="V17945" s="24"/>
      <c r="W17945" s="24"/>
      <c r="X17945" s="24"/>
      <c r="Y17945" s="24"/>
      <c r="Z17945" s="24"/>
      <c r="AA17945" s="24"/>
    </row>
    <row r="17946">
      <c r="A17946" s="24"/>
      <c r="B17946" s="25"/>
      <c r="C17946" s="24"/>
      <c r="D17946" s="26"/>
      <c r="E17946" s="24"/>
      <c r="F17946" s="24"/>
      <c r="G17946" s="24"/>
      <c r="H17946" s="24"/>
      <c r="I17946" s="24"/>
      <c r="J17946" s="24"/>
      <c r="K17946" s="24"/>
      <c r="L17946" s="24"/>
      <c r="M17946" s="24"/>
      <c r="N17946" s="24"/>
      <c r="O17946" s="24"/>
      <c r="P17946" s="24"/>
      <c r="Q17946" s="24"/>
      <c r="R17946" s="24"/>
      <c r="S17946" s="24"/>
      <c r="T17946" s="24"/>
      <c r="U17946" s="24"/>
      <c r="V17946" s="24"/>
      <c r="W17946" s="24"/>
      <c r="X17946" s="24"/>
      <c r="Y17946" s="24"/>
      <c r="Z17946" s="24"/>
      <c r="AA17946" s="24"/>
    </row>
    <row r="17947">
      <c r="A17947" s="24"/>
      <c r="B17947" s="25"/>
      <c r="C17947" s="24"/>
      <c r="D17947" s="26"/>
      <c r="E17947" s="24"/>
      <c r="F17947" s="24"/>
      <c r="G17947" s="24"/>
      <c r="H17947" s="24"/>
      <c r="I17947" s="24"/>
      <c r="J17947" s="24"/>
      <c r="K17947" s="24"/>
      <c r="L17947" s="24"/>
      <c r="M17947" s="24"/>
      <c r="N17947" s="24"/>
      <c r="O17947" s="24"/>
      <c r="P17947" s="24"/>
      <c r="Q17947" s="24"/>
      <c r="R17947" s="24"/>
      <c r="S17947" s="24"/>
      <c r="T17947" s="24"/>
      <c r="U17947" s="24"/>
      <c r="V17947" s="24"/>
      <c r="W17947" s="24"/>
      <c r="X17947" s="24"/>
      <c r="Y17947" s="24"/>
      <c r="Z17947" s="24"/>
      <c r="AA17947" s="24"/>
    </row>
    <row r="17948">
      <c r="A17948" s="24"/>
      <c r="B17948" s="25"/>
      <c r="C17948" s="24"/>
      <c r="D17948" s="26"/>
      <c r="E17948" s="24"/>
      <c r="F17948" s="24"/>
      <c r="G17948" s="24"/>
      <c r="H17948" s="24"/>
      <c r="I17948" s="24"/>
      <c r="J17948" s="24"/>
      <c r="K17948" s="24"/>
      <c r="L17948" s="24"/>
      <c r="M17948" s="24"/>
      <c r="N17948" s="24"/>
      <c r="O17948" s="24"/>
      <c r="P17948" s="24"/>
      <c r="Q17948" s="24"/>
      <c r="R17948" s="24"/>
      <c r="S17948" s="24"/>
      <c r="T17948" s="24"/>
      <c r="U17948" s="24"/>
      <c r="V17948" s="24"/>
      <c r="W17948" s="24"/>
      <c r="X17948" s="24"/>
      <c r="Y17948" s="24"/>
      <c r="Z17948" s="24"/>
      <c r="AA17948" s="24"/>
    </row>
    <row r="17949">
      <c r="A17949" s="24"/>
      <c r="B17949" s="25"/>
      <c r="C17949" s="24"/>
      <c r="D17949" s="26"/>
      <c r="E17949" s="24"/>
      <c r="F17949" s="24"/>
      <c r="G17949" s="24"/>
      <c r="H17949" s="24"/>
      <c r="I17949" s="24"/>
      <c r="J17949" s="24"/>
      <c r="K17949" s="24"/>
      <c r="L17949" s="24"/>
      <c r="M17949" s="24"/>
      <c r="N17949" s="24"/>
      <c r="O17949" s="24"/>
      <c r="P17949" s="24"/>
      <c r="Q17949" s="24"/>
      <c r="R17949" s="24"/>
      <c r="S17949" s="24"/>
      <c r="T17949" s="24"/>
      <c r="U17949" s="24"/>
      <c r="V17949" s="24"/>
      <c r="W17949" s="24"/>
      <c r="X17949" s="24"/>
      <c r="Y17949" s="24"/>
      <c r="Z17949" s="24"/>
      <c r="AA17949" s="24"/>
    </row>
    <row r="17950">
      <c r="A17950" s="24"/>
      <c r="B17950" s="25"/>
      <c r="C17950" s="24"/>
      <c r="D17950" s="26"/>
      <c r="E17950" s="24"/>
      <c r="F17950" s="24"/>
      <c r="G17950" s="24"/>
      <c r="H17950" s="24"/>
      <c r="I17950" s="24"/>
      <c r="J17950" s="24"/>
      <c r="K17950" s="24"/>
      <c r="L17950" s="24"/>
      <c r="M17950" s="24"/>
      <c r="N17950" s="24"/>
      <c r="O17950" s="24"/>
      <c r="P17950" s="24"/>
      <c r="Q17950" s="24"/>
      <c r="R17950" s="24"/>
      <c r="S17950" s="24"/>
      <c r="T17950" s="24"/>
      <c r="U17950" s="24"/>
      <c r="V17950" s="24"/>
      <c r="W17950" s="24"/>
      <c r="X17950" s="24"/>
      <c r="Y17950" s="24"/>
      <c r="Z17950" s="24"/>
      <c r="AA17950" s="24"/>
    </row>
    <row r="17951">
      <c r="A17951" s="24"/>
      <c r="B17951" s="25"/>
      <c r="C17951" s="24"/>
      <c r="D17951" s="26"/>
      <c r="E17951" s="24"/>
      <c r="F17951" s="24"/>
      <c r="G17951" s="24"/>
      <c r="H17951" s="24"/>
      <c r="I17951" s="24"/>
      <c r="J17951" s="24"/>
      <c r="K17951" s="24"/>
      <c r="L17951" s="24"/>
      <c r="M17951" s="24"/>
      <c r="N17951" s="24"/>
      <c r="O17951" s="24"/>
      <c r="P17951" s="24"/>
      <c r="Q17951" s="24"/>
      <c r="R17951" s="24"/>
      <c r="S17951" s="24"/>
      <c r="T17951" s="24"/>
      <c r="U17951" s="24"/>
      <c r="V17951" s="24"/>
      <c r="W17951" s="24"/>
      <c r="X17951" s="24"/>
      <c r="Y17951" s="24"/>
      <c r="Z17951" s="24"/>
      <c r="AA17951" s="24"/>
    </row>
    <row r="17952">
      <c r="A17952" s="24"/>
      <c r="B17952" s="25"/>
      <c r="C17952" s="24"/>
      <c r="D17952" s="26"/>
      <c r="E17952" s="24"/>
      <c r="F17952" s="24"/>
      <c r="G17952" s="24"/>
      <c r="H17952" s="24"/>
      <c r="I17952" s="24"/>
      <c r="J17952" s="24"/>
      <c r="K17952" s="24"/>
      <c r="L17952" s="24"/>
      <c r="M17952" s="24"/>
      <c r="N17952" s="24"/>
      <c r="O17952" s="24"/>
      <c r="P17952" s="24"/>
      <c r="Q17952" s="24"/>
      <c r="R17952" s="24"/>
      <c r="S17952" s="24"/>
      <c r="T17952" s="24"/>
      <c r="U17952" s="24"/>
      <c r="V17952" s="24"/>
      <c r="W17952" s="24"/>
      <c r="X17952" s="24"/>
      <c r="Y17952" s="24"/>
      <c r="Z17952" s="24"/>
      <c r="AA17952" s="24"/>
    </row>
    <row r="17953">
      <c r="A17953" s="24"/>
      <c r="B17953" s="25"/>
      <c r="C17953" s="24"/>
      <c r="D17953" s="26"/>
      <c r="E17953" s="24"/>
      <c r="F17953" s="24"/>
      <c r="G17953" s="24"/>
      <c r="H17953" s="24"/>
      <c r="I17953" s="24"/>
      <c r="J17953" s="24"/>
      <c r="K17953" s="24"/>
      <c r="L17953" s="24"/>
      <c r="M17953" s="24"/>
      <c r="N17953" s="24"/>
      <c r="O17953" s="24"/>
      <c r="P17953" s="24"/>
      <c r="Q17953" s="24"/>
      <c r="R17953" s="24"/>
      <c r="S17953" s="24"/>
      <c r="T17953" s="24"/>
      <c r="U17953" s="24"/>
      <c r="V17953" s="24"/>
      <c r="W17953" s="24"/>
      <c r="X17953" s="24"/>
      <c r="Y17953" s="24"/>
      <c r="Z17953" s="24"/>
      <c r="AA17953" s="24"/>
    </row>
    <row r="17954">
      <c r="A17954" s="24"/>
      <c r="B17954" s="25"/>
      <c r="C17954" s="24"/>
      <c r="D17954" s="26"/>
      <c r="E17954" s="24"/>
      <c r="F17954" s="24"/>
      <c r="G17954" s="24"/>
      <c r="H17954" s="24"/>
      <c r="I17954" s="24"/>
      <c r="J17954" s="24"/>
      <c r="K17954" s="24"/>
      <c r="L17954" s="24"/>
      <c r="M17954" s="24"/>
      <c r="N17954" s="24"/>
      <c r="O17954" s="24"/>
      <c r="P17954" s="24"/>
      <c r="Q17954" s="24"/>
      <c r="R17954" s="24"/>
      <c r="S17954" s="24"/>
      <c r="T17954" s="24"/>
      <c r="U17954" s="24"/>
      <c r="V17954" s="24"/>
      <c r="W17954" s="24"/>
      <c r="X17954" s="24"/>
      <c r="Y17954" s="24"/>
      <c r="Z17954" s="24"/>
      <c r="AA17954" s="24"/>
    </row>
    <row r="17955">
      <c r="A17955" s="24"/>
      <c r="B17955" s="25"/>
      <c r="C17955" s="24"/>
      <c r="D17955" s="26"/>
      <c r="E17955" s="24"/>
      <c r="F17955" s="24"/>
      <c r="G17955" s="24"/>
      <c r="H17955" s="24"/>
      <c r="I17955" s="24"/>
      <c r="J17955" s="24"/>
      <c r="K17955" s="24"/>
      <c r="L17955" s="24"/>
      <c r="M17955" s="24"/>
      <c r="N17955" s="24"/>
      <c r="O17955" s="24"/>
      <c r="P17955" s="24"/>
      <c r="Q17955" s="24"/>
      <c r="R17955" s="24"/>
      <c r="S17955" s="24"/>
      <c r="T17955" s="24"/>
      <c r="U17955" s="24"/>
      <c r="V17955" s="24"/>
      <c r="W17955" s="24"/>
      <c r="X17955" s="24"/>
      <c r="Y17955" s="24"/>
      <c r="Z17955" s="24"/>
      <c r="AA17955" s="24"/>
    </row>
    <row r="17956">
      <c r="A17956" s="24"/>
      <c r="B17956" s="25"/>
      <c r="C17956" s="24"/>
      <c r="D17956" s="26"/>
      <c r="E17956" s="24"/>
      <c r="F17956" s="24"/>
      <c r="G17956" s="24"/>
      <c r="H17956" s="24"/>
      <c r="I17956" s="24"/>
      <c r="J17956" s="24"/>
      <c r="K17956" s="24"/>
      <c r="L17956" s="24"/>
      <c r="M17956" s="24"/>
      <c r="N17956" s="24"/>
      <c r="O17956" s="24"/>
      <c r="P17956" s="24"/>
      <c r="Q17956" s="24"/>
      <c r="R17956" s="24"/>
      <c r="S17956" s="24"/>
      <c r="T17956" s="24"/>
      <c r="U17956" s="24"/>
      <c r="V17956" s="24"/>
      <c r="W17956" s="24"/>
      <c r="X17956" s="24"/>
      <c r="Y17956" s="24"/>
      <c r="Z17956" s="24"/>
      <c r="AA17956" s="24"/>
    </row>
    <row r="17957">
      <c r="A17957" s="24"/>
      <c r="B17957" s="25"/>
      <c r="C17957" s="24"/>
      <c r="D17957" s="26"/>
      <c r="E17957" s="24"/>
      <c r="F17957" s="24"/>
      <c r="G17957" s="24"/>
      <c r="H17957" s="24"/>
      <c r="I17957" s="24"/>
      <c r="J17957" s="24"/>
      <c r="K17957" s="24"/>
      <c r="L17957" s="24"/>
      <c r="M17957" s="24"/>
      <c r="N17957" s="24"/>
      <c r="O17957" s="24"/>
      <c r="P17957" s="24"/>
      <c r="Q17957" s="24"/>
      <c r="R17957" s="24"/>
      <c r="S17957" s="24"/>
      <c r="T17957" s="24"/>
      <c r="U17957" s="24"/>
      <c r="V17957" s="24"/>
      <c r="W17957" s="24"/>
      <c r="X17957" s="24"/>
      <c r="Y17957" s="24"/>
      <c r="Z17957" s="24"/>
      <c r="AA17957" s="24"/>
    </row>
    <row r="17958">
      <c r="A17958" s="24"/>
      <c r="B17958" s="25"/>
      <c r="C17958" s="24"/>
      <c r="D17958" s="26"/>
      <c r="E17958" s="24"/>
      <c r="F17958" s="24"/>
      <c r="G17958" s="24"/>
      <c r="H17958" s="24"/>
      <c r="I17958" s="24"/>
      <c r="J17958" s="24"/>
      <c r="K17958" s="24"/>
      <c r="L17958" s="24"/>
      <c r="M17958" s="24"/>
      <c r="N17958" s="24"/>
      <c r="O17958" s="24"/>
      <c r="P17958" s="24"/>
      <c r="Q17958" s="24"/>
      <c r="R17958" s="24"/>
      <c r="S17958" s="24"/>
      <c r="T17958" s="24"/>
      <c r="U17958" s="24"/>
      <c r="V17958" s="24"/>
      <c r="W17958" s="24"/>
      <c r="X17958" s="24"/>
      <c r="Y17958" s="24"/>
      <c r="Z17958" s="24"/>
      <c r="AA17958" s="24"/>
    </row>
    <row r="17959">
      <c r="A17959" s="24"/>
      <c r="B17959" s="25"/>
      <c r="C17959" s="24"/>
      <c r="D17959" s="26"/>
      <c r="E17959" s="24"/>
      <c r="F17959" s="24"/>
      <c r="G17959" s="24"/>
      <c r="H17959" s="24"/>
      <c r="I17959" s="24"/>
      <c r="J17959" s="24"/>
      <c r="K17959" s="24"/>
      <c r="L17959" s="24"/>
      <c r="M17959" s="24"/>
      <c r="N17959" s="24"/>
      <c r="O17959" s="24"/>
      <c r="P17959" s="24"/>
      <c r="Q17959" s="24"/>
      <c r="R17959" s="24"/>
      <c r="S17959" s="24"/>
      <c r="T17959" s="24"/>
      <c r="U17959" s="24"/>
      <c r="V17959" s="24"/>
      <c r="W17959" s="24"/>
      <c r="X17959" s="24"/>
      <c r="Y17959" s="24"/>
      <c r="Z17959" s="24"/>
      <c r="AA17959" s="24"/>
    </row>
    <row r="17960">
      <c r="A17960" s="24"/>
      <c r="B17960" s="25"/>
      <c r="C17960" s="24"/>
      <c r="D17960" s="26"/>
      <c r="E17960" s="24"/>
      <c r="F17960" s="24"/>
      <c r="G17960" s="24"/>
      <c r="H17960" s="24"/>
      <c r="I17960" s="24"/>
      <c r="J17960" s="24"/>
      <c r="K17960" s="24"/>
      <c r="L17960" s="24"/>
      <c r="M17960" s="24"/>
      <c r="N17960" s="24"/>
      <c r="O17960" s="24"/>
      <c r="P17960" s="24"/>
      <c r="Q17960" s="24"/>
      <c r="R17960" s="24"/>
      <c r="S17960" s="24"/>
      <c r="T17960" s="24"/>
      <c r="U17960" s="24"/>
      <c r="V17960" s="24"/>
      <c r="W17960" s="24"/>
      <c r="X17960" s="24"/>
      <c r="Y17960" s="24"/>
      <c r="Z17960" s="24"/>
      <c r="AA17960" s="24"/>
    </row>
    <row r="17961">
      <c r="A17961" s="24"/>
      <c r="B17961" s="25"/>
      <c r="C17961" s="24"/>
      <c r="D17961" s="26"/>
      <c r="E17961" s="24"/>
      <c r="F17961" s="24"/>
      <c r="G17961" s="24"/>
      <c r="H17961" s="24"/>
      <c r="I17961" s="24"/>
      <c r="J17961" s="24"/>
      <c r="K17961" s="24"/>
      <c r="L17961" s="24"/>
      <c r="M17961" s="24"/>
      <c r="N17961" s="24"/>
      <c r="O17961" s="24"/>
      <c r="P17961" s="24"/>
      <c r="Q17961" s="24"/>
      <c r="R17961" s="24"/>
      <c r="S17961" s="24"/>
      <c r="T17961" s="24"/>
      <c r="U17961" s="24"/>
      <c r="V17961" s="24"/>
      <c r="W17961" s="24"/>
      <c r="X17961" s="24"/>
      <c r="Y17961" s="24"/>
      <c r="Z17961" s="24"/>
      <c r="AA17961" s="24"/>
    </row>
    <row r="17962">
      <c r="A17962" s="24"/>
      <c r="B17962" s="25"/>
      <c r="C17962" s="24"/>
      <c r="D17962" s="26"/>
      <c r="E17962" s="24"/>
      <c r="F17962" s="24"/>
      <c r="G17962" s="24"/>
      <c r="H17962" s="24"/>
      <c r="I17962" s="24"/>
      <c r="J17962" s="24"/>
      <c r="K17962" s="24"/>
      <c r="L17962" s="24"/>
      <c r="M17962" s="24"/>
      <c r="N17962" s="24"/>
      <c r="O17962" s="24"/>
      <c r="P17962" s="24"/>
      <c r="Q17962" s="24"/>
      <c r="R17962" s="24"/>
      <c r="S17962" s="24"/>
      <c r="T17962" s="24"/>
      <c r="U17962" s="24"/>
      <c r="V17962" s="24"/>
      <c r="W17962" s="24"/>
      <c r="X17962" s="24"/>
      <c r="Y17962" s="24"/>
      <c r="Z17962" s="24"/>
      <c r="AA17962" s="24"/>
    </row>
    <row r="17963">
      <c r="A17963" s="24"/>
      <c r="B17963" s="25"/>
      <c r="C17963" s="24"/>
      <c r="D17963" s="26"/>
      <c r="E17963" s="24"/>
      <c r="F17963" s="24"/>
      <c r="G17963" s="24"/>
      <c r="H17963" s="24"/>
      <c r="I17963" s="24"/>
      <c r="J17963" s="24"/>
      <c r="K17963" s="24"/>
      <c r="L17963" s="24"/>
      <c r="M17963" s="24"/>
      <c r="N17963" s="24"/>
      <c r="O17963" s="24"/>
      <c r="P17963" s="24"/>
      <c r="Q17963" s="24"/>
      <c r="R17963" s="24"/>
      <c r="S17963" s="24"/>
      <c r="T17963" s="24"/>
      <c r="U17963" s="24"/>
      <c r="V17963" s="24"/>
      <c r="W17963" s="24"/>
      <c r="X17963" s="24"/>
      <c r="Y17963" s="24"/>
      <c r="Z17963" s="24"/>
      <c r="AA17963" s="24"/>
    </row>
    <row r="17964">
      <c r="A17964" s="24"/>
      <c r="B17964" s="25"/>
      <c r="C17964" s="24"/>
      <c r="D17964" s="26"/>
      <c r="E17964" s="24"/>
      <c r="F17964" s="24"/>
      <c r="G17964" s="24"/>
      <c r="H17964" s="24"/>
      <c r="I17964" s="24"/>
      <c r="J17964" s="24"/>
      <c r="K17964" s="24"/>
      <c r="L17964" s="24"/>
      <c r="M17964" s="24"/>
      <c r="N17964" s="24"/>
      <c r="O17964" s="24"/>
      <c r="P17964" s="24"/>
      <c r="Q17964" s="24"/>
      <c r="R17964" s="24"/>
      <c r="S17964" s="24"/>
      <c r="T17964" s="24"/>
      <c r="U17964" s="24"/>
      <c r="V17964" s="24"/>
      <c r="W17964" s="24"/>
      <c r="X17964" s="24"/>
      <c r="Y17964" s="24"/>
      <c r="Z17964" s="24"/>
      <c r="AA17964" s="24"/>
    </row>
    <row r="17965">
      <c r="A17965" s="24"/>
      <c r="B17965" s="25"/>
      <c r="C17965" s="24"/>
      <c r="D17965" s="26"/>
      <c r="E17965" s="24"/>
      <c r="F17965" s="24"/>
      <c r="G17965" s="24"/>
      <c r="H17965" s="24"/>
      <c r="I17965" s="24"/>
      <c r="J17965" s="24"/>
      <c r="K17965" s="24"/>
      <c r="L17965" s="24"/>
      <c r="M17965" s="24"/>
      <c r="N17965" s="24"/>
      <c r="O17965" s="24"/>
      <c r="P17965" s="24"/>
      <c r="Q17965" s="24"/>
      <c r="R17965" s="24"/>
      <c r="S17965" s="24"/>
      <c r="T17965" s="24"/>
      <c r="U17965" s="24"/>
      <c r="V17965" s="24"/>
      <c r="W17965" s="24"/>
      <c r="X17965" s="24"/>
      <c r="Y17965" s="24"/>
      <c r="Z17965" s="24"/>
      <c r="AA17965" s="24"/>
    </row>
    <row r="17966">
      <c r="A17966" s="24"/>
      <c r="B17966" s="25"/>
      <c r="C17966" s="24"/>
      <c r="D17966" s="26"/>
      <c r="E17966" s="24"/>
      <c r="F17966" s="24"/>
      <c r="G17966" s="24"/>
      <c r="H17966" s="24"/>
      <c r="I17966" s="24"/>
      <c r="J17966" s="24"/>
      <c r="K17966" s="24"/>
      <c r="L17966" s="24"/>
      <c r="M17966" s="24"/>
      <c r="N17966" s="24"/>
      <c r="O17966" s="24"/>
      <c r="P17966" s="24"/>
      <c r="Q17966" s="24"/>
      <c r="R17966" s="24"/>
      <c r="S17966" s="24"/>
      <c r="T17966" s="24"/>
      <c r="U17966" s="24"/>
      <c r="V17966" s="24"/>
      <c r="W17966" s="24"/>
      <c r="X17966" s="24"/>
      <c r="Y17966" s="24"/>
      <c r="Z17966" s="24"/>
      <c r="AA17966" s="24"/>
    </row>
    <row r="17967">
      <c r="A17967" s="24"/>
      <c r="B17967" s="25"/>
      <c r="C17967" s="24"/>
      <c r="D17967" s="26"/>
      <c r="E17967" s="24"/>
      <c r="F17967" s="24"/>
      <c r="G17967" s="24"/>
      <c r="H17967" s="24"/>
      <c r="I17967" s="24"/>
      <c r="J17967" s="24"/>
      <c r="K17967" s="24"/>
      <c r="L17967" s="24"/>
      <c r="M17967" s="24"/>
      <c r="N17967" s="24"/>
      <c r="O17967" s="24"/>
      <c r="P17967" s="24"/>
      <c r="Q17967" s="24"/>
      <c r="R17967" s="24"/>
      <c r="S17967" s="24"/>
      <c r="T17967" s="24"/>
      <c r="U17967" s="24"/>
      <c r="V17967" s="24"/>
      <c r="W17967" s="24"/>
      <c r="X17967" s="24"/>
      <c r="Y17967" s="24"/>
      <c r="Z17967" s="24"/>
      <c r="AA17967" s="24"/>
    </row>
    <row r="17968">
      <c r="A17968" s="24"/>
      <c r="B17968" s="25"/>
      <c r="C17968" s="24"/>
      <c r="D17968" s="26"/>
      <c r="E17968" s="24"/>
      <c r="F17968" s="24"/>
      <c r="G17968" s="24"/>
      <c r="H17968" s="24"/>
      <c r="I17968" s="24"/>
      <c r="J17968" s="24"/>
      <c r="K17968" s="24"/>
      <c r="L17968" s="24"/>
      <c r="M17968" s="24"/>
      <c r="N17968" s="24"/>
      <c r="O17968" s="24"/>
      <c r="P17968" s="24"/>
      <c r="Q17968" s="24"/>
      <c r="R17968" s="24"/>
      <c r="S17968" s="24"/>
      <c r="T17968" s="24"/>
      <c r="U17968" s="24"/>
      <c r="V17968" s="24"/>
      <c r="W17968" s="24"/>
      <c r="X17968" s="24"/>
      <c r="Y17968" s="24"/>
      <c r="Z17968" s="24"/>
      <c r="AA17968" s="24"/>
    </row>
    <row r="17969">
      <c r="A17969" s="24"/>
      <c r="B17969" s="25"/>
      <c r="C17969" s="24"/>
      <c r="D17969" s="26"/>
      <c r="E17969" s="24"/>
      <c r="F17969" s="24"/>
      <c r="G17969" s="24"/>
      <c r="H17969" s="24"/>
      <c r="I17969" s="24"/>
      <c r="J17969" s="24"/>
      <c r="K17969" s="24"/>
      <c r="L17969" s="24"/>
      <c r="M17969" s="24"/>
      <c r="N17969" s="24"/>
      <c r="O17969" s="24"/>
      <c r="P17969" s="24"/>
      <c r="Q17969" s="24"/>
      <c r="R17969" s="24"/>
      <c r="S17969" s="24"/>
      <c r="T17969" s="24"/>
      <c r="U17969" s="24"/>
      <c r="V17969" s="24"/>
      <c r="W17969" s="24"/>
      <c r="X17969" s="24"/>
      <c r="Y17969" s="24"/>
      <c r="Z17969" s="24"/>
      <c r="AA17969" s="24"/>
    </row>
    <row r="17970">
      <c r="A17970" s="24"/>
      <c r="B17970" s="25"/>
      <c r="C17970" s="24"/>
      <c r="D17970" s="26"/>
      <c r="E17970" s="24"/>
      <c r="F17970" s="24"/>
      <c r="G17970" s="24"/>
      <c r="H17970" s="24"/>
      <c r="I17970" s="24"/>
      <c r="J17970" s="24"/>
      <c r="K17970" s="24"/>
      <c r="L17970" s="24"/>
      <c r="M17970" s="24"/>
      <c r="N17970" s="24"/>
      <c r="O17970" s="24"/>
      <c r="P17970" s="24"/>
      <c r="Q17970" s="24"/>
      <c r="R17970" s="24"/>
      <c r="S17970" s="24"/>
      <c r="T17970" s="24"/>
      <c r="U17970" s="24"/>
      <c r="V17970" s="24"/>
      <c r="W17970" s="24"/>
      <c r="X17970" s="24"/>
      <c r="Y17970" s="24"/>
      <c r="Z17970" s="24"/>
      <c r="AA17970" s="24"/>
    </row>
    <row r="17971">
      <c r="A17971" s="24"/>
      <c r="B17971" s="25"/>
      <c r="C17971" s="24"/>
      <c r="D17971" s="26"/>
      <c r="E17971" s="24"/>
      <c r="F17971" s="24"/>
      <c r="G17971" s="24"/>
      <c r="H17971" s="24"/>
      <c r="I17971" s="24"/>
      <c r="J17971" s="24"/>
      <c r="K17971" s="24"/>
      <c r="L17971" s="24"/>
      <c r="M17971" s="24"/>
      <c r="N17971" s="24"/>
      <c r="O17971" s="24"/>
      <c r="P17971" s="24"/>
      <c r="Q17971" s="24"/>
      <c r="R17971" s="24"/>
      <c r="S17971" s="24"/>
      <c r="T17971" s="24"/>
      <c r="U17971" s="24"/>
      <c r="V17971" s="24"/>
      <c r="W17971" s="24"/>
      <c r="X17971" s="24"/>
      <c r="Y17971" s="24"/>
      <c r="Z17971" s="24"/>
      <c r="AA17971" s="24"/>
    </row>
    <row r="17972">
      <c r="A17972" s="24"/>
      <c r="B17972" s="25"/>
      <c r="C17972" s="24"/>
      <c r="D17972" s="26"/>
      <c r="E17972" s="24"/>
      <c r="F17972" s="24"/>
      <c r="G17972" s="24"/>
      <c r="H17972" s="24"/>
      <c r="I17972" s="24"/>
      <c r="J17972" s="24"/>
      <c r="K17972" s="24"/>
      <c r="L17972" s="24"/>
      <c r="M17972" s="24"/>
      <c r="N17972" s="24"/>
      <c r="O17972" s="24"/>
      <c r="P17972" s="24"/>
      <c r="Q17972" s="24"/>
      <c r="R17972" s="24"/>
      <c r="S17972" s="24"/>
      <c r="T17972" s="24"/>
      <c r="U17972" s="24"/>
      <c r="V17972" s="24"/>
      <c r="W17972" s="24"/>
      <c r="X17972" s="24"/>
      <c r="Y17972" s="24"/>
      <c r="Z17972" s="24"/>
      <c r="AA17972" s="24"/>
    </row>
    <row r="17973">
      <c r="A17973" s="24"/>
      <c r="B17973" s="25"/>
      <c r="C17973" s="24"/>
      <c r="D17973" s="26"/>
      <c r="E17973" s="24"/>
      <c r="F17973" s="24"/>
      <c r="G17973" s="24"/>
      <c r="H17973" s="24"/>
      <c r="I17973" s="24"/>
      <c r="J17973" s="24"/>
      <c r="K17973" s="24"/>
      <c r="L17973" s="24"/>
      <c r="M17973" s="24"/>
      <c r="N17973" s="24"/>
      <c r="O17973" s="24"/>
      <c r="P17973" s="24"/>
      <c r="Q17973" s="24"/>
      <c r="R17973" s="24"/>
      <c r="S17973" s="24"/>
      <c r="T17973" s="24"/>
      <c r="U17973" s="24"/>
      <c r="V17973" s="24"/>
      <c r="W17973" s="24"/>
      <c r="X17973" s="24"/>
      <c r="Y17973" s="24"/>
      <c r="Z17973" s="24"/>
      <c r="AA17973" s="24"/>
    </row>
    <row r="17974">
      <c r="A17974" s="24"/>
      <c r="B17974" s="25"/>
      <c r="C17974" s="24"/>
      <c r="D17974" s="26"/>
      <c r="E17974" s="24"/>
      <c r="F17974" s="24"/>
      <c r="G17974" s="24"/>
      <c r="H17974" s="24"/>
      <c r="I17974" s="24"/>
      <c r="J17974" s="24"/>
      <c r="K17974" s="24"/>
      <c r="L17974" s="24"/>
      <c r="M17974" s="24"/>
      <c r="N17974" s="24"/>
      <c r="O17974" s="24"/>
      <c r="P17974" s="24"/>
      <c r="Q17974" s="24"/>
      <c r="R17974" s="24"/>
      <c r="S17974" s="24"/>
      <c r="T17974" s="24"/>
      <c r="U17974" s="24"/>
      <c r="V17974" s="24"/>
      <c r="W17974" s="24"/>
      <c r="X17974" s="24"/>
      <c r="Y17974" s="24"/>
      <c r="Z17974" s="24"/>
      <c r="AA17974" s="24"/>
    </row>
    <row r="17975">
      <c r="A17975" s="24"/>
      <c r="B17975" s="25"/>
      <c r="C17975" s="24"/>
      <c r="D17975" s="26"/>
      <c r="E17975" s="24"/>
      <c r="F17975" s="24"/>
      <c r="G17975" s="24"/>
      <c r="H17975" s="24"/>
      <c r="I17975" s="24"/>
      <c r="J17975" s="24"/>
      <c r="K17975" s="24"/>
      <c r="L17975" s="24"/>
      <c r="M17975" s="24"/>
      <c r="N17975" s="24"/>
      <c r="O17975" s="24"/>
      <c r="P17975" s="24"/>
      <c r="Q17975" s="24"/>
      <c r="R17975" s="24"/>
      <c r="S17975" s="24"/>
      <c r="T17975" s="24"/>
      <c r="U17975" s="24"/>
      <c r="V17975" s="24"/>
      <c r="W17975" s="24"/>
      <c r="X17975" s="24"/>
      <c r="Y17975" s="24"/>
      <c r="Z17975" s="24"/>
      <c r="AA17975" s="24"/>
    </row>
    <row r="17976">
      <c r="A17976" s="24"/>
      <c r="B17976" s="25"/>
      <c r="C17976" s="24"/>
      <c r="D17976" s="26"/>
      <c r="E17976" s="24"/>
      <c r="F17976" s="24"/>
      <c r="G17976" s="24"/>
      <c r="H17976" s="24"/>
      <c r="I17976" s="24"/>
      <c r="J17976" s="24"/>
      <c r="K17976" s="24"/>
      <c r="L17976" s="24"/>
      <c r="M17976" s="24"/>
      <c r="N17976" s="24"/>
      <c r="O17976" s="24"/>
      <c r="P17976" s="24"/>
      <c r="Q17976" s="24"/>
      <c r="R17976" s="24"/>
      <c r="S17976" s="24"/>
      <c r="T17976" s="24"/>
      <c r="U17976" s="24"/>
      <c r="V17976" s="24"/>
      <c r="W17976" s="24"/>
      <c r="X17976" s="24"/>
      <c r="Y17976" s="24"/>
      <c r="Z17976" s="24"/>
      <c r="AA17976" s="24"/>
    </row>
    <row r="17977">
      <c r="A17977" s="24"/>
      <c r="B17977" s="25"/>
      <c r="C17977" s="24"/>
      <c r="D17977" s="26"/>
      <c r="E17977" s="24"/>
      <c r="F17977" s="24"/>
      <c r="G17977" s="24"/>
      <c r="H17977" s="24"/>
      <c r="I17977" s="24"/>
      <c r="J17977" s="24"/>
      <c r="K17977" s="24"/>
      <c r="L17977" s="24"/>
      <c r="M17977" s="24"/>
      <c r="N17977" s="24"/>
      <c r="O17977" s="24"/>
      <c r="P17977" s="24"/>
      <c r="Q17977" s="24"/>
      <c r="R17977" s="24"/>
      <c r="S17977" s="24"/>
      <c r="T17977" s="24"/>
      <c r="U17977" s="24"/>
      <c r="V17977" s="24"/>
      <c r="W17977" s="24"/>
      <c r="X17977" s="24"/>
      <c r="Y17977" s="24"/>
      <c r="Z17977" s="24"/>
      <c r="AA17977" s="24"/>
    </row>
    <row r="17978">
      <c r="A17978" s="24"/>
      <c r="B17978" s="25"/>
      <c r="C17978" s="24"/>
      <c r="D17978" s="26"/>
      <c r="E17978" s="24"/>
      <c r="F17978" s="24"/>
      <c r="G17978" s="24"/>
      <c r="H17978" s="24"/>
      <c r="I17978" s="24"/>
      <c r="J17978" s="24"/>
      <c r="K17978" s="24"/>
      <c r="L17978" s="24"/>
      <c r="M17978" s="24"/>
      <c r="N17978" s="24"/>
      <c r="O17978" s="24"/>
      <c r="P17978" s="24"/>
      <c r="Q17978" s="24"/>
      <c r="R17978" s="24"/>
      <c r="S17978" s="24"/>
      <c r="T17978" s="24"/>
      <c r="U17978" s="24"/>
      <c r="V17978" s="24"/>
      <c r="W17978" s="24"/>
      <c r="X17978" s="24"/>
      <c r="Y17978" s="24"/>
      <c r="Z17978" s="24"/>
      <c r="AA17978" s="24"/>
    </row>
    <row r="17979">
      <c r="A17979" s="24"/>
      <c r="B17979" s="25"/>
      <c r="C17979" s="24"/>
      <c r="D17979" s="26"/>
      <c r="E17979" s="24"/>
      <c r="F17979" s="24"/>
      <c r="G17979" s="24"/>
      <c r="H17979" s="24"/>
      <c r="I17979" s="24"/>
      <c r="J17979" s="24"/>
      <c r="K17979" s="24"/>
      <c r="L17979" s="24"/>
      <c r="M17979" s="24"/>
      <c r="N17979" s="24"/>
      <c r="O17979" s="24"/>
      <c r="P17979" s="24"/>
      <c r="Q17979" s="24"/>
      <c r="R17979" s="24"/>
      <c r="S17979" s="24"/>
      <c r="T17979" s="24"/>
      <c r="U17979" s="24"/>
      <c r="V17979" s="24"/>
      <c r="W17979" s="24"/>
      <c r="X17979" s="24"/>
      <c r="Y17979" s="24"/>
      <c r="Z17979" s="24"/>
      <c r="AA17979" s="24"/>
    </row>
    <row r="17980">
      <c r="A17980" s="24"/>
      <c r="B17980" s="25"/>
      <c r="C17980" s="24"/>
      <c r="D17980" s="26"/>
      <c r="E17980" s="24"/>
      <c r="F17980" s="24"/>
      <c r="G17980" s="24"/>
      <c r="H17980" s="24"/>
      <c r="I17980" s="24"/>
      <c r="J17980" s="24"/>
      <c r="K17980" s="24"/>
      <c r="L17980" s="24"/>
      <c r="M17980" s="24"/>
      <c r="N17980" s="24"/>
      <c r="O17980" s="24"/>
      <c r="P17980" s="24"/>
      <c r="Q17980" s="24"/>
      <c r="R17980" s="24"/>
      <c r="S17980" s="24"/>
      <c r="T17980" s="24"/>
      <c r="U17980" s="24"/>
      <c r="V17980" s="24"/>
      <c r="W17980" s="24"/>
      <c r="X17980" s="24"/>
      <c r="Y17980" s="24"/>
      <c r="Z17980" s="24"/>
      <c r="AA17980" s="24"/>
    </row>
    <row r="17981">
      <c r="A17981" s="24"/>
      <c r="B17981" s="25"/>
      <c r="C17981" s="24"/>
      <c r="D17981" s="26"/>
      <c r="E17981" s="24"/>
      <c r="F17981" s="24"/>
      <c r="G17981" s="24"/>
      <c r="H17981" s="24"/>
      <c r="I17981" s="24"/>
      <c r="J17981" s="24"/>
      <c r="K17981" s="24"/>
      <c r="L17981" s="24"/>
      <c r="M17981" s="24"/>
      <c r="N17981" s="24"/>
      <c r="O17981" s="24"/>
      <c r="P17981" s="24"/>
      <c r="Q17981" s="24"/>
      <c r="R17981" s="24"/>
      <c r="S17981" s="24"/>
      <c r="T17981" s="24"/>
      <c r="U17981" s="24"/>
      <c r="V17981" s="24"/>
      <c r="W17981" s="24"/>
      <c r="X17981" s="24"/>
      <c r="Y17981" s="24"/>
      <c r="Z17981" s="24"/>
      <c r="AA17981" s="24"/>
    </row>
    <row r="17982">
      <c r="A17982" s="24"/>
      <c r="B17982" s="25"/>
      <c r="C17982" s="24"/>
      <c r="D17982" s="26"/>
      <c r="E17982" s="24"/>
      <c r="F17982" s="24"/>
      <c r="G17982" s="24"/>
      <c r="H17982" s="24"/>
      <c r="I17982" s="24"/>
      <c r="J17982" s="24"/>
      <c r="K17982" s="24"/>
      <c r="L17982" s="24"/>
      <c r="M17982" s="24"/>
      <c r="N17982" s="24"/>
      <c r="O17982" s="24"/>
      <c r="P17982" s="24"/>
      <c r="Q17982" s="24"/>
      <c r="R17982" s="24"/>
      <c r="S17982" s="24"/>
      <c r="T17982" s="24"/>
      <c r="U17982" s="24"/>
      <c r="V17982" s="24"/>
      <c r="W17982" s="24"/>
      <c r="X17982" s="24"/>
      <c r="Y17982" s="24"/>
      <c r="Z17982" s="24"/>
      <c r="AA17982" s="24"/>
    </row>
    <row r="17983">
      <c r="A17983" s="24"/>
      <c r="B17983" s="25"/>
      <c r="C17983" s="24"/>
      <c r="D17983" s="26"/>
      <c r="E17983" s="24"/>
      <c r="F17983" s="24"/>
      <c r="G17983" s="24"/>
      <c r="H17983" s="24"/>
      <c r="I17983" s="24"/>
      <c r="J17983" s="24"/>
      <c r="K17983" s="24"/>
      <c r="L17983" s="24"/>
      <c r="M17983" s="24"/>
      <c r="N17983" s="24"/>
      <c r="O17983" s="24"/>
      <c r="P17983" s="24"/>
      <c r="Q17983" s="24"/>
      <c r="R17983" s="24"/>
      <c r="S17983" s="24"/>
      <c r="T17983" s="24"/>
      <c r="U17983" s="24"/>
      <c r="V17983" s="24"/>
      <c r="W17983" s="24"/>
      <c r="X17983" s="24"/>
      <c r="Y17983" s="24"/>
      <c r="Z17983" s="24"/>
      <c r="AA17983" s="24"/>
    </row>
    <row r="17984">
      <c r="A17984" s="24"/>
      <c r="B17984" s="25"/>
      <c r="C17984" s="24"/>
      <c r="D17984" s="26"/>
      <c r="E17984" s="24"/>
      <c r="F17984" s="24"/>
      <c r="G17984" s="24"/>
      <c r="H17984" s="24"/>
      <c r="I17984" s="24"/>
      <c r="J17984" s="24"/>
      <c r="K17984" s="24"/>
      <c r="L17984" s="24"/>
      <c r="M17984" s="24"/>
      <c r="N17984" s="24"/>
      <c r="O17984" s="24"/>
      <c r="P17984" s="24"/>
      <c r="Q17984" s="24"/>
      <c r="R17984" s="24"/>
      <c r="S17984" s="24"/>
      <c r="T17984" s="24"/>
      <c r="U17984" s="24"/>
      <c r="V17984" s="24"/>
      <c r="W17984" s="24"/>
      <c r="X17984" s="24"/>
      <c r="Y17984" s="24"/>
      <c r="Z17984" s="24"/>
      <c r="AA17984" s="24"/>
    </row>
    <row r="17985">
      <c r="A17985" s="24"/>
      <c r="B17985" s="25"/>
      <c r="C17985" s="24"/>
      <c r="D17985" s="26"/>
      <c r="E17985" s="24"/>
      <c r="F17985" s="24"/>
      <c r="G17985" s="24"/>
      <c r="H17985" s="24"/>
      <c r="I17985" s="24"/>
      <c r="J17985" s="24"/>
      <c r="K17985" s="24"/>
      <c r="L17985" s="24"/>
      <c r="M17985" s="24"/>
      <c r="N17985" s="24"/>
      <c r="O17985" s="24"/>
      <c r="P17985" s="24"/>
      <c r="Q17985" s="24"/>
      <c r="R17985" s="24"/>
      <c r="S17985" s="24"/>
      <c r="T17985" s="24"/>
      <c r="U17985" s="24"/>
      <c r="V17985" s="24"/>
      <c r="W17985" s="24"/>
      <c r="X17985" s="24"/>
      <c r="Y17985" s="24"/>
      <c r="Z17985" s="24"/>
      <c r="AA17985" s="24"/>
    </row>
    <row r="17986">
      <c r="A17986" s="24"/>
      <c r="B17986" s="25"/>
      <c r="C17986" s="24"/>
      <c r="D17986" s="26"/>
      <c r="E17986" s="24"/>
      <c r="F17986" s="24"/>
      <c r="G17986" s="24"/>
      <c r="H17986" s="24"/>
      <c r="I17986" s="24"/>
      <c r="J17986" s="24"/>
      <c r="K17986" s="24"/>
      <c r="L17986" s="24"/>
      <c r="M17986" s="24"/>
      <c r="N17986" s="24"/>
      <c r="O17986" s="24"/>
      <c r="P17986" s="24"/>
      <c r="Q17986" s="24"/>
      <c r="R17986" s="24"/>
      <c r="S17986" s="24"/>
      <c r="T17986" s="24"/>
      <c r="U17986" s="24"/>
      <c r="V17986" s="24"/>
      <c r="W17986" s="24"/>
      <c r="X17986" s="24"/>
      <c r="Y17986" s="24"/>
      <c r="Z17986" s="24"/>
      <c r="AA17986" s="24"/>
    </row>
    <row r="17987">
      <c r="A17987" s="24"/>
      <c r="B17987" s="25"/>
      <c r="C17987" s="24"/>
      <c r="D17987" s="26"/>
      <c r="E17987" s="24"/>
      <c r="F17987" s="24"/>
      <c r="G17987" s="24"/>
      <c r="H17987" s="24"/>
      <c r="I17987" s="24"/>
      <c r="J17987" s="24"/>
      <c r="K17987" s="24"/>
      <c r="L17987" s="24"/>
      <c r="M17987" s="24"/>
      <c r="N17987" s="24"/>
      <c r="O17987" s="24"/>
      <c r="P17987" s="24"/>
      <c r="Q17987" s="24"/>
      <c r="R17987" s="24"/>
      <c r="S17987" s="24"/>
      <c r="T17987" s="24"/>
      <c r="U17987" s="24"/>
      <c r="V17987" s="24"/>
      <c r="W17987" s="24"/>
      <c r="X17987" s="24"/>
      <c r="Y17987" s="24"/>
      <c r="Z17987" s="24"/>
      <c r="AA17987" s="24"/>
    </row>
    <row r="17988">
      <c r="A17988" s="24"/>
      <c r="B17988" s="25"/>
      <c r="C17988" s="24"/>
      <c r="D17988" s="26"/>
      <c r="E17988" s="24"/>
      <c r="F17988" s="24"/>
      <c r="G17988" s="24"/>
      <c r="H17988" s="24"/>
      <c r="I17988" s="24"/>
      <c r="J17988" s="24"/>
      <c r="K17988" s="24"/>
      <c r="L17988" s="24"/>
      <c r="M17988" s="24"/>
      <c r="N17988" s="24"/>
      <c r="O17988" s="24"/>
      <c r="P17988" s="24"/>
      <c r="Q17988" s="24"/>
      <c r="R17988" s="24"/>
      <c r="S17988" s="24"/>
      <c r="T17988" s="24"/>
      <c r="U17988" s="24"/>
      <c r="V17988" s="24"/>
      <c r="W17988" s="24"/>
      <c r="X17988" s="24"/>
      <c r="Y17988" s="24"/>
      <c r="Z17988" s="24"/>
      <c r="AA17988" s="24"/>
    </row>
    <row r="17989">
      <c r="A17989" s="24"/>
      <c r="B17989" s="25"/>
      <c r="C17989" s="24"/>
      <c r="D17989" s="26"/>
      <c r="E17989" s="24"/>
      <c r="F17989" s="24"/>
      <c r="G17989" s="24"/>
      <c r="H17989" s="24"/>
      <c r="I17989" s="24"/>
      <c r="J17989" s="24"/>
      <c r="K17989" s="24"/>
      <c r="L17989" s="24"/>
      <c r="M17989" s="24"/>
      <c r="N17989" s="24"/>
      <c r="O17989" s="24"/>
      <c r="P17989" s="24"/>
      <c r="Q17989" s="24"/>
      <c r="R17989" s="24"/>
      <c r="S17989" s="24"/>
      <c r="T17989" s="24"/>
      <c r="U17989" s="24"/>
      <c r="V17989" s="24"/>
      <c r="W17989" s="24"/>
      <c r="X17989" s="24"/>
      <c r="Y17989" s="24"/>
      <c r="Z17989" s="24"/>
      <c r="AA17989" s="24"/>
    </row>
    <row r="17990">
      <c r="A17990" s="24"/>
      <c r="B17990" s="25"/>
      <c r="C17990" s="24"/>
      <c r="D17990" s="26"/>
      <c r="E17990" s="24"/>
      <c r="F17990" s="24"/>
      <c r="G17990" s="24"/>
      <c r="H17990" s="24"/>
      <c r="I17990" s="24"/>
      <c r="J17990" s="24"/>
      <c r="K17990" s="24"/>
      <c r="L17990" s="24"/>
      <c r="M17990" s="24"/>
      <c r="N17990" s="24"/>
      <c r="O17990" s="24"/>
      <c r="P17990" s="24"/>
      <c r="Q17990" s="24"/>
      <c r="R17990" s="24"/>
      <c r="S17990" s="24"/>
      <c r="T17990" s="24"/>
      <c r="U17990" s="24"/>
      <c r="V17990" s="24"/>
      <c r="W17990" s="24"/>
      <c r="X17990" s="24"/>
      <c r="Y17990" s="24"/>
      <c r="Z17990" s="24"/>
      <c r="AA17990" s="24"/>
    </row>
    <row r="17991">
      <c r="A17991" s="24"/>
      <c r="B17991" s="25"/>
      <c r="C17991" s="24"/>
      <c r="D17991" s="26"/>
      <c r="E17991" s="24"/>
      <c r="F17991" s="24"/>
      <c r="G17991" s="24"/>
      <c r="H17991" s="24"/>
      <c r="I17991" s="24"/>
      <c r="J17991" s="24"/>
      <c r="K17991" s="24"/>
      <c r="L17991" s="24"/>
      <c r="M17991" s="24"/>
      <c r="N17991" s="24"/>
      <c r="O17991" s="24"/>
      <c r="P17991" s="24"/>
      <c r="Q17991" s="24"/>
      <c r="R17991" s="24"/>
      <c r="S17991" s="24"/>
      <c r="T17991" s="24"/>
      <c r="U17991" s="24"/>
      <c r="V17991" s="24"/>
      <c r="W17991" s="24"/>
      <c r="X17991" s="24"/>
      <c r="Y17991" s="24"/>
      <c r="Z17991" s="24"/>
      <c r="AA17991" s="24"/>
    </row>
    <row r="17992">
      <c r="A17992" s="24"/>
      <c r="B17992" s="25"/>
      <c r="C17992" s="24"/>
      <c r="D17992" s="26"/>
      <c r="E17992" s="24"/>
      <c r="F17992" s="24"/>
      <c r="G17992" s="24"/>
      <c r="H17992" s="24"/>
      <c r="I17992" s="24"/>
      <c r="J17992" s="24"/>
      <c r="K17992" s="24"/>
      <c r="L17992" s="24"/>
      <c r="M17992" s="24"/>
      <c r="N17992" s="24"/>
      <c r="O17992" s="24"/>
      <c r="P17992" s="24"/>
      <c r="Q17992" s="24"/>
      <c r="R17992" s="24"/>
      <c r="S17992" s="24"/>
      <c r="T17992" s="24"/>
      <c r="U17992" s="24"/>
      <c r="V17992" s="24"/>
      <c r="W17992" s="24"/>
      <c r="X17992" s="24"/>
      <c r="Y17992" s="24"/>
      <c r="Z17992" s="24"/>
      <c r="AA17992" s="24"/>
    </row>
    <row r="17993">
      <c r="A17993" s="24"/>
      <c r="B17993" s="25"/>
      <c r="C17993" s="24"/>
      <c r="D17993" s="26"/>
      <c r="E17993" s="24"/>
      <c r="F17993" s="24"/>
      <c r="G17993" s="24"/>
      <c r="H17993" s="24"/>
      <c r="I17993" s="24"/>
      <c r="J17993" s="24"/>
      <c r="K17993" s="24"/>
      <c r="L17993" s="24"/>
      <c r="M17993" s="24"/>
      <c r="N17993" s="24"/>
      <c r="O17993" s="24"/>
      <c r="P17993" s="24"/>
      <c r="Q17993" s="24"/>
      <c r="R17993" s="24"/>
      <c r="S17993" s="24"/>
      <c r="T17993" s="24"/>
      <c r="U17993" s="24"/>
      <c r="V17993" s="24"/>
      <c r="W17993" s="24"/>
      <c r="X17993" s="24"/>
      <c r="Y17993" s="24"/>
      <c r="Z17993" s="24"/>
      <c r="AA17993" s="24"/>
    </row>
    <row r="17994">
      <c r="A17994" s="24"/>
      <c r="B17994" s="25"/>
      <c r="C17994" s="24"/>
      <c r="D17994" s="26"/>
      <c r="E17994" s="24"/>
      <c r="F17994" s="24"/>
      <c r="G17994" s="24"/>
      <c r="H17994" s="24"/>
      <c r="I17994" s="24"/>
      <c r="J17994" s="24"/>
      <c r="K17994" s="24"/>
      <c r="L17994" s="24"/>
      <c r="M17994" s="24"/>
      <c r="N17994" s="24"/>
      <c r="O17994" s="24"/>
      <c r="P17994" s="24"/>
      <c r="Q17994" s="24"/>
      <c r="R17994" s="24"/>
      <c r="S17994" s="24"/>
      <c r="T17994" s="24"/>
      <c r="U17994" s="24"/>
      <c r="V17994" s="24"/>
      <c r="W17994" s="24"/>
      <c r="X17994" s="24"/>
      <c r="Y17994" s="24"/>
      <c r="Z17994" s="24"/>
      <c r="AA17994" s="24"/>
    </row>
    <row r="17995">
      <c r="A17995" s="24"/>
      <c r="B17995" s="25"/>
      <c r="C17995" s="24"/>
      <c r="D17995" s="26"/>
      <c r="E17995" s="24"/>
      <c r="F17995" s="24"/>
      <c r="G17995" s="24"/>
      <c r="H17995" s="24"/>
      <c r="I17995" s="24"/>
      <c r="J17995" s="24"/>
      <c r="K17995" s="24"/>
      <c r="L17995" s="24"/>
      <c r="M17995" s="24"/>
      <c r="N17995" s="24"/>
      <c r="O17995" s="24"/>
      <c r="P17995" s="24"/>
      <c r="Q17995" s="24"/>
      <c r="R17995" s="24"/>
      <c r="S17995" s="24"/>
      <c r="T17995" s="24"/>
      <c r="U17995" s="24"/>
      <c r="V17995" s="24"/>
      <c r="W17995" s="24"/>
      <c r="X17995" s="24"/>
      <c r="Y17995" s="24"/>
      <c r="Z17995" s="24"/>
      <c r="AA17995" s="24"/>
    </row>
    <row r="17996">
      <c r="A17996" s="24"/>
      <c r="B17996" s="25"/>
      <c r="C17996" s="24"/>
      <c r="D17996" s="26"/>
      <c r="E17996" s="24"/>
      <c r="F17996" s="24"/>
      <c r="G17996" s="24"/>
      <c r="H17996" s="24"/>
      <c r="I17996" s="24"/>
      <c r="J17996" s="24"/>
      <c r="K17996" s="24"/>
      <c r="L17996" s="24"/>
      <c r="M17996" s="24"/>
      <c r="N17996" s="24"/>
      <c r="O17996" s="24"/>
      <c r="P17996" s="24"/>
      <c r="Q17996" s="24"/>
      <c r="R17996" s="24"/>
      <c r="S17996" s="24"/>
      <c r="T17996" s="24"/>
      <c r="U17996" s="24"/>
      <c r="V17996" s="24"/>
      <c r="W17996" s="24"/>
      <c r="X17996" s="24"/>
      <c r="Y17996" s="24"/>
      <c r="Z17996" s="24"/>
      <c r="AA17996" s="24"/>
    </row>
    <row r="17997">
      <c r="A17997" s="24"/>
      <c r="B17997" s="25"/>
      <c r="C17997" s="24"/>
      <c r="D17997" s="26"/>
      <c r="E17997" s="24"/>
      <c r="F17997" s="24"/>
      <c r="G17997" s="24"/>
      <c r="H17997" s="24"/>
      <c r="I17997" s="24"/>
      <c r="J17997" s="24"/>
      <c r="K17997" s="24"/>
      <c r="L17997" s="24"/>
      <c r="M17997" s="24"/>
      <c r="N17997" s="24"/>
      <c r="O17997" s="24"/>
      <c r="P17997" s="24"/>
      <c r="Q17997" s="24"/>
      <c r="R17997" s="24"/>
      <c r="S17997" s="24"/>
      <c r="T17997" s="24"/>
      <c r="U17997" s="24"/>
      <c r="V17997" s="24"/>
      <c r="W17997" s="24"/>
      <c r="X17997" s="24"/>
      <c r="Y17997" s="24"/>
      <c r="Z17997" s="24"/>
      <c r="AA17997" s="24"/>
    </row>
    <row r="17998">
      <c r="A17998" s="24"/>
      <c r="B17998" s="25"/>
      <c r="C17998" s="24"/>
      <c r="D17998" s="26"/>
      <c r="E17998" s="24"/>
      <c r="F17998" s="24"/>
      <c r="G17998" s="24"/>
      <c r="H17998" s="24"/>
      <c r="I17998" s="24"/>
      <c r="J17998" s="24"/>
      <c r="K17998" s="24"/>
      <c r="L17998" s="24"/>
      <c r="M17998" s="24"/>
      <c r="N17998" s="24"/>
      <c r="O17998" s="24"/>
      <c r="P17998" s="24"/>
      <c r="Q17998" s="24"/>
      <c r="R17998" s="24"/>
      <c r="S17998" s="24"/>
      <c r="T17998" s="24"/>
      <c r="U17998" s="24"/>
      <c r="V17998" s="24"/>
      <c r="W17998" s="24"/>
      <c r="X17998" s="24"/>
      <c r="Y17998" s="24"/>
      <c r="Z17998" s="24"/>
      <c r="AA17998" s="24"/>
    </row>
    <row r="17999">
      <c r="A17999" s="24"/>
      <c r="B17999" s="25"/>
      <c r="C17999" s="24"/>
      <c r="D17999" s="26"/>
      <c r="E17999" s="24"/>
      <c r="F17999" s="24"/>
      <c r="G17999" s="24"/>
      <c r="H17999" s="24"/>
      <c r="I17999" s="24"/>
      <c r="J17999" s="24"/>
      <c r="K17999" s="24"/>
      <c r="L17999" s="24"/>
      <c r="M17999" s="24"/>
      <c r="N17999" s="24"/>
      <c r="O17999" s="24"/>
      <c r="P17999" s="24"/>
      <c r="Q17999" s="24"/>
      <c r="R17999" s="24"/>
      <c r="S17999" s="24"/>
      <c r="T17999" s="24"/>
      <c r="U17999" s="24"/>
      <c r="V17999" s="24"/>
      <c r="W17999" s="24"/>
      <c r="X17999" s="24"/>
      <c r="Y17999" s="24"/>
      <c r="Z17999" s="24"/>
      <c r="AA17999" s="24"/>
    </row>
    <row r="18000">
      <c r="A18000" s="24"/>
      <c r="B18000" s="25"/>
      <c r="C18000" s="24"/>
      <c r="D18000" s="26"/>
      <c r="E18000" s="24"/>
      <c r="F18000" s="24"/>
      <c r="G18000" s="24"/>
      <c r="H18000" s="24"/>
      <c r="I18000" s="24"/>
      <c r="J18000" s="24"/>
      <c r="K18000" s="24"/>
      <c r="L18000" s="24"/>
      <c r="M18000" s="24"/>
      <c r="N18000" s="24"/>
      <c r="O18000" s="24"/>
      <c r="P18000" s="24"/>
      <c r="Q18000" s="24"/>
      <c r="R18000" s="24"/>
      <c r="S18000" s="24"/>
      <c r="T18000" s="24"/>
      <c r="U18000" s="24"/>
      <c r="V18000" s="24"/>
      <c r="W18000" s="24"/>
      <c r="X18000" s="24"/>
      <c r="Y18000" s="24"/>
      <c r="Z18000" s="24"/>
      <c r="AA18000" s="24"/>
    </row>
    <row r="18001">
      <c r="A18001" s="24"/>
      <c r="B18001" s="25"/>
      <c r="C18001" s="24"/>
      <c r="D18001" s="26"/>
      <c r="E18001" s="24"/>
      <c r="F18001" s="24"/>
      <c r="G18001" s="24"/>
      <c r="H18001" s="24"/>
      <c r="I18001" s="24"/>
      <c r="J18001" s="24"/>
      <c r="K18001" s="24"/>
      <c r="L18001" s="24"/>
      <c r="M18001" s="24"/>
      <c r="N18001" s="24"/>
      <c r="O18001" s="24"/>
      <c r="P18001" s="24"/>
      <c r="Q18001" s="24"/>
      <c r="R18001" s="24"/>
      <c r="S18001" s="24"/>
      <c r="T18001" s="24"/>
      <c r="U18001" s="24"/>
      <c r="V18001" s="24"/>
      <c r="W18001" s="24"/>
      <c r="X18001" s="24"/>
      <c r="Y18001" s="24"/>
      <c r="Z18001" s="24"/>
      <c r="AA18001" s="24"/>
    </row>
    <row r="18002">
      <c r="A18002" s="24"/>
      <c r="B18002" s="25"/>
      <c r="C18002" s="24"/>
      <c r="D18002" s="26"/>
      <c r="E18002" s="24"/>
      <c r="F18002" s="24"/>
      <c r="G18002" s="24"/>
      <c r="H18002" s="24"/>
      <c r="I18002" s="24"/>
      <c r="J18002" s="24"/>
      <c r="K18002" s="24"/>
      <c r="L18002" s="24"/>
      <c r="M18002" s="24"/>
      <c r="N18002" s="24"/>
      <c r="O18002" s="24"/>
      <c r="P18002" s="24"/>
      <c r="Q18002" s="24"/>
      <c r="R18002" s="24"/>
      <c r="S18002" s="24"/>
      <c r="T18002" s="24"/>
      <c r="U18002" s="24"/>
      <c r="V18002" s="24"/>
      <c r="W18002" s="24"/>
      <c r="X18002" s="24"/>
      <c r="Y18002" s="24"/>
      <c r="Z18002" s="24"/>
      <c r="AA18002" s="24"/>
    </row>
    <row r="18003">
      <c r="A18003" s="24"/>
      <c r="B18003" s="25"/>
      <c r="C18003" s="24"/>
      <c r="D18003" s="26"/>
      <c r="E18003" s="24"/>
      <c r="F18003" s="24"/>
      <c r="G18003" s="24"/>
      <c r="H18003" s="24"/>
      <c r="I18003" s="24"/>
      <c r="J18003" s="24"/>
      <c r="K18003" s="24"/>
      <c r="L18003" s="24"/>
      <c r="M18003" s="24"/>
      <c r="N18003" s="24"/>
      <c r="O18003" s="24"/>
      <c r="P18003" s="24"/>
      <c r="Q18003" s="24"/>
      <c r="R18003" s="24"/>
      <c r="S18003" s="24"/>
      <c r="T18003" s="24"/>
      <c r="U18003" s="24"/>
      <c r="V18003" s="24"/>
      <c r="W18003" s="24"/>
      <c r="X18003" s="24"/>
      <c r="Y18003" s="24"/>
      <c r="Z18003" s="24"/>
      <c r="AA18003" s="24"/>
    </row>
    <row r="18004">
      <c r="A18004" s="24"/>
      <c r="B18004" s="25"/>
      <c r="C18004" s="24"/>
      <c r="D18004" s="26"/>
      <c r="E18004" s="24"/>
      <c r="F18004" s="24"/>
      <c r="G18004" s="24"/>
      <c r="H18004" s="24"/>
      <c r="I18004" s="24"/>
      <c r="J18004" s="24"/>
      <c r="K18004" s="24"/>
      <c r="L18004" s="24"/>
      <c r="M18004" s="24"/>
      <c r="N18004" s="24"/>
      <c r="O18004" s="24"/>
      <c r="P18004" s="24"/>
      <c r="Q18004" s="24"/>
      <c r="R18004" s="24"/>
      <c r="S18004" s="24"/>
      <c r="T18004" s="24"/>
      <c r="U18004" s="24"/>
      <c r="V18004" s="24"/>
      <c r="W18004" s="24"/>
      <c r="X18004" s="24"/>
      <c r="Y18004" s="24"/>
      <c r="Z18004" s="24"/>
      <c r="AA18004" s="24"/>
    </row>
    <row r="18005">
      <c r="A18005" s="24"/>
      <c r="B18005" s="25"/>
      <c r="C18005" s="24"/>
      <c r="D18005" s="26"/>
      <c r="E18005" s="24"/>
      <c r="F18005" s="24"/>
      <c r="G18005" s="24"/>
      <c r="H18005" s="24"/>
      <c r="I18005" s="24"/>
      <c r="J18005" s="24"/>
      <c r="K18005" s="24"/>
      <c r="L18005" s="24"/>
      <c r="M18005" s="24"/>
      <c r="N18005" s="24"/>
      <c r="O18005" s="24"/>
      <c r="P18005" s="24"/>
      <c r="Q18005" s="24"/>
      <c r="R18005" s="24"/>
      <c r="S18005" s="24"/>
      <c r="T18005" s="24"/>
      <c r="U18005" s="24"/>
      <c r="V18005" s="24"/>
      <c r="W18005" s="24"/>
      <c r="X18005" s="24"/>
      <c r="Y18005" s="24"/>
      <c r="Z18005" s="24"/>
      <c r="AA18005" s="24"/>
    </row>
    <row r="18006">
      <c r="A18006" s="24"/>
      <c r="B18006" s="25"/>
      <c r="C18006" s="24"/>
      <c r="D18006" s="26"/>
      <c r="E18006" s="24"/>
      <c r="F18006" s="24"/>
      <c r="G18006" s="24"/>
      <c r="H18006" s="24"/>
      <c r="I18006" s="24"/>
      <c r="J18006" s="24"/>
      <c r="K18006" s="24"/>
      <c r="L18006" s="24"/>
      <c r="M18006" s="24"/>
      <c r="N18006" s="24"/>
      <c r="O18006" s="24"/>
      <c r="P18006" s="24"/>
      <c r="Q18006" s="24"/>
      <c r="R18006" s="24"/>
      <c r="S18006" s="24"/>
      <c r="T18006" s="24"/>
      <c r="U18006" s="24"/>
      <c r="V18006" s="24"/>
      <c r="W18006" s="24"/>
      <c r="X18006" s="24"/>
      <c r="Y18006" s="24"/>
      <c r="Z18006" s="24"/>
      <c r="AA18006" s="24"/>
    </row>
    <row r="18007">
      <c r="A18007" s="24"/>
      <c r="B18007" s="25"/>
      <c r="C18007" s="24"/>
      <c r="D18007" s="26"/>
      <c r="E18007" s="24"/>
      <c r="F18007" s="24"/>
      <c r="G18007" s="24"/>
      <c r="H18007" s="24"/>
      <c r="I18007" s="24"/>
      <c r="J18007" s="24"/>
      <c r="K18007" s="24"/>
      <c r="L18007" s="24"/>
      <c r="M18007" s="24"/>
      <c r="N18007" s="24"/>
      <c r="O18007" s="24"/>
      <c r="P18007" s="24"/>
      <c r="Q18007" s="24"/>
      <c r="R18007" s="24"/>
      <c r="S18007" s="24"/>
      <c r="T18007" s="24"/>
      <c r="U18007" s="24"/>
      <c r="V18007" s="24"/>
      <c r="W18007" s="24"/>
      <c r="X18007" s="24"/>
      <c r="Y18007" s="24"/>
      <c r="Z18007" s="24"/>
      <c r="AA18007" s="24"/>
    </row>
    <row r="18008">
      <c r="A18008" s="24"/>
      <c r="B18008" s="25"/>
      <c r="C18008" s="24"/>
      <c r="D18008" s="26"/>
      <c r="E18008" s="24"/>
      <c r="F18008" s="24"/>
      <c r="G18008" s="24"/>
      <c r="H18008" s="24"/>
      <c r="I18008" s="24"/>
      <c r="J18008" s="24"/>
      <c r="K18008" s="24"/>
      <c r="L18008" s="24"/>
      <c r="M18008" s="24"/>
      <c r="N18008" s="24"/>
      <c r="O18008" s="24"/>
      <c r="P18008" s="24"/>
      <c r="Q18008" s="24"/>
      <c r="R18008" s="24"/>
      <c r="S18008" s="24"/>
      <c r="T18008" s="24"/>
      <c r="U18008" s="24"/>
      <c r="V18008" s="24"/>
      <c r="W18008" s="24"/>
      <c r="X18008" s="24"/>
      <c r="Y18008" s="24"/>
      <c r="Z18008" s="24"/>
      <c r="AA18008" s="24"/>
    </row>
    <row r="18009">
      <c r="A18009" s="24"/>
      <c r="B18009" s="25"/>
      <c r="C18009" s="24"/>
      <c r="D18009" s="26"/>
      <c r="E18009" s="24"/>
      <c r="F18009" s="24"/>
      <c r="G18009" s="24"/>
      <c r="H18009" s="24"/>
      <c r="I18009" s="24"/>
      <c r="J18009" s="24"/>
      <c r="K18009" s="24"/>
      <c r="L18009" s="24"/>
      <c r="M18009" s="24"/>
      <c r="N18009" s="24"/>
      <c r="O18009" s="24"/>
      <c r="P18009" s="24"/>
      <c r="Q18009" s="24"/>
      <c r="R18009" s="24"/>
      <c r="S18009" s="24"/>
      <c r="T18009" s="24"/>
      <c r="U18009" s="24"/>
      <c r="V18009" s="24"/>
      <c r="W18009" s="24"/>
      <c r="X18009" s="24"/>
      <c r="Y18009" s="24"/>
      <c r="Z18009" s="24"/>
      <c r="AA18009" s="24"/>
    </row>
    <row r="18010">
      <c r="A18010" s="24"/>
      <c r="B18010" s="25"/>
      <c r="C18010" s="24"/>
      <c r="D18010" s="26"/>
      <c r="E18010" s="24"/>
      <c r="F18010" s="24"/>
      <c r="G18010" s="24"/>
      <c r="H18010" s="24"/>
      <c r="I18010" s="24"/>
      <c r="J18010" s="24"/>
      <c r="K18010" s="24"/>
      <c r="L18010" s="24"/>
      <c r="M18010" s="24"/>
      <c r="N18010" s="24"/>
      <c r="O18010" s="24"/>
      <c r="P18010" s="24"/>
      <c r="Q18010" s="24"/>
      <c r="R18010" s="24"/>
      <c r="S18010" s="24"/>
      <c r="T18010" s="24"/>
      <c r="U18010" s="24"/>
      <c r="V18010" s="24"/>
      <c r="W18010" s="24"/>
      <c r="X18010" s="24"/>
      <c r="Y18010" s="24"/>
      <c r="Z18010" s="24"/>
      <c r="AA18010" s="24"/>
    </row>
    <row r="18011">
      <c r="A18011" s="24"/>
      <c r="B18011" s="25"/>
      <c r="C18011" s="24"/>
      <c r="D18011" s="26"/>
      <c r="E18011" s="24"/>
      <c r="F18011" s="24"/>
      <c r="G18011" s="24"/>
      <c r="H18011" s="24"/>
      <c r="I18011" s="24"/>
      <c r="J18011" s="24"/>
      <c r="K18011" s="24"/>
      <c r="L18011" s="24"/>
      <c r="M18011" s="24"/>
      <c r="N18011" s="24"/>
      <c r="O18011" s="24"/>
      <c r="P18011" s="24"/>
      <c r="Q18011" s="24"/>
      <c r="R18011" s="24"/>
      <c r="S18011" s="24"/>
      <c r="T18011" s="24"/>
      <c r="U18011" s="24"/>
      <c r="V18011" s="24"/>
      <c r="W18011" s="24"/>
      <c r="X18011" s="24"/>
      <c r="Y18011" s="24"/>
      <c r="Z18011" s="24"/>
      <c r="AA18011" s="24"/>
    </row>
    <row r="18012">
      <c r="A18012" s="24"/>
      <c r="B18012" s="25"/>
      <c r="C18012" s="24"/>
      <c r="D18012" s="26"/>
      <c r="E18012" s="24"/>
      <c r="F18012" s="24"/>
      <c r="G18012" s="24"/>
      <c r="H18012" s="24"/>
      <c r="I18012" s="24"/>
      <c r="J18012" s="24"/>
      <c r="K18012" s="24"/>
      <c r="L18012" s="24"/>
      <c r="M18012" s="24"/>
      <c r="N18012" s="24"/>
      <c r="O18012" s="24"/>
      <c r="P18012" s="24"/>
      <c r="Q18012" s="24"/>
      <c r="R18012" s="24"/>
      <c r="S18012" s="24"/>
      <c r="T18012" s="24"/>
      <c r="U18012" s="24"/>
      <c r="V18012" s="24"/>
      <c r="W18012" s="24"/>
      <c r="X18012" s="24"/>
      <c r="Y18012" s="24"/>
      <c r="Z18012" s="24"/>
      <c r="AA18012" s="24"/>
    </row>
    <row r="18013">
      <c r="A18013" s="24"/>
      <c r="B18013" s="25"/>
      <c r="C18013" s="24"/>
      <c r="D18013" s="26"/>
      <c r="E18013" s="24"/>
      <c r="F18013" s="24"/>
      <c r="G18013" s="24"/>
      <c r="H18013" s="24"/>
      <c r="I18013" s="24"/>
      <c r="J18013" s="24"/>
      <c r="K18013" s="24"/>
      <c r="L18013" s="24"/>
      <c r="M18013" s="24"/>
      <c r="N18013" s="24"/>
      <c r="O18013" s="24"/>
      <c r="P18013" s="24"/>
      <c r="Q18013" s="24"/>
      <c r="R18013" s="24"/>
      <c r="S18013" s="24"/>
      <c r="T18013" s="24"/>
      <c r="U18013" s="24"/>
      <c r="V18013" s="24"/>
      <c r="W18013" s="24"/>
      <c r="X18013" s="24"/>
      <c r="Y18013" s="24"/>
      <c r="Z18013" s="24"/>
      <c r="AA18013" s="24"/>
    </row>
    <row r="18014">
      <c r="A18014" s="24"/>
      <c r="B18014" s="25"/>
      <c r="C18014" s="24"/>
      <c r="D18014" s="26"/>
      <c r="E18014" s="24"/>
      <c r="F18014" s="24"/>
      <c r="G18014" s="24"/>
      <c r="H18014" s="24"/>
      <c r="I18014" s="24"/>
      <c r="J18014" s="24"/>
      <c r="K18014" s="24"/>
      <c r="L18014" s="24"/>
      <c r="M18014" s="24"/>
      <c r="N18014" s="24"/>
      <c r="O18014" s="24"/>
      <c r="P18014" s="24"/>
      <c r="Q18014" s="24"/>
      <c r="R18014" s="24"/>
      <c r="S18014" s="24"/>
      <c r="T18014" s="24"/>
      <c r="U18014" s="24"/>
      <c r="V18014" s="24"/>
      <c r="W18014" s="24"/>
      <c r="X18014" s="24"/>
      <c r="Y18014" s="24"/>
      <c r="Z18014" s="24"/>
      <c r="AA18014" s="24"/>
    </row>
    <row r="18015">
      <c r="A18015" s="24"/>
      <c r="B18015" s="25"/>
      <c r="C18015" s="24"/>
      <c r="D18015" s="26"/>
      <c r="E18015" s="24"/>
      <c r="F18015" s="24"/>
      <c r="G18015" s="24"/>
      <c r="H18015" s="24"/>
      <c r="I18015" s="24"/>
      <c r="J18015" s="24"/>
      <c r="K18015" s="24"/>
      <c r="L18015" s="24"/>
      <c r="M18015" s="24"/>
      <c r="N18015" s="24"/>
      <c r="O18015" s="24"/>
      <c r="P18015" s="24"/>
      <c r="Q18015" s="24"/>
      <c r="R18015" s="24"/>
      <c r="S18015" s="24"/>
      <c r="T18015" s="24"/>
      <c r="U18015" s="24"/>
      <c r="V18015" s="24"/>
      <c r="W18015" s="24"/>
      <c r="X18015" s="24"/>
      <c r="Y18015" s="24"/>
      <c r="Z18015" s="24"/>
      <c r="AA18015" s="24"/>
    </row>
    <row r="18016">
      <c r="A18016" s="24"/>
      <c r="B18016" s="25"/>
      <c r="C18016" s="24"/>
      <c r="D18016" s="26"/>
      <c r="E18016" s="24"/>
      <c r="F18016" s="24"/>
      <c r="G18016" s="24"/>
      <c r="H18016" s="24"/>
      <c r="I18016" s="24"/>
      <c r="J18016" s="24"/>
      <c r="K18016" s="24"/>
      <c r="L18016" s="24"/>
      <c r="M18016" s="24"/>
      <c r="N18016" s="24"/>
      <c r="O18016" s="24"/>
      <c r="P18016" s="24"/>
      <c r="Q18016" s="24"/>
      <c r="R18016" s="24"/>
      <c r="S18016" s="24"/>
      <c r="T18016" s="24"/>
      <c r="U18016" s="24"/>
      <c r="V18016" s="24"/>
      <c r="W18016" s="24"/>
      <c r="X18016" s="24"/>
      <c r="Y18016" s="24"/>
      <c r="Z18016" s="24"/>
      <c r="AA18016" s="24"/>
    </row>
    <row r="18017">
      <c r="A18017" s="24"/>
      <c r="B18017" s="25"/>
      <c r="C18017" s="24"/>
      <c r="D18017" s="26"/>
      <c r="E18017" s="24"/>
      <c r="F18017" s="24"/>
      <c r="G18017" s="24"/>
      <c r="H18017" s="24"/>
      <c r="I18017" s="24"/>
      <c r="J18017" s="24"/>
      <c r="K18017" s="24"/>
      <c r="L18017" s="24"/>
      <c r="M18017" s="24"/>
      <c r="N18017" s="24"/>
      <c r="O18017" s="24"/>
      <c r="P18017" s="24"/>
      <c r="Q18017" s="24"/>
      <c r="R18017" s="24"/>
      <c r="S18017" s="24"/>
      <c r="T18017" s="24"/>
      <c r="U18017" s="24"/>
      <c r="V18017" s="24"/>
      <c r="W18017" s="24"/>
      <c r="X18017" s="24"/>
      <c r="Y18017" s="24"/>
      <c r="Z18017" s="24"/>
      <c r="AA18017" s="24"/>
    </row>
    <row r="18018">
      <c r="A18018" s="24"/>
      <c r="B18018" s="25"/>
      <c r="C18018" s="24"/>
      <c r="D18018" s="26"/>
      <c r="E18018" s="24"/>
      <c r="F18018" s="24"/>
      <c r="G18018" s="24"/>
      <c r="H18018" s="24"/>
      <c r="I18018" s="24"/>
      <c r="J18018" s="24"/>
      <c r="K18018" s="24"/>
      <c r="L18018" s="24"/>
      <c r="M18018" s="24"/>
      <c r="N18018" s="24"/>
      <c r="O18018" s="24"/>
      <c r="P18018" s="24"/>
      <c r="Q18018" s="24"/>
      <c r="R18018" s="24"/>
      <c r="S18018" s="24"/>
      <c r="T18018" s="24"/>
      <c r="U18018" s="24"/>
      <c r="V18018" s="24"/>
      <c r="W18018" s="24"/>
      <c r="X18018" s="24"/>
      <c r="Y18018" s="24"/>
      <c r="Z18018" s="24"/>
      <c r="AA18018" s="24"/>
    </row>
    <row r="18019">
      <c r="A18019" s="24"/>
      <c r="B18019" s="25"/>
      <c r="C18019" s="24"/>
      <c r="D18019" s="26"/>
      <c r="E18019" s="24"/>
      <c r="F18019" s="24"/>
      <c r="G18019" s="24"/>
      <c r="H18019" s="24"/>
      <c r="I18019" s="24"/>
      <c r="J18019" s="24"/>
      <c r="K18019" s="24"/>
      <c r="L18019" s="24"/>
      <c r="M18019" s="24"/>
      <c r="N18019" s="24"/>
      <c r="O18019" s="24"/>
      <c r="P18019" s="24"/>
      <c r="Q18019" s="24"/>
      <c r="R18019" s="24"/>
      <c r="S18019" s="24"/>
      <c r="T18019" s="24"/>
      <c r="U18019" s="24"/>
      <c r="V18019" s="24"/>
      <c r="W18019" s="24"/>
      <c r="X18019" s="24"/>
      <c r="Y18019" s="24"/>
      <c r="Z18019" s="24"/>
      <c r="AA18019" s="24"/>
    </row>
    <row r="18020">
      <c r="A18020" s="24"/>
      <c r="B18020" s="25"/>
      <c r="C18020" s="24"/>
      <c r="D18020" s="26"/>
      <c r="E18020" s="24"/>
      <c r="F18020" s="24"/>
      <c r="G18020" s="24"/>
      <c r="H18020" s="24"/>
      <c r="I18020" s="24"/>
      <c r="J18020" s="24"/>
      <c r="K18020" s="24"/>
      <c r="L18020" s="24"/>
      <c r="M18020" s="24"/>
      <c r="N18020" s="24"/>
      <c r="O18020" s="24"/>
      <c r="P18020" s="24"/>
      <c r="Q18020" s="24"/>
      <c r="R18020" s="24"/>
      <c r="S18020" s="24"/>
      <c r="T18020" s="24"/>
      <c r="U18020" s="24"/>
      <c r="V18020" s="24"/>
      <c r="W18020" s="24"/>
      <c r="X18020" s="24"/>
      <c r="Y18020" s="24"/>
      <c r="Z18020" s="24"/>
      <c r="AA18020" s="24"/>
    </row>
    <row r="18021">
      <c r="A18021" s="24"/>
      <c r="B18021" s="25"/>
      <c r="C18021" s="24"/>
      <c r="D18021" s="26"/>
      <c r="E18021" s="24"/>
      <c r="F18021" s="24"/>
      <c r="G18021" s="24"/>
      <c r="H18021" s="24"/>
      <c r="I18021" s="24"/>
      <c r="J18021" s="24"/>
      <c r="K18021" s="24"/>
      <c r="L18021" s="24"/>
      <c r="M18021" s="24"/>
      <c r="N18021" s="24"/>
      <c r="O18021" s="24"/>
      <c r="P18021" s="24"/>
      <c r="Q18021" s="24"/>
      <c r="R18021" s="24"/>
      <c r="S18021" s="24"/>
      <c r="T18021" s="24"/>
      <c r="U18021" s="24"/>
      <c r="V18021" s="24"/>
      <c r="W18021" s="24"/>
      <c r="X18021" s="24"/>
      <c r="Y18021" s="24"/>
      <c r="Z18021" s="24"/>
      <c r="AA18021" s="24"/>
    </row>
    <row r="18022">
      <c r="A18022" s="24"/>
      <c r="B18022" s="25"/>
      <c r="C18022" s="24"/>
      <c r="D18022" s="26"/>
      <c r="E18022" s="24"/>
      <c r="F18022" s="24"/>
      <c r="G18022" s="24"/>
      <c r="H18022" s="24"/>
      <c r="I18022" s="24"/>
      <c r="J18022" s="24"/>
      <c r="K18022" s="24"/>
      <c r="L18022" s="24"/>
      <c r="M18022" s="24"/>
      <c r="N18022" s="24"/>
      <c r="O18022" s="24"/>
      <c r="P18022" s="24"/>
      <c r="Q18022" s="24"/>
      <c r="R18022" s="24"/>
      <c r="S18022" s="24"/>
      <c r="T18022" s="24"/>
      <c r="U18022" s="24"/>
      <c r="V18022" s="24"/>
      <c r="W18022" s="24"/>
      <c r="X18022" s="24"/>
      <c r="Y18022" s="24"/>
      <c r="Z18022" s="24"/>
      <c r="AA18022" s="24"/>
    </row>
    <row r="18023">
      <c r="A18023" s="24"/>
      <c r="B18023" s="25"/>
      <c r="C18023" s="24"/>
      <c r="D18023" s="26"/>
      <c r="E18023" s="24"/>
      <c r="F18023" s="24"/>
      <c r="G18023" s="24"/>
      <c r="H18023" s="24"/>
      <c r="I18023" s="24"/>
      <c r="J18023" s="24"/>
      <c r="K18023" s="24"/>
      <c r="L18023" s="24"/>
      <c r="M18023" s="24"/>
      <c r="N18023" s="24"/>
      <c r="O18023" s="24"/>
      <c r="P18023" s="24"/>
      <c r="Q18023" s="24"/>
      <c r="R18023" s="24"/>
      <c r="S18023" s="24"/>
      <c r="T18023" s="24"/>
      <c r="U18023" s="24"/>
      <c r="V18023" s="24"/>
      <c r="W18023" s="24"/>
      <c r="X18023" s="24"/>
      <c r="Y18023" s="24"/>
      <c r="Z18023" s="24"/>
      <c r="AA18023" s="24"/>
    </row>
    <row r="18024">
      <c r="A18024" s="24"/>
      <c r="B18024" s="25"/>
      <c r="C18024" s="24"/>
      <c r="D18024" s="26"/>
      <c r="E18024" s="24"/>
      <c r="F18024" s="24"/>
      <c r="G18024" s="24"/>
      <c r="H18024" s="24"/>
      <c r="I18024" s="24"/>
      <c r="J18024" s="24"/>
      <c r="K18024" s="24"/>
      <c r="L18024" s="24"/>
      <c r="M18024" s="24"/>
      <c r="N18024" s="24"/>
      <c r="O18024" s="24"/>
      <c r="P18024" s="24"/>
      <c r="Q18024" s="24"/>
      <c r="R18024" s="24"/>
      <c r="S18024" s="24"/>
      <c r="T18024" s="24"/>
      <c r="U18024" s="24"/>
      <c r="V18024" s="24"/>
      <c r="W18024" s="24"/>
      <c r="X18024" s="24"/>
      <c r="Y18024" s="24"/>
      <c r="Z18024" s="24"/>
      <c r="AA18024" s="24"/>
    </row>
    <row r="18025">
      <c r="A18025" s="24"/>
      <c r="B18025" s="25"/>
      <c r="C18025" s="24"/>
      <c r="D18025" s="26"/>
      <c r="E18025" s="24"/>
      <c r="F18025" s="24"/>
      <c r="G18025" s="24"/>
      <c r="H18025" s="24"/>
      <c r="I18025" s="24"/>
      <c r="J18025" s="24"/>
      <c r="K18025" s="24"/>
      <c r="L18025" s="24"/>
      <c r="M18025" s="24"/>
      <c r="N18025" s="24"/>
      <c r="O18025" s="24"/>
      <c r="P18025" s="24"/>
      <c r="Q18025" s="24"/>
      <c r="R18025" s="24"/>
      <c r="S18025" s="24"/>
      <c r="T18025" s="24"/>
      <c r="U18025" s="24"/>
      <c r="V18025" s="24"/>
      <c r="W18025" s="24"/>
      <c r="X18025" s="24"/>
      <c r="Y18025" s="24"/>
      <c r="Z18025" s="24"/>
      <c r="AA18025" s="24"/>
    </row>
    <row r="18026">
      <c r="A18026" s="24"/>
      <c r="B18026" s="25"/>
      <c r="C18026" s="24"/>
      <c r="D18026" s="26"/>
      <c r="E18026" s="24"/>
      <c r="F18026" s="24"/>
      <c r="G18026" s="24"/>
      <c r="H18026" s="24"/>
      <c r="I18026" s="24"/>
      <c r="J18026" s="24"/>
      <c r="K18026" s="24"/>
      <c r="L18026" s="24"/>
      <c r="M18026" s="24"/>
      <c r="N18026" s="24"/>
      <c r="O18026" s="24"/>
      <c r="P18026" s="24"/>
      <c r="Q18026" s="24"/>
      <c r="R18026" s="24"/>
      <c r="S18026" s="24"/>
      <c r="T18026" s="24"/>
      <c r="U18026" s="24"/>
      <c r="V18026" s="24"/>
      <c r="W18026" s="24"/>
      <c r="X18026" s="24"/>
      <c r="Y18026" s="24"/>
      <c r="Z18026" s="24"/>
      <c r="AA18026" s="24"/>
    </row>
    <row r="18027">
      <c r="A18027" s="24"/>
      <c r="B18027" s="25"/>
      <c r="C18027" s="24"/>
      <c r="D18027" s="26"/>
      <c r="E18027" s="24"/>
      <c r="F18027" s="24"/>
      <c r="G18027" s="24"/>
      <c r="H18027" s="24"/>
      <c r="I18027" s="24"/>
      <c r="J18027" s="24"/>
      <c r="K18027" s="24"/>
      <c r="L18027" s="24"/>
      <c r="M18027" s="24"/>
      <c r="N18027" s="24"/>
      <c r="O18027" s="24"/>
      <c r="P18027" s="24"/>
      <c r="Q18027" s="24"/>
      <c r="R18027" s="24"/>
      <c r="S18027" s="24"/>
      <c r="T18027" s="24"/>
      <c r="U18027" s="24"/>
      <c r="V18027" s="24"/>
      <c r="W18027" s="24"/>
      <c r="X18027" s="24"/>
      <c r="Y18027" s="24"/>
      <c r="Z18027" s="24"/>
      <c r="AA18027" s="24"/>
    </row>
    <row r="18028">
      <c r="A18028" s="24"/>
      <c r="B18028" s="25"/>
      <c r="C18028" s="24"/>
      <c r="D18028" s="26"/>
      <c r="E18028" s="24"/>
      <c r="F18028" s="24"/>
      <c r="G18028" s="24"/>
      <c r="H18028" s="24"/>
      <c r="I18028" s="24"/>
      <c r="J18028" s="24"/>
      <c r="K18028" s="24"/>
      <c r="L18028" s="24"/>
      <c r="M18028" s="24"/>
      <c r="N18028" s="24"/>
      <c r="O18028" s="24"/>
      <c r="P18028" s="24"/>
      <c r="Q18028" s="24"/>
      <c r="R18028" s="24"/>
      <c r="S18028" s="24"/>
      <c r="T18028" s="24"/>
      <c r="U18028" s="24"/>
      <c r="V18028" s="24"/>
      <c r="W18028" s="24"/>
      <c r="X18028" s="24"/>
      <c r="Y18028" s="24"/>
      <c r="Z18028" s="24"/>
      <c r="AA18028" s="24"/>
    </row>
    <row r="18029">
      <c r="A18029" s="24"/>
      <c r="B18029" s="25"/>
      <c r="C18029" s="24"/>
      <c r="D18029" s="26"/>
      <c r="E18029" s="24"/>
      <c r="F18029" s="24"/>
      <c r="G18029" s="24"/>
      <c r="H18029" s="24"/>
      <c r="I18029" s="24"/>
      <c r="J18029" s="24"/>
      <c r="K18029" s="24"/>
      <c r="L18029" s="24"/>
      <c r="M18029" s="24"/>
      <c r="N18029" s="24"/>
      <c r="O18029" s="24"/>
      <c r="P18029" s="24"/>
      <c r="Q18029" s="24"/>
      <c r="R18029" s="24"/>
      <c r="S18029" s="24"/>
      <c r="T18029" s="24"/>
      <c r="U18029" s="24"/>
      <c r="V18029" s="24"/>
      <c r="W18029" s="24"/>
      <c r="X18029" s="24"/>
      <c r="Y18029" s="24"/>
      <c r="Z18029" s="24"/>
      <c r="AA18029" s="24"/>
    </row>
    <row r="18030">
      <c r="A18030" s="24"/>
      <c r="B18030" s="25"/>
      <c r="C18030" s="24"/>
      <c r="D18030" s="26"/>
      <c r="E18030" s="24"/>
      <c r="F18030" s="24"/>
      <c r="G18030" s="24"/>
      <c r="H18030" s="24"/>
      <c r="I18030" s="24"/>
      <c r="J18030" s="24"/>
      <c r="K18030" s="24"/>
      <c r="L18030" s="24"/>
      <c r="M18030" s="24"/>
      <c r="N18030" s="24"/>
      <c r="O18030" s="24"/>
      <c r="P18030" s="24"/>
      <c r="Q18030" s="24"/>
      <c r="R18030" s="24"/>
      <c r="S18030" s="24"/>
      <c r="T18030" s="24"/>
      <c r="U18030" s="24"/>
      <c r="V18030" s="24"/>
      <c r="W18030" s="24"/>
      <c r="X18030" s="24"/>
      <c r="Y18030" s="24"/>
      <c r="Z18030" s="24"/>
      <c r="AA18030" s="24"/>
    </row>
    <row r="18031">
      <c r="A18031" s="24"/>
      <c r="B18031" s="25"/>
      <c r="C18031" s="24"/>
      <c r="D18031" s="26"/>
      <c r="E18031" s="24"/>
      <c r="F18031" s="24"/>
      <c r="G18031" s="24"/>
      <c r="H18031" s="24"/>
      <c r="I18031" s="24"/>
      <c r="J18031" s="24"/>
      <c r="K18031" s="24"/>
      <c r="L18031" s="24"/>
      <c r="M18031" s="24"/>
      <c r="N18031" s="24"/>
      <c r="O18031" s="24"/>
      <c r="P18031" s="24"/>
      <c r="Q18031" s="24"/>
      <c r="R18031" s="24"/>
      <c r="S18031" s="24"/>
      <c r="T18031" s="24"/>
      <c r="U18031" s="24"/>
      <c r="V18031" s="24"/>
      <c r="W18031" s="24"/>
      <c r="X18031" s="24"/>
      <c r="Y18031" s="24"/>
      <c r="Z18031" s="24"/>
      <c r="AA18031" s="24"/>
    </row>
    <row r="18032">
      <c r="A18032" s="24"/>
      <c r="B18032" s="25"/>
      <c r="C18032" s="24"/>
      <c r="D18032" s="26"/>
      <c r="E18032" s="24"/>
      <c r="F18032" s="24"/>
      <c r="G18032" s="24"/>
      <c r="H18032" s="24"/>
      <c r="I18032" s="24"/>
      <c r="J18032" s="24"/>
      <c r="K18032" s="24"/>
      <c r="L18032" s="24"/>
      <c r="M18032" s="24"/>
      <c r="N18032" s="24"/>
      <c r="O18032" s="24"/>
      <c r="P18032" s="24"/>
      <c r="Q18032" s="24"/>
      <c r="R18032" s="24"/>
      <c r="S18032" s="24"/>
      <c r="T18032" s="24"/>
      <c r="U18032" s="24"/>
      <c r="V18032" s="24"/>
      <c r="W18032" s="24"/>
      <c r="X18032" s="24"/>
      <c r="Y18032" s="24"/>
      <c r="Z18032" s="24"/>
      <c r="AA18032" s="24"/>
    </row>
    <row r="18033">
      <c r="A18033" s="24"/>
      <c r="B18033" s="25"/>
      <c r="C18033" s="24"/>
      <c r="D18033" s="26"/>
      <c r="E18033" s="24"/>
      <c r="F18033" s="24"/>
      <c r="G18033" s="24"/>
      <c r="H18033" s="24"/>
      <c r="I18033" s="24"/>
      <c r="J18033" s="24"/>
      <c r="K18033" s="24"/>
      <c r="L18033" s="24"/>
      <c r="M18033" s="24"/>
      <c r="N18033" s="24"/>
      <c r="O18033" s="24"/>
      <c r="P18033" s="24"/>
      <c r="Q18033" s="24"/>
      <c r="R18033" s="24"/>
      <c r="S18033" s="24"/>
      <c r="T18033" s="24"/>
      <c r="U18033" s="24"/>
      <c r="V18033" s="24"/>
      <c r="W18033" s="24"/>
      <c r="X18033" s="24"/>
      <c r="Y18033" s="24"/>
      <c r="Z18033" s="24"/>
      <c r="AA18033" s="24"/>
    </row>
    <row r="18034">
      <c r="A18034" s="24"/>
      <c r="B18034" s="25"/>
      <c r="C18034" s="24"/>
      <c r="D18034" s="26"/>
      <c r="E18034" s="24"/>
      <c r="F18034" s="24"/>
      <c r="G18034" s="24"/>
      <c r="H18034" s="24"/>
      <c r="I18034" s="24"/>
      <c r="J18034" s="24"/>
      <c r="K18034" s="24"/>
      <c r="L18034" s="24"/>
      <c r="M18034" s="24"/>
      <c r="N18034" s="24"/>
      <c r="O18034" s="24"/>
      <c r="P18034" s="24"/>
      <c r="Q18034" s="24"/>
      <c r="R18034" s="24"/>
      <c r="S18034" s="24"/>
      <c r="T18034" s="24"/>
      <c r="U18034" s="24"/>
      <c r="V18034" s="24"/>
      <c r="W18034" s="24"/>
      <c r="X18034" s="24"/>
      <c r="Y18034" s="24"/>
      <c r="Z18034" s="24"/>
      <c r="AA18034" s="24"/>
    </row>
    <row r="18035">
      <c r="A18035" s="24"/>
      <c r="B18035" s="25"/>
      <c r="C18035" s="24"/>
      <c r="D18035" s="26"/>
      <c r="E18035" s="24"/>
      <c r="F18035" s="24"/>
      <c r="G18035" s="24"/>
      <c r="H18035" s="24"/>
      <c r="I18035" s="24"/>
      <c r="J18035" s="24"/>
      <c r="K18035" s="24"/>
      <c r="L18035" s="24"/>
      <c r="M18035" s="24"/>
      <c r="N18035" s="24"/>
      <c r="O18035" s="24"/>
      <c r="P18035" s="24"/>
      <c r="Q18035" s="24"/>
      <c r="R18035" s="24"/>
      <c r="S18035" s="24"/>
      <c r="T18035" s="24"/>
      <c r="U18035" s="24"/>
      <c r="V18035" s="24"/>
      <c r="W18035" s="24"/>
      <c r="X18035" s="24"/>
      <c r="Y18035" s="24"/>
      <c r="Z18035" s="24"/>
      <c r="AA18035" s="24"/>
    </row>
    <row r="18036">
      <c r="A18036" s="24"/>
      <c r="B18036" s="25"/>
      <c r="C18036" s="24"/>
      <c r="D18036" s="26"/>
      <c r="E18036" s="24"/>
      <c r="F18036" s="24"/>
      <c r="G18036" s="24"/>
      <c r="H18036" s="24"/>
      <c r="I18036" s="24"/>
      <c r="J18036" s="24"/>
      <c r="K18036" s="24"/>
      <c r="L18036" s="24"/>
      <c r="M18036" s="24"/>
      <c r="N18036" s="24"/>
      <c r="O18036" s="24"/>
      <c r="P18036" s="24"/>
      <c r="Q18036" s="24"/>
      <c r="R18036" s="24"/>
      <c r="S18036" s="24"/>
      <c r="T18036" s="24"/>
      <c r="U18036" s="24"/>
      <c r="V18036" s="24"/>
      <c r="W18036" s="24"/>
      <c r="X18036" s="24"/>
      <c r="Y18036" s="24"/>
      <c r="Z18036" s="24"/>
      <c r="AA18036" s="24"/>
    </row>
    <row r="18037">
      <c r="A18037" s="24"/>
      <c r="B18037" s="25"/>
      <c r="C18037" s="24"/>
      <c r="D18037" s="26"/>
      <c r="E18037" s="24"/>
      <c r="F18037" s="24"/>
      <c r="G18037" s="24"/>
      <c r="H18037" s="24"/>
      <c r="I18037" s="24"/>
      <c r="J18037" s="24"/>
      <c r="K18037" s="24"/>
      <c r="L18037" s="24"/>
      <c r="M18037" s="24"/>
      <c r="N18037" s="24"/>
      <c r="O18037" s="24"/>
      <c r="P18037" s="24"/>
      <c r="Q18037" s="24"/>
      <c r="R18037" s="24"/>
      <c r="S18037" s="24"/>
      <c r="T18037" s="24"/>
      <c r="U18037" s="24"/>
      <c r="V18037" s="24"/>
      <c r="W18037" s="24"/>
      <c r="X18037" s="24"/>
      <c r="Y18037" s="24"/>
      <c r="Z18037" s="24"/>
      <c r="AA18037" s="24"/>
    </row>
    <row r="18038">
      <c r="A18038" s="24"/>
      <c r="B18038" s="25"/>
      <c r="C18038" s="24"/>
      <c r="D18038" s="26"/>
      <c r="E18038" s="24"/>
      <c r="F18038" s="24"/>
      <c r="G18038" s="24"/>
      <c r="H18038" s="24"/>
      <c r="I18038" s="24"/>
      <c r="J18038" s="24"/>
      <c r="K18038" s="24"/>
      <c r="L18038" s="24"/>
      <c r="M18038" s="24"/>
      <c r="N18038" s="24"/>
      <c r="O18038" s="24"/>
      <c r="P18038" s="24"/>
      <c r="Q18038" s="24"/>
      <c r="R18038" s="24"/>
      <c r="S18038" s="24"/>
      <c r="T18038" s="24"/>
      <c r="U18038" s="24"/>
      <c r="V18038" s="24"/>
      <c r="W18038" s="24"/>
      <c r="X18038" s="24"/>
      <c r="Y18038" s="24"/>
      <c r="Z18038" s="24"/>
      <c r="AA18038" s="24"/>
    </row>
    <row r="18039">
      <c r="A18039" s="24"/>
      <c r="B18039" s="25"/>
      <c r="C18039" s="24"/>
      <c r="D18039" s="26"/>
      <c r="E18039" s="24"/>
      <c r="F18039" s="24"/>
      <c r="G18039" s="24"/>
      <c r="H18039" s="24"/>
      <c r="I18039" s="24"/>
      <c r="J18039" s="24"/>
      <c r="K18039" s="24"/>
      <c r="L18039" s="24"/>
      <c r="M18039" s="24"/>
      <c r="N18039" s="24"/>
      <c r="O18039" s="24"/>
      <c r="P18039" s="24"/>
      <c r="Q18039" s="24"/>
      <c r="R18039" s="24"/>
      <c r="S18039" s="24"/>
      <c r="T18039" s="24"/>
      <c r="U18039" s="24"/>
      <c r="V18039" s="24"/>
      <c r="W18039" s="24"/>
      <c r="X18039" s="24"/>
      <c r="Y18039" s="24"/>
      <c r="Z18039" s="24"/>
      <c r="AA18039" s="24"/>
    </row>
    <row r="18040">
      <c r="A18040" s="24"/>
      <c r="B18040" s="25"/>
      <c r="C18040" s="24"/>
      <c r="D18040" s="26"/>
      <c r="E18040" s="24"/>
      <c r="F18040" s="24"/>
      <c r="G18040" s="24"/>
      <c r="H18040" s="24"/>
      <c r="I18040" s="24"/>
      <c r="J18040" s="24"/>
      <c r="K18040" s="24"/>
      <c r="L18040" s="24"/>
      <c r="M18040" s="24"/>
      <c r="N18040" s="24"/>
      <c r="O18040" s="24"/>
      <c r="P18040" s="24"/>
      <c r="Q18040" s="24"/>
      <c r="R18040" s="24"/>
      <c r="S18040" s="24"/>
      <c r="T18040" s="24"/>
      <c r="U18040" s="24"/>
      <c r="V18040" s="24"/>
      <c r="W18040" s="24"/>
      <c r="X18040" s="24"/>
      <c r="Y18040" s="24"/>
      <c r="Z18040" s="24"/>
      <c r="AA18040" s="24"/>
    </row>
    <row r="18041">
      <c r="A18041" s="24"/>
      <c r="B18041" s="25"/>
      <c r="C18041" s="24"/>
      <c r="D18041" s="26"/>
      <c r="E18041" s="24"/>
      <c r="F18041" s="24"/>
      <c r="G18041" s="24"/>
      <c r="H18041" s="24"/>
      <c r="I18041" s="24"/>
      <c r="J18041" s="24"/>
      <c r="K18041" s="24"/>
      <c r="L18041" s="24"/>
      <c r="M18041" s="24"/>
      <c r="N18041" s="24"/>
      <c r="O18041" s="24"/>
      <c r="P18041" s="24"/>
      <c r="Q18041" s="24"/>
      <c r="R18041" s="24"/>
      <c r="S18041" s="24"/>
      <c r="T18041" s="24"/>
      <c r="U18041" s="24"/>
      <c r="V18041" s="24"/>
      <c r="W18041" s="24"/>
      <c r="X18041" s="24"/>
      <c r="Y18041" s="24"/>
      <c r="Z18041" s="24"/>
      <c r="AA18041" s="24"/>
    </row>
    <row r="18042">
      <c r="A18042" s="24"/>
      <c r="B18042" s="25"/>
      <c r="C18042" s="24"/>
      <c r="D18042" s="26"/>
      <c r="E18042" s="24"/>
      <c r="F18042" s="24"/>
      <c r="G18042" s="24"/>
      <c r="H18042" s="24"/>
      <c r="I18042" s="24"/>
      <c r="J18042" s="24"/>
      <c r="K18042" s="24"/>
      <c r="L18042" s="24"/>
      <c r="M18042" s="24"/>
      <c r="N18042" s="24"/>
      <c r="O18042" s="24"/>
      <c r="P18042" s="24"/>
      <c r="Q18042" s="24"/>
      <c r="R18042" s="24"/>
      <c r="S18042" s="24"/>
      <c r="T18042" s="24"/>
      <c r="U18042" s="24"/>
      <c r="V18042" s="24"/>
      <c r="W18042" s="24"/>
      <c r="X18042" s="24"/>
      <c r="Y18042" s="24"/>
      <c r="Z18042" s="24"/>
      <c r="AA18042" s="24"/>
    </row>
    <row r="18043">
      <c r="A18043" s="24"/>
      <c r="B18043" s="25"/>
      <c r="C18043" s="24"/>
      <c r="D18043" s="26"/>
      <c r="E18043" s="24"/>
      <c r="F18043" s="24"/>
      <c r="G18043" s="24"/>
      <c r="H18043" s="24"/>
      <c r="I18043" s="24"/>
      <c r="J18043" s="24"/>
      <c r="K18043" s="24"/>
      <c r="L18043" s="24"/>
      <c r="M18043" s="24"/>
      <c r="N18043" s="24"/>
      <c r="O18043" s="24"/>
      <c r="P18043" s="24"/>
      <c r="Q18043" s="24"/>
      <c r="R18043" s="24"/>
      <c r="S18043" s="24"/>
      <c r="T18043" s="24"/>
      <c r="U18043" s="24"/>
      <c r="V18043" s="24"/>
      <c r="W18043" s="24"/>
      <c r="X18043" s="24"/>
      <c r="Y18043" s="24"/>
      <c r="Z18043" s="24"/>
      <c r="AA18043" s="24"/>
    </row>
    <row r="18044">
      <c r="A18044" s="24"/>
      <c r="B18044" s="25"/>
      <c r="C18044" s="24"/>
      <c r="D18044" s="26"/>
      <c r="E18044" s="24"/>
      <c r="F18044" s="24"/>
      <c r="G18044" s="24"/>
      <c r="H18044" s="24"/>
      <c r="I18044" s="24"/>
      <c r="J18044" s="24"/>
      <c r="K18044" s="24"/>
      <c r="L18044" s="24"/>
      <c r="M18044" s="24"/>
      <c r="N18044" s="24"/>
      <c r="O18044" s="24"/>
      <c r="P18044" s="24"/>
      <c r="Q18044" s="24"/>
      <c r="R18044" s="24"/>
      <c r="S18044" s="24"/>
      <c r="T18044" s="24"/>
      <c r="U18044" s="24"/>
      <c r="V18044" s="24"/>
      <c r="W18044" s="24"/>
      <c r="X18044" s="24"/>
      <c r="Y18044" s="24"/>
      <c r="Z18044" s="24"/>
      <c r="AA18044" s="24"/>
    </row>
    <row r="18045">
      <c r="A18045" s="24"/>
      <c r="B18045" s="25"/>
      <c r="C18045" s="24"/>
      <c r="D18045" s="26"/>
      <c r="E18045" s="24"/>
      <c r="F18045" s="24"/>
      <c r="G18045" s="24"/>
      <c r="H18045" s="24"/>
      <c r="I18045" s="24"/>
      <c r="J18045" s="24"/>
      <c r="K18045" s="24"/>
      <c r="L18045" s="24"/>
      <c r="M18045" s="24"/>
      <c r="N18045" s="24"/>
      <c r="O18045" s="24"/>
      <c r="P18045" s="24"/>
      <c r="Q18045" s="24"/>
      <c r="R18045" s="24"/>
      <c r="S18045" s="24"/>
      <c r="T18045" s="24"/>
      <c r="U18045" s="24"/>
      <c r="V18045" s="24"/>
      <c r="W18045" s="24"/>
      <c r="X18045" s="24"/>
      <c r="Y18045" s="24"/>
      <c r="Z18045" s="24"/>
      <c r="AA18045" s="24"/>
    </row>
    <row r="18046">
      <c r="A18046" s="24"/>
      <c r="B18046" s="25"/>
      <c r="C18046" s="24"/>
      <c r="D18046" s="26"/>
      <c r="E18046" s="24"/>
      <c r="F18046" s="24"/>
      <c r="G18046" s="24"/>
      <c r="H18046" s="24"/>
      <c r="I18046" s="24"/>
      <c r="J18046" s="24"/>
      <c r="K18046" s="24"/>
      <c r="L18046" s="24"/>
      <c r="M18046" s="24"/>
      <c r="N18046" s="24"/>
      <c r="O18046" s="24"/>
      <c r="P18046" s="24"/>
      <c r="Q18046" s="24"/>
      <c r="R18046" s="24"/>
      <c r="S18046" s="24"/>
      <c r="T18046" s="24"/>
      <c r="U18046" s="24"/>
      <c r="V18046" s="24"/>
      <c r="W18046" s="24"/>
      <c r="X18046" s="24"/>
      <c r="Y18046" s="24"/>
      <c r="Z18046" s="24"/>
      <c r="AA18046" s="24"/>
    </row>
    <row r="18047">
      <c r="A18047" s="24"/>
      <c r="B18047" s="25"/>
      <c r="C18047" s="24"/>
      <c r="D18047" s="26"/>
      <c r="E18047" s="24"/>
      <c r="F18047" s="24"/>
      <c r="G18047" s="24"/>
      <c r="H18047" s="24"/>
      <c r="I18047" s="24"/>
      <c r="J18047" s="24"/>
      <c r="K18047" s="24"/>
      <c r="L18047" s="24"/>
      <c r="M18047" s="24"/>
      <c r="N18047" s="24"/>
      <c r="O18047" s="24"/>
      <c r="P18047" s="24"/>
      <c r="Q18047" s="24"/>
      <c r="R18047" s="24"/>
      <c r="S18047" s="24"/>
      <c r="T18047" s="24"/>
      <c r="U18047" s="24"/>
      <c r="V18047" s="24"/>
      <c r="W18047" s="24"/>
      <c r="X18047" s="24"/>
      <c r="Y18047" s="24"/>
      <c r="Z18047" s="24"/>
      <c r="AA18047" s="24"/>
    </row>
    <row r="18048">
      <c r="A18048" s="24"/>
      <c r="B18048" s="25"/>
      <c r="C18048" s="24"/>
      <c r="D18048" s="26"/>
      <c r="E18048" s="24"/>
      <c r="F18048" s="24"/>
      <c r="G18048" s="24"/>
      <c r="H18048" s="24"/>
      <c r="I18048" s="24"/>
      <c r="J18048" s="24"/>
      <c r="K18048" s="24"/>
      <c r="L18048" s="24"/>
      <c r="M18048" s="24"/>
      <c r="N18048" s="24"/>
      <c r="O18048" s="24"/>
      <c r="P18048" s="24"/>
      <c r="Q18048" s="24"/>
      <c r="R18048" s="24"/>
      <c r="S18048" s="24"/>
      <c r="T18048" s="24"/>
      <c r="U18048" s="24"/>
      <c r="V18048" s="24"/>
      <c r="W18048" s="24"/>
      <c r="X18048" s="24"/>
      <c r="Y18048" s="24"/>
      <c r="Z18048" s="24"/>
      <c r="AA18048" s="24"/>
    </row>
    <row r="18049">
      <c r="A18049" s="24"/>
      <c r="B18049" s="25"/>
      <c r="C18049" s="24"/>
      <c r="D18049" s="26"/>
      <c r="E18049" s="24"/>
      <c r="F18049" s="24"/>
      <c r="G18049" s="24"/>
      <c r="H18049" s="24"/>
      <c r="I18049" s="24"/>
      <c r="J18049" s="24"/>
      <c r="K18049" s="24"/>
      <c r="L18049" s="24"/>
      <c r="M18049" s="24"/>
      <c r="N18049" s="24"/>
      <c r="O18049" s="24"/>
      <c r="P18049" s="24"/>
      <c r="Q18049" s="24"/>
      <c r="R18049" s="24"/>
      <c r="S18049" s="24"/>
      <c r="T18049" s="24"/>
      <c r="U18049" s="24"/>
      <c r="V18049" s="24"/>
      <c r="W18049" s="24"/>
      <c r="X18049" s="24"/>
      <c r="Y18049" s="24"/>
      <c r="Z18049" s="24"/>
      <c r="AA18049" s="24"/>
    </row>
    <row r="18050">
      <c r="A18050" s="24"/>
      <c r="B18050" s="25"/>
      <c r="C18050" s="24"/>
      <c r="D18050" s="26"/>
      <c r="E18050" s="24"/>
      <c r="F18050" s="24"/>
      <c r="G18050" s="24"/>
      <c r="H18050" s="24"/>
      <c r="I18050" s="24"/>
      <c r="J18050" s="24"/>
      <c r="K18050" s="24"/>
      <c r="L18050" s="24"/>
      <c r="M18050" s="24"/>
      <c r="N18050" s="24"/>
      <c r="O18050" s="24"/>
      <c r="P18050" s="24"/>
      <c r="Q18050" s="24"/>
      <c r="R18050" s="24"/>
      <c r="S18050" s="24"/>
      <c r="T18050" s="24"/>
      <c r="U18050" s="24"/>
      <c r="V18050" s="24"/>
      <c r="W18050" s="24"/>
      <c r="X18050" s="24"/>
      <c r="Y18050" s="24"/>
      <c r="Z18050" s="24"/>
      <c r="AA18050" s="24"/>
    </row>
    <row r="18051">
      <c r="A18051" s="24"/>
      <c r="B18051" s="25"/>
      <c r="C18051" s="24"/>
      <c r="D18051" s="26"/>
      <c r="E18051" s="24"/>
      <c r="F18051" s="24"/>
      <c r="G18051" s="24"/>
      <c r="H18051" s="24"/>
      <c r="I18051" s="24"/>
      <c r="J18051" s="24"/>
      <c r="K18051" s="24"/>
      <c r="L18051" s="24"/>
      <c r="M18051" s="24"/>
      <c r="N18051" s="24"/>
      <c r="O18051" s="24"/>
      <c r="P18051" s="24"/>
      <c r="Q18051" s="24"/>
      <c r="R18051" s="24"/>
      <c r="S18051" s="24"/>
      <c r="T18051" s="24"/>
      <c r="U18051" s="24"/>
      <c r="V18051" s="24"/>
      <c r="W18051" s="24"/>
      <c r="X18051" s="24"/>
      <c r="Y18051" s="24"/>
      <c r="Z18051" s="24"/>
      <c r="AA18051" s="24"/>
    </row>
    <row r="18052">
      <c r="A18052" s="24"/>
      <c r="B18052" s="25"/>
      <c r="C18052" s="24"/>
      <c r="D18052" s="26"/>
      <c r="E18052" s="24"/>
      <c r="F18052" s="24"/>
      <c r="G18052" s="24"/>
      <c r="H18052" s="24"/>
      <c r="I18052" s="24"/>
      <c r="J18052" s="24"/>
      <c r="K18052" s="24"/>
      <c r="L18052" s="24"/>
      <c r="M18052" s="24"/>
      <c r="N18052" s="24"/>
      <c r="O18052" s="24"/>
      <c r="P18052" s="24"/>
      <c r="Q18052" s="24"/>
      <c r="R18052" s="24"/>
      <c r="S18052" s="24"/>
      <c r="T18052" s="24"/>
      <c r="U18052" s="24"/>
      <c r="V18052" s="24"/>
      <c r="W18052" s="24"/>
      <c r="X18052" s="24"/>
      <c r="Y18052" s="24"/>
      <c r="Z18052" s="24"/>
      <c r="AA18052" s="24"/>
    </row>
    <row r="18053">
      <c r="A18053" s="24"/>
      <c r="B18053" s="25"/>
      <c r="C18053" s="24"/>
      <c r="D18053" s="26"/>
      <c r="E18053" s="24"/>
      <c r="F18053" s="24"/>
      <c r="G18053" s="24"/>
      <c r="H18053" s="24"/>
      <c r="I18053" s="24"/>
      <c r="J18053" s="24"/>
      <c r="K18053" s="24"/>
      <c r="L18053" s="24"/>
      <c r="M18053" s="24"/>
      <c r="N18053" s="24"/>
      <c r="O18053" s="24"/>
      <c r="P18053" s="24"/>
      <c r="Q18053" s="24"/>
      <c r="R18053" s="24"/>
      <c r="S18053" s="24"/>
      <c r="T18053" s="24"/>
      <c r="U18053" s="24"/>
      <c r="V18053" s="24"/>
      <c r="W18053" s="24"/>
      <c r="X18053" s="24"/>
      <c r="Y18053" s="24"/>
      <c r="Z18053" s="24"/>
      <c r="AA18053" s="24"/>
    </row>
    <row r="18054">
      <c r="A18054" s="24"/>
      <c r="B18054" s="25"/>
      <c r="C18054" s="24"/>
      <c r="D18054" s="26"/>
      <c r="E18054" s="24"/>
      <c r="F18054" s="24"/>
      <c r="G18054" s="24"/>
      <c r="H18054" s="24"/>
      <c r="I18054" s="24"/>
      <c r="J18054" s="24"/>
      <c r="K18054" s="24"/>
      <c r="L18054" s="24"/>
      <c r="M18054" s="24"/>
      <c r="N18054" s="24"/>
      <c r="O18054" s="24"/>
      <c r="P18054" s="24"/>
      <c r="Q18054" s="24"/>
      <c r="R18054" s="24"/>
      <c r="S18054" s="24"/>
      <c r="T18054" s="24"/>
      <c r="U18054" s="24"/>
      <c r="V18054" s="24"/>
      <c r="W18054" s="24"/>
      <c r="X18054" s="24"/>
      <c r="Y18054" s="24"/>
      <c r="Z18054" s="24"/>
      <c r="AA18054" s="24"/>
    </row>
    <row r="18055">
      <c r="A18055" s="24"/>
      <c r="B18055" s="25"/>
      <c r="C18055" s="24"/>
      <c r="D18055" s="26"/>
      <c r="E18055" s="24"/>
      <c r="F18055" s="24"/>
      <c r="G18055" s="24"/>
      <c r="H18055" s="24"/>
      <c r="I18055" s="24"/>
      <c r="J18055" s="24"/>
      <c r="K18055" s="24"/>
      <c r="L18055" s="24"/>
      <c r="M18055" s="24"/>
      <c r="N18055" s="24"/>
      <c r="O18055" s="24"/>
      <c r="P18055" s="24"/>
      <c r="Q18055" s="24"/>
      <c r="R18055" s="24"/>
      <c r="S18055" s="24"/>
      <c r="T18055" s="24"/>
      <c r="U18055" s="24"/>
      <c r="V18055" s="24"/>
      <c r="W18055" s="24"/>
      <c r="X18055" s="24"/>
      <c r="Y18055" s="24"/>
      <c r="Z18055" s="24"/>
      <c r="AA18055" s="24"/>
    </row>
    <row r="18056">
      <c r="A18056" s="24"/>
      <c r="B18056" s="25"/>
      <c r="C18056" s="24"/>
      <c r="D18056" s="26"/>
      <c r="E18056" s="24"/>
      <c r="F18056" s="24"/>
      <c r="G18056" s="24"/>
      <c r="H18056" s="24"/>
      <c r="I18056" s="24"/>
      <c r="J18056" s="24"/>
      <c r="K18056" s="24"/>
      <c r="L18056" s="24"/>
      <c r="M18056" s="24"/>
      <c r="N18056" s="24"/>
      <c r="O18056" s="24"/>
      <c r="P18056" s="24"/>
      <c r="Q18056" s="24"/>
      <c r="R18056" s="24"/>
      <c r="S18056" s="24"/>
      <c r="T18056" s="24"/>
      <c r="U18056" s="24"/>
      <c r="V18056" s="24"/>
      <c r="W18056" s="24"/>
      <c r="X18056" s="24"/>
      <c r="Y18056" s="24"/>
      <c r="Z18056" s="24"/>
      <c r="AA18056" s="24"/>
    </row>
    <row r="18057">
      <c r="A18057" s="24"/>
      <c r="B18057" s="25"/>
      <c r="C18057" s="24"/>
      <c r="D18057" s="26"/>
      <c r="E18057" s="24"/>
      <c r="F18057" s="24"/>
      <c r="G18057" s="24"/>
      <c r="H18057" s="24"/>
      <c r="I18057" s="24"/>
      <c r="J18057" s="24"/>
      <c r="K18057" s="24"/>
      <c r="L18057" s="24"/>
      <c r="M18057" s="24"/>
      <c r="N18057" s="24"/>
      <c r="O18057" s="24"/>
      <c r="P18057" s="24"/>
      <c r="Q18057" s="24"/>
      <c r="R18057" s="24"/>
      <c r="S18057" s="24"/>
      <c r="T18057" s="24"/>
      <c r="U18057" s="24"/>
      <c r="V18057" s="24"/>
      <c r="W18057" s="24"/>
      <c r="X18057" s="24"/>
      <c r="Y18057" s="24"/>
      <c r="Z18057" s="24"/>
      <c r="AA18057" s="24"/>
    </row>
    <row r="18058">
      <c r="A18058" s="24"/>
      <c r="B18058" s="25"/>
      <c r="C18058" s="24"/>
      <c r="D18058" s="26"/>
      <c r="E18058" s="24"/>
      <c r="F18058" s="24"/>
      <c r="G18058" s="24"/>
      <c r="H18058" s="24"/>
      <c r="I18058" s="24"/>
      <c r="J18058" s="24"/>
      <c r="K18058" s="24"/>
      <c r="L18058" s="24"/>
      <c r="M18058" s="24"/>
      <c r="N18058" s="24"/>
      <c r="O18058" s="24"/>
      <c r="P18058" s="24"/>
      <c r="Q18058" s="24"/>
      <c r="R18058" s="24"/>
      <c r="S18058" s="24"/>
      <c r="T18058" s="24"/>
      <c r="U18058" s="24"/>
      <c r="V18058" s="24"/>
      <c r="W18058" s="24"/>
      <c r="X18058" s="24"/>
      <c r="Y18058" s="24"/>
      <c r="Z18058" s="24"/>
      <c r="AA18058" s="24"/>
    </row>
    <row r="18059">
      <c r="A18059" s="24"/>
      <c r="B18059" s="25"/>
      <c r="C18059" s="24"/>
      <c r="D18059" s="26"/>
      <c r="E18059" s="24"/>
      <c r="F18059" s="24"/>
      <c r="G18059" s="24"/>
      <c r="H18059" s="24"/>
      <c r="I18059" s="24"/>
      <c r="J18059" s="24"/>
      <c r="K18059" s="24"/>
      <c r="L18059" s="24"/>
      <c r="M18059" s="24"/>
      <c r="N18059" s="24"/>
      <c r="O18059" s="24"/>
      <c r="P18059" s="24"/>
      <c r="Q18059" s="24"/>
      <c r="R18059" s="24"/>
      <c r="S18059" s="24"/>
      <c r="T18059" s="24"/>
      <c r="U18059" s="24"/>
      <c r="V18059" s="24"/>
      <c r="W18059" s="24"/>
      <c r="X18059" s="24"/>
      <c r="Y18059" s="24"/>
      <c r="Z18059" s="24"/>
      <c r="AA18059" s="24"/>
    </row>
    <row r="18060">
      <c r="A18060" s="24"/>
      <c r="B18060" s="25"/>
      <c r="C18060" s="24"/>
      <c r="D18060" s="26"/>
      <c r="E18060" s="24"/>
      <c r="F18060" s="24"/>
      <c r="G18060" s="24"/>
      <c r="H18060" s="24"/>
      <c r="I18060" s="24"/>
      <c r="J18060" s="24"/>
      <c r="K18060" s="24"/>
      <c r="L18060" s="24"/>
      <c r="M18060" s="24"/>
      <c r="N18060" s="24"/>
      <c r="O18060" s="24"/>
      <c r="P18060" s="24"/>
      <c r="Q18060" s="24"/>
      <c r="R18060" s="24"/>
      <c r="S18060" s="24"/>
      <c r="T18060" s="24"/>
      <c r="U18060" s="24"/>
      <c r="V18060" s="24"/>
      <c r="W18060" s="24"/>
      <c r="X18060" s="24"/>
      <c r="Y18060" s="24"/>
      <c r="Z18060" s="24"/>
      <c r="AA18060" s="24"/>
    </row>
    <row r="18061">
      <c r="A18061" s="24"/>
      <c r="B18061" s="25"/>
      <c r="C18061" s="24"/>
      <c r="D18061" s="26"/>
      <c r="E18061" s="24"/>
      <c r="F18061" s="24"/>
      <c r="G18061" s="24"/>
      <c r="H18061" s="24"/>
      <c r="I18061" s="24"/>
      <c r="J18061" s="24"/>
      <c r="K18061" s="24"/>
      <c r="L18061" s="24"/>
      <c r="M18061" s="24"/>
      <c r="N18061" s="24"/>
      <c r="O18061" s="24"/>
      <c r="P18061" s="24"/>
      <c r="Q18061" s="24"/>
      <c r="R18061" s="24"/>
      <c r="S18061" s="24"/>
      <c r="T18061" s="24"/>
      <c r="U18061" s="24"/>
      <c r="V18061" s="24"/>
      <c r="W18061" s="24"/>
      <c r="X18061" s="24"/>
      <c r="Y18061" s="24"/>
      <c r="Z18061" s="24"/>
      <c r="AA18061" s="24"/>
    </row>
    <row r="18062">
      <c r="A18062" s="24"/>
      <c r="B18062" s="25"/>
      <c r="C18062" s="24"/>
      <c r="D18062" s="26"/>
      <c r="E18062" s="24"/>
      <c r="F18062" s="24"/>
      <c r="G18062" s="24"/>
      <c r="H18062" s="24"/>
      <c r="I18062" s="24"/>
      <c r="J18062" s="24"/>
      <c r="K18062" s="24"/>
      <c r="L18062" s="24"/>
      <c r="M18062" s="24"/>
      <c r="N18062" s="24"/>
      <c r="O18062" s="24"/>
      <c r="P18062" s="24"/>
      <c r="Q18062" s="24"/>
      <c r="R18062" s="24"/>
      <c r="S18062" s="24"/>
      <c r="T18062" s="24"/>
      <c r="U18062" s="24"/>
      <c r="V18062" s="24"/>
      <c r="W18062" s="24"/>
      <c r="X18062" s="24"/>
      <c r="Y18062" s="24"/>
      <c r="Z18062" s="24"/>
      <c r="AA18062" s="24"/>
    </row>
    <row r="18063">
      <c r="A18063" s="24"/>
      <c r="B18063" s="25"/>
      <c r="C18063" s="24"/>
      <c r="D18063" s="26"/>
      <c r="E18063" s="24"/>
      <c r="F18063" s="24"/>
      <c r="G18063" s="24"/>
      <c r="H18063" s="24"/>
      <c r="I18063" s="24"/>
      <c r="J18063" s="24"/>
      <c r="K18063" s="24"/>
      <c r="L18063" s="24"/>
      <c r="M18063" s="24"/>
      <c r="N18063" s="24"/>
      <c r="O18063" s="24"/>
      <c r="P18063" s="24"/>
      <c r="Q18063" s="24"/>
      <c r="R18063" s="24"/>
      <c r="S18063" s="24"/>
      <c r="T18063" s="24"/>
      <c r="U18063" s="24"/>
      <c r="V18063" s="24"/>
      <c r="W18063" s="24"/>
      <c r="X18063" s="24"/>
      <c r="Y18063" s="24"/>
      <c r="Z18063" s="24"/>
      <c r="AA18063" s="24"/>
    </row>
    <row r="18064">
      <c r="A18064" s="24"/>
      <c r="B18064" s="25"/>
      <c r="C18064" s="24"/>
      <c r="D18064" s="26"/>
      <c r="E18064" s="24"/>
      <c r="F18064" s="24"/>
      <c r="G18064" s="24"/>
      <c r="H18064" s="24"/>
      <c r="I18064" s="24"/>
      <c r="J18064" s="24"/>
      <c r="K18064" s="24"/>
      <c r="L18064" s="24"/>
      <c r="M18064" s="24"/>
      <c r="N18064" s="24"/>
      <c r="O18064" s="24"/>
      <c r="P18064" s="24"/>
      <c r="Q18064" s="24"/>
      <c r="R18064" s="24"/>
      <c r="S18064" s="24"/>
      <c r="T18064" s="24"/>
      <c r="U18064" s="24"/>
      <c r="V18064" s="24"/>
      <c r="W18064" s="24"/>
      <c r="X18064" s="24"/>
      <c r="Y18064" s="24"/>
      <c r="Z18064" s="24"/>
      <c r="AA18064" s="24"/>
    </row>
    <row r="18065">
      <c r="A18065" s="24"/>
      <c r="B18065" s="25"/>
      <c r="C18065" s="24"/>
      <c r="D18065" s="26"/>
      <c r="E18065" s="24"/>
      <c r="F18065" s="24"/>
      <c r="G18065" s="24"/>
      <c r="H18065" s="24"/>
      <c r="I18065" s="24"/>
      <c r="J18065" s="24"/>
      <c r="K18065" s="24"/>
      <c r="L18065" s="24"/>
      <c r="M18065" s="24"/>
      <c r="N18065" s="24"/>
      <c r="O18065" s="24"/>
      <c r="P18065" s="24"/>
      <c r="Q18065" s="24"/>
      <c r="R18065" s="24"/>
      <c r="S18065" s="24"/>
      <c r="T18065" s="24"/>
      <c r="U18065" s="24"/>
      <c r="V18065" s="24"/>
      <c r="W18065" s="24"/>
      <c r="X18065" s="24"/>
      <c r="Y18065" s="24"/>
      <c r="Z18065" s="24"/>
      <c r="AA18065" s="24"/>
    </row>
    <row r="18066">
      <c r="A18066" s="24"/>
      <c r="B18066" s="25"/>
      <c r="C18066" s="24"/>
      <c r="D18066" s="26"/>
      <c r="E18066" s="24"/>
      <c r="F18066" s="24"/>
      <c r="G18066" s="24"/>
      <c r="H18066" s="24"/>
      <c r="I18066" s="24"/>
      <c r="J18066" s="24"/>
      <c r="K18066" s="24"/>
      <c r="L18066" s="24"/>
      <c r="M18066" s="24"/>
      <c r="N18066" s="24"/>
      <c r="O18066" s="24"/>
      <c r="P18066" s="24"/>
      <c r="Q18066" s="24"/>
      <c r="R18066" s="24"/>
      <c r="S18066" s="24"/>
      <c r="T18066" s="24"/>
      <c r="U18066" s="24"/>
      <c r="V18066" s="24"/>
      <c r="W18066" s="24"/>
      <c r="X18066" s="24"/>
      <c r="Y18066" s="24"/>
      <c r="Z18066" s="24"/>
      <c r="AA18066" s="24"/>
    </row>
    <row r="18067">
      <c r="A18067" s="24"/>
      <c r="B18067" s="25"/>
      <c r="C18067" s="24"/>
      <c r="D18067" s="26"/>
      <c r="E18067" s="24"/>
      <c r="F18067" s="24"/>
      <c r="G18067" s="24"/>
      <c r="H18067" s="24"/>
      <c r="I18067" s="24"/>
      <c r="J18067" s="24"/>
      <c r="K18067" s="24"/>
      <c r="L18067" s="24"/>
      <c r="M18067" s="24"/>
      <c r="N18067" s="24"/>
      <c r="O18067" s="24"/>
      <c r="P18067" s="24"/>
      <c r="Q18067" s="24"/>
      <c r="R18067" s="24"/>
      <c r="S18067" s="24"/>
      <c r="T18067" s="24"/>
      <c r="U18067" s="24"/>
      <c r="V18067" s="24"/>
      <c r="W18067" s="24"/>
      <c r="X18067" s="24"/>
      <c r="Y18067" s="24"/>
      <c r="Z18067" s="24"/>
      <c r="AA18067" s="24"/>
    </row>
    <row r="18068">
      <c r="A18068" s="24"/>
      <c r="B18068" s="25"/>
      <c r="C18068" s="24"/>
      <c r="D18068" s="26"/>
      <c r="E18068" s="24"/>
      <c r="F18068" s="24"/>
      <c r="G18068" s="24"/>
      <c r="H18068" s="24"/>
      <c r="I18068" s="24"/>
      <c r="J18068" s="24"/>
      <c r="K18068" s="24"/>
      <c r="L18068" s="24"/>
      <c r="M18068" s="24"/>
      <c r="N18068" s="24"/>
      <c r="O18068" s="24"/>
      <c r="P18068" s="24"/>
      <c r="Q18068" s="24"/>
      <c r="R18068" s="24"/>
      <c r="S18068" s="24"/>
      <c r="T18068" s="24"/>
      <c r="U18068" s="24"/>
      <c r="V18068" s="24"/>
      <c r="W18068" s="24"/>
      <c r="X18068" s="24"/>
      <c r="Y18068" s="24"/>
      <c r="Z18068" s="24"/>
      <c r="AA18068" s="24"/>
    </row>
    <row r="18069">
      <c r="A18069" s="24"/>
      <c r="B18069" s="25"/>
      <c r="C18069" s="24"/>
      <c r="D18069" s="26"/>
      <c r="E18069" s="24"/>
      <c r="F18069" s="24"/>
      <c r="G18069" s="24"/>
      <c r="H18069" s="24"/>
      <c r="I18069" s="24"/>
      <c r="J18069" s="24"/>
      <c r="K18069" s="24"/>
      <c r="L18069" s="24"/>
      <c r="M18069" s="24"/>
      <c r="N18069" s="24"/>
      <c r="O18069" s="24"/>
      <c r="P18069" s="24"/>
      <c r="Q18069" s="24"/>
      <c r="R18069" s="24"/>
      <c r="S18069" s="24"/>
      <c r="T18069" s="24"/>
      <c r="U18069" s="24"/>
      <c r="V18069" s="24"/>
      <c r="W18069" s="24"/>
      <c r="X18069" s="24"/>
      <c r="Y18069" s="24"/>
      <c r="Z18069" s="24"/>
      <c r="AA18069" s="24"/>
    </row>
    <row r="18070">
      <c r="A18070" s="24"/>
      <c r="B18070" s="25"/>
      <c r="C18070" s="24"/>
      <c r="D18070" s="26"/>
      <c r="E18070" s="24"/>
      <c r="F18070" s="24"/>
      <c r="G18070" s="24"/>
      <c r="H18070" s="24"/>
      <c r="I18070" s="24"/>
      <c r="J18070" s="24"/>
      <c r="K18070" s="24"/>
      <c r="L18070" s="24"/>
      <c r="M18070" s="24"/>
      <c r="N18070" s="24"/>
      <c r="O18070" s="24"/>
      <c r="P18070" s="24"/>
      <c r="Q18070" s="24"/>
      <c r="R18070" s="24"/>
      <c r="S18070" s="24"/>
      <c r="T18070" s="24"/>
      <c r="U18070" s="24"/>
      <c r="V18070" s="24"/>
      <c r="W18070" s="24"/>
      <c r="X18070" s="24"/>
      <c r="Y18070" s="24"/>
      <c r="Z18070" s="24"/>
      <c r="AA18070" s="24"/>
    </row>
    <row r="18071">
      <c r="A18071" s="24"/>
      <c r="B18071" s="25"/>
      <c r="C18071" s="24"/>
      <c r="D18071" s="26"/>
      <c r="E18071" s="24"/>
      <c r="F18071" s="24"/>
      <c r="G18071" s="24"/>
      <c r="H18071" s="24"/>
      <c r="I18071" s="24"/>
      <c r="J18071" s="24"/>
      <c r="K18071" s="24"/>
      <c r="L18071" s="24"/>
      <c r="M18071" s="24"/>
      <c r="N18071" s="24"/>
      <c r="O18071" s="24"/>
      <c r="P18071" s="24"/>
      <c r="Q18071" s="24"/>
      <c r="R18071" s="24"/>
      <c r="S18071" s="24"/>
      <c r="T18071" s="24"/>
      <c r="U18071" s="24"/>
      <c r="V18071" s="24"/>
      <c r="W18071" s="24"/>
      <c r="X18071" s="24"/>
      <c r="Y18071" s="24"/>
      <c r="Z18071" s="24"/>
      <c r="AA18071" s="24"/>
    </row>
    <row r="18072">
      <c r="A18072" s="24"/>
      <c r="B18072" s="25"/>
      <c r="C18072" s="24"/>
      <c r="D18072" s="26"/>
      <c r="E18072" s="24"/>
      <c r="F18072" s="24"/>
      <c r="G18072" s="24"/>
      <c r="H18072" s="24"/>
      <c r="I18072" s="24"/>
      <c r="J18072" s="24"/>
      <c r="K18072" s="24"/>
      <c r="L18072" s="24"/>
      <c r="M18072" s="24"/>
      <c r="N18072" s="24"/>
      <c r="O18072" s="24"/>
      <c r="P18072" s="24"/>
      <c r="Q18072" s="24"/>
      <c r="R18072" s="24"/>
      <c r="S18072" s="24"/>
      <c r="T18072" s="24"/>
      <c r="U18072" s="24"/>
      <c r="V18072" s="24"/>
      <c r="W18072" s="24"/>
      <c r="X18072" s="24"/>
      <c r="Y18072" s="24"/>
      <c r="Z18072" s="24"/>
      <c r="AA18072" s="24"/>
    </row>
    <row r="18073">
      <c r="A18073" s="24"/>
      <c r="B18073" s="25"/>
      <c r="C18073" s="24"/>
      <c r="D18073" s="26"/>
      <c r="E18073" s="24"/>
      <c r="F18073" s="24"/>
      <c r="G18073" s="24"/>
      <c r="H18073" s="24"/>
      <c r="I18073" s="24"/>
      <c r="J18073" s="24"/>
      <c r="K18073" s="24"/>
      <c r="L18073" s="24"/>
      <c r="M18073" s="24"/>
      <c r="N18073" s="24"/>
      <c r="O18073" s="24"/>
      <c r="P18073" s="24"/>
      <c r="Q18073" s="24"/>
      <c r="R18073" s="24"/>
      <c r="S18073" s="24"/>
      <c r="T18073" s="24"/>
      <c r="U18073" s="24"/>
      <c r="V18073" s="24"/>
      <c r="W18073" s="24"/>
      <c r="X18073" s="24"/>
      <c r="Y18073" s="24"/>
      <c r="Z18073" s="24"/>
      <c r="AA18073" s="24"/>
    </row>
    <row r="18074">
      <c r="A18074" s="24"/>
      <c r="B18074" s="25"/>
      <c r="C18074" s="24"/>
      <c r="D18074" s="26"/>
      <c r="E18074" s="24"/>
      <c r="F18074" s="24"/>
      <c r="G18074" s="24"/>
      <c r="H18074" s="24"/>
      <c r="I18074" s="24"/>
      <c r="J18074" s="24"/>
      <c r="K18074" s="24"/>
      <c r="L18074" s="24"/>
      <c r="M18074" s="24"/>
      <c r="N18074" s="24"/>
      <c r="O18074" s="24"/>
      <c r="P18074" s="24"/>
      <c r="Q18074" s="24"/>
      <c r="R18074" s="24"/>
      <c r="S18074" s="24"/>
      <c r="T18074" s="24"/>
      <c r="U18074" s="24"/>
      <c r="V18074" s="24"/>
      <c r="W18074" s="24"/>
      <c r="X18074" s="24"/>
      <c r="Y18074" s="24"/>
      <c r="Z18074" s="24"/>
      <c r="AA18074" s="24"/>
    </row>
    <row r="18075">
      <c r="A18075" s="24"/>
      <c r="B18075" s="25"/>
      <c r="C18075" s="24"/>
      <c r="D18075" s="26"/>
      <c r="E18075" s="24"/>
      <c r="F18075" s="24"/>
      <c r="G18075" s="24"/>
      <c r="H18075" s="24"/>
      <c r="I18075" s="24"/>
      <c r="J18075" s="24"/>
      <c r="K18075" s="24"/>
      <c r="L18075" s="24"/>
      <c r="M18075" s="24"/>
      <c r="N18075" s="24"/>
      <c r="O18075" s="24"/>
      <c r="P18075" s="24"/>
      <c r="Q18075" s="24"/>
      <c r="R18075" s="24"/>
      <c r="S18075" s="24"/>
      <c r="T18075" s="24"/>
      <c r="U18075" s="24"/>
      <c r="V18075" s="24"/>
      <c r="W18075" s="24"/>
      <c r="X18075" s="24"/>
      <c r="Y18075" s="24"/>
      <c r="Z18075" s="24"/>
      <c r="AA18075" s="24"/>
    </row>
    <row r="18076">
      <c r="A18076" s="24"/>
      <c r="B18076" s="25"/>
      <c r="C18076" s="24"/>
      <c r="D18076" s="26"/>
      <c r="E18076" s="24"/>
      <c r="F18076" s="24"/>
      <c r="G18076" s="24"/>
      <c r="H18076" s="24"/>
      <c r="I18076" s="24"/>
      <c r="J18076" s="24"/>
      <c r="K18076" s="24"/>
      <c r="L18076" s="24"/>
      <c r="M18076" s="24"/>
      <c r="N18076" s="24"/>
      <c r="O18076" s="24"/>
      <c r="P18076" s="24"/>
      <c r="Q18076" s="24"/>
      <c r="R18076" s="24"/>
      <c r="S18076" s="24"/>
      <c r="T18076" s="24"/>
      <c r="U18076" s="24"/>
      <c r="V18076" s="24"/>
      <c r="W18076" s="24"/>
      <c r="X18076" s="24"/>
      <c r="Y18076" s="24"/>
      <c r="Z18076" s="24"/>
      <c r="AA18076" s="24"/>
    </row>
    <row r="18077">
      <c r="A18077" s="24"/>
      <c r="B18077" s="25"/>
      <c r="C18077" s="24"/>
      <c r="D18077" s="26"/>
      <c r="E18077" s="24"/>
      <c r="F18077" s="24"/>
      <c r="G18077" s="24"/>
      <c r="H18077" s="24"/>
      <c r="I18077" s="24"/>
      <c r="J18077" s="24"/>
      <c r="K18077" s="24"/>
      <c r="L18077" s="24"/>
      <c r="M18077" s="24"/>
      <c r="N18077" s="24"/>
      <c r="O18077" s="24"/>
      <c r="P18077" s="24"/>
      <c r="Q18077" s="24"/>
      <c r="R18077" s="24"/>
      <c r="S18077" s="24"/>
      <c r="T18077" s="24"/>
      <c r="U18077" s="24"/>
      <c r="V18077" s="24"/>
      <c r="W18077" s="24"/>
      <c r="X18077" s="24"/>
      <c r="Y18077" s="24"/>
      <c r="Z18077" s="24"/>
      <c r="AA18077" s="24"/>
    </row>
    <row r="18078">
      <c r="A18078" s="24"/>
      <c r="B18078" s="25"/>
      <c r="C18078" s="24"/>
      <c r="D18078" s="26"/>
      <c r="E18078" s="24"/>
      <c r="F18078" s="24"/>
      <c r="G18078" s="24"/>
      <c r="H18078" s="24"/>
      <c r="I18078" s="24"/>
      <c r="J18078" s="24"/>
      <c r="K18078" s="24"/>
      <c r="L18078" s="24"/>
      <c r="M18078" s="24"/>
      <c r="N18078" s="24"/>
      <c r="O18078" s="24"/>
      <c r="P18078" s="24"/>
      <c r="Q18078" s="24"/>
      <c r="R18078" s="24"/>
      <c r="S18078" s="24"/>
      <c r="T18078" s="24"/>
      <c r="U18078" s="24"/>
      <c r="V18078" s="24"/>
      <c r="W18078" s="24"/>
      <c r="X18078" s="24"/>
      <c r="Y18078" s="24"/>
      <c r="Z18078" s="24"/>
      <c r="AA18078" s="24"/>
    </row>
    <row r="18079">
      <c r="A18079" s="24"/>
      <c r="B18079" s="25"/>
      <c r="C18079" s="24"/>
      <c r="D18079" s="26"/>
      <c r="E18079" s="24"/>
      <c r="F18079" s="24"/>
      <c r="G18079" s="24"/>
      <c r="H18079" s="24"/>
      <c r="I18079" s="24"/>
      <c r="J18079" s="24"/>
      <c r="K18079" s="24"/>
      <c r="L18079" s="24"/>
      <c r="M18079" s="24"/>
      <c r="N18079" s="24"/>
      <c r="O18079" s="24"/>
      <c r="P18079" s="24"/>
      <c r="Q18079" s="24"/>
      <c r="R18079" s="24"/>
      <c r="S18079" s="24"/>
      <c r="T18079" s="24"/>
      <c r="U18079" s="24"/>
      <c r="V18079" s="24"/>
      <c r="W18079" s="24"/>
      <c r="X18079" s="24"/>
      <c r="Y18079" s="24"/>
      <c r="Z18079" s="24"/>
      <c r="AA18079" s="24"/>
    </row>
    <row r="18080">
      <c r="A18080" s="24"/>
      <c r="B18080" s="25"/>
      <c r="C18080" s="24"/>
      <c r="D18080" s="26"/>
      <c r="E18080" s="24"/>
      <c r="F18080" s="24"/>
      <c r="G18080" s="24"/>
      <c r="H18080" s="24"/>
      <c r="I18080" s="24"/>
      <c r="J18080" s="24"/>
      <c r="K18080" s="24"/>
      <c r="L18080" s="24"/>
      <c r="M18080" s="24"/>
      <c r="N18080" s="24"/>
      <c r="O18080" s="24"/>
      <c r="P18080" s="24"/>
      <c r="Q18080" s="24"/>
      <c r="R18080" s="24"/>
      <c r="S18080" s="24"/>
      <c r="T18080" s="24"/>
      <c r="U18080" s="24"/>
      <c r="V18080" s="24"/>
      <c r="W18080" s="24"/>
      <c r="X18080" s="24"/>
      <c r="Y18080" s="24"/>
      <c r="Z18080" s="24"/>
      <c r="AA18080" s="24"/>
    </row>
    <row r="18081">
      <c r="A18081" s="24"/>
      <c r="B18081" s="25"/>
      <c r="C18081" s="24"/>
      <c r="D18081" s="26"/>
      <c r="E18081" s="24"/>
      <c r="F18081" s="24"/>
      <c r="G18081" s="24"/>
      <c r="H18081" s="24"/>
      <c r="I18081" s="24"/>
      <c r="J18081" s="24"/>
      <c r="K18081" s="24"/>
      <c r="L18081" s="24"/>
      <c r="M18081" s="24"/>
      <c r="N18081" s="24"/>
      <c r="O18081" s="24"/>
      <c r="P18081" s="24"/>
      <c r="Q18081" s="24"/>
      <c r="R18081" s="24"/>
      <c r="S18081" s="24"/>
      <c r="T18081" s="24"/>
      <c r="U18081" s="24"/>
      <c r="V18081" s="24"/>
      <c r="W18081" s="24"/>
      <c r="X18081" s="24"/>
      <c r="Y18081" s="24"/>
      <c r="Z18081" s="24"/>
      <c r="AA18081" s="24"/>
    </row>
    <row r="18082">
      <c r="A18082" s="24"/>
      <c r="B18082" s="25"/>
      <c r="C18082" s="24"/>
      <c r="D18082" s="26"/>
      <c r="E18082" s="24"/>
      <c r="F18082" s="24"/>
      <c r="G18082" s="24"/>
      <c r="H18082" s="24"/>
      <c r="I18082" s="24"/>
      <c r="J18082" s="24"/>
      <c r="K18082" s="24"/>
      <c r="L18082" s="24"/>
      <c r="M18082" s="24"/>
      <c r="N18082" s="24"/>
      <c r="O18082" s="24"/>
      <c r="P18082" s="24"/>
      <c r="Q18082" s="24"/>
      <c r="R18082" s="24"/>
      <c r="S18082" s="24"/>
      <c r="T18082" s="24"/>
      <c r="U18082" s="24"/>
      <c r="V18082" s="24"/>
      <c r="W18082" s="24"/>
      <c r="X18082" s="24"/>
      <c r="Y18082" s="24"/>
      <c r="Z18082" s="24"/>
      <c r="AA18082" s="24"/>
    </row>
    <row r="18083">
      <c r="A18083" s="24"/>
      <c r="B18083" s="25"/>
      <c r="C18083" s="24"/>
      <c r="D18083" s="26"/>
      <c r="E18083" s="24"/>
      <c r="F18083" s="24"/>
      <c r="G18083" s="24"/>
      <c r="H18083" s="24"/>
      <c r="I18083" s="24"/>
      <c r="J18083" s="24"/>
      <c r="K18083" s="24"/>
      <c r="L18083" s="24"/>
      <c r="M18083" s="24"/>
      <c r="N18083" s="24"/>
      <c r="O18083" s="24"/>
      <c r="P18083" s="24"/>
      <c r="Q18083" s="24"/>
      <c r="R18083" s="24"/>
      <c r="S18083" s="24"/>
      <c r="T18083" s="24"/>
      <c r="U18083" s="24"/>
      <c r="V18083" s="24"/>
      <c r="W18083" s="24"/>
      <c r="X18083" s="24"/>
      <c r="Y18083" s="24"/>
      <c r="Z18083" s="24"/>
      <c r="AA18083" s="24"/>
    </row>
    <row r="18084">
      <c r="A18084" s="24"/>
      <c r="B18084" s="25"/>
      <c r="C18084" s="24"/>
      <c r="D18084" s="26"/>
      <c r="E18084" s="24"/>
      <c r="F18084" s="24"/>
      <c r="G18084" s="24"/>
      <c r="H18084" s="24"/>
      <c r="I18084" s="24"/>
      <c r="J18084" s="24"/>
      <c r="K18084" s="24"/>
      <c r="L18084" s="24"/>
      <c r="M18084" s="24"/>
      <c r="N18084" s="24"/>
      <c r="O18084" s="24"/>
      <c r="P18084" s="24"/>
      <c r="Q18084" s="24"/>
      <c r="R18084" s="24"/>
      <c r="S18084" s="24"/>
      <c r="T18084" s="24"/>
      <c r="U18084" s="24"/>
      <c r="V18084" s="24"/>
      <c r="W18084" s="24"/>
      <c r="X18084" s="24"/>
      <c r="Y18084" s="24"/>
      <c r="Z18084" s="24"/>
      <c r="AA18084" s="24"/>
    </row>
    <row r="18085">
      <c r="A18085" s="24"/>
      <c r="B18085" s="25"/>
      <c r="C18085" s="24"/>
      <c r="D18085" s="26"/>
      <c r="E18085" s="24"/>
      <c r="F18085" s="24"/>
      <c r="G18085" s="24"/>
      <c r="H18085" s="24"/>
      <c r="I18085" s="24"/>
      <c r="J18085" s="24"/>
      <c r="K18085" s="24"/>
      <c r="L18085" s="24"/>
      <c r="M18085" s="24"/>
      <c r="N18085" s="24"/>
      <c r="O18085" s="24"/>
      <c r="P18085" s="24"/>
      <c r="Q18085" s="24"/>
      <c r="R18085" s="24"/>
      <c r="S18085" s="24"/>
      <c r="T18085" s="24"/>
      <c r="U18085" s="24"/>
      <c r="V18085" s="24"/>
      <c r="W18085" s="24"/>
      <c r="X18085" s="24"/>
      <c r="Y18085" s="24"/>
      <c r="Z18085" s="24"/>
      <c r="AA18085" s="24"/>
    </row>
    <row r="18086">
      <c r="A18086" s="24"/>
      <c r="B18086" s="25"/>
      <c r="C18086" s="24"/>
      <c r="D18086" s="26"/>
      <c r="E18086" s="24"/>
      <c r="F18086" s="24"/>
      <c r="G18086" s="24"/>
      <c r="H18086" s="24"/>
      <c r="I18086" s="24"/>
      <c r="J18086" s="24"/>
      <c r="K18086" s="24"/>
      <c r="L18086" s="24"/>
      <c r="M18086" s="24"/>
      <c r="N18086" s="24"/>
      <c r="O18086" s="24"/>
      <c r="P18086" s="24"/>
      <c r="Q18086" s="24"/>
      <c r="R18086" s="24"/>
      <c r="S18086" s="24"/>
      <c r="T18086" s="24"/>
      <c r="U18086" s="24"/>
      <c r="V18086" s="24"/>
      <c r="W18086" s="24"/>
      <c r="X18086" s="24"/>
      <c r="Y18086" s="24"/>
      <c r="Z18086" s="24"/>
      <c r="AA18086" s="24"/>
    </row>
    <row r="18087">
      <c r="A18087" s="24"/>
      <c r="B18087" s="25"/>
      <c r="C18087" s="24"/>
      <c r="D18087" s="26"/>
      <c r="E18087" s="24"/>
      <c r="F18087" s="24"/>
      <c r="G18087" s="24"/>
      <c r="H18087" s="24"/>
      <c r="I18087" s="24"/>
      <c r="J18087" s="24"/>
      <c r="K18087" s="24"/>
      <c r="L18087" s="24"/>
      <c r="M18087" s="24"/>
      <c r="N18087" s="24"/>
      <c r="O18087" s="24"/>
      <c r="P18087" s="24"/>
      <c r="Q18087" s="24"/>
      <c r="R18087" s="24"/>
      <c r="S18087" s="24"/>
      <c r="T18087" s="24"/>
      <c r="U18087" s="24"/>
      <c r="V18087" s="24"/>
      <c r="W18087" s="24"/>
      <c r="X18087" s="24"/>
      <c r="Y18087" s="24"/>
      <c r="Z18087" s="24"/>
      <c r="AA18087" s="24"/>
    </row>
    <row r="18088">
      <c r="A18088" s="24"/>
      <c r="B18088" s="25"/>
      <c r="C18088" s="24"/>
      <c r="D18088" s="26"/>
      <c r="E18088" s="24"/>
      <c r="F18088" s="24"/>
      <c r="G18088" s="24"/>
      <c r="H18088" s="24"/>
      <c r="I18088" s="24"/>
      <c r="J18088" s="24"/>
      <c r="K18088" s="24"/>
      <c r="L18088" s="24"/>
      <c r="M18088" s="24"/>
      <c r="N18088" s="24"/>
      <c r="O18088" s="24"/>
      <c r="P18088" s="24"/>
      <c r="Q18088" s="24"/>
      <c r="R18088" s="24"/>
      <c r="S18088" s="24"/>
      <c r="T18088" s="24"/>
      <c r="U18088" s="24"/>
      <c r="V18088" s="24"/>
      <c r="W18088" s="24"/>
      <c r="X18088" s="24"/>
      <c r="Y18088" s="24"/>
      <c r="Z18088" s="24"/>
      <c r="AA18088" s="24"/>
    </row>
    <row r="18089">
      <c r="A18089" s="24"/>
      <c r="B18089" s="25"/>
      <c r="C18089" s="24"/>
      <c r="D18089" s="26"/>
      <c r="E18089" s="24"/>
      <c r="F18089" s="24"/>
      <c r="G18089" s="24"/>
      <c r="H18089" s="24"/>
      <c r="I18089" s="24"/>
      <c r="J18089" s="24"/>
      <c r="K18089" s="24"/>
      <c r="L18089" s="24"/>
      <c r="M18089" s="24"/>
      <c r="N18089" s="24"/>
      <c r="O18089" s="24"/>
      <c r="P18089" s="24"/>
      <c r="Q18089" s="24"/>
      <c r="R18089" s="24"/>
      <c r="S18089" s="24"/>
      <c r="T18089" s="24"/>
      <c r="U18089" s="24"/>
      <c r="V18089" s="24"/>
      <c r="W18089" s="24"/>
      <c r="X18089" s="24"/>
      <c r="Y18089" s="24"/>
      <c r="Z18089" s="24"/>
      <c r="AA18089" s="24"/>
    </row>
    <row r="18090">
      <c r="A18090" s="24"/>
      <c r="B18090" s="25"/>
      <c r="C18090" s="24"/>
      <c r="D18090" s="26"/>
      <c r="E18090" s="24"/>
      <c r="F18090" s="24"/>
      <c r="G18090" s="24"/>
      <c r="H18090" s="24"/>
      <c r="I18090" s="24"/>
      <c r="J18090" s="24"/>
      <c r="K18090" s="24"/>
      <c r="L18090" s="24"/>
      <c r="M18090" s="24"/>
      <c r="N18090" s="24"/>
      <c r="O18090" s="24"/>
      <c r="P18090" s="24"/>
      <c r="Q18090" s="24"/>
      <c r="R18090" s="24"/>
      <c r="S18090" s="24"/>
      <c r="T18090" s="24"/>
      <c r="U18090" s="24"/>
      <c r="V18090" s="24"/>
      <c r="W18090" s="24"/>
      <c r="X18090" s="24"/>
      <c r="Y18090" s="24"/>
      <c r="Z18090" s="24"/>
      <c r="AA18090" s="24"/>
    </row>
    <row r="18091">
      <c r="A18091" s="24"/>
      <c r="B18091" s="25"/>
      <c r="C18091" s="24"/>
      <c r="D18091" s="26"/>
      <c r="E18091" s="24"/>
      <c r="F18091" s="24"/>
      <c r="G18091" s="24"/>
      <c r="H18091" s="24"/>
      <c r="I18091" s="24"/>
      <c r="J18091" s="24"/>
      <c r="K18091" s="24"/>
      <c r="L18091" s="24"/>
      <c r="M18091" s="24"/>
      <c r="N18091" s="24"/>
      <c r="O18091" s="24"/>
      <c r="P18091" s="24"/>
      <c r="Q18091" s="24"/>
      <c r="R18091" s="24"/>
      <c r="S18091" s="24"/>
      <c r="T18091" s="24"/>
      <c r="U18091" s="24"/>
      <c r="V18091" s="24"/>
      <c r="W18091" s="24"/>
      <c r="X18091" s="24"/>
      <c r="Y18091" s="24"/>
      <c r="Z18091" s="24"/>
      <c r="AA18091" s="24"/>
    </row>
    <row r="18092">
      <c r="A18092" s="24"/>
      <c r="B18092" s="25"/>
      <c r="C18092" s="24"/>
      <c r="D18092" s="26"/>
      <c r="E18092" s="24"/>
      <c r="F18092" s="24"/>
      <c r="G18092" s="24"/>
      <c r="H18092" s="24"/>
      <c r="I18092" s="24"/>
      <c r="J18092" s="24"/>
      <c r="K18092" s="24"/>
      <c r="L18092" s="24"/>
      <c r="M18092" s="24"/>
      <c r="N18092" s="24"/>
      <c r="O18092" s="24"/>
      <c r="P18092" s="24"/>
      <c r="Q18092" s="24"/>
      <c r="R18092" s="24"/>
      <c r="S18092" s="24"/>
      <c r="T18092" s="24"/>
      <c r="U18092" s="24"/>
      <c r="V18092" s="24"/>
      <c r="W18092" s="24"/>
      <c r="X18092" s="24"/>
      <c r="Y18092" s="24"/>
      <c r="Z18092" s="24"/>
      <c r="AA18092" s="24"/>
    </row>
    <row r="18093">
      <c r="A18093" s="24"/>
      <c r="B18093" s="25"/>
      <c r="C18093" s="24"/>
      <c r="D18093" s="26"/>
      <c r="E18093" s="24"/>
      <c r="F18093" s="24"/>
      <c r="G18093" s="24"/>
      <c r="H18093" s="24"/>
      <c r="I18093" s="24"/>
      <c r="J18093" s="24"/>
      <c r="K18093" s="24"/>
      <c r="L18093" s="24"/>
      <c r="M18093" s="24"/>
      <c r="N18093" s="24"/>
      <c r="O18093" s="24"/>
      <c r="P18093" s="24"/>
      <c r="Q18093" s="24"/>
      <c r="R18093" s="24"/>
      <c r="S18093" s="24"/>
      <c r="T18093" s="24"/>
      <c r="U18093" s="24"/>
      <c r="V18093" s="24"/>
      <c r="W18093" s="24"/>
      <c r="X18093" s="24"/>
      <c r="Y18093" s="24"/>
      <c r="Z18093" s="24"/>
      <c r="AA18093" s="24"/>
    </row>
    <row r="18094">
      <c r="A18094" s="24"/>
      <c r="B18094" s="25"/>
      <c r="C18094" s="24"/>
      <c r="D18094" s="26"/>
      <c r="E18094" s="24"/>
      <c r="F18094" s="24"/>
      <c r="G18094" s="24"/>
      <c r="H18094" s="24"/>
      <c r="I18094" s="24"/>
      <c r="J18094" s="24"/>
      <c r="K18094" s="24"/>
      <c r="L18094" s="24"/>
      <c r="M18094" s="24"/>
      <c r="N18094" s="24"/>
      <c r="O18094" s="24"/>
      <c r="P18094" s="24"/>
      <c r="Q18094" s="24"/>
      <c r="R18094" s="24"/>
      <c r="S18094" s="24"/>
      <c r="T18094" s="24"/>
      <c r="U18094" s="24"/>
      <c r="V18094" s="24"/>
      <c r="W18094" s="24"/>
      <c r="X18094" s="24"/>
      <c r="Y18094" s="24"/>
      <c r="Z18094" s="24"/>
      <c r="AA18094" s="24"/>
    </row>
    <row r="18095">
      <c r="A18095" s="24"/>
      <c r="B18095" s="25"/>
      <c r="C18095" s="24"/>
      <c r="D18095" s="26"/>
      <c r="E18095" s="24"/>
      <c r="F18095" s="24"/>
      <c r="G18095" s="24"/>
      <c r="H18095" s="24"/>
      <c r="I18095" s="24"/>
      <c r="J18095" s="24"/>
      <c r="K18095" s="24"/>
      <c r="L18095" s="24"/>
      <c r="M18095" s="24"/>
      <c r="N18095" s="24"/>
      <c r="O18095" s="24"/>
      <c r="P18095" s="24"/>
      <c r="Q18095" s="24"/>
      <c r="R18095" s="24"/>
      <c r="S18095" s="24"/>
      <c r="T18095" s="24"/>
      <c r="U18095" s="24"/>
      <c r="V18095" s="24"/>
      <c r="W18095" s="24"/>
      <c r="X18095" s="24"/>
      <c r="Y18095" s="24"/>
      <c r="Z18095" s="24"/>
      <c r="AA18095" s="24"/>
    </row>
    <row r="18096">
      <c r="A18096" s="24"/>
      <c r="B18096" s="25"/>
      <c r="C18096" s="24"/>
      <c r="D18096" s="26"/>
      <c r="E18096" s="24"/>
      <c r="F18096" s="24"/>
      <c r="G18096" s="24"/>
      <c r="H18096" s="24"/>
      <c r="I18096" s="24"/>
      <c r="J18096" s="24"/>
      <c r="K18096" s="24"/>
      <c r="L18096" s="24"/>
      <c r="M18096" s="24"/>
      <c r="N18096" s="24"/>
      <c r="O18096" s="24"/>
      <c r="P18096" s="24"/>
      <c r="Q18096" s="24"/>
      <c r="R18096" s="24"/>
      <c r="S18096" s="24"/>
      <c r="T18096" s="24"/>
      <c r="U18096" s="24"/>
      <c r="V18096" s="24"/>
      <c r="W18096" s="24"/>
      <c r="X18096" s="24"/>
      <c r="Y18096" s="24"/>
      <c r="Z18096" s="24"/>
      <c r="AA18096" s="24"/>
    </row>
    <row r="18097">
      <c r="A18097" s="24"/>
      <c r="B18097" s="25"/>
      <c r="C18097" s="24"/>
      <c r="D18097" s="26"/>
      <c r="E18097" s="24"/>
      <c r="F18097" s="24"/>
      <c r="G18097" s="24"/>
      <c r="H18097" s="24"/>
      <c r="I18097" s="24"/>
      <c r="J18097" s="24"/>
      <c r="K18097" s="24"/>
      <c r="L18097" s="24"/>
      <c r="M18097" s="24"/>
      <c r="N18097" s="24"/>
      <c r="O18097" s="24"/>
      <c r="P18097" s="24"/>
      <c r="Q18097" s="24"/>
      <c r="R18097" s="24"/>
      <c r="S18097" s="24"/>
      <c r="T18097" s="24"/>
      <c r="U18097" s="24"/>
      <c r="V18097" s="24"/>
      <c r="W18097" s="24"/>
      <c r="X18097" s="24"/>
      <c r="Y18097" s="24"/>
      <c r="Z18097" s="24"/>
      <c r="AA18097" s="24"/>
    </row>
    <row r="18098">
      <c r="A18098" s="24"/>
      <c r="B18098" s="25"/>
      <c r="C18098" s="24"/>
      <c r="D18098" s="26"/>
      <c r="E18098" s="24"/>
      <c r="F18098" s="24"/>
      <c r="G18098" s="24"/>
      <c r="H18098" s="24"/>
      <c r="I18098" s="24"/>
      <c r="J18098" s="24"/>
      <c r="K18098" s="24"/>
      <c r="L18098" s="24"/>
      <c r="M18098" s="24"/>
      <c r="N18098" s="24"/>
      <c r="O18098" s="24"/>
      <c r="P18098" s="24"/>
      <c r="Q18098" s="24"/>
      <c r="R18098" s="24"/>
      <c r="S18098" s="24"/>
      <c r="T18098" s="24"/>
      <c r="U18098" s="24"/>
      <c r="V18098" s="24"/>
      <c r="W18098" s="24"/>
      <c r="X18098" s="24"/>
      <c r="Y18098" s="24"/>
      <c r="Z18098" s="24"/>
      <c r="AA18098" s="24"/>
    </row>
    <row r="18099">
      <c r="A18099" s="24"/>
      <c r="B18099" s="25"/>
      <c r="C18099" s="24"/>
      <c r="D18099" s="26"/>
      <c r="E18099" s="24"/>
      <c r="F18099" s="24"/>
      <c r="G18099" s="24"/>
      <c r="H18099" s="24"/>
      <c r="I18099" s="24"/>
      <c r="J18099" s="24"/>
      <c r="K18099" s="24"/>
      <c r="L18099" s="24"/>
      <c r="M18099" s="24"/>
      <c r="N18099" s="24"/>
      <c r="O18099" s="24"/>
      <c r="P18099" s="24"/>
      <c r="Q18099" s="24"/>
      <c r="R18099" s="24"/>
      <c r="S18099" s="24"/>
      <c r="T18099" s="24"/>
      <c r="U18099" s="24"/>
      <c r="V18099" s="24"/>
      <c r="W18099" s="24"/>
      <c r="X18099" s="24"/>
      <c r="Y18099" s="24"/>
      <c r="Z18099" s="24"/>
      <c r="AA18099" s="24"/>
    </row>
    <row r="18100">
      <c r="A18100" s="24"/>
      <c r="B18100" s="25"/>
      <c r="C18100" s="24"/>
      <c r="D18100" s="26"/>
      <c r="E18100" s="24"/>
      <c r="F18100" s="24"/>
      <c r="G18100" s="24"/>
      <c r="H18100" s="24"/>
      <c r="I18100" s="24"/>
      <c r="J18100" s="24"/>
      <c r="K18100" s="24"/>
      <c r="L18100" s="24"/>
      <c r="M18100" s="24"/>
      <c r="N18100" s="24"/>
      <c r="O18100" s="24"/>
      <c r="P18100" s="24"/>
      <c r="Q18100" s="24"/>
      <c r="R18100" s="24"/>
      <c r="S18100" s="24"/>
      <c r="T18100" s="24"/>
      <c r="U18100" s="24"/>
      <c r="V18100" s="24"/>
      <c r="W18100" s="24"/>
      <c r="X18100" s="24"/>
      <c r="Y18100" s="24"/>
      <c r="Z18100" s="24"/>
      <c r="AA18100" s="24"/>
    </row>
    <row r="18101">
      <c r="A18101" s="24"/>
      <c r="B18101" s="25"/>
      <c r="C18101" s="24"/>
      <c r="D18101" s="26"/>
      <c r="E18101" s="24"/>
      <c r="F18101" s="24"/>
      <c r="G18101" s="24"/>
      <c r="H18101" s="24"/>
      <c r="I18101" s="24"/>
      <c r="J18101" s="24"/>
      <c r="K18101" s="24"/>
      <c r="L18101" s="24"/>
      <c r="M18101" s="24"/>
      <c r="N18101" s="24"/>
      <c r="O18101" s="24"/>
      <c r="P18101" s="24"/>
      <c r="Q18101" s="24"/>
      <c r="R18101" s="24"/>
      <c r="S18101" s="24"/>
      <c r="T18101" s="24"/>
      <c r="U18101" s="24"/>
      <c r="V18101" s="24"/>
      <c r="W18101" s="24"/>
      <c r="X18101" s="24"/>
      <c r="Y18101" s="24"/>
      <c r="Z18101" s="24"/>
      <c r="AA18101" s="24"/>
    </row>
    <row r="18102">
      <c r="A18102" s="24"/>
      <c r="B18102" s="25"/>
      <c r="C18102" s="24"/>
      <c r="D18102" s="26"/>
      <c r="E18102" s="24"/>
      <c r="F18102" s="24"/>
      <c r="G18102" s="24"/>
      <c r="H18102" s="24"/>
      <c r="I18102" s="24"/>
      <c r="J18102" s="24"/>
      <c r="K18102" s="24"/>
      <c r="L18102" s="24"/>
      <c r="M18102" s="24"/>
      <c r="N18102" s="24"/>
      <c r="O18102" s="24"/>
      <c r="P18102" s="24"/>
      <c r="Q18102" s="24"/>
      <c r="R18102" s="24"/>
      <c r="S18102" s="24"/>
      <c r="T18102" s="24"/>
      <c r="U18102" s="24"/>
      <c r="V18102" s="24"/>
      <c r="W18102" s="24"/>
      <c r="X18102" s="24"/>
      <c r="Y18102" s="24"/>
      <c r="Z18102" s="24"/>
      <c r="AA18102" s="24"/>
    </row>
    <row r="18103">
      <c r="A18103" s="24"/>
      <c r="B18103" s="25"/>
      <c r="C18103" s="24"/>
      <c r="D18103" s="26"/>
      <c r="E18103" s="24"/>
      <c r="F18103" s="24"/>
      <c r="G18103" s="24"/>
      <c r="H18103" s="24"/>
      <c r="I18103" s="24"/>
      <c r="J18103" s="24"/>
      <c r="K18103" s="24"/>
      <c r="L18103" s="24"/>
      <c r="M18103" s="24"/>
      <c r="N18103" s="24"/>
      <c r="O18103" s="24"/>
      <c r="P18103" s="24"/>
      <c r="Q18103" s="24"/>
      <c r="R18103" s="24"/>
      <c r="S18103" s="24"/>
      <c r="T18103" s="24"/>
      <c r="U18103" s="24"/>
      <c r="V18103" s="24"/>
      <c r="W18103" s="24"/>
      <c r="X18103" s="24"/>
      <c r="Y18103" s="24"/>
      <c r="Z18103" s="24"/>
      <c r="AA18103" s="24"/>
    </row>
    <row r="18104">
      <c r="A18104" s="24"/>
      <c r="B18104" s="25"/>
      <c r="C18104" s="24"/>
      <c r="D18104" s="26"/>
      <c r="E18104" s="24"/>
      <c r="F18104" s="24"/>
      <c r="G18104" s="24"/>
      <c r="H18104" s="24"/>
      <c r="I18104" s="24"/>
      <c r="J18104" s="24"/>
      <c r="K18104" s="24"/>
      <c r="L18104" s="24"/>
      <c r="M18104" s="24"/>
      <c r="N18104" s="24"/>
      <c r="O18104" s="24"/>
      <c r="P18104" s="24"/>
      <c r="Q18104" s="24"/>
      <c r="R18104" s="24"/>
      <c r="S18104" s="24"/>
      <c r="T18104" s="24"/>
      <c r="U18104" s="24"/>
      <c r="V18104" s="24"/>
      <c r="W18104" s="24"/>
      <c r="X18104" s="24"/>
      <c r="Y18104" s="24"/>
      <c r="Z18104" s="24"/>
      <c r="AA18104" s="24"/>
    </row>
    <row r="18105">
      <c r="A18105" s="24"/>
      <c r="B18105" s="25"/>
      <c r="C18105" s="24"/>
      <c r="D18105" s="26"/>
      <c r="E18105" s="24"/>
      <c r="F18105" s="24"/>
      <c r="G18105" s="24"/>
      <c r="H18105" s="24"/>
      <c r="I18105" s="24"/>
      <c r="J18105" s="24"/>
      <c r="K18105" s="24"/>
      <c r="L18105" s="24"/>
      <c r="M18105" s="24"/>
      <c r="N18105" s="24"/>
      <c r="O18105" s="24"/>
      <c r="P18105" s="24"/>
      <c r="Q18105" s="24"/>
      <c r="R18105" s="24"/>
      <c r="S18105" s="24"/>
      <c r="T18105" s="24"/>
      <c r="U18105" s="24"/>
      <c r="V18105" s="24"/>
      <c r="W18105" s="24"/>
      <c r="X18105" s="24"/>
      <c r="Y18105" s="24"/>
      <c r="Z18105" s="24"/>
      <c r="AA18105" s="24"/>
    </row>
    <row r="18106">
      <c r="A18106" s="24"/>
      <c r="B18106" s="25"/>
      <c r="C18106" s="24"/>
      <c r="D18106" s="26"/>
      <c r="E18106" s="24"/>
      <c r="F18106" s="24"/>
      <c r="G18106" s="24"/>
      <c r="H18106" s="24"/>
      <c r="I18106" s="24"/>
      <c r="J18106" s="24"/>
      <c r="K18106" s="24"/>
      <c r="L18106" s="24"/>
      <c r="M18106" s="24"/>
      <c r="N18106" s="24"/>
      <c r="O18106" s="24"/>
      <c r="P18106" s="24"/>
      <c r="Q18106" s="24"/>
      <c r="R18106" s="24"/>
      <c r="S18106" s="24"/>
      <c r="T18106" s="24"/>
      <c r="U18106" s="24"/>
      <c r="V18106" s="24"/>
      <c r="W18106" s="24"/>
      <c r="X18106" s="24"/>
      <c r="Y18106" s="24"/>
      <c r="Z18106" s="24"/>
      <c r="AA18106" s="24"/>
    </row>
    <row r="18107">
      <c r="A18107" s="24"/>
      <c r="B18107" s="25"/>
      <c r="C18107" s="24"/>
      <c r="D18107" s="26"/>
      <c r="E18107" s="24"/>
      <c r="F18107" s="24"/>
      <c r="G18107" s="24"/>
      <c r="H18107" s="24"/>
      <c r="I18107" s="24"/>
      <c r="J18107" s="24"/>
      <c r="K18107" s="24"/>
      <c r="L18107" s="24"/>
      <c r="M18107" s="24"/>
      <c r="N18107" s="24"/>
      <c r="O18107" s="24"/>
      <c r="P18107" s="24"/>
      <c r="Q18107" s="24"/>
      <c r="R18107" s="24"/>
      <c r="S18107" s="24"/>
      <c r="T18107" s="24"/>
      <c r="U18107" s="24"/>
      <c r="V18107" s="24"/>
      <c r="W18107" s="24"/>
      <c r="X18107" s="24"/>
      <c r="Y18107" s="24"/>
      <c r="Z18107" s="24"/>
      <c r="AA18107" s="24"/>
    </row>
    <row r="18108">
      <c r="A18108" s="24"/>
      <c r="B18108" s="25"/>
      <c r="C18108" s="24"/>
      <c r="D18108" s="26"/>
      <c r="E18108" s="24"/>
      <c r="F18108" s="24"/>
      <c r="G18108" s="24"/>
      <c r="H18108" s="24"/>
      <c r="I18108" s="24"/>
      <c r="J18108" s="24"/>
      <c r="K18108" s="24"/>
      <c r="L18108" s="24"/>
      <c r="M18108" s="24"/>
      <c r="N18108" s="24"/>
      <c r="O18108" s="24"/>
      <c r="P18108" s="24"/>
      <c r="Q18108" s="24"/>
      <c r="R18108" s="24"/>
      <c r="S18108" s="24"/>
      <c r="T18108" s="24"/>
      <c r="U18108" s="24"/>
      <c r="V18108" s="24"/>
      <c r="W18108" s="24"/>
      <c r="X18108" s="24"/>
      <c r="Y18108" s="24"/>
      <c r="Z18108" s="24"/>
      <c r="AA18108" s="24"/>
    </row>
    <row r="18109">
      <c r="A18109" s="24"/>
      <c r="B18109" s="25"/>
      <c r="C18109" s="24"/>
      <c r="D18109" s="26"/>
      <c r="E18109" s="24"/>
      <c r="F18109" s="24"/>
      <c r="G18109" s="24"/>
      <c r="H18109" s="24"/>
      <c r="I18109" s="24"/>
      <c r="J18109" s="24"/>
      <c r="K18109" s="24"/>
      <c r="L18109" s="24"/>
      <c r="M18109" s="24"/>
      <c r="N18109" s="24"/>
      <c r="O18109" s="24"/>
      <c r="P18109" s="24"/>
      <c r="Q18109" s="24"/>
      <c r="R18109" s="24"/>
      <c r="S18109" s="24"/>
      <c r="T18109" s="24"/>
      <c r="U18109" s="24"/>
      <c r="V18109" s="24"/>
      <c r="W18109" s="24"/>
      <c r="X18109" s="24"/>
      <c r="Y18109" s="24"/>
      <c r="Z18109" s="24"/>
      <c r="AA18109" s="24"/>
    </row>
    <row r="18110">
      <c r="A18110" s="24"/>
      <c r="B18110" s="25"/>
      <c r="C18110" s="24"/>
      <c r="D18110" s="26"/>
      <c r="E18110" s="24"/>
      <c r="F18110" s="24"/>
      <c r="G18110" s="24"/>
      <c r="H18110" s="24"/>
      <c r="I18110" s="24"/>
      <c r="J18110" s="24"/>
      <c r="K18110" s="24"/>
      <c r="L18110" s="24"/>
      <c r="M18110" s="24"/>
      <c r="N18110" s="24"/>
      <c r="O18110" s="24"/>
      <c r="P18110" s="24"/>
      <c r="Q18110" s="24"/>
      <c r="R18110" s="24"/>
      <c r="S18110" s="24"/>
      <c r="T18110" s="24"/>
      <c r="U18110" s="24"/>
      <c r="V18110" s="24"/>
      <c r="W18110" s="24"/>
      <c r="X18110" s="24"/>
      <c r="Y18110" s="24"/>
      <c r="Z18110" s="24"/>
      <c r="AA18110" s="24"/>
    </row>
    <row r="18111">
      <c r="A18111" s="24"/>
      <c r="B18111" s="25"/>
      <c r="C18111" s="24"/>
      <c r="D18111" s="26"/>
      <c r="E18111" s="24"/>
      <c r="F18111" s="24"/>
      <c r="G18111" s="24"/>
      <c r="H18111" s="24"/>
      <c r="I18111" s="24"/>
      <c r="J18111" s="24"/>
      <c r="K18111" s="24"/>
      <c r="L18111" s="24"/>
      <c r="M18111" s="24"/>
      <c r="N18111" s="24"/>
      <c r="O18111" s="24"/>
      <c r="P18111" s="24"/>
      <c r="Q18111" s="24"/>
      <c r="R18111" s="24"/>
      <c r="S18111" s="24"/>
      <c r="T18111" s="24"/>
      <c r="U18111" s="24"/>
      <c r="V18111" s="24"/>
      <c r="W18111" s="24"/>
      <c r="X18111" s="24"/>
      <c r="Y18111" s="24"/>
      <c r="Z18111" s="24"/>
      <c r="AA18111" s="24"/>
    </row>
    <row r="18112">
      <c r="A18112" s="24"/>
      <c r="B18112" s="25"/>
      <c r="C18112" s="24"/>
      <c r="D18112" s="26"/>
      <c r="E18112" s="24"/>
      <c r="F18112" s="24"/>
      <c r="G18112" s="24"/>
      <c r="H18112" s="24"/>
      <c r="I18112" s="24"/>
      <c r="J18112" s="24"/>
      <c r="K18112" s="24"/>
      <c r="L18112" s="24"/>
      <c r="M18112" s="24"/>
      <c r="N18112" s="24"/>
      <c r="O18112" s="24"/>
      <c r="P18112" s="24"/>
      <c r="Q18112" s="24"/>
      <c r="R18112" s="24"/>
      <c r="S18112" s="24"/>
      <c r="T18112" s="24"/>
      <c r="U18112" s="24"/>
      <c r="V18112" s="24"/>
      <c r="W18112" s="24"/>
      <c r="X18112" s="24"/>
      <c r="Y18112" s="24"/>
      <c r="Z18112" s="24"/>
      <c r="AA18112" s="24"/>
    </row>
    <row r="18113">
      <c r="A18113" s="24"/>
      <c r="B18113" s="25"/>
      <c r="C18113" s="24"/>
      <c r="D18113" s="26"/>
      <c r="E18113" s="24"/>
      <c r="F18113" s="24"/>
      <c r="G18113" s="24"/>
      <c r="H18113" s="24"/>
      <c r="I18113" s="24"/>
      <c r="J18113" s="24"/>
      <c r="K18113" s="24"/>
      <c r="L18113" s="24"/>
      <c r="M18113" s="24"/>
      <c r="N18113" s="24"/>
      <c r="O18113" s="24"/>
      <c r="P18113" s="24"/>
      <c r="Q18113" s="24"/>
      <c r="R18113" s="24"/>
      <c r="S18113" s="24"/>
      <c r="T18113" s="24"/>
      <c r="U18113" s="24"/>
      <c r="V18113" s="24"/>
      <c r="W18113" s="24"/>
      <c r="X18113" s="24"/>
      <c r="Y18113" s="24"/>
      <c r="Z18113" s="24"/>
      <c r="AA18113" s="24"/>
    </row>
    <row r="18114">
      <c r="A18114" s="24"/>
      <c r="B18114" s="25"/>
      <c r="C18114" s="24"/>
      <c r="D18114" s="26"/>
      <c r="E18114" s="24"/>
      <c r="F18114" s="24"/>
      <c r="G18114" s="24"/>
      <c r="H18114" s="24"/>
      <c r="I18114" s="24"/>
      <c r="J18114" s="24"/>
      <c r="K18114" s="24"/>
      <c r="L18114" s="24"/>
      <c r="M18114" s="24"/>
      <c r="N18114" s="24"/>
      <c r="O18114" s="24"/>
      <c r="P18114" s="24"/>
      <c r="Q18114" s="24"/>
      <c r="R18114" s="24"/>
      <c r="S18114" s="24"/>
      <c r="T18114" s="24"/>
      <c r="U18114" s="24"/>
      <c r="V18114" s="24"/>
      <c r="W18114" s="24"/>
      <c r="X18114" s="24"/>
      <c r="Y18114" s="24"/>
      <c r="Z18114" s="24"/>
      <c r="AA18114" s="24"/>
    </row>
    <row r="18115">
      <c r="A18115" s="24"/>
      <c r="B18115" s="25"/>
      <c r="C18115" s="24"/>
      <c r="D18115" s="26"/>
      <c r="E18115" s="24"/>
      <c r="F18115" s="24"/>
      <c r="G18115" s="24"/>
      <c r="H18115" s="24"/>
      <c r="I18115" s="24"/>
      <c r="J18115" s="24"/>
      <c r="K18115" s="24"/>
      <c r="L18115" s="24"/>
      <c r="M18115" s="24"/>
      <c r="N18115" s="24"/>
      <c r="O18115" s="24"/>
      <c r="P18115" s="24"/>
      <c r="Q18115" s="24"/>
      <c r="R18115" s="24"/>
      <c r="S18115" s="24"/>
      <c r="T18115" s="24"/>
      <c r="U18115" s="24"/>
      <c r="V18115" s="24"/>
      <c r="W18115" s="24"/>
      <c r="X18115" s="24"/>
      <c r="Y18115" s="24"/>
      <c r="Z18115" s="24"/>
      <c r="AA18115" s="24"/>
    </row>
    <row r="18116">
      <c r="A18116" s="24"/>
      <c r="B18116" s="25"/>
      <c r="C18116" s="24"/>
      <c r="D18116" s="26"/>
      <c r="E18116" s="24"/>
      <c r="F18116" s="24"/>
      <c r="G18116" s="24"/>
      <c r="H18116" s="24"/>
      <c r="I18116" s="24"/>
      <c r="J18116" s="24"/>
      <c r="K18116" s="24"/>
      <c r="L18116" s="24"/>
      <c r="M18116" s="24"/>
      <c r="N18116" s="24"/>
      <c r="O18116" s="24"/>
      <c r="P18116" s="24"/>
      <c r="Q18116" s="24"/>
      <c r="R18116" s="24"/>
      <c r="S18116" s="24"/>
      <c r="T18116" s="24"/>
      <c r="U18116" s="24"/>
      <c r="V18116" s="24"/>
      <c r="W18116" s="24"/>
      <c r="X18116" s="24"/>
      <c r="Y18116" s="24"/>
      <c r="Z18116" s="24"/>
      <c r="AA18116" s="24"/>
    </row>
    <row r="18117">
      <c r="A18117" s="24"/>
      <c r="B18117" s="25"/>
      <c r="C18117" s="24"/>
      <c r="D18117" s="26"/>
      <c r="E18117" s="24"/>
      <c r="F18117" s="24"/>
      <c r="G18117" s="24"/>
      <c r="H18117" s="24"/>
      <c r="I18117" s="24"/>
      <c r="J18117" s="24"/>
      <c r="K18117" s="24"/>
      <c r="L18117" s="24"/>
      <c r="M18117" s="24"/>
      <c r="N18117" s="24"/>
      <c r="O18117" s="24"/>
      <c r="P18117" s="24"/>
      <c r="Q18117" s="24"/>
      <c r="R18117" s="24"/>
      <c r="S18117" s="24"/>
      <c r="T18117" s="24"/>
      <c r="U18117" s="24"/>
      <c r="V18117" s="24"/>
      <c r="W18117" s="24"/>
      <c r="X18117" s="24"/>
      <c r="Y18117" s="24"/>
      <c r="Z18117" s="24"/>
      <c r="AA18117" s="24"/>
    </row>
    <row r="18118">
      <c r="A18118" s="24"/>
      <c r="B18118" s="25"/>
      <c r="C18118" s="24"/>
      <c r="D18118" s="26"/>
      <c r="E18118" s="24"/>
      <c r="F18118" s="24"/>
      <c r="G18118" s="24"/>
      <c r="H18118" s="24"/>
      <c r="I18118" s="24"/>
      <c r="J18118" s="24"/>
      <c r="K18118" s="24"/>
      <c r="L18118" s="24"/>
      <c r="M18118" s="24"/>
      <c r="N18118" s="24"/>
      <c r="O18118" s="24"/>
      <c r="P18118" s="24"/>
      <c r="Q18118" s="24"/>
      <c r="R18118" s="24"/>
      <c r="S18118" s="24"/>
      <c r="T18118" s="24"/>
      <c r="U18118" s="24"/>
      <c r="V18118" s="24"/>
      <c r="W18118" s="24"/>
      <c r="X18118" s="24"/>
      <c r="Y18118" s="24"/>
      <c r="Z18118" s="24"/>
      <c r="AA18118" s="24"/>
    </row>
    <row r="18119">
      <c r="A18119" s="24"/>
      <c r="B18119" s="25"/>
      <c r="C18119" s="24"/>
      <c r="D18119" s="26"/>
      <c r="E18119" s="24"/>
      <c r="F18119" s="24"/>
      <c r="G18119" s="24"/>
      <c r="H18119" s="24"/>
      <c r="I18119" s="24"/>
      <c r="J18119" s="24"/>
      <c r="K18119" s="24"/>
      <c r="L18119" s="24"/>
      <c r="M18119" s="24"/>
      <c r="N18119" s="24"/>
      <c r="O18119" s="24"/>
      <c r="P18119" s="24"/>
      <c r="Q18119" s="24"/>
      <c r="R18119" s="24"/>
      <c r="S18119" s="24"/>
      <c r="T18119" s="24"/>
      <c r="U18119" s="24"/>
      <c r="V18119" s="24"/>
      <c r="W18119" s="24"/>
      <c r="X18119" s="24"/>
      <c r="Y18119" s="24"/>
      <c r="Z18119" s="24"/>
      <c r="AA18119" s="24"/>
    </row>
    <row r="18120">
      <c r="A18120" s="24"/>
      <c r="B18120" s="25"/>
      <c r="C18120" s="24"/>
      <c r="D18120" s="26"/>
      <c r="E18120" s="24"/>
      <c r="F18120" s="24"/>
      <c r="G18120" s="24"/>
      <c r="H18120" s="24"/>
      <c r="I18120" s="24"/>
      <c r="J18120" s="24"/>
      <c r="K18120" s="24"/>
      <c r="L18120" s="24"/>
      <c r="M18120" s="24"/>
      <c r="N18120" s="24"/>
      <c r="O18120" s="24"/>
      <c r="P18120" s="24"/>
      <c r="Q18120" s="24"/>
      <c r="R18120" s="24"/>
      <c r="S18120" s="24"/>
      <c r="T18120" s="24"/>
      <c r="U18120" s="24"/>
      <c r="V18120" s="24"/>
      <c r="W18120" s="24"/>
      <c r="X18120" s="24"/>
      <c r="Y18120" s="24"/>
      <c r="Z18120" s="24"/>
      <c r="AA18120" s="24"/>
    </row>
    <row r="18121">
      <c r="A18121" s="24"/>
      <c r="B18121" s="25"/>
      <c r="C18121" s="24"/>
      <c r="D18121" s="26"/>
      <c r="E18121" s="24"/>
      <c r="F18121" s="24"/>
      <c r="G18121" s="24"/>
      <c r="H18121" s="24"/>
      <c r="I18121" s="24"/>
      <c r="J18121" s="24"/>
      <c r="K18121" s="24"/>
      <c r="L18121" s="24"/>
      <c r="M18121" s="24"/>
      <c r="N18121" s="24"/>
      <c r="O18121" s="24"/>
      <c r="P18121" s="24"/>
      <c r="Q18121" s="24"/>
      <c r="R18121" s="24"/>
      <c r="S18121" s="24"/>
      <c r="T18121" s="24"/>
      <c r="U18121" s="24"/>
      <c r="V18121" s="24"/>
      <c r="W18121" s="24"/>
      <c r="X18121" s="24"/>
      <c r="Y18121" s="24"/>
      <c r="Z18121" s="24"/>
      <c r="AA18121" s="24"/>
    </row>
    <row r="18122">
      <c r="A18122" s="24"/>
      <c r="B18122" s="25"/>
      <c r="C18122" s="24"/>
      <c r="D18122" s="26"/>
      <c r="E18122" s="24"/>
      <c r="F18122" s="24"/>
      <c r="G18122" s="24"/>
      <c r="H18122" s="24"/>
      <c r="I18122" s="24"/>
      <c r="J18122" s="24"/>
      <c r="K18122" s="24"/>
      <c r="L18122" s="24"/>
      <c r="M18122" s="24"/>
      <c r="N18122" s="24"/>
      <c r="O18122" s="24"/>
      <c r="P18122" s="24"/>
      <c r="Q18122" s="24"/>
      <c r="R18122" s="24"/>
      <c r="S18122" s="24"/>
      <c r="T18122" s="24"/>
      <c r="U18122" s="24"/>
      <c r="V18122" s="24"/>
      <c r="W18122" s="24"/>
      <c r="X18122" s="24"/>
      <c r="Y18122" s="24"/>
      <c r="Z18122" s="24"/>
      <c r="AA18122" s="24"/>
    </row>
    <row r="18123">
      <c r="A18123" s="24"/>
      <c r="B18123" s="25"/>
      <c r="C18123" s="24"/>
      <c r="D18123" s="26"/>
      <c r="E18123" s="24"/>
      <c r="F18123" s="24"/>
      <c r="G18123" s="24"/>
      <c r="H18123" s="24"/>
      <c r="I18123" s="24"/>
      <c r="J18123" s="24"/>
      <c r="K18123" s="24"/>
      <c r="L18123" s="24"/>
      <c r="M18123" s="24"/>
      <c r="N18123" s="24"/>
      <c r="O18123" s="24"/>
      <c r="P18123" s="24"/>
      <c r="Q18123" s="24"/>
      <c r="R18123" s="24"/>
      <c r="S18123" s="24"/>
      <c r="T18123" s="24"/>
      <c r="U18123" s="24"/>
      <c r="V18123" s="24"/>
      <c r="W18123" s="24"/>
      <c r="X18123" s="24"/>
      <c r="Y18123" s="24"/>
      <c r="Z18123" s="24"/>
      <c r="AA18123" s="24"/>
    </row>
    <row r="18124">
      <c r="A18124" s="24"/>
      <c r="B18124" s="25"/>
      <c r="C18124" s="24"/>
      <c r="D18124" s="26"/>
      <c r="E18124" s="24"/>
      <c r="F18124" s="24"/>
      <c r="G18124" s="24"/>
      <c r="H18124" s="24"/>
      <c r="I18124" s="24"/>
      <c r="J18124" s="24"/>
      <c r="K18124" s="24"/>
      <c r="L18124" s="24"/>
      <c r="M18124" s="24"/>
      <c r="N18124" s="24"/>
      <c r="O18124" s="24"/>
      <c r="P18124" s="24"/>
      <c r="Q18124" s="24"/>
      <c r="R18124" s="24"/>
      <c r="S18124" s="24"/>
      <c r="T18124" s="24"/>
      <c r="U18124" s="24"/>
      <c r="V18124" s="24"/>
      <c r="W18124" s="24"/>
      <c r="X18124" s="24"/>
      <c r="Y18124" s="24"/>
      <c r="Z18124" s="24"/>
      <c r="AA18124" s="24"/>
    </row>
    <row r="18125">
      <c r="A18125" s="24"/>
      <c r="B18125" s="25"/>
      <c r="C18125" s="24"/>
      <c r="D18125" s="26"/>
      <c r="E18125" s="24"/>
      <c r="F18125" s="24"/>
      <c r="G18125" s="24"/>
      <c r="H18125" s="24"/>
      <c r="I18125" s="24"/>
      <c r="J18125" s="24"/>
      <c r="K18125" s="24"/>
      <c r="L18125" s="24"/>
      <c r="M18125" s="24"/>
      <c r="N18125" s="24"/>
      <c r="O18125" s="24"/>
      <c r="P18125" s="24"/>
      <c r="Q18125" s="24"/>
      <c r="R18125" s="24"/>
      <c r="S18125" s="24"/>
      <c r="T18125" s="24"/>
      <c r="U18125" s="24"/>
      <c r="V18125" s="24"/>
      <c r="W18125" s="24"/>
      <c r="X18125" s="24"/>
      <c r="Y18125" s="24"/>
      <c r="Z18125" s="24"/>
      <c r="AA18125" s="24"/>
    </row>
    <row r="18126">
      <c r="A18126" s="24"/>
      <c r="B18126" s="25"/>
      <c r="C18126" s="24"/>
      <c r="D18126" s="26"/>
      <c r="E18126" s="24"/>
      <c r="F18126" s="24"/>
      <c r="G18126" s="24"/>
      <c r="H18126" s="24"/>
      <c r="I18126" s="24"/>
      <c r="J18126" s="24"/>
      <c r="K18126" s="24"/>
      <c r="L18126" s="24"/>
      <c r="M18126" s="24"/>
      <c r="N18126" s="24"/>
      <c r="O18126" s="24"/>
      <c r="P18126" s="24"/>
      <c r="Q18126" s="24"/>
      <c r="R18126" s="24"/>
      <c r="S18126" s="24"/>
      <c r="T18126" s="24"/>
      <c r="U18126" s="24"/>
      <c r="V18126" s="24"/>
      <c r="W18126" s="24"/>
      <c r="X18126" s="24"/>
      <c r="Y18126" s="24"/>
      <c r="Z18126" s="24"/>
      <c r="AA18126" s="24"/>
    </row>
    <row r="18127">
      <c r="A18127" s="24"/>
      <c r="B18127" s="25"/>
      <c r="C18127" s="24"/>
      <c r="D18127" s="26"/>
      <c r="E18127" s="24"/>
      <c r="F18127" s="24"/>
      <c r="G18127" s="24"/>
      <c r="H18127" s="24"/>
      <c r="I18127" s="24"/>
      <c r="J18127" s="24"/>
      <c r="K18127" s="24"/>
      <c r="L18127" s="24"/>
      <c r="M18127" s="24"/>
      <c r="N18127" s="24"/>
      <c r="O18127" s="24"/>
      <c r="P18127" s="24"/>
      <c r="Q18127" s="24"/>
      <c r="R18127" s="24"/>
      <c r="S18127" s="24"/>
      <c r="T18127" s="24"/>
      <c r="U18127" s="24"/>
      <c r="V18127" s="24"/>
      <c r="W18127" s="24"/>
      <c r="X18127" s="24"/>
      <c r="Y18127" s="24"/>
      <c r="Z18127" s="24"/>
      <c r="AA18127" s="24"/>
    </row>
    <row r="18128">
      <c r="A18128" s="24"/>
      <c r="B18128" s="25"/>
      <c r="C18128" s="24"/>
      <c r="D18128" s="26"/>
      <c r="E18128" s="24"/>
      <c r="F18128" s="24"/>
      <c r="G18128" s="24"/>
      <c r="H18128" s="24"/>
      <c r="I18128" s="24"/>
      <c r="J18128" s="24"/>
      <c r="K18128" s="24"/>
      <c r="L18128" s="24"/>
      <c r="M18128" s="24"/>
      <c r="N18128" s="24"/>
      <c r="O18128" s="24"/>
      <c r="P18128" s="24"/>
      <c r="Q18128" s="24"/>
      <c r="R18128" s="24"/>
      <c r="S18128" s="24"/>
      <c r="T18128" s="24"/>
      <c r="U18128" s="24"/>
      <c r="V18128" s="24"/>
      <c r="W18128" s="24"/>
      <c r="X18128" s="24"/>
      <c r="Y18128" s="24"/>
      <c r="Z18128" s="24"/>
      <c r="AA18128" s="24"/>
    </row>
    <row r="18129">
      <c r="A18129" s="24"/>
      <c r="B18129" s="25"/>
      <c r="C18129" s="24"/>
      <c r="D18129" s="26"/>
      <c r="E18129" s="24"/>
      <c r="F18129" s="24"/>
      <c r="G18129" s="24"/>
      <c r="H18129" s="24"/>
      <c r="I18129" s="24"/>
      <c r="J18129" s="24"/>
      <c r="K18129" s="24"/>
      <c r="L18129" s="24"/>
      <c r="M18129" s="24"/>
      <c r="N18129" s="24"/>
      <c r="O18129" s="24"/>
      <c r="P18129" s="24"/>
      <c r="Q18129" s="24"/>
      <c r="R18129" s="24"/>
      <c r="S18129" s="24"/>
      <c r="T18129" s="24"/>
      <c r="U18129" s="24"/>
      <c r="V18129" s="24"/>
      <c r="W18129" s="24"/>
      <c r="X18129" s="24"/>
      <c r="Y18129" s="24"/>
      <c r="Z18129" s="24"/>
      <c r="AA18129" s="24"/>
    </row>
    <row r="18130">
      <c r="A18130" s="24"/>
      <c r="B18130" s="25"/>
      <c r="C18130" s="24"/>
      <c r="D18130" s="26"/>
      <c r="E18130" s="24"/>
      <c r="F18130" s="24"/>
      <c r="G18130" s="24"/>
      <c r="H18130" s="24"/>
      <c r="I18130" s="24"/>
      <c r="J18130" s="24"/>
      <c r="K18130" s="24"/>
      <c r="L18130" s="24"/>
      <c r="M18130" s="24"/>
      <c r="N18130" s="24"/>
      <c r="O18130" s="24"/>
      <c r="P18130" s="24"/>
      <c r="Q18130" s="24"/>
      <c r="R18130" s="24"/>
      <c r="S18130" s="24"/>
      <c r="T18130" s="24"/>
      <c r="U18130" s="24"/>
      <c r="V18130" s="24"/>
      <c r="W18130" s="24"/>
      <c r="X18130" s="24"/>
      <c r="Y18130" s="24"/>
      <c r="Z18130" s="24"/>
      <c r="AA18130" s="24"/>
    </row>
    <row r="18131">
      <c r="A18131" s="24"/>
      <c r="B18131" s="25"/>
      <c r="C18131" s="24"/>
      <c r="D18131" s="26"/>
      <c r="E18131" s="24"/>
      <c r="F18131" s="24"/>
      <c r="G18131" s="24"/>
      <c r="H18131" s="24"/>
      <c r="I18131" s="24"/>
      <c r="J18131" s="24"/>
      <c r="K18131" s="24"/>
      <c r="L18131" s="24"/>
      <c r="M18131" s="24"/>
      <c r="N18131" s="24"/>
      <c r="O18131" s="24"/>
      <c r="P18131" s="24"/>
      <c r="Q18131" s="24"/>
      <c r="R18131" s="24"/>
      <c r="S18131" s="24"/>
      <c r="T18131" s="24"/>
      <c r="U18131" s="24"/>
      <c r="V18131" s="24"/>
      <c r="W18131" s="24"/>
      <c r="X18131" s="24"/>
      <c r="Y18131" s="24"/>
      <c r="Z18131" s="24"/>
      <c r="AA18131" s="24"/>
    </row>
    <row r="18132">
      <c r="A18132" s="24"/>
      <c r="B18132" s="25"/>
      <c r="C18132" s="24"/>
      <c r="D18132" s="26"/>
      <c r="E18132" s="24"/>
      <c r="F18132" s="24"/>
      <c r="G18132" s="24"/>
      <c r="H18132" s="24"/>
      <c r="I18132" s="24"/>
      <c r="J18132" s="24"/>
      <c r="K18132" s="24"/>
      <c r="L18132" s="24"/>
      <c r="M18132" s="24"/>
      <c r="N18132" s="24"/>
      <c r="O18132" s="24"/>
      <c r="P18132" s="24"/>
      <c r="Q18132" s="24"/>
      <c r="R18132" s="24"/>
      <c r="S18132" s="24"/>
      <c r="T18132" s="24"/>
      <c r="U18132" s="24"/>
      <c r="V18132" s="24"/>
      <c r="W18132" s="24"/>
      <c r="X18132" s="24"/>
      <c r="Y18132" s="24"/>
      <c r="Z18132" s="24"/>
      <c r="AA18132" s="24"/>
    </row>
    <row r="18133">
      <c r="A18133" s="24"/>
      <c r="B18133" s="25"/>
      <c r="C18133" s="24"/>
      <c r="D18133" s="26"/>
      <c r="E18133" s="24"/>
      <c r="F18133" s="24"/>
      <c r="G18133" s="24"/>
      <c r="H18133" s="24"/>
      <c r="I18133" s="24"/>
      <c r="J18133" s="24"/>
      <c r="K18133" s="24"/>
      <c r="L18133" s="24"/>
      <c r="M18133" s="24"/>
      <c r="N18133" s="24"/>
      <c r="O18133" s="24"/>
      <c r="P18133" s="24"/>
      <c r="Q18133" s="24"/>
      <c r="R18133" s="24"/>
      <c r="S18133" s="24"/>
      <c r="T18133" s="24"/>
      <c r="U18133" s="24"/>
      <c r="V18133" s="24"/>
      <c r="W18133" s="24"/>
      <c r="X18133" s="24"/>
      <c r="Y18133" s="24"/>
      <c r="Z18133" s="24"/>
      <c r="AA18133" s="24"/>
    </row>
    <row r="18134">
      <c r="A18134" s="24"/>
      <c r="B18134" s="25"/>
      <c r="C18134" s="24"/>
      <c r="D18134" s="26"/>
      <c r="E18134" s="24"/>
      <c r="F18134" s="24"/>
      <c r="G18134" s="24"/>
      <c r="H18134" s="24"/>
      <c r="I18134" s="24"/>
      <c r="J18134" s="24"/>
      <c r="K18134" s="24"/>
      <c r="L18134" s="24"/>
      <c r="M18134" s="24"/>
      <c r="N18134" s="24"/>
      <c r="O18134" s="24"/>
      <c r="P18134" s="24"/>
      <c r="Q18134" s="24"/>
      <c r="R18134" s="24"/>
      <c r="S18134" s="24"/>
      <c r="T18134" s="24"/>
      <c r="U18134" s="24"/>
      <c r="V18134" s="24"/>
      <c r="W18134" s="24"/>
      <c r="X18134" s="24"/>
      <c r="Y18134" s="24"/>
      <c r="Z18134" s="24"/>
      <c r="AA18134" s="24"/>
    </row>
    <row r="18135">
      <c r="A18135" s="24"/>
      <c r="B18135" s="25"/>
      <c r="C18135" s="24"/>
      <c r="D18135" s="26"/>
      <c r="E18135" s="24"/>
      <c r="F18135" s="24"/>
      <c r="G18135" s="24"/>
      <c r="H18135" s="24"/>
      <c r="I18135" s="24"/>
      <c r="J18135" s="24"/>
      <c r="K18135" s="24"/>
      <c r="L18135" s="24"/>
      <c r="M18135" s="24"/>
      <c r="N18135" s="24"/>
      <c r="O18135" s="24"/>
      <c r="P18135" s="24"/>
      <c r="Q18135" s="24"/>
      <c r="R18135" s="24"/>
      <c r="S18135" s="24"/>
      <c r="T18135" s="24"/>
      <c r="U18135" s="24"/>
      <c r="V18135" s="24"/>
      <c r="W18135" s="24"/>
      <c r="X18135" s="24"/>
      <c r="Y18135" s="24"/>
      <c r="Z18135" s="24"/>
      <c r="AA18135" s="24"/>
    </row>
    <row r="18136">
      <c r="A18136" s="24"/>
      <c r="B18136" s="25"/>
      <c r="C18136" s="24"/>
      <c r="D18136" s="26"/>
      <c r="E18136" s="24"/>
      <c r="F18136" s="24"/>
      <c r="G18136" s="24"/>
      <c r="H18136" s="24"/>
      <c r="I18136" s="24"/>
      <c r="J18136" s="24"/>
      <c r="K18136" s="24"/>
      <c r="L18136" s="24"/>
      <c r="M18136" s="24"/>
      <c r="N18136" s="24"/>
      <c r="O18136" s="24"/>
      <c r="P18136" s="24"/>
      <c r="Q18136" s="24"/>
      <c r="R18136" s="24"/>
      <c r="S18136" s="24"/>
      <c r="T18136" s="24"/>
      <c r="U18136" s="24"/>
      <c r="V18136" s="24"/>
      <c r="W18136" s="24"/>
      <c r="X18136" s="24"/>
      <c r="Y18136" s="24"/>
      <c r="Z18136" s="24"/>
      <c r="AA18136" s="24"/>
    </row>
    <row r="18137">
      <c r="A18137" s="24"/>
      <c r="B18137" s="25"/>
      <c r="C18137" s="24"/>
      <c r="D18137" s="26"/>
      <c r="E18137" s="24"/>
      <c r="F18137" s="24"/>
      <c r="G18137" s="24"/>
      <c r="H18137" s="24"/>
      <c r="I18137" s="24"/>
      <c r="J18137" s="24"/>
      <c r="K18137" s="24"/>
      <c r="L18137" s="24"/>
      <c r="M18137" s="24"/>
      <c r="N18137" s="24"/>
      <c r="O18137" s="24"/>
      <c r="P18137" s="24"/>
      <c r="Q18137" s="24"/>
      <c r="R18137" s="24"/>
      <c r="S18137" s="24"/>
      <c r="T18137" s="24"/>
      <c r="U18137" s="24"/>
      <c r="V18137" s="24"/>
      <c r="W18137" s="24"/>
      <c r="X18137" s="24"/>
      <c r="Y18137" s="24"/>
      <c r="Z18137" s="24"/>
      <c r="AA18137" s="24"/>
    </row>
    <row r="18138">
      <c r="A18138" s="24"/>
      <c r="B18138" s="25"/>
      <c r="C18138" s="24"/>
      <c r="D18138" s="26"/>
      <c r="E18138" s="24"/>
      <c r="F18138" s="24"/>
      <c r="G18138" s="24"/>
      <c r="H18138" s="24"/>
      <c r="I18138" s="24"/>
      <c r="J18138" s="24"/>
      <c r="K18138" s="24"/>
      <c r="L18138" s="24"/>
      <c r="M18138" s="24"/>
      <c r="N18138" s="24"/>
      <c r="O18138" s="24"/>
      <c r="P18138" s="24"/>
      <c r="Q18138" s="24"/>
      <c r="R18138" s="24"/>
      <c r="S18138" s="24"/>
      <c r="T18138" s="24"/>
      <c r="U18138" s="24"/>
      <c r="V18138" s="24"/>
      <c r="W18138" s="24"/>
      <c r="X18138" s="24"/>
      <c r="Y18138" s="24"/>
      <c r="Z18138" s="24"/>
      <c r="AA18138" s="24"/>
    </row>
    <row r="18139">
      <c r="A18139" s="24"/>
      <c r="B18139" s="25"/>
      <c r="C18139" s="24"/>
      <c r="D18139" s="26"/>
      <c r="E18139" s="24"/>
      <c r="F18139" s="24"/>
      <c r="G18139" s="24"/>
      <c r="H18139" s="24"/>
      <c r="I18139" s="24"/>
      <c r="J18139" s="24"/>
      <c r="K18139" s="24"/>
      <c r="L18139" s="24"/>
      <c r="M18139" s="24"/>
      <c r="N18139" s="24"/>
      <c r="O18139" s="24"/>
      <c r="P18139" s="24"/>
      <c r="Q18139" s="24"/>
      <c r="R18139" s="24"/>
      <c r="S18139" s="24"/>
      <c r="T18139" s="24"/>
      <c r="U18139" s="24"/>
      <c r="V18139" s="24"/>
      <c r="W18139" s="24"/>
      <c r="X18139" s="24"/>
      <c r="Y18139" s="24"/>
      <c r="Z18139" s="24"/>
      <c r="AA18139" s="24"/>
    </row>
    <row r="18140">
      <c r="A18140" s="24"/>
      <c r="B18140" s="25"/>
      <c r="C18140" s="24"/>
      <c r="D18140" s="26"/>
      <c r="E18140" s="24"/>
      <c r="F18140" s="24"/>
      <c r="G18140" s="24"/>
      <c r="H18140" s="24"/>
      <c r="I18140" s="24"/>
      <c r="J18140" s="24"/>
      <c r="K18140" s="24"/>
      <c r="L18140" s="24"/>
      <c r="M18140" s="24"/>
      <c r="N18140" s="24"/>
      <c r="O18140" s="24"/>
      <c r="P18140" s="24"/>
      <c r="Q18140" s="24"/>
      <c r="R18140" s="24"/>
      <c r="S18140" s="24"/>
      <c r="T18140" s="24"/>
      <c r="U18140" s="24"/>
      <c r="V18140" s="24"/>
      <c r="W18140" s="24"/>
      <c r="X18140" s="24"/>
      <c r="Y18140" s="24"/>
      <c r="Z18140" s="24"/>
      <c r="AA18140" s="24"/>
    </row>
    <row r="18141">
      <c r="A18141" s="24"/>
      <c r="B18141" s="25"/>
      <c r="C18141" s="24"/>
      <c r="D18141" s="26"/>
      <c r="E18141" s="24"/>
      <c r="F18141" s="24"/>
      <c r="G18141" s="24"/>
      <c r="H18141" s="24"/>
      <c r="I18141" s="24"/>
      <c r="J18141" s="24"/>
      <c r="K18141" s="24"/>
      <c r="L18141" s="24"/>
      <c r="M18141" s="24"/>
      <c r="N18141" s="24"/>
      <c r="O18141" s="24"/>
      <c r="P18141" s="24"/>
      <c r="Q18141" s="24"/>
      <c r="R18141" s="24"/>
      <c r="S18141" s="24"/>
      <c r="T18141" s="24"/>
      <c r="U18141" s="24"/>
      <c r="V18141" s="24"/>
      <c r="W18141" s="24"/>
      <c r="X18141" s="24"/>
      <c r="Y18141" s="24"/>
      <c r="Z18141" s="24"/>
      <c r="AA18141" s="24"/>
    </row>
    <row r="18142">
      <c r="A18142" s="24"/>
      <c r="B18142" s="25"/>
      <c r="C18142" s="24"/>
      <c r="D18142" s="26"/>
      <c r="E18142" s="24"/>
      <c r="F18142" s="24"/>
      <c r="G18142" s="24"/>
      <c r="H18142" s="24"/>
      <c r="I18142" s="24"/>
      <c r="J18142" s="24"/>
      <c r="K18142" s="24"/>
      <c r="L18142" s="24"/>
      <c r="M18142" s="24"/>
      <c r="N18142" s="24"/>
      <c r="O18142" s="24"/>
      <c r="P18142" s="24"/>
      <c r="Q18142" s="24"/>
      <c r="R18142" s="24"/>
      <c r="S18142" s="24"/>
      <c r="T18142" s="24"/>
      <c r="U18142" s="24"/>
      <c r="V18142" s="24"/>
      <c r="W18142" s="24"/>
      <c r="X18142" s="24"/>
      <c r="Y18142" s="24"/>
      <c r="Z18142" s="24"/>
      <c r="AA18142" s="24"/>
    </row>
    <row r="18143">
      <c r="A18143" s="24"/>
      <c r="B18143" s="25"/>
      <c r="C18143" s="24"/>
      <c r="D18143" s="26"/>
      <c r="E18143" s="24"/>
      <c r="F18143" s="24"/>
      <c r="G18143" s="24"/>
      <c r="H18143" s="24"/>
      <c r="I18143" s="24"/>
      <c r="J18143" s="24"/>
      <c r="K18143" s="24"/>
      <c r="L18143" s="24"/>
      <c r="M18143" s="24"/>
      <c r="N18143" s="24"/>
      <c r="O18143" s="24"/>
      <c r="P18143" s="24"/>
      <c r="Q18143" s="24"/>
      <c r="R18143" s="24"/>
      <c r="S18143" s="24"/>
      <c r="T18143" s="24"/>
      <c r="U18143" s="24"/>
      <c r="V18143" s="24"/>
      <c r="W18143" s="24"/>
      <c r="X18143" s="24"/>
      <c r="Y18143" s="24"/>
      <c r="Z18143" s="24"/>
      <c r="AA18143" s="24"/>
    </row>
    <row r="18144">
      <c r="A18144" s="24"/>
      <c r="B18144" s="25"/>
      <c r="C18144" s="24"/>
      <c r="D18144" s="26"/>
      <c r="E18144" s="24"/>
      <c r="F18144" s="24"/>
      <c r="G18144" s="24"/>
      <c r="H18144" s="24"/>
      <c r="I18144" s="24"/>
      <c r="J18144" s="24"/>
      <c r="K18144" s="24"/>
      <c r="L18144" s="24"/>
      <c r="M18144" s="24"/>
      <c r="N18144" s="24"/>
      <c r="O18144" s="24"/>
      <c r="P18144" s="24"/>
      <c r="Q18144" s="24"/>
      <c r="R18144" s="24"/>
      <c r="S18144" s="24"/>
      <c r="T18144" s="24"/>
      <c r="U18144" s="24"/>
      <c r="V18144" s="24"/>
      <c r="W18144" s="24"/>
      <c r="X18144" s="24"/>
      <c r="Y18144" s="24"/>
      <c r="Z18144" s="24"/>
      <c r="AA18144" s="24"/>
    </row>
    <row r="18145">
      <c r="A18145" s="24"/>
      <c r="B18145" s="25"/>
      <c r="C18145" s="24"/>
      <c r="D18145" s="26"/>
      <c r="E18145" s="24"/>
      <c r="F18145" s="24"/>
      <c r="G18145" s="24"/>
      <c r="H18145" s="24"/>
      <c r="I18145" s="24"/>
      <c r="J18145" s="24"/>
      <c r="K18145" s="24"/>
      <c r="L18145" s="24"/>
      <c r="M18145" s="24"/>
      <c r="N18145" s="24"/>
      <c r="O18145" s="24"/>
      <c r="P18145" s="24"/>
      <c r="Q18145" s="24"/>
      <c r="R18145" s="24"/>
      <c r="S18145" s="24"/>
      <c r="T18145" s="24"/>
      <c r="U18145" s="24"/>
      <c r="V18145" s="24"/>
      <c r="W18145" s="24"/>
      <c r="X18145" s="24"/>
      <c r="Y18145" s="24"/>
      <c r="Z18145" s="24"/>
      <c r="AA18145" s="24"/>
    </row>
    <row r="18146">
      <c r="A18146" s="24"/>
      <c r="B18146" s="25"/>
      <c r="C18146" s="24"/>
      <c r="D18146" s="26"/>
      <c r="E18146" s="24"/>
      <c r="F18146" s="24"/>
      <c r="G18146" s="24"/>
      <c r="H18146" s="24"/>
      <c r="I18146" s="24"/>
      <c r="J18146" s="24"/>
      <c r="K18146" s="24"/>
      <c r="L18146" s="24"/>
      <c r="M18146" s="24"/>
      <c r="N18146" s="24"/>
      <c r="O18146" s="24"/>
      <c r="P18146" s="24"/>
      <c r="Q18146" s="24"/>
      <c r="R18146" s="24"/>
      <c r="S18146" s="24"/>
      <c r="T18146" s="24"/>
      <c r="U18146" s="24"/>
      <c r="V18146" s="24"/>
      <c r="W18146" s="24"/>
      <c r="X18146" s="24"/>
      <c r="Y18146" s="24"/>
      <c r="Z18146" s="24"/>
      <c r="AA18146" s="24"/>
    </row>
    <row r="18147">
      <c r="A18147" s="24"/>
      <c r="B18147" s="25"/>
      <c r="C18147" s="24"/>
      <c r="D18147" s="26"/>
      <c r="E18147" s="24"/>
      <c r="F18147" s="24"/>
      <c r="G18147" s="24"/>
      <c r="H18147" s="24"/>
      <c r="I18147" s="24"/>
      <c r="J18147" s="24"/>
      <c r="K18147" s="24"/>
      <c r="L18147" s="24"/>
      <c r="M18147" s="24"/>
      <c r="N18147" s="24"/>
      <c r="O18147" s="24"/>
      <c r="P18147" s="24"/>
      <c r="Q18147" s="24"/>
      <c r="R18147" s="24"/>
      <c r="S18147" s="24"/>
      <c r="T18147" s="24"/>
      <c r="U18147" s="24"/>
      <c r="V18147" s="24"/>
      <c r="W18147" s="24"/>
      <c r="X18147" s="24"/>
      <c r="Y18147" s="24"/>
      <c r="Z18147" s="24"/>
      <c r="AA18147" s="24"/>
    </row>
    <row r="18148">
      <c r="A18148" s="24"/>
      <c r="B18148" s="25"/>
      <c r="C18148" s="24"/>
      <c r="D18148" s="26"/>
      <c r="E18148" s="24"/>
      <c r="F18148" s="24"/>
      <c r="G18148" s="24"/>
      <c r="H18148" s="24"/>
      <c r="I18148" s="24"/>
      <c r="J18148" s="24"/>
      <c r="K18148" s="24"/>
      <c r="L18148" s="24"/>
      <c r="M18148" s="24"/>
      <c r="N18148" s="24"/>
      <c r="O18148" s="24"/>
      <c r="P18148" s="24"/>
      <c r="Q18148" s="24"/>
      <c r="R18148" s="24"/>
      <c r="S18148" s="24"/>
      <c r="T18148" s="24"/>
      <c r="U18148" s="24"/>
      <c r="V18148" s="24"/>
      <c r="W18148" s="24"/>
      <c r="X18148" s="24"/>
      <c r="Y18148" s="24"/>
      <c r="Z18148" s="24"/>
      <c r="AA18148" s="24"/>
    </row>
    <row r="18149">
      <c r="A18149" s="24"/>
      <c r="B18149" s="25"/>
      <c r="C18149" s="24"/>
      <c r="D18149" s="26"/>
      <c r="E18149" s="24"/>
      <c r="F18149" s="24"/>
      <c r="G18149" s="24"/>
      <c r="H18149" s="24"/>
      <c r="I18149" s="24"/>
      <c r="J18149" s="24"/>
      <c r="K18149" s="24"/>
      <c r="L18149" s="24"/>
      <c r="M18149" s="24"/>
      <c r="N18149" s="24"/>
      <c r="O18149" s="24"/>
      <c r="P18149" s="24"/>
      <c r="Q18149" s="24"/>
      <c r="R18149" s="24"/>
      <c r="S18149" s="24"/>
      <c r="T18149" s="24"/>
      <c r="U18149" s="24"/>
      <c r="V18149" s="24"/>
      <c r="W18149" s="24"/>
      <c r="X18149" s="24"/>
      <c r="Y18149" s="24"/>
      <c r="Z18149" s="24"/>
      <c r="AA18149" s="24"/>
    </row>
    <row r="18150">
      <c r="A18150" s="24"/>
      <c r="B18150" s="25"/>
      <c r="C18150" s="24"/>
      <c r="D18150" s="26"/>
      <c r="E18150" s="24"/>
      <c r="F18150" s="24"/>
      <c r="G18150" s="24"/>
      <c r="H18150" s="24"/>
      <c r="I18150" s="24"/>
      <c r="J18150" s="24"/>
      <c r="K18150" s="24"/>
      <c r="L18150" s="24"/>
      <c r="M18150" s="24"/>
      <c r="N18150" s="24"/>
      <c r="O18150" s="24"/>
      <c r="P18150" s="24"/>
      <c r="Q18150" s="24"/>
      <c r="R18150" s="24"/>
      <c r="S18150" s="24"/>
      <c r="T18150" s="24"/>
      <c r="U18150" s="24"/>
      <c r="V18150" s="24"/>
      <c r="W18150" s="24"/>
      <c r="X18150" s="24"/>
      <c r="Y18150" s="24"/>
      <c r="Z18150" s="24"/>
      <c r="AA18150" s="24"/>
    </row>
    <row r="18151">
      <c r="A18151" s="24"/>
      <c r="B18151" s="25"/>
      <c r="C18151" s="24"/>
      <c r="D18151" s="26"/>
      <c r="E18151" s="24"/>
      <c r="F18151" s="24"/>
      <c r="G18151" s="24"/>
      <c r="H18151" s="24"/>
      <c r="I18151" s="24"/>
      <c r="J18151" s="24"/>
      <c r="K18151" s="24"/>
      <c r="L18151" s="24"/>
      <c r="M18151" s="24"/>
      <c r="N18151" s="24"/>
      <c r="O18151" s="24"/>
      <c r="P18151" s="24"/>
      <c r="Q18151" s="24"/>
      <c r="R18151" s="24"/>
      <c r="S18151" s="24"/>
      <c r="T18151" s="24"/>
      <c r="U18151" s="24"/>
      <c r="V18151" s="24"/>
      <c r="W18151" s="24"/>
      <c r="X18151" s="24"/>
      <c r="Y18151" s="24"/>
      <c r="Z18151" s="24"/>
      <c r="AA18151" s="24"/>
    </row>
    <row r="18152">
      <c r="A18152" s="24"/>
      <c r="B18152" s="25"/>
      <c r="C18152" s="24"/>
      <c r="D18152" s="26"/>
      <c r="E18152" s="24"/>
      <c r="F18152" s="24"/>
      <c r="G18152" s="24"/>
      <c r="H18152" s="24"/>
      <c r="I18152" s="24"/>
      <c r="J18152" s="24"/>
      <c r="K18152" s="24"/>
      <c r="L18152" s="24"/>
      <c r="M18152" s="24"/>
      <c r="N18152" s="24"/>
      <c r="O18152" s="24"/>
      <c r="P18152" s="24"/>
      <c r="Q18152" s="24"/>
      <c r="R18152" s="24"/>
      <c r="S18152" s="24"/>
      <c r="T18152" s="24"/>
      <c r="U18152" s="24"/>
      <c r="V18152" s="24"/>
      <c r="W18152" s="24"/>
      <c r="X18152" s="24"/>
      <c r="Y18152" s="24"/>
      <c r="Z18152" s="24"/>
      <c r="AA18152" s="24"/>
    </row>
    <row r="18153">
      <c r="A18153" s="24"/>
      <c r="B18153" s="25"/>
      <c r="C18153" s="24"/>
      <c r="D18153" s="26"/>
      <c r="E18153" s="24"/>
      <c r="F18153" s="24"/>
      <c r="G18153" s="24"/>
      <c r="H18153" s="24"/>
      <c r="I18153" s="24"/>
      <c r="J18153" s="24"/>
      <c r="K18153" s="24"/>
      <c r="L18153" s="24"/>
      <c r="M18153" s="24"/>
      <c r="N18153" s="24"/>
      <c r="O18153" s="24"/>
      <c r="P18153" s="24"/>
      <c r="Q18153" s="24"/>
      <c r="R18153" s="24"/>
      <c r="S18153" s="24"/>
      <c r="T18153" s="24"/>
      <c r="U18153" s="24"/>
      <c r="V18153" s="24"/>
      <c r="W18153" s="24"/>
      <c r="X18153" s="24"/>
      <c r="Y18153" s="24"/>
      <c r="Z18153" s="24"/>
      <c r="AA18153" s="24"/>
    </row>
    <row r="18154">
      <c r="A18154" s="24"/>
      <c r="B18154" s="25"/>
      <c r="C18154" s="24"/>
      <c r="D18154" s="26"/>
      <c r="E18154" s="24"/>
      <c r="F18154" s="24"/>
      <c r="G18154" s="24"/>
      <c r="H18154" s="24"/>
      <c r="I18154" s="24"/>
      <c r="J18154" s="24"/>
      <c r="K18154" s="24"/>
      <c r="L18154" s="24"/>
      <c r="M18154" s="24"/>
      <c r="N18154" s="24"/>
      <c r="O18154" s="24"/>
      <c r="P18154" s="24"/>
      <c r="Q18154" s="24"/>
      <c r="R18154" s="24"/>
      <c r="S18154" s="24"/>
      <c r="T18154" s="24"/>
      <c r="U18154" s="24"/>
      <c r="V18154" s="24"/>
      <c r="W18154" s="24"/>
      <c r="X18154" s="24"/>
      <c r="Y18154" s="24"/>
      <c r="Z18154" s="24"/>
      <c r="AA18154" s="24"/>
    </row>
    <row r="18155">
      <c r="A18155" s="24"/>
      <c r="B18155" s="25"/>
      <c r="C18155" s="24"/>
      <c r="D18155" s="26"/>
      <c r="E18155" s="24"/>
      <c r="F18155" s="24"/>
      <c r="G18155" s="24"/>
      <c r="H18155" s="24"/>
      <c r="I18155" s="24"/>
      <c r="J18155" s="24"/>
      <c r="K18155" s="24"/>
      <c r="L18155" s="24"/>
      <c r="M18155" s="24"/>
      <c r="N18155" s="24"/>
      <c r="O18155" s="24"/>
      <c r="P18155" s="24"/>
      <c r="Q18155" s="24"/>
      <c r="R18155" s="24"/>
      <c r="S18155" s="24"/>
      <c r="T18155" s="24"/>
      <c r="U18155" s="24"/>
      <c r="V18155" s="24"/>
      <c r="W18155" s="24"/>
      <c r="X18155" s="24"/>
      <c r="Y18155" s="24"/>
      <c r="Z18155" s="24"/>
      <c r="AA18155" s="24"/>
    </row>
    <row r="18156">
      <c r="A18156" s="24"/>
      <c r="B18156" s="25"/>
      <c r="C18156" s="24"/>
      <c r="D18156" s="26"/>
      <c r="E18156" s="24"/>
      <c r="F18156" s="24"/>
      <c r="G18156" s="24"/>
      <c r="H18156" s="24"/>
      <c r="I18156" s="24"/>
      <c r="J18156" s="24"/>
      <c r="K18156" s="24"/>
      <c r="L18156" s="24"/>
      <c r="M18156" s="24"/>
      <c r="N18156" s="24"/>
      <c r="O18156" s="24"/>
      <c r="P18156" s="24"/>
      <c r="Q18156" s="24"/>
      <c r="R18156" s="24"/>
      <c r="S18156" s="24"/>
      <c r="T18156" s="24"/>
      <c r="U18156" s="24"/>
      <c r="V18156" s="24"/>
      <c r="W18156" s="24"/>
      <c r="X18156" s="24"/>
      <c r="Y18156" s="24"/>
      <c r="Z18156" s="24"/>
      <c r="AA18156" s="24"/>
    </row>
    <row r="18157">
      <c r="A18157" s="24"/>
      <c r="B18157" s="25"/>
      <c r="C18157" s="24"/>
      <c r="D18157" s="26"/>
      <c r="E18157" s="24"/>
      <c r="F18157" s="24"/>
      <c r="G18157" s="24"/>
      <c r="H18157" s="24"/>
      <c r="I18157" s="24"/>
      <c r="J18157" s="24"/>
      <c r="K18157" s="24"/>
      <c r="L18157" s="24"/>
      <c r="M18157" s="24"/>
      <c r="N18157" s="24"/>
      <c r="O18157" s="24"/>
      <c r="P18157" s="24"/>
      <c r="Q18157" s="24"/>
      <c r="R18157" s="24"/>
      <c r="S18157" s="24"/>
      <c r="T18157" s="24"/>
      <c r="U18157" s="24"/>
      <c r="V18157" s="24"/>
      <c r="W18157" s="24"/>
      <c r="X18157" s="24"/>
      <c r="Y18157" s="24"/>
      <c r="Z18157" s="24"/>
      <c r="AA18157" s="24"/>
    </row>
    <row r="18158">
      <c r="A18158" s="24"/>
      <c r="B18158" s="25"/>
      <c r="C18158" s="24"/>
      <c r="D18158" s="26"/>
      <c r="E18158" s="24"/>
      <c r="F18158" s="24"/>
      <c r="G18158" s="24"/>
      <c r="H18158" s="24"/>
      <c r="I18158" s="24"/>
      <c r="J18158" s="24"/>
      <c r="K18158" s="24"/>
      <c r="L18158" s="24"/>
      <c r="M18158" s="24"/>
      <c r="N18158" s="24"/>
      <c r="O18158" s="24"/>
      <c r="P18158" s="24"/>
      <c r="Q18158" s="24"/>
      <c r="R18158" s="24"/>
      <c r="S18158" s="24"/>
      <c r="T18158" s="24"/>
      <c r="U18158" s="24"/>
      <c r="V18158" s="24"/>
      <c r="W18158" s="24"/>
      <c r="X18158" s="24"/>
      <c r="Y18158" s="24"/>
      <c r="Z18158" s="24"/>
      <c r="AA18158" s="24"/>
    </row>
    <row r="18159">
      <c r="A18159" s="24"/>
      <c r="B18159" s="25"/>
      <c r="C18159" s="24"/>
      <c r="D18159" s="26"/>
      <c r="E18159" s="24"/>
      <c r="F18159" s="24"/>
      <c r="G18159" s="24"/>
      <c r="H18159" s="24"/>
      <c r="I18159" s="24"/>
      <c r="J18159" s="24"/>
      <c r="K18159" s="24"/>
      <c r="L18159" s="24"/>
      <c r="M18159" s="24"/>
      <c r="N18159" s="24"/>
      <c r="O18159" s="24"/>
      <c r="P18159" s="24"/>
      <c r="Q18159" s="24"/>
      <c r="R18159" s="24"/>
      <c r="S18159" s="24"/>
      <c r="T18159" s="24"/>
      <c r="U18159" s="24"/>
      <c r="V18159" s="24"/>
      <c r="W18159" s="24"/>
      <c r="X18159" s="24"/>
      <c r="Y18159" s="24"/>
      <c r="Z18159" s="24"/>
      <c r="AA18159" s="24"/>
    </row>
    <row r="18160">
      <c r="A18160" s="24"/>
      <c r="B18160" s="25"/>
      <c r="C18160" s="24"/>
      <c r="D18160" s="26"/>
      <c r="E18160" s="24"/>
      <c r="F18160" s="24"/>
      <c r="G18160" s="24"/>
      <c r="H18160" s="24"/>
      <c r="I18160" s="24"/>
      <c r="J18160" s="24"/>
      <c r="K18160" s="24"/>
      <c r="L18160" s="24"/>
      <c r="M18160" s="24"/>
      <c r="N18160" s="24"/>
      <c r="O18160" s="24"/>
      <c r="P18160" s="24"/>
      <c r="Q18160" s="24"/>
      <c r="R18160" s="24"/>
      <c r="S18160" s="24"/>
      <c r="T18160" s="24"/>
      <c r="U18160" s="24"/>
      <c r="V18160" s="24"/>
      <c r="W18160" s="24"/>
      <c r="X18160" s="24"/>
      <c r="Y18160" s="24"/>
      <c r="Z18160" s="24"/>
      <c r="AA18160" s="24"/>
    </row>
    <row r="18161">
      <c r="A18161" s="24"/>
      <c r="B18161" s="25"/>
      <c r="C18161" s="24"/>
      <c r="D18161" s="26"/>
      <c r="E18161" s="24"/>
      <c r="F18161" s="24"/>
      <c r="G18161" s="24"/>
      <c r="H18161" s="24"/>
      <c r="I18161" s="24"/>
      <c r="J18161" s="24"/>
      <c r="K18161" s="24"/>
      <c r="L18161" s="24"/>
      <c r="M18161" s="24"/>
      <c r="N18161" s="24"/>
      <c r="O18161" s="24"/>
      <c r="P18161" s="24"/>
      <c r="Q18161" s="24"/>
      <c r="R18161" s="24"/>
      <c r="S18161" s="24"/>
      <c r="T18161" s="24"/>
      <c r="U18161" s="24"/>
      <c r="V18161" s="24"/>
      <c r="W18161" s="24"/>
      <c r="X18161" s="24"/>
      <c r="Y18161" s="24"/>
      <c r="Z18161" s="24"/>
      <c r="AA18161" s="24"/>
    </row>
    <row r="18162">
      <c r="A18162" s="24"/>
      <c r="B18162" s="25"/>
      <c r="C18162" s="24"/>
      <c r="D18162" s="26"/>
      <c r="E18162" s="24"/>
      <c r="F18162" s="24"/>
      <c r="G18162" s="24"/>
      <c r="H18162" s="24"/>
      <c r="I18162" s="24"/>
      <c r="J18162" s="24"/>
      <c r="K18162" s="24"/>
      <c r="L18162" s="24"/>
      <c r="M18162" s="24"/>
      <c r="N18162" s="24"/>
      <c r="O18162" s="24"/>
      <c r="P18162" s="24"/>
      <c r="Q18162" s="24"/>
      <c r="R18162" s="24"/>
      <c r="S18162" s="24"/>
      <c r="T18162" s="24"/>
      <c r="U18162" s="24"/>
      <c r="V18162" s="24"/>
      <c r="W18162" s="24"/>
      <c r="X18162" s="24"/>
      <c r="Y18162" s="24"/>
      <c r="Z18162" s="24"/>
      <c r="AA18162" s="24"/>
    </row>
    <row r="18163">
      <c r="A18163" s="24"/>
      <c r="B18163" s="25"/>
      <c r="C18163" s="24"/>
      <c r="D18163" s="26"/>
      <c r="E18163" s="24"/>
      <c r="F18163" s="24"/>
      <c r="G18163" s="24"/>
      <c r="H18163" s="24"/>
      <c r="I18163" s="24"/>
      <c r="J18163" s="24"/>
      <c r="K18163" s="24"/>
      <c r="L18163" s="24"/>
      <c r="M18163" s="24"/>
      <c r="N18163" s="24"/>
      <c r="O18163" s="24"/>
      <c r="P18163" s="24"/>
      <c r="Q18163" s="24"/>
      <c r="R18163" s="24"/>
      <c r="S18163" s="24"/>
      <c r="T18163" s="24"/>
      <c r="U18163" s="24"/>
      <c r="V18163" s="24"/>
      <c r="W18163" s="24"/>
      <c r="X18163" s="24"/>
      <c r="Y18163" s="24"/>
      <c r="Z18163" s="24"/>
      <c r="AA18163" s="24"/>
    </row>
    <row r="18164">
      <c r="A18164" s="24"/>
      <c r="B18164" s="25"/>
      <c r="C18164" s="24"/>
      <c r="D18164" s="26"/>
      <c r="E18164" s="24"/>
      <c r="F18164" s="24"/>
      <c r="G18164" s="24"/>
      <c r="H18164" s="24"/>
      <c r="I18164" s="24"/>
      <c r="J18164" s="24"/>
      <c r="K18164" s="24"/>
      <c r="L18164" s="24"/>
      <c r="M18164" s="24"/>
      <c r="N18164" s="24"/>
      <c r="O18164" s="24"/>
      <c r="P18164" s="24"/>
      <c r="Q18164" s="24"/>
      <c r="R18164" s="24"/>
      <c r="S18164" s="24"/>
      <c r="T18164" s="24"/>
      <c r="U18164" s="24"/>
      <c r="V18164" s="24"/>
      <c r="W18164" s="24"/>
      <c r="X18164" s="24"/>
      <c r="Y18164" s="24"/>
      <c r="Z18164" s="24"/>
      <c r="AA18164" s="24"/>
    </row>
    <row r="18165">
      <c r="A18165" s="24"/>
      <c r="B18165" s="25"/>
      <c r="C18165" s="24"/>
      <c r="D18165" s="26"/>
      <c r="E18165" s="24"/>
      <c r="F18165" s="24"/>
      <c r="G18165" s="24"/>
      <c r="H18165" s="24"/>
      <c r="I18165" s="24"/>
      <c r="J18165" s="24"/>
      <c r="K18165" s="24"/>
      <c r="L18165" s="24"/>
      <c r="M18165" s="24"/>
      <c r="N18165" s="24"/>
      <c r="O18165" s="24"/>
      <c r="P18165" s="24"/>
      <c r="Q18165" s="24"/>
      <c r="R18165" s="24"/>
      <c r="S18165" s="24"/>
      <c r="T18165" s="24"/>
      <c r="U18165" s="24"/>
      <c r="V18165" s="24"/>
      <c r="W18165" s="24"/>
      <c r="X18165" s="24"/>
      <c r="Y18165" s="24"/>
      <c r="Z18165" s="24"/>
      <c r="AA18165" s="24"/>
    </row>
    <row r="18166">
      <c r="A18166" s="24"/>
      <c r="B18166" s="25"/>
      <c r="C18166" s="24"/>
      <c r="D18166" s="26"/>
      <c r="E18166" s="24"/>
      <c r="F18166" s="24"/>
      <c r="G18166" s="24"/>
      <c r="H18166" s="24"/>
      <c r="I18166" s="24"/>
      <c r="J18166" s="24"/>
      <c r="K18166" s="24"/>
      <c r="L18166" s="24"/>
      <c r="M18166" s="24"/>
      <c r="N18166" s="24"/>
      <c r="O18166" s="24"/>
      <c r="P18166" s="24"/>
      <c r="Q18166" s="24"/>
      <c r="R18166" s="24"/>
      <c r="S18166" s="24"/>
      <c r="T18166" s="24"/>
      <c r="U18166" s="24"/>
      <c r="V18166" s="24"/>
      <c r="W18166" s="24"/>
      <c r="X18166" s="24"/>
      <c r="Y18166" s="24"/>
      <c r="Z18166" s="24"/>
      <c r="AA18166" s="24"/>
    </row>
    <row r="18167">
      <c r="A18167" s="24"/>
      <c r="B18167" s="25"/>
      <c r="C18167" s="24"/>
      <c r="D18167" s="26"/>
      <c r="E18167" s="24"/>
      <c r="F18167" s="24"/>
      <c r="G18167" s="24"/>
      <c r="H18167" s="24"/>
      <c r="I18167" s="24"/>
      <c r="J18167" s="24"/>
      <c r="K18167" s="24"/>
      <c r="L18167" s="24"/>
      <c r="M18167" s="24"/>
      <c r="N18167" s="24"/>
      <c r="O18167" s="24"/>
      <c r="P18167" s="24"/>
      <c r="Q18167" s="24"/>
      <c r="R18167" s="24"/>
      <c r="S18167" s="24"/>
      <c r="T18167" s="24"/>
      <c r="U18167" s="24"/>
      <c r="V18167" s="24"/>
      <c r="W18167" s="24"/>
      <c r="X18167" s="24"/>
      <c r="Y18167" s="24"/>
      <c r="Z18167" s="24"/>
      <c r="AA18167" s="24"/>
    </row>
    <row r="18168">
      <c r="A18168" s="24"/>
      <c r="B18168" s="25"/>
      <c r="C18168" s="24"/>
      <c r="D18168" s="26"/>
      <c r="E18168" s="24"/>
      <c r="F18168" s="24"/>
      <c r="G18168" s="24"/>
      <c r="H18168" s="24"/>
      <c r="I18168" s="24"/>
      <c r="J18168" s="24"/>
      <c r="K18168" s="24"/>
      <c r="L18168" s="24"/>
      <c r="M18168" s="24"/>
      <c r="N18168" s="24"/>
      <c r="O18168" s="24"/>
      <c r="P18168" s="24"/>
      <c r="Q18168" s="24"/>
      <c r="R18168" s="24"/>
      <c r="S18168" s="24"/>
      <c r="T18168" s="24"/>
      <c r="U18168" s="24"/>
      <c r="V18168" s="24"/>
      <c r="W18168" s="24"/>
      <c r="X18168" s="24"/>
      <c r="Y18168" s="24"/>
      <c r="Z18168" s="24"/>
      <c r="AA18168" s="24"/>
    </row>
    <row r="18169">
      <c r="A18169" s="24"/>
      <c r="B18169" s="25"/>
      <c r="C18169" s="24"/>
      <c r="D18169" s="26"/>
      <c r="E18169" s="24"/>
      <c r="F18169" s="24"/>
      <c r="G18169" s="24"/>
      <c r="H18169" s="24"/>
      <c r="I18169" s="24"/>
      <c r="J18169" s="24"/>
      <c r="K18169" s="24"/>
      <c r="L18169" s="24"/>
      <c r="M18169" s="24"/>
      <c r="N18169" s="24"/>
      <c r="O18169" s="24"/>
      <c r="P18169" s="24"/>
      <c r="Q18169" s="24"/>
      <c r="R18169" s="24"/>
      <c r="S18169" s="24"/>
      <c r="T18169" s="24"/>
      <c r="U18169" s="24"/>
      <c r="V18169" s="24"/>
      <c r="W18169" s="24"/>
      <c r="X18169" s="24"/>
      <c r="Y18169" s="24"/>
      <c r="Z18169" s="24"/>
      <c r="AA18169" s="24"/>
    </row>
    <row r="18170">
      <c r="A18170" s="24"/>
      <c r="B18170" s="25"/>
      <c r="C18170" s="24"/>
      <c r="D18170" s="26"/>
      <c r="E18170" s="24"/>
      <c r="F18170" s="24"/>
      <c r="G18170" s="24"/>
      <c r="H18170" s="24"/>
      <c r="I18170" s="24"/>
      <c r="J18170" s="24"/>
      <c r="K18170" s="24"/>
      <c r="L18170" s="24"/>
      <c r="M18170" s="24"/>
      <c r="N18170" s="24"/>
      <c r="O18170" s="24"/>
      <c r="P18170" s="24"/>
      <c r="Q18170" s="24"/>
      <c r="R18170" s="24"/>
      <c r="S18170" s="24"/>
      <c r="T18170" s="24"/>
      <c r="U18170" s="24"/>
      <c r="V18170" s="24"/>
      <c r="W18170" s="24"/>
      <c r="X18170" s="24"/>
      <c r="Y18170" s="24"/>
      <c r="Z18170" s="24"/>
      <c r="AA18170" s="24"/>
    </row>
    <row r="18171">
      <c r="A18171" s="24"/>
      <c r="B18171" s="25"/>
      <c r="C18171" s="24"/>
      <c r="D18171" s="26"/>
      <c r="E18171" s="24"/>
      <c r="F18171" s="24"/>
      <c r="G18171" s="24"/>
      <c r="H18171" s="24"/>
      <c r="I18171" s="24"/>
      <c r="J18171" s="24"/>
      <c r="K18171" s="24"/>
      <c r="L18171" s="24"/>
      <c r="M18171" s="24"/>
      <c r="N18171" s="24"/>
      <c r="O18171" s="24"/>
      <c r="P18171" s="24"/>
      <c r="Q18171" s="24"/>
      <c r="R18171" s="24"/>
      <c r="S18171" s="24"/>
      <c r="T18171" s="24"/>
      <c r="U18171" s="24"/>
      <c r="V18171" s="24"/>
      <c r="W18171" s="24"/>
      <c r="X18171" s="24"/>
      <c r="Y18171" s="24"/>
      <c r="Z18171" s="24"/>
      <c r="AA18171" s="24"/>
    </row>
    <row r="18172">
      <c r="A18172" s="24"/>
      <c r="B18172" s="25"/>
      <c r="C18172" s="24"/>
      <c r="D18172" s="26"/>
      <c r="E18172" s="24"/>
      <c r="F18172" s="24"/>
      <c r="G18172" s="24"/>
      <c r="H18172" s="24"/>
      <c r="I18172" s="24"/>
      <c r="J18172" s="24"/>
      <c r="K18172" s="24"/>
      <c r="L18172" s="24"/>
      <c r="M18172" s="24"/>
      <c r="N18172" s="24"/>
      <c r="O18172" s="24"/>
      <c r="P18172" s="24"/>
      <c r="Q18172" s="24"/>
      <c r="R18172" s="24"/>
      <c r="S18172" s="24"/>
      <c r="T18172" s="24"/>
      <c r="U18172" s="24"/>
      <c r="V18172" s="24"/>
      <c r="W18172" s="24"/>
      <c r="X18172" s="24"/>
      <c r="Y18172" s="24"/>
      <c r="Z18172" s="24"/>
      <c r="AA18172" s="24"/>
    </row>
    <row r="18173">
      <c r="A18173" s="24"/>
      <c r="B18173" s="25"/>
      <c r="C18173" s="24"/>
      <c r="D18173" s="26"/>
      <c r="E18173" s="24"/>
      <c r="F18173" s="24"/>
      <c r="G18173" s="24"/>
      <c r="H18173" s="24"/>
      <c r="I18173" s="24"/>
      <c r="J18173" s="24"/>
      <c r="K18173" s="24"/>
      <c r="L18173" s="24"/>
      <c r="M18173" s="24"/>
      <c r="N18173" s="24"/>
      <c r="O18173" s="24"/>
      <c r="P18173" s="24"/>
      <c r="Q18173" s="24"/>
      <c r="R18173" s="24"/>
      <c r="S18173" s="24"/>
      <c r="T18173" s="24"/>
      <c r="U18173" s="24"/>
      <c r="V18173" s="24"/>
      <c r="W18173" s="24"/>
      <c r="X18173" s="24"/>
      <c r="Y18173" s="24"/>
      <c r="Z18173" s="24"/>
      <c r="AA18173" s="24"/>
    </row>
    <row r="18174">
      <c r="A18174" s="24"/>
      <c r="B18174" s="25"/>
      <c r="C18174" s="24"/>
      <c r="D18174" s="26"/>
      <c r="E18174" s="24"/>
      <c r="F18174" s="24"/>
      <c r="G18174" s="24"/>
      <c r="H18174" s="24"/>
      <c r="I18174" s="24"/>
      <c r="J18174" s="24"/>
      <c r="K18174" s="24"/>
      <c r="L18174" s="24"/>
      <c r="M18174" s="24"/>
      <c r="N18174" s="24"/>
      <c r="O18174" s="24"/>
      <c r="P18174" s="24"/>
      <c r="Q18174" s="24"/>
      <c r="R18174" s="24"/>
      <c r="S18174" s="24"/>
      <c r="T18174" s="24"/>
      <c r="U18174" s="24"/>
      <c r="V18174" s="24"/>
      <c r="W18174" s="24"/>
      <c r="X18174" s="24"/>
      <c r="Y18174" s="24"/>
      <c r="Z18174" s="24"/>
      <c r="AA18174" s="24"/>
    </row>
    <row r="18175">
      <c r="A18175" s="24"/>
      <c r="B18175" s="25"/>
      <c r="C18175" s="24"/>
      <c r="D18175" s="26"/>
      <c r="E18175" s="24"/>
      <c r="F18175" s="24"/>
      <c r="G18175" s="24"/>
      <c r="H18175" s="24"/>
      <c r="I18175" s="24"/>
      <c r="J18175" s="24"/>
      <c r="K18175" s="24"/>
      <c r="L18175" s="24"/>
      <c r="M18175" s="24"/>
      <c r="N18175" s="24"/>
      <c r="O18175" s="24"/>
      <c r="P18175" s="24"/>
      <c r="Q18175" s="24"/>
      <c r="R18175" s="24"/>
      <c r="S18175" s="24"/>
      <c r="T18175" s="24"/>
      <c r="U18175" s="24"/>
      <c r="V18175" s="24"/>
      <c r="W18175" s="24"/>
      <c r="X18175" s="24"/>
      <c r="Y18175" s="24"/>
      <c r="Z18175" s="24"/>
      <c r="AA18175" s="24"/>
    </row>
    <row r="18176">
      <c r="A18176" s="24"/>
      <c r="B18176" s="25"/>
      <c r="C18176" s="24"/>
      <c r="D18176" s="26"/>
      <c r="E18176" s="24"/>
      <c r="F18176" s="24"/>
      <c r="G18176" s="24"/>
      <c r="H18176" s="24"/>
      <c r="I18176" s="24"/>
      <c r="J18176" s="24"/>
      <c r="K18176" s="24"/>
      <c r="L18176" s="24"/>
      <c r="M18176" s="24"/>
      <c r="N18176" s="24"/>
      <c r="O18176" s="24"/>
      <c r="P18176" s="24"/>
      <c r="Q18176" s="24"/>
      <c r="R18176" s="24"/>
      <c r="S18176" s="24"/>
      <c r="T18176" s="24"/>
      <c r="U18176" s="24"/>
      <c r="V18176" s="24"/>
      <c r="W18176" s="24"/>
      <c r="X18176" s="24"/>
      <c r="Y18176" s="24"/>
      <c r="Z18176" s="24"/>
      <c r="AA18176" s="24"/>
    </row>
    <row r="18177">
      <c r="A18177" s="24"/>
      <c r="B18177" s="25"/>
      <c r="C18177" s="24"/>
      <c r="D18177" s="26"/>
      <c r="E18177" s="24"/>
      <c r="F18177" s="24"/>
      <c r="G18177" s="24"/>
      <c r="H18177" s="24"/>
      <c r="I18177" s="24"/>
      <c r="J18177" s="24"/>
      <c r="K18177" s="24"/>
      <c r="L18177" s="24"/>
      <c r="M18177" s="24"/>
      <c r="N18177" s="24"/>
      <c r="O18177" s="24"/>
      <c r="P18177" s="24"/>
      <c r="Q18177" s="24"/>
      <c r="R18177" s="24"/>
      <c r="S18177" s="24"/>
      <c r="T18177" s="24"/>
      <c r="U18177" s="24"/>
      <c r="V18177" s="24"/>
      <c r="W18177" s="24"/>
      <c r="X18177" s="24"/>
      <c r="Y18177" s="24"/>
      <c r="Z18177" s="24"/>
      <c r="AA18177" s="24"/>
    </row>
    <row r="18178">
      <c r="A18178" s="24"/>
      <c r="B18178" s="25"/>
      <c r="C18178" s="24"/>
      <c r="D18178" s="26"/>
      <c r="E18178" s="24"/>
      <c r="F18178" s="24"/>
      <c r="G18178" s="24"/>
      <c r="H18178" s="24"/>
      <c r="I18178" s="24"/>
      <c r="J18178" s="24"/>
      <c r="K18178" s="24"/>
      <c r="L18178" s="24"/>
      <c r="M18178" s="24"/>
      <c r="N18178" s="24"/>
      <c r="O18178" s="24"/>
      <c r="P18178" s="24"/>
      <c r="Q18178" s="24"/>
      <c r="R18178" s="24"/>
      <c r="S18178" s="24"/>
      <c r="T18178" s="24"/>
      <c r="U18178" s="24"/>
      <c r="V18178" s="24"/>
      <c r="W18178" s="24"/>
      <c r="X18178" s="24"/>
      <c r="Y18178" s="24"/>
      <c r="Z18178" s="24"/>
      <c r="AA18178" s="24"/>
    </row>
    <row r="18179">
      <c r="A18179" s="24"/>
      <c r="B18179" s="25"/>
      <c r="C18179" s="24"/>
      <c r="D18179" s="26"/>
      <c r="E18179" s="24"/>
      <c r="F18179" s="24"/>
      <c r="G18179" s="24"/>
      <c r="H18179" s="24"/>
      <c r="I18179" s="24"/>
      <c r="J18179" s="24"/>
      <c r="K18179" s="24"/>
      <c r="L18179" s="24"/>
      <c r="M18179" s="24"/>
      <c r="N18179" s="24"/>
      <c r="O18179" s="24"/>
      <c r="P18179" s="24"/>
      <c r="Q18179" s="24"/>
      <c r="R18179" s="24"/>
      <c r="S18179" s="24"/>
      <c r="T18179" s="24"/>
      <c r="U18179" s="24"/>
      <c r="V18179" s="24"/>
      <c r="W18179" s="24"/>
      <c r="X18179" s="24"/>
      <c r="Y18179" s="24"/>
      <c r="Z18179" s="24"/>
      <c r="AA18179" s="24"/>
    </row>
    <row r="18180">
      <c r="A18180" s="24"/>
      <c r="B18180" s="25"/>
      <c r="C18180" s="24"/>
      <c r="D18180" s="26"/>
      <c r="E18180" s="24"/>
      <c r="F18180" s="24"/>
      <c r="G18180" s="24"/>
      <c r="H18180" s="24"/>
      <c r="I18180" s="24"/>
      <c r="J18180" s="24"/>
      <c r="K18180" s="24"/>
      <c r="L18180" s="24"/>
      <c r="M18180" s="24"/>
      <c r="N18180" s="24"/>
      <c r="O18180" s="24"/>
      <c r="P18180" s="24"/>
      <c r="Q18180" s="24"/>
      <c r="R18180" s="24"/>
      <c r="S18180" s="24"/>
      <c r="T18180" s="24"/>
      <c r="U18180" s="24"/>
      <c r="V18180" s="24"/>
      <c r="W18180" s="24"/>
      <c r="X18180" s="24"/>
      <c r="Y18180" s="24"/>
      <c r="Z18180" s="24"/>
      <c r="AA18180" s="24"/>
    </row>
    <row r="18181">
      <c r="A18181" s="24"/>
      <c r="B18181" s="25"/>
      <c r="C18181" s="24"/>
      <c r="D18181" s="26"/>
      <c r="E18181" s="24"/>
      <c r="F18181" s="24"/>
      <c r="G18181" s="24"/>
      <c r="H18181" s="24"/>
      <c r="I18181" s="24"/>
      <c r="J18181" s="24"/>
      <c r="K18181" s="24"/>
      <c r="L18181" s="24"/>
      <c r="M18181" s="24"/>
      <c r="N18181" s="24"/>
      <c r="O18181" s="24"/>
      <c r="P18181" s="24"/>
      <c r="Q18181" s="24"/>
      <c r="R18181" s="24"/>
      <c r="S18181" s="24"/>
      <c r="T18181" s="24"/>
      <c r="U18181" s="24"/>
      <c r="V18181" s="24"/>
      <c r="W18181" s="24"/>
      <c r="X18181" s="24"/>
      <c r="Y18181" s="24"/>
      <c r="Z18181" s="24"/>
      <c r="AA18181" s="24"/>
    </row>
    <row r="18182">
      <c r="A18182" s="24"/>
      <c r="B18182" s="25"/>
      <c r="C18182" s="24"/>
      <c r="D18182" s="26"/>
      <c r="E18182" s="24"/>
      <c r="F18182" s="24"/>
      <c r="G18182" s="24"/>
      <c r="H18182" s="24"/>
      <c r="I18182" s="24"/>
      <c r="J18182" s="24"/>
      <c r="K18182" s="24"/>
      <c r="L18182" s="24"/>
      <c r="M18182" s="24"/>
      <c r="N18182" s="24"/>
      <c r="O18182" s="24"/>
      <c r="P18182" s="24"/>
      <c r="Q18182" s="24"/>
      <c r="R18182" s="24"/>
      <c r="S18182" s="24"/>
      <c r="T18182" s="24"/>
      <c r="U18182" s="24"/>
      <c r="V18182" s="24"/>
      <c r="W18182" s="24"/>
      <c r="X18182" s="24"/>
      <c r="Y18182" s="24"/>
      <c r="Z18182" s="24"/>
      <c r="AA18182" s="24"/>
    </row>
    <row r="18183">
      <c r="A18183" s="24"/>
      <c r="B18183" s="25"/>
      <c r="C18183" s="24"/>
      <c r="D18183" s="26"/>
      <c r="E18183" s="24"/>
      <c r="F18183" s="24"/>
      <c r="G18183" s="24"/>
      <c r="H18183" s="24"/>
      <c r="I18183" s="24"/>
      <c r="J18183" s="24"/>
      <c r="K18183" s="24"/>
      <c r="L18183" s="24"/>
      <c r="M18183" s="24"/>
      <c r="N18183" s="24"/>
      <c r="O18183" s="24"/>
      <c r="P18183" s="24"/>
      <c r="Q18183" s="24"/>
      <c r="R18183" s="24"/>
      <c r="S18183" s="24"/>
      <c r="T18183" s="24"/>
      <c r="U18183" s="24"/>
      <c r="V18183" s="24"/>
      <c r="W18183" s="24"/>
      <c r="X18183" s="24"/>
      <c r="Y18183" s="24"/>
      <c r="Z18183" s="24"/>
      <c r="AA18183" s="24"/>
    </row>
    <row r="18184">
      <c r="A18184" s="24"/>
      <c r="B18184" s="25"/>
      <c r="C18184" s="24"/>
      <c r="D18184" s="26"/>
      <c r="E18184" s="24"/>
      <c r="F18184" s="24"/>
      <c r="G18184" s="24"/>
      <c r="H18184" s="24"/>
      <c r="I18184" s="24"/>
      <c r="J18184" s="24"/>
      <c r="K18184" s="24"/>
      <c r="L18184" s="24"/>
      <c r="M18184" s="24"/>
      <c r="N18184" s="24"/>
      <c r="O18184" s="24"/>
      <c r="P18184" s="24"/>
      <c r="Q18184" s="24"/>
      <c r="R18184" s="24"/>
      <c r="S18184" s="24"/>
      <c r="T18184" s="24"/>
      <c r="U18184" s="24"/>
      <c r="V18184" s="24"/>
      <c r="W18184" s="24"/>
      <c r="X18184" s="24"/>
      <c r="Y18184" s="24"/>
      <c r="Z18184" s="24"/>
      <c r="AA18184" s="24"/>
    </row>
    <row r="18185">
      <c r="A18185" s="24"/>
      <c r="B18185" s="25"/>
      <c r="C18185" s="24"/>
      <c r="D18185" s="26"/>
      <c r="E18185" s="24"/>
      <c r="F18185" s="24"/>
      <c r="G18185" s="24"/>
      <c r="H18185" s="24"/>
      <c r="I18185" s="24"/>
      <c r="J18185" s="24"/>
      <c r="K18185" s="24"/>
      <c r="L18185" s="24"/>
      <c r="M18185" s="24"/>
      <c r="N18185" s="24"/>
      <c r="O18185" s="24"/>
      <c r="P18185" s="24"/>
      <c r="Q18185" s="24"/>
      <c r="R18185" s="24"/>
      <c r="S18185" s="24"/>
      <c r="T18185" s="24"/>
      <c r="U18185" s="24"/>
      <c r="V18185" s="24"/>
      <c r="W18185" s="24"/>
      <c r="X18185" s="24"/>
      <c r="Y18185" s="24"/>
      <c r="Z18185" s="24"/>
      <c r="AA18185" s="24"/>
    </row>
    <row r="18186">
      <c r="A18186" s="24"/>
      <c r="B18186" s="25"/>
      <c r="C18186" s="24"/>
      <c r="D18186" s="26"/>
      <c r="E18186" s="24"/>
      <c r="F18186" s="24"/>
      <c r="G18186" s="24"/>
      <c r="H18186" s="24"/>
      <c r="I18186" s="24"/>
      <c r="J18186" s="24"/>
      <c r="K18186" s="24"/>
      <c r="L18186" s="24"/>
      <c r="M18186" s="24"/>
      <c r="N18186" s="24"/>
      <c r="O18186" s="24"/>
      <c r="P18186" s="24"/>
      <c r="Q18186" s="24"/>
      <c r="R18186" s="24"/>
      <c r="S18186" s="24"/>
      <c r="T18186" s="24"/>
      <c r="U18186" s="24"/>
      <c r="V18186" s="24"/>
      <c r="W18186" s="24"/>
      <c r="X18186" s="24"/>
      <c r="Y18186" s="24"/>
      <c r="Z18186" s="24"/>
      <c r="AA18186" s="24"/>
    </row>
    <row r="18187">
      <c r="A18187" s="24"/>
      <c r="B18187" s="25"/>
      <c r="C18187" s="24"/>
      <c r="D18187" s="26"/>
      <c r="E18187" s="24"/>
      <c r="F18187" s="24"/>
      <c r="G18187" s="24"/>
      <c r="H18187" s="24"/>
      <c r="I18187" s="24"/>
      <c r="J18187" s="24"/>
      <c r="K18187" s="24"/>
      <c r="L18187" s="24"/>
      <c r="M18187" s="24"/>
      <c r="N18187" s="24"/>
      <c r="O18187" s="24"/>
      <c r="P18187" s="24"/>
      <c r="Q18187" s="24"/>
      <c r="R18187" s="24"/>
      <c r="S18187" s="24"/>
      <c r="T18187" s="24"/>
      <c r="U18187" s="24"/>
      <c r="V18187" s="24"/>
      <c r="W18187" s="24"/>
      <c r="X18187" s="24"/>
      <c r="Y18187" s="24"/>
      <c r="Z18187" s="24"/>
      <c r="AA18187" s="24"/>
    </row>
    <row r="18188">
      <c r="A18188" s="24"/>
      <c r="B18188" s="25"/>
      <c r="C18188" s="24"/>
      <c r="D18188" s="26"/>
      <c r="E18188" s="24"/>
      <c r="F18188" s="24"/>
      <c r="G18188" s="24"/>
      <c r="H18188" s="24"/>
      <c r="I18188" s="24"/>
      <c r="J18188" s="24"/>
      <c r="K18188" s="24"/>
      <c r="L18188" s="24"/>
      <c r="M18188" s="24"/>
      <c r="N18188" s="24"/>
      <c r="O18188" s="24"/>
      <c r="P18188" s="24"/>
      <c r="Q18188" s="24"/>
      <c r="R18188" s="24"/>
      <c r="S18188" s="24"/>
      <c r="T18188" s="24"/>
      <c r="U18188" s="24"/>
      <c r="V18188" s="24"/>
      <c r="W18188" s="24"/>
      <c r="X18188" s="24"/>
      <c r="Y18188" s="24"/>
      <c r="Z18188" s="24"/>
      <c r="AA18188" s="24"/>
    </row>
    <row r="18189">
      <c r="A18189" s="24"/>
      <c r="B18189" s="25"/>
      <c r="C18189" s="24"/>
      <c r="D18189" s="26"/>
      <c r="E18189" s="24"/>
      <c r="F18189" s="24"/>
      <c r="G18189" s="24"/>
      <c r="H18189" s="24"/>
      <c r="I18189" s="24"/>
      <c r="J18189" s="24"/>
      <c r="K18189" s="24"/>
      <c r="L18189" s="24"/>
      <c r="M18189" s="24"/>
      <c r="N18189" s="24"/>
      <c r="O18189" s="24"/>
      <c r="P18189" s="24"/>
      <c r="Q18189" s="24"/>
      <c r="R18189" s="24"/>
      <c r="S18189" s="24"/>
      <c r="T18189" s="24"/>
      <c r="U18189" s="24"/>
      <c r="V18189" s="24"/>
      <c r="W18189" s="24"/>
      <c r="X18189" s="24"/>
      <c r="Y18189" s="24"/>
      <c r="Z18189" s="24"/>
      <c r="AA18189" s="24"/>
    </row>
    <row r="18190">
      <c r="A18190" s="24"/>
      <c r="B18190" s="25"/>
      <c r="C18190" s="24"/>
      <c r="D18190" s="26"/>
      <c r="E18190" s="24"/>
      <c r="F18190" s="24"/>
      <c r="G18190" s="24"/>
      <c r="H18190" s="24"/>
      <c r="I18190" s="24"/>
      <c r="J18190" s="24"/>
      <c r="K18190" s="24"/>
      <c r="L18190" s="24"/>
      <c r="M18190" s="24"/>
      <c r="N18190" s="24"/>
      <c r="O18190" s="24"/>
      <c r="P18190" s="24"/>
      <c r="Q18190" s="24"/>
      <c r="R18190" s="24"/>
      <c r="S18190" s="24"/>
      <c r="T18190" s="24"/>
      <c r="U18190" s="24"/>
      <c r="V18190" s="24"/>
      <c r="W18190" s="24"/>
      <c r="X18190" s="24"/>
      <c r="Y18190" s="24"/>
      <c r="Z18190" s="24"/>
      <c r="AA18190" s="24"/>
    </row>
    <row r="18191">
      <c r="A18191" s="24"/>
      <c r="B18191" s="25"/>
      <c r="C18191" s="24"/>
      <c r="D18191" s="26"/>
      <c r="E18191" s="24"/>
      <c r="F18191" s="24"/>
      <c r="G18191" s="24"/>
      <c r="H18191" s="24"/>
      <c r="I18191" s="24"/>
      <c r="J18191" s="24"/>
      <c r="K18191" s="24"/>
      <c r="L18191" s="24"/>
      <c r="M18191" s="24"/>
      <c r="N18191" s="24"/>
      <c r="O18191" s="24"/>
      <c r="P18191" s="24"/>
      <c r="Q18191" s="24"/>
      <c r="R18191" s="24"/>
      <c r="S18191" s="24"/>
      <c r="T18191" s="24"/>
      <c r="U18191" s="24"/>
      <c r="V18191" s="24"/>
      <c r="W18191" s="24"/>
      <c r="X18191" s="24"/>
      <c r="Y18191" s="24"/>
      <c r="Z18191" s="24"/>
      <c r="AA18191" s="24"/>
    </row>
    <row r="18192">
      <c r="A18192" s="24"/>
      <c r="B18192" s="25"/>
      <c r="C18192" s="24"/>
      <c r="D18192" s="26"/>
      <c r="E18192" s="24"/>
      <c r="F18192" s="24"/>
      <c r="G18192" s="24"/>
      <c r="H18192" s="24"/>
      <c r="I18192" s="24"/>
      <c r="J18192" s="24"/>
      <c r="K18192" s="24"/>
      <c r="L18192" s="24"/>
      <c r="M18192" s="24"/>
      <c r="N18192" s="24"/>
      <c r="O18192" s="24"/>
      <c r="P18192" s="24"/>
      <c r="Q18192" s="24"/>
      <c r="R18192" s="24"/>
      <c r="S18192" s="24"/>
      <c r="T18192" s="24"/>
      <c r="U18192" s="24"/>
      <c r="V18192" s="24"/>
      <c r="W18192" s="24"/>
      <c r="X18192" s="24"/>
      <c r="Y18192" s="24"/>
      <c r="Z18192" s="24"/>
      <c r="AA18192" s="24"/>
    </row>
    <row r="18193">
      <c r="A18193" s="24"/>
      <c r="B18193" s="25"/>
      <c r="C18193" s="24"/>
      <c r="D18193" s="26"/>
      <c r="E18193" s="24"/>
      <c r="F18193" s="24"/>
      <c r="G18193" s="24"/>
      <c r="H18193" s="24"/>
      <c r="I18193" s="24"/>
      <c r="J18193" s="24"/>
      <c r="K18193" s="24"/>
      <c r="L18193" s="24"/>
      <c r="M18193" s="24"/>
      <c r="N18193" s="24"/>
      <c r="O18193" s="24"/>
      <c r="P18193" s="24"/>
      <c r="Q18193" s="24"/>
      <c r="R18193" s="24"/>
      <c r="S18193" s="24"/>
      <c r="T18193" s="24"/>
      <c r="U18193" s="24"/>
      <c r="V18193" s="24"/>
      <c r="W18193" s="24"/>
      <c r="X18193" s="24"/>
      <c r="Y18193" s="24"/>
      <c r="Z18193" s="24"/>
      <c r="AA18193" s="24"/>
    </row>
    <row r="18194">
      <c r="A18194" s="24"/>
      <c r="B18194" s="25"/>
      <c r="C18194" s="24"/>
      <c r="D18194" s="26"/>
      <c r="E18194" s="24"/>
      <c r="F18194" s="24"/>
      <c r="G18194" s="24"/>
      <c r="H18194" s="24"/>
      <c r="I18194" s="24"/>
      <c r="J18194" s="24"/>
      <c r="K18194" s="24"/>
      <c r="L18194" s="24"/>
      <c r="M18194" s="24"/>
      <c r="N18194" s="24"/>
      <c r="O18194" s="24"/>
      <c r="P18194" s="24"/>
      <c r="Q18194" s="24"/>
      <c r="R18194" s="24"/>
      <c r="S18194" s="24"/>
      <c r="T18194" s="24"/>
      <c r="U18194" s="24"/>
      <c r="V18194" s="24"/>
      <c r="W18194" s="24"/>
      <c r="X18194" s="24"/>
      <c r="Y18194" s="24"/>
      <c r="Z18194" s="24"/>
      <c r="AA18194" s="24"/>
    </row>
    <row r="18195">
      <c r="A18195" s="24"/>
      <c r="B18195" s="25"/>
      <c r="C18195" s="24"/>
      <c r="D18195" s="26"/>
      <c r="E18195" s="24"/>
      <c r="F18195" s="24"/>
      <c r="G18195" s="24"/>
      <c r="H18195" s="24"/>
      <c r="I18195" s="24"/>
      <c r="J18195" s="24"/>
      <c r="K18195" s="24"/>
      <c r="L18195" s="24"/>
      <c r="M18195" s="24"/>
      <c r="N18195" s="24"/>
      <c r="O18195" s="24"/>
      <c r="P18195" s="24"/>
      <c r="Q18195" s="24"/>
      <c r="R18195" s="24"/>
      <c r="S18195" s="24"/>
      <c r="T18195" s="24"/>
      <c r="U18195" s="24"/>
      <c r="V18195" s="24"/>
      <c r="W18195" s="24"/>
      <c r="X18195" s="24"/>
      <c r="Y18195" s="24"/>
      <c r="Z18195" s="24"/>
      <c r="AA18195" s="24"/>
    </row>
    <row r="18196">
      <c r="A18196" s="24"/>
      <c r="B18196" s="25"/>
      <c r="C18196" s="24"/>
      <c r="D18196" s="26"/>
      <c r="E18196" s="24"/>
      <c r="F18196" s="24"/>
      <c r="G18196" s="24"/>
      <c r="H18196" s="24"/>
      <c r="I18196" s="24"/>
      <c r="J18196" s="24"/>
      <c r="K18196" s="24"/>
      <c r="L18196" s="24"/>
      <c r="M18196" s="24"/>
      <c r="N18196" s="24"/>
      <c r="O18196" s="24"/>
      <c r="P18196" s="24"/>
      <c r="Q18196" s="24"/>
      <c r="R18196" s="24"/>
      <c r="S18196" s="24"/>
      <c r="T18196" s="24"/>
      <c r="U18196" s="24"/>
      <c r="V18196" s="24"/>
      <c r="W18196" s="24"/>
      <c r="X18196" s="24"/>
      <c r="Y18196" s="24"/>
      <c r="Z18196" s="24"/>
      <c r="AA18196" s="24"/>
    </row>
    <row r="18197">
      <c r="A18197" s="24"/>
      <c r="B18197" s="25"/>
      <c r="C18197" s="24"/>
      <c r="D18197" s="26"/>
      <c r="E18197" s="24"/>
      <c r="F18197" s="24"/>
      <c r="G18197" s="24"/>
      <c r="H18197" s="24"/>
      <c r="I18197" s="24"/>
      <c r="J18197" s="24"/>
      <c r="K18197" s="24"/>
      <c r="L18197" s="24"/>
      <c r="M18197" s="24"/>
      <c r="N18197" s="24"/>
      <c r="O18197" s="24"/>
      <c r="P18197" s="24"/>
      <c r="Q18197" s="24"/>
      <c r="R18197" s="24"/>
      <c r="S18197" s="24"/>
      <c r="T18197" s="24"/>
      <c r="U18197" s="24"/>
      <c r="V18197" s="24"/>
      <c r="W18197" s="24"/>
      <c r="X18197" s="24"/>
      <c r="Y18197" s="24"/>
      <c r="Z18197" s="24"/>
      <c r="AA18197" s="24"/>
    </row>
    <row r="18198">
      <c r="A18198" s="24"/>
      <c r="B18198" s="25"/>
      <c r="C18198" s="24"/>
      <c r="D18198" s="26"/>
      <c r="E18198" s="24"/>
      <c r="F18198" s="24"/>
      <c r="G18198" s="24"/>
      <c r="H18198" s="24"/>
      <c r="I18198" s="24"/>
      <c r="J18198" s="24"/>
      <c r="K18198" s="24"/>
      <c r="L18198" s="24"/>
      <c r="M18198" s="24"/>
      <c r="N18198" s="24"/>
      <c r="O18198" s="24"/>
      <c r="P18198" s="24"/>
      <c r="Q18198" s="24"/>
      <c r="R18198" s="24"/>
      <c r="S18198" s="24"/>
      <c r="T18198" s="24"/>
      <c r="U18198" s="24"/>
      <c r="V18198" s="24"/>
      <c r="W18198" s="24"/>
      <c r="X18198" s="24"/>
      <c r="Y18198" s="24"/>
      <c r="Z18198" s="24"/>
      <c r="AA18198" s="24"/>
    </row>
    <row r="18199">
      <c r="A18199" s="24"/>
      <c r="B18199" s="25"/>
      <c r="C18199" s="24"/>
      <c r="D18199" s="26"/>
      <c r="E18199" s="24"/>
      <c r="F18199" s="24"/>
      <c r="G18199" s="24"/>
      <c r="H18199" s="24"/>
      <c r="I18199" s="24"/>
      <c r="J18199" s="24"/>
      <c r="K18199" s="24"/>
      <c r="L18199" s="24"/>
      <c r="M18199" s="24"/>
      <c r="N18199" s="24"/>
      <c r="O18199" s="24"/>
      <c r="P18199" s="24"/>
      <c r="Q18199" s="24"/>
      <c r="R18199" s="24"/>
      <c r="S18199" s="24"/>
      <c r="T18199" s="24"/>
      <c r="U18199" s="24"/>
      <c r="V18199" s="24"/>
      <c r="W18199" s="24"/>
      <c r="X18199" s="24"/>
      <c r="Y18199" s="24"/>
      <c r="Z18199" s="24"/>
      <c r="AA18199" s="24"/>
    </row>
    <row r="18200">
      <c r="A18200" s="24"/>
      <c r="B18200" s="25"/>
      <c r="C18200" s="24"/>
      <c r="D18200" s="26"/>
      <c r="E18200" s="24"/>
      <c r="F18200" s="24"/>
      <c r="G18200" s="24"/>
      <c r="H18200" s="24"/>
      <c r="I18200" s="24"/>
      <c r="J18200" s="24"/>
      <c r="K18200" s="24"/>
      <c r="L18200" s="24"/>
      <c r="M18200" s="24"/>
      <c r="N18200" s="24"/>
      <c r="O18200" s="24"/>
      <c r="P18200" s="24"/>
      <c r="Q18200" s="24"/>
      <c r="R18200" s="24"/>
      <c r="S18200" s="24"/>
      <c r="T18200" s="24"/>
      <c r="U18200" s="24"/>
      <c r="V18200" s="24"/>
      <c r="W18200" s="24"/>
      <c r="X18200" s="24"/>
      <c r="Y18200" s="24"/>
      <c r="Z18200" s="24"/>
      <c r="AA18200" s="24"/>
    </row>
    <row r="18201">
      <c r="A18201" s="24"/>
      <c r="B18201" s="25"/>
      <c r="C18201" s="24"/>
      <c r="D18201" s="26"/>
      <c r="E18201" s="24"/>
      <c r="F18201" s="24"/>
      <c r="G18201" s="24"/>
      <c r="H18201" s="24"/>
      <c r="I18201" s="24"/>
      <c r="J18201" s="24"/>
      <c r="K18201" s="24"/>
      <c r="L18201" s="24"/>
      <c r="M18201" s="24"/>
      <c r="N18201" s="24"/>
      <c r="O18201" s="24"/>
      <c r="P18201" s="24"/>
      <c r="Q18201" s="24"/>
      <c r="R18201" s="24"/>
      <c r="S18201" s="24"/>
      <c r="T18201" s="24"/>
      <c r="U18201" s="24"/>
      <c r="V18201" s="24"/>
      <c r="W18201" s="24"/>
      <c r="X18201" s="24"/>
      <c r="Y18201" s="24"/>
      <c r="Z18201" s="24"/>
      <c r="AA18201" s="24"/>
    </row>
    <row r="18202">
      <c r="A18202" s="24"/>
      <c r="B18202" s="25"/>
      <c r="C18202" s="24"/>
      <c r="D18202" s="26"/>
      <c r="E18202" s="24"/>
      <c r="F18202" s="24"/>
      <c r="G18202" s="24"/>
      <c r="H18202" s="24"/>
      <c r="I18202" s="24"/>
      <c r="J18202" s="24"/>
      <c r="K18202" s="24"/>
      <c r="L18202" s="24"/>
      <c r="M18202" s="24"/>
      <c r="N18202" s="24"/>
      <c r="O18202" s="24"/>
      <c r="P18202" s="24"/>
      <c r="Q18202" s="24"/>
      <c r="R18202" s="24"/>
      <c r="S18202" s="24"/>
      <c r="T18202" s="24"/>
      <c r="U18202" s="24"/>
      <c r="V18202" s="24"/>
      <c r="W18202" s="24"/>
      <c r="X18202" s="24"/>
      <c r="Y18202" s="24"/>
      <c r="Z18202" s="24"/>
      <c r="AA18202" s="24"/>
    </row>
    <row r="18203">
      <c r="A18203" s="24"/>
      <c r="B18203" s="25"/>
      <c r="C18203" s="24"/>
      <c r="D18203" s="26"/>
      <c r="E18203" s="24"/>
      <c r="F18203" s="24"/>
      <c r="G18203" s="24"/>
      <c r="H18203" s="24"/>
      <c r="I18203" s="24"/>
      <c r="J18203" s="24"/>
      <c r="K18203" s="24"/>
      <c r="L18203" s="24"/>
      <c r="M18203" s="24"/>
      <c r="N18203" s="24"/>
      <c r="O18203" s="24"/>
      <c r="P18203" s="24"/>
      <c r="Q18203" s="24"/>
      <c r="R18203" s="24"/>
      <c r="S18203" s="24"/>
      <c r="T18203" s="24"/>
      <c r="U18203" s="24"/>
      <c r="V18203" s="24"/>
      <c r="W18203" s="24"/>
      <c r="X18203" s="24"/>
      <c r="Y18203" s="24"/>
      <c r="Z18203" s="24"/>
      <c r="AA18203" s="24"/>
    </row>
    <row r="18204">
      <c r="A18204" s="24"/>
      <c r="B18204" s="25"/>
      <c r="C18204" s="24"/>
      <c r="D18204" s="26"/>
      <c r="E18204" s="24"/>
      <c r="F18204" s="24"/>
      <c r="G18204" s="24"/>
      <c r="H18204" s="24"/>
      <c r="I18204" s="24"/>
      <c r="J18204" s="24"/>
      <c r="K18204" s="24"/>
      <c r="L18204" s="24"/>
      <c r="M18204" s="24"/>
      <c r="N18204" s="24"/>
      <c r="O18204" s="24"/>
      <c r="P18204" s="24"/>
      <c r="Q18204" s="24"/>
      <c r="R18204" s="24"/>
      <c r="S18204" s="24"/>
      <c r="T18204" s="24"/>
      <c r="U18204" s="24"/>
      <c r="V18204" s="24"/>
      <c r="W18204" s="24"/>
      <c r="X18204" s="24"/>
      <c r="Y18204" s="24"/>
      <c r="Z18204" s="24"/>
      <c r="AA18204" s="24"/>
    </row>
    <row r="18205">
      <c r="A18205" s="24"/>
      <c r="B18205" s="25"/>
      <c r="C18205" s="24"/>
      <c r="D18205" s="26"/>
      <c r="E18205" s="24"/>
      <c r="F18205" s="24"/>
      <c r="G18205" s="24"/>
      <c r="H18205" s="24"/>
      <c r="I18205" s="24"/>
      <c r="J18205" s="24"/>
      <c r="K18205" s="24"/>
      <c r="L18205" s="24"/>
      <c r="M18205" s="24"/>
      <c r="N18205" s="24"/>
      <c r="O18205" s="24"/>
      <c r="P18205" s="24"/>
      <c r="Q18205" s="24"/>
      <c r="R18205" s="24"/>
      <c r="S18205" s="24"/>
      <c r="T18205" s="24"/>
      <c r="U18205" s="24"/>
      <c r="V18205" s="24"/>
      <c r="W18205" s="24"/>
      <c r="X18205" s="24"/>
      <c r="Y18205" s="24"/>
      <c r="Z18205" s="24"/>
      <c r="AA18205" s="24"/>
    </row>
    <row r="18206">
      <c r="A18206" s="24"/>
      <c r="B18206" s="25"/>
      <c r="C18206" s="24"/>
      <c r="D18206" s="26"/>
      <c r="E18206" s="24"/>
      <c r="F18206" s="24"/>
      <c r="G18206" s="24"/>
      <c r="H18206" s="24"/>
      <c r="I18206" s="24"/>
      <c r="J18206" s="24"/>
      <c r="K18206" s="24"/>
      <c r="L18206" s="24"/>
      <c r="M18206" s="24"/>
      <c r="N18206" s="24"/>
      <c r="O18206" s="24"/>
      <c r="P18206" s="24"/>
      <c r="Q18206" s="24"/>
      <c r="R18206" s="24"/>
      <c r="S18206" s="24"/>
      <c r="T18206" s="24"/>
      <c r="U18206" s="24"/>
      <c r="V18206" s="24"/>
      <c r="W18206" s="24"/>
      <c r="X18206" s="24"/>
      <c r="Y18206" s="24"/>
      <c r="Z18206" s="24"/>
      <c r="AA18206" s="24"/>
    </row>
    <row r="18207">
      <c r="A18207" s="24"/>
      <c r="B18207" s="25"/>
      <c r="C18207" s="24"/>
      <c r="D18207" s="26"/>
      <c r="E18207" s="24"/>
      <c r="F18207" s="24"/>
      <c r="G18207" s="24"/>
      <c r="H18207" s="24"/>
      <c r="I18207" s="24"/>
      <c r="J18207" s="24"/>
      <c r="K18207" s="24"/>
      <c r="L18207" s="24"/>
      <c r="M18207" s="24"/>
      <c r="N18207" s="24"/>
      <c r="O18207" s="24"/>
      <c r="P18207" s="24"/>
      <c r="Q18207" s="24"/>
      <c r="R18207" s="24"/>
      <c r="S18207" s="24"/>
      <c r="T18207" s="24"/>
      <c r="U18207" s="24"/>
      <c r="V18207" s="24"/>
      <c r="W18207" s="24"/>
      <c r="X18207" s="24"/>
      <c r="Y18207" s="24"/>
      <c r="Z18207" s="24"/>
      <c r="AA18207" s="24"/>
    </row>
    <row r="18208">
      <c r="A18208" s="24"/>
      <c r="B18208" s="25"/>
      <c r="C18208" s="24"/>
      <c r="D18208" s="26"/>
      <c r="E18208" s="24"/>
      <c r="F18208" s="24"/>
      <c r="G18208" s="24"/>
      <c r="H18208" s="24"/>
      <c r="I18208" s="24"/>
      <c r="J18208" s="24"/>
      <c r="K18208" s="24"/>
      <c r="L18208" s="24"/>
      <c r="M18208" s="24"/>
      <c r="N18208" s="24"/>
      <c r="O18208" s="24"/>
      <c r="P18208" s="24"/>
      <c r="Q18208" s="24"/>
      <c r="R18208" s="24"/>
      <c r="S18208" s="24"/>
      <c r="T18208" s="24"/>
      <c r="U18208" s="24"/>
      <c r="V18208" s="24"/>
      <c r="W18208" s="24"/>
      <c r="X18208" s="24"/>
      <c r="Y18208" s="24"/>
      <c r="Z18208" s="24"/>
      <c r="AA18208" s="24"/>
    </row>
    <row r="18209">
      <c r="A18209" s="24"/>
      <c r="B18209" s="25"/>
      <c r="C18209" s="24"/>
      <c r="D18209" s="26"/>
      <c r="E18209" s="24"/>
      <c r="F18209" s="24"/>
      <c r="G18209" s="24"/>
      <c r="H18209" s="24"/>
      <c r="I18209" s="24"/>
      <c r="J18209" s="24"/>
      <c r="K18209" s="24"/>
      <c r="L18209" s="24"/>
      <c r="M18209" s="24"/>
      <c r="N18209" s="24"/>
      <c r="O18209" s="24"/>
      <c r="P18209" s="24"/>
      <c r="Q18209" s="24"/>
      <c r="R18209" s="24"/>
      <c r="S18209" s="24"/>
      <c r="T18209" s="24"/>
      <c r="U18209" s="24"/>
      <c r="V18209" s="24"/>
      <c r="W18209" s="24"/>
      <c r="X18209" s="24"/>
      <c r="Y18209" s="24"/>
      <c r="Z18209" s="24"/>
      <c r="AA18209" s="24"/>
    </row>
    <row r="18210">
      <c r="A18210" s="24"/>
      <c r="B18210" s="25"/>
      <c r="C18210" s="24"/>
      <c r="D18210" s="26"/>
      <c r="E18210" s="24"/>
      <c r="F18210" s="24"/>
      <c r="G18210" s="24"/>
      <c r="H18210" s="24"/>
      <c r="I18210" s="24"/>
      <c r="J18210" s="24"/>
      <c r="K18210" s="24"/>
      <c r="L18210" s="24"/>
      <c r="M18210" s="24"/>
      <c r="N18210" s="24"/>
      <c r="O18210" s="24"/>
      <c r="P18210" s="24"/>
      <c r="Q18210" s="24"/>
      <c r="R18210" s="24"/>
      <c r="S18210" s="24"/>
      <c r="T18210" s="24"/>
      <c r="U18210" s="24"/>
      <c r="V18210" s="24"/>
      <c r="W18210" s="24"/>
      <c r="X18210" s="24"/>
      <c r="Y18210" s="24"/>
      <c r="Z18210" s="24"/>
      <c r="AA18210" s="24"/>
    </row>
    <row r="18211">
      <c r="A18211" s="24"/>
      <c r="B18211" s="25"/>
      <c r="C18211" s="24"/>
      <c r="D18211" s="26"/>
      <c r="E18211" s="24"/>
      <c r="F18211" s="24"/>
      <c r="G18211" s="24"/>
      <c r="H18211" s="24"/>
      <c r="I18211" s="24"/>
      <c r="J18211" s="24"/>
      <c r="K18211" s="24"/>
      <c r="L18211" s="24"/>
      <c r="M18211" s="24"/>
      <c r="N18211" s="24"/>
      <c r="O18211" s="24"/>
      <c r="P18211" s="24"/>
      <c r="Q18211" s="24"/>
      <c r="R18211" s="24"/>
      <c r="S18211" s="24"/>
      <c r="T18211" s="24"/>
      <c r="U18211" s="24"/>
      <c r="V18211" s="24"/>
      <c r="W18211" s="24"/>
      <c r="X18211" s="24"/>
      <c r="Y18211" s="24"/>
      <c r="Z18211" s="24"/>
      <c r="AA18211" s="24"/>
    </row>
    <row r="18212">
      <c r="A18212" s="24"/>
      <c r="B18212" s="25"/>
      <c r="C18212" s="24"/>
      <c r="D18212" s="26"/>
      <c r="E18212" s="24"/>
      <c r="F18212" s="24"/>
      <c r="G18212" s="24"/>
      <c r="H18212" s="24"/>
      <c r="I18212" s="24"/>
      <c r="J18212" s="24"/>
      <c r="K18212" s="24"/>
      <c r="L18212" s="24"/>
      <c r="M18212" s="24"/>
      <c r="N18212" s="24"/>
      <c r="O18212" s="24"/>
      <c r="P18212" s="24"/>
      <c r="Q18212" s="24"/>
      <c r="R18212" s="24"/>
      <c r="S18212" s="24"/>
      <c r="T18212" s="24"/>
      <c r="U18212" s="24"/>
      <c r="V18212" s="24"/>
      <c r="W18212" s="24"/>
      <c r="X18212" s="24"/>
      <c r="Y18212" s="24"/>
      <c r="Z18212" s="24"/>
      <c r="AA18212" s="24"/>
    </row>
    <row r="18213">
      <c r="A18213" s="24"/>
      <c r="B18213" s="25"/>
      <c r="C18213" s="24"/>
      <c r="D18213" s="26"/>
      <c r="E18213" s="24"/>
      <c r="F18213" s="24"/>
      <c r="G18213" s="24"/>
      <c r="H18213" s="24"/>
      <c r="I18213" s="24"/>
      <c r="J18213" s="24"/>
      <c r="K18213" s="24"/>
      <c r="L18213" s="24"/>
      <c r="M18213" s="24"/>
      <c r="N18213" s="24"/>
      <c r="O18213" s="24"/>
      <c r="P18213" s="24"/>
      <c r="Q18213" s="24"/>
      <c r="R18213" s="24"/>
      <c r="S18213" s="24"/>
      <c r="T18213" s="24"/>
      <c r="U18213" s="24"/>
      <c r="V18213" s="24"/>
      <c r="W18213" s="24"/>
      <c r="X18213" s="24"/>
      <c r="Y18213" s="24"/>
      <c r="Z18213" s="24"/>
      <c r="AA18213" s="24"/>
    </row>
    <row r="18214">
      <c r="A18214" s="24"/>
      <c r="B18214" s="25"/>
      <c r="C18214" s="24"/>
      <c r="D18214" s="26"/>
      <c r="E18214" s="24"/>
      <c r="F18214" s="24"/>
      <c r="G18214" s="24"/>
      <c r="H18214" s="24"/>
      <c r="I18214" s="24"/>
      <c r="J18214" s="24"/>
      <c r="K18214" s="24"/>
      <c r="L18214" s="24"/>
      <c r="M18214" s="24"/>
      <c r="N18214" s="24"/>
      <c r="O18214" s="24"/>
      <c r="P18214" s="24"/>
      <c r="Q18214" s="24"/>
      <c r="R18214" s="24"/>
      <c r="S18214" s="24"/>
      <c r="T18214" s="24"/>
      <c r="U18214" s="24"/>
      <c r="V18214" s="24"/>
      <c r="W18214" s="24"/>
      <c r="X18214" s="24"/>
      <c r="Y18214" s="24"/>
      <c r="Z18214" s="24"/>
      <c r="AA18214" s="24"/>
    </row>
    <row r="18215">
      <c r="A18215" s="24"/>
      <c r="B18215" s="25"/>
      <c r="C18215" s="24"/>
      <c r="D18215" s="26"/>
      <c r="E18215" s="24"/>
      <c r="F18215" s="24"/>
      <c r="G18215" s="24"/>
      <c r="H18215" s="24"/>
      <c r="I18215" s="24"/>
      <c r="J18215" s="24"/>
      <c r="K18215" s="24"/>
      <c r="L18215" s="24"/>
      <c r="M18215" s="24"/>
      <c r="N18215" s="24"/>
      <c r="O18215" s="24"/>
      <c r="P18215" s="24"/>
      <c r="Q18215" s="24"/>
      <c r="R18215" s="24"/>
      <c r="S18215" s="24"/>
      <c r="T18215" s="24"/>
      <c r="U18215" s="24"/>
      <c r="V18215" s="24"/>
      <c r="W18215" s="24"/>
      <c r="X18215" s="24"/>
      <c r="Y18215" s="24"/>
      <c r="Z18215" s="24"/>
      <c r="AA18215" s="24"/>
    </row>
    <row r="18216">
      <c r="A18216" s="24"/>
      <c r="B18216" s="25"/>
      <c r="C18216" s="24"/>
      <c r="D18216" s="26"/>
      <c r="E18216" s="24"/>
      <c r="F18216" s="24"/>
      <c r="G18216" s="24"/>
      <c r="H18216" s="24"/>
      <c r="I18216" s="24"/>
      <c r="J18216" s="24"/>
      <c r="K18216" s="24"/>
      <c r="L18216" s="24"/>
      <c r="M18216" s="24"/>
      <c r="N18216" s="24"/>
      <c r="O18216" s="24"/>
      <c r="P18216" s="24"/>
      <c r="Q18216" s="24"/>
      <c r="R18216" s="24"/>
      <c r="S18216" s="24"/>
      <c r="T18216" s="24"/>
      <c r="U18216" s="24"/>
      <c r="V18216" s="24"/>
      <c r="W18216" s="24"/>
      <c r="X18216" s="24"/>
      <c r="Y18216" s="24"/>
      <c r="Z18216" s="24"/>
      <c r="AA18216" s="24"/>
    </row>
    <row r="18217">
      <c r="A18217" s="24"/>
      <c r="B18217" s="25"/>
      <c r="C18217" s="24"/>
      <c r="D18217" s="26"/>
      <c r="E18217" s="24"/>
      <c r="F18217" s="24"/>
      <c r="G18217" s="24"/>
      <c r="H18217" s="24"/>
      <c r="I18217" s="24"/>
      <c r="J18217" s="24"/>
      <c r="K18217" s="24"/>
      <c r="L18217" s="24"/>
      <c r="M18217" s="24"/>
      <c r="N18217" s="24"/>
      <c r="O18217" s="24"/>
      <c r="P18217" s="24"/>
      <c r="Q18217" s="24"/>
      <c r="R18217" s="24"/>
      <c r="S18217" s="24"/>
      <c r="T18217" s="24"/>
      <c r="U18217" s="24"/>
      <c r="V18217" s="24"/>
      <c r="W18217" s="24"/>
      <c r="X18217" s="24"/>
      <c r="Y18217" s="24"/>
      <c r="Z18217" s="24"/>
      <c r="AA18217" s="24"/>
    </row>
    <row r="18218">
      <c r="A18218" s="24"/>
      <c r="B18218" s="25"/>
      <c r="C18218" s="24"/>
      <c r="D18218" s="26"/>
      <c r="E18218" s="24"/>
      <c r="F18218" s="24"/>
      <c r="G18218" s="24"/>
      <c r="H18218" s="24"/>
      <c r="I18218" s="24"/>
      <c r="J18218" s="24"/>
      <c r="K18218" s="24"/>
      <c r="L18218" s="24"/>
      <c r="M18218" s="24"/>
      <c r="N18218" s="24"/>
      <c r="O18218" s="24"/>
      <c r="P18218" s="24"/>
      <c r="Q18218" s="24"/>
      <c r="R18218" s="24"/>
      <c r="S18218" s="24"/>
      <c r="T18218" s="24"/>
      <c r="U18218" s="24"/>
      <c r="V18218" s="24"/>
      <c r="W18218" s="24"/>
      <c r="X18218" s="24"/>
      <c r="Y18218" s="24"/>
      <c r="Z18218" s="24"/>
      <c r="AA18218" s="24"/>
    </row>
    <row r="18219">
      <c r="A18219" s="24"/>
      <c r="B18219" s="25"/>
      <c r="C18219" s="24"/>
      <c r="D18219" s="26"/>
      <c r="E18219" s="24"/>
      <c r="F18219" s="24"/>
      <c r="G18219" s="24"/>
      <c r="H18219" s="24"/>
      <c r="I18219" s="24"/>
      <c r="J18219" s="24"/>
      <c r="K18219" s="24"/>
      <c r="L18219" s="24"/>
      <c r="M18219" s="24"/>
      <c r="N18219" s="24"/>
      <c r="O18219" s="24"/>
      <c r="P18219" s="24"/>
      <c r="Q18219" s="24"/>
      <c r="R18219" s="24"/>
      <c r="S18219" s="24"/>
      <c r="T18219" s="24"/>
      <c r="U18219" s="24"/>
      <c r="V18219" s="24"/>
      <c r="W18219" s="24"/>
      <c r="X18219" s="24"/>
      <c r="Y18219" s="24"/>
      <c r="Z18219" s="24"/>
      <c r="AA18219" s="24"/>
    </row>
    <row r="18220">
      <c r="A18220" s="24"/>
      <c r="B18220" s="25"/>
      <c r="C18220" s="24"/>
      <c r="D18220" s="26"/>
      <c r="E18220" s="24"/>
      <c r="F18220" s="24"/>
      <c r="G18220" s="24"/>
      <c r="H18220" s="24"/>
      <c r="I18220" s="24"/>
      <c r="J18220" s="24"/>
      <c r="K18220" s="24"/>
      <c r="L18220" s="24"/>
      <c r="M18220" s="24"/>
      <c r="N18220" s="24"/>
      <c r="O18220" s="24"/>
      <c r="P18220" s="24"/>
      <c r="Q18220" s="24"/>
      <c r="R18220" s="24"/>
      <c r="S18220" s="24"/>
      <c r="T18220" s="24"/>
      <c r="U18220" s="24"/>
      <c r="V18220" s="24"/>
      <c r="W18220" s="24"/>
      <c r="X18220" s="24"/>
      <c r="Y18220" s="24"/>
      <c r="Z18220" s="24"/>
      <c r="AA18220" s="24"/>
    </row>
    <row r="18221">
      <c r="A18221" s="24"/>
      <c r="B18221" s="25"/>
      <c r="C18221" s="24"/>
      <c r="D18221" s="26"/>
      <c r="E18221" s="24"/>
      <c r="F18221" s="24"/>
      <c r="G18221" s="24"/>
      <c r="H18221" s="24"/>
      <c r="I18221" s="24"/>
      <c r="J18221" s="24"/>
      <c r="K18221" s="24"/>
      <c r="L18221" s="24"/>
      <c r="M18221" s="24"/>
      <c r="N18221" s="24"/>
      <c r="O18221" s="24"/>
      <c r="P18221" s="24"/>
      <c r="Q18221" s="24"/>
      <c r="R18221" s="24"/>
      <c r="S18221" s="24"/>
      <c r="T18221" s="24"/>
      <c r="U18221" s="24"/>
      <c r="V18221" s="24"/>
      <c r="W18221" s="24"/>
      <c r="X18221" s="24"/>
      <c r="Y18221" s="24"/>
      <c r="Z18221" s="24"/>
      <c r="AA18221" s="24"/>
    </row>
    <row r="18222">
      <c r="A18222" s="24"/>
      <c r="B18222" s="25"/>
      <c r="C18222" s="24"/>
      <c r="D18222" s="26"/>
      <c r="E18222" s="24"/>
      <c r="F18222" s="24"/>
      <c r="G18222" s="24"/>
      <c r="H18222" s="24"/>
      <c r="I18222" s="24"/>
      <c r="J18222" s="24"/>
      <c r="K18222" s="24"/>
      <c r="L18222" s="24"/>
      <c r="M18222" s="24"/>
      <c r="N18222" s="24"/>
      <c r="O18222" s="24"/>
      <c r="P18222" s="24"/>
      <c r="Q18222" s="24"/>
      <c r="R18222" s="24"/>
      <c r="S18222" s="24"/>
      <c r="T18222" s="24"/>
      <c r="U18222" s="24"/>
      <c r="V18222" s="24"/>
      <c r="W18222" s="24"/>
      <c r="X18222" s="24"/>
      <c r="Y18222" s="24"/>
      <c r="Z18222" s="24"/>
      <c r="AA18222" s="24"/>
    </row>
    <row r="18223">
      <c r="A18223" s="24"/>
      <c r="B18223" s="25"/>
      <c r="C18223" s="24"/>
      <c r="D18223" s="26"/>
      <c r="E18223" s="24"/>
      <c r="F18223" s="24"/>
      <c r="G18223" s="24"/>
      <c r="H18223" s="24"/>
      <c r="I18223" s="24"/>
      <c r="J18223" s="24"/>
      <c r="K18223" s="24"/>
      <c r="L18223" s="24"/>
      <c r="M18223" s="24"/>
      <c r="N18223" s="24"/>
      <c r="O18223" s="24"/>
      <c r="P18223" s="24"/>
      <c r="Q18223" s="24"/>
      <c r="R18223" s="24"/>
      <c r="S18223" s="24"/>
      <c r="T18223" s="24"/>
      <c r="U18223" s="24"/>
      <c r="V18223" s="24"/>
      <c r="W18223" s="24"/>
      <c r="X18223" s="24"/>
      <c r="Y18223" s="24"/>
      <c r="Z18223" s="24"/>
      <c r="AA18223" s="24"/>
    </row>
    <row r="18224">
      <c r="A18224" s="24"/>
      <c r="B18224" s="25"/>
      <c r="C18224" s="24"/>
      <c r="D18224" s="26"/>
      <c r="E18224" s="24"/>
      <c r="F18224" s="24"/>
      <c r="G18224" s="24"/>
      <c r="H18224" s="24"/>
      <c r="I18224" s="24"/>
      <c r="J18224" s="24"/>
      <c r="K18224" s="24"/>
      <c r="L18224" s="24"/>
      <c r="M18224" s="24"/>
      <c r="N18224" s="24"/>
      <c r="O18224" s="24"/>
      <c r="P18224" s="24"/>
      <c r="Q18224" s="24"/>
      <c r="R18224" s="24"/>
      <c r="S18224" s="24"/>
      <c r="T18224" s="24"/>
      <c r="U18224" s="24"/>
      <c r="V18224" s="24"/>
      <c r="W18224" s="24"/>
      <c r="X18224" s="24"/>
      <c r="Y18224" s="24"/>
      <c r="Z18224" s="24"/>
      <c r="AA18224" s="24"/>
    </row>
    <row r="18225">
      <c r="A18225" s="24"/>
      <c r="B18225" s="25"/>
      <c r="C18225" s="24"/>
      <c r="D18225" s="26"/>
      <c r="E18225" s="24"/>
      <c r="F18225" s="24"/>
      <c r="G18225" s="24"/>
      <c r="H18225" s="24"/>
      <c r="I18225" s="24"/>
      <c r="J18225" s="24"/>
      <c r="K18225" s="24"/>
      <c r="L18225" s="24"/>
      <c r="M18225" s="24"/>
      <c r="N18225" s="24"/>
      <c r="O18225" s="24"/>
      <c r="P18225" s="24"/>
      <c r="Q18225" s="24"/>
      <c r="R18225" s="24"/>
      <c r="S18225" s="24"/>
      <c r="T18225" s="24"/>
      <c r="U18225" s="24"/>
      <c r="V18225" s="24"/>
      <c r="W18225" s="24"/>
      <c r="X18225" s="24"/>
      <c r="Y18225" s="24"/>
      <c r="Z18225" s="24"/>
      <c r="AA18225" s="24"/>
    </row>
    <row r="18226">
      <c r="A18226" s="24"/>
      <c r="B18226" s="25"/>
      <c r="C18226" s="24"/>
      <c r="D18226" s="26"/>
      <c r="E18226" s="24"/>
      <c r="F18226" s="24"/>
      <c r="G18226" s="24"/>
      <c r="H18226" s="24"/>
      <c r="I18226" s="24"/>
      <c r="J18226" s="24"/>
      <c r="K18226" s="24"/>
      <c r="L18226" s="24"/>
      <c r="M18226" s="24"/>
      <c r="N18226" s="24"/>
      <c r="O18226" s="24"/>
      <c r="P18226" s="24"/>
      <c r="Q18226" s="24"/>
      <c r="R18226" s="24"/>
      <c r="S18226" s="24"/>
      <c r="T18226" s="24"/>
      <c r="U18226" s="24"/>
      <c r="V18226" s="24"/>
      <c r="W18226" s="24"/>
      <c r="X18226" s="24"/>
      <c r="Y18226" s="24"/>
      <c r="Z18226" s="24"/>
      <c r="AA18226" s="24"/>
    </row>
    <row r="18227">
      <c r="A18227" s="24"/>
      <c r="B18227" s="25"/>
      <c r="C18227" s="24"/>
      <c r="D18227" s="26"/>
      <c r="E18227" s="24"/>
      <c r="F18227" s="24"/>
      <c r="G18227" s="24"/>
      <c r="H18227" s="24"/>
      <c r="I18227" s="24"/>
      <c r="J18227" s="24"/>
      <c r="K18227" s="24"/>
      <c r="L18227" s="24"/>
      <c r="M18227" s="24"/>
      <c r="N18227" s="24"/>
      <c r="O18227" s="24"/>
      <c r="P18227" s="24"/>
      <c r="Q18227" s="24"/>
      <c r="R18227" s="24"/>
      <c r="S18227" s="24"/>
      <c r="T18227" s="24"/>
      <c r="U18227" s="24"/>
      <c r="V18227" s="24"/>
      <c r="W18227" s="24"/>
      <c r="X18227" s="24"/>
      <c r="Y18227" s="24"/>
      <c r="Z18227" s="24"/>
      <c r="AA18227" s="24"/>
    </row>
    <row r="18228">
      <c r="A18228" s="24"/>
      <c r="B18228" s="25"/>
      <c r="C18228" s="24"/>
      <c r="D18228" s="26"/>
      <c r="E18228" s="24"/>
      <c r="F18228" s="24"/>
      <c r="G18228" s="24"/>
      <c r="H18228" s="24"/>
      <c r="I18228" s="24"/>
      <c r="J18228" s="24"/>
      <c r="K18228" s="24"/>
      <c r="L18228" s="24"/>
      <c r="M18228" s="24"/>
      <c r="N18228" s="24"/>
      <c r="O18228" s="24"/>
      <c r="P18228" s="24"/>
      <c r="Q18228" s="24"/>
      <c r="R18228" s="24"/>
      <c r="S18228" s="24"/>
      <c r="T18228" s="24"/>
      <c r="U18228" s="24"/>
      <c r="V18228" s="24"/>
      <c r="W18228" s="24"/>
      <c r="X18228" s="24"/>
      <c r="Y18228" s="24"/>
      <c r="Z18228" s="24"/>
      <c r="AA18228" s="24"/>
    </row>
    <row r="18229">
      <c r="A18229" s="24"/>
      <c r="B18229" s="25"/>
      <c r="C18229" s="24"/>
      <c r="D18229" s="26"/>
      <c r="E18229" s="24"/>
      <c r="F18229" s="24"/>
      <c r="G18229" s="24"/>
      <c r="H18229" s="24"/>
      <c r="I18229" s="24"/>
      <c r="J18229" s="24"/>
      <c r="K18229" s="24"/>
      <c r="L18229" s="24"/>
      <c r="M18229" s="24"/>
      <c r="N18229" s="24"/>
      <c r="O18229" s="24"/>
      <c r="P18229" s="24"/>
      <c r="Q18229" s="24"/>
      <c r="R18229" s="24"/>
      <c r="S18229" s="24"/>
      <c r="T18229" s="24"/>
      <c r="U18229" s="24"/>
      <c r="V18229" s="24"/>
      <c r="W18229" s="24"/>
      <c r="X18229" s="24"/>
      <c r="Y18229" s="24"/>
      <c r="Z18229" s="24"/>
      <c r="AA18229" s="24"/>
    </row>
    <row r="18230">
      <c r="A18230" s="24"/>
      <c r="B18230" s="25"/>
      <c r="C18230" s="24"/>
      <c r="D18230" s="26"/>
      <c r="E18230" s="24"/>
      <c r="F18230" s="24"/>
      <c r="G18230" s="24"/>
      <c r="H18230" s="24"/>
      <c r="I18230" s="24"/>
      <c r="J18230" s="24"/>
      <c r="K18230" s="24"/>
      <c r="L18230" s="24"/>
      <c r="M18230" s="24"/>
      <c r="N18230" s="24"/>
      <c r="O18230" s="24"/>
      <c r="P18230" s="24"/>
      <c r="Q18230" s="24"/>
      <c r="R18230" s="24"/>
      <c r="S18230" s="24"/>
      <c r="T18230" s="24"/>
      <c r="U18230" s="24"/>
      <c r="V18230" s="24"/>
      <c r="W18230" s="24"/>
      <c r="X18230" s="24"/>
      <c r="Y18230" s="24"/>
      <c r="Z18230" s="24"/>
      <c r="AA18230" s="24"/>
    </row>
    <row r="18231">
      <c r="A18231" s="24"/>
      <c r="B18231" s="25"/>
      <c r="C18231" s="24"/>
      <c r="D18231" s="26"/>
      <c r="E18231" s="24"/>
      <c r="F18231" s="24"/>
      <c r="G18231" s="24"/>
      <c r="H18231" s="24"/>
      <c r="I18231" s="24"/>
      <c r="J18231" s="24"/>
      <c r="K18231" s="24"/>
      <c r="L18231" s="24"/>
      <c r="M18231" s="24"/>
      <c r="N18231" s="24"/>
      <c r="O18231" s="24"/>
      <c r="P18231" s="24"/>
      <c r="Q18231" s="24"/>
      <c r="R18231" s="24"/>
      <c r="S18231" s="24"/>
      <c r="T18231" s="24"/>
      <c r="U18231" s="24"/>
      <c r="V18231" s="24"/>
      <c r="W18231" s="24"/>
      <c r="X18231" s="24"/>
      <c r="Y18231" s="24"/>
      <c r="Z18231" s="24"/>
      <c r="AA18231" s="24"/>
    </row>
    <row r="18232">
      <c r="A18232" s="24"/>
      <c r="B18232" s="25"/>
      <c r="C18232" s="24"/>
      <c r="D18232" s="26"/>
      <c r="E18232" s="24"/>
      <c r="F18232" s="24"/>
      <c r="G18232" s="24"/>
      <c r="H18232" s="24"/>
      <c r="I18232" s="24"/>
      <c r="J18232" s="24"/>
      <c r="K18232" s="24"/>
      <c r="L18232" s="24"/>
      <c r="M18232" s="24"/>
      <c r="N18232" s="24"/>
      <c r="O18232" s="24"/>
      <c r="P18232" s="24"/>
      <c r="Q18232" s="24"/>
      <c r="R18232" s="24"/>
      <c r="S18232" s="24"/>
      <c r="T18232" s="24"/>
      <c r="U18232" s="24"/>
      <c r="V18232" s="24"/>
      <c r="W18232" s="24"/>
      <c r="X18232" s="24"/>
      <c r="Y18232" s="24"/>
      <c r="Z18232" s="24"/>
      <c r="AA18232" s="24"/>
    </row>
    <row r="18233">
      <c r="A18233" s="24"/>
      <c r="B18233" s="25"/>
      <c r="C18233" s="24"/>
      <c r="D18233" s="26"/>
      <c r="E18233" s="24"/>
      <c r="F18233" s="24"/>
      <c r="G18233" s="24"/>
      <c r="H18233" s="24"/>
      <c r="I18233" s="24"/>
      <c r="J18233" s="24"/>
      <c r="K18233" s="24"/>
      <c r="L18233" s="24"/>
      <c r="M18233" s="24"/>
      <c r="N18233" s="24"/>
      <c r="O18233" s="24"/>
      <c r="P18233" s="24"/>
      <c r="Q18233" s="24"/>
      <c r="R18233" s="24"/>
      <c r="S18233" s="24"/>
      <c r="T18233" s="24"/>
      <c r="U18233" s="24"/>
      <c r="V18233" s="24"/>
      <c r="W18233" s="24"/>
      <c r="X18233" s="24"/>
      <c r="Y18233" s="24"/>
      <c r="Z18233" s="24"/>
      <c r="AA18233" s="24"/>
    </row>
    <row r="18234">
      <c r="A18234" s="24"/>
      <c r="B18234" s="25"/>
      <c r="C18234" s="24"/>
      <c r="D18234" s="26"/>
      <c r="E18234" s="24"/>
      <c r="F18234" s="24"/>
      <c r="G18234" s="24"/>
      <c r="H18234" s="24"/>
      <c r="I18234" s="24"/>
      <c r="J18234" s="24"/>
      <c r="K18234" s="24"/>
      <c r="L18234" s="24"/>
      <c r="M18234" s="24"/>
      <c r="N18234" s="24"/>
      <c r="O18234" s="24"/>
      <c r="P18234" s="24"/>
      <c r="Q18234" s="24"/>
      <c r="R18234" s="24"/>
      <c r="S18234" s="24"/>
      <c r="T18234" s="24"/>
      <c r="U18234" s="24"/>
      <c r="V18234" s="24"/>
      <c r="W18234" s="24"/>
      <c r="X18234" s="24"/>
      <c r="Y18234" s="24"/>
      <c r="Z18234" s="24"/>
      <c r="AA18234" s="24"/>
    </row>
    <row r="18235">
      <c r="A18235" s="24"/>
      <c r="B18235" s="25"/>
      <c r="C18235" s="24"/>
      <c r="D18235" s="26"/>
      <c r="E18235" s="24"/>
      <c r="F18235" s="24"/>
      <c r="G18235" s="24"/>
      <c r="H18235" s="24"/>
      <c r="I18235" s="24"/>
      <c r="J18235" s="24"/>
      <c r="K18235" s="24"/>
      <c r="L18235" s="24"/>
      <c r="M18235" s="24"/>
      <c r="N18235" s="24"/>
      <c r="O18235" s="24"/>
      <c r="P18235" s="24"/>
      <c r="Q18235" s="24"/>
      <c r="R18235" s="24"/>
      <c r="S18235" s="24"/>
      <c r="T18235" s="24"/>
      <c r="U18235" s="24"/>
      <c r="V18235" s="24"/>
      <c r="W18235" s="24"/>
      <c r="X18235" s="24"/>
      <c r="Y18235" s="24"/>
      <c r="Z18235" s="24"/>
      <c r="AA18235" s="24"/>
    </row>
    <row r="18236">
      <c r="A18236" s="24"/>
      <c r="B18236" s="25"/>
      <c r="C18236" s="24"/>
      <c r="D18236" s="26"/>
      <c r="E18236" s="24"/>
      <c r="F18236" s="24"/>
      <c r="G18236" s="24"/>
      <c r="H18236" s="24"/>
      <c r="I18236" s="24"/>
      <c r="J18236" s="24"/>
      <c r="K18236" s="24"/>
      <c r="L18236" s="24"/>
      <c r="M18236" s="24"/>
      <c r="N18236" s="24"/>
      <c r="O18236" s="24"/>
      <c r="P18236" s="24"/>
      <c r="Q18236" s="24"/>
      <c r="R18236" s="24"/>
      <c r="S18236" s="24"/>
      <c r="T18236" s="24"/>
      <c r="U18236" s="24"/>
      <c r="V18236" s="24"/>
      <c r="W18236" s="24"/>
      <c r="X18236" s="24"/>
      <c r="Y18236" s="24"/>
      <c r="Z18236" s="24"/>
      <c r="AA18236" s="24"/>
    </row>
    <row r="18237">
      <c r="A18237" s="24"/>
      <c r="B18237" s="25"/>
      <c r="C18237" s="24"/>
      <c r="D18237" s="26"/>
      <c r="E18237" s="24"/>
      <c r="F18237" s="24"/>
      <c r="G18237" s="24"/>
      <c r="H18237" s="24"/>
      <c r="I18237" s="24"/>
      <c r="J18237" s="24"/>
      <c r="K18237" s="24"/>
      <c r="L18237" s="24"/>
      <c r="M18237" s="24"/>
      <c r="N18237" s="24"/>
      <c r="O18237" s="24"/>
      <c r="P18237" s="24"/>
      <c r="Q18237" s="24"/>
      <c r="R18237" s="24"/>
      <c r="S18237" s="24"/>
      <c r="T18237" s="24"/>
      <c r="U18237" s="24"/>
      <c r="V18237" s="24"/>
      <c r="W18237" s="24"/>
      <c r="X18237" s="24"/>
      <c r="Y18237" s="24"/>
      <c r="Z18237" s="24"/>
      <c r="AA18237" s="24"/>
    </row>
    <row r="18238">
      <c r="A18238" s="24"/>
      <c r="B18238" s="25"/>
      <c r="C18238" s="24"/>
      <c r="D18238" s="26"/>
      <c r="E18238" s="24"/>
      <c r="F18238" s="24"/>
      <c r="G18238" s="24"/>
      <c r="H18238" s="24"/>
      <c r="I18238" s="24"/>
      <c r="J18238" s="24"/>
      <c r="K18238" s="24"/>
      <c r="L18238" s="24"/>
      <c r="M18238" s="24"/>
      <c r="N18238" s="24"/>
      <c r="O18238" s="24"/>
      <c r="P18238" s="24"/>
      <c r="Q18238" s="24"/>
      <c r="R18238" s="24"/>
      <c r="S18238" s="24"/>
      <c r="T18238" s="24"/>
      <c r="U18238" s="24"/>
      <c r="V18238" s="24"/>
      <c r="W18238" s="24"/>
      <c r="X18238" s="24"/>
      <c r="Y18238" s="24"/>
      <c r="Z18238" s="24"/>
      <c r="AA18238" s="24"/>
    </row>
    <row r="18239">
      <c r="A18239" s="24"/>
      <c r="B18239" s="25"/>
      <c r="C18239" s="24"/>
      <c r="D18239" s="26"/>
      <c r="E18239" s="24"/>
      <c r="F18239" s="24"/>
      <c r="G18239" s="24"/>
      <c r="H18239" s="24"/>
      <c r="I18239" s="24"/>
      <c r="J18239" s="24"/>
      <c r="K18239" s="24"/>
      <c r="L18239" s="24"/>
      <c r="M18239" s="24"/>
      <c r="N18239" s="24"/>
      <c r="O18239" s="24"/>
      <c r="P18239" s="24"/>
      <c r="Q18239" s="24"/>
      <c r="R18239" s="24"/>
      <c r="S18239" s="24"/>
      <c r="T18239" s="24"/>
      <c r="U18239" s="24"/>
      <c r="V18239" s="24"/>
      <c r="W18239" s="24"/>
      <c r="X18239" s="24"/>
      <c r="Y18239" s="24"/>
      <c r="Z18239" s="24"/>
      <c r="AA18239" s="24"/>
    </row>
    <row r="18240">
      <c r="A18240" s="24"/>
      <c r="B18240" s="25"/>
      <c r="C18240" s="24"/>
      <c r="D18240" s="26"/>
      <c r="E18240" s="24"/>
      <c r="F18240" s="24"/>
      <c r="G18240" s="24"/>
      <c r="H18240" s="24"/>
      <c r="I18240" s="24"/>
      <c r="J18240" s="24"/>
      <c r="K18240" s="24"/>
      <c r="L18240" s="24"/>
      <c r="M18240" s="24"/>
      <c r="N18240" s="24"/>
      <c r="O18240" s="24"/>
      <c r="P18240" s="24"/>
      <c r="Q18240" s="24"/>
      <c r="R18240" s="24"/>
      <c r="S18240" s="24"/>
      <c r="T18240" s="24"/>
      <c r="U18240" s="24"/>
      <c r="V18240" s="24"/>
      <c r="W18240" s="24"/>
      <c r="X18240" s="24"/>
      <c r="Y18240" s="24"/>
      <c r="Z18240" s="24"/>
      <c r="AA18240" s="24"/>
    </row>
    <row r="18241">
      <c r="A18241" s="24"/>
      <c r="B18241" s="25"/>
      <c r="C18241" s="24"/>
      <c r="D18241" s="26"/>
      <c r="E18241" s="24"/>
      <c r="F18241" s="24"/>
      <c r="G18241" s="24"/>
      <c r="H18241" s="24"/>
      <c r="I18241" s="24"/>
      <c r="J18241" s="24"/>
      <c r="K18241" s="24"/>
      <c r="L18241" s="24"/>
      <c r="M18241" s="24"/>
      <c r="N18241" s="24"/>
      <c r="O18241" s="24"/>
      <c r="P18241" s="24"/>
      <c r="Q18241" s="24"/>
      <c r="R18241" s="24"/>
      <c r="S18241" s="24"/>
      <c r="T18241" s="24"/>
      <c r="U18241" s="24"/>
      <c r="V18241" s="24"/>
      <c r="W18241" s="24"/>
      <c r="X18241" s="24"/>
      <c r="Y18241" s="24"/>
      <c r="Z18241" s="24"/>
      <c r="AA18241" s="24"/>
    </row>
    <row r="18242">
      <c r="A18242" s="24"/>
      <c r="B18242" s="25"/>
      <c r="C18242" s="24"/>
      <c r="D18242" s="26"/>
      <c r="E18242" s="24"/>
      <c r="F18242" s="24"/>
      <c r="G18242" s="24"/>
      <c r="H18242" s="24"/>
      <c r="I18242" s="24"/>
      <c r="J18242" s="24"/>
      <c r="K18242" s="24"/>
      <c r="L18242" s="24"/>
      <c r="M18242" s="24"/>
      <c r="N18242" s="24"/>
      <c r="O18242" s="24"/>
      <c r="P18242" s="24"/>
      <c r="Q18242" s="24"/>
      <c r="R18242" s="24"/>
      <c r="S18242" s="24"/>
      <c r="T18242" s="24"/>
      <c r="U18242" s="24"/>
      <c r="V18242" s="24"/>
      <c r="W18242" s="24"/>
      <c r="X18242" s="24"/>
      <c r="Y18242" s="24"/>
      <c r="Z18242" s="24"/>
      <c r="AA18242" s="24"/>
    </row>
    <row r="18243">
      <c r="A18243" s="24"/>
      <c r="B18243" s="25"/>
      <c r="C18243" s="24"/>
      <c r="D18243" s="26"/>
      <c r="E18243" s="24"/>
      <c r="F18243" s="24"/>
      <c r="G18243" s="24"/>
      <c r="H18243" s="24"/>
      <c r="I18243" s="24"/>
      <c r="J18243" s="24"/>
      <c r="K18243" s="24"/>
      <c r="L18243" s="24"/>
      <c r="M18243" s="24"/>
      <c r="N18243" s="24"/>
      <c r="O18243" s="24"/>
      <c r="P18243" s="24"/>
      <c r="Q18243" s="24"/>
      <c r="R18243" s="24"/>
      <c r="S18243" s="24"/>
      <c r="T18243" s="24"/>
      <c r="U18243" s="24"/>
      <c r="V18243" s="24"/>
      <c r="W18243" s="24"/>
      <c r="X18243" s="24"/>
      <c r="Y18243" s="24"/>
      <c r="Z18243" s="24"/>
      <c r="AA18243" s="24"/>
    </row>
    <row r="18244">
      <c r="A18244" s="24"/>
      <c r="B18244" s="25"/>
      <c r="C18244" s="24"/>
      <c r="D18244" s="26"/>
      <c r="E18244" s="24"/>
      <c r="F18244" s="24"/>
      <c r="G18244" s="24"/>
      <c r="H18244" s="24"/>
      <c r="I18244" s="24"/>
      <c r="J18244" s="24"/>
      <c r="K18244" s="24"/>
      <c r="L18244" s="24"/>
      <c r="M18244" s="24"/>
      <c r="N18244" s="24"/>
      <c r="O18244" s="24"/>
      <c r="P18244" s="24"/>
      <c r="Q18244" s="24"/>
      <c r="R18244" s="24"/>
      <c r="S18244" s="24"/>
      <c r="T18244" s="24"/>
      <c r="U18244" s="24"/>
      <c r="V18244" s="24"/>
      <c r="W18244" s="24"/>
      <c r="X18244" s="24"/>
      <c r="Y18244" s="24"/>
      <c r="Z18244" s="24"/>
      <c r="AA18244" s="24"/>
    </row>
    <row r="18245">
      <c r="A18245" s="24"/>
      <c r="B18245" s="25"/>
      <c r="C18245" s="24"/>
      <c r="D18245" s="26"/>
      <c r="E18245" s="24"/>
      <c r="F18245" s="24"/>
      <c r="G18245" s="24"/>
      <c r="H18245" s="24"/>
      <c r="I18245" s="24"/>
      <c r="J18245" s="24"/>
      <c r="K18245" s="24"/>
      <c r="L18245" s="24"/>
      <c r="M18245" s="24"/>
      <c r="N18245" s="24"/>
      <c r="O18245" s="24"/>
      <c r="P18245" s="24"/>
      <c r="Q18245" s="24"/>
      <c r="R18245" s="24"/>
      <c r="S18245" s="24"/>
      <c r="T18245" s="24"/>
      <c r="U18245" s="24"/>
      <c r="V18245" s="24"/>
      <c r="W18245" s="24"/>
      <c r="X18245" s="24"/>
      <c r="Y18245" s="24"/>
      <c r="Z18245" s="24"/>
      <c r="AA18245" s="24"/>
    </row>
    <row r="18246">
      <c r="A18246" s="24"/>
      <c r="B18246" s="25"/>
      <c r="C18246" s="24"/>
      <c r="D18246" s="26"/>
      <c r="E18246" s="24"/>
      <c r="F18246" s="24"/>
      <c r="G18246" s="24"/>
      <c r="H18246" s="24"/>
      <c r="I18246" s="24"/>
      <c r="J18246" s="24"/>
      <c r="K18246" s="24"/>
      <c r="L18246" s="24"/>
      <c r="M18246" s="24"/>
      <c r="N18246" s="24"/>
      <c r="O18246" s="24"/>
      <c r="P18246" s="24"/>
      <c r="Q18246" s="24"/>
      <c r="R18246" s="24"/>
      <c r="S18246" s="24"/>
      <c r="T18246" s="24"/>
      <c r="U18246" s="24"/>
      <c r="V18246" s="24"/>
      <c r="W18246" s="24"/>
      <c r="X18246" s="24"/>
      <c r="Y18246" s="24"/>
      <c r="Z18246" s="24"/>
      <c r="AA18246" s="24"/>
    </row>
    <row r="18247">
      <c r="A18247" s="24"/>
      <c r="B18247" s="25"/>
      <c r="C18247" s="24"/>
      <c r="D18247" s="26"/>
      <c r="E18247" s="24"/>
      <c r="F18247" s="24"/>
      <c r="G18247" s="24"/>
      <c r="H18247" s="24"/>
      <c r="I18247" s="24"/>
      <c r="J18247" s="24"/>
      <c r="K18247" s="24"/>
      <c r="L18247" s="24"/>
      <c r="M18247" s="24"/>
      <c r="N18247" s="24"/>
      <c r="O18247" s="24"/>
      <c r="P18247" s="24"/>
      <c r="Q18247" s="24"/>
      <c r="R18247" s="24"/>
      <c r="S18247" s="24"/>
      <c r="T18247" s="24"/>
      <c r="U18247" s="24"/>
      <c r="V18247" s="24"/>
      <c r="W18247" s="24"/>
      <c r="X18247" s="24"/>
      <c r="Y18247" s="24"/>
      <c r="Z18247" s="24"/>
      <c r="AA18247" s="24"/>
    </row>
    <row r="18248">
      <c r="A18248" s="24"/>
      <c r="B18248" s="25"/>
      <c r="C18248" s="24"/>
      <c r="D18248" s="26"/>
      <c r="E18248" s="24"/>
      <c r="F18248" s="24"/>
      <c r="G18248" s="24"/>
      <c r="H18248" s="24"/>
      <c r="I18248" s="24"/>
      <c r="J18248" s="24"/>
      <c r="K18248" s="24"/>
      <c r="L18248" s="24"/>
      <c r="M18248" s="24"/>
      <c r="N18248" s="24"/>
      <c r="O18248" s="24"/>
      <c r="P18248" s="24"/>
      <c r="Q18248" s="24"/>
      <c r="R18248" s="24"/>
      <c r="S18248" s="24"/>
      <c r="T18248" s="24"/>
      <c r="U18248" s="24"/>
      <c r="V18248" s="24"/>
      <c r="W18248" s="24"/>
      <c r="X18248" s="24"/>
      <c r="Y18248" s="24"/>
      <c r="Z18248" s="24"/>
      <c r="AA18248" s="24"/>
    </row>
    <row r="18249">
      <c r="A18249" s="24"/>
      <c r="B18249" s="25"/>
      <c r="C18249" s="24"/>
      <c r="D18249" s="26"/>
      <c r="E18249" s="24"/>
      <c r="F18249" s="24"/>
      <c r="G18249" s="24"/>
      <c r="H18249" s="24"/>
      <c r="I18249" s="24"/>
      <c r="J18249" s="24"/>
      <c r="K18249" s="24"/>
      <c r="L18249" s="24"/>
      <c r="M18249" s="24"/>
      <c r="N18249" s="24"/>
      <c r="O18249" s="24"/>
      <c r="P18249" s="24"/>
      <c r="Q18249" s="24"/>
      <c r="R18249" s="24"/>
      <c r="S18249" s="24"/>
      <c r="T18249" s="24"/>
      <c r="U18249" s="24"/>
      <c r="V18249" s="24"/>
      <c r="W18249" s="24"/>
      <c r="X18249" s="24"/>
      <c r="Y18249" s="24"/>
      <c r="Z18249" s="24"/>
      <c r="AA18249" s="24"/>
    </row>
    <row r="18250">
      <c r="A18250" s="24"/>
      <c r="B18250" s="25"/>
      <c r="C18250" s="24"/>
      <c r="D18250" s="26"/>
      <c r="E18250" s="24"/>
      <c r="F18250" s="24"/>
      <c r="G18250" s="24"/>
      <c r="H18250" s="24"/>
      <c r="I18250" s="24"/>
      <c r="J18250" s="24"/>
      <c r="K18250" s="24"/>
      <c r="L18250" s="24"/>
      <c r="M18250" s="24"/>
      <c r="N18250" s="24"/>
      <c r="O18250" s="24"/>
      <c r="P18250" s="24"/>
      <c r="Q18250" s="24"/>
      <c r="R18250" s="24"/>
      <c r="S18250" s="24"/>
      <c r="T18250" s="24"/>
      <c r="U18250" s="24"/>
      <c r="V18250" s="24"/>
      <c r="W18250" s="24"/>
      <c r="X18250" s="24"/>
      <c r="Y18250" s="24"/>
      <c r="Z18250" s="24"/>
      <c r="AA18250" s="24"/>
    </row>
    <row r="18251">
      <c r="A18251" s="24"/>
      <c r="B18251" s="25"/>
      <c r="C18251" s="24"/>
      <c r="D18251" s="26"/>
      <c r="E18251" s="24"/>
      <c r="F18251" s="24"/>
      <c r="G18251" s="24"/>
      <c r="H18251" s="24"/>
      <c r="I18251" s="24"/>
      <c r="J18251" s="24"/>
      <c r="K18251" s="24"/>
      <c r="L18251" s="24"/>
      <c r="M18251" s="24"/>
      <c r="N18251" s="24"/>
      <c r="O18251" s="24"/>
      <c r="P18251" s="24"/>
      <c r="Q18251" s="24"/>
      <c r="R18251" s="24"/>
      <c r="S18251" s="24"/>
      <c r="T18251" s="24"/>
      <c r="U18251" s="24"/>
      <c r="V18251" s="24"/>
      <c r="W18251" s="24"/>
      <c r="X18251" s="24"/>
      <c r="Y18251" s="24"/>
      <c r="Z18251" s="24"/>
      <c r="AA18251" s="24"/>
    </row>
    <row r="18252">
      <c r="A18252" s="24"/>
      <c r="B18252" s="25"/>
      <c r="C18252" s="24"/>
      <c r="D18252" s="26"/>
      <c r="E18252" s="24"/>
      <c r="F18252" s="24"/>
      <c r="G18252" s="24"/>
      <c r="H18252" s="24"/>
      <c r="I18252" s="24"/>
      <c r="J18252" s="24"/>
      <c r="K18252" s="24"/>
      <c r="L18252" s="24"/>
      <c r="M18252" s="24"/>
      <c r="N18252" s="24"/>
      <c r="O18252" s="24"/>
      <c r="P18252" s="24"/>
      <c r="Q18252" s="24"/>
      <c r="R18252" s="24"/>
      <c r="S18252" s="24"/>
      <c r="T18252" s="24"/>
      <c r="U18252" s="24"/>
      <c r="V18252" s="24"/>
      <c r="W18252" s="24"/>
      <c r="X18252" s="24"/>
      <c r="Y18252" s="24"/>
      <c r="Z18252" s="24"/>
      <c r="AA18252" s="24"/>
    </row>
    <row r="18253">
      <c r="A18253" s="24"/>
      <c r="B18253" s="25"/>
      <c r="C18253" s="24"/>
      <c r="D18253" s="26"/>
      <c r="E18253" s="24"/>
      <c r="F18253" s="24"/>
      <c r="G18253" s="24"/>
      <c r="H18253" s="24"/>
      <c r="I18253" s="24"/>
      <c r="J18253" s="24"/>
      <c r="K18253" s="24"/>
      <c r="L18253" s="24"/>
      <c r="M18253" s="24"/>
      <c r="N18253" s="24"/>
      <c r="O18253" s="24"/>
      <c r="P18253" s="24"/>
      <c r="Q18253" s="24"/>
      <c r="R18253" s="24"/>
      <c r="S18253" s="24"/>
      <c r="T18253" s="24"/>
      <c r="U18253" s="24"/>
      <c r="V18253" s="24"/>
      <c r="W18253" s="24"/>
      <c r="X18253" s="24"/>
      <c r="Y18253" s="24"/>
      <c r="Z18253" s="24"/>
      <c r="AA18253" s="24"/>
    </row>
    <row r="18254">
      <c r="A18254" s="24"/>
      <c r="B18254" s="25"/>
      <c r="C18254" s="24"/>
      <c r="D18254" s="26"/>
      <c r="E18254" s="24"/>
      <c r="F18254" s="24"/>
      <c r="G18254" s="24"/>
      <c r="H18254" s="24"/>
      <c r="I18254" s="24"/>
      <c r="J18254" s="24"/>
      <c r="K18254" s="24"/>
      <c r="L18254" s="24"/>
      <c r="M18254" s="24"/>
      <c r="N18254" s="24"/>
      <c r="O18254" s="24"/>
      <c r="P18254" s="24"/>
      <c r="Q18254" s="24"/>
      <c r="R18254" s="24"/>
      <c r="S18254" s="24"/>
      <c r="T18254" s="24"/>
      <c r="U18254" s="24"/>
      <c r="V18254" s="24"/>
      <c r="W18254" s="24"/>
      <c r="X18254" s="24"/>
      <c r="Y18254" s="24"/>
      <c r="Z18254" s="24"/>
      <c r="AA18254" s="24"/>
    </row>
    <row r="18255">
      <c r="A18255" s="24"/>
      <c r="B18255" s="25"/>
      <c r="C18255" s="24"/>
      <c r="D18255" s="26"/>
      <c r="E18255" s="24"/>
      <c r="F18255" s="24"/>
      <c r="G18255" s="24"/>
      <c r="H18255" s="24"/>
      <c r="I18255" s="24"/>
      <c r="J18255" s="24"/>
      <c r="K18255" s="24"/>
      <c r="L18255" s="24"/>
      <c r="M18255" s="24"/>
      <c r="N18255" s="24"/>
      <c r="O18255" s="24"/>
      <c r="P18255" s="24"/>
      <c r="Q18255" s="24"/>
      <c r="R18255" s="24"/>
      <c r="S18255" s="24"/>
      <c r="T18255" s="24"/>
      <c r="U18255" s="24"/>
      <c r="V18255" s="24"/>
      <c r="W18255" s="24"/>
      <c r="X18255" s="24"/>
      <c r="Y18255" s="24"/>
      <c r="Z18255" s="24"/>
      <c r="AA18255" s="24"/>
    </row>
    <row r="18256">
      <c r="A18256" s="24"/>
      <c r="B18256" s="25"/>
      <c r="C18256" s="24"/>
      <c r="D18256" s="26"/>
      <c r="E18256" s="24"/>
      <c r="F18256" s="24"/>
      <c r="G18256" s="24"/>
      <c r="H18256" s="24"/>
      <c r="I18256" s="24"/>
      <c r="J18256" s="24"/>
      <c r="K18256" s="24"/>
      <c r="L18256" s="24"/>
      <c r="M18256" s="24"/>
      <c r="N18256" s="24"/>
      <c r="O18256" s="24"/>
      <c r="P18256" s="24"/>
      <c r="Q18256" s="24"/>
      <c r="R18256" s="24"/>
      <c r="S18256" s="24"/>
      <c r="T18256" s="24"/>
      <c r="U18256" s="24"/>
      <c r="V18256" s="24"/>
      <c r="W18256" s="24"/>
      <c r="X18256" s="24"/>
      <c r="Y18256" s="24"/>
      <c r="Z18256" s="24"/>
      <c r="AA18256" s="24"/>
    </row>
    <row r="18257">
      <c r="A18257" s="24"/>
      <c r="B18257" s="25"/>
      <c r="C18257" s="24"/>
      <c r="D18257" s="26"/>
      <c r="E18257" s="24"/>
      <c r="F18257" s="24"/>
      <c r="G18257" s="24"/>
      <c r="H18257" s="24"/>
      <c r="I18257" s="24"/>
      <c r="J18257" s="24"/>
      <c r="K18257" s="24"/>
      <c r="L18257" s="24"/>
      <c r="M18257" s="24"/>
      <c r="N18257" s="24"/>
      <c r="O18257" s="24"/>
      <c r="P18257" s="24"/>
      <c r="Q18257" s="24"/>
      <c r="R18257" s="24"/>
      <c r="S18257" s="24"/>
      <c r="T18257" s="24"/>
      <c r="U18257" s="24"/>
      <c r="V18257" s="24"/>
      <c r="W18257" s="24"/>
      <c r="X18257" s="24"/>
      <c r="Y18257" s="24"/>
      <c r="Z18257" s="24"/>
      <c r="AA18257" s="24"/>
    </row>
    <row r="18258">
      <c r="A18258" s="24"/>
      <c r="B18258" s="25"/>
      <c r="C18258" s="24"/>
      <c r="D18258" s="26"/>
      <c r="E18258" s="24"/>
      <c r="F18258" s="24"/>
      <c r="G18258" s="24"/>
      <c r="H18258" s="24"/>
      <c r="I18258" s="24"/>
      <c r="J18258" s="24"/>
      <c r="K18258" s="24"/>
      <c r="L18258" s="24"/>
      <c r="M18258" s="24"/>
      <c r="N18258" s="24"/>
      <c r="O18258" s="24"/>
      <c r="P18258" s="24"/>
      <c r="Q18258" s="24"/>
      <c r="R18258" s="24"/>
      <c r="S18258" s="24"/>
      <c r="T18258" s="24"/>
      <c r="U18258" s="24"/>
      <c r="V18258" s="24"/>
      <c r="W18258" s="24"/>
      <c r="X18258" s="24"/>
      <c r="Y18258" s="24"/>
      <c r="Z18258" s="24"/>
      <c r="AA18258" s="24"/>
    </row>
    <row r="18259">
      <c r="A18259" s="24"/>
      <c r="B18259" s="25"/>
      <c r="C18259" s="24"/>
      <c r="D18259" s="26"/>
      <c r="E18259" s="24"/>
      <c r="F18259" s="24"/>
      <c r="G18259" s="24"/>
      <c r="H18259" s="24"/>
      <c r="I18259" s="24"/>
      <c r="J18259" s="24"/>
      <c r="K18259" s="24"/>
      <c r="L18259" s="24"/>
      <c r="M18259" s="24"/>
      <c r="N18259" s="24"/>
      <c r="O18259" s="24"/>
      <c r="P18259" s="24"/>
      <c r="Q18259" s="24"/>
      <c r="R18259" s="24"/>
      <c r="S18259" s="24"/>
      <c r="T18259" s="24"/>
      <c r="U18259" s="24"/>
      <c r="V18259" s="24"/>
      <c r="W18259" s="24"/>
      <c r="X18259" s="24"/>
      <c r="Y18259" s="24"/>
      <c r="Z18259" s="24"/>
      <c r="AA18259" s="24"/>
    </row>
    <row r="18260">
      <c r="A18260" s="24"/>
      <c r="B18260" s="25"/>
      <c r="C18260" s="24"/>
      <c r="D18260" s="26"/>
      <c r="E18260" s="24"/>
      <c r="F18260" s="24"/>
      <c r="G18260" s="24"/>
      <c r="H18260" s="24"/>
      <c r="I18260" s="24"/>
      <c r="J18260" s="24"/>
      <c r="K18260" s="24"/>
      <c r="L18260" s="24"/>
      <c r="M18260" s="24"/>
      <c r="N18260" s="24"/>
      <c r="O18260" s="24"/>
      <c r="P18260" s="24"/>
      <c r="Q18260" s="24"/>
      <c r="R18260" s="24"/>
      <c r="S18260" s="24"/>
      <c r="T18260" s="24"/>
      <c r="U18260" s="24"/>
      <c r="V18260" s="24"/>
      <c r="W18260" s="24"/>
      <c r="X18260" s="24"/>
      <c r="Y18260" s="24"/>
      <c r="Z18260" s="24"/>
      <c r="AA18260" s="24"/>
    </row>
    <row r="18261">
      <c r="A18261" s="24"/>
      <c r="B18261" s="25"/>
      <c r="C18261" s="24"/>
      <c r="D18261" s="26"/>
      <c r="E18261" s="24"/>
      <c r="F18261" s="24"/>
      <c r="G18261" s="24"/>
      <c r="H18261" s="24"/>
      <c r="I18261" s="24"/>
      <c r="J18261" s="24"/>
      <c r="K18261" s="24"/>
      <c r="L18261" s="24"/>
      <c r="M18261" s="24"/>
      <c r="N18261" s="24"/>
      <c r="O18261" s="24"/>
      <c r="P18261" s="24"/>
      <c r="Q18261" s="24"/>
      <c r="R18261" s="24"/>
      <c r="S18261" s="24"/>
      <c r="T18261" s="24"/>
      <c r="U18261" s="24"/>
      <c r="V18261" s="24"/>
      <c r="W18261" s="24"/>
      <c r="X18261" s="24"/>
      <c r="Y18261" s="24"/>
      <c r="Z18261" s="24"/>
      <c r="AA18261" s="24"/>
    </row>
    <row r="18262">
      <c r="A18262" s="24"/>
      <c r="B18262" s="25"/>
      <c r="C18262" s="24"/>
      <c r="D18262" s="26"/>
      <c r="E18262" s="24"/>
      <c r="F18262" s="24"/>
      <c r="G18262" s="24"/>
      <c r="H18262" s="24"/>
      <c r="I18262" s="24"/>
      <c r="J18262" s="24"/>
      <c r="K18262" s="24"/>
      <c r="L18262" s="24"/>
      <c r="M18262" s="24"/>
      <c r="N18262" s="24"/>
      <c r="O18262" s="24"/>
      <c r="P18262" s="24"/>
      <c r="Q18262" s="24"/>
      <c r="R18262" s="24"/>
      <c r="S18262" s="24"/>
      <c r="T18262" s="24"/>
      <c r="U18262" s="24"/>
      <c r="V18262" s="24"/>
      <c r="W18262" s="24"/>
      <c r="X18262" s="24"/>
      <c r="Y18262" s="24"/>
      <c r="Z18262" s="24"/>
      <c r="AA18262" s="24"/>
    </row>
    <row r="18263">
      <c r="A18263" s="24"/>
      <c r="B18263" s="25"/>
      <c r="C18263" s="24"/>
      <c r="D18263" s="26"/>
      <c r="E18263" s="24"/>
      <c r="F18263" s="24"/>
      <c r="G18263" s="24"/>
      <c r="H18263" s="24"/>
      <c r="I18263" s="24"/>
      <c r="J18263" s="24"/>
      <c r="K18263" s="24"/>
      <c r="L18263" s="24"/>
      <c r="M18263" s="24"/>
      <c r="N18263" s="24"/>
      <c r="O18263" s="24"/>
      <c r="P18263" s="24"/>
      <c r="Q18263" s="24"/>
      <c r="R18263" s="24"/>
      <c r="S18263" s="24"/>
      <c r="T18263" s="24"/>
      <c r="U18263" s="24"/>
      <c r="V18263" s="24"/>
      <c r="W18263" s="24"/>
      <c r="X18263" s="24"/>
      <c r="Y18263" s="24"/>
      <c r="Z18263" s="24"/>
      <c r="AA18263" s="24"/>
    </row>
    <row r="18264">
      <c r="A18264" s="24"/>
      <c r="B18264" s="25"/>
      <c r="C18264" s="24"/>
      <c r="D18264" s="26"/>
      <c r="E18264" s="24"/>
      <c r="F18264" s="24"/>
      <c r="G18264" s="24"/>
      <c r="H18264" s="24"/>
      <c r="I18264" s="24"/>
      <c r="J18264" s="24"/>
      <c r="K18264" s="24"/>
      <c r="L18264" s="24"/>
      <c r="M18264" s="24"/>
      <c r="N18264" s="24"/>
      <c r="O18264" s="24"/>
      <c r="P18264" s="24"/>
      <c r="Q18264" s="24"/>
      <c r="R18264" s="24"/>
      <c r="S18264" s="24"/>
      <c r="T18264" s="24"/>
      <c r="U18264" s="24"/>
      <c r="V18264" s="24"/>
      <c r="W18264" s="24"/>
      <c r="X18264" s="24"/>
      <c r="Y18264" s="24"/>
      <c r="Z18264" s="24"/>
      <c r="AA18264" s="24"/>
    </row>
    <row r="18265">
      <c r="A18265" s="24"/>
      <c r="B18265" s="25"/>
      <c r="C18265" s="24"/>
      <c r="D18265" s="26"/>
      <c r="E18265" s="24"/>
      <c r="F18265" s="24"/>
      <c r="G18265" s="24"/>
      <c r="H18265" s="24"/>
      <c r="I18265" s="24"/>
      <c r="J18265" s="24"/>
      <c r="K18265" s="24"/>
      <c r="L18265" s="24"/>
      <c r="M18265" s="24"/>
      <c r="N18265" s="24"/>
      <c r="O18265" s="24"/>
      <c r="P18265" s="24"/>
      <c r="Q18265" s="24"/>
      <c r="R18265" s="24"/>
      <c r="S18265" s="24"/>
      <c r="T18265" s="24"/>
      <c r="U18265" s="24"/>
      <c r="V18265" s="24"/>
      <c r="W18265" s="24"/>
      <c r="X18265" s="24"/>
      <c r="Y18265" s="24"/>
      <c r="Z18265" s="24"/>
      <c r="AA18265" s="24"/>
    </row>
    <row r="18266">
      <c r="A18266" s="24"/>
      <c r="B18266" s="25"/>
      <c r="C18266" s="24"/>
      <c r="D18266" s="26"/>
      <c r="E18266" s="24"/>
      <c r="F18266" s="24"/>
      <c r="G18266" s="24"/>
      <c r="H18266" s="24"/>
      <c r="I18266" s="24"/>
      <c r="J18266" s="24"/>
      <c r="K18266" s="24"/>
      <c r="L18266" s="24"/>
      <c r="M18266" s="24"/>
      <c r="N18266" s="24"/>
      <c r="O18266" s="24"/>
      <c r="P18266" s="24"/>
      <c r="Q18266" s="24"/>
      <c r="R18266" s="24"/>
      <c r="S18266" s="24"/>
      <c r="T18266" s="24"/>
      <c r="U18266" s="24"/>
      <c r="V18266" s="24"/>
      <c r="W18266" s="24"/>
      <c r="X18266" s="24"/>
      <c r="Y18266" s="24"/>
      <c r="Z18266" s="24"/>
      <c r="AA18266" s="24"/>
    </row>
    <row r="18267">
      <c r="A18267" s="24"/>
      <c r="B18267" s="25"/>
      <c r="C18267" s="24"/>
      <c r="D18267" s="26"/>
      <c r="E18267" s="24"/>
      <c r="F18267" s="24"/>
      <c r="G18267" s="24"/>
      <c r="H18267" s="24"/>
      <c r="I18267" s="24"/>
      <c r="J18267" s="24"/>
      <c r="K18267" s="24"/>
      <c r="L18267" s="24"/>
      <c r="M18267" s="24"/>
      <c r="N18267" s="24"/>
      <c r="O18267" s="24"/>
      <c r="P18267" s="24"/>
      <c r="Q18267" s="24"/>
      <c r="R18267" s="24"/>
      <c r="S18267" s="24"/>
      <c r="T18267" s="24"/>
      <c r="U18267" s="24"/>
      <c r="V18267" s="24"/>
      <c r="W18267" s="24"/>
      <c r="X18267" s="24"/>
      <c r="Y18267" s="24"/>
      <c r="Z18267" s="24"/>
      <c r="AA18267" s="24"/>
    </row>
    <row r="18268">
      <c r="A18268" s="24"/>
      <c r="B18268" s="25"/>
      <c r="C18268" s="24"/>
      <c r="D18268" s="26"/>
      <c r="E18268" s="24"/>
      <c r="F18268" s="24"/>
      <c r="G18268" s="24"/>
      <c r="H18268" s="24"/>
      <c r="I18268" s="24"/>
      <c r="J18268" s="24"/>
      <c r="K18268" s="24"/>
      <c r="L18268" s="24"/>
      <c r="M18268" s="24"/>
      <c r="N18268" s="24"/>
      <c r="O18268" s="24"/>
      <c r="P18268" s="24"/>
      <c r="Q18268" s="24"/>
      <c r="R18268" s="24"/>
      <c r="S18268" s="24"/>
      <c r="T18268" s="24"/>
      <c r="U18268" s="24"/>
      <c r="V18268" s="24"/>
      <c r="W18268" s="24"/>
      <c r="X18268" s="24"/>
      <c r="Y18268" s="24"/>
      <c r="Z18268" s="24"/>
      <c r="AA18268" s="24"/>
    </row>
    <row r="18269">
      <c r="A18269" s="24"/>
      <c r="B18269" s="25"/>
      <c r="C18269" s="24"/>
      <c r="D18269" s="26"/>
      <c r="E18269" s="24"/>
      <c r="F18269" s="24"/>
      <c r="G18269" s="24"/>
      <c r="H18269" s="24"/>
      <c r="I18269" s="24"/>
      <c r="J18269" s="24"/>
      <c r="K18269" s="24"/>
      <c r="L18269" s="24"/>
      <c r="M18269" s="24"/>
      <c r="N18269" s="24"/>
      <c r="O18269" s="24"/>
      <c r="P18269" s="24"/>
      <c r="Q18269" s="24"/>
      <c r="R18269" s="24"/>
      <c r="S18269" s="24"/>
      <c r="T18269" s="24"/>
      <c r="U18269" s="24"/>
      <c r="V18269" s="24"/>
      <c r="W18269" s="24"/>
      <c r="X18269" s="24"/>
      <c r="Y18269" s="24"/>
      <c r="Z18269" s="24"/>
      <c r="AA18269" s="24"/>
    </row>
    <row r="18270">
      <c r="A18270" s="24"/>
      <c r="B18270" s="25"/>
      <c r="C18270" s="24"/>
      <c r="D18270" s="26"/>
      <c r="E18270" s="24"/>
      <c r="F18270" s="24"/>
      <c r="G18270" s="24"/>
      <c r="H18270" s="24"/>
      <c r="I18270" s="24"/>
      <c r="J18270" s="24"/>
      <c r="K18270" s="24"/>
      <c r="L18270" s="24"/>
      <c r="M18270" s="24"/>
      <c r="N18270" s="24"/>
      <c r="O18270" s="24"/>
      <c r="P18270" s="24"/>
      <c r="Q18270" s="24"/>
      <c r="R18270" s="24"/>
      <c r="S18270" s="24"/>
      <c r="T18270" s="24"/>
      <c r="U18270" s="24"/>
      <c r="V18270" s="24"/>
      <c r="W18270" s="24"/>
      <c r="X18270" s="24"/>
      <c r="Y18270" s="24"/>
      <c r="Z18270" s="24"/>
      <c r="AA18270" s="24"/>
    </row>
    <row r="18271">
      <c r="A18271" s="24"/>
      <c r="B18271" s="25"/>
      <c r="C18271" s="24"/>
      <c r="D18271" s="26"/>
      <c r="E18271" s="24"/>
      <c r="F18271" s="24"/>
      <c r="G18271" s="24"/>
      <c r="H18271" s="24"/>
      <c r="I18271" s="24"/>
      <c r="J18271" s="24"/>
      <c r="K18271" s="24"/>
      <c r="L18271" s="24"/>
      <c r="M18271" s="24"/>
      <c r="N18271" s="24"/>
      <c r="O18271" s="24"/>
      <c r="P18271" s="24"/>
      <c r="Q18271" s="24"/>
      <c r="R18271" s="24"/>
      <c r="S18271" s="24"/>
      <c r="T18271" s="24"/>
      <c r="U18271" s="24"/>
      <c r="V18271" s="24"/>
      <c r="W18271" s="24"/>
      <c r="X18271" s="24"/>
      <c r="Y18271" s="24"/>
      <c r="Z18271" s="24"/>
      <c r="AA18271" s="24"/>
    </row>
    <row r="18272">
      <c r="A18272" s="24"/>
      <c r="B18272" s="25"/>
      <c r="C18272" s="24"/>
      <c r="D18272" s="26"/>
      <c r="E18272" s="24"/>
      <c r="F18272" s="24"/>
      <c r="G18272" s="24"/>
      <c r="H18272" s="24"/>
      <c r="I18272" s="24"/>
      <c r="J18272" s="24"/>
      <c r="K18272" s="24"/>
      <c r="L18272" s="24"/>
      <c r="M18272" s="24"/>
      <c r="N18272" s="24"/>
      <c r="O18272" s="24"/>
      <c r="P18272" s="24"/>
      <c r="Q18272" s="24"/>
      <c r="R18272" s="24"/>
      <c r="S18272" s="24"/>
      <c r="T18272" s="24"/>
      <c r="U18272" s="24"/>
      <c r="V18272" s="24"/>
      <c r="W18272" s="24"/>
      <c r="X18272" s="24"/>
      <c r="Y18272" s="24"/>
      <c r="Z18272" s="24"/>
      <c r="AA18272" s="24"/>
    </row>
    <row r="18273">
      <c r="A18273" s="24"/>
      <c r="B18273" s="25"/>
      <c r="C18273" s="24"/>
      <c r="D18273" s="26"/>
      <c r="E18273" s="24"/>
      <c r="F18273" s="24"/>
      <c r="G18273" s="24"/>
      <c r="H18273" s="24"/>
      <c r="I18273" s="24"/>
      <c r="J18273" s="24"/>
      <c r="K18273" s="24"/>
      <c r="L18273" s="24"/>
      <c r="M18273" s="24"/>
      <c r="N18273" s="24"/>
      <c r="O18273" s="24"/>
      <c r="P18273" s="24"/>
      <c r="Q18273" s="24"/>
      <c r="R18273" s="24"/>
      <c r="S18273" s="24"/>
      <c r="T18273" s="24"/>
      <c r="U18273" s="24"/>
      <c r="V18273" s="24"/>
      <c r="W18273" s="24"/>
      <c r="X18273" s="24"/>
      <c r="Y18273" s="24"/>
      <c r="Z18273" s="24"/>
      <c r="AA18273" s="24"/>
    </row>
    <row r="18274">
      <c r="A18274" s="24"/>
      <c r="B18274" s="25"/>
      <c r="C18274" s="24"/>
      <c r="D18274" s="26"/>
      <c r="E18274" s="24"/>
      <c r="F18274" s="24"/>
      <c r="G18274" s="24"/>
      <c r="H18274" s="24"/>
      <c r="I18274" s="24"/>
      <c r="J18274" s="24"/>
      <c r="K18274" s="24"/>
      <c r="L18274" s="24"/>
      <c r="M18274" s="24"/>
      <c r="N18274" s="24"/>
      <c r="O18274" s="24"/>
      <c r="P18274" s="24"/>
      <c r="Q18274" s="24"/>
      <c r="R18274" s="24"/>
      <c r="S18274" s="24"/>
      <c r="T18274" s="24"/>
      <c r="U18274" s="24"/>
      <c r="V18274" s="24"/>
      <c r="W18274" s="24"/>
      <c r="X18274" s="24"/>
      <c r="Y18274" s="24"/>
      <c r="Z18274" s="24"/>
      <c r="AA18274" s="24"/>
    </row>
    <row r="18275">
      <c r="A18275" s="24"/>
      <c r="B18275" s="25"/>
      <c r="C18275" s="24"/>
      <c r="D18275" s="26"/>
      <c r="E18275" s="24"/>
      <c r="F18275" s="24"/>
      <c r="G18275" s="24"/>
      <c r="H18275" s="24"/>
      <c r="I18275" s="24"/>
      <c r="J18275" s="24"/>
      <c r="K18275" s="24"/>
      <c r="L18275" s="24"/>
      <c r="M18275" s="24"/>
      <c r="N18275" s="24"/>
      <c r="O18275" s="24"/>
      <c r="P18275" s="24"/>
      <c r="Q18275" s="24"/>
      <c r="R18275" s="24"/>
      <c r="S18275" s="24"/>
      <c r="T18275" s="24"/>
      <c r="U18275" s="24"/>
      <c r="V18275" s="24"/>
      <c r="W18275" s="24"/>
      <c r="X18275" s="24"/>
      <c r="Y18275" s="24"/>
      <c r="Z18275" s="24"/>
      <c r="AA18275" s="24"/>
    </row>
    <row r="18276">
      <c r="A18276" s="24"/>
      <c r="B18276" s="25"/>
      <c r="C18276" s="24"/>
      <c r="D18276" s="26"/>
      <c r="E18276" s="24"/>
      <c r="F18276" s="24"/>
      <c r="G18276" s="24"/>
      <c r="H18276" s="24"/>
      <c r="I18276" s="24"/>
      <c r="J18276" s="24"/>
      <c r="K18276" s="24"/>
      <c r="L18276" s="24"/>
      <c r="M18276" s="24"/>
      <c r="N18276" s="24"/>
      <c r="O18276" s="24"/>
      <c r="P18276" s="24"/>
      <c r="Q18276" s="24"/>
      <c r="R18276" s="24"/>
      <c r="S18276" s="24"/>
      <c r="T18276" s="24"/>
      <c r="U18276" s="24"/>
      <c r="V18276" s="24"/>
      <c r="W18276" s="24"/>
      <c r="X18276" s="24"/>
      <c r="Y18276" s="24"/>
      <c r="Z18276" s="24"/>
      <c r="AA18276" s="24"/>
    </row>
    <row r="18277">
      <c r="A18277" s="24"/>
      <c r="B18277" s="25"/>
      <c r="C18277" s="24"/>
      <c r="D18277" s="26"/>
      <c r="E18277" s="24"/>
      <c r="F18277" s="24"/>
      <c r="G18277" s="24"/>
      <c r="H18277" s="24"/>
      <c r="I18277" s="24"/>
      <c r="J18277" s="24"/>
      <c r="K18277" s="24"/>
      <c r="L18277" s="24"/>
      <c r="M18277" s="24"/>
      <c r="N18277" s="24"/>
      <c r="O18277" s="24"/>
      <c r="P18277" s="24"/>
      <c r="Q18277" s="24"/>
      <c r="R18277" s="24"/>
      <c r="S18277" s="24"/>
      <c r="T18277" s="24"/>
      <c r="U18277" s="24"/>
      <c r="V18277" s="24"/>
      <c r="W18277" s="24"/>
      <c r="X18277" s="24"/>
      <c r="Y18277" s="24"/>
      <c r="Z18277" s="24"/>
      <c r="AA18277" s="24"/>
    </row>
    <row r="18278">
      <c r="A18278" s="24"/>
      <c r="B18278" s="25"/>
      <c r="C18278" s="24"/>
      <c r="D18278" s="26"/>
      <c r="E18278" s="24"/>
      <c r="F18278" s="24"/>
      <c r="G18278" s="24"/>
      <c r="H18278" s="24"/>
      <c r="I18278" s="24"/>
      <c r="J18278" s="24"/>
      <c r="K18278" s="24"/>
      <c r="L18278" s="24"/>
      <c r="M18278" s="24"/>
      <c r="N18278" s="24"/>
      <c r="O18278" s="24"/>
      <c r="P18278" s="24"/>
      <c r="Q18278" s="24"/>
      <c r="R18278" s="24"/>
      <c r="S18278" s="24"/>
      <c r="T18278" s="24"/>
      <c r="U18278" s="24"/>
      <c r="V18278" s="24"/>
      <c r="W18278" s="24"/>
      <c r="X18278" s="24"/>
      <c r="Y18278" s="24"/>
      <c r="Z18278" s="24"/>
      <c r="AA18278" s="24"/>
    </row>
    <row r="18279">
      <c r="A18279" s="24"/>
      <c r="B18279" s="25"/>
      <c r="C18279" s="24"/>
      <c r="D18279" s="26"/>
      <c r="E18279" s="24"/>
      <c r="F18279" s="24"/>
      <c r="G18279" s="24"/>
      <c r="H18279" s="24"/>
      <c r="I18279" s="24"/>
      <c r="J18279" s="24"/>
      <c r="K18279" s="24"/>
      <c r="L18279" s="24"/>
      <c r="M18279" s="24"/>
      <c r="N18279" s="24"/>
      <c r="O18279" s="24"/>
      <c r="P18279" s="24"/>
      <c r="Q18279" s="24"/>
      <c r="R18279" s="24"/>
      <c r="S18279" s="24"/>
      <c r="T18279" s="24"/>
      <c r="U18279" s="24"/>
      <c r="V18279" s="24"/>
      <c r="W18279" s="24"/>
      <c r="X18279" s="24"/>
      <c r="Y18279" s="24"/>
      <c r="Z18279" s="24"/>
      <c r="AA18279" s="24"/>
    </row>
    <row r="18280">
      <c r="A18280" s="24"/>
      <c r="B18280" s="25"/>
      <c r="C18280" s="24"/>
      <c r="D18280" s="26"/>
      <c r="E18280" s="24"/>
      <c r="F18280" s="24"/>
      <c r="G18280" s="24"/>
      <c r="H18280" s="24"/>
      <c r="I18280" s="24"/>
      <c r="J18280" s="24"/>
      <c r="K18280" s="24"/>
      <c r="L18280" s="24"/>
      <c r="M18280" s="24"/>
      <c r="N18280" s="24"/>
      <c r="O18280" s="24"/>
      <c r="P18280" s="24"/>
      <c r="Q18280" s="24"/>
      <c r="R18280" s="24"/>
      <c r="S18280" s="24"/>
      <c r="T18280" s="24"/>
      <c r="U18280" s="24"/>
      <c r="V18280" s="24"/>
      <c r="W18280" s="24"/>
      <c r="X18280" s="24"/>
      <c r="Y18280" s="24"/>
      <c r="Z18280" s="24"/>
      <c r="AA18280" s="24"/>
    </row>
    <row r="18281">
      <c r="A18281" s="24"/>
      <c r="B18281" s="25"/>
      <c r="C18281" s="24"/>
      <c r="D18281" s="26"/>
      <c r="E18281" s="24"/>
      <c r="F18281" s="24"/>
      <c r="G18281" s="24"/>
      <c r="H18281" s="24"/>
      <c r="I18281" s="24"/>
      <c r="J18281" s="24"/>
      <c r="K18281" s="24"/>
      <c r="L18281" s="24"/>
      <c r="M18281" s="24"/>
      <c r="N18281" s="24"/>
      <c r="O18281" s="24"/>
      <c r="P18281" s="24"/>
      <c r="Q18281" s="24"/>
      <c r="R18281" s="24"/>
      <c r="S18281" s="24"/>
      <c r="T18281" s="24"/>
      <c r="U18281" s="24"/>
      <c r="V18281" s="24"/>
      <c r="W18281" s="24"/>
      <c r="X18281" s="24"/>
      <c r="Y18281" s="24"/>
      <c r="Z18281" s="24"/>
      <c r="AA18281" s="24"/>
    </row>
    <row r="18282">
      <c r="A18282" s="24"/>
      <c r="B18282" s="25"/>
      <c r="C18282" s="24"/>
      <c r="D18282" s="26"/>
      <c r="E18282" s="24"/>
      <c r="F18282" s="24"/>
      <c r="G18282" s="24"/>
      <c r="H18282" s="24"/>
      <c r="I18282" s="24"/>
      <c r="J18282" s="24"/>
      <c r="K18282" s="24"/>
      <c r="L18282" s="24"/>
      <c r="M18282" s="24"/>
      <c r="N18282" s="24"/>
      <c r="O18282" s="24"/>
      <c r="P18282" s="24"/>
      <c r="Q18282" s="24"/>
      <c r="R18282" s="24"/>
      <c r="S18282" s="24"/>
      <c r="T18282" s="24"/>
      <c r="U18282" s="24"/>
      <c r="V18282" s="24"/>
      <c r="W18282" s="24"/>
      <c r="X18282" s="24"/>
      <c r="Y18282" s="24"/>
      <c r="Z18282" s="24"/>
      <c r="AA18282" s="24"/>
    </row>
    <row r="18283">
      <c r="A18283" s="24"/>
      <c r="B18283" s="25"/>
      <c r="C18283" s="24"/>
      <c r="D18283" s="26"/>
      <c r="E18283" s="24"/>
      <c r="F18283" s="24"/>
      <c r="G18283" s="24"/>
      <c r="H18283" s="24"/>
      <c r="I18283" s="24"/>
      <c r="J18283" s="24"/>
      <c r="K18283" s="24"/>
      <c r="L18283" s="24"/>
      <c r="M18283" s="24"/>
      <c r="N18283" s="24"/>
      <c r="O18283" s="24"/>
      <c r="P18283" s="24"/>
      <c r="Q18283" s="24"/>
      <c r="R18283" s="24"/>
      <c r="S18283" s="24"/>
      <c r="T18283" s="24"/>
      <c r="U18283" s="24"/>
      <c r="V18283" s="24"/>
      <c r="W18283" s="24"/>
      <c r="X18283" s="24"/>
      <c r="Y18283" s="24"/>
      <c r="Z18283" s="24"/>
      <c r="AA18283" s="24"/>
    </row>
    <row r="18284">
      <c r="A18284" s="24"/>
      <c r="B18284" s="25"/>
      <c r="C18284" s="24"/>
      <c r="D18284" s="26"/>
      <c r="E18284" s="24"/>
      <c r="F18284" s="24"/>
      <c r="G18284" s="24"/>
      <c r="H18284" s="24"/>
      <c r="I18284" s="24"/>
      <c r="J18284" s="24"/>
      <c r="K18284" s="24"/>
      <c r="L18284" s="24"/>
      <c r="M18284" s="24"/>
      <c r="N18284" s="24"/>
      <c r="O18284" s="24"/>
      <c r="P18284" s="24"/>
      <c r="Q18284" s="24"/>
      <c r="R18284" s="24"/>
      <c r="S18284" s="24"/>
      <c r="T18284" s="24"/>
      <c r="U18284" s="24"/>
      <c r="V18284" s="24"/>
      <c r="W18284" s="24"/>
      <c r="X18284" s="24"/>
      <c r="Y18284" s="24"/>
      <c r="Z18284" s="24"/>
      <c r="AA18284" s="24"/>
    </row>
    <row r="18285">
      <c r="A18285" s="24"/>
      <c r="B18285" s="25"/>
      <c r="C18285" s="24"/>
      <c r="D18285" s="26"/>
      <c r="E18285" s="24"/>
      <c r="F18285" s="24"/>
      <c r="G18285" s="24"/>
      <c r="H18285" s="24"/>
      <c r="I18285" s="24"/>
      <c r="J18285" s="24"/>
      <c r="K18285" s="24"/>
      <c r="L18285" s="24"/>
      <c r="M18285" s="24"/>
      <c r="N18285" s="24"/>
      <c r="O18285" s="24"/>
      <c r="P18285" s="24"/>
      <c r="Q18285" s="24"/>
      <c r="R18285" s="24"/>
      <c r="S18285" s="24"/>
      <c r="T18285" s="24"/>
      <c r="U18285" s="24"/>
      <c r="V18285" s="24"/>
      <c r="W18285" s="24"/>
      <c r="X18285" s="24"/>
      <c r="Y18285" s="24"/>
      <c r="Z18285" s="24"/>
      <c r="AA18285" s="24"/>
    </row>
    <row r="18286">
      <c r="A18286" s="24"/>
      <c r="B18286" s="25"/>
      <c r="C18286" s="24"/>
      <c r="D18286" s="26"/>
      <c r="E18286" s="24"/>
      <c r="F18286" s="24"/>
      <c r="G18286" s="24"/>
      <c r="H18286" s="24"/>
      <c r="I18286" s="24"/>
      <c r="J18286" s="24"/>
      <c r="K18286" s="24"/>
      <c r="L18286" s="24"/>
      <c r="M18286" s="24"/>
      <c r="N18286" s="24"/>
      <c r="O18286" s="24"/>
      <c r="P18286" s="24"/>
      <c r="Q18286" s="24"/>
      <c r="R18286" s="24"/>
      <c r="S18286" s="24"/>
      <c r="T18286" s="24"/>
      <c r="U18286" s="24"/>
      <c r="V18286" s="24"/>
      <c r="W18286" s="24"/>
      <c r="X18286" s="24"/>
      <c r="Y18286" s="24"/>
      <c r="Z18286" s="24"/>
      <c r="AA18286" s="24"/>
    </row>
    <row r="18287">
      <c r="A18287" s="24"/>
      <c r="B18287" s="25"/>
      <c r="C18287" s="24"/>
      <c r="D18287" s="26"/>
      <c r="E18287" s="24"/>
      <c r="F18287" s="24"/>
      <c r="G18287" s="24"/>
      <c r="H18287" s="24"/>
      <c r="I18287" s="24"/>
      <c r="J18287" s="24"/>
      <c r="K18287" s="24"/>
      <c r="L18287" s="24"/>
      <c r="M18287" s="24"/>
      <c r="N18287" s="24"/>
      <c r="O18287" s="24"/>
      <c r="P18287" s="24"/>
      <c r="Q18287" s="24"/>
      <c r="R18287" s="24"/>
      <c r="S18287" s="24"/>
      <c r="T18287" s="24"/>
      <c r="U18287" s="24"/>
      <c r="V18287" s="24"/>
      <c r="W18287" s="24"/>
      <c r="X18287" s="24"/>
      <c r="Y18287" s="24"/>
      <c r="Z18287" s="24"/>
      <c r="AA18287" s="24"/>
    </row>
    <row r="18288">
      <c r="A18288" s="24"/>
      <c r="B18288" s="25"/>
      <c r="C18288" s="24"/>
      <c r="D18288" s="26"/>
      <c r="E18288" s="24"/>
      <c r="F18288" s="24"/>
      <c r="G18288" s="24"/>
      <c r="H18288" s="24"/>
      <c r="I18288" s="24"/>
      <c r="J18288" s="24"/>
      <c r="K18288" s="24"/>
      <c r="L18288" s="24"/>
      <c r="M18288" s="24"/>
      <c r="N18288" s="24"/>
      <c r="O18288" s="24"/>
      <c r="P18288" s="24"/>
      <c r="Q18288" s="24"/>
      <c r="R18288" s="24"/>
      <c r="S18288" s="24"/>
      <c r="T18288" s="24"/>
      <c r="U18288" s="24"/>
      <c r="V18288" s="24"/>
      <c r="W18288" s="24"/>
      <c r="X18288" s="24"/>
      <c r="Y18288" s="24"/>
      <c r="Z18288" s="24"/>
      <c r="AA18288" s="24"/>
    </row>
    <row r="18289">
      <c r="A18289" s="24"/>
      <c r="B18289" s="25"/>
      <c r="C18289" s="24"/>
      <c r="D18289" s="26"/>
      <c r="E18289" s="24"/>
      <c r="F18289" s="24"/>
      <c r="G18289" s="24"/>
      <c r="H18289" s="24"/>
      <c r="I18289" s="24"/>
      <c r="J18289" s="24"/>
      <c r="K18289" s="24"/>
      <c r="L18289" s="24"/>
      <c r="M18289" s="24"/>
      <c r="N18289" s="24"/>
      <c r="O18289" s="24"/>
      <c r="P18289" s="24"/>
      <c r="Q18289" s="24"/>
      <c r="R18289" s="24"/>
      <c r="S18289" s="24"/>
      <c r="T18289" s="24"/>
      <c r="U18289" s="24"/>
      <c r="V18289" s="24"/>
      <c r="W18289" s="24"/>
      <c r="X18289" s="24"/>
      <c r="Y18289" s="24"/>
      <c r="Z18289" s="24"/>
      <c r="AA18289" s="24"/>
    </row>
    <row r="18290">
      <c r="A18290" s="24"/>
      <c r="B18290" s="25"/>
      <c r="C18290" s="24"/>
      <c r="D18290" s="26"/>
      <c r="E18290" s="24"/>
      <c r="F18290" s="24"/>
      <c r="G18290" s="24"/>
      <c r="H18290" s="24"/>
      <c r="I18290" s="24"/>
      <c r="J18290" s="24"/>
      <c r="K18290" s="24"/>
      <c r="L18290" s="24"/>
      <c r="M18290" s="24"/>
      <c r="N18290" s="24"/>
      <c r="O18290" s="24"/>
      <c r="P18290" s="24"/>
      <c r="Q18290" s="24"/>
      <c r="R18290" s="24"/>
      <c r="S18290" s="24"/>
      <c r="T18290" s="24"/>
      <c r="U18290" s="24"/>
      <c r="V18290" s="24"/>
      <c r="W18290" s="24"/>
      <c r="X18290" s="24"/>
      <c r="Y18290" s="24"/>
      <c r="Z18290" s="24"/>
      <c r="AA18290" s="24"/>
    </row>
    <row r="18291">
      <c r="A18291" s="24"/>
      <c r="B18291" s="25"/>
      <c r="C18291" s="24"/>
      <c r="D18291" s="26"/>
      <c r="E18291" s="24"/>
      <c r="F18291" s="24"/>
      <c r="G18291" s="24"/>
      <c r="H18291" s="24"/>
      <c r="I18291" s="24"/>
      <c r="J18291" s="24"/>
      <c r="K18291" s="24"/>
      <c r="L18291" s="24"/>
      <c r="M18291" s="24"/>
      <c r="N18291" s="24"/>
      <c r="O18291" s="24"/>
      <c r="P18291" s="24"/>
      <c r="Q18291" s="24"/>
      <c r="R18291" s="24"/>
      <c r="S18291" s="24"/>
      <c r="T18291" s="24"/>
      <c r="U18291" s="24"/>
      <c r="V18291" s="24"/>
      <c r="W18291" s="24"/>
      <c r="X18291" s="24"/>
      <c r="Y18291" s="24"/>
      <c r="Z18291" s="24"/>
      <c r="AA18291" s="24"/>
    </row>
    <row r="18292">
      <c r="A18292" s="24"/>
      <c r="B18292" s="25"/>
      <c r="C18292" s="24"/>
      <c r="D18292" s="26"/>
      <c r="E18292" s="24"/>
      <c r="F18292" s="24"/>
      <c r="G18292" s="24"/>
      <c r="H18292" s="24"/>
      <c r="I18292" s="24"/>
      <c r="J18292" s="24"/>
      <c r="K18292" s="24"/>
      <c r="L18292" s="24"/>
      <c r="M18292" s="24"/>
      <c r="N18292" s="24"/>
      <c r="O18292" s="24"/>
      <c r="P18292" s="24"/>
      <c r="Q18292" s="24"/>
      <c r="R18292" s="24"/>
      <c r="S18292" s="24"/>
      <c r="T18292" s="24"/>
      <c r="U18292" s="24"/>
      <c r="V18292" s="24"/>
      <c r="W18292" s="24"/>
      <c r="X18292" s="24"/>
      <c r="Y18292" s="24"/>
      <c r="Z18292" s="24"/>
      <c r="AA18292" s="24"/>
    </row>
    <row r="18293">
      <c r="A18293" s="24"/>
      <c r="B18293" s="25"/>
      <c r="C18293" s="24"/>
      <c r="D18293" s="26"/>
      <c r="E18293" s="24"/>
      <c r="F18293" s="24"/>
      <c r="G18293" s="24"/>
      <c r="H18293" s="24"/>
      <c r="I18293" s="24"/>
      <c r="J18293" s="24"/>
      <c r="K18293" s="24"/>
      <c r="L18293" s="24"/>
      <c r="M18293" s="24"/>
      <c r="N18293" s="24"/>
      <c r="O18293" s="24"/>
      <c r="P18293" s="24"/>
      <c r="Q18293" s="24"/>
      <c r="R18293" s="24"/>
      <c r="S18293" s="24"/>
      <c r="T18293" s="24"/>
      <c r="U18293" s="24"/>
      <c r="V18293" s="24"/>
      <c r="W18293" s="24"/>
      <c r="X18293" s="24"/>
      <c r="Y18293" s="24"/>
      <c r="Z18293" s="24"/>
      <c r="AA18293" s="24"/>
    </row>
    <row r="18294">
      <c r="A18294" s="24"/>
      <c r="B18294" s="25"/>
      <c r="C18294" s="24"/>
      <c r="D18294" s="26"/>
      <c r="E18294" s="24"/>
      <c r="F18294" s="24"/>
      <c r="G18294" s="24"/>
      <c r="H18294" s="24"/>
      <c r="I18294" s="24"/>
      <c r="J18294" s="24"/>
      <c r="K18294" s="24"/>
      <c r="L18294" s="24"/>
      <c r="M18294" s="24"/>
      <c r="N18294" s="24"/>
      <c r="O18294" s="24"/>
      <c r="P18294" s="24"/>
      <c r="Q18294" s="24"/>
      <c r="R18294" s="24"/>
      <c r="S18294" s="24"/>
      <c r="T18294" s="24"/>
      <c r="U18294" s="24"/>
      <c r="V18294" s="24"/>
      <c r="W18294" s="24"/>
      <c r="X18294" s="24"/>
      <c r="Y18294" s="24"/>
      <c r="Z18294" s="24"/>
      <c r="AA18294" s="24"/>
    </row>
    <row r="18295">
      <c r="A18295" s="24"/>
      <c r="B18295" s="25"/>
      <c r="C18295" s="24"/>
      <c r="D18295" s="26"/>
      <c r="E18295" s="24"/>
      <c r="F18295" s="24"/>
      <c r="G18295" s="24"/>
      <c r="H18295" s="24"/>
      <c r="I18295" s="24"/>
      <c r="J18295" s="24"/>
      <c r="K18295" s="24"/>
      <c r="L18295" s="24"/>
      <c r="M18295" s="24"/>
      <c r="N18295" s="24"/>
      <c r="O18295" s="24"/>
      <c r="P18295" s="24"/>
      <c r="Q18295" s="24"/>
      <c r="R18295" s="24"/>
      <c r="S18295" s="24"/>
      <c r="T18295" s="24"/>
      <c r="U18295" s="24"/>
      <c r="V18295" s="24"/>
      <c r="W18295" s="24"/>
      <c r="X18295" s="24"/>
      <c r="Y18295" s="24"/>
      <c r="Z18295" s="24"/>
      <c r="AA18295" s="24"/>
    </row>
    <row r="18296">
      <c r="A18296" s="24"/>
      <c r="B18296" s="25"/>
      <c r="C18296" s="24"/>
      <c r="D18296" s="26"/>
      <c r="E18296" s="24"/>
      <c r="F18296" s="24"/>
      <c r="G18296" s="24"/>
      <c r="H18296" s="24"/>
      <c r="I18296" s="24"/>
      <c r="J18296" s="24"/>
      <c r="K18296" s="24"/>
      <c r="L18296" s="24"/>
      <c r="M18296" s="24"/>
      <c r="N18296" s="24"/>
      <c r="O18296" s="24"/>
      <c r="P18296" s="24"/>
      <c r="Q18296" s="24"/>
      <c r="R18296" s="24"/>
      <c r="S18296" s="24"/>
      <c r="T18296" s="24"/>
      <c r="U18296" s="24"/>
      <c r="V18296" s="24"/>
      <c r="W18296" s="24"/>
      <c r="X18296" s="24"/>
      <c r="Y18296" s="24"/>
      <c r="Z18296" s="24"/>
      <c r="AA18296" s="24"/>
    </row>
    <row r="18297">
      <c r="A18297" s="24"/>
      <c r="B18297" s="25"/>
      <c r="C18297" s="24"/>
      <c r="D18297" s="26"/>
      <c r="E18297" s="24"/>
      <c r="F18297" s="24"/>
      <c r="G18297" s="24"/>
      <c r="H18297" s="24"/>
      <c r="I18297" s="24"/>
      <c r="J18297" s="24"/>
      <c r="K18297" s="24"/>
      <c r="L18297" s="24"/>
      <c r="M18297" s="24"/>
      <c r="N18297" s="24"/>
      <c r="O18297" s="24"/>
      <c r="P18297" s="24"/>
      <c r="Q18297" s="24"/>
      <c r="R18297" s="24"/>
      <c r="S18297" s="24"/>
      <c r="T18297" s="24"/>
      <c r="U18297" s="24"/>
      <c r="V18297" s="24"/>
      <c r="W18297" s="24"/>
      <c r="X18297" s="24"/>
      <c r="Y18297" s="24"/>
      <c r="Z18297" s="24"/>
      <c r="AA18297" s="24"/>
    </row>
    <row r="18298">
      <c r="A18298" s="24"/>
      <c r="B18298" s="25"/>
      <c r="C18298" s="24"/>
      <c r="D18298" s="26"/>
      <c r="E18298" s="24"/>
      <c r="F18298" s="24"/>
      <c r="G18298" s="24"/>
      <c r="H18298" s="24"/>
      <c r="I18298" s="24"/>
      <c r="J18298" s="24"/>
      <c r="K18298" s="24"/>
      <c r="L18298" s="24"/>
      <c r="M18298" s="24"/>
      <c r="N18298" s="24"/>
      <c r="O18298" s="24"/>
      <c r="P18298" s="24"/>
      <c r="Q18298" s="24"/>
      <c r="R18298" s="24"/>
      <c r="S18298" s="24"/>
      <c r="T18298" s="24"/>
      <c r="U18298" s="24"/>
      <c r="V18298" s="24"/>
      <c r="W18298" s="24"/>
      <c r="X18298" s="24"/>
      <c r="Y18298" s="24"/>
      <c r="Z18298" s="24"/>
      <c r="AA18298" s="24"/>
    </row>
    <row r="18299">
      <c r="A18299" s="24"/>
      <c r="B18299" s="25"/>
      <c r="C18299" s="24"/>
      <c r="D18299" s="26"/>
      <c r="E18299" s="24"/>
      <c r="F18299" s="24"/>
      <c r="G18299" s="24"/>
      <c r="H18299" s="24"/>
      <c r="I18299" s="24"/>
      <c r="J18299" s="24"/>
      <c r="K18299" s="24"/>
      <c r="L18299" s="24"/>
      <c r="M18299" s="24"/>
      <c r="N18299" s="24"/>
      <c r="O18299" s="24"/>
      <c r="P18299" s="24"/>
      <c r="Q18299" s="24"/>
      <c r="R18299" s="24"/>
      <c r="S18299" s="24"/>
      <c r="T18299" s="24"/>
      <c r="U18299" s="24"/>
      <c r="V18299" s="24"/>
      <c r="W18299" s="24"/>
      <c r="X18299" s="24"/>
      <c r="Y18299" s="24"/>
      <c r="Z18299" s="24"/>
      <c r="AA18299" s="24"/>
    </row>
    <row r="18300">
      <c r="A18300" s="24"/>
      <c r="B18300" s="25"/>
      <c r="C18300" s="24"/>
      <c r="D18300" s="26"/>
      <c r="E18300" s="24"/>
      <c r="F18300" s="24"/>
      <c r="G18300" s="24"/>
      <c r="H18300" s="24"/>
      <c r="I18300" s="24"/>
      <c r="J18300" s="24"/>
      <c r="K18300" s="24"/>
      <c r="L18300" s="24"/>
      <c r="M18300" s="24"/>
      <c r="N18300" s="24"/>
      <c r="O18300" s="24"/>
      <c r="P18300" s="24"/>
      <c r="Q18300" s="24"/>
      <c r="R18300" s="24"/>
      <c r="S18300" s="24"/>
      <c r="T18300" s="24"/>
      <c r="U18300" s="24"/>
      <c r="V18300" s="24"/>
      <c r="W18300" s="24"/>
      <c r="X18300" s="24"/>
      <c r="Y18300" s="24"/>
      <c r="Z18300" s="24"/>
      <c r="AA18300" s="24"/>
    </row>
    <row r="18301">
      <c r="A18301" s="24"/>
      <c r="B18301" s="25"/>
      <c r="C18301" s="24"/>
      <c r="D18301" s="26"/>
      <c r="E18301" s="24"/>
      <c r="F18301" s="24"/>
      <c r="G18301" s="24"/>
      <c r="H18301" s="24"/>
      <c r="I18301" s="24"/>
      <c r="J18301" s="24"/>
      <c r="K18301" s="24"/>
      <c r="L18301" s="24"/>
      <c r="M18301" s="24"/>
      <c r="N18301" s="24"/>
      <c r="O18301" s="24"/>
      <c r="P18301" s="24"/>
      <c r="Q18301" s="24"/>
      <c r="R18301" s="24"/>
      <c r="S18301" s="24"/>
      <c r="T18301" s="24"/>
      <c r="U18301" s="24"/>
      <c r="V18301" s="24"/>
      <c r="W18301" s="24"/>
      <c r="X18301" s="24"/>
      <c r="Y18301" s="24"/>
      <c r="Z18301" s="24"/>
      <c r="AA18301" s="24"/>
    </row>
    <row r="18302">
      <c r="A18302" s="24"/>
      <c r="B18302" s="25"/>
      <c r="C18302" s="24"/>
      <c r="D18302" s="26"/>
      <c r="E18302" s="24"/>
      <c r="F18302" s="24"/>
      <c r="G18302" s="24"/>
      <c r="H18302" s="24"/>
      <c r="I18302" s="24"/>
      <c r="J18302" s="24"/>
      <c r="K18302" s="24"/>
      <c r="L18302" s="24"/>
      <c r="M18302" s="24"/>
      <c r="N18302" s="24"/>
      <c r="O18302" s="24"/>
      <c r="P18302" s="24"/>
      <c r="Q18302" s="24"/>
      <c r="R18302" s="24"/>
      <c r="S18302" s="24"/>
      <c r="T18302" s="24"/>
      <c r="U18302" s="24"/>
      <c r="V18302" s="24"/>
      <c r="W18302" s="24"/>
      <c r="X18302" s="24"/>
      <c r="Y18302" s="24"/>
      <c r="Z18302" s="24"/>
      <c r="AA18302" s="24"/>
    </row>
    <row r="18303">
      <c r="A18303" s="24"/>
      <c r="B18303" s="25"/>
      <c r="C18303" s="24"/>
      <c r="D18303" s="26"/>
      <c r="E18303" s="24"/>
      <c r="F18303" s="24"/>
      <c r="G18303" s="24"/>
      <c r="H18303" s="24"/>
      <c r="I18303" s="24"/>
      <c r="J18303" s="24"/>
      <c r="K18303" s="24"/>
      <c r="L18303" s="24"/>
      <c r="M18303" s="24"/>
      <c r="N18303" s="24"/>
      <c r="O18303" s="24"/>
      <c r="P18303" s="24"/>
      <c r="Q18303" s="24"/>
      <c r="R18303" s="24"/>
      <c r="S18303" s="24"/>
      <c r="T18303" s="24"/>
      <c r="U18303" s="24"/>
      <c r="V18303" s="24"/>
      <c r="W18303" s="24"/>
      <c r="X18303" s="24"/>
      <c r="Y18303" s="24"/>
      <c r="Z18303" s="24"/>
      <c r="AA18303" s="24"/>
    </row>
    <row r="18304">
      <c r="A18304" s="24"/>
      <c r="B18304" s="25"/>
      <c r="C18304" s="24"/>
      <c r="D18304" s="26"/>
      <c r="E18304" s="24"/>
      <c r="F18304" s="24"/>
      <c r="G18304" s="24"/>
      <c r="H18304" s="24"/>
      <c r="I18304" s="24"/>
      <c r="J18304" s="24"/>
      <c r="K18304" s="24"/>
      <c r="L18304" s="24"/>
      <c r="M18304" s="24"/>
      <c r="N18304" s="24"/>
      <c r="O18304" s="24"/>
      <c r="P18304" s="24"/>
      <c r="Q18304" s="24"/>
      <c r="R18304" s="24"/>
      <c r="S18304" s="24"/>
      <c r="T18304" s="24"/>
      <c r="U18304" s="24"/>
      <c r="V18304" s="24"/>
      <c r="W18304" s="24"/>
      <c r="X18304" s="24"/>
      <c r="Y18304" s="24"/>
      <c r="Z18304" s="24"/>
      <c r="AA18304" s="24"/>
    </row>
    <row r="18305">
      <c r="A18305" s="24"/>
      <c r="B18305" s="25"/>
      <c r="C18305" s="24"/>
      <c r="D18305" s="26"/>
      <c r="E18305" s="24"/>
      <c r="F18305" s="24"/>
      <c r="G18305" s="24"/>
      <c r="H18305" s="24"/>
      <c r="I18305" s="24"/>
      <c r="J18305" s="24"/>
      <c r="K18305" s="24"/>
      <c r="L18305" s="24"/>
      <c r="M18305" s="24"/>
      <c r="N18305" s="24"/>
      <c r="O18305" s="24"/>
      <c r="P18305" s="24"/>
      <c r="Q18305" s="24"/>
      <c r="R18305" s="24"/>
      <c r="S18305" s="24"/>
      <c r="T18305" s="24"/>
      <c r="U18305" s="24"/>
      <c r="V18305" s="24"/>
      <c r="W18305" s="24"/>
      <c r="X18305" s="24"/>
      <c r="Y18305" s="24"/>
      <c r="Z18305" s="24"/>
      <c r="AA18305" s="24"/>
    </row>
    <row r="18306">
      <c r="A18306" s="24"/>
      <c r="B18306" s="25"/>
      <c r="C18306" s="24"/>
      <c r="D18306" s="26"/>
      <c r="E18306" s="24"/>
      <c r="F18306" s="24"/>
      <c r="G18306" s="24"/>
      <c r="H18306" s="24"/>
      <c r="I18306" s="24"/>
      <c r="J18306" s="24"/>
      <c r="K18306" s="24"/>
      <c r="L18306" s="24"/>
      <c r="M18306" s="24"/>
      <c r="N18306" s="24"/>
      <c r="O18306" s="24"/>
      <c r="P18306" s="24"/>
      <c r="Q18306" s="24"/>
      <c r="R18306" s="24"/>
      <c r="S18306" s="24"/>
      <c r="T18306" s="24"/>
      <c r="U18306" s="24"/>
      <c r="V18306" s="24"/>
      <c r="W18306" s="24"/>
      <c r="X18306" s="24"/>
      <c r="Y18306" s="24"/>
      <c r="Z18306" s="24"/>
      <c r="AA18306" s="24"/>
    </row>
    <row r="18307">
      <c r="A18307" s="24"/>
      <c r="B18307" s="25"/>
      <c r="C18307" s="24"/>
      <c r="D18307" s="26"/>
      <c r="E18307" s="24"/>
      <c r="F18307" s="24"/>
      <c r="G18307" s="24"/>
      <c r="H18307" s="24"/>
      <c r="I18307" s="24"/>
      <c r="J18307" s="24"/>
      <c r="K18307" s="24"/>
      <c r="L18307" s="24"/>
      <c r="M18307" s="24"/>
      <c r="N18307" s="24"/>
      <c r="O18307" s="24"/>
      <c r="P18307" s="24"/>
      <c r="Q18307" s="24"/>
      <c r="R18307" s="24"/>
      <c r="S18307" s="24"/>
      <c r="T18307" s="24"/>
      <c r="U18307" s="24"/>
      <c r="V18307" s="24"/>
      <c r="W18307" s="24"/>
      <c r="X18307" s="24"/>
      <c r="Y18307" s="24"/>
      <c r="Z18307" s="24"/>
      <c r="AA18307" s="24"/>
    </row>
    <row r="18308">
      <c r="A18308" s="24"/>
      <c r="B18308" s="25"/>
      <c r="C18308" s="24"/>
      <c r="D18308" s="26"/>
      <c r="E18308" s="24"/>
      <c r="F18308" s="24"/>
      <c r="G18308" s="24"/>
      <c r="H18308" s="24"/>
      <c r="I18308" s="24"/>
      <c r="J18308" s="24"/>
      <c r="K18308" s="24"/>
      <c r="L18308" s="24"/>
      <c r="M18308" s="24"/>
      <c r="N18308" s="24"/>
      <c r="O18308" s="24"/>
      <c r="P18308" s="24"/>
      <c r="Q18308" s="24"/>
      <c r="R18308" s="24"/>
      <c r="S18308" s="24"/>
      <c r="T18308" s="24"/>
      <c r="U18308" s="24"/>
      <c r="V18308" s="24"/>
      <c r="W18308" s="24"/>
      <c r="X18308" s="24"/>
      <c r="Y18308" s="24"/>
      <c r="Z18308" s="24"/>
      <c r="AA18308" s="24"/>
    </row>
    <row r="18309">
      <c r="A18309" s="24"/>
      <c r="B18309" s="25"/>
      <c r="C18309" s="24"/>
      <c r="D18309" s="26"/>
      <c r="E18309" s="24"/>
      <c r="F18309" s="24"/>
      <c r="G18309" s="24"/>
      <c r="H18309" s="24"/>
      <c r="I18309" s="24"/>
      <c r="J18309" s="24"/>
      <c r="K18309" s="24"/>
      <c r="L18309" s="24"/>
      <c r="M18309" s="24"/>
      <c r="N18309" s="24"/>
      <c r="O18309" s="24"/>
      <c r="P18309" s="24"/>
      <c r="Q18309" s="24"/>
      <c r="R18309" s="24"/>
      <c r="S18309" s="24"/>
      <c r="T18309" s="24"/>
      <c r="U18309" s="24"/>
      <c r="V18309" s="24"/>
      <c r="W18309" s="24"/>
      <c r="X18309" s="24"/>
      <c r="Y18309" s="24"/>
      <c r="Z18309" s="24"/>
      <c r="AA18309" s="24"/>
    </row>
    <row r="18310">
      <c r="A18310" s="24"/>
      <c r="B18310" s="25"/>
      <c r="C18310" s="24"/>
      <c r="D18310" s="26"/>
      <c r="E18310" s="24"/>
      <c r="F18310" s="24"/>
      <c r="G18310" s="24"/>
      <c r="H18310" s="24"/>
      <c r="I18310" s="24"/>
      <c r="J18310" s="24"/>
      <c r="K18310" s="24"/>
      <c r="L18310" s="24"/>
      <c r="M18310" s="24"/>
      <c r="N18310" s="24"/>
      <c r="O18310" s="24"/>
      <c r="P18310" s="24"/>
      <c r="Q18310" s="24"/>
      <c r="R18310" s="24"/>
      <c r="S18310" s="24"/>
      <c r="T18310" s="24"/>
      <c r="U18310" s="24"/>
      <c r="V18310" s="24"/>
      <c r="W18310" s="24"/>
      <c r="X18310" s="24"/>
      <c r="Y18310" s="24"/>
      <c r="Z18310" s="24"/>
      <c r="AA18310" s="24"/>
    </row>
    <row r="18311">
      <c r="A18311" s="24"/>
      <c r="B18311" s="25"/>
      <c r="C18311" s="24"/>
      <c r="D18311" s="26"/>
      <c r="E18311" s="24"/>
      <c r="F18311" s="24"/>
      <c r="G18311" s="24"/>
      <c r="H18311" s="24"/>
      <c r="I18311" s="24"/>
      <c r="J18311" s="24"/>
      <c r="K18311" s="24"/>
      <c r="L18311" s="24"/>
      <c r="M18311" s="24"/>
      <c r="N18311" s="24"/>
      <c r="O18311" s="24"/>
      <c r="P18311" s="24"/>
      <c r="Q18311" s="24"/>
      <c r="R18311" s="24"/>
      <c r="S18311" s="24"/>
      <c r="T18311" s="24"/>
      <c r="U18311" s="24"/>
      <c r="V18311" s="24"/>
      <c r="W18311" s="24"/>
      <c r="X18311" s="24"/>
      <c r="Y18311" s="24"/>
      <c r="Z18311" s="24"/>
      <c r="AA18311" s="24"/>
    </row>
    <row r="18312">
      <c r="A18312" s="24"/>
      <c r="B18312" s="25"/>
      <c r="C18312" s="24"/>
      <c r="D18312" s="26"/>
      <c r="E18312" s="24"/>
      <c r="F18312" s="24"/>
      <c r="G18312" s="24"/>
      <c r="H18312" s="24"/>
      <c r="I18312" s="24"/>
      <c r="J18312" s="24"/>
      <c r="K18312" s="24"/>
      <c r="L18312" s="24"/>
      <c r="M18312" s="24"/>
      <c r="N18312" s="24"/>
      <c r="O18312" s="24"/>
      <c r="P18312" s="24"/>
      <c r="Q18312" s="24"/>
      <c r="R18312" s="24"/>
      <c r="S18312" s="24"/>
      <c r="T18312" s="24"/>
      <c r="U18312" s="24"/>
      <c r="V18312" s="24"/>
      <c r="W18312" s="24"/>
      <c r="X18312" s="24"/>
      <c r="Y18312" s="24"/>
      <c r="Z18312" s="24"/>
      <c r="AA18312" s="24"/>
    </row>
    <row r="18313">
      <c r="A18313" s="24"/>
      <c r="B18313" s="25"/>
      <c r="C18313" s="24"/>
      <c r="D18313" s="26"/>
      <c r="E18313" s="24"/>
      <c r="F18313" s="24"/>
      <c r="G18313" s="24"/>
      <c r="H18313" s="24"/>
      <c r="I18313" s="24"/>
      <c r="J18313" s="24"/>
      <c r="K18313" s="24"/>
      <c r="L18313" s="24"/>
      <c r="M18313" s="24"/>
      <c r="N18313" s="24"/>
      <c r="O18313" s="24"/>
      <c r="P18313" s="24"/>
      <c r="Q18313" s="24"/>
      <c r="R18313" s="24"/>
      <c r="S18313" s="24"/>
      <c r="T18313" s="24"/>
      <c r="U18313" s="24"/>
      <c r="V18313" s="24"/>
      <c r="W18313" s="24"/>
      <c r="X18313" s="24"/>
      <c r="Y18313" s="24"/>
      <c r="Z18313" s="24"/>
      <c r="AA18313" s="24"/>
    </row>
    <row r="18314">
      <c r="A18314" s="24"/>
      <c r="B18314" s="25"/>
      <c r="C18314" s="24"/>
      <c r="D18314" s="26"/>
      <c r="E18314" s="24"/>
      <c r="F18314" s="24"/>
      <c r="G18314" s="24"/>
      <c r="H18314" s="24"/>
      <c r="I18314" s="24"/>
      <c r="J18314" s="24"/>
      <c r="K18314" s="24"/>
      <c r="L18314" s="24"/>
      <c r="M18314" s="24"/>
      <c r="N18314" s="24"/>
      <c r="O18314" s="24"/>
      <c r="P18314" s="24"/>
      <c r="Q18314" s="24"/>
      <c r="R18314" s="24"/>
      <c r="S18314" s="24"/>
      <c r="T18314" s="24"/>
      <c r="U18314" s="24"/>
      <c r="V18314" s="24"/>
      <c r="W18314" s="24"/>
      <c r="X18314" s="24"/>
      <c r="Y18314" s="24"/>
      <c r="Z18314" s="24"/>
      <c r="AA18314" s="24"/>
    </row>
    <row r="18315">
      <c r="A18315" s="24"/>
      <c r="B18315" s="25"/>
      <c r="C18315" s="24"/>
      <c r="D18315" s="26"/>
      <c r="E18315" s="24"/>
      <c r="F18315" s="24"/>
      <c r="G18315" s="24"/>
      <c r="H18315" s="24"/>
      <c r="I18315" s="24"/>
      <c r="J18315" s="24"/>
      <c r="K18315" s="24"/>
      <c r="L18315" s="24"/>
      <c r="M18315" s="24"/>
      <c r="N18315" s="24"/>
      <c r="O18315" s="24"/>
      <c r="P18315" s="24"/>
      <c r="Q18315" s="24"/>
      <c r="R18315" s="24"/>
      <c r="S18315" s="24"/>
      <c r="T18315" s="24"/>
      <c r="U18315" s="24"/>
      <c r="V18315" s="24"/>
      <c r="W18315" s="24"/>
      <c r="X18315" s="24"/>
      <c r="Y18315" s="24"/>
      <c r="Z18315" s="24"/>
      <c r="AA18315" s="24"/>
    </row>
    <row r="18316">
      <c r="A18316" s="24"/>
      <c r="B18316" s="25"/>
      <c r="C18316" s="24"/>
      <c r="D18316" s="26"/>
      <c r="E18316" s="24"/>
      <c r="F18316" s="24"/>
      <c r="G18316" s="24"/>
      <c r="H18316" s="24"/>
      <c r="I18316" s="24"/>
      <c r="J18316" s="24"/>
      <c r="K18316" s="24"/>
      <c r="L18316" s="24"/>
      <c r="M18316" s="24"/>
      <c r="N18316" s="24"/>
      <c r="O18316" s="24"/>
      <c r="P18316" s="24"/>
      <c r="Q18316" s="24"/>
      <c r="R18316" s="24"/>
      <c r="S18316" s="24"/>
      <c r="T18316" s="24"/>
      <c r="U18316" s="24"/>
      <c r="V18316" s="24"/>
      <c r="W18316" s="24"/>
      <c r="X18316" s="24"/>
      <c r="Y18316" s="24"/>
      <c r="Z18316" s="24"/>
      <c r="AA18316" s="24"/>
    </row>
    <row r="18317">
      <c r="A18317" s="24"/>
      <c r="B18317" s="25"/>
      <c r="C18317" s="24"/>
      <c r="D18317" s="26"/>
      <c r="E18317" s="24"/>
      <c r="F18317" s="24"/>
      <c r="G18317" s="24"/>
      <c r="H18317" s="24"/>
      <c r="I18317" s="24"/>
      <c r="J18317" s="24"/>
      <c r="K18317" s="24"/>
      <c r="L18317" s="24"/>
      <c r="M18317" s="24"/>
      <c r="N18317" s="24"/>
      <c r="O18317" s="24"/>
      <c r="P18317" s="24"/>
      <c r="Q18317" s="24"/>
      <c r="R18317" s="24"/>
      <c r="S18317" s="24"/>
      <c r="T18317" s="24"/>
      <c r="U18317" s="24"/>
      <c r="V18317" s="24"/>
      <c r="W18317" s="24"/>
      <c r="X18317" s="24"/>
      <c r="Y18317" s="24"/>
      <c r="Z18317" s="24"/>
      <c r="AA18317" s="24"/>
    </row>
    <row r="18318">
      <c r="A18318" s="24"/>
      <c r="B18318" s="25"/>
      <c r="C18318" s="24"/>
      <c r="D18318" s="26"/>
      <c r="E18318" s="24"/>
      <c r="F18318" s="24"/>
      <c r="G18318" s="24"/>
      <c r="H18318" s="24"/>
      <c r="I18318" s="24"/>
      <c r="J18318" s="24"/>
      <c r="K18318" s="24"/>
      <c r="L18318" s="24"/>
      <c r="M18318" s="24"/>
      <c r="N18318" s="24"/>
      <c r="O18318" s="24"/>
      <c r="P18318" s="24"/>
      <c r="Q18318" s="24"/>
      <c r="R18318" s="24"/>
      <c r="S18318" s="24"/>
      <c r="T18318" s="24"/>
      <c r="U18318" s="24"/>
      <c r="V18318" s="24"/>
      <c r="W18318" s="24"/>
      <c r="X18318" s="24"/>
      <c r="Y18318" s="24"/>
      <c r="Z18318" s="24"/>
      <c r="AA18318" s="24"/>
    </row>
    <row r="18319">
      <c r="A18319" s="24"/>
      <c r="B18319" s="25"/>
      <c r="C18319" s="24"/>
      <c r="D18319" s="26"/>
      <c r="E18319" s="24"/>
      <c r="F18319" s="24"/>
      <c r="G18319" s="24"/>
      <c r="H18319" s="24"/>
      <c r="I18319" s="24"/>
      <c r="J18319" s="24"/>
      <c r="K18319" s="24"/>
      <c r="L18319" s="24"/>
      <c r="M18319" s="24"/>
      <c r="N18319" s="24"/>
      <c r="O18319" s="24"/>
      <c r="P18319" s="24"/>
      <c r="Q18319" s="24"/>
      <c r="R18319" s="24"/>
      <c r="S18319" s="24"/>
      <c r="T18319" s="24"/>
      <c r="U18319" s="24"/>
      <c r="V18319" s="24"/>
      <c r="W18319" s="24"/>
      <c r="X18319" s="24"/>
      <c r="Y18319" s="24"/>
      <c r="Z18319" s="24"/>
      <c r="AA18319" s="24"/>
    </row>
    <row r="18320">
      <c r="A18320" s="24"/>
      <c r="B18320" s="25"/>
      <c r="C18320" s="24"/>
      <c r="D18320" s="26"/>
      <c r="E18320" s="24"/>
      <c r="F18320" s="24"/>
      <c r="G18320" s="24"/>
      <c r="H18320" s="24"/>
      <c r="I18320" s="24"/>
      <c r="J18320" s="24"/>
      <c r="K18320" s="24"/>
      <c r="L18320" s="24"/>
      <c r="M18320" s="24"/>
      <c r="N18320" s="24"/>
      <c r="O18320" s="24"/>
      <c r="P18320" s="24"/>
      <c r="Q18320" s="24"/>
      <c r="R18320" s="24"/>
      <c r="S18320" s="24"/>
      <c r="T18320" s="24"/>
      <c r="U18320" s="24"/>
      <c r="V18320" s="24"/>
      <c r="W18320" s="24"/>
      <c r="X18320" s="24"/>
      <c r="Y18320" s="24"/>
      <c r="Z18320" s="24"/>
      <c r="AA18320" s="24"/>
    </row>
    <row r="18321">
      <c r="A18321" s="24"/>
      <c r="B18321" s="25"/>
      <c r="C18321" s="24"/>
      <c r="D18321" s="26"/>
      <c r="E18321" s="24"/>
      <c r="F18321" s="24"/>
      <c r="G18321" s="24"/>
      <c r="H18321" s="24"/>
      <c r="I18321" s="24"/>
      <c r="J18321" s="24"/>
      <c r="K18321" s="24"/>
      <c r="L18321" s="24"/>
      <c r="M18321" s="24"/>
      <c r="N18321" s="24"/>
      <c r="O18321" s="24"/>
      <c r="P18321" s="24"/>
      <c r="Q18321" s="24"/>
      <c r="R18321" s="24"/>
      <c r="S18321" s="24"/>
      <c r="T18321" s="24"/>
      <c r="U18321" s="24"/>
      <c r="V18321" s="24"/>
      <c r="W18321" s="24"/>
      <c r="X18321" s="24"/>
      <c r="Y18321" s="24"/>
      <c r="Z18321" s="24"/>
      <c r="AA18321" s="24"/>
    </row>
    <row r="18322">
      <c r="A18322" s="24"/>
      <c r="B18322" s="25"/>
      <c r="C18322" s="24"/>
      <c r="D18322" s="26"/>
      <c r="E18322" s="24"/>
      <c r="F18322" s="24"/>
      <c r="G18322" s="24"/>
      <c r="H18322" s="24"/>
      <c r="I18322" s="24"/>
      <c r="J18322" s="24"/>
      <c r="K18322" s="24"/>
      <c r="L18322" s="24"/>
      <c r="M18322" s="24"/>
      <c r="N18322" s="24"/>
      <c r="O18322" s="24"/>
      <c r="P18322" s="24"/>
      <c r="Q18322" s="24"/>
      <c r="R18322" s="24"/>
      <c r="S18322" s="24"/>
      <c r="T18322" s="24"/>
      <c r="U18322" s="24"/>
      <c r="V18322" s="24"/>
      <c r="W18322" s="24"/>
      <c r="X18322" s="24"/>
      <c r="Y18322" s="24"/>
      <c r="Z18322" s="24"/>
      <c r="AA18322" s="24"/>
    </row>
    <row r="18323">
      <c r="A18323" s="24"/>
      <c r="B18323" s="25"/>
      <c r="C18323" s="24"/>
      <c r="D18323" s="26"/>
      <c r="E18323" s="24"/>
      <c r="F18323" s="24"/>
      <c r="G18323" s="24"/>
      <c r="H18323" s="24"/>
      <c r="I18323" s="24"/>
      <c r="J18323" s="24"/>
      <c r="K18323" s="24"/>
      <c r="L18323" s="24"/>
      <c r="M18323" s="24"/>
      <c r="N18323" s="24"/>
      <c r="O18323" s="24"/>
      <c r="P18323" s="24"/>
      <c r="Q18323" s="24"/>
      <c r="R18323" s="24"/>
      <c r="S18323" s="24"/>
      <c r="T18323" s="24"/>
      <c r="U18323" s="24"/>
      <c r="V18323" s="24"/>
      <c r="W18323" s="24"/>
      <c r="X18323" s="24"/>
      <c r="Y18323" s="24"/>
      <c r="Z18323" s="24"/>
      <c r="AA18323" s="24"/>
    </row>
    <row r="18324">
      <c r="A18324" s="24"/>
      <c r="B18324" s="25"/>
      <c r="C18324" s="24"/>
      <c r="D18324" s="26"/>
      <c r="E18324" s="24"/>
      <c r="F18324" s="24"/>
      <c r="G18324" s="24"/>
      <c r="H18324" s="24"/>
      <c r="I18324" s="24"/>
      <c r="J18324" s="24"/>
      <c r="K18324" s="24"/>
      <c r="L18324" s="24"/>
      <c r="M18324" s="24"/>
      <c r="N18324" s="24"/>
      <c r="O18324" s="24"/>
      <c r="P18324" s="24"/>
      <c r="Q18324" s="24"/>
      <c r="R18324" s="24"/>
      <c r="S18324" s="24"/>
      <c r="T18324" s="24"/>
      <c r="U18324" s="24"/>
      <c r="V18324" s="24"/>
      <c r="W18324" s="24"/>
      <c r="X18324" s="24"/>
      <c r="Y18324" s="24"/>
      <c r="Z18324" s="24"/>
      <c r="AA18324" s="24"/>
    </row>
    <row r="18325">
      <c r="A18325" s="24"/>
      <c r="B18325" s="25"/>
      <c r="C18325" s="24"/>
      <c r="D18325" s="26"/>
      <c r="E18325" s="24"/>
      <c r="F18325" s="24"/>
      <c r="G18325" s="24"/>
      <c r="H18325" s="24"/>
      <c r="I18325" s="24"/>
      <c r="J18325" s="24"/>
      <c r="K18325" s="24"/>
      <c r="L18325" s="24"/>
      <c r="M18325" s="24"/>
      <c r="N18325" s="24"/>
      <c r="O18325" s="24"/>
      <c r="P18325" s="24"/>
      <c r="Q18325" s="24"/>
      <c r="R18325" s="24"/>
      <c r="S18325" s="24"/>
      <c r="T18325" s="24"/>
      <c r="U18325" s="24"/>
      <c r="V18325" s="24"/>
      <c r="W18325" s="24"/>
      <c r="X18325" s="24"/>
      <c r="Y18325" s="24"/>
      <c r="Z18325" s="24"/>
      <c r="AA18325" s="24"/>
    </row>
    <row r="18326">
      <c r="A18326" s="24"/>
      <c r="B18326" s="25"/>
      <c r="C18326" s="24"/>
      <c r="D18326" s="26"/>
      <c r="E18326" s="24"/>
      <c r="F18326" s="24"/>
      <c r="G18326" s="24"/>
      <c r="H18326" s="24"/>
      <c r="I18326" s="24"/>
      <c r="J18326" s="24"/>
      <c r="K18326" s="24"/>
      <c r="L18326" s="24"/>
      <c r="M18326" s="24"/>
      <c r="N18326" s="24"/>
      <c r="O18326" s="24"/>
      <c r="P18326" s="24"/>
      <c r="Q18326" s="24"/>
      <c r="R18326" s="24"/>
      <c r="S18326" s="24"/>
      <c r="T18326" s="24"/>
      <c r="U18326" s="24"/>
      <c r="V18326" s="24"/>
      <c r="W18326" s="24"/>
      <c r="X18326" s="24"/>
      <c r="Y18326" s="24"/>
      <c r="Z18326" s="24"/>
      <c r="AA18326" s="24"/>
    </row>
    <row r="18327">
      <c r="A18327" s="24"/>
      <c r="B18327" s="25"/>
      <c r="C18327" s="24"/>
      <c r="D18327" s="26"/>
      <c r="E18327" s="24"/>
      <c r="F18327" s="24"/>
      <c r="G18327" s="24"/>
      <c r="H18327" s="24"/>
      <c r="I18327" s="24"/>
      <c r="J18327" s="24"/>
      <c r="K18327" s="24"/>
      <c r="L18327" s="24"/>
      <c r="M18327" s="24"/>
      <c r="N18327" s="24"/>
      <c r="O18327" s="24"/>
      <c r="P18327" s="24"/>
      <c r="Q18327" s="24"/>
      <c r="R18327" s="24"/>
      <c r="S18327" s="24"/>
      <c r="T18327" s="24"/>
      <c r="U18327" s="24"/>
      <c r="V18327" s="24"/>
      <c r="W18327" s="24"/>
      <c r="X18327" s="24"/>
      <c r="Y18327" s="24"/>
      <c r="Z18327" s="24"/>
      <c r="AA18327" s="24"/>
    </row>
    <row r="18328">
      <c r="A18328" s="24"/>
      <c r="B18328" s="25"/>
      <c r="C18328" s="24"/>
      <c r="D18328" s="26"/>
      <c r="E18328" s="24"/>
      <c r="F18328" s="24"/>
      <c r="G18328" s="24"/>
      <c r="H18328" s="24"/>
      <c r="I18328" s="24"/>
      <c r="J18328" s="24"/>
      <c r="K18328" s="24"/>
      <c r="L18328" s="24"/>
      <c r="M18328" s="24"/>
      <c r="N18328" s="24"/>
      <c r="O18328" s="24"/>
      <c r="P18328" s="24"/>
      <c r="Q18328" s="24"/>
      <c r="R18328" s="24"/>
      <c r="S18328" s="24"/>
      <c r="T18328" s="24"/>
      <c r="U18328" s="24"/>
      <c r="V18328" s="24"/>
      <c r="W18328" s="24"/>
      <c r="X18328" s="24"/>
      <c r="Y18328" s="24"/>
      <c r="Z18328" s="24"/>
      <c r="AA18328" s="24"/>
    </row>
    <row r="18329">
      <c r="A18329" s="24"/>
      <c r="B18329" s="25"/>
      <c r="C18329" s="24"/>
      <c r="D18329" s="26"/>
      <c r="E18329" s="24"/>
      <c r="F18329" s="24"/>
      <c r="G18329" s="24"/>
      <c r="H18329" s="24"/>
      <c r="I18329" s="24"/>
      <c r="J18329" s="24"/>
      <c r="K18329" s="24"/>
      <c r="L18329" s="24"/>
      <c r="M18329" s="24"/>
      <c r="N18329" s="24"/>
      <c r="O18329" s="24"/>
      <c r="P18329" s="24"/>
      <c r="Q18329" s="24"/>
      <c r="R18329" s="24"/>
      <c r="S18329" s="24"/>
      <c r="T18329" s="24"/>
      <c r="U18329" s="24"/>
      <c r="V18329" s="24"/>
      <c r="W18329" s="24"/>
      <c r="X18329" s="24"/>
      <c r="Y18329" s="24"/>
      <c r="Z18329" s="24"/>
      <c r="AA18329" s="24"/>
    </row>
    <row r="18330">
      <c r="A18330" s="24"/>
      <c r="B18330" s="25"/>
      <c r="C18330" s="24"/>
      <c r="D18330" s="26"/>
      <c r="E18330" s="24"/>
      <c r="F18330" s="24"/>
      <c r="G18330" s="24"/>
      <c r="H18330" s="24"/>
      <c r="I18330" s="24"/>
      <c r="J18330" s="24"/>
      <c r="K18330" s="24"/>
      <c r="L18330" s="24"/>
      <c r="M18330" s="24"/>
      <c r="N18330" s="24"/>
      <c r="O18330" s="24"/>
      <c r="P18330" s="24"/>
      <c r="Q18330" s="24"/>
      <c r="R18330" s="24"/>
      <c r="S18330" s="24"/>
      <c r="T18330" s="24"/>
      <c r="U18330" s="24"/>
      <c r="V18330" s="24"/>
      <c r="W18330" s="24"/>
      <c r="X18330" s="24"/>
      <c r="Y18330" s="24"/>
      <c r="Z18330" s="24"/>
      <c r="AA18330" s="24"/>
    </row>
    <row r="18331">
      <c r="A18331" s="24"/>
      <c r="B18331" s="25"/>
      <c r="C18331" s="24"/>
      <c r="D18331" s="26"/>
      <c r="E18331" s="24"/>
      <c r="F18331" s="24"/>
      <c r="G18331" s="24"/>
      <c r="H18331" s="24"/>
      <c r="I18331" s="24"/>
      <c r="J18331" s="24"/>
      <c r="K18331" s="24"/>
      <c r="L18331" s="24"/>
      <c r="M18331" s="24"/>
      <c r="N18331" s="24"/>
      <c r="O18331" s="24"/>
      <c r="P18331" s="24"/>
      <c r="Q18331" s="24"/>
      <c r="R18331" s="24"/>
      <c r="S18331" s="24"/>
      <c r="T18331" s="24"/>
      <c r="U18331" s="24"/>
      <c r="V18331" s="24"/>
      <c r="W18331" s="24"/>
      <c r="X18331" s="24"/>
      <c r="Y18331" s="24"/>
      <c r="Z18331" s="24"/>
      <c r="AA18331" s="24"/>
    </row>
    <row r="18332">
      <c r="A18332" s="24"/>
      <c r="B18332" s="25"/>
      <c r="C18332" s="24"/>
      <c r="D18332" s="26"/>
      <c r="E18332" s="24"/>
      <c r="F18332" s="24"/>
      <c r="G18332" s="24"/>
      <c r="H18332" s="24"/>
      <c r="I18332" s="24"/>
      <c r="J18332" s="24"/>
      <c r="K18332" s="24"/>
      <c r="L18332" s="24"/>
      <c r="M18332" s="24"/>
      <c r="N18332" s="24"/>
      <c r="O18332" s="24"/>
      <c r="P18332" s="24"/>
      <c r="Q18332" s="24"/>
      <c r="R18332" s="24"/>
      <c r="S18332" s="24"/>
      <c r="T18332" s="24"/>
      <c r="U18332" s="24"/>
      <c r="V18332" s="24"/>
      <c r="W18332" s="24"/>
      <c r="X18332" s="24"/>
      <c r="Y18332" s="24"/>
      <c r="Z18332" s="24"/>
      <c r="AA18332" s="24"/>
    </row>
    <row r="18333">
      <c r="A18333" s="24"/>
      <c r="B18333" s="25"/>
      <c r="C18333" s="24"/>
      <c r="D18333" s="26"/>
      <c r="E18333" s="24"/>
      <c r="F18333" s="24"/>
      <c r="G18333" s="24"/>
      <c r="H18333" s="24"/>
      <c r="I18333" s="24"/>
      <c r="J18333" s="24"/>
      <c r="K18333" s="24"/>
      <c r="L18333" s="24"/>
      <c r="M18333" s="24"/>
      <c r="N18333" s="24"/>
      <c r="O18333" s="24"/>
      <c r="P18333" s="24"/>
      <c r="Q18333" s="24"/>
      <c r="R18333" s="24"/>
      <c r="S18333" s="24"/>
      <c r="T18333" s="24"/>
      <c r="U18333" s="24"/>
      <c r="V18333" s="24"/>
      <c r="W18333" s="24"/>
      <c r="X18333" s="24"/>
      <c r="Y18333" s="24"/>
      <c r="Z18333" s="24"/>
      <c r="AA18333" s="24"/>
    </row>
    <row r="18334">
      <c r="A18334" s="24"/>
      <c r="B18334" s="25"/>
      <c r="C18334" s="24"/>
      <c r="D18334" s="26"/>
      <c r="E18334" s="24"/>
      <c r="F18334" s="24"/>
      <c r="G18334" s="24"/>
      <c r="H18334" s="24"/>
      <c r="I18334" s="24"/>
      <c r="J18334" s="24"/>
      <c r="K18334" s="24"/>
      <c r="L18334" s="24"/>
      <c r="M18334" s="24"/>
      <c r="N18334" s="24"/>
      <c r="O18334" s="24"/>
      <c r="P18334" s="24"/>
      <c r="Q18334" s="24"/>
      <c r="R18334" s="24"/>
      <c r="S18334" s="24"/>
      <c r="T18334" s="24"/>
      <c r="U18334" s="24"/>
      <c r="V18334" s="24"/>
      <c r="W18334" s="24"/>
      <c r="X18334" s="24"/>
      <c r="Y18334" s="24"/>
      <c r="Z18334" s="24"/>
      <c r="AA18334" s="24"/>
    </row>
    <row r="18335">
      <c r="A18335" s="24"/>
      <c r="B18335" s="25"/>
      <c r="C18335" s="24"/>
      <c r="D18335" s="26"/>
      <c r="E18335" s="24"/>
      <c r="F18335" s="24"/>
      <c r="G18335" s="24"/>
      <c r="H18335" s="24"/>
      <c r="I18335" s="24"/>
      <c r="J18335" s="24"/>
      <c r="K18335" s="24"/>
      <c r="L18335" s="24"/>
      <c r="M18335" s="24"/>
      <c r="N18335" s="24"/>
      <c r="O18335" s="24"/>
      <c r="P18335" s="24"/>
      <c r="Q18335" s="24"/>
      <c r="R18335" s="24"/>
      <c r="S18335" s="24"/>
      <c r="T18335" s="24"/>
      <c r="U18335" s="24"/>
      <c r="V18335" s="24"/>
      <c r="W18335" s="24"/>
      <c r="X18335" s="24"/>
      <c r="Y18335" s="24"/>
      <c r="Z18335" s="24"/>
      <c r="AA18335" s="24"/>
    </row>
    <row r="18336">
      <c r="A18336" s="24"/>
      <c r="B18336" s="25"/>
      <c r="C18336" s="24"/>
      <c r="D18336" s="26"/>
      <c r="E18336" s="24"/>
      <c r="F18336" s="24"/>
      <c r="G18336" s="24"/>
      <c r="H18336" s="24"/>
      <c r="I18336" s="24"/>
      <c r="J18336" s="24"/>
      <c r="K18336" s="24"/>
      <c r="L18336" s="24"/>
      <c r="M18336" s="24"/>
      <c r="N18336" s="24"/>
      <c r="O18336" s="24"/>
      <c r="P18336" s="24"/>
      <c r="Q18336" s="24"/>
      <c r="R18336" s="24"/>
      <c r="S18336" s="24"/>
      <c r="T18336" s="24"/>
      <c r="U18336" s="24"/>
      <c r="V18336" s="24"/>
      <c r="W18336" s="24"/>
      <c r="X18336" s="24"/>
      <c r="Y18336" s="24"/>
      <c r="Z18336" s="24"/>
      <c r="AA18336" s="24"/>
    </row>
    <row r="18337">
      <c r="A18337" s="24"/>
      <c r="B18337" s="25"/>
      <c r="C18337" s="24"/>
      <c r="D18337" s="26"/>
      <c r="E18337" s="24"/>
      <c r="F18337" s="24"/>
      <c r="G18337" s="24"/>
      <c r="H18337" s="24"/>
      <c r="I18337" s="24"/>
      <c r="J18337" s="24"/>
      <c r="K18337" s="24"/>
      <c r="L18337" s="24"/>
      <c r="M18337" s="24"/>
      <c r="N18337" s="24"/>
      <c r="O18337" s="24"/>
      <c r="P18337" s="24"/>
      <c r="Q18337" s="24"/>
      <c r="R18337" s="24"/>
      <c r="S18337" s="24"/>
      <c r="T18337" s="24"/>
      <c r="U18337" s="24"/>
      <c r="V18337" s="24"/>
      <c r="W18337" s="24"/>
      <c r="X18337" s="24"/>
      <c r="Y18337" s="24"/>
      <c r="Z18337" s="24"/>
      <c r="AA18337" s="24"/>
    </row>
    <row r="18338">
      <c r="A18338" s="24"/>
      <c r="B18338" s="25"/>
      <c r="C18338" s="24"/>
      <c r="D18338" s="26"/>
      <c r="E18338" s="24"/>
      <c r="F18338" s="24"/>
      <c r="G18338" s="24"/>
      <c r="H18338" s="24"/>
      <c r="I18338" s="24"/>
      <c r="J18338" s="24"/>
      <c r="K18338" s="24"/>
      <c r="L18338" s="24"/>
      <c r="M18338" s="24"/>
      <c r="N18338" s="24"/>
      <c r="O18338" s="24"/>
      <c r="P18338" s="24"/>
      <c r="Q18338" s="24"/>
      <c r="R18338" s="24"/>
      <c r="S18338" s="24"/>
      <c r="T18338" s="24"/>
      <c r="U18338" s="24"/>
      <c r="V18338" s="24"/>
      <c r="W18338" s="24"/>
      <c r="X18338" s="24"/>
      <c r="Y18338" s="24"/>
      <c r="Z18338" s="24"/>
      <c r="AA18338" s="24"/>
    </row>
    <row r="18339">
      <c r="A18339" s="24"/>
      <c r="B18339" s="25"/>
      <c r="C18339" s="24"/>
      <c r="D18339" s="26"/>
      <c r="E18339" s="24"/>
      <c r="F18339" s="24"/>
      <c r="G18339" s="24"/>
      <c r="H18339" s="24"/>
      <c r="I18339" s="24"/>
      <c r="J18339" s="24"/>
      <c r="K18339" s="24"/>
      <c r="L18339" s="24"/>
      <c r="M18339" s="24"/>
      <c r="N18339" s="24"/>
      <c r="O18339" s="24"/>
      <c r="P18339" s="24"/>
      <c r="Q18339" s="24"/>
      <c r="R18339" s="24"/>
      <c r="S18339" s="24"/>
      <c r="T18339" s="24"/>
      <c r="U18339" s="24"/>
      <c r="V18339" s="24"/>
      <c r="W18339" s="24"/>
      <c r="X18339" s="24"/>
      <c r="Y18339" s="24"/>
      <c r="Z18339" s="24"/>
      <c r="AA18339" s="24"/>
    </row>
    <row r="18340">
      <c r="A18340" s="24"/>
      <c r="B18340" s="25"/>
      <c r="C18340" s="24"/>
      <c r="D18340" s="26"/>
      <c r="E18340" s="24"/>
      <c r="F18340" s="24"/>
      <c r="G18340" s="24"/>
      <c r="H18340" s="24"/>
      <c r="I18340" s="24"/>
      <c r="J18340" s="24"/>
      <c r="K18340" s="24"/>
      <c r="L18340" s="24"/>
      <c r="M18340" s="24"/>
      <c r="N18340" s="24"/>
      <c r="O18340" s="24"/>
      <c r="P18340" s="24"/>
      <c r="Q18340" s="24"/>
      <c r="R18340" s="24"/>
      <c r="S18340" s="24"/>
      <c r="T18340" s="24"/>
      <c r="U18340" s="24"/>
      <c r="V18340" s="24"/>
      <c r="W18340" s="24"/>
      <c r="X18340" s="24"/>
      <c r="Y18340" s="24"/>
      <c r="Z18340" s="24"/>
      <c r="AA18340" s="24"/>
    </row>
    <row r="18341">
      <c r="A18341" s="24"/>
      <c r="B18341" s="25"/>
      <c r="C18341" s="24"/>
      <c r="D18341" s="26"/>
      <c r="E18341" s="24"/>
      <c r="F18341" s="24"/>
      <c r="G18341" s="24"/>
      <c r="H18341" s="24"/>
      <c r="I18341" s="24"/>
      <c r="J18341" s="24"/>
      <c r="K18341" s="24"/>
      <c r="L18341" s="24"/>
      <c r="M18341" s="24"/>
      <c r="N18341" s="24"/>
      <c r="O18341" s="24"/>
      <c r="P18341" s="24"/>
      <c r="Q18341" s="24"/>
      <c r="R18341" s="24"/>
      <c r="S18341" s="24"/>
      <c r="T18341" s="24"/>
      <c r="U18341" s="24"/>
      <c r="V18341" s="24"/>
      <c r="W18341" s="24"/>
      <c r="X18341" s="24"/>
      <c r="Y18341" s="24"/>
      <c r="Z18341" s="24"/>
      <c r="AA18341" s="24"/>
    </row>
    <row r="18342">
      <c r="A18342" s="24"/>
      <c r="B18342" s="25"/>
      <c r="C18342" s="24"/>
      <c r="D18342" s="26"/>
      <c r="E18342" s="24"/>
      <c r="F18342" s="24"/>
      <c r="G18342" s="24"/>
      <c r="H18342" s="24"/>
      <c r="I18342" s="24"/>
      <c r="J18342" s="24"/>
      <c r="K18342" s="24"/>
      <c r="L18342" s="24"/>
      <c r="M18342" s="24"/>
      <c r="N18342" s="24"/>
      <c r="O18342" s="24"/>
      <c r="P18342" s="24"/>
      <c r="Q18342" s="24"/>
      <c r="R18342" s="24"/>
      <c r="S18342" s="24"/>
      <c r="T18342" s="24"/>
      <c r="U18342" s="24"/>
      <c r="V18342" s="24"/>
      <c r="W18342" s="24"/>
      <c r="X18342" s="24"/>
      <c r="Y18342" s="24"/>
      <c r="Z18342" s="24"/>
      <c r="AA18342" s="24"/>
    </row>
    <row r="18343">
      <c r="A18343" s="24"/>
      <c r="B18343" s="25"/>
      <c r="C18343" s="24"/>
      <c r="D18343" s="26"/>
      <c r="E18343" s="24"/>
      <c r="F18343" s="24"/>
      <c r="G18343" s="24"/>
      <c r="H18343" s="24"/>
      <c r="I18343" s="24"/>
      <c r="J18343" s="24"/>
      <c r="K18343" s="24"/>
      <c r="L18343" s="24"/>
      <c r="M18343" s="24"/>
      <c r="N18343" s="24"/>
      <c r="O18343" s="24"/>
      <c r="P18343" s="24"/>
      <c r="Q18343" s="24"/>
      <c r="R18343" s="24"/>
      <c r="S18343" s="24"/>
      <c r="T18343" s="24"/>
      <c r="U18343" s="24"/>
      <c r="V18343" s="24"/>
      <c r="W18343" s="24"/>
      <c r="X18343" s="24"/>
      <c r="Y18343" s="24"/>
      <c r="Z18343" s="24"/>
      <c r="AA18343" s="24"/>
    </row>
    <row r="18344">
      <c r="A18344" s="24"/>
      <c r="B18344" s="25"/>
      <c r="C18344" s="24"/>
      <c r="D18344" s="26"/>
      <c r="E18344" s="24"/>
      <c r="F18344" s="24"/>
      <c r="G18344" s="24"/>
      <c r="H18344" s="24"/>
      <c r="I18344" s="24"/>
      <c r="J18344" s="24"/>
      <c r="K18344" s="24"/>
      <c r="L18344" s="24"/>
      <c r="M18344" s="24"/>
      <c r="N18344" s="24"/>
      <c r="O18344" s="24"/>
      <c r="P18344" s="24"/>
      <c r="Q18344" s="24"/>
      <c r="R18344" s="24"/>
      <c r="S18344" s="24"/>
      <c r="T18344" s="24"/>
      <c r="U18344" s="24"/>
      <c r="V18344" s="24"/>
      <c r="W18344" s="24"/>
      <c r="X18344" s="24"/>
      <c r="Y18344" s="24"/>
      <c r="Z18344" s="24"/>
      <c r="AA18344" s="24"/>
    </row>
    <row r="18345">
      <c r="A18345" s="24"/>
      <c r="B18345" s="25"/>
      <c r="C18345" s="24"/>
      <c r="D18345" s="26"/>
      <c r="E18345" s="24"/>
      <c r="F18345" s="24"/>
      <c r="G18345" s="24"/>
      <c r="H18345" s="24"/>
      <c r="I18345" s="24"/>
      <c r="J18345" s="24"/>
      <c r="K18345" s="24"/>
      <c r="L18345" s="24"/>
      <c r="M18345" s="24"/>
      <c r="N18345" s="24"/>
      <c r="O18345" s="24"/>
      <c r="P18345" s="24"/>
      <c r="Q18345" s="24"/>
      <c r="R18345" s="24"/>
      <c r="S18345" s="24"/>
      <c r="T18345" s="24"/>
      <c r="U18345" s="24"/>
      <c r="V18345" s="24"/>
      <c r="W18345" s="24"/>
      <c r="X18345" s="24"/>
      <c r="Y18345" s="24"/>
      <c r="Z18345" s="24"/>
      <c r="AA18345" s="24"/>
    </row>
    <row r="18346">
      <c r="A18346" s="24"/>
      <c r="B18346" s="25"/>
      <c r="C18346" s="24"/>
      <c r="D18346" s="26"/>
      <c r="E18346" s="24"/>
      <c r="F18346" s="24"/>
      <c r="G18346" s="24"/>
      <c r="H18346" s="24"/>
      <c r="I18346" s="24"/>
      <c r="J18346" s="24"/>
      <c r="K18346" s="24"/>
      <c r="L18346" s="24"/>
      <c r="M18346" s="24"/>
      <c r="N18346" s="24"/>
      <c r="O18346" s="24"/>
      <c r="P18346" s="24"/>
      <c r="Q18346" s="24"/>
      <c r="R18346" s="24"/>
      <c r="S18346" s="24"/>
      <c r="T18346" s="24"/>
      <c r="U18346" s="24"/>
      <c r="V18346" s="24"/>
      <c r="W18346" s="24"/>
      <c r="X18346" s="24"/>
      <c r="Y18346" s="24"/>
      <c r="Z18346" s="24"/>
      <c r="AA18346" s="24"/>
    </row>
    <row r="18347">
      <c r="A18347" s="24"/>
      <c r="B18347" s="25"/>
      <c r="C18347" s="24"/>
      <c r="D18347" s="26"/>
      <c r="E18347" s="24"/>
      <c r="F18347" s="24"/>
      <c r="G18347" s="24"/>
      <c r="H18347" s="24"/>
      <c r="I18347" s="24"/>
      <c r="J18347" s="24"/>
      <c r="K18347" s="24"/>
      <c r="L18347" s="24"/>
      <c r="M18347" s="24"/>
      <c r="N18347" s="24"/>
      <c r="O18347" s="24"/>
      <c r="P18347" s="24"/>
      <c r="Q18347" s="24"/>
      <c r="R18347" s="24"/>
      <c r="S18347" s="24"/>
      <c r="T18347" s="24"/>
      <c r="U18347" s="24"/>
      <c r="V18347" s="24"/>
      <c r="W18347" s="24"/>
      <c r="X18347" s="24"/>
      <c r="Y18347" s="24"/>
      <c r="Z18347" s="24"/>
      <c r="AA18347" s="24"/>
    </row>
    <row r="18348">
      <c r="A18348" s="24"/>
      <c r="B18348" s="25"/>
      <c r="C18348" s="24"/>
      <c r="D18348" s="26"/>
      <c r="E18348" s="24"/>
      <c r="F18348" s="24"/>
      <c r="G18348" s="24"/>
      <c r="H18348" s="24"/>
      <c r="I18348" s="24"/>
      <c r="J18348" s="24"/>
      <c r="K18348" s="24"/>
      <c r="L18348" s="24"/>
      <c r="M18348" s="24"/>
      <c r="N18348" s="24"/>
      <c r="O18348" s="24"/>
      <c r="P18348" s="24"/>
      <c r="Q18348" s="24"/>
      <c r="R18348" s="24"/>
      <c r="S18348" s="24"/>
      <c r="T18348" s="24"/>
      <c r="U18348" s="24"/>
      <c r="V18348" s="24"/>
      <c r="W18348" s="24"/>
      <c r="X18348" s="24"/>
      <c r="Y18348" s="24"/>
      <c r="Z18348" s="24"/>
      <c r="AA18348" s="24"/>
    </row>
    <row r="18349">
      <c r="A18349" s="24"/>
      <c r="B18349" s="25"/>
      <c r="C18349" s="24"/>
      <c r="D18349" s="26"/>
      <c r="E18349" s="24"/>
      <c r="F18349" s="24"/>
      <c r="G18349" s="24"/>
      <c r="H18349" s="24"/>
      <c r="I18349" s="24"/>
      <c r="J18349" s="24"/>
      <c r="K18349" s="24"/>
      <c r="L18349" s="24"/>
      <c r="M18349" s="24"/>
      <c r="N18349" s="24"/>
      <c r="O18349" s="24"/>
      <c r="P18349" s="24"/>
      <c r="Q18349" s="24"/>
      <c r="R18349" s="24"/>
      <c r="S18349" s="24"/>
      <c r="T18349" s="24"/>
      <c r="U18349" s="24"/>
      <c r="V18349" s="24"/>
      <c r="W18349" s="24"/>
      <c r="X18349" s="24"/>
      <c r="Y18349" s="24"/>
      <c r="Z18349" s="24"/>
      <c r="AA18349" s="24"/>
    </row>
    <row r="18350">
      <c r="A18350" s="24"/>
      <c r="B18350" s="25"/>
      <c r="C18350" s="24"/>
      <c r="D18350" s="26"/>
      <c r="E18350" s="24"/>
      <c r="F18350" s="24"/>
      <c r="G18350" s="24"/>
      <c r="H18350" s="24"/>
      <c r="I18350" s="24"/>
      <c r="J18350" s="24"/>
      <c r="K18350" s="24"/>
      <c r="L18350" s="24"/>
      <c r="M18350" s="24"/>
      <c r="N18350" s="24"/>
      <c r="O18350" s="24"/>
      <c r="P18350" s="24"/>
      <c r="Q18350" s="24"/>
      <c r="R18350" s="24"/>
      <c r="S18350" s="24"/>
      <c r="T18350" s="24"/>
      <c r="U18350" s="24"/>
      <c r="V18350" s="24"/>
      <c r="W18350" s="24"/>
      <c r="X18350" s="24"/>
      <c r="Y18350" s="24"/>
      <c r="Z18350" s="24"/>
      <c r="AA18350" s="24"/>
    </row>
    <row r="18351">
      <c r="A18351" s="24"/>
      <c r="B18351" s="25"/>
      <c r="C18351" s="24"/>
      <c r="D18351" s="26"/>
      <c r="E18351" s="24"/>
      <c r="F18351" s="24"/>
      <c r="G18351" s="24"/>
      <c r="H18351" s="24"/>
      <c r="I18351" s="24"/>
      <c r="J18351" s="24"/>
      <c r="K18351" s="24"/>
      <c r="L18351" s="24"/>
      <c r="M18351" s="24"/>
      <c r="N18351" s="24"/>
      <c r="O18351" s="24"/>
      <c r="P18351" s="24"/>
      <c r="Q18351" s="24"/>
      <c r="R18351" s="24"/>
      <c r="S18351" s="24"/>
      <c r="T18351" s="24"/>
      <c r="U18351" s="24"/>
      <c r="V18351" s="24"/>
      <c r="W18351" s="24"/>
      <c r="X18351" s="24"/>
      <c r="Y18351" s="24"/>
      <c r="Z18351" s="24"/>
      <c r="AA18351" s="24"/>
    </row>
    <row r="18352">
      <c r="A18352" s="24"/>
      <c r="B18352" s="25"/>
      <c r="C18352" s="24"/>
      <c r="D18352" s="26"/>
      <c r="E18352" s="24"/>
      <c r="F18352" s="24"/>
      <c r="G18352" s="24"/>
      <c r="H18352" s="24"/>
      <c r="I18352" s="24"/>
      <c r="J18352" s="24"/>
      <c r="K18352" s="24"/>
      <c r="L18352" s="24"/>
      <c r="M18352" s="24"/>
      <c r="N18352" s="24"/>
      <c r="O18352" s="24"/>
      <c r="P18352" s="24"/>
      <c r="Q18352" s="24"/>
      <c r="R18352" s="24"/>
      <c r="S18352" s="24"/>
      <c r="T18352" s="24"/>
      <c r="U18352" s="24"/>
      <c r="V18352" s="24"/>
      <c r="W18352" s="24"/>
      <c r="X18352" s="24"/>
      <c r="Y18352" s="24"/>
      <c r="Z18352" s="24"/>
      <c r="AA18352" s="24"/>
    </row>
    <row r="18353">
      <c r="A18353" s="24"/>
      <c r="B18353" s="25"/>
      <c r="C18353" s="24"/>
      <c r="D18353" s="26"/>
      <c r="E18353" s="24"/>
      <c r="F18353" s="24"/>
      <c r="G18353" s="24"/>
      <c r="H18353" s="24"/>
      <c r="I18353" s="24"/>
      <c r="J18353" s="24"/>
      <c r="K18353" s="24"/>
      <c r="L18353" s="24"/>
      <c r="M18353" s="24"/>
      <c r="N18353" s="24"/>
      <c r="O18353" s="24"/>
      <c r="P18353" s="24"/>
      <c r="Q18353" s="24"/>
      <c r="R18353" s="24"/>
      <c r="S18353" s="24"/>
      <c r="T18353" s="24"/>
      <c r="U18353" s="24"/>
      <c r="V18353" s="24"/>
      <c r="W18353" s="24"/>
      <c r="X18353" s="24"/>
      <c r="Y18353" s="24"/>
      <c r="Z18353" s="24"/>
      <c r="AA18353" s="24"/>
    </row>
    <row r="18354">
      <c r="A18354" s="24"/>
      <c r="B18354" s="25"/>
      <c r="C18354" s="24"/>
      <c r="D18354" s="26"/>
      <c r="E18354" s="24"/>
      <c r="F18354" s="24"/>
      <c r="G18354" s="24"/>
      <c r="H18354" s="24"/>
      <c r="I18354" s="24"/>
      <c r="J18354" s="24"/>
      <c r="K18354" s="24"/>
      <c r="L18354" s="24"/>
      <c r="M18354" s="24"/>
      <c r="N18354" s="24"/>
      <c r="O18354" s="24"/>
      <c r="P18354" s="24"/>
      <c r="Q18354" s="24"/>
      <c r="R18354" s="24"/>
      <c r="S18354" s="24"/>
      <c r="T18354" s="24"/>
      <c r="U18354" s="24"/>
      <c r="V18354" s="24"/>
      <c r="W18354" s="24"/>
      <c r="X18354" s="24"/>
      <c r="Y18354" s="24"/>
      <c r="Z18354" s="24"/>
      <c r="AA18354" s="24"/>
    </row>
    <row r="18355">
      <c r="A18355" s="24"/>
      <c r="B18355" s="25"/>
      <c r="C18355" s="24"/>
      <c r="D18355" s="26"/>
      <c r="E18355" s="24"/>
      <c r="F18355" s="24"/>
      <c r="G18355" s="24"/>
      <c r="H18355" s="24"/>
      <c r="I18355" s="24"/>
      <c r="J18355" s="24"/>
      <c r="K18355" s="24"/>
      <c r="L18355" s="24"/>
      <c r="M18355" s="24"/>
      <c r="N18355" s="24"/>
      <c r="O18355" s="24"/>
      <c r="P18355" s="24"/>
      <c r="Q18355" s="24"/>
      <c r="R18355" s="24"/>
      <c r="S18355" s="24"/>
      <c r="T18355" s="24"/>
      <c r="U18355" s="24"/>
      <c r="V18355" s="24"/>
      <c r="W18355" s="24"/>
      <c r="X18355" s="24"/>
      <c r="Y18355" s="24"/>
      <c r="Z18355" s="24"/>
      <c r="AA18355" s="24"/>
    </row>
    <row r="18356">
      <c r="A18356" s="24"/>
      <c r="B18356" s="25"/>
      <c r="C18356" s="24"/>
      <c r="D18356" s="26"/>
      <c r="E18356" s="24"/>
      <c r="F18356" s="24"/>
      <c r="G18356" s="24"/>
      <c r="H18356" s="24"/>
      <c r="I18356" s="24"/>
      <c r="J18356" s="24"/>
      <c r="K18356" s="24"/>
      <c r="L18356" s="24"/>
      <c r="M18356" s="24"/>
      <c r="N18356" s="24"/>
      <c r="O18356" s="24"/>
      <c r="P18356" s="24"/>
      <c r="Q18356" s="24"/>
      <c r="R18356" s="24"/>
      <c r="S18356" s="24"/>
      <c r="T18356" s="24"/>
      <c r="U18356" s="24"/>
      <c r="V18356" s="24"/>
      <c r="W18356" s="24"/>
      <c r="X18356" s="24"/>
      <c r="Y18356" s="24"/>
      <c r="Z18356" s="24"/>
      <c r="AA18356" s="24"/>
    </row>
    <row r="18357">
      <c r="A18357" s="24"/>
      <c r="B18357" s="25"/>
      <c r="C18357" s="24"/>
      <c r="D18357" s="26"/>
      <c r="E18357" s="24"/>
      <c r="F18357" s="24"/>
      <c r="G18357" s="24"/>
      <c r="H18357" s="24"/>
      <c r="I18357" s="24"/>
      <c r="J18357" s="24"/>
      <c r="K18357" s="24"/>
      <c r="L18357" s="24"/>
      <c r="M18357" s="24"/>
      <c r="N18357" s="24"/>
      <c r="O18357" s="24"/>
      <c r="P18357" s="24"/>
      <c r="Q18357" s="24"/>
      <c r="R18357" s="24"/>
      <c r="S18357" s="24"/>
      <c r="T18357" s="24"/>
      <c r="U18357" s="24"/>
      <c r="V18357" s="24"/>
      <c r="W18357" s="24"/>
      <c r="X18357" s="24"/>
      <c r="Y18357" s="24"/>
      <c r="Z18357" s="24"/>
      <c r="AA18357" s="24"/>
    </row>
    <row r="18358">
      <c r="A18358" s="24"/>
      <c r="B18358" s="25"/>
      <c r="C18358" s="24"/>
      <c r="D18358" s="26"/>
      <c r="E18358" s="24"/>
      <c r="F18358" s="24"/>
      <c r="G18358" s="24"/>
      <c r="H18358" s="24"/>
      <c r="I18358" s="24"/>
      <c r="J18358" s="24"/>
      <c r="K18358" s="24"/>
      <c r="L18358" s="24"/>
      <c r="M18358" s="24"/>
      <c r="N18358" s="24"/>
      <c r="O18358" s="24"/>
      <c r="P18358" s="24"/>
      <c r="Q18358" s="24"/>
      <c r="R18358" s="24"/>
      <c r="S18358" s="24"/>
      <c r="T18358" s="24"/>
      <c r="U18358" s="24"/>
      <c r="V18358" s="24"/>
      <c r="W18358" s="24"/>
      <c r="X18358" s="24"/>
      <c r="Y18358" s="24"/>
      <c r="Z18358" s="24"/>
      <c r="AA18358" s="24"/>
    </row>
    <row r="18359">
      <c r="A18359" s="24"/>
      <c r="B18359" s="25"/>
      <c r="C18359" s="24"/>
      <c r="D18359" s="26"/>
      <c r="E18359" s="24"/>
      <c r="F18359" s="24"/>
      <c r="G18359" s="24"/>
      <c r="H18359" s="24"/>
      <c r="I18359" s="24"/>
      <c r="J18359" s="24"/>
      <c r="K18359" s="24"/>
      <c r="L18359" s="24"/>
      <c r="M18359" s="24"/>
      <c r="N18359" s="24"/>
      <c r="O18359" s="24"/>
      <c r="P18359" s="24"/>
      <c r="Q18359" s="24"/>
      <c r="R18359" s="24"/>
      <c r="S18359" s="24"/>
      <c r="T18359" s="24"/>
      <c r="U18359" s="24"/>
      <c r="V18359" s="24"/>
      <c r="W18359" s="24"/>
      <c r="X18359" s="24"/>
      <c r="Y18359" s="24"/>
      <c r="Z18359" s="24"/>
      <c r="AA18359" s="24"/>
    </row>
    <row r="18360">
      <c r="A18360" s="24"/>
      <c r="B18360" s="25"/>
      <c r="C18360" s="24"/>
      <c r="D18360" s="26"/>
      <c r="E18360" s="24"/>
      <c r="F18360" s="24"/>
      <c r="G18360" s="24"/>
      <c r="H18360" s="24"/>
      <c r="I18360" s="24"/>
      <c r="J18360" s="24"/>
      <c r="K18360" s="24"/>
      <c r="L18360" s="24"/>
      <c r="M18360" s="24"/>
      <c r="N18360" s="24"/>
      <c r="O18360" s="24"/>
      <c r="P18360" s="24"/>
      <c r="Q18360" s="24"/>
      <c r="R18360" s="24"/>
      <c r="S18360" s="24"/>
      <c r="T18360" s="24"/>
      <c r="U18360" s="24"/>
      <c r="V18360" s="24"/>
      <c r="W18360" s="24"/>
      <c r="X18360" s="24"/>
      <c r="Y18360" s="24"/>
      <c r="Z18360" s="24"/>
      <c r="AA18360" s="24"/>
    </row>
    <row r="18361">
      <c r="A18361" s="24"/>
      <c r="B18361" s="25"/>
      <c r="C18361" s="24"/>
      <c r="D18361" s="26"/>
      <c r="E18361" s="24"/>
      <c r="F18361" s="24"/>
      <c r="G18361" s="24"/>
      <c r="H18361" s="24"/>
      <c r="I18361" s="24"/>
      <c r="J18361" s="24"/>
      <c r="K18361" s="24"/>
      <c r="L18361" s="24"/>
      <c r="M18361" s="24"/>
      <c r="N18361" s="24"/>
      <c r="O18361" s="24"/>
      <c r="P18361" s="24"/>
      <c r="Q18361" s="24"/>
      <c r="R18361" s="24"/>
      <c r="S18361" s="24"/>
      <c r="T18361" s="24"/>
      <c r="U18361" s="24"/>
      <c r="V18361" s="24"/>
      <c r="W18361" s="24"/>
      <c r="X18361" s="24"/>
      <c r="Y18361" s="24"/>
      <c r="Z18361" s="24"/>
      <c r="AA18361" s="24"/>
    </row>
    <row r="18362">
      <c r="A18362" s="24"/>
      <c r="B18362" s="25"/>
      <c r="C18362" s="24"/>
      <c r="D18362" s="26"/>
      <c r="E18362" s="24"/>
      <c r="F18362" s="24"/>
      <c r="G18362" s="24"/>
      <c r="H18362" s="24"/>
      <c r="I18362" s="24"/>
      <c r="J18362" s="24"/>
      <c r="K18362" s="24"/>
      <c r="L18362" s="24"/>
      <c r="M18362" s="24"/>
      <c r="N18362" s="24"/>
      <c r="O18362" s="24"/>
      <c r="P18362" s="24"/>
      <c r="Q18362" s="24"/>
      <c r="R18362" s="24"/>
      <c r="S18362" s="24"/>
      <c r="T18362" s="24"/>
      <c r="U18362" s="24"/>
      <c r="V18362" s="24"/>
      <c r="W18362" s="24"/>
      <c r="X18362" s="24"/>
      <c r="Y18362" s="24"/>
      <c r="Z18362" s="24"/>
      <c r="AA18362" s="24"/>
    </row>
    <row r="18363">
      <c r="A18363" s="24"/>
      <c r="B18363" s="25"/>
      <c r="C18363" s="24"/>
      <c r="D18363" s="26"/>
      <c r="E18363" s="24"/>
      <c r="F18363" s="24"/>
      <c r="G18363" s="24"/>
      <c r="H18363" s="24"/>
      <c r="I18363" s="24"/>
      <c r="J18363" s="24"/>
      <c r="K18363" s="24"/>
      <c r="L18363" s="24"/>
      <c r="M18363" s="24"/>
      <c r="N18363" s="24"/>
      <c r="O18363" s="24"/>
      <c r="P18363" s="24"/>
      <c r="Q18363" s="24"/>
      <c r="R18363" s="24"/>
      <c r="S18363" s="24"/>
      <c r="T18363" s="24"/>
      <c r="U18363" s="24"/>
      <c r="V18363" s="24"/>
      <c r="W18363" s="24"/>
      <c r="X18363" s="24"/>
      <c r="Y18363" s="24"/>
      <c r="Z18363" s="24"/>
      <c r="AA18363" s="24"/>
    </row>
    <row r="18364">
      <c r="A18364" s="24"/>
      <c r="B18364" s="25"/>
      <c r="C18364" s="24"/>
      <c r="D18364" s="26"/>
      <c r="E18364" s="24"/>
      <c r="F18364" s="24"/>
      <c r="G18364" s="24"/>
      <c r="H18364" s="24"/>
      <c r="I18364" s="24"/>
      <c r="J18364" s="24"/>
      <c r="K18364" s="24"/>
      <c r="L18364" s="24"/>
      <c r="M18364" s="24"/>
      <c r="N18364" s="24"/>
      <c r="O18364" s="24"/>
      <c r="P18364" s="24"/>
      <c r="Q18364" s="24"/>
      <c r="R18364" s="24"/>
      <c r="S18364" s="24"/>
      <c r="T18364" s="24"/>
      <c r="U18364" s="24"/>
      <c r="V18364" s="24"/>
      <c r="W18364" s="24"/>
      <c r="X18364" s="24"/>
      <c r="Y18364" s="24"/>
      <c r="Z18364" s="24"/>
      <c r="AA18364" s="24"/>
    </row>
    <row r="18365">
      <c r="A18365" s="24"/>
      <c r="B18365" s="25"/>
      <c r="C18365" s="24"/>
      <c r="D18365" s="26"/>
      <c r="E18365" s="24"/>
      <c r="F18365" s="24"/>
      <c r="G18365" s="24"/>
      <c r="H18365" s="24"/>
      <c r="I18365" s="24"/>
      <c r="J18365" s="24"/>
      <c r="K18365" s="24"/>
      <c r="L18365" s="24"/>
      <c r="M18365" s="24"/>
      <c r="N18365" s="24"/>
      <c r="O18365" s="24"/>
      <c r="P18365" s="24"/>
      <c r="Q18365" s="24"/>
      <c r="R18365" s="24"/>
      <c r="S18365" s="24"/>
      <c r="T18365" s="24"/>
      <c r="U18365" s="24"/>
      <c r="V18365" s="24"/>
      <c r="W18365" s="24"/>
      <c r="X18365" s="24"/>
      <c r="Y18365" s="24"/>
      <c r="Z18365" s="24"/>
      <c r="AA18365" s="24"/>
    </row>
    <row r="18366">
      <c r="A18366" s="24"/>
      <c r="B18366" s="25"/>
      <c r="C18366" s="24"/>
      <c r="D18366" s="26"/>
      <c r="E18366" s="24"/>
      <c r="F18366" s="24"/>
      <c r="G18366" s="24"/>
      <c r="H18366" s="24"/>
      <c r="I18366" s="24"/>
      <c r="J18366" s="24"/>
      <c r="K18366" s="24"/>
      <c r="L18366" s="24"/>
      <c r="M18366" s="24"/>
      <c r="N18366" s="24"/>
      <c r="O18366" s="24"/>
      <c r="P18366" s="24"/>
      <c r="Q18366" s="24"/>
      <c r="R18366" s="24"/>
      <c r="S18366" s="24"/>
      <c r="T18366" s="24"/>
      <c r="U18366" s="24"/>
      <c r="V18366" s="24"/>
      <c r="W18366" s="24"/>
      <c r="X18366" s="24"/>
      <c r="Y18366" s="24"/>
      <c r="Z18366" s="24"/>
      <c r="AA18366" s="24"/>
    </row>
    <row r="18367">
      <c r="A18367" s="24"/>
      <c r="B18367" s="25"/>
      <c r="C18367" s="24"/>
      <c r="D18367" s="26"/>
      <c r="E18367" s="24"/>
      <c r="F18367" s="24"/>
      <c r="G18367" s="24"/>
      <c r="H18367" s="24"/>
      <c r="I18367" s="24"/>
      <c r="J18367" s="24"/>
      <c r="K18367" s="24"/>
      <c r="L18367" s="24"/>
      <c r="M18367" s="24"/>
      <c r="N18367" s="24"/>
      <c r="O18367" s="24"/>
      <c r="P18367" s="24"/>
      <c r="Q18367" s="24"/>
      <c r="R18367" s="24"/>
      <c r="S18367" s="24"/>
      <c r="T18367" s="24"/>
      <c r="U18367" s="24"/>
      <c r="V18367" s="24"/>
      <c r="W18367" s="24"/>
      <c r="X18367" s="24"/>
      <c r="Y18367" s="24"/>
      <c r="Z18367" s="24"/>
      <c r="AA18367" s="24"/>
    </row>
    <row r="18368">
      <c r="A18368" s="24"/>
      <c r="B18368" s="25"/>
      <c r="C18368" s="24"/>
      <c r="D18368" s="26"/>
      <c r="E18368" s="24"/>
      <c r="F18368" s="24"/>
      <c r="G18368" s="24"/>
      <c r="H18368" s="24"/>
      <c r="I18368" s="24"/>
      <c r="J18368" s="24"/>
      <c r="K18368" s="24"/>
      <c r="L18368" s="24"/>
      <c r="M18368" s="24"/>
      <c r="N18368" s="24"/>
      <c r="O18368" s="24"/>
      <c r="P18368" s="24"/>
      <c r="Q18368" s="24"/>
      <c r="R18368" s="24"/>
      <c r="S18368" s="24"/>
      <c r="T18368" s="24"/>
      <c r="U18368" s="24"/>
      <c r="V18368" s="24"/>
      <c r="W18368" s="24"/>
      <c r="X18368" s="24"/>
      <c r="Y18368" s="24"/>
      <c r="Z18368" s="24"/>
      <c r="AA18368" s="24"/>
    </row>
    <row r="18369">
      <c r="A18369" s="24"/>
      <c r="B18369" s="25"/>
      <c r="C18369" s="24"/>
      <c r="D18369" s="26"/>
      <c r="E18369" s="24"/>
      <c r="F18369" s="24"/>
      <c r="G18369" s="24"/>
      <c r="H18369" s="24"/>
      <c r="I18369" s="24"/>
      <c r="J18369" s="24"/>
      <c r="K18369" s="24"/>
      <c r="L18369" s="24"/>
      <c r="M18369" s="24"/>
      <c r="N18369" s="24"/>
      <c r="O18369" s="24"/>
      <c r="P18369" s="24"/>
      <c r="Q18369" s="24"/>
      <c r="R18369" s="24"/>
      <c r="S18369" s="24"/>
      <c r="T18369" s="24"/>
      <c r="U18369" s="24"/>
      <c r="V18369" s="24"/>
      <c r="W18369" s="24"/>
      <c r="X18369" s="24"/>
      <c r="Y18369" s="24"/>
      <c r="Z18369" s="24"/>
      <c r="AA18369" s="24"/>
    </row>
    <row r="18370">
      <c r="A18370" s="24"/>
      <c r="B18370" s="25"/>
      <c r="C18370" s="24"/>
      <c r="D18370" s="26"/>
      <c r="E18370" s="24"/>
      <c r="F18370" s="24"/>
      <c r="G18370" s="24"/>
      <c r="H18370" s="24"/>
      <c r="I18370" s="24"/>
      <c r="J18370" s="24"/>
      <c r="K18370" s="24"/>
      <c r="L18370" s="24"/>
      <c r="M18370" s="24"/>
      <c r="N18370" s="24"/>
      <c r="O18370" s="24"/>
      <c r="P18370" s="24"/>
      <c r="Q18370" s="24"/>
      <c r="R18370" s="24"/>
      <c r="S18370" s="24"/>
      <c r="T18370" s="24"/>
      <c r="U18370" s="24"/>
      <c r="V18370" s="24"/>
      <c r="W18370" s="24"/>
      <c r="X18370" s="24"/>
      <c r="Y18370" s="24"/>
      <c r="Z18370" s="24"/>
      <c r="AA18370" s="24"/>
    </row>
    <row r="18371">
      <c r="A18371" s="24"/>
      <c r="B18371" s="25"/>
      <c r="C18371" s="24"/>
      <c r="D18371" s="26"/>
      <c r="E18371" s="24"/>
      <c r="F18371" s="24"/>
      <c r="G18371" s="24"/>
      <c r="H18371" s="24"/>
      <c r="I18371" s="24"/>
      <c r="J18371" s="24"/>
      <c r="K18371" s="24"/>
      <c r="L18371" s="24"/>
      <c r="M18371" s="24"/>
      <c r="N18371" s="24"/>
      <c r="O18371" s="24"/>
      <c r="P18371" s="24"/>
      <c r="Q18371" s="24"/>
      <c r="R18371" s="24"/>
      <c r="S18371" s="24"/>
      <c r="T18371" s="24"/>
      <c r="U18371" s="24"/>
      <c r="V18371" s="24"/>
      <c r="W18371" s="24"/>
      <c r="X18371" s="24"/>
      <c r="Y18371" s="24"/>
      <c r="Z18371" s="24"/>
      <c r="AA18371" s="24"/>
    </row>
    <row r="18372">
      <c r="A18372" s="24"/>
      <c r="B18372" s="25"/>
      <c r="C18372" s="24"/>
      <c r="D18372" s="26"/>
      <c r="E18372" s="24"/>
      <c r="F18372" s="24"/>
      <c r="G18372" s="24"/>
      <c r="H18372" s="24"/>
      <c r="I18372" s="24"/>
      <c r="J18372" s="24"/>
      <c r="K18372" s="24"/>
      <c r="L18372" s="24"/>
      <c r="M18372" s="24"/>
      <c r="N18372" s="24"/>
      <c r="O18372" s="24"/>
      <c r="P18372" s="24"/>
      <c r="Q18372" s="24"/>
      <c r="R18372" s="24"/>
      <c r="S18372" s="24"/>
      <c r="T18372" s="24"/>
      <c r="U18372" s="24"/>
      <c r="V18372" s="24"/>
      <c r="W18372" s="24"/>
      <c r="X18372" s="24"/>
      <c r="Y18372" s="24"/>
      <c r="Z18372" s="24"/>
      <c r="AA18372" s="24"/>
    </row>
    <row r="18373">
      <c r="A18373" s="24"/>
      <c r="B18373" s="25"/>
      <c r="C18373" s="24"/>
      <c r="D18373" s="26"/>
      <c r="E18373" s="24"/>
      <c r="F18373" s="24"/>
      <c r="G18373" s="24"/>
      <c r="H18373" s="24"/>
      <c r="I18373" s="24"/>
      <c r="J18373" s="24"/>
      <c r="K18373" s="24"/>
      <c r="L18373" s="24"/>
      <c r="M18373" s="24"/>
      <c r="N18373" s="24"/>
      <c r="O18373" s="24"/>
      <c r="P18373" s="24"/>
      <c r="Q18373" s="24"/>
      <c r="R18373" s="24"/>
      <c r="S18373" s="24"/>
      <c r="T18373" s="24"/>
      <c r="U18373" s="24"/>
      <c r="V18373" s="24"/>
      <c r="W18373" s="24"/>
      <c r="X18373" s="24"/>
      <c r="Y18373" s="24"/>
      <c r="Z18373" s="24"/>
      <c r="AA18373" s="24"/>
    </row>
    <row r="18374">
      <c r="A18374" s="24"/>
      <c r="B18374" s="25"/>
      <c r="C18374" s="24"/>
      <c r="D18374" s="26"/>
      <c r="E18374" s="24"/>
      <c r="F18374" s="24"/>
      <c r="G18374" s="24"/>
      <c r="H18374" s="24"/>
      <c r="I18374" s="24"/>
      <c r="J18374" s="24"/>
      <c r="K18374" s="24"/>
      <c r="L18374" s="24"/>
      <c r="M18374" s="24"/>
      <c r="N18374" s="24"/>
      <c r="O18374" s="24"/>
      <c r="P18374" s="24"/>
      <c r="Q18374" s="24"/>
      <c r="R18374" s="24"/>
      <c r="S18374" s="24"/>
      <c r="T18374" s="24"/>
      <c r="U18374" s="24"/>
      <c r="V18374" s="24"/>
      <c r="W18374" s="24"/>
      <c r="X18374" s="24"/>
      <c r="Y18374" s="24"/>
      <c r="Z18374" s="24"/>
      <c r="AA18374" s="24"/>
    </row>
    <row r="18375">
      <c r="A18375" s="24"/>
      <c r="B18375" s="25"/>
      <c r="C18375" s="24"/>
      <c r="D18375" s="26"/>
      <c r="E18375" s="24"/>
      <c r="F18375" s="24"/>
      <c r="G18375" s="24"/>
      <c r="H18375" s="24"/>
      <c r="I18375" s="24"/>
      <c r="J18375" s="24"/>
      <c r="K18375" s="24"/>
      <c r="L18375" s="24"/>
      <c r="M18375" s="24"/>
      <c r="N18375" s="24"/>
      <c r="O18375" s="24"/>
      <c r="P18375" s="24"/>
      <c r="Q18375" s="24"/>
      <c r="R18375" s="24"/>
      <c r="S18375" s="24"/>
      <c r="T18375" s="24"/>
      <c r="U18375" s="24"/>
      <c r="V18375" s="24"/>
      <c r="W18375" s="24"/>
      <c r="X18375" s="24"/>
      <c r="Y18375" s="24"/>
      <c r="Z18375" s="24"/>
      <c r="AA18375" s="24"/>
    </row>
    <row r="18376">
      <c r="A18376" s="24"/>
      <c r="B18376" s="25"/>
      <c r="C18376" s="24"/>
      <c r="D18376" s="26"/>
      <c r="E18376" s="24"/>
      <c r="F18376" s="24"/>
      <c r="G18376" s="24"/>
      <c r="H18376" s="24"/>
      <c r="I18376" s="24"/>
      <c r="J18376" s="24"/>
      <c r="K18376" s="24"/>
      <c r="L18376" s="24"/>
      <c r="M18376" s="24"/>
      <c r="N18376" s="24"/>
      <c r="O18376" s="24"/>
      <c r="P18376" s="24"/>
      <c r="Q18376" s="24"/>
      <c r="R18376" s="24"/>
      <c r="S18376" s="24"/>
      <c r="T18376" s="24"/>
      <c r="U18376" s="24"/>
      <c r="V18376" s="24"/>
      <c r="W18376" s="24"/>
      <c r="X18376" s="24"/>
      <c r="Y18376" s="24"/>
      <c r="Z18376" s="24"/>
      <c r="AA18376" s="24"/>
    </row>
    <row r="18377">
      <c r="A18377" s="24"/>
      <c r="B18377" s="25"/>
      <c r="C18377" s="24"/>
      <c r="D18377" s="26"/>
      <c r="E18377" s="24"/>
      <c r="F18377" s="24"/>
      <c r="G18377" s="24"/>
      <c r="H18377" s="24"/>
      <c r="I18377" s="24"/>
      <c r="J18377" s="24"/>
      <c r="K18377" s="24"/>
      <c r="L18377" s="24"/>
      <c r="M18377" s="24"/>
      <c r="N18377" s="24"/>
      <c r="O18377" s="24"/>
      <c r="P18377" s="24"/>
      <c r="Q18377" s="24"/>
      <c r="R18377" s="24"/>
      <c r="S18377" s="24"/>
      <c r="T18377" s="24"/>
      <c r="U18377" s="24"/>
      <c r="V18377" s="24"/>
      <c r="W18377" s="24"/>
      <c r="X18377" s="24"/>
      <c r="Y18377" s="24"/>
      <c r="Z18377" s="24"/>
      <c r="AA18377" s="24"/>
    </row>
    <row r="18378">
      <c r="A18378" s="24"/>
      <c r="B18378" s="25"/>
      <c r="C18378" s="24"/>
      <c r="D18378" s="26"/>
      <c r="E18378" s="24"/>
      <c r="F18378" s="24"/>
      <c r="G18378" s="24"/>
      <c r="H18378" s="24"/>
      <c r="I18378" s="24"/>
      <c r="J18378" s="24"/>
      <c r="K18378" s="24"/>
      <c r="L18378" s="24"/>
      <c r="M18378" s="24"/>
      <c r="N18378" s="24"/>
      <c r="O18378" s="24"/>
      <c r="P18378" s="24"/>
      <c r="Q18378" s="24"/>
      <c r="R18378" s="24"/>
      <c r="S18378" s="24"/>
      <c r="T18378" s="24"/>
      <c r="U18378" s="24"/>
      <c r="V18378" s="24"/>
      <c r="W18378" s="24"/>
      <c r="X18378" s="24"/>
      <c r="Y18378" s="24"/>
      <c r="Z18378" s="24"/>
      <c r="AA18378" s="24"/>
    </row>
    <row r="18379">
      <c r="A18379" s="24"/>
      <c r="B18379" s="25"/>
      <c r="C18379" s="24"/>
      <c r="D18379" s="26"/>
      <c r="E18379" s="24"/>
      <c r="F18379" s="24"/>
      <c r="G18379" s="24"/>
      <c r="H18379" s="24"/>
      <c r="I18379" s="24"/>
      <c r="J18379" s="24"/>
      <c r="K18379" s="24"/>
      <c r="L18379" s="24"/>
      <c r="M18379" s="24"/>
      <c r="N18379" s="24"/>
      <c r="O18379" s="24"/>
      <c r="P18379" s="24"/>
      <c r="Q18379" s="24"/>
      <c r="R18379" s="24"/>
      <c r="S18379" s="24"/>
      <c r="T18379" s="24"/>
      <c r="U18379" s="24"/>
      <c r="V18379" s="24"/>
      <c r="W18379" s="24"/>
      <c r="X18379" s="24"/>
      <c r="Y18379" s="24"/>
      <c r="Z18379" s="24"/>
      <c r="AA18379" s="24"/>
    </row>
    <row r="18380">
      <c r="A18380" s="24"/>
      <c r="B18380" s="25"/>
      <c r="C18380" s="24"/>
      <c r="D18380" s="26"/>
      <c r="E18380" s="24"/>
      <c r="F18380" s="24"/>
      <c r="G18380" s="24"/>
      <c r="H18380" s="24"/>
      <c r="I18380" s="24"/>
      <c r="J18380" s="24"/>
      <c r="K18380" s="24"/>
      <c r="L18380" s="24"/>
      <c r="M18380" s="24"/>
      <c r="N18380" s="24"/>
      <c r="O18380" s="24"/>
      <c r="P18380" s="24"/>
      <c r="Q18380" s="24"/>
      <c r="R18380" s="24"/>
      <c r="S18380" s="24"/>
      <c r="T18380" s="24"/>
      <c r="U18380" s="24"/>
      <c r="V18380" s="24"/>
      <c r="W18380" s="24"/>
      <c r="X18380" s="24"/>
      <c r="Y18380" s="24"/>
      <c r="Z18380" s="24"/>
      <c r="AA18380" s="24"/>
    </row>
    <row r="18381">
      <c r="A18381" s="24"/>
      <c r="B18381" s="25"/>
      <c r="C18381" s="24"/>
      <c r="D18381" s="26"/>
      <c r="E18381" s="24"/>
      <c r="F18381" s="24"/>
      <c r="G18381" s="24"/>
      <c r="H18381" s="24"/>
      <c r="I18381" s="24"/>
      <c r="J18381" s="24"/>
      <c r="K18381" s="24"/>
      <c r="L18381" s="24"/>
      <c r="M18381" s="24"/>
      <c r="N18381" s="24"/>
      <c r="O18381" s="24"/>
      <c r="P18381" s="24"/>
      <c r="Q18381" s="24"/>
      <c r="R18381" s="24"/>
      <c r="S18381" s="24"/>
      <c r="T18381" s="24"/>
      <c r="U18381" s="24"/>
      <c r="V18381" s="24"/>
      <c r="W18381" s="24"/>
      <c r="X18381" s="24"/>
      <c r="Y18381" s="24"/>
      <c r="Z18381" s="24"/>
      <c r="AA18381" s="24"/>
    </row>
    <row r="18382">
      <c r="A18382" s="24"/>
      <c r="B18382" s="25"/>
      <c r="C18382" s="24"/>
      <c r="D18382" s="26"/>
      <c r="E18382" s="24"/>
      <c r="F18382" s="24"/>
      <c r="G18382" s="24"/>
      <c r="H18382" s="24"/>
      <c r="I18382" s="24"/>
      <c r="J18382" s="24"/>
      <c r="K18382" s="24"/>
      <c r="L18382" s="24"/>
      <c r="M18382" s="24"/>
      <c r="N18382" s="24"/>
      <c r="O18382" s="24"/>
      <c r="P18382" s="24"/>
      <c r="Q18382" s="24"/>
      <c r="R18382" s="24"/>
      <c r="S18382" s="24"/>
      <c r="T18382" s="24"/>
      <c r="U18382" s="24"/>
      <c r="V18382" s="24"/>
      <c r="W18382" s="24"/>
      <c r="X18382" s="24"/>
      <c r="Y18382" s="24"/>
      <c r="Z18382" s="24"/>
      <c r="AA18382" s="24"/>
    </row>
    <row r="18383">
      <c r="A18383" s="24"/>
      <c r="B18383" s="25"/>
      <c r="C18383" s="24"/>
      <c r="D18383" s="26"/>
      <c r="E18383" s="24"/>
      <c r="F18383" s="24"/>
      <c r="G18383" s="24"/>
      <c r="H18383" s="24"/>
      <c r="I18383" s="24"/>
      <c r="J18383" s="24"/>
      <c r="K18383" s="24"/>
      <c r="L18383" s="24"/>
      <c r="M18383" s="24"/>
      <c r="N18383" s="24"/>
      <c r="O18383" s="24"/>
      <c r="P18383" s="24"/>
      <c r="Q18383" s="24"/>
      <c r="R18383" s="24"/>
      <c r="S18383" s="24"/>
      <c r="T18383" s="24"/>
      <c r="U18383" s="24"/>
      <c r="V18383" s="24"/>
      <c r="W18383" s="24"/>
      <c r="X18383" s="24"/>
      <c r="Y18383" s="24"/>
      <c r="Z18383" s="24"/>
      <c r="AA18383" s="24"/>
    </row>
    <row r="18384">
      <c r="A18384" s="24"/>
      <c r="B18384" s="25"/>
      <c r="C18384" s="24"/>
      <c r="D18384" s="26"/>
      <c r="E18384" s="24"/>
      <c r="F18384" s="24"/>
      <c r="G18384" s="24"/>
      <c r="H18384" s="24"/>
      <c r="I18384" s="24"/>
      <c r="J18384" s="24"/>
      <c r="K18384" s="24"/>
      <c r="L18384" s="24"/>
      <c r="M18384" s="24"/>
      <c r="N18384" s="24"/>
      <c r="O18384" s="24"/>
      <c r="P18384" s="24"/>
      <c r="Q18384" s="24"/>
      <c r="R18384" s="24"/>
      <c r="S18384" s="24"/>
      <c r="T18384" s="24"/>
      <c r="U18384" s="24"/>
      <c r="V18384" s="24"/>
      <c r="W18384" s="24"/>
      <c r="X18384" s="24"/>
      <c r="Y18384" s="24"/>
      <c r="Z18384" s="24"/>
      <c r="AA18384" s="24"/>
    </row>
    <row r="18385">
      <c r="A18385" s="24"/>
      <c r="B18385" s="25"/>
      <c r="C18385" s="24"/>
      <c r="D18385" s="26"/>
      <c r="E18385" s="24"/>
      <c r="F18385" s="24"/>
      <c r="G18385" s="24"/>
      <c r="H18385" s="24"/>
      <c r="I18385" s="24"/>
      <c r="J18385" s="24"/>
      <c r="K18385" s="24"/>
      <c r="L18385" s="24"/>
      <c r="M18385" s="24"/>
      <c r="N18385" s="24"/>
      <c r="O18385" s="24"/>
      <c r="P18385" s="24"/>
      <c r="Q18385" s="24"/>
      <c r="R18385" s="24"/>
      <c r="S18385" s="24"/>
      <c r="T18385" s="24"/>
      <c r="U18385" s="24"/>
      <c r="V18385" s="24"/>
      <c r="W18385" s="24"/>
      <c r="X18385" s="24"/>
      <c r="Y18385" s="24"/>
      <c r="Z18385" s="24"/>
      <c r="AA18385" s="24"/>
    </row>
    <row r="18386">
      <c r="A18386" s="24"/>
      <c r="B18386" s="25"/>
      <c r="C18386" s="24"/>
      <c r="D18386" s="26"/>
      <c r="E18386" s="24"/>
      <c r="F18386" s="24"/>
      <c r="G18386" s="24"/>
      <c r="H18386" s="24"/>
      <c r="I18386" s="24"/>
      <c r="J18386" s="24"/>
      <c r="K18386" s="24"/>
      <c r="L18386" s="24"/>
      <c r="M18386" s="24"/>
      <c r="N18386" s="24"/>
      <c r="O18386" s="24"/>
      <c r="P18386" s="24"/>
      <c r="Q18386" s="24"/>
      <c r="R18386" s="24"/>
      <c r="S18386" s="24"/>
      <c r="T18386" s="24"/>
      <c r="U18386" s="24"/>
      <c r="V18386" s="24"/>
      <c r="W18386" s="24"/>
      <c r="X18386" s="24"/>
      <c r="Y18386" s="24"/>
      <c r="Z18386" s="24"/>
      <c r="AA18386" s="24"/>
    </row>
    <row r="18387">
      <c r="A18387" s="24"/>
      <c r="B18387" s="25"/>
      <c r="C18387" s="24"/>
      <c r="D18387" s="26"/>
      <c r="E18387" s="24"/>
      <c r="F18387" s="24"/>
      <c r="G18387" s="24"/>
      <c r="H18387" s="24"/>
      <c r="I18387" s="24"/>
      <c r="J18387" s="24"/>
      <c r="K18387" s="24"/>
      <c r="L18387" s="24"/>
      <c r="M18387" s="24"/>
      <c r="N18387" s="24"/>
      <c r="O18387" s="24"/>
      <c r="P18387" s="24"/>
      <c r="Q18387" s="24"/>
      <c r="R18387" s="24"/>
      <c r="S18387" s="24"/>
      <c r="T18387" s="24"/>
      <c r="U18387" s="24"/>
      <c r="V18387" s="24"/>
      <c r="W18387" s="24"/>
      <c r="X18387" s="24"/>
      <c r="Y18387" s="24"/>
      <c r="Z18387" s="24"/>
      <c r="AA18387" s="24"/>
    </row>
    <row r="18388">
      <c r="A18388" s="24"/>
      <c r="B18388" s="25"/>
      <c r="C18388" s="24"/>
      <c r="D18388" s="26"/>
      <c r="E18388" s="24"/>
      <c r="F18388" s="24"/>
      <c r="G18388" s="24"/>
      <c r="H18388" s="24"/>
      <c r="I18388" s="24"/>
      <c r="J18388" s="24"/>
      <c r="K18388" s="24"/>
      <c r="L18388" s="24"/>
      <c r="M18388" s="24"/>
      <c r="N18388" s="24"/>
      <c r="O18388" s="24"/>
      <c r="P18388" s="24"/>
      <c r="Q18388" s="24"/>
      <c r="R18388" s="24"/>
      <c r="S18388" s="24"/>
      <c r="T18388" s="24"/>
      <c r="U18388" s="24"/>
      <c r="V18388" s="24"/>
      <c r="W18388" s="24"/>
      <c r="X18388" s="24"/>
      <c r="Y18388" s="24"/>
      <c r="Z18388" s="24"/>
      <c r="AA18388" s="24"/>
    </row>
    <row r="18389">
      <c r="A18389" s="24"/>
      <c r="B18389" s="25"/>
      <c r="C18389" s="24"/>
      <c r="D18389" s="26"/>
      <c r="E18389" s="24"/>
      <c r="F18389" s="24"/>
      <c r="G18389" s="24"/>
      <c r="H18389" s="24"/>
      <c r="I18389" s="24"/>
      <c r="J18389" s="24"/>
      <c r="K18389" s="24"/>
      <c r="L18389" s="24"/>
      <c r="M18389" s="24"/>
      <c r="N18389" s="24"/>
      <c r="O18389" s="24"/>
      <c r="P18389" s="24"/>
      <c r="Q18389" s="24"/>
      <c r="R18389" s="24"/>
      <c r="S18389" s="24"/>
      <c r="T18389" s="24"/>
      <c r="U18389" s="24"/>
      <c r="V18389" s="24"/>
      <c r="W18389" s="24"/>
      <c r="X18389" s="24"/>
      <c r="Y18389" s="24"/>
      <c r="Z18389" s="24"/>
      <c r="AA18389" s="24"/>
    </row>
    <row r="18390">
      <c r="A18390" s="24"/>
      <c r="B18390" s="25"/>
      <c r="C18390" s="24"/>
      <c r="D18390" s="26"/>
      <c r="E18390" s="24"/>
      <c r="F18390" s="24"/>
      <c r="G18390" s="24"/>
      <c r="H18390" s="24"/>
      <c r="I18390" s="24"/>
      <c r="J18390" s="24"/>
      <c r="K18390" s="24"/>
      <c r="L18390" s="24"/>
      <c r="M18390" s="24"/>
      <c r="N18390" s="24"/>
      <c r="O18390" s="24"/>
      <c r="P18390" s="24"/>
      <c r="Q18390" s="24"/>
      <c r="R18390" s="24"/>
      <c r="S18390" s="24"/>
      <c r="T18390" s="24"/>
      <c r="U18390" s="24"/>
      <c r="V18390" s="24"/>
      <c r="W18390" s="24"/>
      <c r="X18390" s="24"/>
      <c r="Y18390" s="24"/>
      <c r="Z18390" s="24"/>
      <c r="AA18390" s="24"/>
    </row>
    <row r="18391">
      <c r="A18391" s="24"/>
      <c r="B18391" s="25"/>
      <c r="C18391" s="24"/>
      <c r="D18391" s="26"/>
      <c r="E18391" s="24"/>
      <c r="F18391" s="24"/>
      <c r="G18391" s="24"/>
      <c r="H18391" s="24"/>
      <c r="I18391" s="24"/>
      <c r="J18391" s="24"/>
      <c r="K18391" s="24"/>
      <c r="L18391" s="24"/>
      <c r="M18391" s="24"/>
      <c r="N18391" s="24"/>
      <c r="O18391" s="24"/>
      <c r="P18391" s="24"/>
      <c r="Q18391" s="24"/>
      <c r="R18391" s="24"/>
      <c r="S18391" s="24"/>
      <c r="T18391" s="24"/>
      <c r="U18391" s="24"/>
      <c r="V18391" s="24"/>
      <c r="W18391" s="24"/>
      <c r="X18391" s="24"/>
      <c r="Y18391" s="24"/>
      <c r="Z18391" s="24"/>
      <c r="AA18391" s="24"/>
    </row>
    <row r="18392">
      <c r="A18392" s="24"/>
      <c r="B18392" s="25"/>
      <c r="C18392" s="24"/>
      <c r="D18392" s="26"/>
      <c r="E18392" s="24"/>
      <c r="F18392" s="24"/>
      <c r="G18392" s="24"/>
      <c r="H18392" s="24"/>
      <c r="I18392" s="24"/>
      <c r="J18392" s="24"/>
      <c r="K18392" s="24"/>
      <c r="L18392" s="24"/>
      <c r="M18392" s="24"/>
      <c r="N18392" s="24"/>
      <c r="O18392" s="24"/>
      <c r="P18392" s="24"/>
      <c r="Q18392" s="24"/>
      <c r="R18392" s="24"/>
      <c r="S18392" s="24"/>
      <c r="T18392" s="24"/>
      <c r="U18392" s="24"/>
      <c r="V18392" s="24"/>
      <c r="W18392" s="24"/>
      <c r="X18392" s="24"/>
      <c r="Y18392" s="24"/>
      <c r="Z18392" s="24"/>
      <c r="AA18392" s="24"/>
    </row>
    <row r="18393">
      <c r="A18393" s="24"/>
      <c r="B18393" s="25"/>
      <c r="C18393" s="24"/>
      <c r="D18393" s="26"/>
      <c r="E18393" s="24"/>
      <c r="F18393" s="24"/>
      <c r="G18393" s="24"/>
      <c r="H18393" s="24"/>
      <c r="I18393" s="24"/>
      <c r="J18393" s="24"/>
      <c r="K18393" s="24"/>
      <c r="L18393" s="24"/>
      <c r="M18393" s="24"/>
      <c r="N18393" s="24"/>
      <c r="O18393" s="24"/>
      <c r="P18393" s="24"/>
      <c r="Q18393" s="24"/>
      <c r="R18393" s="24"/>
      <c r="S18393" s="24"/>
      <c r="T18393" s="24"/>
      <c r="U18393" s="24"/>
      <c r="V18393" s="24"/>
      <c r="W18393" s="24"/>
      <c r="X18393" s="24"/>
      <c r="Y18393" s="24"/>
      <c r="Z18393" s="24"/>
      <c r="AA18393" s="24"/>
    </row>
    <row r="18394">
      <c r="A18394" s="24"/>
      <c r="B18394" s="25"/>
      <c r="C18394" s="24"/>
      <c r="D18394" s="26"/>
      <c r="E18394" s="24"/>
      <c r="F18394" s="24"/>
      <c r="G18394" s="24"/>
      <c r="H18394" s="24"/>
      <c r="I18394" s="24"/>
      <c r="J18394" s="24"/>
      <c r="K18394" s="24"/>
      <c r="L18394" s="24"/>
      <c r="M18394" s="24"/>
      <c r="N18394" s="24"/>
      <c r="O18394" s="24"/>
      <c r="P18394" s="24"/>
      <c r="Q18394" s="24"/>
      <c r="R18394" s="24"/>
      <c r="S18394" s="24"/>
      <c r="T18394" s="24"/>
      <c r="U18394" s="24"/>
      <c r="V18394" s="24"/>
      <c r="W18394" s="24"/>
      <c r="X18394" s="24"/>
      <c r="Y18394" s="24"/>
      <c r="Z18394" s="24"/>
      <c r="AA18394" s="24"/>
    </row>
    <row r="18395">
      <c r="A18395" s="24"/>
      <c r="B18395" s="25"/>
      <c r="C18395" s="24"/>
      <c r="D18395" s="26"/>
      <c r="E18395" s="24"/>
      <c r="F18395" s="24"/>
      <c r="G18395" s="24"/>
      <c r="H18395" s="24"/>
      <c r="I18395" s="24"/>
      <c r="J18395" s="24"/>
      <c r="K18395" s="24"/>
      <c r="L18395" s="24"/>
      <c r="M18395" s="24"/>
      <c r="N18395" s="24"/>
      <c r="O18395" s="24"/>
      <c r="P18395" s="24"/>
      <c r="Q18395" s="24"/>
      <c r="R18395" s="24"/>
      <c r="S18395" s="24"/>
      <c r="T18395" s="24"/>
      <c r="U18395" s="24"/>
      <c r="V18395" s="24"/>
      <c r="W18395" s="24"/>
      <c r="X18395" s="24"/>
      <c r="Y18395" s="24"/>
      <c r="Z18395" s="24"/>
      <c r="AA18395" s="24"/>
    </row>
    <row r="18396">
      <c r="A18396" s="24"/>
      <c r="B18396" s="25"/>
      <c r="C18396" s="24"/>
      <c r="D18396" s="26"/>
      <c r="E18396" s="24"/>
      <c r="F18396" s="24"/>
      <c r="G18396" s="24"/>
      <c r="H18396" s="24"/>
      <c r="I18396" s="24"/>
      <c r="J18396" s="24"/>
      <c r="K18396" s="24"/>
      <c r="L18396" s="24"/>
      <c r="M18396" s="24"/>
      <c r="N18396" s="24"/>
      <c r="O18396" s="24"/>
      <c r="P18396" s="24"/>
      <c r="Q18396" s="24"/>
      <c r="R18396" s="24"/>
      <c r="S18396" s="24"/>
      <c r="T18396" s="24"/>
      <c r="U18396" s="24"/>
      <c r="V18396" s="24"/>
      <c r="W18396" s="24"/>
      <c r="X18396" s="24"/>
      <c r="Y18396" s="24"/>
      <c r="Z18396" s="24"/>
      <c r="AA18396" s="24"/>
    </row>
    <row r="18397">
      <c r="A18397" s="24"/>
      <c r="B18397" s="25"/>
      <c r="C18397" s="24"/>
      <c r="D18397" s="26"/>
      <c r="E18397" s="24"/>
      <c r="F18397" s="24"/>
      <c r="G18397" s="24"/>
      <c r="H18397" s="24"/>
      <c r="I18397" s="24"/>
      <c r="J18397" s="24"/>
      <c r="K18397" s="24"/>
      <c r="L18397" s="24"/>
      <c r="M18397" s="24"/>
      <c r="N18397" s="24"/>
      <c r="O18397" s="24"/>
      <c r="P18397" s="24"/>
      <c r="Q18397" s="24"/>
      <c r="R18397" s="24"/>
      <c r="S18397" s="24"/>
      <c r="T18397" s="24"/>
      <c r="U18397" s="24"/>
      <c r="V18397" s="24"/>
      <c r="W18397" s="24"/>
      <c r="X18397" s="24"/>
      <c r="Y18397" s="24"/>
      <c r="Z18397" s="24"/>
      <c r="AA18397" s="24"/>
    </row>
    <row r="18398">
      <c r="A18398" s="24"/>
      <c r="B18398" s="25"/>
      <c r="C18398" s="24"/>
      <c r="D18398" s="26"/>
      <c r="E18398" s="24"/>
      <c r="F18398" s="24"/>
      <c r="G18398" s="24"/>
      <c r="H18398" s="24"/>
      <c r="I18398" s="24"/>
      <c r="J18398" s="24"/>
      <c r="K18398" s="24"/>
      <c r="L18398" s="24"/>
      <c r="M18398" s="24"/>
      <c r="N18398" s="24"/>
      <c r="O18398" s="24"/>
      <c r="P18398" s="24"/>
      <c r="Q18398" s="24"/>
      <c r="R18398" s="24"/>
      <c r="S18398" s="24"/>
      <c r="T18398" s="24"/>
      <c r="U18398" s="24"/>
      <c r="V18398" s="24"/>
      <c r="W18398" s="24"/>
      <c r="X18398" s="24"/>
      <c r="Y18398" s="24"/>
      <c r="Z18398" s="24"/>
      <c r="AA18398" s="24"/>
    </row>
    <row r="18399">
      <c r="A18399" s="24"/>
      <c r="B18399" s="25"/>
      <c r="C18399" s="24"/>
      <c r="D18399" s="26"/>
      <c r="E18399" s="24"/>
      <c r="F18399" s="24"/>
      <c r="G18399" s="24"/>
      <c r="H18399" s="24"/>
      <c r="I18399" s="24"/>
      <c r="J18399" s="24"/>
      <c r="K18399" s="24"/>
      <c r="L18399" s="24"/>
      <c r="M18399" s="24"/>
      <c r="N18399" s="24"/>
      <c r="O18399" s="24"/>
      <c r="P18399" s="24"/>
      <c r="Q18399" s="24"/>
      <c r="R18399" s="24"/>
      <c r="S18399" s="24"/>
      <c r="T18399" s="24"/>
      <c r="U18399" s="24"/>
      <c r="V18399" s="24"/>
      <c r="W18399" s="24"/>
      <c r="X18399" s="24"/>
      <c r="Y18399" s="24"/>
      <c r="Z18399" s="24"/>
      <c r="AA18399" s="24"/>
    </row>
    <row r="18400">
      <c r="A18400" s="24"/>
      <c r="B18400" s="25"/>
      <c r="C18400" s="24"/>
      <c r="D18400" s="26"/>
      <c r="E18400" s="24"/>
      <c r="F18400" s="24"/>
      <c r="G18400" s="24"/>
      <c r="H18400" s="24"/>
      <c r="I18400" s="24"/>
      <c r="J18400" s="24"/>
      <c r="K18400" s="24"/>
      <c r="L18400" s="24"/>
      <c r="M18400" s="24"/>
      <c r="N18400" s="24"/>
      <c r="O18400" s="24"/>
      <c r="P18400" s="24"/>
      <c r="Q18400" s="24"/>
      <c r="R18400" s="24"/>
      <c r="S18400" s="24"/>
      <c r="T18400" s="24"/>
      <c r="U18400" s="24"/>
      <c r="V18400" s="24"/>
      <c r="W18400" s="24"/>
      <c r="X18400" s="24"/>
      <c r="Y18400" s="24"/>
      <c r="Z18400" s="24"/>
      <c r="AA18400" s="24"/>
    </row>
    <row r="18401">
      <c r="A18401" s="24"/>
      <c r="B18401" s="25"/>
      <c r="C18401" s="24"/>
      <c r="D18401" s="26"/>
      <c r="E18401" s="24"/>
      <c r="F18401" s="24"/>
      <c r="G18401" s="24"/>
      <c r="H18401" s="24"/>
      <c r="I18401" s="24"/>
      <c r="J18401" s="24"/>
      <c r="K18401" s="24"/>
      <c r="L18401" s="24"/>
      <c r="M18401" s="24"/>
      <c r="N18401" s="24"/>
      <c r="O18401" s="24"/>
      <c r="P18401" s="24"/>
      <c r="Q18401" s="24"/>
      <c r="R18401" s="24"/>
      <c r="S18401" s="24"/>
      <c r="T18401" s="24"/>
      <c r="U18401" s="24"/>
      <c r="V18401" s="24"/>
      <c r="W18401" s="24"/>
      <c r="X18401" s="24"/>
      <c r="Y18401" s="24"/>
      <c r="Z18401" s="24"/>
      <c r="AA18401" s="24"/>
    </row>
    <row r="18402">
      <c r="A18402" s="24"/>
      <c r="B18402" s="25"/>
      <c r="C18402" s="24"/>
      <c r="D18402" s="26"/>
      <c r="E18402" s="24"/>
      <c r="F18402" s="24"/>
      <c r="G18402" s="24"/>
      <c r="H18402" s="24"/>
      <c r="I18402" s="24"/>
      <c r="J18402" s="24"/>
      <c r="K18402" s="24"/>
      <c r="L18402" s="24"/>
      <c r="M18402" s="24"/>
      <c r="N18402" s="24"/>
      <c r="O18402" s="24"/>
      <c r="P18402" s="24"/>
      <c r="Q18402" s="24"/>
      <c r="R18402" s="24"/>
      <c r="S18402" s="24"/>
      <c r="T18402" s="24"/>
      <c r="U18402" s="24"/>
      <c r="V18402" s="24"/>
      <c r="W18402" s="24"/>
      <c r="X18402" s="24"/>
      <c r="Y18402" s="24"/>
      <c r="Z18402" s="24"/>
      <c r="AA18402" s="24"/>
    </row>
    <row r="18403">
      <c r="A18403" s="24"/>
      <c r="B18403" s="25"/>
      <c r="C18403" s="24"/>
      <c r="D18403" s="26"/>
      <c r="E18403" s="24"/>
      <c r="F18403" s="24"/>
      <c r="G18403" s="24"/>
      <c r="H18403" s="24"/>
      <c r="I18403" s="24"/>
      <c r="J18403" s="24"/>
      <c r="K18403" s="24"/>
      <c r="L18403" s="24"/>
      <c r="M18403" s="24"/>
      <c r="N18403" s="24"/>
      <c r="O18403" s="24"/>
      <c r="P18403" s="24"/>
      <c r="Q18403" s="24"/>
      <c r="R18403" s="24"/>
      <c r="S18403" s="24"/>
      <c r="T18403" s="24"/>
      <c r="U18403" s="24"/>
      <c r="V18403" s="24"/>
      <c r="W18403" s="24"/>
      <c r="X18403" s="24"/>
      <c r="Y18403" s="24"/>
      <c r="Z18403" s="24"/>
      <c r="AA18403" s="24"/>
    </row>
    <row r="18404">
      <c r="A18404" s="24"/>
      <c r="B18404" s="25"/>
      <c r="C18404" s="24"/>
      <c r="D18404" s="26"/>
      <c r="E18404" s="24"/>
      <c r="F18404" s="24"/>
      <c r="G18404" s="24"/>
      <c r="H18404" s="24"/>
      <c r="I18404" s="24"/>
      <c r="J18404" s="24"/>
      <c r="K18404" s="24"/>
      <c r="L18404" s="24"/>
      <c r="M18404" s="24"/>
      <c r="N18404" s="24"/>
      <c r="O18404" s="24"/>
      <c r="P18404" s="24"/>
      <c r="Q18404" s="24"/>
      <c r="R18404" s="24"/>
      <c r="S18404" s="24"/>
      <c r="T18404" s="24"/>
      <c r="U18404" s="24"/>
      <c r="V18404" s="24"/>
      <c r="W18404" s="24"/>
      <c r="X18404" s="24"/>
      <c r="Y18404" s="24"/>
      <c r="Z18404" s="24"/>
      <c r="AA18404" s="24"/>
    </row>
    <row r="18405">
      <c r="A18405" s="24"/>
      <c r="B18405" s="25"/>
      <c r="C18405" s="24"/>
      <c r="D18405" s="26"/>
      <c r="E18405" s="24"/>
      <c r="F18405" s="24"/>
      <c r="G18405" s="24"/>
      <c r="H18405" s="24"/>
      <c r="I18405" s="24"/>
      <c r="J18405" s="24"/>
      <c r="K18405" s="24"/>
      <c r="L18405" s="24"/>
      <c r="M18405" s="24"/>
      <c r="N18405" s="24"/>
      <c r="O18405" s="24"/>
      <c r="P18405" s="24"/>
      <c r="Q18405" s="24"/>
      <c r="R18405" s="24"/>
      <c r="S18405" s="24"/>
      <c r="T18405" s="24"/>
      <c r="U18405" s="24"/>
      <c r="V18405" s="24"/>
      <c r="W18405" s="24"/>
      <c r="X18405" s="24"/>
      <c r="Y18405" s="24"/>
      <c r="Z18405" s="24"/>
      <c r="AA18405" s="24"/>
    </row>
    <row r="18406">
      <c r="A18406" s="24"/>
      <c r="B18406" s="25"/>
      <c r="C18406" s="24"/>
      <c r="D18406" s="26"/>
      <c r="E18406" s="24"/>
      <c r="F18406" s="24"/>
      <c r="G18406" s="24"/>
      <c r="H18406" s="24"/>
      <c r="I18406" s="24"/>
      <c r="J18406" s="24"/>
      <c r="K18406" s="24"/>
      <c r="L18406" s="24"/>
      <c r="M18406" s="24"/>
      <c r="N18406" s="24"/>
      <c r="O18406" s="24"/>
      <c r="P18406" s="24"/>
      <c r="Q18406" s="24"/>
      <c r="R18406" s="24"/>
      <c r="S18406" s="24"/>
      <c r="T18406" s="24"/>
      <c r="U18406" s="24"/>
      <c r="V18406" s="24"/>
      <c r="W18406" s="24"/>
      <c r="X18406" s="24"/>
      <c r="Y18406" s="24"/>
      <c r="Z18406" s="24"/>
      <c r="AA18406" s="24"/>
    </row>
    <row r="18407">
      <c r="A18407" s="24"/>
      <c r="B18407" s="25"/>
      <c r="C18407" s="24"/>
      <c r="D18407" s="26"/>
      <c r="E18407" s="24"/>
      <c r="F18407" s="24"/>
      <c r="G18407" s="24"/>
      <c r="H18407" s="24"/>
      <c r="I18407" s="24"/>
      <c r="J18407" s="24"/>
      <c r="K18407" s="24"/>
      <c r="L18407" s="24"/>
      <c r="M18407" s="24"/>
      <c r="N18407" s="24"/>
      <c r="O18407" s="24"/>
      <c r="P18407" s="24"/>
      <c r="Q18407" s="24"/>
      <c r="R18407" s="24"/>
      <c r="S18407" s="24"/>
      <c r="T18407" s="24"/>
      <c r="U18407" s="24"/>
      <c r="V18407" s="24"/>
      <c r="W18407" s="24"/>
      <c r="X18407" s="24"/>
      <c r="Y18407" s="24"/>
      <c r="Z18407" s="24"/>
      <c r="AA18407" s="24"/>
    </row>
    <row r="18408">
      <c r="A18408" s="24"/>
      <c r="B18408" s="25"/>
      <c r="C18408" s="24"/>
      <c r="D18408" s="26"/>
      <c r="E18408" s="24"/>
      <c r="F18408" s="24"/>
      <c r="G18408" s="24"/>
      <c r="H18408" s="24"/>
      <c r="I18408" s="24"/>
      <c r="J18408" s="24"/>
      <c r="K18408" s="24"/>
      <c r="L18408" s="24"/>
      <c r="M18408" s="24"/>
      <c r="N18408" s="24"/>
      <c r="O18408" s="24"/>
      <c r="P18408" s="24"/>
      <c r="Q18408" s="24"/>
      <c r="R18408" s="24"/>
      <c r="S18408" s="24"/>
      <c r="T18408" s="24"/>
      <c r="U18408" s="24"/>
      <c r="V18408" s="24"/>
      <c r="W18408" s="24"/>
      <c r="X18408" s="24"/>
      <c r="Y18408" s="24"/>
      <c r="Z18408" s="24"/>
      <c r="AA18408" s="24"/>
    </row>
    <row r="18409">
      <c r="A18409" s="24"/>
      <c r="B18409" s="25"/>
      <c r="C18409" s="24"/>
      <c r="D18409" s="26"/>
      <c r="E18409" s="24"/>
      <c r="F18409" s="24"/>
      <c r="G18409" s="24"/>
      <c r="H18409" s="24"/>
      <c r="I18409" s="24"/>
      <c r="J18409" s="24"/>
      <c r="K18409" s="24"/>
      <c r="L18409" s="24"/>
      <c r="M18409" s="24"/>
      <c r="N18409" s="24"/>
      <c r="O18409" s="24"/>
      <c r="P18409" s="24"/>
      <c r="Q18409" s="24"/>
      <c r="R18409" s="24"/>
      <c r="S18409" s="24"/>
      <c r="T18409" s="24"/>
      <c r="U18409" s="24"/>
      <c r="V18409" s="24"/>
      <c r="W18409" s="24"/>
      <c r="X18409" s="24"/>
      <c r="Y18409" s="24"/>
      <c r="Z18409" s="24"/>
      <c r="AA18409" s="24"/>
    </row>
    <row r="18410">
      <c r="A18410" s="24"/>
      <c r="B18410" s="25"/>
      <c r="C18410" s="24"/>
      <c r="D18410" s="26"/>
      <c r="E18410" s="24"/>
      <c r="F18410" s="24"/>
      <c r="G18410" s="24"/>
      <c r="H18410" s="24"/>
      <c r="I18410" s="24"/>
      <c r="J18410" s="24"/>
      <c r="K18410" s="24"/>
      <c r="L18410" s="24"/>
      <c r="M18410" s="24"/>
      <c r="N18410" s="24"/>
      <c r="O18410" s="24"/>
      <c r="P18410" s="24"/>
      <c r="Q18410" s="24"/>
      <c r="R18410" s="24"/>
      <c r="S18410" s="24"/>
      <c r="T18410" s="24"/>
      <c r="U18410" s="24"/>
      <c r="V18410" s="24"/>
      <c r="W18410" s="24"/>
      <c r="X18410" s="24"/>
      <c r="Y18410" s="24"/>
      <c r="Z18410" s="24"/>
      <c r="AA18410" s="24"/>
    </row>
    <row r="18411">
      <c r="A18411" s="24"/>
      <c r="B18411" s="25"/>
      <c r="C18411" s="24"/>
      <c r="D18411" s="26"/>
      <c r="E18411" s="24"/>
      <c r="F18411" s="24"/>
      <c r="G18411" s="24"/>
      <c r="H18411" s="24"/>
      <c r="I18411" s="24"/>
      <c r="J18411" s="24"/>
      <c r="K18411" s="24"/>
      <c r="L18411" s="24"/>
      <c r="M18411" s="24"/>
      <c r="N18411" s="24"/>
      <c r="O18411" s="24"/>
      <c r="P18411" s="24"/>
      <c r="Q18411" s="24"/>
      <c r="R18411" s="24"/>
      <c r="S18411" s="24"/>
      <c r="T18411" s="24"/>
      <c r="U18411" s="24"/>
      <c r="V18411" s="24"/>
      <c r="W18411" s="24"/>
      <c r="X18411" s="24"/>
      <c r="Y18411" s="24"/>
      <c r="Z18411" s="24"/>
      <c r="AA18411" s="24"/>
    </row>
    <row r="18412">
      <c r="A18412" s="24"/>
      <c r="B18412" s="25"/>
      <c r="C18412" s="24"/>
      <c r="D18412" s="26"/>
      <c r="E18412" s="24"/>
      <c r="F18412" s="24"/>
      <c r="G18412" s="24"/>
      <c r="H18412" s="24"/>
      <c r="I18412" s="24"/>
      <c r="J18412" s="24"/>
      <c r="K18412" s="24"/>
      <c r="L18412" s="24"/>
      <c r="M18412" s="24"/>
      <c r="N18412" s="24"/>
      <c r="O18412" s="24"/>
      <c r="P18412" s="24"/>
      <c r="Q18412" s="24"/>
      <c r="R18412" s="24"/>
      <c r="S18412" s="24"/>
      <c r="T18412" s="24"/>
      <c r="U18412" s="24"/>
      <c r="V18412" s="24"/>
      <c r="W18412" s="24"/>
      <c r="X18412" s="24"/>
      <c r="Y18412" s="24"/>
      <c r="Z18412" s="24"/>
      <c r="AA18412" s="24"/>
    </row>
    <row r="18413">
      <c r="A18413" s="24"/>
      <c r="B18413" s="25"/>
      <c r="C18413" s="24"/>
      <c r="D18413" s="26"/>
      <c r="E18413" s="24"/>
      <c r="F18413" s="24"/>
      <c r="G18413" s="24"/>
      <c r="H18413" s="24"/>
      <c r="I18413" s="24"/>
      <c r="J18413" s="24"/>
      <c r="K18413" s="24"/>
      <c r="L18413" s="24"/>
      <c r="M18413" s="24"/>
      <c r="N18413" s="24"/>
      <c r="O18413" s="24"/>
      <c r="P18413" s="24"/>
      <c r="Q18413" s="24"/>
      <c r="R18413" s="24"/>
      <c r="S18413" s="24"/>
      <c r="T18413" s="24"/>
      <c r="U18413" s="24"/>
      <c r="V18413" s="24"/>
      <c r="W18413" s="24"/>
      <c r="X18413" s="24"/>
      <c r="Y18413" s="24"/>
      <c r="Z18413" s="24"/>
      <c r="AA18413" s="24"/>
    </row>
    <row r="18414">
      <c r="A18414" s="24"/>
      <c r="B18414" s="25"/>
      <c r="C18414" s="24"/>
      <c r="D18414" s="26"/>
      <c r="E18414" s="24"/>
      <c r="F18414" s="24"/>
      <c r="G18414" s="24"/>
      <c r="H18414" s="24"/>
      <c r="I18414" s="24"/>
      <c r="J18414" s="24"/>
      <c r="K18414" s="24"/>
      <c r="L18414" s="24"/>
      <c r="M18414" s="24"/>
      <c r="N18414" s="24"/>
      <c r="O18414" s="24"/>
      <c r="P18414" s="24"/>
      <c r="Q18414" s="24"/>
      <c r="R18414" s="24"/>
      <c r="S18414" s="24"/>
      <c r="T18414" s="24"/>
      <c r="U18414" s="24"/>
      <c r="V18414" s="24"/>
      <c r="W18414" s="24"/>
      <c r="X18414" s="24"/>
      <c r="Y18414" s="24"/>
      <c r="Z18414" s="24"/>
      <c r="AA18414" s="24"/>
    </row>
    <row r="18415">
      <c r="A18415" s="24"/>
      <c r="B18415" s="25"/>
      <c r="C18415" s="24"/>
      <c r="D18415" s="26"/>
      <c r="E18415" s="24"/>
      <c r="F18415" s="24"/>
      <c r="G18415" s="24"/>
      <c r="H18415" s="24"/>
      <c r="I18415" s="24"/>
      <c r="J18415" s="24"/>
      <c r="K18415" s="24"/>
      <c r="L18415" s="24"/>
      <c r="M18415" s="24"/>
      <c r="N18415" s="24"/>
      <c r="O18415" s="24"/>
      <c r="P18415" s="24"/>
      <c r="Q18415" s="24"/>
      <c r="R18415" s="24"/>
      <c r="S18415" s="24"/>
      <c r="T18415" s="24"/>
      <c r="U18415" s="24"/>
      <c r="V18415" s="24"/>
      <c r="W18415" s="24"/>
      <c r="X18415" s="24"/>
      <c r="Y18415" s="24"/>
      <c r="Z18415" s="24"/>
      <c r="AA18415" s="24"/>
    </row>
    <row r="18416">
      <c r="A18416" s="24"/>
      <c r="B18416" s="25"/>
      <c r="C18416" s="24"/>
      <c r="D18416" s="26"/>
      <c r="E18416" s="24"/>
      <c r="F18416" s="24"/>
      <c r="G18416" s="24"/>
      <c r="H18416" s="24"/>
      <c r="I18416" s="24"/>
      <c r="J18416" s="24"/>
      <c r="K18416" s="24"/>
      <c r="L18416" s="24"/>
      <c r="M18416" s="24"/>
      <c r="N18416" s="24"/>
      <c r="O18416" s="24"/>
      <c r="P18416" s="24"/>
      <c r="Q18416" s="24"/>
      <c r="R18416" s="24"/>
      <c r="S18416" s="24"/>
      <c r="T18416" s="24"/>
      <c r="U18416" s="24"/>
      <c r="V18416" s="24"/>
      <c r="W18416" s="24"/>
      <c r="X18416" s="24"/>
      <c r="Y18416" s="24"/>
      <c r="Z18416" s="24"/>
      <c r="AA18416" s="24"/>
    </row>
    <row r="18417">
      <c r="A18417" s="24"/>
      <c r="B18417" s="25"/>
      <c r="C18417" s="24"/>
      <c r="D18417" s="26"/>
      <c r="E18417" s="24"/>
      <c r="F18417" s="24"/>
      <c r="G18417" s="24"/>
      <c r="H18417" s="24"/>
      <c r="I18417" s="24"/>
      <c r="J18417" s="24"/>
      <c r="K18417" s="24"/>
      <c r="L18417" s="24"/>
      <c r="M18417" s="24"/>
      <c r="N18417" s="24"/>
      <c r="O18417" s="24"/>
      <c r="P18417" s="24"/>
      <c r="Q18417" s="24"/>
      <c r="R18417" s="24"/>
      <c r="S18417" s="24"/>
      <c r="T18417" s="24"/>
      <c r="U18417" s="24"/>
      <c r="V18417" s="24"/>
      <c r="W18417" s="24"/>
      <c r="X18417" s="24"/>
      <c r="Y18417" s="24"/>
      <c r="Z18417" s="24"/>
      <c r="AA18417" s="24"/>
    </row>
    <row r="18418">
      <c r="A18418" s="24"/>
      <c r="B18418" s="25"/>
      <c r="C18418" s="24"/>
      <c r="D18418" s="26"/>
      <c r="E18418" s="24"/>
      <c r="F18418" s="24"/>
      <c r="G18418" s="24"/>
      <c r="H18418" s="24"/>
      <c r="I18418" s="24"/>
      <c r="J18418" s="24"/>
      <c r="K18418" s="24"/>
      <c r="L18418" s="24"/>
      <c r="M18418" s="24"/>
      <c r="N18418" s="24"/>
      <c r="O18418" s="24"/>
      <c r="P18418" s="24"/>
      <c r="Q18418" s="24"/>
      <c r="R18418" s="24"/>
      <c r="S18418" s="24"/>
      <c r="T18418" s="24"/>
      <c r="U18418" s="24"/>
      <c r="V18418" s="24"/>
      <c r="W18418" s="24"/>
      <c r="X18418" s="24"/>
      <c r="Y18418" s="24"/>
      <c r="Z18418" s="24"/>
      <c r="AA18418" s="24"/>
    </row>
    <row r="18419">
      <c r="A18419" s="24"/>
      <c r="B18419" s="25"/>
      <c r="C18419" s="24"/>
      <c r="D18419" s="26"/>
      <c r="E18419" s="24"/>
      <c r="F18419" s="24"/>
      <c r="G18419" s="24"/>
      <c r="H18419" s="24"/>
      <c r="I18419" s="24"/>
      <c r="J18419" s="24"/>
      <c r="K18419" s="24"/>
      <c r="L18419" s="24"/>
      <c r="M18419" s="24"/>
      <c r="N18419" s="24"/>
      <c r="O18419" s="24"/>
      <c r="P18419" s="24"/>
      <c r="Q18419" s="24"/>
      <c r="R18419" s="24"/>
      <c r="S18419" s="24"/>
      <c r="T18419" s="24"/>
      <c r="U18419" s="24"/>
      <c r="V18419" s="24"/>
      <c r="W18419" s="24"/>
      <c r="X18419" s="24"/>
      <c r="Y18419" s="24"/>
      <c r="Z18419" s="24"/>
      <c r="AA18419" s="24"/>
    </row>
    <row r="18420">
      <c r="A18420" s="24"/>
      <c r="B18420" s="25"/>
      <c r="C18420" s="24"/>
      <c r="D18420" s="26"/>
      <c r="E18420" s="24"/>
      <c r="F18420" s="24"/>
      <c r="G18420" s="24"/>
      <c r="H18420" s="24"/>
      <c r="I18420" s="24"/>
      <c r="J18420" s="24"/>
      <c r="K18420" s="24"/>
      <c r="L18420" s="24"/>
      <c r="M18420" s="24"/>
      <c r="N18420" s="24"/>
      <c r="O18420" s="24"/>
      <c r="P18420" s="24"/>
      <c r="Q18420" s="24"/>
      <c r="R18420" s="24"/>
      <c r="S18420" s="24"/>
      <c r="T18420" s="24"/>
      <c r="U18420" s="24"/>
      <c r="V18420" s="24"/>
      <c r="W18420" s="24"/>
      <c r="X18420" s="24"/>
      <c r="Y18420" s="24"/>
      <c r="Z18420" s="24"/>
      <c r="AA18420" s="24"/>
    </row>
    <row r="18421">
      <c r="A18421" s="24"/>
      <c r="B18421" s="25"/>
      <c r="C18421" s="24"/>
      <c r="D18421" s="26"/>
      <c r="E18421" s="24"/>
      <c r="F18421" s="24"/>
      <c r="G18421" s="24"/>
      <c r="H18421" s="24"/>
      <c r="I18421" s="24"/>
      <c r="J18421" s="24"/>
      <c r="K18421" s="24"/>
      <c r="L18421" s="24"/>
      <c r="M18421" s="24"/>
      <c r="N18421" s="24"/>
      <c r="O18421" s="24"/>
      <c r="P18421" s="24"/>
      <c r="Q18421" s="24"/>
      <c r="R18421" s="24"/>
      <c r="S18421" s="24"/>
      <c r="T18421" s="24"/>
      <c r="U18421" s="24"/>
      <c r="V18421" s="24"/>
      <c r="W18421" s="24"/>
      <c r="X18421" s="24"/>
      <c r="Y18421" s="24"/>
      <c r="Z18421" s="24"/>
      <c r="AA18421" s="24"/>
    </row>
    <row r="18422">
      <c r="A18422" s="24"/>
      <c r="B18422" s="25"/>
      <c r="C18422" s="24"/>
      <c r="D18422" s="26"/>
      <c r="E18422" s="24"/>
      <c r="F18422" s="24"/>
      <c r="G18422" s="24"/>
      <c r="H18422" s="24"/>
      <c r="I18422" s="24"/>
      <c r="J18422" s="24"/>
      <c r="K18422" s="24"/>
      <c r="L18422" s="24"/>
      <c r="M18422" s="24"/>
      <c r="N18422" s="24"/>
      <c r="O18422" s="24"/>
      <c r="P18422" s="24"/>
      <c r="Q18422" s="24"/>
      <c r="R18422" s="24"/>
      <c r="S18422" s="24"/>
      <c r="T18422" s="24"/>
      <c r="U18422" s="24"/>
      <c r="V18422" s="24"/>
      <c r="W18422" s="24"/>
      <c r="X18422" s="24"/>
      <c r="Y18422" s="24"/>
      <c r="Z18422" s="24"/>
      <c r="AA18422" s="24"/>
    </row>
    <row r="18423">
      <c r="A18423" s="24"/>
      <c r="B18423" s="25"/>
      <c r="C18423" s="24"/>
      <c r="D18423" s="26"/>
      <c r="E18423" s="24"/>
      <c r="F18423" s="24"/>
      <c r="G18423" s="24"/>
      <c r="H18423" s="24"/>
      <c r="I18423" s="24"/>
      <c r="J18423" s="24"/>
      <c r="K18423" s="24"/>
      <c r="L18423" s="24"/>
      <c r="M18423" s="24"/>
      <c r="N18423" s="24"/>
      <c r="O18423" s="24"/>
      <c r="P18423" s="24"/>
      <c r="Q18423" s="24"/>
      <c r="R18423" s="24"/>
      <c r="S18423" s="24"/>
      <c r="T18423" s="24"/>
      <c r="U18423" s="24"/>
      <c r="V18423" s="24"/>
      <c r="W18423" s="24"/>
      <c r="X18423" s="24"/>
      <c r="Y18423" s="24"/>
      <c r="Z18423" s="24"/>
      <c r="AA18423" s="24"/>
    </row>
    <row r="18424">
      <c r="A18424" s="24"/>
      <c r="B18424" s="25"/>
      <c r="C18424" s="24"/>
      <c r="D18424" s="26"/>
      <c r="E18424" s="24"/>
      <c r="F18424" s="24"/>
      <c r="G18424" s="24"/>
      <c r="H18424" s="24"/>
      <c r="I18424" s="24"/>
      <c r="J18424" s="24"/>
      <c r="K18424" s="24"/>
      <c r="L18424" s="24"/>
      <c r="M18424" s="24"/>
      <c r="N18424" s="24"/>
      <c r="O18424" s="24"/>
      <c r="P18424" s="24"/>
      <c r="Q18424" s="24"/>
      <c r="R18424" s="24"/>
      <c r="S18424" s="24"/>
      <c r="T18424" s="24"/>
      <c r="U18424" s="24"/>
      <c r="V18424" s="24"/>
      <c r="W18424" s="24"/>
      <c r="X18424" s="24"/>
      <c r="Y18424" s="24"/>
      <c r="Z18424" s="24"/>
      <c r="AA18424" s="24"/>
    </row>
    <row r="18425">
      <c r="A18425" s="24"/>
      <c r="B18425" s="25"/>
      <c r="C18425" s="24"/>
      <c r="D18425" s="26"/>
      <c r="E18425" s="24"/>
      <c r="F18425" s="24"/>
      <c r="G18425" s="24"/>
      <c r="H18425" s="24"/>
      <c r="I18425" s="24"/>
      <c r="J18425" s="24"/>
      <c r="K18425" s="24"/>
      <c r="L18425" s="24"/>
      <c r="M18425" s="24"/>
      <c r="N18425" s="24"/>
      <c r="O18425" s="24"/>
      <c r="P18425" s="24"/>
      <c r="Q18425" s="24"/>
      <c r="R18425" s="24"/>
      <c r="S18425" s="24"/>
      <c r="T18425" s="24"/>
      <c r="U18425" s="24"/>
      <c r="V18425" s="24"/>
      <c r="W18425" s="24"/>
      <c r="X18425" s="24"/>
      <c r="Y18425" s="24"/>
      <c r="Z18425" s="24"/>
      <c r="AA18425" s="24"/>
    </row>
    <row r="18426">
      <c r="A18426" s="24"/>
      <c r="B18426" s="25"/>
      <c r="C18426" s="24"/>
      <c r="D18426" s="26"/>
      <c r="E18426" s="24"/>
      <c r="F18426" s="24"/>
      <c r="G18426" s="24"/>
      <c r="H18426" s="24"/>
      <c r="I18426" s="24"/>
      <c r="J18426" s="24"/>
      <c r="K18426" s="24"/>
      <c r="L18426" s="24"/>
      <c r="M18426" s="24"/>
      <c r="N18426" s="24"/>
      <c r="O18426" s="24"/>
      <c r="P18426" s="24"/>
      <c r="Q18426" s="24"/>
      <c r="R18426" s="24"/>
      <c r="S18426" s="24"/>
      <c r="T18426" s="24"/>
      <c r="U18426" s="24"/>
      <c r="V18426" s="24"/>
      <c r="W18426" s="24"/>
      <c r="X18426" s="24"/>
      <c r="Y18426" s="24"/>
      <c r="Z18426" s="24"/>
      <c r="AA18426" s="24"/>
    </row>
    <row r="18427">
      <c r="A18427" s="24"/>
      <c r="B18427" s="25"/>
      <c r="C18427" s="24"/>
      <c r="D18427" s="26"/>
      <c r="E18427" s="24"/>
      <c r="F18427" s="24"/>
      <c r="G18427" s="24"/>
      <c r="H18427" s="24"/>
      <c r="I18427" s="24"/>
      <c r="J18427" s="24"/>
      <c r="K18427" s="24"/>
      <c r="L18427" s="24"/>
      <c r="M18427" s="24"/>
      <c r="N18427" s="24"/>
      <c r="O18427" s="24"/>
      <c r="P18427" s="24"/>
      <c r="Q18427" s="24"/>
      <c r="R18427" s="24"/>
      <c r="S18427" s="24"/>
      <c r="T18427" s="24"/>
      <c r="U18427" s="24"/>
      <c r="V18427" s="24"/>
      <c r="W18427" s="24"/>
      <c r="X18427" s="24"/>
      <c r="Y18427" s="24"/>
      <c r="Z18427" s="24"/>
      <c r="AA18427" s="24"/>
    </row>
    <row r="18428">
      <c r="A18428" s="24"/>
      <c r="B18428" s="25"/>
      <c r="C18428" s="24"/>
      <c r="D18428" s="26"/>
      <c r="E18428" s="24"/>
      <c r="F18428" s="24"/>
      <c r="G18428" s="24"/>
      <c r="H18428" s="24"/>
      <c r="I18428" s="24"/>
      <c r="J18428" s="24"/>
      <c r="K18428" s="24"/>
      <c r="L18428" s="24"/>
      <c r="M18428" s="24"/>
      <c r="N18428" s="24"/>
      <c r="O18428" s="24"/>
      <c r="P18428" s="24"/>
      <c r="Q18428" s="24"/>
      <c r="R18428" s="24"/>
      <c r="S18428" s="24"/>
      <c r="T18428" s="24"/>
      <c r="U18428" s="24"/>
      <c r="V18428" s="24"/>
      <c r="W18428" s="24"/>
      <c r="X18428" s="24"/>
      <c r="Y18428" s="24"/>
      <c r="Z18428" s="24"/>
      <c r="AA18428" s="24"/>
    </row>
    <row r="18429">
      <c r="A18429" s="24"/>
      <c r="B18429" s="25"/>
      <c r="C18429" s="24"/>
      <c r="D18429" s="26"/>
      <c r="E18429" s="24"/>
      <c r="F18429" s="24"/>
      <c r="G18429" s="24"/>
      <c r="H18429" s="24"/>
      <c r="I18429" s="24"/>
      <c r="J18429" s="24"/>
      <c r="K18429" s="24"/>
      <c r="L18429" s="24"/>
      <c r="M18429" s="24"/>
      <c r="N18429" s="24"/>
      <c r="O18429" s="24"/>
      <c r="P18429" s="24"/>
      <c r="Q18429" s="24"/>
      <c r="R18429" s="24"/>
      <c r="S18429" s="24"/>
      <c r="T18429" s="24"/>
      <c r="U18429" s="24"/>
      <c r="V18429" s="24"/>
      <c r="W18429" s="24"/>
      <c r="X18429" s="24"/>
      <c r="Y18429" s="24"/>
      <c r="Z18429" s="24"/>
      <c r="AA18429" s="24"/>
    </row>
    <row r="18430">
      <c r="A18430" s="24"/>
      <c r="B18430" s="25"/>
      <c r="C18430" s="24"/>
      <c r="D18430" s="26"/>
      <c r="E18430" s="24"/>
      <c r="F18430" s="24"/>
      <c r="G18430" s="24"/>
      <c r="H18430" s="24"/>
      <c r="I18430" s="24"/>
      <c r="J18430" s="24"/>
      <c r="K18430" s="24"/>
      <c r="L18430" s="24"/>
      <c r="M18430" s="24"/>
      <c r="N18430" s="24"/>
      <c r="O18430" s="24"/>
      <c r="P18430" s="24"/>
      <c r="Q18430" s="24"/>
      <c r="R18430" s="24"/>
      <c r="S18430" s="24"/>
      <c r="T18430" s="24"/>
      <c r="U18430" s="24"/>
      <c r="V18430" s="24"/>
      <c r="W18430" s="24"/>
      <c r="X18430" s="24"/>
      <c r="Y18430" s="24"/>
      <c r="Z18430" s="24"/>
      <c r="AA18430" s="24"/>
    </row>
    <row r="18431">
      <c r="A18431" s="24"/>
      <c r="B18431" s="25"/>
      <c r="C18431" s="24"/>
      <c r="D18431" s="26"/>
      <c r="E18431" s="24"/>
      <c r="F18431" s="24"/>
      <c r="G18431" s="24"/>
      <c r="H18431" s="24"/>
      <c r="I18431" s="24"/>
      <c r="J18431" s="24"/>
      <c r="K18431" s="24"/>
      <c r="L18431" s="24"/>
      <c r="M18431" s="24"/>
      <c r="N18431" s="24"/>
      <c r="O18431" s="24"/>
      <c r="P18431" s="24"/>
      <c r="Q18431" s="24"/>
      <c r="R18431" s="24"/>
      <c r="S18431" s="24"/>
      <c r="T18431" s="24"/>
      <c r="U18431" s="24"/>
      <c r="V18431" s="24"/>
      <c r="W18431" s="24"/>
      <c r="X18431" s="24"/>
      <c r="Y18431" s="24"/>
      <c r="Z18431" s="24"/>
      <c r="AA18431" s="24"/>
    </row>
    <row r="18432">
      <c r="A18432" s="24"/>
      <c r="B18432" s="25"/>
      <c r="C18432" s="24"/>
      <c r="D18432" s="26"/>
      <c r="E18432" s="24"/>
      <c r="F18432" s="24"/>
      <c r="G18432" s="24"/>
      <c r="H18432" s="24"/>
      <c r="I18432" s="24"/>
      <c r="J18432" s="24"/>
      <c r="K18432" s="24"/>
      <c r="L18432" s="24"/>
      <c r="M18432" s="24"/>
      <c r="N18432" s="24"/>
      <c r="O18432" s="24"/>
      <c r="P18432" s="24"/>
      <c r="Q18432" s="24"/>
      <c r="R18432" s="24"/>
      <c r="S18432" s="24"/>
      <c r="T18432" s="24"/>
      <c r="U18432" s="24"/>
      <c r="V18432" s="24"/>
      <c r="W18432" s="24"/>
      <c r="X18432" s="24"/>
      <c r="Y18432" s="24"/>
      <c r="Z18432" s="24"/>
      <c r="AA18432" s="24"/>
    </row>
    <row r="18433">
      <c r="A18433" s="24"/>
      <c r="B18433" s="25"/>
      <c r="C18433" s="24"/>
      <c r="D18433" s="26"/>
      <c r="E18433" s="24"/>
      <c r="F18433" s="24"/>
      <c r="G18433" s="24"/>
      <c r="H18433" s="24"/>
      <c r="I18433" s="24"/>
      <c r="J18433" s="24"/>
      <c r="K18433" s="24"/>
      <c r="L18433" s="24"/>
      <c r="M18433" s="24"/>
      <c r="N18433" s="24"/>
      <c r="O18433" s="24"/>
      <c r="P18433" s="24"/>
      <c r="Q18433" s="24"/>
      <c r="R18433" s="24"/>
      <c r="S18433" s="24"/>
      <c r="T18433" s="24"/>
      <c r="U18433" s="24"/>
      <c r="V18433" s="24"/>
      <c r="W18433" s="24"/>
      <c r="X18433" s="24"/>
      <c r="Y18433" s="24"/>
      <c r="Z18433" s="24"/>
      <c r="AA18433" s="24"/>
    </row>
    <row r="18434">
      <c r="A18434" s="24"/>
      <c r="B18434" s="25"/>
      <c r="C18434" s="24"/>
      <c r="D18434" s="26"/>
      <c r="E18434" s="24"/>
      <c r="F18434" s="24"/>
      <c r="G18434" s="24"/>
      <c r="H18434" s="24"/>
      <c r="I18434" s="24"/>
      <c r="J18434" s="24"/>
      <c r="K18434" s="24"/>
      <c r="L18434" s="24"/>
      <c r="M18434" s="24"/>
      <c r="N18434" s="24"/>
      <c r="O18434" s="24"/>
      <c r="P18434" s="24"/>
      <c r="Q18434" s="24"/>
      <c r="R18434" s="24"/>
      <c r="S18434" s="24"/>
      <c r="T18434" s="24"/>
      <c r="U18434" s="24"/>
      <c r="V18434" s="24"/>
      <c r="W18434" s="24"/>
      <c r="X18434" s="24"/>
      <c r="Y18434" s="24"/>
      <c r="Z18434" s="24"/>
      <c r="AA18434" s="24"/>
    </row>
    <row r="18435">
      <c r="A18435" s="24"/>
      <c r="B18435" s="25"/>
      <c r="C18435" s="24"/>
      <c r="D18435" s="26"/>
      <c r="E18435" s="24"/>
      <c r="F18435" s="24"/>
      <c r="G18435" s="24"/>
      <c r="H18435" s="24"/>
      <c r="I18435" s="24"/>
      <c r="J18435" s="24"/>
      <c r="K18435" s="24"/>
      <c r="L18435" s="24"/>
      <c r="M18435" s="24"/>
      <c r="N18435" s="24"/>
      <c r="O18435" s="24"/>
      <c r="P18435" s="24"/>
      <c r="Q18435" s="24"/>
      <c r="R18435" s="24"/>
      <c r="S18435" s="24"/>
      <c r="T18435" s="24"/>
      <c r="U18435" s="24"/>
      <c r="V18435" s="24"/>
      <c r="W18435" s="24"/>
      <c r="X18435" s="24"/>
      <c r="Y18435" s="24"/>
      <c r="Z18435" s="24"/>
      <c r="AA18435" s="24"/>
    </row>
    <row r="18436">
      <c r="A18436" s="24"/>
      <c r="B18436" s="25"/>
      <c r="C18436" s="24"/>
      <c r="D18436" s="26"/>
      <c r="E18436" s="24"/>
      <c r="F18436" s="24"/>
      <c r="G18436" s="24"/>
      <c r="H18436" s="24"/>
      <c r="I18436" s="24"/>
      <c r="J18436" s="24"/>
      <c r="K18436" s="24"/>
      <c r="L18436" s="24"/>
      <c r="M18436" s="24"/>
      <c r="N18436" s="24"/>
      <c r="O18436" s="24"/>
      <c r="P18436" s="24"/>
      <c r="Q18436" s="24"/>
      <c r="R18436" s="24"/>
      <c r="S18436" s="24"/>
      <c r="T18436" s="24"/>
      <c r="U18436" s="24"/>
      <c r="V18436" s="24"/>
      <c r="W18436" s="24"/>
      <c r="X18436" s="24"/>
      <c r="Y18436" s="24"/>
      <c r="Z18436" s="24"/>
      <c r="AA18436" s="24"/>
    </row>
    <row r="18437">
      <c r="A18437" s="24"/>
      <c r="B18437" s="25"/>
      <c r="C18437" s="24"/>
      <c r="D18437" s="26"/>
      <c r="E18437" s="24"/>
      <c r="F18437" s="24"/>
      <c r="G18437" s="24"/>
      <c r="H18437" s="24"/>
      <c r="I18437" s="24"/>
      <c r="J18437" s="24"/>
      <c r="K18437" s="24"/>
      <c r="L18437" s="24"/>
      <c r="M18437" s="24"/>
      <c r="N18437" s="24"/>
      <c r="O18437" s="24"/>
      <c r="P18437" s="24"/>
      <c r="Q18437" s="24"/>
      <c r="R18437" s="24"/>
      <c r="S18437" s="24"/>
      <c r="T18437" s="24"/>
      <c r="U18437" s="24"/>
      <c r="V18437" s="24"/>
      <c r="W18437" s="24"/>
      <c r="X18437" s="24"/>
      <c r="Y18437" s="24"/>
      <c r="Z18437" s="24"/>
      <c r="AA18437" s="24"/>
    </row>
    <row r="18438">
      <c r="A18438" s="24"/>
      <c r="B18438" s="25"/>
      <c r="C18438" s="24"/>
      <c r="D18438" s="26"/>
      <c r="E18438" s="24"/>
      <c r="F18438" s="24"/>
      <c r="G18438" s="24"/>
      <c r="H18438" s="24"/>
      <c r="I18438" s="24"/>
      <c r="J18438" s="24"/>
      <c r="K18438" s="24"/>
      <c r="L18438" s="24"/>
      <c r="M18438" s="24"/>
      <c r="N18438" s="24"/>
      <c r="O18438" s="24"/>
      <c r="P18438" s="24"/>
      <c r="Q18438" s="24"/>
      <c r="R18438" s="24"/>
      <c r="S18438" s="24"/>
      <c r="T18438" s="24"/>
      <c r="U18438" s="24"/>
      <c r="V18438" s="24"/>
      <c r="W18438" s="24"/>
      <c r="X18438" s="24"/>
      <c r="Y18438" s="24"/>
      <c r="Z18438" s="24"/>
      <c r="AA18438" s="24"/>
    </row>
    <row r="18439">
      <c r="A18439" s="24"/>
      <c r="B18439" s="25"/>
      <c r="C18439" s="24"/>
      <c r="D18439" s="26"/>
      <c r="E18439" s="24"/>
      <c r="F18439" s="24"/>
      <c r="G18439" s="24"/>
      <c r="H18439" s="24"/>
      <c r="I18439" s="24"/>
      <c r="J18439" s="24"/>
      <c r="K18439" s="24"/>
      <c r="L18439" s="24"/>
      <c r="M18439" s="24"/>
      <c r="N18439" s="24"/>
      <c r="O18439" s="24"/>
      <c r="P18439" s="24"/>
      <c r="Q18439" s="24"/>
      <c r="R18439" s="24"/>
      <c r="S18439" s="24"/>
      <c r="T18439" s="24"/>
      <c r="U18439" s="24"/>
      <c r="V18439" s="24"/>
      <c r="W18439" s="24"/>
      <c r="X18439" s="24"/>
      <c r="Y18439" s="24"/>
      <c r="Z18439" s="24"/>
      <c r="AA18439" s="24"/>
    </row>
    <row r="18440">
      <c r="A18440" s="24"/>
      <c r="B18440" s="25"/>
      <c r="C18440" s="24"/>
      <c r="D18440" s="26"/>
      <c r="E18440" s="24"/>
      <c r="F18440" s="24"/>
      <c r="G18440" s="24"/>
      <c r="H18440" s="24"/>
      <c r="I18440" s="24"/>
      <c r="J18440" s="24"/>
      <c r="K18440" s="24"/>
      <c r="L18440" s="24"/>
      <c r="M18440" s="24"/>
      <c r="N18440" s="24"/>
      <c r="O18440" s="24"/>
      <c r="P18440" s="24"/>
      <c r="Q18440" s="24"/>
      <c r="R18440" s="24"/>
      <c r="S18440" s="24"/>
      <c r="T18440" s="24"/>
      <c r="U18440" s="24"/>
      <c r="V18440" s="24"/>
      <c r="W18440" s="24"/>
      <c r="X18440" s="24"/>
      <c r="Y18440" s="24"/>
      <c r="Z18440" s="24"/>
      <c r="AA18440" s="24"/>
    </row>
    <row r="18441">
      <c r="A18441" s="24"/>
      <c r="B18441" s="25"/>
      <c r="C18441" s="24"/>
      <c r="D18441" s="26"/>
      <c r="E18441" s="24"/>
      <c r="F18441" s="24"/>
      <c r="G18441" s="24"/>
      <c r="H18441" s="24"/>
      <c r="I18441" s="24"/>
      <c r="J18441" s="24"/>
      <c r="K18441" s="24"/>
      <c r="L18441" s="24"/>
      <c r="M18441" s="24"/>
      <c r="N18441" s="24"/>
      <c r="O18441" s="24"/>
      <c r="P18441" s="24"/>
      <c r="Q18441" s="24"/>
      <c r="R18441" s="24"/>
      <c r="S18441" s="24"/>
      <c r="T18441" s="24"/>
      <c r="U18441" s="24"/>
      <c r="V18441" s="24"/>
      <c r="W18441" s="24"/>
      <c r="X18441" s="24"/>
      <c r="Y18441" s="24"/>
      <c r="Z18441" s="24"/>
      <c r="AA18441" s="24"/>
    </row>
    <row r="18442">
      <c r="A18442" s="24"/>
      <c r="B18442" s="25"/>
      <c r="C18442" s="24"/>
      <c r="D18442" s="26"/>
      <c r="E18442" s="24"/>
      <c r="F18442" s="24"/>
      <c r="G18442" s="24"/>
      <c r="H18442" s="24"/>
      <c r="I18442" s="24"/>
      <c r="J18442" s="24"/>
      <c r="K18442" s="24"/>
      <c r="L18442" s="24"/>
      <c r="M18442" s="24"/>
      <c r="N18442" s="24"/>
      <c r="O18442" s="24"/>
      <c r="P18442" s="24"/>
      <c r="Q18442" s="24"/>
      <c r="R18442" s="24"/>
      <c r="S18442" s="24"/>
      <c r="T18442" s="24"/>
      <c r="U18442" s="24"/>
      <c r="V18442" s="24"/>
      <c r="W18442" s="24"/>
      <c r="X18442" s="24"/>
      <c r="Y18442" s="24"/>
      <c r="Z18442" s="24"/>
      <c r="AA18442" s="24"/>
    </row>
    <row r="18443">
      <c r="A18443" s="24"/>
      <c r="B18443" s="25"/>
      <c r="C18443" s="24"/>
      <c r="D18443" s="26"/>
      <c r="E18443" s="24"/>
      <c r="F18443" s="24"/>
      <c r="G18443" s="24"/>
      <c r="H18443" s="24"/>
      <c r="I18443" s="24"/>
      <c r="J18443" s="24"/>
      <c r="K18443" s="24"/>
      <c r="L18443" s="24"/>
      <c r="M18443" s="24"/>
      <c r="N18443" s="24"/>
      <c r="O18443" s="24"/>
      <c r="P18443" s="24"/>
      <c r="Q18443" s="24"/>
      <c r="R18443" s="24"/>
      <c r="S18443" s="24"/>
      <c r="T18443" s="24"/>
      <c r="U18443" s="24"/>
      <c r="V18443" s="24"/>
      <c r="W18443" s="24"/>
      <c r="X18443" s="24"/>
      <c r="Y18443" s="24"/>
      <c r="Z18443" s="24"/>
      <c r="AA18443" s="24"/>
    </row>
    <row r="18444">
      <c r="A18444" s="24"/>
      <c r="B18444" s="25"/>
      <c r="C18444" s="24"/>
      <c r="D18444" s="26"/>
      <c r="E18444" s="24"/>
      <c r="F18444" s="24"/>
      <c r="G18444" s="24"/>
      <c r="H18444" s="24"/>
      <c r="I18444" s="24"/>
      <c r="J18444" s="24"/>
      <c r="K18444" s="24"/>
      <c r="L18444" s="24"/>
      <c r="M18444" s="24"/>
      <c r="N18444" s="24"/>
      <c r="O18444" s="24"/>
      <c r="P18444" s="24"/>
      <c r="Q18444" s="24"/>
      <c r="R18444" s="24"/>
      <c r="S18444" s="24"/>
      <c r="T18444" s="24"/>
      <c r="U18444" s="24"/>
      <c r="V18444" s="24"/>
      <c r="W18444" s="24"/>
      <c r="X18444" s="24"/>
      <c r="Y18444" s="24"/>
      <c r="Z18444" s="24"/>
      <c r="AA18444" s="24"/>
    </row>
    <row r="18445">
      <c r="A18445" s="24"/>
      <c r="B18445" s="25"/>
      <c r="C18445" s="24"/>
      <c r="D18445" s="26"/>
      <c r="E18445" s="24"/>
      <c r="F18445" s="24"/>
      <c r="G18445" s="24"/>
      <c r="H18445" s="24"/>
      <c r="I18445" s="24"/>
      <c r="J18445" s="24"/>
      <c r="K18445" s="24"/>
      <c r="L18445" s="24"/>
      <c r="M18445" s="24"/>
      <c r="N18445" s="24"/>
      <c r="O18445" s="24"/>
      <c r="P18445" s="24"/>
      <c r="Q18445" s="24"/>
      <c r="R18445" s="24"/>
      <c r="S18445" s="24"/>
      <c r="T18445" s="24"/>
      <c r="U18445" s="24"/>
      <c r="V18445" s="24"/>
      <c r="W18445" s="24"/>
      <c r="X18445" s="24"/>
      <c r="Y18445" s="24"/>
      <c r="Z18445" s="24"/>
      <c r="AA18445" s="24"/>
    </row>
    <row r="18446">
      <c r="A18446" s="24"/>
      <c r="B18446" s="25"/>
      <c r="C18446" s="24"/>
      <c r="D18446" s="26"/>
      <c r="E18446" s="24"/>
      <c r="F18446" s="24"/>
      <c r="G18446" s="24"/>
      <c r="H18446" s="24"/>
      <c r="I18446" s="24"/>
      <c r="J18446" s="24"/>
      <c r="K18446" s="24"/>
      <c r="L18446" s="24"/>
      <c r="M18446" s="24"/>
      <c r="N18446" s="24"/>
      <c r="O18446" s="24"/>
      <c r="P18446" s="24"/>
      <c r="Q18446" s="24"/>
      <c r="R18446" s="24"/>
      <c r="S18446" s="24"/>
      <c r="T18446" s="24"/>
      <c r="U18446" s="24"/>
      <c r="V18446" s="24"/>
      <c r="W18446" s="24"/>
      <c r="X18446" s="24"/>
      <c r="Y18446" s="24"/>
      <c r="Z18446" s="24"/>
      <c r="AA18446" s="24"/>
    </row>
    <row r="18447">
      <c r="A18447" s="24"/>
      <c r="B18447" s="25"/>
      <c r="C18447" s="24"/>
      <c r="D18447" s="26"/>
      <c r="E18447" s="24"/>
      <c r="F18447" s="24"/>
      <c r="G18447" s="24"/>
      <c r="H18447" s="24"/>
      <c r="I18447" s="24"/>
      <c r="J18447" s="24"/>
      <c r="K18447" s="24"/>
      <c r="L18447" s="24"/>
      <c r="M18447" s="24"/>
      <c r="N18447" s="24"/>
      <c r="O18447" s="24"/>
      <c r="P18447" s="24"/>
      <c r="Q18447" s="24"/>
      <c r="R18447" s="24"/>
      <c r="S18447" s="24"/>
      <c r="T18447" s="24"/>
      <c r="U18447" s="24"/>
      <c r="V18447" s="24"/>
      <c r="W18447" s="24"/>
      <c r="X18447" s="24"/>
      <c r="Y18447" s="24"/>
      <c r="Z18447" s="24"/>
      <c r="AA18447" s="24"/>
    </row>
    <row r="18448">
      <c r="A18448" s="24"/>
      <c r="B18448" s="25"/>
      <c r="C18448" s="24"/>
      <c r="D18448" s="26"/>
      <c r="E18448" s="24"/>
      <c r="F18448" s="24"/>
      <c r="G18448" s="24"/>
      <c r="H18448" s="24"/>
      <c r="I18448" s="24"/>
      <c r="J18448" s="24"/>
      <c r="K18448" s="24"/>
      <c r="L18448" s="24"/>
      <c r="M18448" s="24"/>
      <c r="N18448" s="24"/>
      <c r="O18448" s="24"/>
      <c r="P18448" s="24"/>
      <c r="Q18448" s="24"/>
      <c r="R18448" s="24"/>
      <c r="S18448" s="24"/>
      <c r="T18448" s="24"/>
      <c r="U18448" s="24"/>
      <c r="V18448" s="24"/>
      <c r="W18448" s="24"/>
      <c r="X18448" s="24"/>
      <c r="Y18448" s="24"/>
      <c r="Z18448" s="24"/>
      <c r="AA18448" s="24"/>
    </row>
    <row r="18449">
      <c r="A18449" s="24"/>
      <c r="B18449" s="25"/>
      <c r="C18449" s="24"/>
      <c r="D18449" s="26"/>
      <c r="E18449" s="24"/>
      <c r="F18449" s="24"/>
      <c r="G18449" s="24"/>
      <c r="H18449" s="24"/>
      <c r="I18449" s="24"/>
      <c r="J18449" s="24"/>
      <c r="K18449" s="24"/>
      <c r="L18449" s="24"/>
      <c r="M18449" s="24"/>
      <c r="N18449" s="24"/>
      <c r="O18449" s="24"/>
      <c r="P18449" s="24"/>
      <c r="Q18449" s="24"/>
      <c r="R18449" s="24"/>
      <c r="S18449" s="24"/>
      <c r="T18449" s="24"/>
      <c r="U18449" s="24"/>
      <c r="V18449" s="24"/>
      <c r="W18449" s="24"/>
      <c r="X18449" s="24"/>
      <c r="Y18449" s="24"/>
      <c r="Z18449" s="24"/>
      <c r="AA18449" s="24"/>
    </row>
    <row r="18450">
      <c r="A18450" s="24"/>
      <c r="B18450" s="25"/>
      <c r="C18450" s="24"/>
      <c r="D18450" s="26"/>
      <c r="E18450" s="24"/>
      <c r="F18450" s="24"/>
      <c r="G18450" s="24"/>
      <c r="H18450" s="24"/>
      <c r="I18450" s="24"/>
      <c r="J18450" s="24"/>
      <c r="K18450" s="24"/>
      <c r="L18450" s="24"/>
      <c r="M18450" s="24"/>
      <c r="N18450" s="24"/>
      <c r="O18450" s="24"/>
      <c r="P18450" s="24"/>
      <c r="Q18450" s="24"/>
      <c r="R18450" s="24"/>
      <c r="S18450" s="24"/>
      <c r="T18450" s="24"/>
      <c r="U18450" s="24"/>
      <c r="V18450" s="24"/>
      <c r="W18450" s="24"/>
      <c r="X18450" s="24"/>
      <c r="Y18450" s="24"/>
      <c r="Z18450" s="24"/>
      <c r="AA18450" s="24"/>
    </row>
    <row r="18451">
      <c r="A18451" s="24"/>
      <c r="B18451" s="25"/>
      <c r="C18451" s="24"/>
      <c r="D18451" s="26"/>
      <c r="E18451" s="24"/>
      <c r="F18451" s="24"/>
      <c r="G18451" s="24"/>
      <c r="H18451" s="24"/>
      <c r="I18451" s="24"/>
      <c r="J18451" s="24"/>
      <c r="K18451" s="24"/>
      <c r="L18451" s="24"/>
      <c r="M18451" s="24"/>
      <c r="N18451" s="24"/>
      <c r="O18451" s="24"/>
      <c r="P18451" s="24"/>
      <c r="Q18451" s="24"/>
      <c r="R18451" s="24"/>
      <c r="S18451" s="24"/>
      <c r="T18451" s="24"/>
      <c r="U18451" s="24"/>
      <c r="V18451" s="24"/>
      <c r="W18451" s="24"/>
      <c r="X18451" s="24"/>
      <c r="Y18451" s="24"/>
      <c r="Z18451" s="24"/>
      <c r="AA18451" s="24"/>
    </row>
    <row r="18452">
      <c r="A18452" s="24"/>
      <c r="B18452" s="25"/>
      <c r="C18452" s="24"/>
      <c r="D18452" s="26"/>
      <c r="E18452" s="24"/>
      <c r="F18452" s="24"/>
      <c r="G18452" s="24"/>
      <c r="H18452" s="24"/>
      <c r="I18452" s="24"/>
      <c r="J18452" s="24"/>
      <c r="K18452" s="24"/>
      <c r="L18452" s="24"/>
      <c r="M18452" s="24"/>
      <c r="N18452" s="24"/>
      <c r="O18452" s="24"/>
      <c r="P18452" s="24"/>
      <c r="Q18452" s="24"/>
      <c r="R18452" s="24"/>
      <c r="S18452" s="24"/>
      <c r="T18452" s="24"/>
      <c r="U18452" s="24"/>
      <c r="V18452" s="24"/>
      <c r="W18452" s="24"/>
      <c r="X18452" s="24"/>
      <c r="Y18452" s="24"/>
      <c r="Z18452" s="24"/>
      <c r="AA18452" s="24"/>
    </row>
    <row r="18453">
      <c r="A18453" s="24"/>
      <c r="B18453" s="25"/>
      <c r="C18453" s="24"/>
      <c r="D18453" s="26"/>
      <c r="E18453" s="24"/>
      <c r="F18453" s="24"/>
      <c r="G18453" s="24"/>
      <c r="H18453" s="24"/>
      <c r="I18453" s="24"/>
      <c r="J18453" s="24"/>
      <c r="K18453" s="24"/>
      <c r="L18453" s="24"/>
      <c r="M18453" s="24"/>
      <c r="N18453" s="24"/>
      <c r="O18453" s="24"/>
      <c r="P18453" s="24"/>
      <c r="Q18453" s="24"/>
      <c r="R18453" s="24"/>
      <c r="S18453" s="24"/>
      <c r="T18453" s="24"/>
      <c r="U18453" s="24"/>
      <c r="V18453" s="24"/>
      <c r="W18453" s="24"/>
      <c r="X18453" s="24"/>
      <c r="Y18453" s="24"/>
      <c r="Z18453" s="24"/>
      <c r="AA18453" s="24"/>
    </row>
    <row r="18454">
      <c r="A18454" s="24"/>
      <c r="B18454" s="25"/>
      <c r="C18454" s="24"/>
      <c r="D18454" s="26"/>
      <c r="E18454" s="24"/>
      <c r="F18454" s="24"/>
      <c r="G18454" s="24"/>
      <c r="H18454" s="24"/>
      <c r="I18454" s="24"/>
      <c r="J18454" s="24"/>
      <c r="K18454" s="24"/>
      <c r="L18454" s="24"/>
      <c r="M18454" s="24"/>
      <c r="N18454" s="24"/>
      <c r="O18454" s="24"/>
      <c r="P18454" s="24"/>
      <c r="Q18454" s="24"/>
      <c r="R18454" s="24"/>
      <c r="S18454" s="24"/>
      <c r="T18454" s="24"/>
      <c r="U18454" s="24"/>
      <c r="V18454" s="24"/>
      <c r="W18454" s="24"/>
      <c r="X18454" s="24"/>
      <c r="Y18454" s="24"/>
      <c r="Z18454" s="24"/>
      <c r="AA18454" s="24"/>
    </row>
    <row r="18455">
      <c r="A18455" s="24"/>
      <c r="B18455" s="25"/>
      <c r="C18455" s="24"/>
      <c r="D18455" s="26"/>
      <c r="E18455" s="24"/>
      <c r="F18455" s="24"/>
      <c r="G18455" s="24"/>
      <c r="H18455" s="24"/>
      <c r="I18455" s="24"/>
      <c r="J18455" s="24"/>
      <c r="K18455" s="24"/>
      <c r="L18455" s="24"/>
      <c r="M18455" s="24"/>
      <c r="N18455" s="24"/>
      <c r="O18455" s="24"/>
      <c r="P18455" s="24"/>
      <c r="Q18455" s="24"/>
      <c r="R18455" s="24"/>
      <c r="S18455" s="24"/>
      <c r="T18455" s="24"/>
      <c r="U18455" s="24"/>
      <c r="V18455" s="24"/>
      <c r="W18455" s="24"/>
      <c r="X18455" s="24"/>
      <c r="Y18455" s="24"/>
      <c r="Z18455" s="24"/>
      <c r="AA18455" s="24"/>
    </row>
    <row r="18456">
      <c r="A18456" s="24"/>
      <c r="B18456" s="25"/>
      <c r="C18456" s="24"/>
      <c r="D18456" s="26"/>
      <c r="E18456" s="24"/>
      <c r="F18456" s="24"/>
      <c r="G18456" s="24"/>
      <c r="H18456" s="24"/>
      <c r="I18456" s="24"/>
      <c r="J18456" s="24"/>
      <c r="K18456" s="24"/>
      <c r="L18456" s="24"/>
      <c r="M18456" s="24"/>
      <c r="N18456" s="24"/>
      <c r="O18456" s="24"/>
      <c r="P18456" s="24"/>
      <c r="Q18456" s="24"/>
      <c r="R18456" s="24"/>
      <c r="S18456" s="24"/>
      <c r="T18456" s="24"/>
      <c r="U18456" s="24"/>
      <c r="V18456" s="24"/>
      <c r="W18456" s="24"/>
      <c r="X18456" s="24"/>
      <c r="Y18456" s="24"/>
      <c r="Z18456" s="24"/>
      <c r="AA18456" s="24"/>
    </row>
    <row r="18457">
      <c r="A18457" s="24"/>
      <c r="B18457" s="25"/>
      <c r="C18457" s="24"/>
      <c r="D18457" s="26"/>
      <c r="E18457" s="24"/>
      <c r="F18457" s="24"/>
      <c r="G18457" s="24"/>
      <c r="H18457" s="24"/>
      <c r="I18457" s="24"/>
      <c r="J18457" s="24"/>
      <c r="K18457" s="24"/>
      <c r="L18457" s="24"/>
      <c r="M18457" s="24"/>
      <c r="N18457" s="24"/>
      <c r="O18457" s="24"/>
      <c r="P18457" s="24"/>
      <c r="Q18457" s="24"/>
      <c r="R18457" s="24"/>
      <c r="S18457" s="24"/>
      <c r="T18457" s="24"/>
      <c r="U18457" s="24"/>
      <c r="V18457" s="24"/>
      <c r="W18457" s="24"/>
      <c r="X18457" s="24"/>
      <c r="Y18457" s="24"/>
      <c r="Z18457" s="24"/>
      <c r="AA18457" s="24"/>
    </row>
    <row r="18458">
      <c r="A18458" s="24"/>
      <c r="B18458" s="25"/>
      <c r="C18458" s="24"/>
      <c r="D18458" s="26"/>
      <c r="E18458" s="24"/>
      <c r="F18458" s="24"/>
      <c r="G18458" s="24"/>
      <c r="H18458" s="24"/>
      <c r="I18458" s="24"/>
      <c r="J18458" s="24"/>
      <c r="K18458" s="24"/>
      <c r="L18458" s="24"/>
      <c r="M18458" s="24"/>
      <c r="N18458" s="24"/>
      <c r="O18458" s="24"/>
      <c r="P18458" s="24"/>
      <c r="Q18458" s="24"/>
      <c r="R18458" s="24"/>
      <c r="S18458" s="24"/>
      <c r="T18458" s="24"/>
      <c r="U18458" s="24"/>
      <c r="V18458" s="24"/>
      <c r="W18458" s="24"/>
      <c r="X18458" s="24"/>
      <c r="Y18458" s="24"/>
      <c r="Z18458" s="24"/>
      <c r="AA18458" s="24"/>
    </row>
    <row r="18459">
      <c r="A18459" s="24"/>
      <c r="B18459" s="25"/>
      <c r="C18459" s="24"/>
      <c r="D18459" s="26"/>
      <c r="E18459" s="24"/>
      <c r="F18459" s="24"/>
      <c r="G18459" s="24"/>
      <c r="H18459" s="24"/>
      <c r="I18459" s="24"/>
      <c r="J18459" s="24"/>
      <c r="K18459" s="24"/>
      <c r="L18459" s="24"/>
      <c r="M18459" s="24"/>
      <c r="N18459" s="24"/>
      <c r="O18459" s="24"/>
      <c r="P18459" s="24"/>
      <c r="Q18459" s="24"/>
      <c r="R18459" s="24"/>
      <c r="S18459" s="24"/>
      <c r="T18459" s="24"/>
      <c r="U18459" s="24"/>
      <c r="V18459" s="24"/>
      <c r="W18459" s="24"/>
      <c r="X18459" s="24"/>
      <c r="Y18459" s="24"/>
      <c r="Z18459" s="24"/>
      <c r="AA18459" s="24"/>
    </row>
    <row r="18460">
      <c r="A18460" s="24"/>
      <c r="B18460" s="25"/>
      <c r="C18460" s="24"/>
      <c r="D18460" s="26"/>
      <c r="E18460" s="24"/>
      <c r="F18460" s="24"/>
      <c r="G18460" s="24"/>
      <c r="H18460" s="24"/>
      <c r="I18460" s="24"/>
      <c r="J18460" s="24"/>
      <c r="K18460" s="24"/>
      <c r="L18460" s="24"/>
      <c r="M18460" s="24"/>
      <c r="N18460" s="24"/>
      <c r="O18460" s="24"/>
      <c r="P18460" s="24"/>
      <c r="Q18460" s="24"/>
      <c r="R18460" s="24"/>
      <c r="S18460" s="24"/>
      <c r="T18460" s="24"/>
      <c r="U18460" s="24"/>
      <c r="V18460" s="24"/>
      <c r="W18460" s="24"/>
      <c r="X18460" s="24"/>
      <c r="Y18460" s="24"/>
      <c r="Z18460" s="24"/>
      <c r="AA18460" s="24"/>
    </row>
    <row r="18461">
      <c r="A18461" s="24"/>
      <c r="B18461" s="25"/>
      <c r="C18461" s="24"/>
      <c r="D18461" s="26"/>
      <c r="E18461" s="24"/>
      <c r="F18461" s="24"/>
      <c r="G18461" s="24"/>
      <c r="H18461" s="24"/>
      <c r="I18461" s="24"/>
      <c r="J18461" s="24"/>
      <c r="K18461" s="24"/>
      <c r="L18461" s="24"/>
      <c r="M18461" s="24"/>
      <c r="N18461" s="24"/>
      <c r="O18461" s="24"/>
      <c r="P18461" s="24"/>
      <c r="Q18461" s="24"/>
      <c r="R18461" s="24"/>
      <c r="S18461" s="24"/>
      <c r="T18461" s="24"/>
      <c r="U18461" s="24"/>
      <c r="V18461" s="24"/>
      <c r="W18461" s="24"/>
      <c r="X18461" s="24"/>
      <c r="Y18461" s="24"/>
      <c r="Z18461" s="24"/>
      <c r="AA18461" s="24"/>
    </row>
    <row r="18462">
      <c r="A18462" s="24"/>
      <c r="B18462" s="25"/>
      <c r="C18462" s="24"/>
      <c r="D18462" s="26"/>
      <c r="E18462" s="24"/>
      <c r="F18462" s="24"/>
      <c r="G18462" s="24"/>
      <c r="H18462" s="24"/>
      <c r="I18462" s="24"/>
      <c r="J18462" s="24"/>
      <c r="K18462" s="24"/>
      <c r="L18462" s="24"/>
      <c r="M18462" s="24"/>
      <c r="N18462" s="24"/>
      <c r="O18462" s="24"/>
      <c r="P18462" s="24"/>
      <c r="Q18462" s="24"/>
      <c r="R18462" s="24"/>
      <c r="S18462" s="24"/>
      <c r="T18462" s="24"/>
      <c r="U18462" s="24"/>
      <c r="V18462" s="24"/>
      <c r="W18462" s="24"/>
      <c r="X18462" s="24"/>
      <c r="Y18462" s="24"/>
      <c r="Z18462" s="24"/>
      <c r="AA18462" s="24"/>
    </row>
    <row r="18463">
      <c r="A18463" s="24"/>
      <c r="B18463" s="25"/>
      <c r="C18463" s="24"/>
      <c r="D18463" s="26"/>
      <c r="E18463" s="24"/>
      <c r="F18463" s="24"/>
      <c r="G18463" s="24"/>
      <c r="H18463" s="24"/>
      <c r="I18463" s="24"/>
      <c r="J18463" s="24"/>
      <c r="K18463" s="24"/>
      <c r="L18463" s="24"/>
      <c r="M18463" s="24"/>
      <c r="N18463" s="24"/>
      <c r="O18463" s="24"/>
      <c r="P18463" s="24"/>
      <c r="Q18463" s="24"/>
      <c r="R18463" s="24"/>
      <c r="S18463" s="24"/>
      <c r="T18463" s="24"/>
      <c r="U18463" s="24"/>
      <c r="V18463" s="24"/>
      <c r="W18463" s="24"/>
      <c r="X18463" s="24"/>
      <c r="Y18463" s="24"/>
      <c r="Z18463" s="24"/>
      <c r="AA18463" s="24"/>
    </row>
    <row r="18464">
      <c r="A18464" s="24"/>
      <c r="B18464" s="25"/>
      <c r="C18464" s="24"/>
      <c r="D18464" s="26"/>
      <c r="E18464" s="24"/>
      <c r="F18464" s="24"/>
      <c r="G18464" s="24"/>
      <c r="H18464" s="24"/>
      <c r="I18464" s="24"/>
      <c r="J18464" s="24"/>
      <c r="K18464" s="24"/>
      <c r="L18464" s="24"/>
      <c r="M18464" s="24"/>
      <c r="N18464" s="24"/>
      <c r="O18464" s="24"/>
      <c r="P18464" s="24"/>
      <c r="Q18464" s="24"/>
      <c r="R18464" s="24"/>
      <c r="S18464" s="24"/>
      <c r="T18464" s="24"/>
      <c r="U18464" s="24"/>
      <c r="V18464" s="24"/>
      <c r="W18464" s="24"/>
      <c r="X18464" s="24"/>
      <c r="Y18464" s="24"/>
      <c r="Z18464" s="24"/>
      <c r="AA18464" s="24"/>
    </row>
    <row r="18465">
      <c r="A18465" s="24"/>
      <c r="B18465" s="25"/>
      <c r="C18465" s="24"/>
      <c r="D18465" s="26"/>
      <c r="E18465" s="24"/>
      <c r="F18465" s="24"/>
      <c r="G18465" s="24"/>
      <c r="H18465" s="24"/>
      <c r="I18465" s="24"/>
      <c r="J18465" s="24"/>
      <c r="K18465" s="24"/>
      <c r="L18465" s="24"/>
      <c r="M18465" s="24"/>
      <c r="N18465" s="24"/>
      <c r="O18465" s="24"/>
      <c r="P18465" s="24"/>
      <c r="Q18465" s="24"/>
      <c r="R18465" s="24"/>
      <c r="S18465" s="24"/>
      <c r="T18465" s="24"/>
      <c r="U18465" s="24"/>
      <c r="V18465" s="24"/>
      <c r="W18465" s="24"/>
      <c r="X18465" s="24"/>
      <c r="Y18465" s="24"/>
      <c r="Z18465" s="24"/>
      <c r="AA18465" s="24"/>
    </row>
    <row r="18466">
      <c r="A18466" s="24"/>
      <c r="B18466" s="25"/>
      <c r="C18466" s="24"/>
      <c r="D18466" s="26"/>
      <c r="E18466" s="24"/>
      <c r="F18466" s="24"/>
      <c r="G18466" s="24"/>
      <c r="H18466" s="24"/>
      <c r="I18466" s="24"/>
      <c r="J18466" s="24"/>
      <c r="K18466" s="24"/>
      <c r="L18466" s="24"/>
      <c r="M18466" s="24"/>
      <c r="N18466" s="24"/>
      <c r="O18466" s="24"/>
      <c r="P18466" s="24"/>
      <c r="Q18466" s="24"/>
      <c r="R18466" s="24"/>
      <c r="S18466" s="24"/>
      <c r="T18466" s="24"/>
      <c r="U18466" s="24"/>
      <c r="V18466" s="24"/>
      <c r="W18466" s="24"/>
      <c r="X18466" s="24"/>
      <c r="Y18466" s="24"/>
      <c r="Z18466" s="24"/>
      <c r="AA18466" s="24"/>
    </row>
    <row r="18467">
      <c r="A18467" s="24"/>
      <c r="B18467" s="25"/>
      <c r="C18467" s="24"/>
      <c r="D18467" s="26"/>
      <c r="E18467" s="24"/>
      <c r="F18467" s="24"/>
      <c r="G18467" s="24"/>
      <c r="H18467" s="24"/>
      <c r="I18467" s="24"/>
      <c r="J18467" s="24"/>
      <c r="K18467" s="24"/>
      <c r="L18467" s="24"/>
      <c r="M18467" s="24"/>
      <c r="N18467" s="24"/>
      <c r="O18467" s="24"/>
      <c r="P18467" s="24"/>
      <c r="Q18467" s="24"/>
      <c r="R18467" s="24"/>
      <c r="S18467" s="24"/>
      <c r="T18467" s="24"/>
      <c r="U18467" s="24"/>
      <c r="V18467" s="24"/>
      <c r="W18467" s="24"/>
      <c r="X18467" s="24"/>
      <c r="Y18467" s="24"/>
      <c r="Z18467" s="24"/>
      <c r="AA18467" s="24"/>
    </row>
    <row r="18468">
      <c r="A18468" s="24"/>
      <c r="B18468" s="25"/>
      <c r="C18468" s="24"/>
      <c r="D18468" s="26"/>
      <c r="E18468" s="24"/>
      <c r="F18468" s="24"/>
      <c r="G18468" s="24"/>
      <c r="H18468" s="24"/>
      <c r="I18468" s="24"/>
      <c r="J18468" s="24"/>
      <c r="K18468" s="24"/>
      <c r="L18468" s="24"/>
      <c r="M18468" s="24"/>
      <c r="N18468" s="24"/>
      <c r="O18468" s="24"/>
      <c r="P18468" s="24"/>
      <c r="Q18468" s="24"/>
      <c r="R18468" s="24"/>
      <c r="S18468" s="24"/>
      <c r="T18468" s="24"/>
      <c r="U18468" s="24"/>
      <c r="V18468" s="24"/>
      <c r="W18468" s="24"/>
      <c r="X18468" s="24"/>
      <c r="Y18468" s="24"/>
      <c r="Z18468" s="24"/>
      <c r="AA18468" s="24"/>
    </row>
    <row r="18469">
      <c r="A18469" s="24"/>
      <c r="B18469" s="25"/>
      <c r="C18469" s="24"/>
      <c r="D18469" s="26"/>
      <c r="E18469" s="24"/>
      <c r="F18469" s="24"/>
      <c r="G18469" s="24"/>
      <c r="H18469" s="24"/>
      <c r="I18469" s="24"/>
      <c r="J18469" s="24"/>
      <c r="K18469" s="24"/>
      <c r="L18469" s="24"/>
      <c r="M18469" s="24"/>
      <c r="N18469" s="24"/>
      <c r="O18469" s="24"/>
      <c r="P18469" s="24"/>
      <c r="Q18469" s="24"/>
      <c r="R18469" s="24"/>
      <c r="S18469" s="24"/>
      <c r="T18469" s="24"/>
      <c r="U18469" s="24"/>
      <c r="V18469" s="24"/>
      <c r="W18469" s="24"/>
      <c r="X18469" s="24"/>
      <c r="Y18469" s="24"/>
      <c r="Z18469" s="24"/>
      <c r="AA18469" s="24"/>
    </row>
    <row r="18470">
      <c r="A18470" s="24"/>
      <c r="B18470" s="25"/>
      <c r="C18470" s="24"/>
      <c r="D18470" s="26"/>
      <c r="E18470" s="24"/>
      <c r="F18470" s="24"/>
      <c r="G18470" s="24"/>
      <c r="H18470" s="24"/>
      <c r="I18470" s="24"/>
      <c r="J18470" s="24"/>
      <c r="K18470" s="24"/>
      <c r="L18470" s="24"/>
      <c r="M18470" s="24"/>
      <c r="N18470" s="24"/>
      <c r="O18470" s="24"/>
      <c r="P18470" s="24"/>
      <c r="Q18470" s="24"/>
      <c r="R18470" s="24"/>
      <c r="S18470" s="24"/>
      <c r="T18470" s="24"/>
      <c r="U18470" s="24"/>
      <c r="V18470" s="24"/>
      <c r="W18470" s="24"/>
      <c r="X18470" s="24"/>
      <c r="Y18470" s="24"/>
      <c r="Z18470" s="24"/>
      <c r="AA18470" s="24"/>
    </row>
    <row r="18471">
      <c r="A18471" s="24"/>
      <c r="B18471" s="25"/>
      <c r="C18471" s="24"/>
      <c r="D18471" s="26"/>
      <c r="E18471" s="24"/>
      <c r="F18471" s="24"/>
      <c r="G18471" s="24"/>
      <c r="H18471" s="24"/>
      <c r="I18471" s="24"/>
      <c r="J18471" s="24"/>
      <c r="K18471" s="24"/>
      <c r="L18471" s="24"/>
      <c r="M18471" s="24"/>
      <c r="N18471" s="24"/>
      <c r="O18471" s="24"/>
      <c r="P18471" s="24"/>
      <c r="Q18471" s="24"/>
      <c r="R18471" s="24"/>
      <c r="S18471" s="24"/>
      <c r="T18471" s="24"/>
      <c r="U18471" s="24"/>
      <c r="V18471" s="24"/>
      <c r="W18471" s="24"/>
      <c r="X18471" s="24"/>
      <c r="Y18471" s="24"/>
      <c r="Z18471" s="24"/>
      <c r="AA18471" s="24"/>
    </row>
    <row r="18472">
      <c r="A18472" s="24"/>
      <c r="B18472" s="25"/>
      <c r="C18472" s="24"/>
      <c r="D18472" s="26"/>
      <c r="E18472" s="24"/>
      <c r="F18472" s="24"/>
      <c r="G18472" s="24"/>
      <c r="H18472" s="24"/>
      <c r="I18472" s="24"/>
      <c r="J18472" s="24"/>
      <c r="K18472" s="24"/>
      <c r="L18472" s="24"/>
      <c r="M18472" s="24"/>
      <c r="N18472" s="24"/>
      <c r="O18472" s="24"/>
      <c r="P18472" s="24"/>
      <c r="Q18472" s="24"/>
      <c r="R18472" s="24"/>
      <c r="S18472" s="24"/>
      <c r="T18472" s="24"/>
      <c r="U18472" s="24"/>
      <c r="V18472" s="24"/>
      <c r="W18472" s="24"/>
      <c r="X18472" s="24"/>
      <c r="Y18472" s="24"/>
      <c r="Z18472" s="24"/>
      <c r="AA18472" s="24"/>
    </row>
    <row r="18473">
      <c r="A18473" s="24"/>
      <c r="B18473" s="25"/>
      <c r="C18473" s="24"/>
      <c r="D18473" s="26"/>
      <c r="E18473" s="24"/>
      <c r="F18473" s="24"/>
      <c r="G18473" s="24"/>
      <c r="H18473" s="24"/>
      <c r="I18473" s="24"/>
      <c r="J18473" s="24"/>
      <c r="K18473" s="24"/>
      <c r="L18473" s="24"/>
      <c r="M18473" s="24"/>
      <c r="N18473" s="24"/>
      <c r="O18473" s="24"/>
      <c r="P18473" s="24"/>
      <c r="Q18473" s="24"/>
      <c r="R18473" s="24"/>
      <c r="S18473" s="24"/>
      <c r="T18473" s="24"/>
      <c r="U18473" s="24"/>
      <c r="V18473" s="24"/>
      <c r="W18473" s="24"/>
      <c r="X18473" s="24"/>
      <c r="Y18473" s="24"/>
      <c r="Z18473" s="24"/>
      <c r="AA18473" s="24"/>
    </row>
    <row r="18474">
      <c r="A18474" s="24"/>
      <c r="B18474" s="25"/>
      <c r="C18474" s="24"/>
      <c r="D18474" s="26"/>
      <c r="E18474" s="24"/>
      <c r="F18474" s="24"/>
      <c r="G18474" s="24"/>
      <c r="H18474" s="24"/>
      <c r="I18474" s="24"/>
      <c r="J18474" s="24"/>
      <c r="K18474" s="24"/>
      <c r="L18474" s="24"/>
      <c r="M18474" s="24"/>
      <c r="N18474" s="24"/>
      <c r="O18474" s="24"/>
      <c r="P18474" s="24"/>
      <c r="Q18474" s="24"/>
      <c r="R18474" s="24"/>
      <c r="S18474" s="24"/>
      <c r="T18474" s="24"/>
      <c r="U18474" s="24"/>
      <c r="V18474" s="24"/>
      <c r="W18474" s="24"/>
      <c r="X18474" s="24"/>
      <c r="Y18474" s="24"/>
      <c r="Z18474" s="24"/>
      <c r="AA18474" s="24"/>
    </row>
    <row r="18475">
      <c r="A18475" s="24"/>
      <c r="B18475" s="25"/>
      <c r="C18475" s="24"/>
      <c r="D18475" s="26"/>
      <c r="E18475" s="24"/>
      <c r="F18475" s="24"/>
      <c r="G18475" s="24"/>
      <c r="H18475" s="24"/>
      <c r="I18475" s="24"/>
      <c r="J18475" s="24"/>
      <c r="K18475" s="24"/>
      <c r="L18475" s="24"/>
      <c r="M18475" s="24"/>
      <c r="N18475" s="24"/>
      <c r="O18475" s="24"/>
      <c r="P18475" s="24"/>
      <c r="Q18475" s="24"/>
      <c r="R18475" s="24"/>
      <c r="S18475" s="24"/>
      <c r="T18475" s="24"/>
      <c r="U18475" s="24"/>
      <c r="V18475" s="24"/>
      <c r="W18475" s="24"/>
      <c r="X18475" s="24"/>
      <c r="Y18475" s="24"/>
      <c r="Z18475" s="24"/>
      <c r="AA18475" s="24"/>
    </row>
    <row r="18476">
      <c r="A18476" s="24"/>
      <c r="B18476" s="25"/>
      <c r="C18476" s="24"/>
      <c r="D18476" s="26"/>
      <c r="E18476" s="24"/>
      <c r="F18476" s="24"/>
      <c r="G18476" s="24"/>
      <c r="H18476" s="24"/>
      <c r="I18476" s="24"/>
      <c r="J18476" s="24"/>
      <c r="K18476" s="24"/>
      <c r="L18476" s="24"/>
      <c r="M18476" s="24"/>
      <c r="N18476" s="24"/>
      <c r="O18476" s="24"/>
      <c r="P18476" s="24"/>
      <c r="Q18476" s="24"/>
      <c r="R18476" s="24"/>
      <c r="S18476" s="24"/>
      <c r="T18476" s="24"/>
      <c r="U18476" s="24"/>
      <c r="V18476" s="24"/>
      <c r="W18476" s="24"/>
      <c r="X18476" s="24"/>
      <c r="Y18476" s="24"/>
      <c r="Z18476" s="24"/>
      <c r="AA18476" s="24"/>
    </row>
    <row r="18477">
      <c r="A18477" s="24"/>
      <c r="B18477" s="25"/>
      <c r="C18477" s="24"/>
      <c r="D18477" s="26"/>
      <c r="E18477" s="24"/>
      <c r="F18477" s="24"/>
      <c r="G18477" s="24"/>
      <c r="H18477" s="24"/>
      <c r="I18477" s="24"/>
      <c r="J18477" s="24"/>
      <c r="K18477" s="24"/>
      <c r="L18477" s="24"/>
      <c r="M18477" s="24"/>
      <c r="N18477" s="24"/>
      <c r="O18477" s="24"/>
      <c r="P18477" s="24"/>
      <c r="Q18477" s="24"/>
      <c r="R18477" s="24"/>
      <c r="S18477" s="24"/>
      <c r="T18477" s="24"/>
      <c r="U18477" s="24"/>
      <c r="V18477" s="24"/>
      <c r="W18477" s="24"/>
      <c r="X18477" s="24"/>
      <c r="Y18477" s="24"/>
      <c r="Z18477" s="24"/>
      <c r="AA18477" s="24"/>
    </row>
    <row r="18478">
      <c r="A18478" s="24"/>
      <c r="B18478" s="25"/>
      <c r="C18478" s="24"/>
      <c r="D18478" s="26"/>
      <c r="E18478" s="24"/>
      <c r="F18478" s="24"/>
      <c r="G18478" s="24"/>
      <c r="H18478" s="24"/>
      <c r="I18478" s="24"/>
      <c r="J18478" s="24"/>
      <c r="K18478" s="24"/>
      <c r="L18478" s="24"/>
      <c r="M18478" s="24"/>
      <c r="N18478" s="24"/>
      <c r="O18478" s="24"/>
      <c r="P18478" s="24"/>
      <c r="Q18478" s="24"/>
      <c r="R18478" s="24"/>
      <c r="S18478" s="24"/>
      <c r="T18478" s="24"/>
      <c r="U18478" s="24"/>
      <c r="V18478" s="24"/>
      <c r="W18478" s="24"/>
      <c r="X18478" s="24"/>
      <c r="Y18478" s="24"/>
      <c r="Z18478" s="24"/>
      <c r="AA18478" s="24"/>
    </row>
    <row r="18479">
      <c r="A18479" s="24"/>
      <c r="B18479" s="25"/>
      <c r="C18479" s="24"/>
      <c r="D18479" s="26"/>
      <c r="E18479" s="24"/>
      <c r="F18479" s="24"/>
      <c r="G18479" s="24"/>
      <c r="H18479" s="24"/>
      <c r="I18479" s="24"/>
      <c r="J18479" s="24"/>
      <c r="K18479" s="24"/>
      <c r="L18479" s="24"/>
      <c r="M18479" s="24"/>
      <c r="N18479" s="24"/>
      <c r="O18479" s="24"/>
      <c r="P18479" s="24"/>
      <c r="Q18479" s="24"/>
      <c r="R18479" s="24"/>
      <c r="S18479" s="24"/>
      <c r="T18479" s="24"/>
      <c r="U18479" s="24"/>
      <c r="V18479" s="24"/>
      <c r="W18479" s="24"/>
      <c r="X18479" s="24"/>
      <c r="Y18479" s="24"/>
      <c r="Z18479" s="24"/>
      <c r="AA18479" s="24"/>
    </row>
    <row r="18480">
      <c r="A18480" s="24"/>
      <c r="B18480" s="25"/>
      <c r="C18480" s="24"/>
      <c r="D18480" s="26"/>
      <c r="E18480" s="24"/>
      <c r="F18480" s="24"/>
      <c r="G18480" s="24"/>
      <c r="H18480" s="24"/>
      <c r="I18480" s="24"/>
      <c r="J18480" s="24"/>
      <c r="K18480" s="24"/>
      <c r="L18480" s="24"/>
      <c r="M18480" s="24"/>
      <c r="N18480" s="24"/>
      <c r="O18480" s="24"/>
      <c r="P18480" s="24"/>
      <c r="Q18480" s="24"/>
      <c r="R18480" s="24"/>
      <c r="S18480" s="24"/>
      <c r="T18480" s="24"/>
      <c r="U18480" s="24"/>
      <c r="V18480" s="24"/>
      <c r="W18480" s="24"/>
      <c r="X18480" s="24"/>
      <c r="Y18480" s="24"/>
      <c r="Z18480" s="24"/>
      <c r="AA18480" s="24"/>
    </row>
    <row r="18481">
      <c r="A18481" s="24"/>
      <c r="B18481" s="25"/>
      <c r="C18481" s="24"/>
      <c r="D18481" s="26"/>
      <c r="E18481" s="24"/>
      <c r="F18481" s="24"/>
      <c r="G18481" s="24"/>
      <c r="H18481" s="24"/>
      <c r="I18481" s="24"/>
      <c r="J18481" s="24"/>
      <c r="K18481" s="24"/>
      <c r="L18481" s="24"/>
      <c r="M18481" s="24"/>
      <c r="N18481" s="24"/>
      <c r="O18481" s="24"/>
      <c r="P18481" s="24"/>
      <c r="Q18481" s="24"/>
      <c r="R18481" s="24"/>
      <c r="S18481" s="24"/>
      <c r="T18481" s="24"/>
      <c r="U18481" s="24"/>
      <c r="V18481" s="24"/>
      <c r="W18481" s="24"/>
      <c r="X18481" s="24"/>
      <c r="Y18481" s="24"/>
      <c r="Z18481" s="24"/>
      <c r="AA18481" s="24"/>
    </row>
    <row r="18482">
      <c r="A18482" s="24"/>
      <c r="B18482" s="25"/>
      <c r="C18482" s="24"/>
      <c r="D18482" s="26"/>
      <c r="E18482" s="24"/>
      <c r="F18482" s="24"/>
      <c r="G18482" s="24"/>
      <c r="H18482" s="24"/>
      <c r="I18482" s="24"/>
      <c r="J18482" s="24"/>
      <c r="K18482" s="24"/>
      <c r="L18482" s="24"/>
      <c r="M18482" s="24"/>
      <c r="N18482" s="24"/>
      <c r="O18482" s="24"/>
      <c r="P18482" s="24"/>
      <c r="Q18482" s="24"/>
      <c r="R18482" s="24"/>
      <c r="S18482" s="24"/>
      <c r="T18482" s="24"/>
      <c r="U18482" s="24"/>
      <c r="V18482" s="24"/>
      <c r="W18482" s="24"/>
      <c r="X18482" s="24"/>
      <c r="Y18482" s="24"/>
      <c r="Z18482" s="24"/>
      <c r="AA18482" s="24"/>
    </row>
    <row r="18483">
      <c r="A18483" s="24"/>
      <c r="B18483" s="25"/>
      <c r="C18483" s="24"/>
      <c r="D18483" s="26"/>
      <c r="E18483" s="24"/>
      <c r="F18483" s="24"/>
      <c r="G18483" s="24"/>
      <c r="H18483" s="24"/>
      <c r="I18483" s="24"/>
      <c r="J18483" s="24"/>
      <c r="K18483" s="24"/>
      <c r="L18483" s="24"/>
      <c r="M18483" s="24"/>
      <c r="N18483" s="24"/>
      <c r="O18483" s="24"/>
      <c r="P18483" s="24"/>
      <c r="Q18483" s="24"/>
      <c r="R18483" s="24"/>
      <c r="S18483" s="24"/>
      <c r="T18483" s="24"/>
      <c r="U18483" s="24"/>
      <c r="V18483" s="24"/>
      <c r="W18483" s="24"/>
      <c r="X18483" s="24"/>
      <c r="Y18483" s="24"/>
      <c r="Z18483" s="24"/>
      <c r="AA18483" s="24"/>
    </row>
    <row r="18484">
      <c r="A18484" s="24"/>
      <c r="B18484" s="25"/>
      <c r="C18484" s="24"/>
      <c r="D18484" s="26"/>
      <c r="E18484" s="24"/>
      <c r="F18484" s="24"/>
      <c r="G18484" s="24"/>
      <c r="H18484" s="24"/>
      <c r="I18484" s="24"/>
      <c r="J18484" s="24"/>
      <c r="K18484" s="24"/>
      <c r="L18484" s="24"/>
      <c r="M18484" s="24"/>
      <c r="N18484" s="24"/>
      <c r="O18484" s="24"/>
      <c r="P18484" s="24"/>
      <c r="Q18484" s="24"/>
      <c r="R18484" s="24"/>
      <c r="S18484" s="24"/>
      <c r="T18484" s="24"/>
      <c r="U18484" s="24"/>
      <c r="V18484" s="24"/>
      <c r="W18484" s="24"/>
      <c r="X18484" s="24"/>
      <c r="Y18484" s="24"/>
      <c r="Z18484" s="24"/>
      <c r="AA18484" s="24"/>
    </row>
    <row r="18485">
      <c r="A18485" s="24"/>
      <c r="B18485" s="25"/>
      <c r="C18485" s="24"/>
      <c r="D18485" s="26"/>
      <c r="E18485" s="24"/>
      <c r="F18485" s="24"/>
      <c r="G18485" s="24"/>
      <c r="H18485" s="24"/>
      <c r="I18485" s="24"/>
      <c r="J18485" s="24"/>
      <c r="K18485" s="24"/>
      <c r="L18485" s="24"/>
      <c r="M18485" s="24"/>
      <c r="N18485" s="24"/>
      <c r="O18485" s="24"/>
      <c r="P18485" s="24"/>
      <c r="Q18485" s="24"/>
      <c r="R18485" s="24"/>
      <c r="S18485" s="24"/>
      <c r="T18485" s="24"/>
      <c r="U18485" s="24"/>
      <c r="V18485" s="24"/>
      <c r="W18485" s="24"/>
      <c r="X18485" s="24"/>
      <c r="Y18485" s="24"/>
      <c r="Z18485" s="24"/>
      <c r="AA18485" s="24"/>
    </row>
    <row r="18486">
      <c r="A18486" s="24"/>
      <c r="B18486" s="25"/>
      <c r="C18486" s="24"/>
      <c r="D18486" s="26"/>
      <c r="E18486" s="24"/>
      <c r="F18486" s="24"/>
      <c r="G18486" s="24"/>
      <c r="H18486" s="24"/>
      <c r="I18486" s="24"/>
      <c r="J18486" s="24"/>
      <c r="K18486" s="24"/>
      <c r="L18486" s="24"/>
      <c r="M18486" s="24"/>
      <c r="N18486" s="24"/>
      <c r="O18486" s="24"/>
      <c r="P18486" s="24"/>
      <c r="Q18486" s="24"/>
      <c r="R18486" s="24"/>
      <c r="S18486" s="24"/>
      <c r="T18486" s="24"/>
      <c r="U18486" s="24"/>
      <c r="V18486" s="24"/>
      <c r="W18486" s="24"/>
      <c r="X18486" s="24"/>
      <c r="Y18486" s="24"/>
      <c r="Z18486" s="24"/>
      <c r="AA18486" s="24"/>
    </row>
    <row r="18487">
      <c r="A18487" s="24"/>
      <c r="B18487" s="25"/>
      <c r="C18487" s="24"/>
      <c r="D18487" s="26"/>
      <c r="E18487" s="24"/>
      <c r="F18487" s="24"/>
      <c r="G18487" s="24"/>
      <c r="H18487" s="24"/>
      <c r="I18487" s="24"/>
      <c r="J18487" s="24"/>
      <c r="K18487" s="24"/>
      <c r="L18487" s="24"/>
      <c r="M18487" s="24"/>
      <c r="N18487" s="24"/>
      <c r="O18487" s="24"/>
      <c r="P18487" s="24"/>
      <c r="Q18487" s="24"/>
      <c r="R18487" s="24"/>
      <c r="S18487" s="24"/>
      <c r="T18487" s="24"/>
      <c r="U18487" s="24"/>
      <c r="V18487" s="24"/>
      <c r="W18487" s="24"/>
      <c r="X18487" s="24"/>
      <c r="Y18487" s="24"/>
      <c r="Z18487" s="24"/>
      <c r="AA18487" s="24"/>
    </row>
    <row r="18488">
      <c r="A18488" s="24"/>
      <c r="B18488" s="25"/>
      <c r="C18488" s="24"/>
      <c r="D18488" s="26"/>
      <c r="E18488" s="24"/>
      <c r="F18488" s="24"/>
      <c r="G18488" s="24"/>
      <c r="H18488" s="24"/>
      <c r="I18488" s="24"/>
      <c r="J18488" s="24"/>
      <c r="K18488" s="24"/>
      <c r="L18488" s="24"/>
      <c r="M18488" s="24"/>
      <c r="N18488" s="24"/>
      <c r="O18488" s="24"/>
      <c r="P18488" s="24"/>
      <c r="Q18488" s="24"/>
      <c r="R18488" s="24"/>
      <c r="S18488" s="24"/>
      <c r="T18488" s="24"/>
      <c r="U18488" s="24"/>
      <c r="V18488" s="24"/>
      <c r="W18488" s="24"/>
      <c r="X18488" s="24"/>
      <c r="Y18488" s="24"/>
      <c r="Z18488" s="24"/>
      <c r="AA18488" s="24"/>
    </row>
    <row r="18489">
      <c r="A18489" s="24"/>
      <c r="B18489" s="25"/>
      <c r="C18489" s="24"/>
      <c r="D18489" s="26"/>
      <c r="E18489" s="24"/>
      <c r="F18489" s="24"/>
      <c r="G18489" s="24"/>
      <c r="H18489" s="24"/>
      <c r="I18489" s="24"/>
      <c r="J18489" s="24"/>
      <c r="K18489" s="24"/>
      <c r="L18489" s="24"/>
      <c r="M18489" s="24"/>
      <c r="N18489" s="24"/>
      <c r="O18489" s="24"/>
      <c r="P18489" s="24"/>
      <c r="Q18489" s="24"/>
      <c r="R18489" s="24"/>
      <c r="S18489" s="24"/>
      <c r="T18489" s="24"/>
      <c r="U18489" s="24"/>
      <c r="V18489" s="24"/>
      <c r="W18489" s="24"/>
      <c r="X18489" s="24"/>
      <c r="Y18489" s="24"/>
      <c r="Z18489" s="24"/>
      <c r="AA18489" s="24"/>
    </row>
    <row r="18490">
      <c r="A18490" s="24"/>
      <c r="B18490" s="25"/>
      <c r="C18490" s="24"/>
      <c r="D18490" s="26"/>
      <c r="E18490" s="24"/>
      <c r="F18490" s="24"/>
      <c r="G18490" s="24"/>
      <c r="H18490" s="24"/>
      <c r="I18490" s="24"/>
      <c r="J18490" s="24"/>
      <c r="K18490" s="24"/>
      <c r="L18490" s="24"/>
      <c r="M18490" s="24"/>
      <c r="N18490" s="24"/>
      <c r="O18490" s="24"/>
      <c r="P18490" s="24"/>
      <c r="Q18490" s="24"/>
      <c r="R18490" s="24"/>
      <c r="S18490" s="24"/>
      <c r="T18490" s="24"/>
      <c r="U18490" s="24"/>
      <c r="V18490" s="24"/>
      <c r="W18490" s="24"/>
      <c r="X18490" s="24"/>
      <c r="Y18490" s="24"/>
      <c r="Z18490" s="24"/>
      <c r="AA18490" s="24"/>
    </row>
    <row r="18491">
      <c r="A18491" s="24"/>
      <c r="B18491" s="25"/>
      <c r="C18491" s="24"/>
      <c r="D18491" s="26"/>
      <c r="E18491" s="24"/>
      <c r="F18491" s="24"/>
      <c r="G18491" s="24"/>
      <c r="H18491" s="24"/>
      <c r="I18491" s="24"/>
      <c r="J18491" s="24"/>
      <c r="K18491" s="24"/>
      <c r="L18491" s="24"/>
      <c r="M18491" s="24"/>
      <c r="N18491" s="24"/>
      <c r="O18491" s="24"/>
      <c r="P18491" s="24"/>
      <c r="Q18491" s="24"/>
      <c r="R18491" s="24"/>
      <c r="S18491" s="24"/>
      <c r="T18491" s="24"/>
      <c r="U18491" s="24"/>
      <c r="V18491" s="24"/>
      <c r="W18491" s="24"/>
      <c r="X18491" s="24"/>
      <c r="Y18491" s="24"/>
      <c r="Z18491" s="24"/>
      <c r="AA18491" s="24"/>
    </row>
    <row r="18492">
      <c r="A18492" s="24"/>
      <c r="B18492" s="25"/>
      <c r="C18492" s="24"/>
      <c r="D18492" s="26"/>
      <c r="E18492" s="24"/>
      <c r="F18492" s="24"/>
      <c r="G18492" s="24"/>
      <c r="H18492" s="24"/>
      <c r="I18492" s="24"/>
      <c r="J18492" s="24"/>
      <c r="K18492" s="24"/>
      <c r="L18492" s="24"/>
      <c r="M18492" s="24"/>
      <c r="N18492" s="24"/>
      <c r="O18492" s="24"/>
      <c r="P18492" s="24"/>
      <c r="Q18492" s="24"/>
      <c r="R18492" s="24"/>
      <c r="S18492" s="24"/>
      <c r="T18492" s="24"/>
      <c r="U18492" s="24"/>
      <c r="V18492" s="24"/>
      <c r="W18492" s="24"/>
      <c r="X18492" s="24"/>
      <c r="Y18492" s="24"/>
      <c r="Z18492" s="24"/>
      <c r="AA18492" s="24"/>
    </row>
    <row r="18493">
      <c r="A18493" s="24"/>
      <c r="B18493" s="25"/>
      <c r="C18493" s="24"/>
      <c r="D18493" s="26"/>
      <c r="E18493" s="24"/>
      <c r="F18493" s="24"/>
      <c r="G18493" s="24"/>
      <c r="H18493" s="24"/>
      <c r="I18493" s="24"/>
      <c r="J18493" s="24"/>
      <c r="K18493" s="24"/>
      <c r="L18493" s="24"/>
      <c r="M18493" s="24"/>
      <c r="N18493" s="24"/>
      <c r="O18493" s="24"/>
      <c r="P18493" s="24"/>
      <c r="Q18493" s="24"/>
      <c r="R18493" s="24"/>
      <c r="S18493" s="24"/>
      <c r="T18493" s="24"/>
      <c r="U18493" s="24"/>
      <c r="V18493" s="24"/>
      <c r="W18493" s="24"/>
      <c r="X18493" s="24"/>
      <c r="Y18493" s="24"/>
      <c r="Z18493" s="24"/>
      <c r="AA18493" s="24"/>
    </row>
    <row r="18494">
      <c r="A18494" s="24"/>
      <c r="B18494" s="25"/>
      <c r="C18494" s="24"/>
      <c r="D18494" s="26"/>
      <c r="E18494" s="24"/>
      <c r="F18494" s="24"/>
      <c r="G18494" s="24"/>
      <c r="H18494" s="24"/>
      <c r="I18494" s="24"/>
      <c r="J18494" s="24"/>
      <c r="K18494" s="24"/>
      <c r="L18494" s="24"/>
      <c r="M18494" s="24"/>
      <c r="N18494" s="24"/>
      <c r="O18494" s="24"/>
      <c r="P18494" s="24"/>
      <c r="Q18494" s="24"/>
      <c r="R18494" s="24"/>
      <c r="S18494" s="24"/>
      <c r="T18494" s="24"/>
      <c r="U18494" s="24"/>
      <c r="V18494" s="24"/>
      <c r="W18494" s="24"/>
      <c r="X18494" s="24"/>
      <c r="Y18494" s="24"/>
      <c r="Z18494" s="24"/>
      <c r="AA18494" s="24"/>
    </row>
    <row r="18495">
      <c r="A18495" s="24"/>
      <c r="B18495" s="25"/>
      <c r="C18495" s="24"/>
      <c r="D18495" s="26"/>
      <c r="E18495" s="24"/>
      <c r="F18495" s="24"/>
      <c r="G18495" s="24"/>
      <c r="H18495" s="24"/>
      <c r="I18495" s="24"/>
      <c r="J18495" s="24"/>
      <c r="K18495" s="24"/>
      <c r="L18495" s="24"/>
      <c r="M18495" s="24"/>
      <c r="N18495" s="24"/>
      <c r="O18495" s="24"/>
      <c r="P18495" s="24"/>
      <c r="Q18495" s="24"/>
      <c r="R18495" s="24"/>
      <c r="S18495" s="24"/>
      <c r="T18495" s="24"/>
      <c r="U18495" s="24"/>
      <c r="V18495" s="24"/>
      <c r="W18495" s="24"/>
      <c r="X18495" s="24"/>
      <c r="Y18495" s="24"/>
      <c r="Z18495" s="24"/>
      <c r="AA18495" s="24"/>
    </row>
    <row r="18496">
      <c r="A18496" s="24"/>
      <c r="B18496" s="25"/>
      <c r="C18496" s="24"/>
      <c r="D18496" s="26"/>
      <c r="E18496" s="24"/>
      <c r="F18496" s="24"/>
      <c r="G18496" s="24"/>
      <c r="H18496" s="24"/>
      <c r="I18496" s="24"/>
      <c r="J18496" s="24"/>
      <c r="K18496" s="24"/>
      <c r="L18496" s="24"/>
      <c r="M18496" s="24"/>
      <c r="N18496" s="24"/>
      <c r="O18496" s="24"/>
      <c r="P18496" s="24"/>
      <c r="Q18496" s="24"/>
      <c r="R18496" s="24"/>
      <c r="S18496" s="24"/>
      <c r="T18496" s="24"/>
      <c r="U18496" s="24"/>
      <c r="V18496" s="24"/>
      <c r="W18496" s="24"/>
      <c r="X18496" s="24"/>
      <c r="Y18496" s="24"/>
      <c r="Z18496" s="24"/>
      <c r="AA18496" s="24"/>
    </row>
    <row r="18497">
      <c r="A18497" s="24"/>
      <c r="B18497" s="25"/>
      <c r="C18497" s="24"/>
      <c r="D18497" s="26"/>
      <c r="E18497" s="24"/>
      <c r="F18497" s="24"/>
      <c r="G18497" s="24"/>
      <c r="H18497" s="24"/>
      <c r="I18497" s="24"/>
      <c r="J18497" s="24"/>
      <c r="K18497" s="24"/>
      <c r="L18497" s="24"/>
      <c r="M18497" s="24"/>
      <c r="N18497" s="24"/>
      <c r="O18497" s="24"/>
      <c r="P18497" s="24"/>
      <c r="Q18497" s="24"/>
      <c r="R18497" s="24"/>
      <c r="S18497" s="24"/>
      <c r="T18497" s="24"/>
      <c r="U18497" s="24"/>
      <c r="V18497" s="24"/>
      <c r="W18497" s="24"/>
      <c r="X18497" s="24"/>
      <c r="Y18497" s="24"/>
      <c r="Z18497" s="24"/>
      <c r="AA18497" s="24"/>
    </row>
    <row r="18498">
      <c r="A18498" s="24"/>
      <c r="B18498" s="25"/>
      <c r="C18498" s="24"/>
      <c r="D18498" s="26"/>
      <c r="E18498" s="24"/>
      <c r="F18498" s="24"/>
      <c r="G18498" s="24"/>
      <c r="H18498" s="24"/>
      <c r="I18498" s="24"/>
      <c r="J18498" s="24"/>
      <c r="K18498" s="24"/>
      <c r="L18498" s="24"/>
      <c r="M18498" s="24"/>
      <c r="N18498" s="24"/>
      <c r="O18498" s="24"/>
      <c r="P18498" s="24"/>
      <c r="Q18498" s="24"/>
      <c r="R18498" s="24"/>
      <c r="S18498" s="24"/>
      <c r="T18498" s="24"/>
      <c r="U18498" s="24"/>
      <c r="V18498" s="24"/>
      <c r="W18498" s="24"/>
      <c r="X18498" s="24"/>
      <c r="Y18498" s="24"/>
      <c r="Z18498" s="24"/>
      <c r="AA18498" s="24"/>
    </row>
    <row r="18499">
      <c r="A18499" s="24"/>
      <c r="B18499" s="25"/>
      <c r="C18499" s="24"/>
      <c r="D18499" s="26"/>
      <c r="E18499" s="24"/>
      <c r="F18499" s="24"/>
      <c r="G18499" s="24"/>
      <c r="H18499" s="24"/>
      <c r="I18499" s="24"/>
      <c r="J18499" s="24"/>
      <c r="K18499" s="24"/>
      <c r="L18499" s="24"/>
      <c r="M18499" s="24"/>
      <c r="N18499" s="24"/>
      <c r="O18499" s="24"/>
      <c r="P18499" s="24"/>
      <c r="Q18499" s="24"/>
      <c r="R18499" s="24"/>
      <c r="S18499" s="24"/>
      <c r="T18499" s="24"/>
      <c r="U18499" s="24"/>
      <c r="V18499" s="24"/>
      <c r="W18499" s="24"/>
      <c r="X18499" s="24"/>
      <c r="Y18499" s="24"/>
      <c r="Z18499" s="24"/>
      <c r="AA18499" s="24"/>
    </row>
    <row r="18500">
      <c r="A18500" s="24"/>
      <c r="B18500" s="25"/>
      <c r="C18500" s="24"/>
      <c r="D18500" s="26"/>
      <c r="E18500" s="24"/>
      <c r="F18500" s="24"/>
      <c r="G18500" s="24"/>
      <c r="H18500" s="24"/>
      <c r="I18500" s="24"/>
      <c r="J18500" s="24"/>
      <c r="K18500" s="24"/>
      <c r="L18500" s="24"/>
      <c r="M18500" s="24"/>
      <c r="N18500" s="24"/>
      <c r="O18500" s="24"/>
      <c r="P18500" s="24"/>
      <c r="Q18500" s="24"/>
      <c r="R18500" s="24"/>
      <c r="S18500" s="24"/>
      <c r="T18500" s="24"/>
      <c r="U18500" s="24"/>
      <c r="V18500" s="24"/>
      <c r="W18500" s="24"/>
      <c r="X18500" s="24"/>
      <c r="Y18500" s="24"/>
      <c r="Z18500" s="24"/>
      <c r="AA18500" s="24"/>
    </row>
    <row r="18501">
      <c r="A18501" s="24"/>
      <c r="B18501" s="25"/>
      <c r="C18501" s="24"/>
      <c r="D18501" s="26"/>
      <c r="E18501" s="24"/>
      <c r="F18501" s="24"/>
      <c r="G18501" s="24"/>
      <c r="H18501" s="24"/>
      <c r="I18501" s="24"/>
      <c r="J18501" s="24"/>
      <c r="K18501" s="24"/>
      <c r="L18501" s="24"/>
      <c r="M18501" s="24"/>
      <c r="N18501" s="24"/>
      <c r="O18501" s="24"/>
      <c r="P18501" s="24"/>
      <c r="Q18501" s="24"/>
      <c r="R18501" s="24"/>
      <c r="S18501" s="24"/>
      <c r="T18501" s="24"/>
      <c r="U18501" s="24"/>
      <c r="V18501" s="24"/>
      <c r="W18501" s="24"/>
      <c r="X18501" s="24"/>
      <c r="Y18501" s="24"/>
      <c r="Z18501" s="24"/>
      <c r="AA18501" s="24"/>
    </row>
    <row r="18502">
      <c r="A18502" s="24"/>
      <c r="B18502" s="25"/>
      <c r="C18502" s="24"/>
      <c r="D18502" s="26"/>
      <c r="E18502" s="24"/>
      <c r="F18502" s="24"/>
      <c r="G18502" s="24"/>
      <c r="H18502" s="24"/>
      <c r="I18502" s="24"/>
      <c r="J18502" s="24"/>
      <c r="K18502" s="24"/>
      <c r="L18502" s="24"/>
      <c r="M18502" s="24"/>
      <c r="N18502" s="24"/>
      <c r="O18502" s="24"/>
      <c r="P18502" s="24"/>
      <c r="Q18502" s="24"/>
      <c r="R18502" s="24"/>
      <c r="S18502" s="24"/>
      <c r="T18502" s="24"/>
      <c r="U18502" s="24"/>
      <c r="V18502" s="24"/>
      <c r="W18502" s="24"/>
      <c r="X18502" s="24"/>
      <c r="Y18502" s="24"/>
      <c r="Z18502" s="24"/>
      <c r="AA18502" s="24"/>
    </row>
    <row r="18503">
      <c r="A18503" s="24"/>
      <c r="B18503" s="25"/>
      <c r="C18503" s="24"/>
      <c r="D18503" s="26"/>
      <c r="E18503" s="24"/>
      <c r="F18503" s="24"/>
      <c r="G18503" s="24"/>
      <c r="H18503" s="24"/>
      <c r="I18503" s="24"/>
      <c r="J18503" s="24"/>
      <c r="K18503" s="24"/>
      <c r="L18503" s="24"/>
      <c r="M18503" s="24"/>
      <c r="N18503" s="24"/>
      <c r="O18503" s="24"/>
      <c r="P18503" s="24"/>
      <c r="Q18503" s="24"/>
      <c r="R18503" s="24"/>
      <c r="S18503" s="24"/>
      <c r="T18503" s="24"/>
      <c r="U18503" s="24"/>
      <c r="V18503" s="24"/>
      <c r="W18503" s="24"/>
      <c r="X18503" s="24"/>
      <c r="Y18503" s="24"/>
      <c r="Z18503" s="24"/>
      <c r="AA18503" s="24"/>
    </row>
    <row r="18504">
      <c r="A18504" s="24"/>
      <c r="B18504" s="25"/>
      <c r="C18504" s="24"/>
      <c r="D18504" s="26"/>
      <c r="E18504" s="24"/>
      <c r="F18504" s="24"/>
      <c r="G18504" s="24"/>
      <c r="H18504" s="24"/>
      <c r="I18504" s="24"/>
      <c r="J18504" s="24"/>
      <c r="K18504" s="24"/>
      <c r="L18504" s="24"/>
      <c r="M18504" s="24"/>
      <c r="N18504" s="24"/>
      <c r="O18504" s="24"/>
      <c r="P18504" s="24"/>
      <c r="Q18504" s="24"/>
      <c r="R18504" s="24"/>
      <c r="S18504" s="24"/>
      <c r="T18504" s="24"/>
      <c r="U18504" s="24"/>
      <c r="V18504" s="24"/>
      <c r="W18504" s="24"/>
      <c r="X18504" s="24"/>
      <c r="Y18504" s="24"/>
      <c r="Z18504" s="24"/>
      <c r="AA18504" s="24"/>
    </row>
    <row r="18505">
      <c r="A18505" s="24"/>
      <c r="B18505" s="25"/>
      <c r="C18505" s="24"/>
      <c r="D18505" s="26"/>
      <c r="E18505" s="24"/>
      <c r="F18505" s="24"/>
      <c r="G18505" s="24"/>
      <c r="H18505" s="24"/>
      <c r="I18505" s="24"/>
      <c r="J18505" s="24"/>
      <c r="K18505" s="24"/>
      <c r="L18505" s="24"/>
      <c r="M18505" s="24"/>
      <c r="N18505" s="24"/>
      <c r="O18505" s="24"/>
      <c r="P18505" s="24"/>
      <c r="Q18505" s="24"/>
      <c r="R18505" s="24"/>
      <c r="S18505" s="24"/>
      <c r="T18505" s="24"/>
      <c r="U18505" s="24"/>
      <c r="V18505" s="24"/>
      <c r="W18505" s="24"/>
      <c r="X18505" s="24"/>
      <c r="Y18505" s="24"/>
      <c r="Z18505" s="24"/>
      <c r="AA18505" s="24"/>
    </row>
    <row r="18506">
      <c r="A18506" s="24"/>
      <c r="B18506" s="25"/>
      <c r="C18506" s="24"/>
      <c r="D18506" s="26"/>
      <c r="E18506" s="24"/>
      <c r="F18506" s="24"/>
      <c r="G18506" s="24"/>
      <c r="H18506" s="24"/>
      <c r="I18506" s="24"/>
      <c r="J18506" s="24"/>
      <c r="K18506" s="24"/>
      <c r="L18506" s="24"/>
      <c r="M18506" s="24"/>
      <c r="N18506" s="24"/>
      <c r="O18506" s="24"/>
      <c r="P18506" s="24"/>
      <c r="Q18506" s="24"/>
      <c r="R18506" s="24"/>
      <c r="S18506" s="24"/>
      <c r="T18506" s="24"/>
      <c r="U18506" s="24"/>
      <c r="V18506" s="24"/>
      <c r="W18506" s="24"/>
      <c r="X18506" s="24"/>
      <c r="Y18506" s="24"/>
      <c r="Z18506" s="24"/>
      <c r="AA18506" s="24"/>
    </row>
    <row r="18507">
      <c r="A18507" s="24"/>
      <c r="B18507" s="25"/>
      <c r="C18507" s="24"/>
      <c r="D18507" s="26"/>
      <c r="E18507" s="24"/>
      <c r="F18507" s="24"/>
      <c r="G18507" s="24"/>
      <c r="H18507" s="24"/>
      <c r="I18507" s="24"/>
      <c r="J18507" s="24"/>
      <c r="K18507" s="24"/>
      <c r="L18507" s="24"/>
      <c r="M18507" s="24"/>
      <c r="N18507" s="24"/>
      <c r="O18507" s="24"/>
      <c r="P18507" s="24"/>
      <c r="Q18507" s="24"/>
      <c r="R18507" s="24"/>
      <c r="S18507" s="24"/>
      <c r="T18507" s="24"/>
      <c r="U18507" s="24"/>
      <c r="V18507" s="24"/>
      <c r="W18507" s="24"/>
      <c r="X18507" s="24"/>
      <c r="Y18507" s="24"/>
      <c r="Z18507" s="24"/>
      <c r="AA18507" s="24"/>
    </row>
    <row r="18508">
      <c r="A18508" s="24"/>
      <c r="B18508" s="25"/>
      <c r="C18508" s="24"/>
      <c r="D18508" s="26"/>
      <c r="E18508" s="24"/>
      <c r="F18508" s="24"/>
      <c r="G18508" s="24"/>
      <c r="H18508" s="24"/>
      <c r="I18508" s="24"/>
      <c r="J18508" s="24"/>
      <c r="K18508" s="24"/>
      <c r="L18508" s="24"/>
      <c r="M18508" s="24"/>
      <c r="N18508" s="24"/>
      <c r="O18508" s="24"/>
      <c r="P18508" s="24"/>
      <c r="Q18508" s="24"/>
      <c r="R18508" s="24"/>
      <c r="S18508" s="24"/>
      <c r="T18508" s="24"/>
      <c r="U18508" s="24"/>
      <c r="V18508" s="24"/>
      <c r="W18508" s="24"/>
      <c r="X18508" s="24"/>
      <c r="Y18508" s="24"/>
      <c r="Z18508" s="24"/>
      <c r="AA18508" s="24"/>
    </row>
    <row r="18509">
      <c r="A18509" s="24"/>
      <c r="B18509" s="25"/>
      <c r="C18509" s="24"/>
      <c r="D18509" s="26"/>
      <c r="E18509" s="24"/>
      <c r="F18509" s="24"/>
      <c r="G18509" s="24"/>
      <c r="H18509" s="24"/>
      <c r="I18509" s="24"/>
      <c r="J18509" s="24"/>
      <c r="K18509" s="24"/>
      <c r="L18509" s="24"/>
      <c r="M18509" s="24"/>
      <c r="N18509" s="24"/>
      <c r="O18509" s="24"/>
      <c r="P18509" s="24"/>
      <c r="Q18509" s="24"/>
      <c r="R18509" s="24"/>
      <c r="S18509" s="24"/>
      <c r="T18509" s="24"/>
      <c r="U18509" s="24"/>
      <c r="V18509" s="24"/>
      <c r="W18509" s="24"/>
      <c r="X18509" s="24"/>
      <c r="Y18509" s="24"/>
      <c r="Z18509" s="24"/>
      <c r="AA18509" s="24"/>
    </row>
    <row r="18510">
      <c r="A18510" s="24"/>
      <c r="B18510" s="25"/>
      <c r="C18510" s="24"/>
      <c r="D18510" s="26"/>
      <c r="E18510" s="24"/>
      <c r="F18510" s="24"/>
      <c r="G18510" s="24"/>
      <c r="H18510" s="24"/>
      <c r="I18510" s="24"/>
      <c r="J18510" s="24"/>
      <c r="K18510" s="24"/>
      <c r="L18510" s="24"/>
      <c r="M18510" s="24"/>
      <c r="N18510" s="24"/>
      <c r="O18510" s="24"/>
      <c r="P18510" s="24"/>
      <c r="Q18510" s="24"/>
      <c r="R18510" s="24"/>
      <c r="S18510" s="24"/>
      <c r="T18510" s="24"/>
      <c r="U18510" s="24"/>
      <c r="V18510" s="24"/>
      <c r="W18510" s="24"/>
      <c r="X18510" s="24"/>
      <c r="Y18510" s="24"/>
      <c r="Z18510" s="24"/>
      <c r="AA18510" s="24"/>
    </row>
    <row r="18511">
      <c r="A18511" s="24"/>
      <c r="B18511" s="25"/>
      <c r="C18511" s="24"/>
      <c r="D18511" s="26"/>
      <c r="E18511" s="24"/>
      <c r="F18511" s="24"/>
      <c r="G18511" s="24"/>
      <c r="H18511" s="24"/>
      <c r="I18511" s="24"/>
      <c r="J18511" s="24"/>
      <c r="K18511" s="24"/>
      <c r="L18511" s="24"/>
      <c r="M18511" s="24"/>
      <c r="N18511" s="24"/>
      <c r="O18511" s="24"/>
      <c r="P18511" s="24"/>
      <c r="Q18511" s="24"/>
      <c r="R18511" s="24"/>
      <c r="S18511" s="24"/>
      <c r="T18511" s="24"/>
      <c r="U18511" s="24"/>
      <c r="V18511" s="24"/>
      <c r="W18511" s="24"/>
      <c r="X18511" s="24"/>
      <c r="Y18511" s="24"/>
      <c r="Z18511" s="24"/>
      <c r="AA18511" s="24"/>
    </row>
    <row r="18512">
      <c r="A18512" s="24"/>
      <c r="B18512" s="25"/>
      <c r="C18512" s="24"/>
      <c r="D18512" s="26"/>
      <c r="E18512" s="24"/>
      <c r="F18512" s="24"/>
      <c r="G18512" s="24"/>
      <c r="H18512" s="24"/>
      <c r="I18512" s="24"/>
      <c r="J18512" s="24"/>
      <c r="K18512" s="24"/>
      <c r="L18512" s="24"/>
      <c r="M18512" s="24"/>
      <c r="N18512" s="24"/>
      <c r="O18512" s="24"/>
      <c r="P18512" s="24"/>
      <c r="Q18512" s="24"/>
      <c r="R18512" s="24"/>
      <c r="S18512" s="24"/>
      <c r="T18512" s="24"/>
      <c r="U18512" s="24"/>
      <c r="V18512" s="24"/>
      <c r="W18512" s="24"/>
      <c r="X18512" s="24"/>
      <c r="Y18512" s="24"/>
      <c r="Z18512" s="24"/>
      <c r="AA18512" s="24"/>
    </row>
    <row r="18513">
      <c r="A18513" s="24"/>
      <c r="B18513" s="25"/>
      <c r="C18513" s="24"/>
      <c r="D18513" s="26"/>
      <c r="E18513" s="24"/>
      <c r="F18513" s="24"/>
      <c r="G18513" s="24"/>
      <c r="H18513" s="24"/>
      <c r="I18513" s="24"/>
      <c r="J18513" s="24"/>
      <c r="K18513" s="24"/>
      <c r="L18513" s="24"/>
      <c r="M18513" s="24"/>
      <c r="N18513" s="24"/>
      <c r="O18513" s="24"/>
      <c r="P18513" s="24"/>
      <c r="Q18513" s="24"/>
      <c r="R18513" s="24"/>
      <c r="S18513" s="24"/>
      <c r="T18513" s="24"/>
      <c r="U18513" s="24"/>
      <c r="V18513" s="24"/>
      <c r="W18513" s="24"/>
      <c r="X18513" s="24"/>
      <c r="Y18513" s="24"/>
      <c r="Z18513" s="24"/>
      <c r="AA18513" s="24"/>
    </row>
    <row r="18514">
      <c r="A18514" s="24"/>
      <c r="B18514" s="25"/>
      <c r="C18514" s="24"/>
      <c r="D18514" s="26"/>
      <c r="E18514" s="24"/>
      <c r="F18514" s="24"/>
      <c r="G18514" s="24"/>
      <c r="H18514" s="24"/>
      <c r="I18514" s="24"/>
      <c r="J18514" s="24"/>
      <c r="K18514" s="24"/>
      <c r="L18514" s="24"/>
      <c r="M18514" s="24"/>
      <c r="N18514" s="24"/>
      <c r="O18514" s="24"/>
      <c r="P18514" s="24"/>
      <c r="Q18514" s="24"/>
      <c r="R18514" s="24"/>
      <c r="S18514" s="24"/>
      <c r="T18514" s="24"/>
      <c r="U18514" s="24"/>
      <c r="V18514" s="24"/>
      <c r="W18514" s="24"/>
      <c r="X18514" s="24"/>
      <c r="Y18514" s="24"/>
      <c r="Z18514" s="24"/>
      <c r="AA18514" s="24"/>
    </row>
    <row r="18515">
      <c r="A18515" s="24"/>
      <c r="B18515" s="25"/>
      <c r="C18515" s="24"/>
      <c r="D18515" s="26"/>
      <c r="E18515" s="24"/>
      <c r="F18515" s="24"/>
      <c r="G18515" s="24"/>
      <c r="H18515" s="24"/>
      <c r="I18515" s="24"/>
      <c r="J18515" s="24"/>
      <c r="K18515" s="24"/>
      <c r="L18515" s="24"/>
      <c r="M18515" s="24"/>
      <c r="N18515" s="24"/>
      <c r="O18515" s="24"/>
      <c r="P18515" s="24"/>
      <c r="Q18515" s="24"/>
      <c r="R18515" s="24"/>
      <c r="S18515" s="24"/>
      <c r="T18515" s="24"/>
      <c r="U18515" s="24"/>
      <c r="V18515" s="24"/>
      <c r="W18515" s="24"/>
      <c r="X18515" s="24"/>
      <c r="Y18515" s="24"/>
      <c r="Z18515" s="24"/>
      <c r="AA18515" s="24"/>
    </row>
    <row r="18516">
      <c r="A18516" s="24"/>
      <c r="B18516" s="25"/>
      <c r="C18516" s="24"/>
      <c r="D18516" s="26"/>
      <c r="E18516" s="24"/>
      <c r="F18516" s="24"/>
      <c r="G18516" s="24"/>
      <c r="H18516" s="24"/>
      <c r="I18516" s="24"/>
      <c r="J18516" s="24"/>
      <c r="K18516" s="24"/>
      <c r="L18516" s="24"/>
      <c r="M18516" s="24"/>
      <c r="N18516" s="24"/>
      <c r="O18516" s="24"/>
      <c r="P18516" s="24"/>
      <c r="Q18516" s="24"/>
      <c r="R18516" s="24"/>
      <c r="S18516" s="24"/>
      <c r="T18516" s="24"/>
      <c r="U18516" s="24"/>
      <c r="V18516" s="24"/>
      <c r="W18516" s="24"/>
      <c r="X18516" s="24"/>
      <c r="Y18516" s="24"/>
      <c r="Z18516" s="24"/>
      <c r="AA18516" s="24"/>
    </row>
    <row r="18517">
      <c r="A18517" s="24"/>
      <c r="B18517" s="25"/>
      <c r="C18517" s="24"/>
      <c r="D18517" s="26"/>
      <c r="E18517" s="24"/>
      <c r="F18517" s="24"/>
      <c r="G18517" s="24"/>
      <c r="H18517" s="24"/>
      <c r="I18517" s="24"/>
      <c r="J18517" s="24"/>
      <c r="K18517" s="24"/>
      <c r="L18517" s="24"/>
      <c r="M18517" s="24"/>
      <c r="N18517" s="24"/>
      <c r="O18517" s="24"/>
      <c r="P18517" s="24"/>
      <c r="Q18517" s="24"/>
      <c r="R18517" s="24"/>
      <c r="S18517" s="24"/>
      <c r="T18517" s="24"/>
      <c r="U18517" s="24"/>
      <c r="V18517" s="24"/>
      <c r="W18517" s="24"/>
      <c r="X18517" s="24"/>
      <c r="Y18517" s="24"/>
      <c r="Z18517" s="24"/>
      <c r="AA18517" s="24"/>
    </row>
    <row r="18518">
      <c r="A18518" s="24"/>
      <c r="B18518" s="25"/>
      <c r="C18518" s="24"/>
      <c r="D18518" s="26"/>
      <c r="E18518" s="24"/>
      <c r="F18518" s="24"/>
      <c r="G18518" s="24"/>
      <c r="H18518" s="24"/>
      <c r="I18518" s="24"/>
      <c r="J18518" s="24"/>
      <c r="K18518" s="24"/>
      <c r="L18518" s="24"/>
      <c r="M18518" s="24"/>
      <c r="N18518" s="24"/>
      <c r="O18518" s="24"/>
      <c r="P18518" s="24"/>
      <c r="Q18518" s="24"/>
      <c r="R18518" s="24"/>
      <c r="S18518" s="24"/>
      <c r="T18518" s="24"/>
      <c r="U18518" s="24"/>
      <c r="V18518" s="24"/>
      <c r="W18518" s="24"/>
      <c r="X18518" s="24"/>
      <c r="Y18518" s="24"/>
      <c r="Z18518" s="24"/>
      <c r="AA18518" s="24"/>
    </row>
    <row r="18519">
      <c r="A18519" s="24"/>
      <c r="B18519" s="25"/>
      <c r="C18519" s="24"/>
      <c r="D18519" s="26"/>
      <c r="E18519" s="24"/>
      <c r="F18519" s="24"/>
      <c r="G18519" s="24"/>
      <c r="H18519" s="24"/>
      <c r="I18519" s="24"/>
      <c r="J18519" s="24"/>
      <c r="K18519" s="24"/>
      <c r="L18519" s="24"/>
      <c r="M18519" s="24"/>
      <c r="N18519" s="24"/>
      <c r="O18519" s="24"/>
      <c r="P18519" s="24"/>
      <c r="Q18519" s="24"/>
      <c r="R18519" s="24"/>
      <c r="S18519" s="24"/>
      <c r="T18519" s="24"/>
      <c r="U18519" s="24"/>
      <c r="V18519" s="24"/>
      <c r="W18519" s="24"/>
      <c r="X18519" s="24"/>
      <c r="Y18519" s="24"/>
      <c r="Z18519" s="24"/>
      <c r="AA18519" s="24"/>
    </row>
    <row r="18520">
      <c r="A18520" s="24"/>
      <c r="B18520" s="25"/>
      <c r="C18520" s="24"/>
      <c r="D18520" s="26"/>
      <c r="E18520" s="24"/>
      <c r="F18520" s="24"/>
      <c r="G18520" s="24"/>
      <c r="H18520" s="24"/>
      <c r="I18520" s="24"/>
      <c r="J18520" s="24"/>
      <c r="K18520" s="24"/>
      <c r="L18520" s="24"/>
      <c r="M18520" s="24"/>
      <c r="N18520" s="24"/>
      <c r="O18520" s="24"/>
      <c r="P18520" s="24"/>
      <c r="Q18520" s="24"/>
      <c r="R18520" s="24"/>
      <c r="S18520" s="24"/>
      <c r="T18520" s="24"/>
      <c r="U18520" s="24"/>
      <c r="V18520" s="24"/>
      <c r="W18520" s="24"/>
      <c r="X18520" s="24"/>
      <c r="Y18520" s="24"/>
      <c r="Z18520" s="24"/>
      <c r="AA18520" s="24"/>
    </row>
    <row r="18521">
      <c r="A18521" s="24"/>
      <c r="B18521" s="25"/>
      <c r="C18521" s="24"/>
      <c r="D18521" s="26"/>
      <c r="E18521" s="24"/>
      <c r="F18521" s="24"/>
      <c r="G18521" s="24"/>
      <c r="H18521" s="24"/>
      <c r="I18521" s="24"/>
      <c r="J18521" s="24"/>
      <c r="K18521" s="24"/>
      <c r="L18521" s="24"/>
      <c r="M18521" s="24"/>
      <c r="N18521" s="24"/>
      <c r="O18521" s="24"/>
      <c r="P18521" s="24"/>
      <c r="Q18521" s="24"/>
      <c r="R18521" s="24"/>
      <c r="S18521" s="24"/>
      <c r="T18521" s="24"/>
      <c r="U18521" s="24"/>
      <c r="V18521" s="24"/>
      <c r="W18521" s="24"/>
      <c r="X18521" s="24"/>
      <c r="Y18521" s="24"/>
      <c r="Z18521" s="24"/>
      <c r="AA18521" s="24"/>
    </row>
    <row r="18522">
      <c r="A18522" s="24"/>
      <c r="B18522" s="25"/>
      <c r="C18522" s="24"/>
      <c r="D18522" s="26"/>
      <c r="E18522" s="24"/>
      <c r="F18522" s="24"/>
      <c r="G18522" s="24"/>
      <c r="H18522" s="24"/>
      <c r="I18522" s="24"/>
      <c r="J18522" s="24"/>
      <c r="K18522" s="24"/>
      <c r="L18522" s="24"/>
      <c r="M18522" s="24"/>
      <c r="N18522" s="24"/>
      <c r="O18522" s="24"/>
      <c r="P18522" s="24"/>
      <c r="Q18522" s="24"/>
      <c r="R18522" s="24"/>
      <c r="S18522" s="24"/>
      <c r="T18522" s="24"/>
      <c r="U18522" s="24"/>
      <c r="V18522" s="24"/>
      <c r="W18522" s="24"/>
      <c r="X18522" s="24"/>
      <c r="Y18522" s="24"/>
      <c r="Z18522" s="24"/>
      <c r="AA18522" s="24"/>
    </row>
    <row r="18523">
      <c r="A18523" s="24"/>
      <c r="B18523" s="25"/>
      <c r="C18523" s="24"/>
      <c r="D18523" s="26"/>
      <c r="E18523" s="24"/>
      <c r="F18523" s="24"/>
      <c r="G18523" s="24"/>
      <c r="H18523" s="24"/>
      <c r="I18523" s="24"/>
      <c r="J18523" s="24"/>
      <c r="K18523" s="24"/>
      <c r="L18523" s="24"/>
      <c r="M18523" s="24"/>
      <c r="N18523" s="24"/>
      <c r="O18523" s="24"/>
      <c r="P18523" s="24"/>
      <c r="Q18523" s="24"/>
      <c r="R18523" s="24"/>
      <c r="S18523" s="24"/>
      <c r="T18523" s="24"/>
      <c r="U18523" s="24"/>
      <c r="V18523" s="24"/>
      <c r="W18523" s="24"/>
      <c r="X18523" s="24"/>
      <c r="Y18523" s="24"/>
      <c r="Z18523" s="24"/>
      <c r="AA18523" s="24"/>
    </row>
    <row r="18524">
      <c r="A18524" s="24"/>
      <c r="B18524" s="25"/>
      <c r="C18524" s="24"/>
      <c r="D18524" s="26"/>
      <c r="E18524" s="24"/>
      <c r="F18524" s="24"/>
      <c r="G18524" s="24"/>
      <c r="H18524" s="24"/>
      <c r="I18524" s="24"/>
      <c r="J18524" s="24"/>
      <c r="K18524" s="24"/>
      <c r="L18524" s="24"/>
      <c r="M18524" s="24"/>
      <c r="N18524" s="24"/>
      <c r="O18524" s="24"/>
      <c r="P18524" s="24"/>
      <c r="Q18524" s="24"/>
      <c r="R18524" s="24"/>
      <c r="S18524" s="24"/>
      <c r="T18524" s="24"/>
      <c r="U18524" s="24"/>
      <c r="V18524" s="24"/>
      <c r="W18524" s="24"/>
      <c r="X18524" s="24"/>
      <c r="Y18524" s="24"/>
      <c r="Z18524" s="24"/>
      <c r="AA18524" s="24"/>
    </row>
    <row r="18525">
      <c r="A18525" s="24"/>
      <c r="B18525" s="25"/>
      <c r="C18525" s="24"/>
      <c r="D18525" s="26"/>
      <c r="E18525" s="24"/>
      <c r="F18525" s="24"/>
      <c r="G18525" s="24"/>
      <c r="H18525" s="24"/>
      <c r="I18525" s="24"/>
      <c r="J18525" s="24"/>
      <c r="K18525" s="24"/>
      <c r="L18525" s="24"/>
      <c r="M18525" s="24"/>
      <c r="N18525" s="24"/>
      <c r="O18525" s="24"/>
      <c r="P18525" s="24"/>
      <c r="Q18525" s="24"/>
      <c r="R18525" s="24"/>
      <c r="S18525" s="24"/>
      <c r="T18525" s="24"/>
      <c r="U18525" s="24"/>
      <c r="V18525" s="24"/>
      <c r="W18525" s="24"/>
      <c r="X18525" s="24"/>
      <c r="Y18525" s="24"/>
      <c r="Z18525" s="24"/>
      <c r="AA18525" s="24"/>
    </row>
    <row r="18526">
      <c r="A18526" s="24"/>
      <c r="B18526" s="25"/>
      <c r="C18526" s="24"/>
      <c r="D18526" s="26"/>
      <c r="E18526" s="24"/>
      <c r="F18526" s="24"/>
      <c r="G18526" s="24"/>
      <c r="H18526" s="24"/>
      <c r="I18526" s="24"/>
      <c r="J18526" s="24"/>
      <c r="K18526" s="24"/>
      <c r="L18526" s="24"/>
      <c r="M18526" s="24"/>
      <c r="N18526" s="24"/>
      <c r="O18526" s="24"/>
      <c r="P18526" s="24"/>
      <c r="Q18526" s="24"/>
      <c r="R18526" s="24"/>
      <c r="S18526" s="24"/>
      <c r="T18526" s="24"/>
      <c r="U18526" s="24"/>
      <c r="V18526" s="24"/>
      <c r="W18526" s="24"/>
      <c r="X18526" s="24"/>
      <c r="Y18526" s="24"/>
      <c r="Z18526" s="24"/>
      <c r="AA18526" s="24"/>
    </row>
    <row r="18527">
      <c r="A18527" s="24"/>
      <c r="B18527" s="25"/>
      <c r="C18527" s="24"/>
      <c r="D18527" s="26"/>
      <c r="E18527" s="24"/>
      <c r="F18527" s="24"/>
      <c r="G18527" s="24"/>
      <c r="H18527" s="24"/>
      <c r="I18527" s="24"/>
      <c r="J18527" s="24"/>
      <c r="K18527" s="24"/>
      <c r="L18527" s="24"/>
      <c r="M18527" s="24"/>
      <c r="N18527" s="24"/>
      <c r="O18527" s="24"/>
      <c r="P18527" s="24"/>
      <c r="Q18527" s="24"/>
      <c r="R18527" s="24"/>
      <c r="S18527" s="24"/>
      <c r="T18527" s="24"/>
      <c r="U18527" s="24"/>
      <c r="V18527" s="24"/>
      <c r="W18527" s="24"/>
      <c r="X18527" s="24"/>
      <c r="Y18527" s="24"/>
      <c r="Z18527" s="24"/>
      <c r="AA18527" s="24"/>
    </row>
    <row r="18528">
      <c r="A18528" s="24"/>
      <c r="B18528" s="25"/>
      <c r="C18528" s="24"/>
      <c r="D18528" s="26"/>
      <c r="E18528" s="24"/>
      <c r="F18528" s="24"/>
      <c r="G18528" s="24"/>
      <c r="H18528" s="24"/>
      <c r="I18528" s="24"/>
      <c r="J18528" s="24"/>
      <c r="K18528" s="24"/>
      <c r="L18528" s="24"/>
      <c r="M18528" s="24"/>
      <c r="N18528" s="24"/>
      <c r="O18528" s="24"/>
      <c r="P18528" s="24"/>
      <c r="Q18528" s="24"/>
      <c r="R18528" s="24"/>
      <c r="S18528" s="24"/>
      <c r="T18528" s="24"/>
      <c r="U18528" s="24"/>
      <c r="V18528" s="24"/>
      <c r="W18528" s="24"/>
      <c r="X18528" s="24"/>
      <c r="Y18528" s="24"/>
      <c r="Z18528" s="24"/>
      <c r="AA18528" s="24"/>
    </row>
    <row r="18529">
      <c r="A18529" s="24"/>
      <c r="B18529" s="25"/>
      <c r="C18529" s="24"/>
      <c r="D18529" s="26"/>
      <c r="E18529" s="24"/>
      <c r="F18529" s="24"/>
      <c r="G18529" s="24"/>
      <c r="H18529" s="24"/>
      <c r="I18529" s="24"/>
      <c r="J18529" s="24"/>
      <c r="K18529" s="24"/>
      <c r="L18529" s="24"/>
      <c r="M18529" s="24"/>
      <c r="N18529" s="24"/>
      <c r="O18529" s="24"/>
      <c r="P18529" s="24"/>
      <c r="Q18529" s="24"/>
      <c r="R18529" s="24"/>
      <c r="S18529" s="24"/>
      <c r="T18529" s="24"/>
      <c r="U18529" s="24"/>
      <c r="V18529" s="24"/>
      <c r="W18529" s="24"/>
      <c r="X18529" s="24"/>
      <c r="Y18529" s="24"/>
      <c r="Z18529" s="24"/>
      <c r="AA18529" s="24"/>
    </row>
    <row r="18530">
      <c r="A18530" s="24"/>
      <c r="B18530" s="25"/>
      <c r="C18530" s="24"/>
      <c r="D18530" s="26"/>
      <c r="E18530" s="24"/>
      <c r="F18530" s="24"/>
      <c r="G18530" s="24"/>
      <c r="H18530" s="24"/>
      <c r="I18530" s="24"/>
      <c r="J18530" s="24"/>
      <c r="K18530" s="24"/>
      <c r="L18530" s="24"/>
      <c r="M18530" s="24"/>
      <c r="N18530" s="24"/>
      <c r="O18530" s="24"/>
      <c r="P18530" s="24"/>
      <c r="Q18530" s="24"/>
      <c r="R18530" s="24"/>
      <c r="S18530" s="24"/>
      <c r="T18530" s="24"/>
      <c r="U18530" s="24"/>
      <c r="V18530" s="24"/>
      <c r="W18530" s="24"/>
      <c r="X18530" s="24"/>
      <c r="Y18530" s="24"/>
      <c r="Z18530" s="24"/>
      <c r="AA18530" s="24"/>
    </row>
    <row r="18531">
      <c r="A18531" s="24"/>
      <c r="B18531" s="25"/>
      <c r="C18531" s="24"/>
      <c r="D18531" s="26"/>
      <c r="E18531" s="24"/>
      <c r="F18531" s="24"/>
      <c r="G18531" s="24"/>
      <c r="H18531" s="24"/>
      <c r="I18531" s="24"/>
      <c r="J18531" s="24"/>
      <c r="K18531" s="24"/>
      <c r="L18531" s="24"/>
      <c r="M18531" s="24"/>
      <c r="N18531" s="24"/>
      <c r="O18531" s="24"/>
      <c r="P18531" s="24"/>
      <c r="Q18531" s="24"/>
      <c r="R18531" s="24"/>
      <c r="S18531" s="24"/>
      <c r="T18531" s="24"/>
      <c r="U18531" s="24"/>
      <c r="V18531" s="24"/>
      <c r="W18531" s="24"/>
      <c r="X18531" s="24"/>
      <c r="Y18531" s="24"/>
      <c r="Z18531" s="24"/>
      <c r="AA18531" s="24"/>
    </row>
    <row r="18532">
      <c r="A18532" s="24"/>
      <c r="B18532" s="25"/>
      <c r="C18532" s="24"/>
      <c r="D18532" s="26"/>
      <c r="E18532" s="24"/>
      <c r="F18532" s="24"/>
      <c r="G18532" s="24"/>
      <c r="H18532" s="24"/>
      <c r="I18532" s="24"/>
      <c r="J18532" s="24"/>
      <c r="K18532" s="24"/>
      <c r="L18532" s="24"/>
      <c r="M18532" s="24"/>
      <c r="N18532" s="24"/>
      <c r="O18532" s="24"/>
      <c r="P18532" s="24"/>
      <c r="Q18532" s="24"/>
      <c r="R18532" s="24"/>
      <c r="S18532" s="24"/>
      <c r="T18532" s="24"/>
      <c r="U18532" s="24"/>
      <c r="V18532" s="24"/>
      <c r="W18532" s="24"/>
      <c r="X18532" s="24"/>
      <c r="Y18532" s="24"/>
      <c r="Z18532" s="24"/>
      <c r="AA18532" s="24"/>
    </row>
    <row r="18533">
      <c r="A18533" s="24"/>
      <c r="B18533" s="25"/>
      <c r="C18533" s="24"/>
      <c r="D18533" s="26"/>
      <c r="E18533" s="24"/>
      <c r="F18533" s="24"/>
      <c r="G18533" s="24"/>
      <c r="H18533" s="24"/>
      <c r="I18533" s="24"/>
      <c r="J18533" s="24"/>
      <c r="K18533" s="24"/>
      <c r="L18533" s="24"/>
      <c r="M18533" s="24"/>
      <c r="N18533" s="24"/>
      <c r="O18533" s="24"/>
      <c r="P18533" s="24"/>
      <c r="Q18533" s="24"/>
      <c r="R18533" s="24"/>
      <c r="S18533" s="24"/>
      <c r="T18533" s="24"/>
      <c r="U18533" s="24"/>
      <c r="V18533" s="24"/>
      <c r="W18533" s="24"/>
      <c r="X18533" s="24"/>
      <c r="Y18533" s="24"/>
      <c r="Z18533" s="24"/>
      <c r="AA18533" s="24"/>
    </row>
    <row r="18534">
      <c r="A18534" s="24"/>
      <c r="B18534" s="25"/>
      <c r="C18534" s="24"/>
      <c r="D18534" s="26"/>
      <c r="E18534" s="24"/>
      <c r="F18534" s="24"/>
      <c r="G18534" s="24"/>
      <c r="H18534" s="24"/>
      <c r="I18534" s="24"/>
      <c r="J18534" s="24"/>
      <c r="K18534" s="24"/>
      <c r="L18534" s="24"/>
      <c r="M18534" s="24"/>
      <c r="N18534" s="24"/>
      <c r="O18534" s="24"/>
      <c r="P18534" s="24"/>
      <c r="Q18534" s="24"/>
      <c r="R18534" s="24"/>
      <c r="S18534" s="24"/>
      <c r="T18534" s="24"/>
      <c r="U18534" s="24"/>
      <c r="V18534" s="24"/>
      <c r="W18534" s="24"/>
      <c r="X18534" s="24"/>
      <c r="Y18534" s="24"/>
      <c r="Z18534" s="24"/>
      <c r="AA18534" s="24"/>
    </row>
    <row r="18535">
      <c r="A18535" s="24"/>
      <c r="B18535" s="25"/>
      <c r="C18535" s="24"/>
      <c r="D18535" s="26"/>
      <c r="E18535" s="24"/>
      <c r="F18535" s="24"/>
      <c r="G18535" s="24"/>
      <c r="H18535" s="24"/>
      <c r="I18535" s="24"/>
      <c r="J18535" s="24"/>
      <c r="K18535" s="24"/>
      <c r="L18535" s="24"/>
      <c r="M18535" s="24"/>
      <c r="N18535" s="24"/>
      <c r="O18535" s="24"/>
      <c r="P18535" s="24"/>
      <c r="Q18535" s="24"/>
      <c r="R18535" s="24"/>
      <c r="S18535" s="24"/>
      <c r="T18535" s="24"/>
      <c r="U18535" s="24"/>
      <c r="V18535" s="24"/>
      <c r="W18535" s="24"/>
      <c r="X18535" s="24"/>
      <c r="Y18535" s="24"/>
      <c r="Z18535" s="24"/>
      <c r="AA18535" s="24"/>
    </row>
    <row r="18536">
      <c r="A18536" s="24"/>
      <c r="B18536" s="25"/>
      <c r="C18536" s="24"/>
      <c r="D18536" s="26"/>
      <c r="E18536" s="24"/>
      <c r="F18536" s="24"/>
      <c r="G18536" s="24"/>
      <c r="H18536" s="24"/>
      <c r="I18536" s="24"/>
      <c r="J18536" s="24"/>
      <c r="K18536" s="24"/>
      <c r="L18536" s="24"/>
      <c r="M18536" s="24"/>
      <c r="N18536" s="24"/>
      <c r="O18536" s="24"/>
      <c r="P18536" s="24"/>
      <c r="Q18536" s="24"/>
      <c r="R18536" s="24"/>
      <c r="S18536" s="24"/>
      <c r="T18536" s="24"/>
      <c r="U18536" s="24"/>
      <c r="V18536" s="24"/>
      <c r="W18536" s="24"/>
      <c r="X18536" s="24"/>
      <c r="Y18536" s="24"/>
      <c r="Z18536" s="24"/>
      <c r="AA18536" s="24"/>
    </row>
    <row r="18537">
      <c r="A18537" s="24"/>
      <c r="B18537" s="25"/>
      <c r="C18537" s="24"/>
      <c r="D18537" s="26"/>
      <c r="E18537" s="24"/>
      <c r="F18537" s="24"/>
      <c r="G18537" s="24"/>
      <c r="H18537" s="24"/>
      <c r="I18537" s="24"/>
      <c r="J18537" s="24"/>
      <c r="K18537" s="24"/>
      <c r="L18537" s="24"/>
      <c r="M18537" s="24"/>
      <c r="N18537" s="24"/>
      <c r="O18537" s="24"/>
      <c r="P18537" s="24"/>
      <c r="Q18537" s="24"/>
      <c r="R18537" s="24"/>
      <c r="S18537" s="24"/>
      <c r="T18537" s="24"/>
      <c r="U18537" s="24"/>
      <c r="V18537" s="24"/>
      <c r="W18537" s="24"/>
      <c r="X18537" s="24"/>
      <c r="Y18537" s="24"/>
      <c r="Z18537" s="24"/>
      <c r="AA18537" s="24"/>
    </row>
    <row r="18538">
      <c r="A18538" s="24"/>
      <c r="B18538" s="25"/>
      <c r="C18538" s="24"/>
      <c r="D18538" s="26"/>
      <c r="E18538" s="24"/>
      <c r="F18538" s="24"/>
      <c r="G18538" s="24"/>
      <c r="H18538" s="24"/>
      <c r="I18538" s="24"/>
      <c r="J18538" s="24"/>
      <c r="K18538" s="24"/>
      <c r="L18538" s="24"/>
      <c r="M18538" s="24"/>
      <c r="N18538" s="24"/>
      <c r="O18538" s="24"/>
      <c r="P18538" s="24"/>
      <c r="Q18538" s="24"/>
      <c r="R18538" s="24"/>
      <c r="S18538" s="24"/>
      <c r="T18538" s="24"/>
      <c r="U18538" s="24"/>
      <c r="V18538" s="24"/>
      <c r="W18538" s="24"/>
      <c r="X18538" s="24"/>
      <c r="Y18538" s="24"/>
      <c r="Z18538" s="24"/>
      <c r="AA18538" s="24"/>
    </row>
    <row r="18539">
      <c r="A18539" s="24"/>
      <c r="B18539" s="25"/>
      <c r="C18539" s="24"/>
      <c r="D18539" s="26"/>
      <c r="E18539" s="24"/>
      <c r="F18539" s="24"/>
      <c r="G18539" s="24"/>
      <c r="H18539" s="24"/>
      <c r="I18539" s="24"/>
      <c r="J18539" s="24"/>
      <c r="K18539" s="24"/>
      <c r="L18539" s="24"/>
      <c r="M18539" s="24"/>
      <c r="N18539" s="24"/>
      <c r="O18539" s="24"/>
      <c r="P18539" s="24"/>
      <c r="Q18539" s="24"/>
      <c r="R18539" s="24"/>
      <c r="S18539" s="24"/>
      <c r="T18539" s="24"/>
      <c r="U18539" s="24"/>
      <c r="V18539" s="24"/>
      <c r="W18539" s="24"/>
      <c r="X18539" s="24"/>
      <c r="Y18539" s="24"/>
      <c r="Z18539" s="24"/>
      <c r="AA18539" s="24"/>
    </row>
    <row r="18540">
      <c r="A18540" s="24"/>
      <c r="B18540" s="25"/>
      <c r="C18540" s="24"/>
      <c r="D18540" s="26"/>
      <c r="E18540" s="24"/>
      <c r="F18540" s="24"/>
      <c r="G18540" s="24"/>
      <c r="H18540" s="24"/>
      <c r="I18540" s="24"/>
      <c r="J18540" s="24"/>
      <c r="K18540" s="24"/>
      <c r="L18540" s="24"/>
      <c r="M18540" s="24"/>
      <c r="N18540" s="24"/>
      <c r="O18540" s="24"/>
      <c r="P18540" s="24"/>
      <c r="Q18540" s="24"/>
      <c r="R18540" s="24"/>
      <c r="S18540" s="24"/>
      <c r="T18540" s="24"/>
      <c r="U18540" s="24"/>
      <c r="V18540" s="24"/>
      <c r="W18540" s="24"/>
      <c r="X18540" s="24"/>
      <c r="Y18540" s="24"/>
      <c r="Z18540" s="24"/>
      <c r="AA18540" s="24"/>
    </row>
    <row r="18541">
      <c r="A18541" s="24"/>
      <c r="B18541" s="25"/>
      <c r="C18541" s="24"/>
      <c r="D18541" s="26"/>
      <c r="E18541" s="24"/>
      <c r="F18541" s="24"/>
      <c r="G18541" s="24"/>
      <c r="H18541" s="24"/>
      <c r="I18541" s="24"/>
      <c r="J18541" s="24"/>
      <c r="K18541" s="24"/>
      <c r="L18541" s="24"/>
      <c r="M18541" s="24"/>
      <c r="N18541" s="24"/>
      <c r="O18541" s="24"/>
      <c r="P18541" s="24"/>
      <c r="Q18541" s="24"/>
      <c r="R18541" s="24"/>
      <c r="S18541" s="24"/>
      <c r="T18541" s="24"/>
      <c r="U18541" s="24"/>
      <c r="V18541" s="24"/>
      <c r="W18541" s="24"/>
      <c r="X18541" s="24"/>
      <c r="Y18541" s="24"/>
      <c r="Z18541" s="24"/>
      <c r="AA18541" s="24"/>
    </row>
    <row r="18542">
      <c r="A18542" s="24"/>
      <c r="B18542" s="25"/>
      <c r="C18542" s="24"/>
      <c r="D18542" s="26"/>
      <c r="E18542" s="24"/>
      <c r="F18542" s="24"/>
      <c r="G18542" s="24"/>
      <c r="H18542" s="24"/>
      <c r="I18542" s="24"/>
      <c r="J18542" s="24"/>
      <c r="K18542" s="24"/>
      <c r="L18542" s="24"/>
      <c r="M18542" s="24"/>
      <c r="N18542" s="24"/>
      <c r="O18542" s="24"/>
      <c r="P18542" s="24"/>
      <c r="Q18542" s="24"/>
      <c r="R18542" s="24"/>
      <c r="S18542" s="24"/>
      <c r="T18542" s="24"/>
      <c r="U18542" s="24"/>
      <c r="V18542" s="24"/>
      <c r="W18542" s="24"/>
      <c r="X18542" s="24"/>
      <c r="Y18542" s="24"/>
      <c r="Z18542" s="24"/>
      <c r="AA18542" s="24"/>
    </row>
    <row r="18543">
      <c r="A18543" s="24"/>
      <c r="B18543" s="25"/>
      <c r="C18543" s="24"/>
      <c r="D18543" s="26"/>
      <c r="E18543" s="24"/>
      <c r="F18543" s="24"/>
      <c r="G18543" s="24"/>
      <c r="H18543" s="24"/>
      <c r="I18543" s="24"/>
      <c r="J18543" s="24"/>
      <c r="K18543" s="24"/>
      <c r="L18543" s="24"/>
      <c r="M18543" s="24"/>
      <c r="N18543" s="24"/>
      <c r="O18543" s="24"/>
      <c r="P18543" s="24"/>
      <c r="Q18543" s="24"/>
      <c r="R18543" s="24"/>
      <c r="S18543" s="24"/>
      <c r="T18543" s="24"/>
      <c r="U18543" s="24"/>
      <c r="V18543" s="24"/>
      <c r="W18543" s="24"/>
      <c r="X18543" s="24"/>
      <c r="Y18543" s="24"/>
      <c r="Z18543" s="24"/>
      <c r="AA18543" s="24"/>
    </row>
    <row r="18544">
      <c r="A18544" s="24"/>
      <c r="B18544" s="25"/>
      <c r="C18544" s="24"/>
      <c r="D18544" s="26"/>
      <c r="E18544" s="24"/>
      <c r="F18544" s="24"/>
      <c r="G18544" s="24"/>
      <c r="H18544" s="24"/>
      <c r="I18544" s="24"/>
      <c r="J18544" s="24"/>
      <c r="K18544" s="24"/>
      <c r="L18544" s="24"/>
      <c r="M18544" s="24"/>
      <c r="N18544" s="24"/>
      <c r="O18544" s="24"/>
      <c r="P18544" s="24"/>
      <c r="Q18544" s="24"/>
      <c r="R18544" s="24"/>
      <c r="S18544" s="24"/>
      <c r="T18544" s="24"/>
      <c r="U18544" s="24"/>
      <c r="V18544" s="24"/>
      <c r="W18544" s="24"/>
      <c r="X18544" s="24"/>
      <c r="Y18544" s="24"/>
      <c r="Z18544" s="24"/>
      <c r="AA18544" s="24"/>
    </row>
    <row r="18545">
      <c r="A18545" s="24"/>
      <c r="B18545" s="25"/>
      <c r="C18545" s="24"/>
      <c r="D18545" s="26"/>
      <c r="E18545" s="24"/>
      <c r="F18545" s="24"/>
      <c r="G18545" s="24"/>
      <c r="H18545" s="24"/>
      <c r="I18545" s="24"/>
      <c r="J18545" s="24"/>
      <c r="K18545" s="24"/>
      <c r="L18545" s="24"/>
      <c r="M18545" s="24"/>
      <c r="N18545" s="24"/>
      <c r="O18545" s="24"/>
      <c r="P18545" s="24"/>
      <c r="Q18545" s="24"/>
      <c r="R18545" s="24"/>
      <c r="S18545" s="24"/>
      <c r="T18545" s="24"/>
      <c r="U18545" s="24"/>
      <c r="V18545" s="24"/>
      <c r="W18545" s="24"/>
      <c r="X18545" s="24"/>
      <c r="Y18545" s="24"/>
      <c r="Z18545" s="24"/>
      <c r="AA18545" s="24"/>
    </row>
    <row r="18546">
      <c r="A18546" s="24"/>
      <c r="B18546" s="25"/>
      <c r="C18546" s="24"/>
      <c r="D18546" s="26"/>
      <c r="E18546" s="24"/>
      <c r="F18546" s="24"/>
      <c r="G18546" s="24"/>
      <c r="H18546" s="24"/>
      <c r="I18546" s="24"/>
      <c r="J18546" s="24"/>
      <c r="K18546" s="24"/>
      <c r="L18546" s="24"/>
      <c r="M18546" s="24"/>
      <c r="N18546" s="24"/>
      <c r="O18546" s="24"/>
      <c r="P18546" s="24"/>
      <c r="Q18546" s="24"/>
      <c r="R18546" s="24"/>
      <c r="S18546" s="24"/>
      <c r="T18546" s="24"/>
      <c r="U18546" s="24"/>
      <c r="V18546" s="24"/>
      <c r="W18546" s="24"/>
      <c r="X18546" s="24"/>
      <c r="Y18546" s="24"/>
      <c r="Z18546" s="24"/>
      <c r="AA18546" s="24"/>
    </row>
    <row r="18547">
      <c r="A18547" s="24"/>
      <c r="B18547" s="25"/>
      <c r="C18547" s="24"/>
      <c r="D18547" s="26"/>
      <c r="E18547" s="24"/>
      <c r="F18547" s="24"/>
      <c r="G18547" s="24"/>
      <c r="H18547" s="24"/>
      <c r="I18547" s="24"/>
      <c r="J18547" s="24"/>
      <c r="K18547" s="24"/>
      <c r="L18547" s="24"/>
      <c r="M18547" s="24"/>
      <c r="N18547" s="24"/>
      <c r="O18547" s="24"/>
      <c r="P18547" s="24"/>
      <c r="Q18547" s="24"/>
      <c r="R18547" s="24"/>
      <c r="S18547" s="24"/>
      <c r="T18547" s="24"/>
      <c r="U18547" s="24"/>
      <c r="V18547" s="24"/>
      <c r="W18547" s="24"/>
      <c r="X18547" s="24"/>
      <c r="Y18547" s="24"/>
      <c r="Z18547" s="24"/>
      <c r="AA18547" s="24"/>
    </row>
    <row r="18548">
      <c r="A18548" s="24"/>
      <c r="B18548" s="25"/>
      <c r="C18548" s="24"/>
      <c r="D18548" s="26"/>
      <c r="E18548" s="24"/>
      <c r="F18548" s="24"/>
      <c r="G18548" s="24"/>
      <c r="H18548" s="24"/>
      <c r="I18548" s="24"/>
      <c r="J18548" s="24"/>
      <c r="K18548" s="24"/>
      <c r="L18548" s="24"/>
      <c r="M18548" s="24"/>
      <c r="N18548" s="24"/>
      <c r="O18548" s="24"/>
      <c r="P18548" s="24"/>
      <c r="Q18548" s="24"/>
      <c r="R18548" s="24"/>
      <c r="S18548" s="24"/>
      <c r="T18548" s="24"/>
      <c r="U18548" s="24"/>
      <c r="V18548" s="24"/>
      <c r="W18548" s="24"/>
      <c r="X18548" s="24"/>
      <c r="Y18548" s="24"/>
      <c r="Z18548" s="24"/>
      <c r="AA18548" s="24"/>
    </row>
    <row r="18549">
      <c r="A18549" s="24"/>
      <c r="B18549" s="25"/>
      <c r="C18549" s="24"/>
      <c r="D18549" s="26"/>
      <c r="E18549" s="24"/>
      <c r="F18549" s="24"/>
      <c r="G18549" s="24"/>
      <c r="H18549" s="24"/>
      <c r="I18549" s="24"/>
      <c r="J18549" s="24"/>
      <c r="K18549" s="24"/>
      <c r="L18549" s="24"/>
      <c r="M18549" s="24"/>
      <c r="N18549" s="24"/>
      <c r="O18549" s="24"/>
      <c r="P18549" s="24"/>
      <c r="Q18549" s="24"/>
      <c r="R18549" s="24"/>
      <c r="S18549" s="24"/>
      <c r="T18549" s="24"/>
      <c r="U18549" s="24"/>
      <c r="V18549" s="24"/>
      <c r="W18549" s="24"/>
      <c r="X18549" s="24"/>
      <c r="Y18549" s="24"/>
      <c r="Z18549" s="24"/>
      <c r="AA18549" s="24"/>
    </row>
    <row r="18550">
      <c r="A18550" s="24"/>
      <c r="B18550" s="25"/>
      <c r="C18550" s="24"/>
      <c r="D18550" s="26"/>
      <c r="E18550" s="24"/>
      <c r="F18550" s="24"/>
      <c r="G18550" s="24"/>
      <c r="H18550" s="24"/>
      <c r="I18550" s="24"/>
      <c r="J18550" s="24"/>
      <c r="K18550" s="24"/>
      <c r="L18550" s="24"/>
      <c r="M18550" s="24"/>
      <c r="N18550" s="24"/>
      <c r="O18550" s="24"/>
      <c r="P18550" s="24"/>
      <c r="Q18550" s="24"/>
      <c r="R18550" s="24"/>
      <c r="S18550" s="24"/>
      <c r="T18550" s="24"/>
      <c r="U18550" s="24"/>
      <c r="V18550" s="24"/>
      <c r="W18550" s="24"/>
      <c r="X18550" s="24"/>
      <c r="Y18550" s="24"/>
      <c r="Z18550" s="24"/>
      <c r="AA18550" s="24"/>
    </row>
    <row r="18551">
      <c r="A18551" s="24"/>
      <c r="B18551" s="25"/>
      <c r="C18551" s="24"/>
      <c r="D18551" s="26"/>
      <c r="E18551" s="24"/>
      <c r="F18551" s="24"/>
      <c r="G18551" s="24"/>
      <c r="H18551" s="24"/>
      <c r="I18551" s="24"/>
      <c r="J18551" s="24"/>
      <c r="K18551" s="24"/>
      <c r="L18551" s="24"/>
      <c r="M18551" s="24"/>
      <c r="N18551" s="24"/>
      <c r="O18551" s="24"/>
      <c r="P18551" s="24"/>
      <c r="Q18551" s="24"/>
      <c r="R18551" s="24"/>
      <c r="S18551" s="24"/>
      <c r="T18551" s="24"/>
      <c r="U18551" s="24"/>
      <c r="V18551" s="24"/>
      <c r="W18551" s="24"/>
      <c r="X18551" s="24"/>
      <c r="Y18551" s="24"/>
      <c r="Z18551" s="24"/>
      <c r="AA18551" s="24"/>
    </row>
    <row r="18552">
      <c r="A18552" s="24"/>
      <c r="B18552" s="25"/>
      <c r="C18552" s="24"/>
      <c r="D18552" s="26"/>
      <c r="E18552" s="24"/>
      <c r="F18552" s="24"/>
      <c r="G18552" s="24"/>
      <c r="H18552" s="24"/>
      <c r="I18552" s="24"/>
      <c r="J18552" s="24"/>
      <c r="K18552" s="24"/>
      <c r="L18552" s="24"/>
      <c r="M18552" s="24"/>
      <c r="N18552" s="24"/>
      <c r="O18552" s="24"/>
      <c r="P18552" s="24"/>
      <c r="Q18552" s="24"/>
      <c r="R18552" s="24"/>
      <c r="S18552" s="24"/>
      <c r="T18552" s="24"/>
      <c r="U18552" s="24"/>
      <c r="V18552" s="24"/>
      <c r="W18552" s="24"/>
      <c r="X18552" s="24"/>
      <c r="Y18552" s="24"/>
      <c r="Z18552" s="24"/>
      <c r="AA18552" s="24"/>
    </row>
    <row r="18553">
      <c r="A18553" s="24"/>
      <c r="B18553" s="25"/>
      <c r="C18553" s="24"/>
      <c r="D18553" s="26"/>
      <c r="E18553" s="24"/>
      <c r="F18553" s="24"/>
      <c r="G18553" s="24"/>
      <c r="H18553" s="24"/>
      <c r="I18553" s="24"/>
      <c r="J18553" s="24"/>
      <c r="K18553" s="24"/>
      <c r="L18553" s="24"/>
      <c r="M18553" s="24"/>
      <c r="N18553" s="24"/>
      <c r="O18553" s="24"/>
      <c r="P18553" s="24"/>
      <c r="Q18553" s="24"/>
      <c r="R18553" s="24"/>
      <c r="S18553" s="24"/>
      <c r="T18553" s="24"/>
      <c r="U18553" s="24"/>
      <c r="V18553" s="24"/>
      <c r="W18553" s="24"/>
      <c r="X18553" s="24"/>
      <c r="Y18553" s="24"/>
      <c r="Z18553" s="24"/>
      <c r="AA18553" s="24"/>
    </row>
    <row r="18554">
      <c r="A18554" s="24"/>
      <c r="B18554" s="25"/>
      <c r="C18554" s="24"/>
      <c r="D18554" s="26"/>
      <c r="E18554" s="24"/>
      <c r="F18554" s="24"/>
      <c r="G18554" s="24"/>
      <c r="H18554" s="24"/>
      <c r="I18554" s="24"/>
      <c r="J18554" s="24"/>
      <c r="K18554" s="24"/>
      <c r="L18554" s="24"/>
      <c r="M18554" s="24"/>
      <c r="N18554" s="24"/>
      <c r="O18554" s="24"/>
      <c r="P18554" s="24"/>
      <c r="Q18554" s="24"/>
      <c r="R18554" s="24"/>
      <c r="S18554" s="24"/>
      <c r="T18554" s="24"/>
      <c r="U18554" s="24"/>
      <c r="V18554" s="24"/>
      <c r="W18554" s="24"/>
      <c r="X18554" s="24"/>
      <c r="Y18554" s="24"/>
      <c r="Z18554" s="24"/>
      <c r="AA18554" s="24"/>
    </row>
    <row r="18555">
      <c r="A18555" s="24"/>
      <c r="B18555" s="25"/>
      <c r="C18555" s="24"/>
      <c r="D18555" s="26"/>
      <c r="E18555" s="24"/>
      <c r="F18555" s="24"/>
      <c r="G18555" s="24"/>
      <c r="H18555" s="24"/>
      <c r="I18555" s="24"/>
      <c r="J18555" s="24"/>
      <c r="K18555" s="24"/>
      <c r="L18555" s="24"/>
      <c r="M18555" s="24"/>
      <c r="N18555" s="24"/>
      <c r="O18555" s="24"/>
      <c r="P18555" s="24"/>
      <c r="Q18555" s="24"/>
      <c r="R18555" s="24"/>
      <c r="S18555" s="24"/>
      <c r="T18555" s="24"/>
      <c r="U18555" s="24"/>
      <c r="V18555" s="24"/>
      <c r="W18555" s="24"/>
      <c r="X18555" s="24"/>
      <c r="Y18555" s="24"/>
      <c r="Z18555" s="24"/>
      <c r="AA18555" s="24"/>
    </row>
    <row r="18556">
      <c r="A18556" s="24"/>
      <c r="B18556" s="25"/>
      <c r="C18556" s="24"/>
      <c r="D18556" s="26"/>
      <c r="E18556" s="24"/>
      <c r="F18556" s="24"/>
      <c r="G18556" s="24"/>
      <c r="H18556" s="24"/>
      <c r="I18556" s="24"/>
      <c r="J18556" s="24"/>
      <c r="K18556" s="24"/>
      <c r="L18556" s="24"/>
      <c r="M18556" s="24"/>
      <c r="N18556" s="24"/>
      <c r="O18556" s="24"/>
      <c r="P18556" s="24"/>
      <c r="Q18556" s="24"/>
      <c r="R18556" s="24"/>
      <c r="S18556" s="24"/>
      <c r="T18556" s="24"/>
      <c r="U18556" s="24"/>
      <c r="V18556" s="24"/>
      <c r="W18556" s="24"/>
      <c r="X18556" s="24"/>
      <c r="Y18556" s="24"/>
      <c r="Z18556" s="24"/>
      <c r="AA18556" s="24"/>
    </row>
    <row r="18557">
      <c r="A18557" s="24"/>
      <c r="B18557" s="25"/>
      <c r="C18557" s="24"/>
      <c r="D18557" s="26"/>
      <c r="E18557" s="24"/>
      <c r="F18557" s="24"/>
      <c r="G18557" s="24"/>
      <c r="H18557" s="24"/>
      <c r="I18557" s="24"/>
      <c r="J18557" s="24"/>
      <c r="K18557" s="24"/>
      <c r="L18557" s="24"/>
      <c r="M18557" s="24"/>
      <c r="N18557" s="24"/>
      <c r="O18557" s="24"/>
      <c r="P18557" s="24"/>
      <c r="Q18557" s="24"/>
      <c r="R18557" s="24"/>
      <c r="S18557" s="24"/>
      <c r="T18557" s="24"/>
      <c r="U18557" s="24"/>
      <c r="V18557" s="24"/>
      <c r="W18557" s="24"/>
      <c r="X18557" s="24"/>
      <c r="Y18557" s="24"/>
      <c r="Z18557" s="24"/>
      <c r="AA18557" s="24"/>
    </row>
    <row r="18558">
      <c r="A18558" s="24"/>
      <c r="B18558" s="25"/>
      <c r="C18558" s="24"/>
      <c r="D18558" s="26"/>
      <c r="E18558" s="24"/>
      <c r="F18558" s="24"/>
      <c r="G18558" s="24"/>
      <c r="H18558" s="24"/>
      <c r="I18558" s="24"/>
      <c r="J18558" s="24"/>
      <c r="K18558" s="24"/>
      <c r="L18558" s="24"/>
      <c r="M18558" s="24"/>
      <c r="N18558" s="24"/>
      <c r="O18558" s="24"/>
      <c r="P18558" s="24"/>
      <c r="Q18558" s="24"/>
      <c r="R18558" s="24"/>
      <c r="S18558" s="24"/>
      <c r="T18558" s="24"/>
      <c r="U18558" s="24"/>
      <c r="V18558" s="24"/>
      <c r="W18558" s="24"/>
      <c r="X18558" s="24"/>
      <c r="Y18558" s="24"/>
      <c r="Z18558" s="24"/>
      <c r="AA18558" s="24"/>
    </row>
    <row r="18559">
      <c r="A18559" s="24"/>
      <c r="B18559" s="25"/>
      <c r="C18559" s="24"/>
      <c r="D18559" s="26"/>
      <c r="E18559" s="24"/>
      <c r="F18559" s="24"/>
      <c r="G18559" s="24"/>
      <c r="H18559" s="24"/>
      <c r="I18559" s="24"/>
      <c r="J18559" s="24"/>
      <c r="K18559" s="24"/>
      <c r="L18559" s="24"/>
      <c r="M18559" s="24"/>
      <c r="N18559" s="24"/>
      <c r="O18559" s="24"/>
      <c r="P18559" s="24"/>
      <c r="Q18559" s="24"/>
      <c r="R18559" s="24"/>
      <c r="S18559" s="24"/>
      <c r="T18559" s="24"/>
      <c r="U18559" s="24"/>
      <c r="V18559" s="24"/>
      <c r="W18559" s="24"/>
      <c r="X18559" s="24"/>
      <c r="Y18559" s="24"/>
      <c r="Z18559" s="24"/>
      <c r="AA18559" s="24"/>
    </row>
    <row r="18560">
      <c r="A18560" s="24"/>
      <c r="B18560" s="25"/>
      <c r="C18560" s="24"/>
      <c r="D18560" s="26"/>
      <c r="E18560" s="24"/>
      <c r="F18560" s="24"/>
      <c r="G18560" s="24"/>
      <c r="H18560" s="24"/>
      <c r="I18560" s="24"/>
      <c r="J18560" s="24"/>
      <c r="K18560" s="24"/>
      <c r="L18560" s="24"/>
      <c r="M18560" s="24"/>
      <c r="N18560" s="24"/>
      <c r="O18560" s="24"/>
      <c r="P18560" s="24"/>
      <c r="Q18560" s="24"/>
      <c r="R18560" s="24"/>
      <c r="S18560" s="24"/>
      <c r="T18560" s="24"/>
      <c r="U18560" s="24"/>
      <c r="V18560" s="24"/>
      <c r="W18560" s="24"/>
      <c r="X18560" s="24"/>
      <c r="Y18560" s="24"/>
      <c r="Z18560" s="24"/>
      <c r="AA18560" s="24"/>
    </row>
    <row r="18561">
      <c r="A18561" s="24"/>
      <c r="B18561" s="25"/>
      <c r="C18561" s="24"/>
      <c r="D18561" s="26"/>
      <c r="E18561" s="24"/>
      <c r="F18561" s="24"/>
      <c r="G18561" s="24"/>
      <c r="H18561" s="24"/>
      <c r="I18561" s="24"/>
      <c r="J18561" s="24"/>
      <c r="K18561" s="24"/>
      <c r="L18561" s="24"/>
      <c r="M18561" s="24"/>
      <c r="N18561" s="24"/>
      <c r="O18561" s="24"/>
      <c r="P18561" s="24"/>
      <c r="Q18561" s="24"/>
      <c r="R18561" s="24"/>
      <c r="S18561" s="24"/>
      <c r="T18561" s="24"/>
      <c r="U18561" s="24"/>
      <c r="V18561" s="24"/>
      <c r="W18561" s="24"/>
      <c r="X18561" s="24"/>
      <c r="Y18561" s="24"/>
      <c r="Z18561" s="24"/>
      <c r="AA18561" s="24"/>
    </row>
    <row r="18562">
      <c r="A18562" s="24"/>
      <c r="B18562" s="25"/>
      <c r="C18562" s="24"/>
      <c r="D18562" s="26"/>
      <c r="E18562" s="24"/>
      <c r="F18562" s="24"/>
      <c r="G18562" s="24"/>
      <c r="H18562" s="24"/>
      <c r="I18562" s="24"/>
      <c r="J18562" s="24"/>
      <c r="K18562" s="24"/>
      <c r="L18562" s="24"/>
      <c r="M18562" s="24"/>
      <c r="N18562" s="24"/>
      <c r="O18562" s="24"/>
      <c r="P18562" s="24"/>
      <c r="Q18562" s="24"/>
      <c r="R18562" s="24"/>
      <c r="S18562" s="24"/>
      <c r="T18562" s="24"/>
      <c r="U18562" s="24"/>
      <c r="V18562" s="24"/>
      <c r="W18562" s="24"/>
      <c r="X18562" s="24"/>
      <c r="Y18562" s="24"/>
      <c r="Z18562" s="24"/>
      <c r="AA18562" s="24"/>
    </row>
    <row r="18563">
      <c r="A18563" s="24"/>
      <c r="B18563" s="25"/>
      <c r="C18563" s="24"/>
      <c r="D18563" s="26"/>
      <c r="E18563" s="24"/>
      <c r="F18563" s="24"/>
      <c r="G18563" s="24"/>
      <c r="H18563" s="24"/>
      <c r="I18563" s="24"/>
      <c r="J18563" s="24"/>
      <c r="K18563" s="24"/>
      <c r="L18563" s="24"/>
      <c r="M18563" s="24"/>
      <c r="N18563" s="24"/>
      <c r="O18563" s="24"/>
      <c r="P18563" s="24"/>
      <c r="Q18563" s="24"/>
      <c r="R18563" s="24"/>
      <c r="S18563" s="24"/>
      <c r="T18563" s="24"/>
      <c r="U18563" s="24"/>
      <c r="V18563" s="24"/>
      <c r="W18563" s="24"/>
      <c r="X18563" s="24"/>
      <c r="Y18563" s="24"/>
      <c r="Z18563" s="24"/>
      <c r="AA18563" s="24"/>
    </row>
    <row r="18564">
      <c r="A18564" s="24"/>
      <c r="B18564" s="25"/>
      <c r="C18564" s="24"/>
      <c r="D18564" s="26"/>
      <c r="E18564" s="24"/>
      <c r="F18564" s="24"/>
      <c r="G18564" s="24"/>
      <c r="H18564" s="24"/>
      <c r="I18564" s="24"/>
      <c r="J18564" s="24"/>
      <c r="K18564" s="24"/>
      <c r="L18564" s="24"/>
      <c r="M18564" s="24"/>
      <c r="N18564" s="24"/>
      <c r="O18564" s="24"/>
      <c r="P18564" s="24"/>
      <c r="Q18564" s="24"/>
      <c r="R18564" s="24"/>
      <c r="S18564" s="24"/>
      <c r="T18564" s="24"/>
      <c r="U18564" s="24"/>
      <c r="V18564" s="24"/>
      <c r="W18564" s="24"/>
      <c r="X18564" s="24"/>
      <c r="Y18564" s="24"/>
      <c r="Z18564" s="24"/>
      <c r="AA18564" s="24"/>
    </row>
    <row r="18565">
      <c r="A18565" s="24"/>
      <c r="B18565" s="25"/>
      <c r="C18565" s="24"/>
      <c r="D18565" s="26"/>
      <c r="E18565" s="24"/>
      <c r="F18565" s="24"/>
      <c r="G18565" s="24"/>
      <c r="H18565" s="24"/>
      <c r="I18565" s="24"/>
      <c r="J18565" s="24"/>
      <c r="K18565" s="24"/>
      <c r="L18565" s="24"/>
      <c r="M18565" s="24"/>
      <c r="N18565" s="24"/>
      <c r="O18565" s="24"/>
      <c r="P18565" s="24"/>
      <c r="Q18565" s="24"/>
      <c r="R18565" s="24"/>
      <c r="S18565" s="24"/>
      <c r="T18565" s="24"/>
      <c r="U18565" s="24"/>
      <c r="V18565" s="24"/>
      <c r="W18565" s="24"/>
      <c r="X18565" s="24"/>
      <c r="Y18565" s="24"/>
      <c r="Z18565" s="24"/>
      <c r="AA18565" s="24"/>
    </row>
    <row r="18566">
      <c r="A18566" s="24"/>
      <c r="B18566" s="25"/>
      <c r="C18566" s="24"/>
      <c r="D18566" s="26"/>
      <c r="E18566" s="24"/>
      <c r="F18566" s="24"/>
      <c r="G18566" s="24"/>
      <c r="H18566" s="24"/>
      <c r="I18566" s="24"/>
      <c r="J18566" s="24"/>
      <c r="K18566" s="24"/>
      <c r="L18566" s="24"/>
      <c r="M18566" s="24"/>
      <c r="N18566" s="24"/>
      <c r="O18566" s="24"/>
      <c r="P18566" s="24"/>
      <c r="Q18566" s="24"/>
      <c r="R18566" s="24"/>
      <c r="S18566" s="24"/>
      <c r="T18566" s="24"/>
      <c r="U18566" s="24"/>
      <c r="V18566" s="24"/>
      <c r="W18566" s="24"/>
      <c r="X18566" s="24"/>
      <c r="Y18566" s="24"/>
      <c r="Z18566" s="24"/>
      <c r="AA18566" s="24"/>
    </row>
    <row r="18567">
      <c r="A18567" s="24"/>
      <c r="B18567" s="25"/>
      <c r="C18567" s="24"/>
      <c r="D18567" s="26"/>
      <c r="E18567" s="24"/>
      <c r="F18567" s="24"/>
      <c r="G18567" s="24"/>
      <c r="H18567" s="24"/>
      <c r="I18567" s="24"/>
      <c r="J18567" s="24"/>
      <c r="K18567" s="24"/>
      <c r="L18567" s="24"/>
      <c r="M18567" s="24"/>
      <c r="N18567" s="24"/>
      <c r="O18567" s="24"/>
      <c r="P18567" s="24"/>
      <c r="Q18567" s="24"/>
      <c r="R18567" s="24"/>
      <c r="S18567" s="24"/>
      <c r="T18567" s="24"/>
      <c r="U18567" s="24"/>
      <c r="V18567" s="24"/>
      <c r="W18567" s="24"/>
      <c r="X18567" s="24"/>
      <c r="Y18567" s="24"/>
      <c r="Z18567" s="24"/>
      <c r="AA18567" s="24"/>
    </row>
    <row r="18568">
      <c r="A18568" s="24"/>
      <c r="B18568" s="25"/>
      <c r="C18568" s="24"/>
      <c r="D18568" s="26"/>
      <c r="E18568" s="24"/>
      <c r="F18568" s="24"/>
      <c r="G18568" s="24"/>
      <c r="H18568" s="24"/>
      <c r="I18568" s="24"/>
      <c r="J18568" s="24"/>
      <c r="K18568" s="24"/>
      <c r="L18568" s="24"/>
      <c r="M18568" s="24"/>
      <c r="N18568" s="24"/>
      <c r="O18568" s="24"/>
      <c r="P18568" s="24"/>
      <c r="Q18568" s="24"/>
      <c r="R18568" s="24"/>
      <c r="S18568" s="24"/>
      <c r="T18568" s="24"/>
      <c r="U18568" s="24"/>
      <c r="V18568" s="24"/>
      <c r="W18568" s="24"/>
      <c r="X18568" s="24"/>
      <c r="Y18568" s="24"/>
      <c r="Z18568" s="24"/>
      <c r="AA18568" s="24"/>
    </row>
    <row r="18569">
      <c r="A18569" s="24"/>
      <c r="B18569" s="25"/>
      <c r="C18569" s="24"/>
      <c r="D18569" s="26"/>
      <c r="E18569" s="24"/>
      <c r="F18569" s="24"/>
      <c r="G18569" s="24"/>
      <c r="H18569" s="24"/>
      <c r="I18569" s="24"/>
      <c r="J18569" s="24"/>
      <c r="K18569" s="24"/>
      <c r="L18569" s="24"/>
      <c r="M18569" s="24"/>
      <c r="N18569" s="24"/>
      <c r="O18569" s="24"/>
      <c r="P18569" s="24"/>
      <c r="Q18569" s="24"/>
      <c r="R18569" s="24"/>
      <c r="S18569" s="24"/>
      <c r="T18569" s="24"/>
      <c r="U18569" s="24"/>
      <c r="V18569" s="24"/>
      <c r="W18569" s="24"/>
      <c r="X18569" s="24"/>
      <c r="Y18569" s="24"/>
      <c r="Z18569" s="24"/>
      <c r="AA18569" s="24"/>
    </row>
    <row r="18570">
      <c r="A18570" s="24"/>
      <c r="B18570" s="25"/>
      <c r="C18570" s="24"/>
      <c r="D18570" s="26"/>
      <c r="E18570" s="24"/>
      <c r="F18570" s="24"/>
      <c r="G18570" s="24"/>
      <c r="H18570" s="24"/>
      <c r="I18570" s="24"/>
      <c r="J18570" s="24"/>
      <c r="K18570" s="24"/>
      <c r="L18570" s="24"/>
      <c r="M18570" s="24"/>
      <c r="N18570" s="24"/>
      <c r="O18570" s="24"/>
      <c r="P18570" s="24"/>
      <c r="Q18570" s="24"/>
      <c r="R18570" s="24"/>
      <c r="S18570" s="24"/>
      <c r="T18570" s="24"/>
      <c r="U18570" s="24"/>
      <c r="V18570" s="24"/>
      <c r="W18570" s="24"/>
      <c r="X18570" s="24"/>
      <c r="Y18570" s="24"/>
      <c r="Z18570" s="24"/>
      <c r="AA18570" s="24"/>
    </row>
    <row r="18571">
      <c r="A18571" s="24"/>
      <c r="B18571" s="25"/>
      <c r="C18571" s="24"/>
      <c r="D18571" s="26"/>
      <c r="E18571" s="24"/>
      <c r="F18571" s="24"/>
      <c r="G18571" s="24"/>
      <c r="H18571" s="24"/>
      <c r="I18571" s="24"/>
      <c r="J18571" s="24"/>
      <c r="K18571" s="24"/>
      <c r="L18571" s="24"/>
      <c r="M18571" s="24"/>
      <c r="N18571" s="24"/>
      <c r="O18571" s="24"/>
      <c r="P18571" s="24"/>
      <c r="Q18571" s="24"/>
      <c r="R18571" s="24"/>
      <c r="S18571" s="24"/>
      <c r="T18571" s="24"/>
      <c r="U18571" s="24"/>
      <c r="V18571" s="24"/>
      <c r="W18571" s="24"/>
      <c r="X18571" s="24"/>
      <c r="Y18571" s="24"/>
      <c r="Z18571" s="24"/>
      <c r="AA18571" s="24"/>
    </row>
    <row r="18572">
      <c r="A18572" s="24"/>
      <c r="B18572" s="25"/>
      <c r="C18572" s="24"/>
      <c r="D18572" s="26"/>
      <c r="E18572" s="24"/>
      <c r="F18572" s="24"/>
      <c r="G18572" s="24"/>
      <c r="H18572" s="24"/>
      <c r="I18572" s="24"/>
      <c r="J18572" s="24"/>
      <c r="K18572" s="24"/>
      <c r="L18572" s="24"/>
      <c r="M18572" s="24"/>
      <c r="N18572" s="24"/>
      <c r="O18572" s="24"/>
      <c r="P18572" s="24"/>
      <c r="Q18572" s="24"/>
      <c r="R18572" s="24"/>
      <c r="S18572" s="24"/>
      <c r="T18572" s="24"/>
      <c r="U18572" s="24"/>
      <c r="V18572" s="24"/>
      <c r="W18572" s="24"/>
      <c r="X18572" s="24"/>
      <c r="Y18572" s="24"/>
      <c r="Z18572" s="24"/>
      <c r="AA18572" s="24"/>
    </row>
    <row r="18573">
      <c r="A18573" s="24"/>
      <c r="B18573" s="25"/>
      <c r="C18573" s="24"/>
      <c r="D18573" s="26"/>
      <c r="E18573" s="24"/>
      <c r="F18573" s="24"/>
      <c r="G18573" s="24"/>
      <c r="H18573" s="24"/>
      <c r="I18573" s="24"/>
      <c r="J18573" s="24"/>
      <c r="K18573" s="24"/>
      <c r="L18573" s="24"/>
      <c r="M18573" s="24"/>
      <c r="N18573" s="24"/>
      <c r="O18573" s="24"/>
      <c r="P18573" s="24"/>
      <c r="Q18573" s="24"/>
      <c r="R18573" s="24"/>
      <c r="S18573" s="24"/>
      <c r="T18573" s="24"/>
      <c r="U18573" s="24"/>
      <c r="V18573" s="24"/>
      <c r="W18573" s="24"/>
      <c r="X18573" s="24"/>
      <c r="Y18573" s="24"/>
      <c r="Z18573" s="24"/>
      <c r="AA18573" s="24"/>
    </row>
    <row r="18574">
      <c r="A18574" s="24"/>
      <c r="B18574" s="25"/>
      <c r="C18574" s="24"/>
      <c r="D18574" s="26"/>
      <c r="E18574" s="24"/>
      <c r="F18574" s="24"/>
      <c r="G18574" s="24"/>
      <c r="H18574" s="24"/>
      <c r="I18574" s="24"/>
      <c r="J18574" s="24"/>
      <c r="K18574" s="24"/>
      <c r="L18574" s="24"/>
      <c r="M18574" s="24"/>
      <c r="N18574" s="24"/>
      <c r="O18574" s="24"/>
      <c r="P18574" s="24"/>
      <c r="Q18574" s="24"/>
      <c r="R18574" s="24"/>
      <c r="S18574" s="24"/>
      <c r="T18574" s="24"/>
      <c r="U18574" s="24"/>
      <c r="V18574" s="24"/>
      <c r="W18574" s="24"/>
      <c r="X18574" s="24"/>
      <c r="Y18574" s="24"/>
      <c r="Z18574" s="24"/>
      <c r="AA18574" s="24"/>
    </row>
    <row r="18575">
      <c r="A18575" s="24"/>
      <c r="B18575" s="25"/>
      <c r="C18575" s="24"/>
      <c r="D18575" s="26"/>
      <c r="E18575" s="24"/>
      <c r="F18575" s="24"/>
      <c r="G18575" s="24"/>
      <c r="H18575" s="24"/>
      <c r="I18575" s="24"/>
      <c r="J18575" s="24"/>
      <c r="K18575" s="24"/>
      <c r="L18575" s="24"/>
      <c r="M18575" s="24"/>
      <c r="N18575" s="24"/>
      <c r="O18575" s="24"/>
      <c r="P18575" s="24"/>
      <c r="Q18575" s="24"/>
      <c r="R18575" s="24"/>
      <c r="S18575" s="24"/>
      <c r="T18575" s="24"/>
      <c r="U18575" s="24"/>
      <c r="V18575" s="24"/>
      <c r="W18575" s="24"/>
      <c r="X18575" s="24"/>
      <c r="Y18575" s="24"/>
      <c r="Z18575" s="24"/>
      <c r="AA18575" s="24"/>
    </row>
    <row r="18576">
      <c r="A18576" s="24"/>
      <c r="B18576" s="25"/>
      <c r="C18576" s="24"/>
      <c r="D18576" s="26"/>
      <c r="E18576" s="24"/>
      <c r="F18576" s="24"/>
      <c r="G18576" s="24"/>
      <c r="H18576" s="24"/>
      <c r="I18576" s="24"/>
      <c r="J18576" s="24"/>
      <c r="K18576" s="24"/>
      <c r="L18576" s="24"/>
      <c r="M18576" s="24"/>
      <c r="N18576" s="24"/>
      <c r="O18576" s="24"/>
      <c r="P18576" s="24"/>
      <c r="Q18576" s="24"/>
      <c r="R18576" s="24"/>
      <c r="S18576" s="24"/>
      <c r="T18576" s="24"/>
      <c r="U18576" s="24"/>
      <c r="V18576" s="24"/>
      <c r="W18576" s="24"/>
      <c r="X18576" s="24"/>
      <c r="Y18576" s="24"/>
      <c r="Z18576" s="24"/>
      <c r="AA18576" s="24"/>
    </row>
    <row r="18577">
      <c r="A18577" s="24"/>
      <c r="B18577" s="25"/>
      <c r="C18577" s="24"/>
      <c r="D18577" s="26"/>
      <c r="E18577" s="24"/>
      <c r="F18577" s="24"/>
      <c r="G18577" s="24"/>
      <c r="H18577" s="24"/>
      <c r="I18577" s="24"/>
      <c r="J18577" s="24"/>
      <c r="K18577" s="24"/>
      <c r="L18577" s="24"/>
      <c r="M18577" s="24"/>
      <c r="N18577" s="24"/>
      <c r="O18577" s="24"/>
      <c r="P18577" s="24"/>
      <c r="Q18577" s="24"/>
      <c r="R18577" s="24"/>
      <c r="S18577" s="24"/>
      <c r="T18577" s="24"/>
      <c r="U18577" s="24"/>
      <c r="V18577" s="24"/>
      <c r="W18577" s="24"/>
      <c r="X18577" s="24"/>
      <c r="Y18577" s="24"/>
      <c r="Z18577" s="24"/>
      <c r="AA18577" s="24"/>
    </row>
    <row r="18578">
      <c r="A18578" s="24"/>
      <c r="B18578" s="25"/>
      <c r="C18578" s="24"/>
      <c r="D18578" s="26"/>
      <c r="E18578" s="24"/>
      <c r="F18578" s="24"/>
      <c r="G18578" s="24"/>
      <c r="H18578" s="24"/>
      <c r="I18578" s="24"/>
      <c r="J18578" s="24"/>
      <c r="K18578" s="24"/>
      <c r="L18578" s="24"/>
      <c r="M18578" s="24"/>
      <c r="N18578" s="24"/>
      <c r="O18578" s="24"/>
      <c r="P18578" s="24"/>
      <c r="Q18578" s="24"/>
      <c r="R18578" s="24"/>
      <c r="S18578" s="24"/>
      <c r="T18578" s="24"/>
      <c r="U18578" s="24"/>
      <c r="V18578" s="24"/>
      <c r="W18578" s="24"/>
      <c r="X18578" s="24"/>
      <c r="Y18578" s="24"/>
      <c r="Z18578" s="24"/>
      <c r="AA18578" s="24"/>
    </row>
    <row r="18579">
      <c r="A18579" s="24"/>
      <c r="B18579" s="25"/>
      <c r="C18579" s="24"/>
      <c r="D18579" s="26"/>
      <c r="E18579" s="24"/>
      <c r="F18579" s="24"/>
      <c r="G18579" s="24"/>
      <c r="H18579" s="24"/>
      <c r="I18579" s="24"/>
      <c r="J18579" s="24"/>
      <c r="K18579" s="24"/>
      <c r="L18579" s="24"/>
      <c r="M18579" s="24"/>
      <c r="N18579" s="24"/>
      <c r="O18579" s="24"/>
      <c r="P18579" s="24"/>
      <c r="Q18579" s="24"/>
      <c r="R18579" s="24"/>
      <c r="S18579" s="24"/>
      <c r="T18579" s="24"/>
      <c r="U18579" s="24"/>
      <c r="V18579" s="24"/>
      <c r="W18579" s="24"/>
      <c r="X18579" s="24"/>
      <c r="Y18579" s="24"/>
      <c r="Z18579" s="24"/>
      <c r="AA18579" s="24"/>
    </row>
    <row r="18580">
      <c r="A18580" s="24"/>
      <c r="B18580" s="25"/>
      <c r="C18580" s="24"/>
      <c r="D18580" s="26"/>
      <c r="E18580" s="24"/>
      <c r="F18580" s="24"/>
      <c r="G18580" s="24"/>
      <c r="H18580" s="24"/>
      <c r="I18580" s="24"/>
      <c r="J18580" s="24"/>
      <c r="K18580" s="24"/>
      <c r="L18580" s="24"/>
      <c r="M18580" s="24"/>
      <c r="N18580" s="24"/>
      <c r="O18580" s="24"/>
      <c r="P18580" s="24"/>
      <c r="Q18580" s="24"/>
      <c r="R18580" s="24"/>
      <c r="S18580" s="24"/>
      <c r="T18580" s="24"/>
      <c r="U18580" s="24"/>
      <c r="V18580" s="24"/>
      <c r="W18580" s="24"/>
      <c r="X18580" s="24"/>
      <c r="Y18580" s="24"/>
      <c r="Z18580" s="24"/>
      <c r="AA18580" s="24"/>
    </row>
    <row r="18581">
      <c r="A18581" s="24"/>
      <c r="B18581" s="25"/>
      <c r="C18581" s="24"/>
      <c r="D18581" s="26"/>
      <c r="E18581" s="24"/>
      <c r="F18581" s="24"/>
      <c r="G18581" s="24"/>
      <c r="H18581" s="24"/>
      <c r="I18581" s="24"/>
      <c r="J18581" s="24"/>
      <c r="K18581" s="24"/>
      <c r="L18581" s="24"/>
      <c r="M18581" s="24"/>
      <c r="N18581" s="24"/>
      <c r="O18581" s="24"/>
      <c r="P18581" s="24"/>
      <c r="Q18581" s="24"/>
      <c r="R18581" s="24"/>
      <c r="S18581" s="24"/>
      <c r="T18581" s="24"/>
      <c r="U18581" s="24"/>
      <c r="V18581" s="24"/>
      <c r="W18581" s="24"/>
      <c r="X18581" s="24"/>
      <c r="Y18581" s="24"/>
      <c r="Z18581" s="24"/>
      <c r="AA18581" s="24"/>
    </row>
    <row r="18582">
      <c r="A18582" s="24"/>
      <c r="B18582" s="25"/>
      <c r="C18582" s="24"/>
      <c r="D18582" s="26"/>
      <c r="E18582" s="24"/>
      <c r="F18582" s="24"/>
      <c r="G18582" s="24"/>
      <c r="H18582" s="24"/>
      <c r="I18582" s="24"/>
      <c r="J18582" s="24"/>
      <c r="K18582" s="24"/>
      <c r="L18582" s="24"/>
      <c r="M18582" s="24"/>
      <c r="N18582" s="24"/>
      <c r="O18582" s="24"/>
      <c r="P18582" s="24"/>
      <c r="Q18582" s="24"/>
      <c r="R18582" s="24"/>
      <c r="S18582" s="24"/>
      <c r="T18582" s="24"/>
      <c r="U18582" s="24"/>
      <c r="V18582" s="24"/>
      <c r="W18582" s="24"/>
      <c r="X18582" s="24"/>
      <c r="Y18582" s="24"/>
      <c r="Z18582" s="24"/>
      <c r="AA18582" s="24"/>
    </row>
    <row r="18583">
      <c r="A18583" s="24"/>
      <c r="B18583" s="25"/>
      <c r="C18583" s="24"/>
      <c r="D18583" s="26"/>
      <c r="E18583" s="24"/>
      <c r="F18583" s="24"/>
      <c r="G18583" s="24"/>
      <c r="H18583" s="24"/>
      <c r="I18583" s="24"/>
      <c r="J18583" s="24"/>
      <c r="K18583" s="24"/>
      <c r="L18583" s="24"/>
      <c r="M18583" s="24"/>
      <c r="N18583" s="24"/>
      <c r="O18583" s="24"/>
      <c r="P18583" s="24"/>
      <c r="Q18583" s="24"/>
      <c r="R18583" s="24"/>
      <c r="S18583" s="24"/>
      <c r="T18583" s="24"/>
      <c r="U18583" s="24"/>
      <c r="V18583" s="24"/>
      <c r="W18583" s="24"/>
      <c r="X18583" s="24"/>
      <c r="Y18583" s="24"/>
      <c r="Z18583" s="24"/>
      <c r="AA18583" s="24"/>
    </row>
    <row r="18584">
      <c r="A18584" s="24"/>
      <c r="B18584" s="25"/>
      <c r="C18584" s="24"/>
      <c r="D18584" s="26"/>
      <c r="E18584" s="24"/>
      <c r="F18584" s="24"/>
      <c r="G18584" s="24"/>
      <c r="H18584" s="24"/>
      <c r="I18584" s="24"/>
      <c r="J18584" s="24"/>
      <c r="K18584" s="24"/>
      <c r="L18584" s="24"/>
      <c r="M18584" s="24"/>
      <c r="N18584" s="24"/>
      <c r="O18584" s="24"/>
      <c r="P18584" s="24"/>
      <c r="Q18584" s="24"/>
      <c r="R18584" s="24"/>
      <c r="S18584" s="24"/>
      <c r="T18584" s="24"/>
      <c r="U18584" s="24"/>
      <c r="V18584" s="24"/>
      <c r="W18584" s="24"/>
      <c r="X18584" s="24"/>
      <c r="Y18584" s="24"/>
      <c r="Z18584" s="24"/>
      <c r="AA18584" s="24"/>
    </row>
    <row r="18585">
      <c r="A18585" s="24"/>
      <c r="B18585" s="25"/>
      <c r="C18585" s="24"/>
      <c r="D18585" s="26"/>
      <c r="E18585" s="24"/>
      <c r="F18585" s="24"/>
      <c r="G18585" s="24"/>
      <c r="H18585" s="24"/>
      <c r="I18585" s="24"/>
      <c r="J18585" s="24"/>
      <c r="K18585" s="24"/>
      <c r="L18585" s="24"/>
      <c r="M18585" s="24"/>
      <c r="N18585" s="24"/>
      <c r="O18585" s="24"/>
      <c r="P18585" s="24"/>
      <c r="Q18585" s="24"/>
      <c r="R18585" s="24"/>
      <c r="S18585" s="24"/>
      <c r="T18585" s="24"/>
      <c r="U18585" s="24"/>
      <c r="V18585" s="24"/>
      <c r="W18585" s="24"/>
      <c r="X18585" s="24"/>
      <c r="Y18585" s="24"/>
      <c r="Z18585" s="24"/>
      <c r="AA18585" s="24"/>
    </row>
    <row r="18586">
      <c r="A18586" s="24"/>
      <c r="B18586" s="25"/>
      <c r="C18586" s="24"/>
      <c r="D18586" s="26"/>
      <c r="E18586" s="24"/>
      <c r="F18586" s="24"/>
      <c r="G18586" s="24"/>
      <c r="H18586" s="24"/>
      <c r="I18586" s="24"/>
      <c r="J18586" s="24"/>
      <c r="K18586" s="24"/>
      <c r="L18586" s="24"/>
      <c r="M18586" s="24"/>
      <c r="N18586" s="24"/>
      <c r="O18586" s="24"/>
      <c r="P18586" s="24"/>
      <c r="Q18586" s="24"/>
      <c r="R18586" s="24"/>
      <c r="S18586" s="24"/>
      <c r="T18586" s="24"/>
      <c r="U18586" s="24"/>
      <c r="V18586" s="24"/>
      <c r="W18586" s="24"/>
      <c r="X18586" s="24"/>
      <c r="Y18586" s="24"/>
      <c r="Z18586" s="24"/>
      <c r="AA18586" s="24"/>
    </row>
    <row r="18587">
      <c r="A18587" s="24"/>
      <c r="B18587" s="25"/>
      <c r="C18587" s="24"/>
      <c r="D18587" s="26"/>
      <c r="E18587" s="24"/>
      <c r="F18587" s="24"/>
      <c r="G18587" s="24"/>
      <c r="H18587" s="24"/>
      <c r="I18587" s="24"/>
      <c r="J18587" s="24"/>
      <c r="K18587" s="24"/>
      <c r="L18587" s="24"/>
      <c r="M18587" s="24"/>
      <c r="N18587" s="24"/>
      <c r="O18587" s="24"/>
      <c r="P18587" s="24"/>
      <c r="Q18587" s="24"/>
      <c r="R18587" s="24"/>
      <c r="S18587" s="24"/>
      <c r="T18587" s="24"/>
      <c r="U18587" s="24"/>
      <c r="V18587" s="24"/>
      <c r="W18587" s="24"/>
      <c r="X18587" s="24"/>
      <c r="Y18587" s="24"/>
      <c r="Z18587" s="24"/>
      <c r="AA18587" s="24"/>
    </row>
    <row r="18588">
      <c r="A18588" s="24"/>
      <c r="B18588" s="25"/>
      <c r="C18588" s="24"/>
      <c r="D18588" s="26"/>
      <c r="E18588" s="24"/>
      <c r="F18588" s="24"/>
      <c r="G18588" s="24"/>
      <c r="H18588" s="24"/>
      <c r="I18588" s="24"/>
      <c r="J18588" s="24"/>
      <c r="K18588" s="24"/>
      <c r="L18588" s="24"/>
      <c r="M18588" s="24"/>
      <c r="N18588" s="24"/>
      <c r="O18588" s="24"/>
      <c r="P18588" s="24"/>
      <c r="Q18588" s="24"/>
      <c r="R18588" s="24"/>
      <c r="S18588" s="24"/>
      <c r="T18588" s="24"/>
      <c r="U18588" s="24"/>
      <c r="V18588" s="24"/>
      <c r="W18588" s="24"/>
      <c r="X18588" s="24"/>
      <c r="Y18588" s="24"/>
      <c r="Z18588" s="24"/>
      <c r="AA18588" s="24"/>
    </row>
    <row r="18589">
      <c r="A18589" s="24"/>
      <c r="B18589" s="25"/>
      <c r="C18589" s="24"/>
      <c r="D18589" s="26"/>
      <c r="E18589" s="24"/>
      <c r="F18589" s="24"/>
      <c r="G18589" s="24"/>
      <c r="H18589" s="24"/>
      <c r="I18589" s="24"/>
      <c r="J18589" s="24"/>
      <c r="K18589" s="24"/>
      <c r="L18589" s="24"/>
      <c r="M18589" s="24"/>
      <c r="N18589" s="24"/>
      <c r="O18589" s="24"/>
      <c r="P18589" s="24"/>
      <c r="Q18589" s="24"/>
      <c r="R18589" s="24"/>
      <c r="S18589" s="24"/>
      <c r="T18589" s="24"/>
      <c r="U18589" s="24"/>
      <c r="V18589" s="24"/>
      <c r="W18589" s="24"/>
      <c r="X18589" s="24"/>
      <c r="Y18589" s="24"/>
      <c r="Z18589" s="24"/>
      <c r="AA18589" s="24"/>
    </row>
    <row r="18590">
      <c r="A18590" s="24"/>
      <c r="B18590" s="25"/>
      <c r="C18590" s="24"/>
      <c r="D18590" s="26"/>
      <c r="E18590" s="24"/>
      <c r="F18590" s="24"/>
      <c r="G18590" s="24"/>
      <c r="H18590" s="24"/>
      <c r="I18590" s="24"/>
      <c r="J18590" s="24"/>
      <c r="K18590" s="24"/>
      <c r="L18590" s="24"/>
      <c r="M18590" s="24"/>
      <c r="N18590" s="24"/>
      <c r="O18590" s="24"/>
      <c r="P18590" s="24"/>
      <c r="Q18590" s="24"/>
      <c r="R18590" s="24"/>
      <c r="S18590" s="24"/>
      <c r="T18590" s="24"/>
      <c r="U18590" s="24"/>
      <c r="V18590" s="24"/>
      <c r="W18590" s="24"/>
      <c r="X18590" s="24"/>
      <c r="Y18590" s="24"/>
      <c r="Z18590" s="24"/>
      <c r="AA18590" s="24"/>
    </row>
    <row r="18591">
      <c r="A18591" s="24"/>
      <c r="B18591" s="25"/>
      <c r="C18591" s="24"/>
      <c r="D18591" s="26"/>
      <c r="E18591" s="24"/>
      <c r="F18591" s="24"/>
      <c r="G18591" s="24"/>
      <c r="H18591" s="24"/>
      <c r="I18591" s="24"/>
      <c r="J18591" s="24"/>
      <c r="K18591" s="24"/>
      <c r="L18591" s="24"/>
      <c r="M18591" s="24"/>
      <c r="N18591" s="24"/>
      <c r="O18591" s="24"/>
      <c r="P18591" s="24"/>
      <c r="Q18591" s="24"/>
      <c r="R18591" s="24"/>
      <c r="S18591" s="24"/>
      <c r="T18591" s="24"/>
      <c r="U18591" s="24"/>
      <c r="V18591" s="24"/>
      <c r="W18591" s="24"/>
      <c r="X18591" s="24"/>
      <c r="Y18591" s="24"/>
      <c r="Z18591" s="24"/>
      <c r="AA18591" s="24"/>
    </row>
    <row r="18592">
      <c r="A18592" s="24"/>
      <c r="B18592" s="25"/>
      <c r="C18592" s="24"/>
      <c r="D18592" s="26"/>
      <c r="E18592" s="24"/>
      <c r="F18592" s="24"/>
      <c r="G18592" s="24"/>
      <c r="H18592" s="24"/>
      <c r="I18592" s="24"/>
      <c r="J18592" s="24"/>
      <c r="K18592" s="24"/>
      <c r="L18592" s="24"/>
      <c r="M18592" s="24"/>
      <c r="N18592" s="24"/>
      <c r="O18592" s="24"/>
      <c r="P18592" s="24"/>
      <c r="Q18592" s="24"/>
      <c r="R18592" s="24"/>
      <c r="S18592" s="24"/>
      <c r="T18592" s="24"/>
      <c r="U18592" s="24"/>
      <c r="V18592" s="24"/>
      <c r="W18592" s="24"/>
      <c r="X18592" s="24"/>
      <c r="Y18592" s="24"/>
      <c r="Z18592" s="24"/>
      <c r="AA18592" s="24"/>
    </row>
    <row r="18593">
      <c r="A18593" s="24"/>
      <c r="B18593" s="25"/>
      <c r="C18593" s="24"/>
      <c r="D18593" s="26"/>
      <c r="E18593" s="24"/>
      <c r="F18593" s="24"/>
      <c r="G18593" s="24"/>
      <c r="H18593" s="24"/>
      <c r="I18593" s="24"/>
      <c r="J18593" s="24"/>
      <c r="K18593" s="24"/>
      <c r="L18593" s="24"/>
      <c r="M18593" s="24"/>
      <c r="N18593" s="24"/>
      <c r="O18593" s="24"/>
      <c r="P18593" s="24"/>
      <c r="Q18593" s="24"/>
      <c r="R18593" s="24"/>
      <c r="S18593" s="24"/>
      <c r="T18593" s="24"/>
      <c r="U18593" s="24"/>
      <c r="V18593" s="24"/>
      <c r="W18593" s="24"/>
      <c r="X18593" s="24"/>
      <c r="Y18593" s="24"/>
      <c r="Z18593" s="24"/>
      <c r="AA18593" s="24"/>
    </row>
    <row r="18594">
      <c r="A18594" s="24"/>
      <c r="B18594" s="25"/>
      <c r="C18594" s="24"/>
      <c r="D18594" s="26"/>
      <c r="E18594" s="24"/>
      <c r="F18594" s="24"/>
      <c r="G18594" s="24"/>
      <c r="H18594" s="24"/>
      <c r="I18594" s="24"/>
      <c r="J18594" s="24"/>
      <c r="K18594" s="24"/>
      <c r="L18594" s="24"/>
      <c r="M18594" s="24"/>
      <c r="N18594" s="24"/>
      <c r="O18594" s="24"/>
      <c r="P18594" s="24"/>
      <c r="Q18594" s="24"/>
      <c r="R18594" s="24"/>
      <c r="S18594" s="24"/>
      <c r="T18594" s="24"/>
      <c r="U18594" s="24"/>
      <c r="V18594" s="24"/>
      <c r="W18594" s="24"/>
      <c r="X18594" s="24"/>
      <c r="Y18594" s="24"/>
      <c r="Z18594" s="24"/>
      <c r="AA18594" s="24"/>
    </row>
    <row r="18595">
      <c r="A18595" s="24"/>
      <c r="B18595" s="25"/>
      <c r="C18595" s="24"/>
      <c r="D18595" s="26"/>
      <c r="E18595" s="24"/>
      <c r="F18595" s="24"/>
      <c r="G18595" s="24"/>
      <c r="H18595" s="24"/>
      <c r="I18595" s="24"/>
      <c r="J18595" s="24"/>
      <c r="K18595" s="24"/>
      <c r="L18595" s="24"/>
      <c r="M18595" s="24"/>
      <c r="N18595" s="24"/>
      <c r="O18595" s="24"/>
      <c r="P18595" s="24"/>
      <c r="Q18595" s="24"/>
      <c r="R18595" s="24"/>
      <c r="S18595" s="24"/>
      <c r="T18595" s="24"/>
      <c r="U18595" s="24"/>
      <c r="V18595" s="24"/>
      <c r="W18595" s="24"/>
      <c r="X18595" s="24"/>
      <c r="Y18595" s="24"/>
      <c r="Z18595" s="24"/>
      <c r="AA18595" s="24"/>
    </row>
    <row r="18596">
      <c r="A18596" s="24"/>
      <c r="B18596" s="25"/>
      <c r="C18596" s="24"/>
      <c r="D18596" s="26"/>
      <c r="E18596" s="24"/>
      <c r="F18596" s="24"/>
      <c r="G18596" s="24"/>
      <c r="H18596" s="24"/>
      <c r="I18596" s="24"/>
      <c r="J18596" s="24"/>
      <c r="K18596" s="24"/>
      <c r="L18596" s="24"/>
      <c r="M18596" s="24"/>
      <c r="N18596" s="24"/>
      <c r="O18596" s="24"/>
      <c r="P18596" s="24"/>
      <c r="Q18596" s="24"/>
      <c r="R18596" s="24"/>
      <c r="S18596" s="24"/>
      <c r="T18596" s="24"/>
      <c r="U18596" s="24"/>
      <c r="V18596" s="24"/>
      <c r="W18596" s="24"/>
      <c r="X18596" s="24"/>
      <c r="Y18596" s="24"/>
      <c r="Z18596" s="24"/>
      <c r="AA18596" s="24"/>
    </row>
    <row r="18597">
      <c r="A18597" s="24"/>
      <c r="B18597" s="25"/>
      <c r="C18597" s="24"/>
      <c r="D18597" s="26"/>
      <c r="E18597" s="24"/>
      <c r="F18597" s="24"/>
      <c r="G18597" s="24"/>
      <c r="H18597" s="24"/>
      <c r="I18597" s="24"/>
      <c r="J18597" s="24"/>
      <c r="K18597" s="24"/>
      <c r="L18597" s="24"/>
      <c r="M18597" s="24"/>
      <c r="N18597" s="24"/>
      <c r="O18597" s="24"/>
      <c r="P18597" s="24"/>
      <c r="Q18597" s="24"/>
      <c r="R18597" s="24"/>
      <c r="S18597" s="24"/>
      <c r="T18597" s="24"/>
      <c r="U18597" s="24"/>
      <c r="V18597" s="24"/>
      <c r="W18597" s="24"/>
      <c r="X18597" s="24"/>
      <c r="Y18597" s="24"/>
      <c r="Z18597" s="24"/>
      <c r="AA18597" s="24"/>
    </row>
    <row r="18598">
      <c r="A18598" s="24"/>
      <c r="B18598" s="25"/>
      <c r="C18598" s="24"/>
      <c r="D18598" s="26"/>
      <c r="E18598" s="24"/>
      <c r="F18598" s="24"/>
      <c r="G18598" s="24"/>
      <c r="H18598" s="24"/>
      <c r="I18598" s="24"/>
      <c r="J18598" s="24"/>
      <c r="K18598" s="24"/>
      <c r="L18598" s="24"/>
      <c r="M18598" s="24"/>
      <c r="N18598" s="24"/>
      <c r="O18598" s="24"/>
      <c r="P18598" s="24"/>
      <c r="Q18598" s="24"/>
      <c r="R18598" s="24"/>
      <c r="S18598" s="24"/>
      <c r="T18598" s="24"/>
      <c r="U18598" s="24"/>
      <c r="V18598" s="24"/>
      <c r="W18598" s="24"/>
      <c r="X18598" s="24"/>
      <c r="Y18598" s="24"/>
      <c r="Z18598" s="24"/>
      <c r="AA18598" s="24"/>
    </row>
    <row r="18599">
      <c r="A18599" s="24"/>
      <c r="B18599" s="25"/>
      <c r="C18599" s="24"/>
      <c r="D18599" s="26"/>
      <c r="E18599" s="24"/>
      <c r="F18599" s="24"/>
      <c r="G18599" s="24"/>
      <c r="H18599" s="24"/>
      <c r="I18599" s="24"/>
      <c r="J18599" s="24"/>
      <c r="K18599" s="24"/>
      <c r="L18599" s="24"/>
      <c r="M18599" s="24"/>
      <c r="N18599" s="24"/>
      <c r="O18599" s="24"/>
      <c r="P18599" s="24"/>
      <c r="Q18599" s="24"/>
      <c r="R18599" s="24"/>
      <c r="S18599" s="24"/>
      <c r="T18599" s="24"/>
      <c r="U18599" s="24"/>
      <c r="V18599" s="24"/>
      <c r="W18599" s="24"/>
      <c r="X18599" s="24"/>
      <c r="Y18599" s="24"/>
      <c r="Z18599" s="24"/>
      <c r="AA18599" s="24"/>
    </row>
    <row r="18600">
      <c r="A18600" s="24"/>
      <c r="B18600" s="25"/>
      <c r="C18600" s="24"/>
      <c r="D18600" s="26"/>
      <c r="E18600" s="24"/>
      <c r="F18600" s="24"/>
      <c r="G18600" s="24"/>
      <c r="H18600" s="24"/>
      <c r="I18600" s="24"/>
      <c r="J18600" s="24"/>
      <c r="K18600" s="24"/>
      <c r="L18600" s="24"/>
      <c r="M18600" s="24"/>
      <c r="N18600" s="24"/>
      <c r="O18600" s="24"/>
      <c r="P18600" s="24"/>
      <c r="Q18600" s="24"/>
      <c r="R18600" s="24"/>
      <c r="S18600" s="24"/>
      <c r="T18600" s="24"/>
      <c r="U18600" s="24"/>
      <c r="V18600" s="24"/>
      <c r="W18600" s="24"/>
      <c r="X18600" s="24"/>
      <c r="Y18600" s="24"/>
      <c r="Z18600" s="24"/>
      <c r="AA18600" s="24"/>
    </row>
    <row r="18601">
      <c r="A18601" s="24"/>
      <c r="B18601" s="25"/>
      <c r="C18601" s="24"/>
      <c r="D18601" s="26"/>
      <c r="E18601" s="24"/>
      <c r="F18601" s="24"/>
      <c r="G18601" s="24"/>
      <c r="H18601" s="24"/>
      <c r="I18601" s="24"/>
      <c r="J18601" s="24"/>
      <c r="K18601" s="24"/>
      <c r="L18601" s="24"/>
      <c r="M18601" s="24"/>
      <c r="N18601" s="24"/>
      <c r="O18601" s="24"/>
      <c r="P18601" s="24"/>
      <c r="Q18601" s="24"/>
      <c r="R18601" s="24"/>
      <c r="S18601" s="24"/>
      <c r="T18601" s="24"/>
      <c r="U18601" s="24"/>
      <c r="V18601" s="24"/>
      <c r="W18601" s="24"/>
      <c r="X18601" s="24"/>
      <c r="Y18601" s="24"/>
      <c r="Z18601" s="24"/>
      <c r="AA18601" s="24"/>
    </row>
    <row r="18602">
      <c r="A18602" s="24"/>
      <c r="B18602" s="25"/>
      <c r="C18602" s="24"/>
      <c r="D18602" s="26"/>
      <c r="E18602" s="24"/>
      <c r="F18602" s="24"/>
      <c r="G18602" s="24"/>
      <c r="H18602" s="24"/>
      <c r="I18602" s="24"/>
      <c r="J18602" s="24"/>
      <c r="K18602" s="24"/>
      <c r="L18602" s="24"/>
      <c r="M18602" s="24"/>
      <c r="N18602" s="24"/>
      <c r="O18602" s="24"/>
      <c r="P18602" s="24"/>
      <c r="Q18602" s="24"/>
      <c r="R18602" s="24"/>
      <c r="S18602" s="24"/>
      <c r="T18602" s="24"/>
      <c r="U18602" s="24"/>
      <c r="V18602" s="24"/>
      <c r="W18602" s="24"/>
      <c r="X18602" s="24"/>
      <c r="Y18602" s="24"/>
      <c r="Z18602" s="24"/>
      <c r="AA18602" s="24"/>
    </row>
    <row r="18603">
      <c r="A18603" s="24"/>
      <c r="B18603" s="25"/>
      <c r="C18603" s="24"/>
      <c r="D18603" s="26"/>
      <c r="E18603" s="24"/>
      <c r="F18603" s="24"/>
      <c r="G18603" s="24"/>
      <c r="H18603" s="24"/>
      <c r="I18603" s="24"/>
      <c r="J18603" s="24"/>
      <c r="K18603" s="24"/>
      <c r="L18603" s="24"/>
      <c r="M18603" s="24"/>
      <c r="N18603" s="24"/>
      <c r="O18603" s="24"/>
      <c r="P18603" s="24"/>
      <c r="Q18603" s="24"/>
      <c r="R18603" s="24"/>
      <c r="S18603" s="24"/>
      <c r="T18603" s="24"/>
      <c r="U18603" s="24"/>
      <c r="V18603" s="24"/>
      <c r="W18603" s="24"/>
      <c r="X18603" s="24"/>
      <c r="Y18603" s="24"/>
      <c r="Z18603" s="24"/>
      <c r="AA18603" s="24"/>
    </row>
    <row r="18604">
      <c r="A18604" s="24"/>
      <c r="B18604" s="25"/>
      <c r="C18604" s="24"/>
      <c r="D18604" s="26"/>
      <c r="E18604" s="24"/>
      <c r="F18604" s="24"/>
      <c r="G18604" s="24"/>
      <c r="H18604" s="24"/>
      <c r="I18604" s="24"/>
      <c r="J18604" s="24"/>
      <c r="K18604" s="24"/>
      <c r="L18604" s="24"/>
      <c r="M18604" s="24"/>
      <c r="N18604" s="24"/>
      <c r="O18604" s="24"/>
      <c r="P18604" s="24"/>
      <c r="Q18604" s="24"/>
      <c r="R18604" s="24"/>
      <c r="S18604" s="24"/>
      <c r="T18604" s="24"/>
      <c r="U18604" s="24"/>
      <c r="V18604" s="24"/>
      <c r="W18604" s="24"/>
      <c r="X18604" s="24"/>
      <c r="Y18604" s="24"/>
      <c r="Z18604" s="24"/>
      <c r="AA18604" s="24"/>
    </row>
    <row r="18605">
      <c r="A18605" s="24"/>
      <c r="B18605" s="25"/>
      <c r="C18605" s="24"/>
      <c r="D18605" s="26"/>
      <c r="E18605" s="24"/>
      <c r="F18605" s="24"/>
      <c r="G18605" s="24"/>
      <c r="H18605" s="24"/>
      <c r="I18605" s="24"/>
      <c r="J18605" s="24"/>
      <c r="K18605" s="24"/>
      <c r="L18605" s="24"/>
      <c r="M18605" s="24"/>
      <c r="N18605" s="24"/>
      <c r="O18605" s="24"/>
      <c r="P18605" s="24"/>
      <c r="Q18605" s="24"/>
      <c r="R18605" s="24"/>
      <c r="S18605" s="24"/>
      <c r="T18605" s="24"/>
      <c r="U18605" s="24"/>
      <c r="V18605" s="24"/>
      <c r="W18605" s="24"/>
      <c r="X18605" s="24"/>
      <c r="Y18605" s="24"/>
      <c r="Z18605" s="24"/>
      <c r="AA18605" s="24"/>
    </row>
    <row r="18606">
      <c r="A18606" s="24"/>
      <c r="B18606" s="25"/>
      <c r="C18606" s="24"/>
      <c r="D18606" s="26"/>
      <c r="E18606" s="24"/>
      <c r="F18606" s="24"/>
      <c r="G18606" s="24"/>
      <c r="H18606" s="24"/>
      <c r="I18606" s="24"/>
      <c r="J18606" s="24"/>
      <c r="K18606" s="24"/>
      <c r="L18606" s="24"/>
      <c r="M18606" s="24"/>
      <c r="N18606" s="24"/>
      <c r="O18606" s="24"/>
      <c r="P18606" s="24"/>
      <c r="Q18606" s="24"/>
      <c r="R18606" s="24"/>
      <c r="S18606" s="24"/>
      <c r="T18606" s="24"/>
      <c r="U18606" s="24"/>
      <c r="V18606" s="24"/>
      <c r="W18606" s="24"/>
      <c r="X18606" s="24"/>
      <c r="Y18606" s="24"/>
      <c r="Z18606" s="24"/>
      <c r="AA18606" s="24"/>
    </row>
    <row r="18607">
      <c r="A18607" s="24"/>
      <c r="B18607" s="25"/>
      <c r="C18607" s="24"/>
      <c r="D18607" s="26"/>
      <c r="E18607" s="24"/>
      <c r="F18607" s="24"/>
      <c r="G18607" s="24"/>
      <c r="H18607" s="24"/>
      <c r="I18607" s="24"/>
      <c r="J18607" s="24"/>
      <c r="K18607" s="24"/>
      <c r="L18607" s="24"/>
      <c r="M18607" s="24"/>
      <c r="N18607" s="24"/>
      <c r="O18607" s="24"/>
      <c r="P18607" s="24"/>
      <c r="Q18607" s="24"/>
      <c r="R18607" s="24"/>
      <c r="S18607" s="24"/>
      <c r="T18607" s="24"/>
      <c r="U18607" s="24"/>
      <c r="V18607" s="24"/>
      <c r="W18607" s="24"/>
      <c r="X18607" s="24"/>
      <c r="Y18607" s="24"/>
      <c r="Z18607" s="24"/>
      <c r="AA18607" s="24"/>
    </row>
    <row r="18608">
      <c r="A18608" s="24"/>
      <c r="B18608" s="25"/>
      <c r="C18608" s="24"/>
      <c r="D18608" s="26"/>
      <c r="E18608" s="24"/>
      <c r="F18608" s="24"/>
      <c r="G18608" s="24"/>
      <c r="H18608" s="24"/>
      <c r="I18608" s="24"/>
      <c r="J18608" s="24"/>
      <c r="K18608" s="24"/>
      <c r="L18608" s="24"/>
      <c r="M18608" s="24"/>
      <c r="N18608" s="24"/>
      <c r="O18608" s="24"/>
      <c r="P18608" s="24"/>
      <c r="Q18608" s="24"/>
      <c r="R18608" s="24"/>
      <c r="S18608" s="24"/>
      <c r="T18608" s="24"/>
      <c r="U18608" s="24"/>
      <c r="V18608" s="24"/>
      <c r="W18608" s="24"/>
      <c r="X18608" s="24"/>
      <c r="Y18608" s="24"/>
      <c r="Z18608" s="24"/>
      <c r="AA18608" s="24"/>
    </row>
    <row r="18609">
      <c r="A18609" s="24"/>
      <c r="B18609" s="25"/>
      <c r="C18609" s="24"/>
      <c r="D18609" s="26"/>
      <c r="E18609" s="24"/>
      <c r="F18609" s="24"/>
      <c r="G18609" s="24"/>
      <c r="H18609" s="24"/>
      <c r="I18609" s="24"/>
      <c r="J18609" s="24"/>
      <c r="K18609" s="24"/>
      <c r="L18609" s="24"/>
      <c r="M18609" s="24"/>
      <c r="N18609" s="24"/>
      <c r="O18609" s="24"/>
      <c r="P18609" s="24"/>
      <c r="Q18609" s="24"/>
      <c r="R18609" s="24"/>
      <c r="S18609" s="24"/>
      <c r="T18609" s="24"/>
      <c r="U18609" s="24"/>
      <c r="V18609" s="24"/>
      <c r="W18609" s="24"/>
      <c r="X18609" s="24"/>
      <c r="Y18609" s="24"/>
      <c r="Z18609" s="24"/>
      <c r="AA18609" s="24"/>
    </row>
    <row r="18610">
      <c r="A18610" s="24"/>
      <c r="B18610" s="25"/>
      <c r="C18610" s="24"/>
      <c r="D18610" s="26"/>
      <c r="E18610" s="24"/>
      <c r="F18610" s="24"/>
      <c r="G18610" s="24"/>
      <c r="H18610" s="24"/>
      <c r="I18610" s="24"/>
      <c r="J18610" s="24"/>
      <c r="K18610" s="24"/>
      <c r="L18610" s="24"/>
      <c r="M18610" s="24"/>
      <c r="N18610" s="24"/>
      <c r="O18610" s="24"/>
      <c r="P18610" s="24"/>
      <c r="Q18610" s="24"/>
      <c r="R18610" s="24"/>
      <c r="S18610" s="24"/>
      <c r="T18610" s="24"/>
      <c r="U18610" s="24"/>
      <c r="V18610" s="24"/>
      <c r="W18610" s="24"/>
      <c r="X18610" s="24"/>
      <c r="Y18610" s="24"/>
      <c r="Z18610" s="24"/>
      <c r="AA18610" s="24"/>
    </row>
    <row r="18611">
      <c r="A18611" s="24"/>
      <c r="B18611" s="25"/>
      <c r="C18611" s="24"/>
      <c r="D18611" s="26"/>
      <c r="E18611" s="24"/>
      <c r="F18611" s="24"/>
      <c r="G18611" s="24"/>
      <c r="H18611" s="24"/>
      <c r="I18611" s="24"/>
      <c r="J18611" s="24"/>
      <c r="K18611" s="24"/>
      <c r="L18611" s="24"/>
      <c r="M18611" s="24"/>
      <c r="N18611" s="24"/>
      <c r="O18611" s="24"/>
      <c r="P18611" s="24"/>
      <c r="Q18611" s="24"/>
      <c r="R18611" s="24"/>
      <c r="S18611" s="24"/>
      <c r="T18611" s="24"/>
      <c r="U18611" s="24"/>
      <c r="V18611" s="24"/>
      <c r="W18611" s="24"/>
      <c r="X18611" s="24"/>
      <c r="Y18611" s="24"/>
      <c r="Z18611" s="24"/>
      <c r="AA18611" s="24"/>
    </row>
    <row r="18612">
      <c r="A18612" s="24"/>
      <c r="B18612" s="25"/>
      <c r="C18612" s="24"/>
      <c r="D18612" s="26"/>
      <c r="E18612" s="24"/>
      <c r="F18612" s="24"/>
      <c r="G18612" s="24"/>
      <c r="H18612" s="24"/>
      <c r="I18612" s="24"/>
      <c r="J18612" s="24"/>
      <c r="K18612" s="24"/>
      <c r="L18612" s="24"/>
      <c r="M18612" s="24"/>
      <c r="N18612" s="24"/>
      <c r="O18612" s="24"/>
      <c r="P18612" s="24"/>
      <c r="Q18612" s="24"/>
      <c r="R18612" s="24"/>
      <c r="S18612" s="24"/>
      <c r="T18612" s="24"/>
      <c r="U18612" s="24"/>
      <c r="V18612" s="24"/>
      <c r="W18612" s="24"/>
      <c r="X18612" s="24"/>
      <c r="Y18612" s="24"/>
      <c r="Z18612" s="24"/>
      <c r="AA18612" s="24"/>
    </row>
    <row r="18613">
      <c r="A18613" s="24"/>
      <c r="B18613" s="25"/>
      <c r="C18613" s="24"/>
      <c r="D18613" s="26"/>
      <c r="E18613" s="24"/>
      <c r="F18613" s="24"/>
      <c r="G18613" s="24"/>
      <c r="H18613" s="24"/>
      <c r="I18613" s="24"/>
      <c r="J18613" s="24"/>
      <c r="K18613" s="24"/>
      <c r="L18613" s="24"/>
      <c r="M18613" s="24"/>
      <c r="N18613" s="24"/>
      <c r="O18613" s="24"/>
      <c r="P18613" s="24"/>
      <c r="Q18613" s="24"/>
      <c r="R18613" s="24"/>
      <c r="S18613" s="24"/>
      <c r="T18613" s="24"/>
      <c r="U18613" s="24"/>
      <c r="V18613" s="24"/>
      <c r="W18613" s="24"/>
      <c r="X18613" s="24"/>
      <c r="Y18613" s="24"/>
      <c r="Z18613" s="24"/>
      <c r="AA18613" s="24"/>
    </row>
    <row r="18614">
      <c r="A18614" s="24"/>
      <c r="B18614" s="25"/>
      <c r="C18614" s="24"/>
      <c r="D18614" s="26"/>
      <c r="E18614" s="24"/>
      <c r="F18614" s="24"/>
      <c r="G18614" s="24"/>
      <c r="H18614" s="24"/>
      <c r="I18614" s="24"/>
      <c r="J18614" s="24"/>
      <c r="K18614" s="24"/>
      <c r="L18614" s="24"/>
      <c r="M18614" s="24"/>
      <c r="N18614" s="24"/>
      <c r="O18614" s="24"/>
      <c r="P18614" s="24"/>
      <c r="Q18614" s="24"/>
      <c r="R18614" s="24"/>
      <c r="S18614" s="24"/>
      <c r="T18614" s="24"/>
      <c r="U18614" s="24"/>
      <c r="V18614" s="24"/>
      <c r="W18614" s="24"/>
      <c r="X18614" s="24"/>
      <c r="Y18614" s="24"/>
      <c r="Z18614" s="24"/>
      <c r="AA18614" s="24"/>
    </row>
    <row r="18615">
      <c r="A18615" s="24"/>
      <c r="B18615" s="25"/>
      <c r="C18615" s="24"/>
      <c r="D18615" s="26"/>
      <c r="E18615" s="24"/>
      <c r="F18615" s="24"/>
      <c r="G18615" s="24"/>
      <c r="H18615" s="24"/>
      <c r="I18615" s="24"/>
      <c r="J18615" s="24"/>
      <c r="K18615" s="24"/>
      <c r="L18615" s="24"/>
      <c r="M18615" s="24"/>
      <c r="N18615" s="24"/>
      <c r="O18615" s="24"/>
      <c r="P18615" s="24"/>
      <c r="Q18615" s="24"/>
      <c r="R18615" s="24"/>
      <c r="S18615" s="24"/>
      <c r="T18615" s="24"/>
      <c r="U18615" s="24"/>
      <c r="V18615" s="24"/>
      <c r="W18615" s="24"/>
      <c r="X18615" s="24"/>
      <c r="Y18615" s="24"/>
      <c r="Z18615" s="24"/>
      <c r="AA18615" s="24"/>
    </row>
    <row r="18616">
      <c r="A18616" s="24"/>
      <c r="B18616" s="25"/>
      <c r="C18616" s="24"/>
      <c r="D18616" s="26"/>
      <c r="E18616" s="24"/>
      <c r="F18616" s="24"/>
      <c r="G18616" s="24"/>
      <c r="H18616" s="24"/>
      <c r="I18616" s="24"/>
      <c r="J18616" s="24"/>
      <c r="K18616" s="24"/>
      <c r="L18616" s="24"/>
      <c r="M18616" s="24"/>
      <c r="N18616" s="24"/>
      <c r="O18616" s="24"/>
      <c r="P18616" s="24"/>
      <c r="Q18616" s="24"/>
      <c r="R18616" s="24"/>
      <c r="S18616" s="24"/>
      <c r="T18616" s="24"/>
      <c r="U18616" s="24"/>
      <c r="V18616" s="24"/>
      <c r="W18616" s="24"/>
      <c r="X18616" s="24"/>
      <c r="Y18616" s="24"/>
      <c r="Z18616" s="24"/>
      <c r="AA18616" s="24"/>
    </row>
    <row r="18617">
      <c r="A18617" s="24"/>
      <c r="B18617" s="25"/>
      <c r="C18617" s="24"/>
      <c r="D18617" s="26"/>
      <c r="E18617" s="24"/>
      <c r="F18617" s="24"/>
      <c r="G18617" s="24"/>
      <c r="H18617" s="24"/>
      <c r="I18617" s="24"/>
      <c r="J18617" s="24"/>
      <c r="K18617" s="24"/>
      <c r="L18617" s="24"/>
      <c r="M18617" s="24"/>
      <c r="N18617" s="24"/>
      <c r="O18617" s="24"/>
      <c r="P18617" s="24"/>
      <c r="Q18617" s="24"/>
      <c r="R18617" s="24"/>
      <c r="S18617" s="24"/>
      <c r="T18617" s="24"/>
      <c r="U18617" s="24"/>
      <c r="V18617" s="24"/>
      <c r="W18617" s="24"/>
      <c r="X18617" s="24"/>
      <c r="Y18617" s="24"/>
      <c r="Z18617" s="24"/>
      <c r="AA18617" s="24"/>
    </row>
    <row r="18618">
      <c r="A18618" s="24"/>
      <c r="B18618" s="25"/>
      <c r="C18618" s="24"/>
      <c r="D18618" s="26"/>
      <c r="E18618" s="24"/>
      <c r="F18618" s="24"/>
      <c r="G18618" s="24"/>
      <c r="H18618" s="24"/>
      <c r="I18618" s="24"/>
      <c r="J18618" s="24"/>
      <c r="K18618" s="24"/>
      <c r="L18618" s="24"/>
      <c r="M18618" s="24"/>
      <c r="N18618" s="24"/>
      <c r="O18618" s="24"/>
      <c r="P18618" s="24"/>
      <c r="Q18618" s="24"/>
      <c r="R18618" s="24"/>
      <c r="S18618" s="24"/>
      <c r="T18618" s="24"/>
      <c r="U18618" s="24"/>
      <c r="V18618" s="24"/>
      <c r="W18618" s="24"/>
      <c r="X18618" s="24"/>
      <c r="Y18618" s="24"/>
      <c r="Z18618" s="24"/>
      <c r="AA18618" s="24"/>
    </row>
    <row r="18619">
      <c r="A18619" s="24"/>
      <c r="B18619" s="25"/>
      <c r="C18619" s="24"/>
      <c r="D18619" s="26"/>
      <c r="E18619" s="24"/>
      <c r="F18619" s="24"/>
      <c r="G18619" s="24"/>
      <c r="H18619" s="24"/>
      <c r="I18619" s="24"/>
      <c r="J18619" s="24"/>
      <c r="K18619" s="24"/>
      <c r="L18619" s="24"/>
      <c r="M18619" s="24"/>
      <c r="N18619" s="24"/>
      <c r="O18619" s="24"/>
      <c r="P18619" s="24"/>
      <c r="Q18619" s="24"/>
      <c r="R18619" s="24"/>
      <c r="S18619" s="24"/>
      <c r="T18619" s="24"/>
      <c r="U18619" s="24"/>
      <c r="V18619" s="24"/>
      <c r="W18619" s="24"/>
      <c r="X18619" s="24"/>
      <c r="Y18619" s="24"/>
      <c r="Z18619" s="24"/>
      <c r="AA18619" s="24"/>
    </row>
    <row r="18620">
      <c r="A18620" s="24"/>
      <c r="B18620" s="25"/>
      <c r="C18620" s="24"/>
      <c r="D18620" s="26"/>
      <c r="E18620" s="24"/>
      <c r="F18620" s="24"/>
      <c r="G18620" s="24"/>
      <c r="H18620" s="24"/>
      <c r="I18620" s="24"/>
      <c r="J18620" s="24"/>
      <c r="K18620" s="24"/>
      <c r="L18620" s="24"/>
      <c r="M18620" s="24"/>
      <c r="N18620" s="24"/>
      <c r="O18620" s="24"/>
      <c r="P18620" s="24"/>
      <c r="Q18620" s="24"/>
      <c r="R18620" s="24"/>
      <c r="S18620" s="24"/>
      <c r="T18620" s="24"/>
      <c r="U18620" s="24"/>
      <c r="V18620" s="24"/>
      <c r="W18620" s="24"/>
      <c r="X18620" s="24"/>
      <c r="Y18620" s="24"/>
      <c r="Z18620" s="24"/>
      <c r="AA18620" s="24"/>
    </row>
    <row r="18621">
      <c r="A18621" s="24"/>
      <c r="B18621" s="25"/>
      <c r="C18621" s="24"/>
      <c r="D18621" s="26"/>
      <c r="E18621" s="24"/>
      <c r="F18621" s="24"/>
      <c r="G18621" s="24"/>
      <c r="H18621" s="24"/>
      <c r="I18621" s="24"/>
      <c r="J18621" s="24"/>
      <c r="K18621" s="24"/>
      <c r="L18621" s="24"/>
      <c r="M18621" s="24"/>
      <c r="N18621" s="24"/>
      <c r="O18621" s="24"/>
      <c r="P18621" s="24"/>
      <c r="Q18621" s="24"/>
      <c r="R18621" s="24"/>
      <c r="S18621" s="24"/>
      <c r="T18621" s="24"/>
      <c r="U18621" s="24"/>
      <c r="V18621" s="24"/>
      <c r="W18621" s="24"/>
      <c r="X18621" s="24"/>
      <c r="Y18621" s="24"/>
      <c r="Z18621" s="24"/>
      <c r="AA18621" s="24"/>
    </row>
    <row r="18622">
      <c r="A18622" s="24"/>
      <c r="B18622" s="25"/>
      <c r="C18622" s="24"/>
      <c r="D18622" s="26"/>
      <c r="E18622" s="24"/>
      <c r="F18622" s="24"/>
      <c r="G18622" s="24"/>
      <c r="H18622" s="24"/>
      <c r="I18622" s="24"/>
      <c r="J18622" s="24"/>
      <c r="K18622" s="24"/>
      <c r="L18622" s="24"/>
      <c r="M18622" s="24"/>
      <c r="N18622" s="24"/>
      <c r="O18622" s="24"/>
      <c r="P18622" s="24"/>
      <c r="Q18622" s="24"/>
      <c r="R18622" s="24"/>
      <c r="S18622" s="24"/>
      <c r="T18622" s="24"/>
      <c r="U18622" s="24"/>
      <c r="V18622" s="24"/>
      <c r="W18622" s="24"/>
      <c r="X18622" s="24"/>
      <c r="Y18622" s="24"/>
      <c r="Z18622" s="24"/>
      <c r="AA18622" s="24"/>
    </row>
    <row r="18623">
      <c r="A18623" s="24"/>
      <c r="B18623" s="25"/>
      <c r="C18623" s="24"/>
      <c r="D18623" s="26"/>
      <c r="E18623" s="24"/>
      <c r="F18623" s="24"/>
      <c r="G18623" s="24"/>
      <c r="H18623" s="24"/>
      <c r="I18623" s="24"/>
      <c r="J18623" s="24"/>
      <c r="K18623" s="24"/>
      <c r="L18623" s="24"/>
      <c r="M18623" s="24"/>
      <c r="N18623" s="24"/>
      <c r="O18623" s="24"/>
      <c r="P18623" s="24"/>
      <c r="Q18623" s="24"/>
      <c r="R18623" s="24"/>
      <c r="S18623" s="24"/>
      <c r="T18623" s="24"/>
      <c r="U18623" s="24"/>
      <c r="V18623" s="24"/>
      <c r="W18623" s="24"/>
      <c r="X18623" s="24"/>
      <c r="Y18623" s="24"/>
      <c r="Z18623" s="24"/>
      <c r="AA18623" s="24"/>
    </row>
    <row r="18624">
      <c r="A18624" s="24"/>
      <c r="B18624" s="25"/>
      <c r="C18624" s="24"/>
      <c r="D18624" s="26"/>
      <c r="E18624" s="24"/>
      <c r="F18624" s="24"/>
      <c r="G18624" s="24"/>
      <c r="H18624" s="24"/>
      <c r="I18624" s="24"/>
      <c r="J18624" s="24"/>
      <c r="K18624" s="24"/>
      <c r="L18624" s="24"/>
      <c r="M18624" s="24"/>
      <c r="N18624" s="24"/>
      <c r="O18624" s="24"/>
      <c r="P18624" s="24"/>
      <c r="Q18624" s="24"/>
      <c r="R18624" s="24"/>
      <c r="S18624" s="24"/>
      <c r="T18624" s="24"/>
      <c r="U18624" s="24"/>
      <c r="V18624" s="24"/>
      <c r="W18624" s="24"/>
      <c r="X18624" s="24"/>
      <c r="Y18624" s="24"/>
      <c r="Z18624" s="24"/>
      <c r="AA18624" s="24"/>
    </row>
    <row r="18625">
      <c r="A18625" s="24"/>
      <c r="B18625" s="25"/>
      <c r="C18625" s="24"/>
      <c r="D18625" s="26"/>
      <c r="E18625" s="24"/>
      <c r="F18625" s="24"/>
      <c r="G18625" s="24"/>
      <c r="H18625" s="24"/>
      <c r="I18625" s="24"/>
      <c r="J18625" s="24"/>
      <c r="K18625" s="24"/>
      <c r="L18625" s="24"/>
      <c r="M18625" s="24"/>
      <c r="N18625" s="24"/>
      <c r="O18625" s="24"/>
      <c r="P18625" s="24"/>
      <c r="Q18625" s="24"/>
      <c r="R18625" s="24"/>
      <c r="S18625" s="24"/>
      <c r="T18625" s="24"/>
      <c r="U18625" s="24"/>
      <c r="V18625" s="24"/>
      <c r="W18625" s="24"/>
      <c r="X18625" s="24"/>
      <c r="Y18625" s="24"/>
      <c r="Z18625" s="24"/>
      <c r="AA18625" s="24"/>
    </row>
    <row r="18626">
      <c r="A18626" s="24"/>
      <c r="B18626" s="25"/>
      <c r="C18626" s="24"/>
      <c r="D18626" s="26"/>
      <c r="E18626" s="24"/>
      <c r="F18626" s="24"/>
      <c r="G18626" s="24"/>
      <c r="H18626" s="24"/>
      <c r="I18626" s="24"/>
      <c r="J18626" s="24"/>
      <c r="K18626" s="24"/>
      <c r="L18626" s="24"/>
      <c r="M18626" s="24"/>
      <c r="N18626" s="24"/>
      <c r="O18626" s="24"/>
      <c r="P18626" s="24"/>
      <c r="Q18626" s="24"/>
      <c r="R18626" s="24"/>
      <c r="S18626" s="24"/>
      <c r="T18626" s="24"/>
      <c r="U18626" s="24"/>
      <c r="V18626" s="24"/>
      <c r="W18626" s="24"/>
      <c r="X18626" s="24"/>
      <c r="Y18626" s="24"/>
      <c r="Z18626" s="24"/>
      <c r="AA18626" s="24"/>
    </row>
    <row r="18627">
      <c r="A18627" s="24"/>
      <c r="B18627" s="25"/>
      <c r="C18627" s="24"/>
      <c r="D18627" s="26"/>
      <c r="E18627" s="24"/>
      <c r="F18627" s="24"/>
      <c r="G18627" s="24"/>
      <c r="H18627" s="24"/>
      <c r="I18627" s="24"/>
      <c r="J18627" s="24"/>
      <c r="K18627" s="24"/>
      <c r="L18627" s="24"/>
      <c r="M18627" s="24"/>
      <c r="N18627" s="24"/>
      <c r="O18627" s="24"/>
      <c r="P18627" s="24"/>
      <c r="Q18627" s="24"/>
      <c r="R18627" s="24"/>
      <c r="S18627" s="24"/>
      <c r="T18627" s="24"/>
      <c r="U18627" s="24"/>
      <c r="V18627" s="24"/>
      <c r="W18627" s="24"/>
      <c r="X18627" s="24"/>
      <c r="Y18627" s="24"/>
      <c r="Z18627" s="24"/>
      <c r="AA18627" s="24"/>
    </row>
    <row r="18628">
      <c r="A18628" s="24"/>
      <c r="B18628" s="25"/>
      <c r="C18628" s="24"/>
      <c r="D18628" s="26"/>
      <c r="E18628" s="24"/>
      <c r="F18628" s="24"/>
      <c r="G18628" s="24"/>
      <c r="H18628" s="24"/>
      <c r="I18628" s="24"/>
      <c r="J18628" s="24"/>
      <c r="K18628" s="24"/>
      <c r="L18628" s="24"/>
      <c r="M18628" s="24"/>
      <c r="N18628" s="24"/>
      <c r="O18628" s="24"/>
      <c r="P18628" s="24"/>
      <c r="Q18628" s="24"/>
      <c r="R18628" s="24"/>
      <c r="S18628" s="24"/>
      <c r="T18628" s="24"/>
      <c r="U18628" s="24"/>
      <c r="V18628" s="24"/>
      <c r="W18628" s="24"/>
      <c r="X18628" s="24"/>
      <c r="Y18628" s="24"/>
      <c r="Z18628" s="24"/>
      <c r="AA18628" s="24"/>
    </row>
    <row r="18629">
      <c r="A18629" s="24"/>
      <c r="B18629" s="25"/>
      <c r="C18629" s="24"/>
      <c r="D18629" s="26"/>
      <c r="E18629" s="24"/>
      <c r="F18629" s="24"/>
      <c r="G18629" s="24"/>
      <c r="H18629" s="24"/>
      <c r="I18629" s="24"/>
      <c r="J18629" s="24"/>
      <c r="K18629" s="24"/>
      <c r="L18629" s="24"/>
      <c r="M18629" s="24"/>
      <c r="N18629" s="24"/>
      <c r="O18629" s="24"/>
      <c r="P18629" s="24"/>
      <c r="Q18629" s="24"/>
      <c r="R18629" s="24"/>
      <c r="S18629" s="24"/>
      <c r="T18629" s="24"/>
      <c r="U18629" s="24"/>
      <c r="V18629" s="24"/>
      <c r="W18629" s="24"/>
      <c r="X18629" s="24"/>
      <c r="Y18629" s="24"/>
      <c r="Z18629" s="24"/>
      <c r="AA18629" s="24"/>
    </row>
    <row r="18630">
      <c r="A18630" s="24"/>
      <c r="B18630" s="25"/>
      <c r="C18630" s="24"/>
      <c r="D18630" s="26"/>
      <c r="E18630" s="24"/>
      <c r="F18630" s="24"/>
      <c r="G18630" s="24"/>
      <c r="H18630" s="24"/>
      <c r="I18630" s="24"/>
      <c r="J18630" s="24"/>
      <c r="K18630" s="24"/>
      <c r="L18630" s="24"/>
      <c r="M18630" s="24"/>
      <c r="N18630" s="24"/>
      <c r="O18630" s="24"/>
      <c r="P18630" s="24"/>
      <c r="Q18630" s="24"/>
      <c r="R18630" s="24"/>
      <c r="S18630" s="24"/>
      <c r="T18630" s="24"/>
      <c r="U18630" s="24"/>
      <c r="V18630" s="24"/>
      <c r="W18630" s="24"/>
      <c r="X18630" s="24"/>
      <c r="Y18630" s="24"/>
      <c r="Z18630" s="24"/>
      <c r="AA18630" s="24"/>
    </row>
    <row r="18631">
      <c r="A18631" s="24"/>
      <c r="B18631" s="25"/>
      <c r="C18631" s="24"/>
      <c r="D18631" s="26"/>
      <c r="E18631" s="24"/>
      <c r="F18631" s="24"/>
      <c r="G18631" s="24"/>
      <c r="H18631" s="24"/>
      <c r="I18631" s="24"/>
      <c r="J18631" s="24"/>
      <c r="K18631" s="24"/>
      <c r="L18631" s="24"/>
      <c r="M18631" s="24"/>
      <c r="N18631" s="24"/>
      <c r="O18631" s="24"/>
      <c r="P18631" s="24"/>
      <c r="Q18631" s="24"/>
      <c r="R18631" s="24"/>
      <c r="S18631" s="24"/>
      <c r="T18631" s="24"/>
      <c r="U18631" s="24"/>
      <c r="V18631" s="24"/>
      <c r="W18631" s="24"/>
      <c r="X18631" s="24"/>
      <c r="Y18631" s="24"/>
      <c r="Z18631" s="24"/>
      <c r="AA18631" s="24"/>
    </row>
    <row r="18632">
      <c r="A18632" s="24"/>
      <c r="B18632" s="25"/>
      <c r="C18632" s="24"/>
      <c r="D18632" s="26"/>
      <c r="E18632" s="24"/>
      <c r="F18632" s="24"/>
      <c r="G18632" s="24"/>
      <c r="H18632" s="24"/>
      <c r="I18632" s="24"/>
      <c r="J18632" s="24"/>
      <c r="K18632" s="24"/>
      <c r="L18632" s="24"/>
      <c r="M18632" s="24"/>
      <c r="N18632" s="24"/>
      <c r="O18632" s="24"/>
      <c r="P18632" s="24"/>
      <c r="Q18632" s="24"/>
      <c r="R18632" s="24"/>
      <c r="S18632" s="24"/>
      <c r="T18632" s="24"/>
      <c r="U18632" s="24"/>
      <c r="V18632" s="24"/>
      <c r="W18632" s="24"/>
      <c r="X18632" s="24"/>
      <c r="Y18632" s="24"/>
      <c r="Z18632" s="24"/>
      <c r="AA18632" s="24"/>
    </row>
    <row r="18633">
      <c r="A18633" s="24"/>
      <c r="B18633" s="25"/>
      <c r="C18633" s="24"/>
      <c r="D18633" s="26"/>
      <c r="E18633" s="24"/>
      <c r="F18633" s="24"/>
      <c r="G18633" s="24"/>
      <c r="H18633" s="24"/>
      <c r="I18633" s="24"/>
      <c r="J18633" s="24"/>
      <c r="K18633" s="24"/>
      <c r="L18633" s="24"/>
      <c r="M18633" s="24"/>
      <c r="N18633" s="24"/>
      <c r="O18633" s="24"/>
      <c r="P18633" s="24"/>
      <c r="Q18633" s="24"/>
      <c r="R18633" s="24"/>
      <c r="S18633" s="24"/>
      <c r="T18633" s="24"/>
      <c r="U18633" s="24"/>
      <c r="V18633" s="24"/>
      <c r="W18633" s="24"/>
      <c r="X18633" s="24"/>
      <c r="Y18633" s="24"/>
      <c r="Z18633" s="24"/>
      <c r="AA18633" s="24"/>
    </row>
    <row r="18634">
      <c r="A18634" s="24"/>
      <c r="B18634" s="25"/>
      <c r="C18634" s="24"/>
      <c r="D18634" s="26"/>
      <c r="E18634" s="24"/>
      <c r="F18634" s="24"/>
      <c r="G18634" s="24"/>
      <c r="H18634" s="24"/>
      <c r="I18634" s="24"/>
      <c r="J18634" s="24"/>
      <c r="K18634" s="24"/>
      <c r="L18634" s="24"/>
      <c r="M18634" s="24"/>
      <c r="N18634" s="24"/>
      <c r="O18634" s="24"/>
      <c r="P18634" s="24"/>
      <c r="Q18634" s="24"/>
      <c r="R18634" s="24"/>
      <c r="S18634" s="24"/>
      <c r="T18634" s="24"/>
      <c r="U18634" s="24"/>
      <c r="V18634" s="24"/>
      <c r="W18634" s="24"/>
      <c r="X18634" s="24"/>
      <c r="Y18634" s="24"/>
      <c r="Z18634" s="24"/>
      <c r="AA18634" s="24"/>
    </row>
    <row r="18635">
      <c r="A18635" s="24"/>
      <c r="B18635" s="25"/>
      <c r="C18635" s="24"/>
      <c r="D18635" s="26"/>
      <c r="E18635" s="24"/>
      <c r="F18635" s="24"/>
      <c r="G18635" s="24"/>
      <c r="H18635" s="24"/>
      <c r="I18635" s="24"/>
      <c r="J18635" s="24"/>
      <c r="K18635" s="24"/>
      <c r="L18635" s="24"/>
      <c r="M18635" s="24"/>
      <c r="N18635" s="24"/>
      <c r="O18635" s="24"/>
      <c r="P18635" s="24"/>
      <c r="Q18635" s="24"/>
      <c r="R18635" s="24"/>
      <c r="S18635" s="24"/>
      <c r="T18635" s="24"/>
      <c r="U18635" s="24"/>
      <c r="V18635" s="24"/>
      <c r="W18635" s="24"/>
      <c r="X18635" s="24"/>
      <c r="Y18635" s="24"/>
      <c r="Z18635" s="24"/>
      <c r="AA18635" s="24"/>
    </row>
    <row r="18636">
      <c r="A18636" s="24"/>
      <c r="B18636" s="25"/>
      <c r="C18636" s="24"/>
      <c r="D18636" s="26"/>
      <c r="E18636" s="24"/>
      <c r="F18636" s="24"/>
      <c r="G18636" s="24"/>
      <c r="H18636" s="24"/>
      <c r="I18636" s="24"/>
      <c r="J18636" s="24"/>
      <c r="K18636" s="24"/>
      <c r="L18636" s="24"/>
      <c r="M18636" s="24"/>
      <c r="N18636" s="24"/>
      <c r="O18636" s="24"/>
      <c r="P18636" s="24"/>
      <c r="Q18636" s="24"/>
      <c r="R18636" s="24"/>
      <c r="S18636" s="24"/>
      <c r="T18636" s="24"/>
      <c r="U18636" s="24"/>
      <c r="V18636" s="24"/>
      <c r="W18636" s="24"/>
      <c r="X18636" s="24"/>
      <c r="Y18636" s="24"/>
      <c r="Z18636" s="24"/>
      <c r="AA18636" s="24"/>
    </row>
    <row r="18637">
      <c r="A18637" s="24"/>
      <c r="B18637" s="25"/>
      <c r="C18637" s="24"/>
      <c r="D18637" s="26"/>
      <c r="E18637" s="24"/>
      <c r="F18637" s="24"/>
      <c r="G18637" s="24"/>
      <c r="H18637" s="24"/>
      <c r="I18637" s="24"/>
      <c r="J18637" s="24"/>
      <c r="K18637" s="24"/>
      <c r="L18637" s="24"/>
      <c r="M18637" s="24"/>
      <c r="N18637" s="24"/>
      <c r="O18637" s="24"/>
      <c r="P18637" s="24"/>
      <c r="Q18637" s="24"/>
      <c r="R18637" s="24"/>
      <c r="S18637" s="24"/>
      <c r="T18637" s="24"/>
      <c r="U18637" s="24"/>
      <c r="V18637" s="24"/>
      <c r="W18637" s="24"/>
      <c r="X18637" s="24"/>
      <c r="Y18637" s="24"/>
      <c r="Z18637" s="24"/>
      <c r="AA18637" s="24"/>
    </row>
    <row r="18638">
      <c r="A18638" s="24"/>
      <c r="B18638" s="25"/>
      <c r="C18638" s="24"/>
      <c r="D18638" s="26"/>
      <c r="E18638" s="24"/>
      <c r="F18638" s="24"/>
      <c r="G18638" s="24"/>
      <c r="H18638" s="24"/>
      <c r="I18638" s="24"/>
      <c r="J18638" s="24"/>
      <c r="K18638" s="24"/>
      <c r="L18638" s="24"/>
      <c r="M18638" s="24"/>
      <c r="N18638" s="24"/>
      <c r="O18638" s="24"/>
      <c r="P18638" s="24"/>
      <c r="Q18638" s="24"/>
      <c r="R18638" s="24"/>
      <c r="S18638" s="24"/>
      <c r="T18638" s="24"/>
      <c r="U18638" s="24"/>
      <c r="V18638" s="24"/>
      <c r="W18638" s="24"/>
      <c r="X18638" s="24"/>
      <c r="Y18638" s="24"/>
      <c r="Z18638" s="24"/>
      <c r="AA18638" s="24"/>
    </row>
    <row r="18639">
      <c r="A18639" s="24"/>
      <c r="B18639" s="25"/>
      <c r="C18639" s="24"/>
      <c r="D18639" s="26"/>
      <c r="E18639" s="24"/>
      <c r="F18639" s="24"/>
      <c r="G18639" s="24"/>
      <c r="H18639" s="24"/>
      <c r="I18639" s="24"/>
      <c r="J18639" s="24"/>
      <c r="K18639" s="24"/>
      <c r="L18639" s="24"/>
      <c r="M18639" s="24"/>
      <c r="N18639" s="24"/>
      <c r="O18639" s="24"/>
      <c r="P18639" s="24"/>
      <c r="Q18639" s="24"/>
      <c r="R18639" s="24"/>
      <c r="S18639" s="24"/>
      <c r="T18639" s="24"/>
      <c r="U18639" s="24"/>
      <c r="V18639" s="24"/>
      <c r="W18639" s="24"/>
      <c r="X18639" s="24"/>
      <c r="Y18639" s="24"/>
      <c r="Z18639" s="24"/>
      <c r="AA18639" s="24"/>
    </row>
    <row r="18640">
      <c r="A18640" s="24"/>
      <c r="B18640" s="25"/>
      <c r="C18640" s="24"/>
      <c r="D18640" s="26"/>
      <c r="E18640" s="24"/>
      <c r="F18640" s="24"/>
      <c r="G18640" s="24"/>
      <c r="H18640" s="24"/>
      <c r="I18640" s="24"/>
      <c r="J18640" s="24"/>
      <c r="K18640" s="24"/>
      <c r="L18640" s="24"/>
      <c r="M18640" s="24"/>
      <c r="N18640" s="24"/>
      <c r="O18640" s="24"/>
      <c r="P18640" s="24"/>
      <c r="Q18640" s="24"/>
      <c r="R18640" s="24"/>
      <c r="S18640" s="24"/>
      <c r="T18640" s="24"/>
      <c r="U18640" s="24"/>
      <c r="V18640" s="24"/>
      <c r="W18640" s="24"/>
      <c r="X18640" s="24"/>
      <c r="Y18640" s="24"/>
      <c r="Z18640" s="24"/>
      <c r="AA18640" s="24"/>
    </row>
    <row r="18641">
      <c r="A18641" s="24"/>
      <c r="B18641" s="25"/>
      <c r="C18641" s="24"/>
      <c r="D18641" s="26"/>
      <c r="E18641" s="24"/>
      <c r="F18641" s="24"/>
      <c r="G18641" s="24"/>
      <c r="H18641" s="24"/>
      <c r="I18641" s="24"/>
      <c r="J18641" s="24"/>
      <c r="K18641" s="24"/>
      <c r="L18641" s="24"/>
      <c r="M18641" s="24"/>
      <c r="N18641" s="24"/>
      <c r="O18641" s="24"/>
      <c r="P18641" s="24"/>
      <c r="Q18641" s="24"/>
      <c r="R18641" s="24"/>
      <c r="S18641" s="24"/>
      <c r="T18641" s="24"/>
      <c r="U18641" s="24"/>
      <c r="V18641" s="24"/>
      <c r="W18641" s="24"/>
      <c r="X18641" s="24"/>
      <c r="Y18641" s="24"/>
      <c r="Z18641" s="24"/>
      <c r="AA18641" s="24"/>
    </row>
    <row r="18642">
      <c r="A18642" s="24"/>
      <c r="B18642" s="25"/>
      <c r="C18642" s="24"/>
      <c r="D18642" s="26"/>
      <c r="E18642" s="24"/>
      <c r="F18642" s="24"/>
      <c r="G18642" s="24"/>
      <c r="H18642" s="24"/>
      <c r="I18642" s="24"/>
      <c r="J18642" s="24"/>
      <c r="K18642" s="24"/>
      <c r="L18642" s="24"/>
      <c r="M18642" s="24"/>
      <c r="N18642" s="24"/>
      <c r="O18642" s="24"/>
      <c r="P18642" s="24"/>
      <c r="Q18642" s="24"/>
      <c r="R18642" s="24"/>
      <c r="S18642" s="24"/>
      <c r="T18642" s="24"/>
      <c r="U18642" s="24"/>
      <c r="V18642" s="24"/>
      <c r="W18642" s="24"/>
      <c r="X18642" s="24"/>
      <c r="Y18642" s="24"/>
      <c r="Z18642" s="24"/>
      <c r="AA18642" s="24"/>
    </row>
    <row r="18643">
      <c r="A18643" s="24"/>
      <c r="B18643" s="25"/>
      <c r="C18643" s="24"/>
      <c r="D18643" s="26"/>
      <c r="E18643" s="24"/>
      <c r="F18643" s="24"/>
      <c r="G18643" s="24"/>
      <c r="H18643" s="24"/>
      <c r="I18643" s="24"/>
      <c r="J18643" s="24"/>
      <c r="K18643" s="24"/>
      <c r="L18643" s="24"/>
      <c r="M18643" s="24"/>
      <c r="N18643" s="24"/>
      <c r="O18643" s="24"/>
      <c r="P18643" s="24"/>
      <c r="Q18643" s="24"/>
      <c r="R18643" s="24"/>
      <c r="S18643" s="24"/>
      <c r="T18643" s="24"/>
      <c r="U18643" s="24"/>
      <c r="V18643" s="24"/>
      <c r="W18643" s="24"/>
      <c r="X18643" s="24"/>
      <c r="Y18643" s="24"/>
      <c r="Z18643" s="24"/>
      <c r="AA18643" s="24"/>
    </row>
    <row r="18644">
      <c r="A18644" s="24"/>
      <c r="B18644" s="25"/>
      <c r="C18644" s="24"/>
      <c r="D18644" s="26"/>
      <c r="E18644" s="24"/>
      <c r="F18644" s="24"/>
      <c r="G18644" s="24"/>
      <c r="H18644" s="24"/>
      <c r="I18644" s="24"/>
      <c r="J18644" s="24"/>
      <c r="K18644" s="24"/>
      <c r="L18644" s="24"/>
      <c r="M18644" s="24"/>
      <c r="N18644" s="24"/>
      <c r="O18644" s="24"/>
      <c r="P18644" s="24"/>
      <c r="Q18644" s="24"/>
      <c r="R18644" s="24"/>
      <c r="S18644" s="24"/>
      <c r="T18644" s="24"/>
      <c r="U18644" s="24"/>
      <c r="V18644" s="24"/>
      <c r="W18644" s="24"/>
      <c r="X18644" s="24"/>
      <c r="Y18644" s="24"/>
      <c r="Z18644" s="24"/>
      <c r="AA18644" s="24"/>
    </row>
    <row r="18645">
      <c r="A18645" s="24"/>
      <c r="B18645" s="25"/>
      <c r="C18645" s="24"/>
      <c r="D18645" s="26"/>
      <c r="E18645" s="24"/>
      <c r="F18645" s="24"/>
      <c r="G18645" s="24"/>
      <c r="H18645" s="24"/>
      <c r="I18645" s="24"/>
      <c r="J18645" s="24"/>
      <c r="K18645" s="24"/>
      <c r="L18645" s="24"/>
      <c r="M18645" s="24"/>
      <c r="N18645" s="24"/>
      <c r="O18645" s="24"/>
      <c r="P18645" s="24"/>
      <c r="Q18645" s="24"/>
      <c r="R18645" s="24"/>
      <c r="S18645" s="24"/>
      <c r="T18645" s="24"/>
      <c r="U18645" s="24"/>
      <c r="V18645" s="24"/>
      <c r="W18645" s="24"/>
      <c r="X18645" s="24"/>
      <c r="Y18645" s="24"/>
      <c r="Z18645" s="24"/>
      <c r="AA18645" s="24"/>
    </row>
    <row r="18646">
      <c r="A18646" s="24"/>
      <c r="B18646" s="25"/>
      <c r="C18646" s="24"/>
      <c r="D18646" s="26"/>
      <c r="E18646" s="24"/>
      <c r="F18646" s="24"/>
      <c r="G18646" s="24"/>
      <c r="H18646" s="24"/>
      <c r="I18646" s="24"/>
      <c r="J18646" s="24"/>
      <c r="K18646" s="24"/>
      <c r="L18646" s="24"/>
      <c r="M18646" s="24"/>
      <c r="N18646" s="24"/>
      <c r="O18646" s="24"/>
      <c r="P18646" s="24"/>
      <c r="Q18646" s="24"/>
      <c r="R18646" s="24"/>
      <c r="S18646" s="24"/>
      <c r="T18646" s="24"/>
      <c r="U18646" s="24"/>
      <c r="V18646" s="24"/>
      <c r="W18646" s="24"/>
      <c r="X18646" s="24"/>
      <c r="Y18646" s="24"/>
      <c r="Z18646" s="24"/>
      <c r="AA18646" s="24"/>
    </row>
    <row r="18647">
      <c r="A18647" s="24"/>
      <c r="B18647" s="25"/>
      <c r="C18647" s="24"/>
      <c r="D18647" s="26"/>
      <c r="E18647" s="24"/>
      <c r="F18647" s="24"/>
      <c r="G18647" s="24"/>
      <c r="H18647" s="24"/>
      <c r="I18647" s="24"/>
      <c r="J18647" s="24"/>
      <c r="K18647" s="24"/>
      <c r="L18647" s="24"/>
      <c r="M18647" s="24"/>
      <c r="N18647" s="24"/>
      <c r="O18647" s="24"/>
      <c r="P18647" s="24"/>
      <c r="Q18647" s="24"/>
      <c r="R18647" s="24"/>
      <c r="S18647" s="24"/>
      <c r="T18647" s="24"/>
      <c r="U18647" s="24"/>
      <c r="V18647" s="24"/>
      <c r="W18647" s="24"/>
      <c r="X18647" s="24"/>
      <c r="Y18647" s="24"/>
      <c r="Z18647" s="24"/>
      <c r="AA18647" s="24"/>
    </row>
    <row r="18648">
      <c r="A18648" s="24"/>
      <c r="B18648" s="25"/>
      <c r="C18648" s="24"/>
      <c r="D18648" s="26"/>
      <c r="E18648" s="24"/>
      <c r="F18648" s="24"/>
      <c r="G18648" s="24"/>
      <c r="H18648" s="24"/>
      <c r="I18648" s="24"/>
      <c r="J18648" s="24"/>
      <c r="K18648" s="24"/>
      <c r="L18648" s="24"/>
      <c r="M18648" s="24"/>
      <c r="N18648" s="24"/>
      <c r="O18648" s="24"/>
      <c r="P18648" s="24"/>
      <c r="Q18648" s="24"/>
      <c r="R18648" s="24"/>
      <c r="S18648" s="24"/>
      <c r="T18648" s="24"/>
      <c r="U18648" s="24"/>
      <c r="V18648" s="24"/>
      <c r="W18648" s="24"/>
      <c r="X18648" s="24"/>
      <c r="Y18648" s="24"/>
      <c r="Z18648" s="24"/>
      <c r="AA18648" s="24"/>
    </row>
    <row r="18649">
      <c r="A18649" s="24"/>
      <c r="B18649" s="25"/>
      <c r="C18649" s="24"/>
      <c r="D18649" s="26"/>
      <c r="E18649" s="24"/>
      <c r="F18649" s="24"/>
      <c r="G18649" s="24"/>
      <c r="H18649" s="24"/>
      <c r="I18649" s="24"/>
      <c r="J18649" s="24"/>
      <c r="K18649" s="24"/>
      <c r="L18649" s="24"/>
      <c r="M18649" s="24"/>
      <c r="N18649" s="24"/>
      <c r="O18649" s="24"/>
      <c r="P18649" s="24"/>
      <c r="Q18649" s="24"/>
      <c r="R18649" s="24"/>
      <c r="S18649" s="24"/>
      <c r="T18649" s="24"/>
      <c r="U18649" s="24"/>
      <c r="V18649" s="24"/>
      <c r="W18649" s="24"/>
      <c r="X18649" s="24"/>
      <c r="Y18649" s="24"/>
      <c r="Z18649" s="24"/>
      <c r="AA18649" s="24"/>
    </row>
    <row r="18650">
      <c r="A18650" s="24"/>
      <c r="B18650" s="25"/>
      <c r="C18650" s="24"/>
      <c r="D18650" s="26"/>
      <c r="E18650" s="24"/>
      <c r="F18650" s="24"/>
      <c r="G18650" s="24"/>
      <c r="H18650" s="24"/>
      <c r="I18650" s="24"/>
      <c r="J18650" s="24"/>
      <c r="K18650" s="24"/>
      <c r="L18650" s="24"/>
      <c r="M18650" s="24"/>
      <c r="N18650" s="24"/>
      <c r="O18650" s="24"/>
      <c r="P18650" s="24"/>
      <c r="Q18650" s="24"/>
      <c r="R18650" s="24"/>
      <c r="S18650" s="24"/>
      <c r="T18650" s="24"/>
      <c r="U18650" s="24"/>
      <c r="V18650" s="24"/>
      <c r="W18650" s="24"/>
      <c r="X18650" s="24"/>
      <c r="Y18650" s="24"/>
      <c r="Z18650" s="24"/>
      <c r="AA18650" s="24"/>
    </row>
    <row r="18651">
      <c r="A18651" s="24"/>
      <c r="B18651" s="25"/>
      <c r="C18651" s="24"/>
      <c r="D18651" s="26"/>
      <c r="E18651" s="24"/>
      <c r="F18651" s="24"/>
      <c r="G18651" s="24"/>
      <c r="H18651" s="24"/>
      <c r="I18651" s="24"/>
      <c r="J18651" s="24"/>
      <c r="K18651" s="24"/>
      <c r="L18651" s="24"/>
      <c r="M18651" s="24"/>
      <c r="N18651" s="24"/>
      <c r="O18651" s="24"/>
      <c r="P18651" s="24"/>
      <c r="Q18651" s="24"/>
      <c r="R18651" s="24"/>
      <c r="S18651" s="24"/>
      <c r="T18651" s="24"/>
      <c r="U18651" s="24"/>
      <c r="V18651" s="24"/>
      <c r="W18651" s="24"/>
      <c r="X18651" s="24"/>
      <c r="Y18651" s="24"/>
      <c r="Z18651" s="24"/>
      <c r="AA18651" s="24"/>
    </row>
    <row r="18652">
      <c r="A18652" s="24"/>
      <c r="B18652" s="25"/>
      <c r="C18652" s="24"/>
      <c r="D18652" s="26"/>
      <c r="E18652" s="24"/>
      <c r="F18652" s="24"/>
      <c r="G18652" s="24"/>
      <c r="H18652" s="24"/>
      <c r="I18652" s="24"/>
      <c r="J18652" s="24"/>
      <c r="K18652" s="24"/>
      <c r="L18652" s="24"/>
      <c r="M18652" s="24"/>
      <c r="N18652" s="24"/>
      <c r="O18652" s="24"/>
      <c r="P18652" s="24"/>
      <c r="Q18652" s="24"/>
      <c r="R18652" s="24"/>
      <c r="S18652" s="24"/>
      <c r="T18652" s="24"/>
      <c r="U18652" s="24"/>
      <c r="V18652" s="24"/>
      <c r="W18652" s="24"/>
      <c r="X18652" s="24"/>
      <c r="Y18652" s="24"/>
      <c r="Z18652" s="24"/>
      <c r="AA18652" s="24"/>
    </row>
    <row r="18653">
      <c r="A18653" s="24"/>
      <c r="B18653" s="25"/>
      <c r="C18653" s="24"/>
      <c r="D18653" s="26"/>
      <c r="E18653" s="24"/>
      <c r="F18653" s="24"/>
      <c r="G18653" s="24"/>
      <c r="H18653" s="24"/>
      <c r="I18653" s="24"/>
      <c r="J18653" s="24"/>
      <c r="K18653" s="24"/>
      <c r="L18653" s="24"/>
      <c r="M18653" s="24"/>
      <c r="N18653" s="24"/>
      <c r="O18653" s="24"/>
      <c r="P18653" s="24"/>
      <c r="Q18653" s="24"/>
      <c r="R18653" s="24"/>
      <c r="S18653" s="24"/>
      <c r="T18653" s="24"/>
      <c r="U18653" s="24"/>
      <c r="V18653" s="24"/>
      <c r="W18653" s="24"/>
      <c r="X18653" s="24"/>
      <c r="Y18653" s="24"/>
      <c r="Z18653" s="24"/>
      <c r="AA18653" s="24"/>
    </row>
    <row r="18654">
      <c r="A18654" s="24"/>
      <c r="B18654" s="25"/>
      <c r="C18654" s="24"/>
      <c r="D18654" s="26"/>
      <c r="E18654" s="24"/>
      <c r="F18654" s="24"/>
      <c r="G18654" s="24"/>
      <c r="H18654" s="24"/>
      <c r="I18654" s="24"/>
      <c r="J18654" s="24"/>
      <c r="K18654" s="24"/>
      <c r="L18654" s="24"/>
      <c r="M18654" s="24"/>
      <c r="N18654" s="24"/>
      <c r="O18654" s="24"/>
      <c r="P18654" s="24"/>
      <c r="Q18654" s="24"/>
      <c r="R18654" s="24"/>
      <c r="S18654" s="24"/>
      <c r="T18654" s="24"/>
      <c r="U18654" s="24"/>
      <c r="V18654" s="24"/>
      <c r="W18654" s="24"/>
      <c r="X18654" s="24"/>
      <c r="Y18654" s="24"/>
      <c r="Z18654" s="24"/>
      <c r="AA18654" s="24"/>
    </row>
    <row r="18655">
      <c r="A18655" s="24"/>
      <c r="B18655" s="25"/>
      <c r="C18655" s="24"/>
      <c r="D18655" s="26"/>
      <c r="E18655" s="24"/>
      <c r="F18655" s="24"/>
      <c r="G18655" s="24"/>
      <c r="H18655" s="24"/>
      <c r="I18655" s="24"/>
      <c r="J18655" s="24"/>
      <c r="K18655" s="24"/>
      <c r="L18655" s="24"/>
      <c r="M18655" s="24"/>
      <c r="N18655" s="24"/>
      <c r="O18655" s="24"/>
      <c r="P18655" s="24"/>
      <c r="Q18655" s="24"/>
      <c r="R18655" s="24"/>
      <c r="S18655" s="24"/>
      <c r="T18655" s="24"/>
      <c r="U18655" s="24"/>
      <c r="V18655" s="24"/>
      <c r="W18655" s="24"/>
      <c r="X18655" s="24"/>
      <c r="Y18655" s="24"/>
      <c r="Z18655" s="24"/>
      <c r="AA18655" s="24"/>
    </row>
    <row r="18656">
      <c r="A18656" s="24"/>
      <c r="B18656" s="25"/>
      <c r="C18656" s="24"/>
      <c r="D18656" s="26"/>
      <c r="E18656" s="24"/>
      <c r="F18656" s="24"/>
      <c r="G18656" s="24"/>
      <c r="H18656" s="24"/>
      <c r="I18656" s="24"/>
      <c r="J18656" s="24"/>
      <c r="K18656" s="24"/>
      <c r="L18656" s="24"/>
      <c r="M18656" s="24"/>
      <c r="N18656" s="24"/>
      <c r="O18656" s="24"/>
      <c r="P18656" s="24"/>
      <c r="Q18656" s="24"/>
      <c r="R18656" s="24"/>
      <c r="S18656" s="24"/>
      <c r="T18656" s="24"/>
      <c r="U18656" s="24"/>
      <c r="V18656" s="24"/>
      <c r="W18656" s="24"/>
      <c r="X18656" s="24"/>
      <c r="Y18656" s="24"/>
      <c r="Z18656" s="24"/>
      <c r="AA18656" s="24"/>
    </row>
    <row r="18657">
      <c r="A18657" s="24"/>
      <c r="B18657" s="25"/>
      <c r="C18657" s="24"/>
      <c r="D18657" s="26"/>
      <c r="E18657" s="24"/>
      <c r="F18657" s="24"/>
      <c r="G18657" s="24"/>
      <c r="H18657" s="24"/>
      <c r="I18657" s="24"/>
      <c r="J18657" s="24"/>
      <c r="K18657" s="24"/>
      <c r="L18657" s="24"/>
      <c r="M18657" s="24"/>
      <c r="N18657" s="24"/>
      <c r="O18657" s="24"/>
      <c r="P18657" s="24"/>
      <c r="Q18657" s="24"/>
      <c r="R18657" s="24"/>
      <c r="S18657" s="24"/>
      <c r="T18657" s="24"/>
      <c r="U18657" s="24"/>
      <c r="V18657" s="24"/>
      <c r="W18657" s="24"/>
      <c r="X18657" s="24"/>
      <c r="Y18657" s="24"/>
      <c r="Z18657" s="24"/>
      <c r="AA18657" s="24"/>
    </row>
    <row r="18658">
      <c r="A18658" s="24"/>
      <c r="B18658" s="25"/>
      <c r="C18658" s="24"/>
      <c r="D18658" s="26"/>
      <c r="E18658" s="24"/>
      <c r="F18658" s="24"/>
      <c r="G18658" s="24"/>
      <c r="H18658" s="24"/>
      <c r="I18658" s="24"/>
      <c r="J18658" s="24"/>
      <c r="K18658" s="24"/>
      <c r="L18658" s="24"/>
      <c r="M18658" s="24"/>
      <c r="N18658" s="24"/>
      <c r="O18658" s="24"/>
      <c r="P18658" s="24"/>
      <c r="Q18658" s="24"/>
      <c r="R18658" s="24"/>
      <c r="S18658" s="24"/>
      <c r="T18658" s="24"/>
      <c r="U18658" s="24"/>
      <c r="V18658" s="24"/>
      <c r="W18658" s="24"/>
      <c r="X18658" s="24"/>
      <c r="Y18658" s="24"/>
      <c r="Z18658" s="24"/>
      <c r="AA18658" s="24"/>
    </row>
    <row r="18659">
      <c r="A18659" s="24"/>
      <c r="B18659" s="25"/>
      <c r="C18659" s="24"/>
      <c r="D18659" s="26"/>
      <c r="E18659" s="24"/>
      <c r="F18659" s="24"/>
      <c r="G18659" s="24"/>
      <c r="H18659" s="24"/>
      <c r="I18659" s="24"/>
      <c r="J18659" s="24"/>
      <c r="K18659" s="24"/>
      <c r="L18659" s="24"/>
      <c r="M18659" s="24"/>
      <c r="N18659" s="24"/>
      <c r="O18659" s="24"/>
      <c r="P18659" s="24"/>
      <c r="Q18659" s="24"/>
      <c r="R18659" s="24"/>
      <c r="S18659" s="24"/>
      <c r="T18659" s="24"/>
      <c r="U18659" s="24"/>
      <c r="V18659" s="24"/>
      <c r="W18659" s="24"/>
      <c r="X18659" s="24"/>
      <c r="Y18659" s="24"/>
      <c r="Z18659" s="24"/>
      <c r="AA18659" s="24"/>
    </row>
    <row r="18660">
      <c r="A18660" s="24"/>
      <c r="B18660" s="25"/>
      <c r="C18660" s="24"/>
      <c r="D18660" s="26"/>
      <c r="E18660" s="24"/>
      <c r="F18660" s="24"/>
      <c r="G18660" s="24"/>
      <c r="H18660" s="24"/>
      <c r="I18660" s="24"/>
      <c r="J18660" s="24"/>
      <c r="K18660" s="24"/>
      <c r="L18660" s="24"/>
      <c r="M18660" s="24"/>
      <c r="N18660" s="24"/>
      <c r="O18660" s="24"/>
      <c r="P18660" s="24"/>
      <c r="Q18660" s="24"/>
      <c r="R18660" s="24"/>
      <c r="S18660" s="24"/>
      <c r="T18660" s="24"/>
      <c r="U18660" s="24"/>
      <c r="V18660" s="24"/>
      <c r="W18660" s="24"/>
      <c r="X18660" s="24"/>
      <c r="Y18660" s="24"/>
      <c r="Z18660" s="24"/>
      <c r="AA18660" s="24"/>
    </row>
    <row r="18661">
      <c r="A18661" s="24"/>
      <c r="B18661" s="25"/>
      <c r="C18661" s="24"/>
      <c r="D18661" s="26"/>
      <c r="E18661" s="24"/>
      <c r="F18661" s="24"/>
      <c r="G18661" s="24"/>
      <c r="H18661" s="24"/>
      <c r="I18661" s="24"/>
      <c r="J18661" s="24"/>
      <c r="K18661" s="24"/>
      <c r="L18661" s="24"/>
      <c r="M18661" s="24"/>
      <c r="N18661" s="24"/>
      <c r="O18661" s="24"/>
      <c r="P18661" s="24"/>
      <c r="Q18661" s="24"/>
      <c r="R18661" s="24"/>
      <c r="S18661" s="24"/>
      <c r="T18661" s="24"/>
      <c r="U18661" s="24"/>
      <c r="V18661" s="24"/>
      <c r="W18661" s="24"/>
      <c r="X18661" s="24"/>
      <c r="Y18661" s="24"/>
      <c r="Z18661" s="24"/>
      <c r="AA18661" s="24"/>
    </row>
    <row r="18662">
      <c r="A18662" s="24"/>
      <c r="B18662" s="25"/>
      <c r="C18662" s="24"/>
      <c r="D18662" s="26"/>
      <c r="E18662" s="24"/>
      <c r="F18662" s="24"/>
      <c r="G18662" s="24"/>
      <c r="H18662" s="24"/>
      <c r="I18662" s="24"/>
      <c r="J18662" s="24"/>
      <c r="K18662" s="24"/>
      <c r="L18662" s="24"/>
      <c r="M18662" s="24"/>
      <c r="N18662" s="24"/>
      <c r="O18662" s="24"/>
      <c r="P18662" s="24"/>
      <c r="Q18662" s="24"/>
      <c r="R18662" s="24"/>
      <c r="S18662" s="24"/>
      <c r="T18662" s="24"/>
      <c r="U18662" s="24"/>
      <c r="V18662" s="24"/>
      <c r="W18662" s="24"/>
      <c r="X18662" s="24"/>
      <c r="Y18662" s="24"/>
      <c r="Z18662" s="24"/>
      <c r="AA18662" s="24"/>
    </row>
    <row r="18663">
      <c r="A18663" s="24"/>
      <c r="B18663" s="25"/>
      <c r="C18663" s="24"/>
      <c r="D18663" s="26"/>
      <c r="E18663" s="24"/>
      <c r="F18663" s="24"/>
      <c r="G18663" s="24"/>
      <c r="H18663" s="24"/>
      <c r="I18663" s="24"/>
      <c r="J18663" s="24"/>
      <c r="K18663" s="24"/>
      <c r="L18663" s="24"/>
      <c r="M18663" s="24"/>
      <c r="N18663" s="24"/>
      <c r="O18663" s="24"/>
      <c r="P18663" s="24"/>
      <c r="Q18663" s="24"/>
      <c r="R18663" s="24"/>
      <c r="S18663" s="24"/>
      <c r="T18663" s="24"/>
      <c r="U18663" s="24"/>
      <c r="V18663" s="24"/>
      <c r="W18663" s="24"/>
      <c r="X18663" s="24"/>
      <c r="Y18663" s="24"/>
      <c r="Z18663" s="24"/>
      <c r="AA18663" s="24"/>
    </row>
    <row r="18664">
      <c r="A18664" s="24"/>
      <c r="B18664" s="25"/>
      <c r="C18664" s="24"/>
      <c r="D18664" s="26"/>
      <c r="E18664" s="24"/>
      <c r="F18664" s="24"/>
      <c r="G18664" s="24"/>
      <c r="H18664" s="24"/>
      <c r="I18664" s="24"/>
      <c r="J18664" s="24"/>
      <c r="K18664" s="24"/>
      <c r="L18664" s="24"/>
      <c r="M18664" s="24"/>
      <c r="N18664" s="24"/>
      <c r="O18664" s="24"/>
      <c r="P18664" s="24"/>
      <c r="Q18664" s="24"/>
      <c r="R18664" s="24"/>
      <c r="S18664" s="24"/>
      <c r="T18664" s="24"/>
      <c r="U18664" s="24"/>
      <c r="V18664" s="24"/>
      <c r="W18664" s="24"/>
      <c r="X18664" s="24"/>
      <c r="Y18664" s="24"/>
      <c r="Z18664" s="24"/>
      <c r="AA18664" s="24"/>
    </row>
    <row r="18665">
      <c r="A18665" s="24"/>
      <c r="B18665" s="25"/>
      <c r="C18665" s="24"/>
      <c r="D18665" s="26"/>
      <c r="E18665" s="24"/>
      <c r="F18665" s="24"/>
      <c r="G18665" s="24"/>
      <c r="H18665" s="24"/>
      <c r="I18665" s="24"/>
      <c r="J18665" s="24"/>
      <c r="K18665" s="24"/>
      <c r="L18665" s="24"/>
      <c r="M18665" s="24"/>
      <c r="N18665" s="24"/>
      <c r="O18665" s="24"/>
      <c r="P18665" s="24"/>
      <c r="Q18665" s="24"/>
      <c r="R18665" s="24"/>
      <c r="S18665" s="24"/>
      <c r="T18665" s="24"/>
      <c r="U18665" s="24"/>
      <c r="V18665" s="24"/>
      <c r="W18665" s="24"/>
      <c r="X18665" s="24"/>
      <c r="Y18665" s="24"/>
      <c r="Z18665" s="24"/>
      <c r="AA18665" s="24"/>
    </row>
    <row r="18666">
      <c r="A18666" s="24"/>
      <c r="B18666" s="25"/>
      <c r="C18666" s="24"/>
      <c r="D18666" s="26"/>
      <c r="E18666" s="24"/>
      <c r="F18666" s="24"/>
      <c r="G18666" s="24"/>
      <c r="H18666" s="24"/>
      <c r="I18666" s="24"/>
      <c r="J18666" s="24"/>
      <c r="K18666" s="24"/>
      <c r="L18666" s="24"/>
      <c r="M18666" s="24"/>
      <c r="N18666" s="24"/>
      <c r="O18666" s="24"/>
      <c r="P18666" s="24"/>
      <c r="Q18666" s="24"/>
      <c r="R18666" s="24"/>
      <c r="S18666" s="24"/>
      <c r="T18666" s="24"/>
      <c r="U18666" s="24"/>
      <c r="V18666" s="24"/>
      <c r="W18666" s="24"/>
      <c r="X18666" s="24"/>
      <c r="Y18666" s="24"/>
      <c r="Z18666" s="24"/>
      <c r="AA18666" s="24"/>
    </row>
    <row r="18667">
      <c r="A18667" s="24"/>
      <c r="B18667" s="25"/>
      <c r="C18667" s="24"/>
      <c r="D18667" s="26"/>
      <c r="E18667" s="24"/>
      <c r="F18667" s="24"/>
      <c r="G18667" s="24"/>
      <c r="H18667" s="24"/>
      <c r="I18667" s="24"/>
      <c r="J18667" s="24"/>
      <c r="K18667" s="24"/>
      <c r="L18667" s="24"/>
      <c r="M18667" s="24"/>
      <c r="N18667" s="24"/>
      <c r="O18667" s="24"/>
      <c r="P18667" s="24"/>
      <c r="Q18667" s="24"/>
      <c r="R18667" s="24"/>
      <c r="S18667" s="24"/>
      <c r="T18667" s="24"/>
      <c r="U18667" s="24"/>
      <c r="V18667" s="24"/>
      <c r="W18667" s="24"/>
      <c r="X18667" s="24"/>
      <c r="Y18667" s="24"/>
      <c r="Z18667" s="24"/>
      <c r="AA18667" s="24"/>
    </row>
    <row r="18668">
      <c r="A18668" s="24"/>
      <c r="B18668" s="25"/>
      <c r="C18668" s="24"/>
      <c r="D18668" s="26"/>
      <c r="E18668" s="24"/>
      <c r="F18668" s="24"/>
      <c r="G18668" s="24"/>
      <c r="H18668" s="24"/>
      <c r="I18668" s="24"/>
      <c r="J18668" s="24"/>
      <c r="K18668" s="24"/>
      <c r="L18668" s="24"/>
      <c r="M18668" s="24"/>
      <c r="N18668" s="24"/>
      <c r="O18668" s="24"/>
      <c r="P18668" s="24"/>
      <c r="Q18668" s="24"/>
      <c r="R18668" s="24"/>
      <c r="S18668" s="24"/>
      <c r="T18668" s="24"/>
      <c r="U18668" s="24"/>
      <c r="V18668" s="24"/>
      <c r="W18668" s="24"/>
      <c r="X18668" s="24"/>
      <c r="Y18668" s="24"/>
      <c r="Z18668" s="24"/>
      <c r="AA18668" s="24"/>
    </row>
    <row r="18669">
      <c r="A18669" s="24"/>
      <c r="B18669" s="25"/>
      <c r="C18669" s="24"/>
      <c r="D18669" s="26"/>
      <c r="E18669" s="24"/>
      <c r="F18669" s="24"/>
      <c r="G18669" s="24"/>
      <c r="H18669" s="24"/>
      <c r="I18669" s="24"/>
      <c r="J18669" s="24"/>
      <c r="K18669" s="24"/>
      <c r="L18669" s="24"/>
      <c r="M18669" s="24"/>
      <c r="N18669" s="24"/>
      <c r="O18669" s="24"/>
      <c r="P18669" s="24"/>
      <c r="Q18669" s="24"/>
      <c r="R18669" s="24"/>
      <c r="S18669" s="24"/>
      <c r="T18669" s="24"/>
      <c r="U18669" s="24"/>
      <c r="V18669" s="24"/>
      <c r="W18669" s="24"/>
      <c r="X18669" s="24"/>
      <c r="Y18669" s="24"/>
      <c r="Z18669" s="24"/>
      <c r="AA18669" s="24"/>
    </row>
    <row r="18670">
      <c r="A18670" s="24"/>
      <c r="B18670" s="25"/>
      <c r="C18670" s="24"/>
      <c r="D18670" s="26"/>
      <c r="E18670" s="24"/>
      <c r="F18670" s="24"/>
      <c r="G18670" s="24"/>
      <c r="H18670" s="24"/>
      <c r="I18670" s="24"/>
      <c r="J18670" s="24"/>
      <c r="K18670" s="24"/>
      <c r="L18670" s="24"/>
      <c r="M18670" s="24"/>
      <c r="N18670" s="24"/>
      <c r="O18670" s="24"/>
      <c r="P18670" s="24"/>
      <c r="Q18670" s="24"/>
      <c r="R18670" s="24"/>
      <c r="S18670" s="24"/>
      <c r="T18670" s="24"/>
      <c r="U18670" s="24"/>
      <c r="V18670" s="24"/>
      <c r="W18670" s="24"/>
      <c r="X18670" s="24"/>
      <c r="Y18670" s="24"/>
      <c r="Z18670" s="24"/>
      <c r="AA18670" s="24"/>
    </row>
    <row r="18671">
      <c r="A18671" s="24"/>
      <c r="B18671" s="25"/>
      <c r="C18671" s="24"/>
      <c r="D18671" s="26"/>
      <c r="E18671" s="24"/>
      <c r="F18671" s="24"/>
      <c r="G18671" s="24"/>
      <c r="H18671" s="24"/>
      <c r="I18671" s="24"/>
      <c r="J18671" s="24"/>
      <c r="K18671" s="24"/>
      <c r="L18671" s="24"/>
      <c r="M18671" s="24"/>
      <c r="N18671" s="24"/>
      <c r="O18671" s="24"/>
      <c r="P18671" s="24"/>
      <c r="Q18671" s="24"/>
      <c r="R18671" s="24"/>
      <c r="S18671" s="24"/>
      <c r="T18671" s="24"/>
      <c r="U18671" s="24"/>
      <c r="V18671" s="24"/>
      <c r="W18671" s="24"/>
      <c r="X18671" s="24"/>
      <c r="Y18671" s="24"/>
      <c r="Z18671" s="24"/>
      <c r="AA18671" s="24"/>
    </row>
    <row r="18672">
      <c r="A18672" s="24"/>
      <c r="B18672" s="25"/>
      <c r="C18672" s="24"/>
      <c r="D18672" s="26"/>
      <c r="E18672" s="24"/>
      <c r="F18672" s="24"/>
      <c r="G18672" s="24"/>
      <c r="H18672" s="24"/>
      <c r="I18672" s="24"/>
      <c r="J18672" s="24"/>
      <c r="K18672" s="24"/>
      <c r="L18672" s="24"/>
      <c r="M18672" s="24"/>
      <c r="N18672" s="24"/>
      <c r="O18672" s="24"/>
      <c r="P18672" s="24"/>
      <c r="Q18672" s="24"/>
      <c r="R18672" s="24"/>
      <c r="S18672" s="24"/>
      <c r="T18672" s="24"/>
      <c r="U18672" s="24"/>
      <c r="V18672" s="24"/>
      <c r="W18672" s="24"/>
      <c r="X18672" s="24"/>
      <c r="Y18672" s="24"/>
      <c r="Z18672" s="24"/>
      <c r="AA18672" s="24"/>
    </row>
    <row r="18673">
      <c r="A18673" s="24"/>
      <c r="B18673" s="25"/>
      <c r="C18673" s="24"/>
      <c r="D18673" s="26"/>
      <c r="E18673" s="24"/>
      <c r="F18673" s="24"/>
      <c r="G18673" s="24"/>
      <c r="H18673" s="24"/>
      <c r="I18673" s="24"/>
      <c r="J18673" s="24"/>
      <c r="K18673" s="24"/>
      <c r="L18673" s="24"/>
      <c r="M18673" s="24"/>
      <c r="N18673" s="24"/>
      <c r="O18673" s="24"/>
      <c r="P18673" s="24"/>
      <c r="Q18673" s="24"/>
      <c r="R18673" s="24"/>
      <c r="S18673" s="24"/>
      <c r="T18673" s="24"/>
      <c r="U18673" s="24"/>
      <c r="V18673" s="24"/>
      <c r="W18673" s="24"/>
      <c r="X18673" s="24"/>
      <c r="Y18673" s="24"/>
      <c r="Z18673" s="24"/>
      <c r="AA18673" s="24"/>
    </row>
    <row r="18674">
      <c r="A18674" s="24"/>
      <c r="B18674" s="25"/>
      <c r="C18674" s="24"/>
      <c r="D18674" s="26"/>
      <c r="E18674" s="24"/>
      <c r="F18674" s="24"/>
      <c r="G18674" s="24"/>
      <c r="H18674" s="24"/>
      <c r="I18674" s="24"/>
      <c r="J18674" s="24"/>
      <c r="K18674" s="24"/>
      <c r="L18674" s="24"/>
      <c r="M18674" s="24"/>
      <c r="N18674" s="24"/>
      <c r="O18674" s="24"/>
      <c r="P18674" s="24"/>
      <c r="Q18674" s="24"/>
      <c r="R18674" s="24"/>
      <c r="S18674" s="24"/>
      <c r="T18674" s="24"/>
      <c r="U18674" s="24"/>
      <c r="V18674" s="24"/>
      <c r="W18674" s="24"/>
      <c r="X18674" s="24"/>
      <c r="Y18674" s="24"/>
      <c r="Z18674" s="24"/>
      <c r="AA18674" s="24"/>
    </row>
    <row r="18675">
      <c r="A18675" s="24"/>
      <c r="B18675" s="25"/>
      <c r="C18675" s="24"/>
      <c r="D18675" s="26"/>
      <c r="E18675" s="24"/>
      <c r="F18675" s="24"/>
      <c r="G18675" s="24"/>
      <c r="H18675" s="24"/>
      <c r="I18675" s="24"/>
      <c r="J18675" s="24"/>
      <c r="K18675" s="24"/>
      <c r="L18675" s="24"/>
      <c r="M18675" s="24"/>
      <c r="N18675" s="24"/>
      <c r="O18675" s="24"/>
      <c r="P18675" s="24"/>
      <c r="Q18675" s="24"/>
      <c r="R18675" s="24"/>
      <c r="S18675" s="24"/>
      <c r="T18675" s="24"/>
      <c r="U18675" s="24"/>
      <c r="V18675" s="24"/>
      <c r="W18675" s="24"/>
      <c r="X18675" s="24"/>
      <c r="Y18675" s="24"/>
      <c r="Z18675" s="24"/>
      <c r="AA18675" s="24"/>
    </row>
    <row r="18676">
      <c r="A18676" s="24"/>
      <c r="B18676" s="25"/>
      <c r="C18676" s="24"/>
      <c r="D18676" s="26"/>
      <c r="E18676" s="24"/>
      <c r="F18676" s="24"/>
      <c r="G18676" s="24"/>
      <c r="H18676" s="24"/>
      <c r="I18676" s="24"/>
      <c r="J18676" s="24"/>
      <c r="K18676" s="24"/>
      <c r="L18676" s="24"/>
      <c r="M18676" s="24"/>
      <c r="N18676" s="24"/>
      <c r="O18676" s="24"/>
      <c r="P18676" s="24"/>
      <c r="Q18676" s="24"/>
      <c r="R18676" s="24"/>
      <c r="S18676" s="24"/>
      <c r="T18676" s="24"/>
      <c r="U18676" s="24"/>
      <c r="V18676" s="24"/>
      <c r="W18676" s="24"/>
      <c r="X18676" s="24"/>
      <c r="Y18676" s="24"/>
      <c r="Z18676" s="24"/>
      <c r="AA18676" s="24"/>
    </row>
    <row r="18677">
      <c r="A18677" s="24"/>
      <c r="B18677" s="25"/>
      <c r="C18677" s="24"/>
      <c r="D18677" s="26"/>
      <c r="E18677" s="24"/>
      <c r="F18677" s="24"/>
      <c r="G18677" s="24"/>
      <c r="H18677" s="24"/>
      <c r="I18677" s="24"/>
      <c r="J18677" s="24"/>
      <c r="K18677" s="24"/>
      <c r="L18677" s="24"/>
      <c r="M18677" s="24"/>
      <c r="N18677" s="24"/>
      <c r="O18677" s="24"/>
      <c r="P18677" s="24"/>
      <c r="Q18677" s="24"/>
      <c r="R18677" s="24"/>
      <c r="S18677" s="24"/>
      <c r="T18677" s="24"/>
      <c r="U18677" s="24"/>
      <c r="V18677" s="24"/>
      <c r="W18677" s="24"/>
      <c r="X18677" s="24"/>
      <c r="Y18677" s="24"/>
      <c r="Z18677" s="24"/>
      <c r="AA18677" s="24"/>
    </row>
    <row r="18678">
      <c r="A18678" s="24"/>
      <c r="B18678" s="25"/>
      <c r="C18678" s="24"/>
      <c r="D18678" s="26"/>
      <c r="E18678" s="24"/>
      <c r="F18678" s="24"/>
      <c r="G18678" s="24"/>
      <c r="H18678" s="24"/>
      <c r="I18678" s="24"/>
      <c r="J18678" s="24"/>
      <c r="K18678" s="24"/>
      <c r="L18678" s="24"/>
      <c r="M18678" s="24"/>
      <c r="N18678" s="24"/>
      <c r="O18678" s="24"/>
      <c r="P18678" s="24"/>
      <c r="Q18678" s="24"/>
      <c r="R18678" s="24"/>
      <c r="S18678" s="24"/>
      <c r="T18678" s="24"/>
      <c r="U18678" s="24"/>
      <c r="V18678" s="24"/>
      <c r="W18678" s="24"/>
      <c r="X18678" s="24"/>
      <c r="Y18678" s="24"/>
      <c r="Z18678" s="24"/>
      <c r="AA18678" s="24"/>
    </row>
    <row r="18679">
      <c r="A18679" s="24"/>
      <c r="B18679" s="25"/>
      <c r="C18679" s="24"/>
      <c r="D18679" s="26"/>
      <c r="E18679" s="24"/>
      <c r="F18679" s="24"/>
      <c r="G18679" s="24"/>
      <c r="H18679" s="24"/>
      <c r="I18679" s="24"/>
      <c r="J18679" s="24"/>
      <c r="K18679" s="24"/>
      <c r="L18679" s="24"/>
      <c r="M18679" s="24"/>
      <c r="N18679" s="24"/>
      <c r="O18679" s="24"/>
      <c r="P18679" s="24"/>
      <c r="Q18679" s="24"/>
      <c r="R18679" s="24"/>
      <c r="S18679" s="24"/>
      <c r="T18679" s="24"/>
      <c r="U18679" s="24"/>
      <c r="V18679" s="24"/>
      <c r="W18679" s="24"/>
      <c r="X18679" s="24"/>
      <c r="Y18679" s="24"/>
      <c r="Z18679" s="24"/>
      <c r="AA18679" s="24"/>
    </row>
    <row r="18680">
      <c r="A18680" s="24"/>
      <c r="B18680" s="25"/>
      <c r="C18680" s="24"/>
      <c r="D18680" s="26"/>
      <c r="E18680" s="24"/>
      <c r="F18680" s="24"/>
      <c r="G18680" s="24"/>
      <c r="H18680" s="24"/>
      <c r="I18680" s="24"/>
      <c r="J18680" s="24"/>
      <c r="K18680" s="24"/>
      <c r="L18680" s="24"/>
      <c r="M18680" s="24"/>
      <c r="N18680" s="24"/>
      <c r="O18680" s="24"/>
      <c r="P18680" s="24"/>
      <c r="Q18680" s="24"/>
      <c r="R18680" s="24"/>
      <c r="S18680" s="24"/>
      <c r="T18680" s="24"/>
      <c r="U18680" s="24"/>
      <c r="V18680" s="24"/>
      <c r="W18680" s="24"/>
      <c r="X18680" s="24"/>
      <c r="Y18680" s="24"/>
      <c r="Z18680" s="24"/>
      <c r="AA18680" s="24"/>
    </row>
    <row r="18681">
      <c r="A18681" s="24"/>
      <c r="B18681" s="25"/>
      <c r="C18681" s="24"/>
      <c r="D18681" s="26"/>
      <c r="E18681" s="24"/>
      <c r="F18681" s="24"/>
      <c r="G18681" s="24"/>
      <c r="H18681" s="24"/>
      <c r="I18681" s="24"/>
      <c r="J18681" s="24"/>
      <c r="K18681" s="24"/>
      <c r="L18681" s="24"/>
      <c r="M18681" s="24"/>
      <c r="N18681" s="24"/>
      <c r="O18681" s="24"/>
      <c r="P18681" s="24"/>
      <c r="Q18681" s="24"/>
      <c r="R18681" s="24"/>
      <c r="S18681" s="24"/>
      <c r="T18681" s="24"/>
      <c r="U18681" s="24"/>
      <c r="V18681" s="24"/>
      <c r="W18681" s="24"/>
      <c r="X18681" s="24"/>
      <c r="Y18681" s="24"/>
      <c r="Z18681" s="24"/>
      <c r="AA18681" s="24"/>
    </row>
    <row r="18682">
      <c r="A18682" s="24"/>
      <c r="B18682" s="25"/>
      <c r="C18682" s="24"/>
      <c r="D18682" s="26"/>
      <c r="E18682" s="24"/>
      <c r="F18682" s="24"/>
      <c r="G18682" s="24"/>
      <c r="H18682" s="24"/>
      <c r="I18682" s="24"/>
      <c r="J18682" s="24"/>
      <c r="K18682" s="24"/>
      <c r="L18682" s="24"/>
      <c r="M18682" s="24"/>
      <c r="N18682" s="24"/>
      <c r="O18682" s="24"/>
      <c r="P18682" s="24"/>
      <c r="Q18682" s="24"/>
      <c r="R18682" s="24"/>
      <c r="S18682" s="24"/>
      <c r="T18682" s="24"/>
      <c r="U18682" s="24"/>
      <c r="V18682" s="24"/>
      <c r="W18682" s="24"/>
      <c r="X18682" s="24"/>
      <c r="Y18682" s="24"/>
      <c r="Z18682" s="24"/>
      <c r="AA18682" s="24"/>
    </row>
    <row r="18683">
      <c r="A18683" s="24"/>
      <c r="B18683" s="25"/>
      <c r="C18683" s="24"/>
      <c r="D18683" s="26"/>
      <c r="E18683" s="24"/>
      <c r="F18683" s="24"/>
      <c r="G18683" s="24"/>
      <c r="H18683" s="24"/>
      <c r="I18683" s="24"/>
      <c r="J18683" s="24"/>
      <c r="K18683" s="24"/>
      <c r="L18683" s="24"/>
      <c r="M18683" s="24"/>
      <c r="N18683" s="24"/>
      <c r="O18683" s="24"/>
      <c r="P18683" s="24"/>
      <c r="Q18683" s="24"/>
      <c r="R18683" s="24"/>
      <c r="S18683" s="24"/>
      <c r="T18683" s="24"/>
      <c r="U18683" s="24"/>
      <c r="V18683" s="24"/>
      <c r="W18683" s="24"/>
      <c r="X18683" s="24"/>
      <c r="Y18683" s="24"/>
      <c r="Z18683" s="24"/>
      <c r="AA18683" s="24"/>
    </row>
    <row r="18684">
      <c r="A18684" s="24"/>
      <c r="B18684" s="25"/>
      <c r="C18684" s="24"/>
      <c r="D18684" s="26"/>
      <c r="E18684" s="24"/>
      <c r="F18684" s="24"/>
      <c r="G18684" s="24"/>
      <c r="H18684" s="24"/>
      <c r="I18684" s="24"/>
      <c r="J18684" s="24"/>
      <c r="K18684" s="24"/>
      <c r="L18684" s="24"/>
      <c r="M18684" s="24"/>
      <c r="N18684" s="24"/>
      <c r="O18684" s="24"/>
      <c r="P18684" s="24"/>
      <c r="Q18684" s="24"/>
      <c r="R18684" s="24"/>
      <c r="S18684" s="24"/>
      <c r="T18684" s="24"/>
      <c r="U18684" s="24"/>
      <c r="V18684" s="24"/>
      <c r="W18684" s="24"/>
      <c r="X18684" s="24"/>
      <c r="Y18684" s="24"/>
      <c r="Z18684" s="24"/>
      <c r="AA18684" s="24"/>
    </row>
    <row r="18685">
      <c r="A18685" s="24"/>
      <c r="B18685" s="25"/>
      <c r="C18685" s="24"/>
      <c r="D18685" s="26"/>
      <c r="E18685" s="24"/>
      <c r="F18685" s="24"/>
      <c r="G18685" s="24"/>
      <c r="H18685" s="24"/>
      <c r="I18685" s="24"/>
      <c r="J18685" s="24"/>
      <c r="K18685" s="24"/>
      <c r="L18685" s="24"/>
      <c r="M18685" s="24"/>
      <c r="N18685" s="24"/>
      <c r="O18685" s="24"/>
      <c r="P18685" s="24"/>
      <c r="Q18685" s="24"/>
      <c r="R18685" s="24"/>
      <c r="S18685" s="24"/>
      <c r="T18685" s="24"/>
      <c r="U18685" s="24"/>
      <c r="V18685" s="24"/>
      <c r="W18685" s="24"/>
      <c r="X18685" s="24"/>
      <c r="Y18685" s="24"/>
      <c r="Z18685" s="24"/>
      <c r="AA18685" s="24"/>
    </row>
    <row r="18686">
      <c r="A18686" s="24"/>
      <c r="B18686" s="25"/>
      <c r="C18686" s="24"/>
      <c r="D18686" s="26"/>
      <c r="E18686" s="24"/>
      <c r="F18686" s="24"/>
      <c r="G18686" s="24"/>
      <c r="H18686" s="24"/>
      <c r="I18686" s="24"/>
      <c r="J18686" s="24"/>
      <c r="K18686" s="24"/>
      <c r="L18686" s="24"/>
      <c r="M18686" s="24"/>
      <c r="N18686" s="24"/>
      <c r="O18686" s="24"/>
      <c r="P18686" s="24"/>
      <c r="Q18686" s="24"/>
      <c r="R18686" s="24"/>
      <c r="S18686" s="24"/>
      <c r="T18686" s="24"/>
      <c r="U18686" s="24"/>
      <c r="V18686" s="24"/>
      <c r="W18686" s="24"/>
      <c r="X18686" s="24"/>
      <c r="Y18686" s="24"/>
      <c r="Z18686" s="24"/>
      <c r="AA18686" s="24"/>
    </row>
    <row r="18687">
      <c r="A18687" s="24"/>
      <c r="B18687" s="25"/>
      <c r="C18687" s="24"/>
      <c r="D18687" s="26"/>
      <c r="E18687" s="24"/>
      <c r="F18687" s="24"/>
      <c r="G18687" s="24"/>
      <c r="H18687" s="24"/>
      <c r="I18687" s="24"/>
      <c r="J18687" s="24"/>
      <c r="K18687" s="24"/>
      <c r="L18687" s="24"/>
      <c r="M18687" s="24"/>
      <c r="N18687" s="24"/>
      <c r="O18687" s="24"/>
      <c r="P18687" s="24"/>
      <c r="Q18687" s="24"/>
      <c r="R18687" s="24"/>
      <c r="S18687" s="24"/>
      <c r="T18687" s="24"/>
      <c r="U18687" s="24"/>
      <c r="V18687" s="24"/>
      <c r="W18687" s="24"/>
      <c r="X18687" s="24"/>
      <c r="Y18687" s="24"/>
      <c r="Z18687" s="24"/>
      <c r="AA18687" s="24"/>
    </row>
    <row r="18688">
      <c r="A18688" s="24"/>
      <c r="B18688" s="25"/>
      <c r="C18688" s="24"/>
      <c r="D18688" s="26"/>
      <c r="E18688" s="24"/>
      <c r="F18688" s="24"/>
      <c r="G18688" s="24"/>
      <c r="H18688" s="24"/>
      <c r="I18688" s="24"/>
      <c r="J18688" s="24"/>
      <c r="K18688" s="24"/>
      <c r="L18688" s="24"/>
      <c r="M18688" s="24"/>
      <c r="N18688" s="24"/>
      <c r="O18688" s="24"/>
      <c r="P18688" s="24"/>
      <c r="Q18688" s="24"/>
      <c r="R18688" s="24"/>
      <c r="S18688" s="24"/>
      <c r="T18688" s="24"/>
      <c r="U18688" s="24"/>
      <c r="V18688" s="24"/>
      <c r="W18688" s="24"/>
      <c r="X18688" s="24"/>
      <c r="Y18688" s="24"/>
      <c r="Z18688" s="24"/>
      <c r="AA18688" s="24"/>
    </row>
    <row r="18689">
      <c r="A18689" s="24"/>
      <c r="B18689" s="25"/>
      <c r="C18689" s="24"/>
      <c r="D18689" s="26"/>
      <c r="E18689" s="24"/>
      <c r="F18689" s="24"/>
      <c r="G18689" s="24"/>
      <c r="H18689" s="24"/>
      <c r="I18689" s="24"/>
      <c r="J18689" s="24"/>
      <c r="K18689" s="24"/>
      <c r="L18689" s="24"/>
      <c r="M18689" s="24"/>
      <c r="N18689" s="24"/>
      <c r="O18689" s="24"/>
      <c r="P18689" s="24"/>
      <c r="Q18689" s="24"/>
      <c r="R18689" s="24"/>
      <c r="S18689" s="24"/>
      <c r="T18689" s="24"/>
      <c r="U18689" s="24"/>
      <c r="V18689" s="24"/>
      <c r="W18689" s="24"/>
      <c r="X18689" s="24"/>
      <c r="Y18689" s="24"/>
      <c r="Z18689" s="24"/>
      <c r="AA18689" s="24"/>
    </row>
    <row r="18690">
      <c r="A18690" s="24"/>
      <c r="B18690" s="25"/>
      <c r="C18690" s="24"/>
      <c r="D18690" s="26"/>
      <c r="E18690" s="24"/>
      <c r="F18690" s="24"/>
      <c r="G18690" s="24"/>
      <c r="H18690" s="24"/>
      <c r="I18690" s="24"/>
      <c r="J18690" s="24"/>
      <c r="K18690" s="24"/>
      <c r="L18690" s="24"/>
      <c r="M18690" s="24"/>
      <c r="N18690" s="24"/>
      <c r="O18690" s="24"/>
      <c r="P18690" s="24"/>
      <c r="Q18690" s="24"/>
      <c r="R18690" s="24"/>
      <c r="S18690" s="24"/>
      <c r="T18690" s="24"/>
      <c r="U18690" s="24"/>
      <c r="V18690" s="24"/>
      <c r="W18690" s="24"/>
      <c r="X18690" s="24"/>
      <c r="Y18690" s="24"/>
      <c r="Z18690" s="24"/>
      <c r="AA18690" s="24"/>
    </row>
    <row r="18691">
      <c r="A18691" s="24"/>
      <c r="B18691" s="25"/>
      <c r="C18691" s="24"/>
      <c r="D18691" s="26"/>
      <c r="E18691" s="24"/>
      <c r="F18691" s="24"/>
      <c r="G18691" s="24"/>
      <c r="H18691" s="24"/>
      <c r="I18691" s="24"/>
      <c r="J18691" s="24"/>
      <c r="K18691" s="24"/>
      <c r="L18691" s="24"/>
      <c r="M18691" s="24"/>
      <c r="N18691" s="24"/>
      <c r="O18691" s="24"/>
      <c r="P18691" s="24"/>
      <c r="Q18691" s="24"/>
      <c r="R18691" s="24"/>
      <c r="S18691" s="24"/>
      <c r="T18691" s="24"/>
      <c r="U18691" s="24"/>
      <c r="V18691" s="24"/>
      <c r="W18691" s="24"/>
      <c r="X18691" s="24"/>
      <c r="Y18691" s="24"/>
      <c r="Z18691" s="24"/>
      <c r="AA18691" s="24"/>
    </row>
    <row r="18692">
      <c r="A18692" s="24"/>
      <c r="B18692" s="25"/>
      <c r="C18692" s="24"/>
      <c r="D18692" s="26"/>
      <c r="E18692" s="24"/>
      <c r="F18692" s="24"/>
      <c r="G18692" s="24"/>
      <c r="H18692" s="24"/>
      <c r="I18692" s="24"/>
      <c r="J18692" s="24"/>
      <c r="K18692" s="24"/>
      <c r="L18692" s="24"/>
      <c r="M18692" s="24"/>
      <c r="N18692" s="24"/>
      <c r="O18692" s="24"/>
      <c r="P18692" s="24"/>
      <c r="Q18692" s="24"/>
      <c r="R18692" s="24"/>
      <c r="S18692" s="24"/>
      <c r="T18692" s="24"/>
      <c r="U18692" s="24"/>
      <c r="V18692" s="24"/>
      <c r="W18692" s="24"/>
      <c r="X18692" s="24"/>
      <c r="Y18692" s="24"/>
      <c r="Z18692" s="24"/>
      <c r="AA18692" s="24"/>
    </row>
    <row r="18693">
      <c r="A18693" s="24"/>
      <c r="B18693" s="25"/>
      <c r="C18693" s="24"/>
      <c r="D18693" s="26"/>
      <c r="E18693" s="24"/>
      <c r="F18693" s="24"/>
      <c r="G18693" s="24"/>
      <c r="H18693" s="24"/>
      <c r="I18693" s="24"/>
      <c r="J18693" s="24"/>
      <c r="K18693" s="24"/>
      <c r="L18693" s="24"/>
      <c r="M18693" s="24"/>
      <c r="N18693" s="24"/>
      <c r="O18693" s="24"/>
      <c r="P18693" s="24"/>
      <c r="Q18693" s="24"/>
      <c r="R18693" s="24"/>
      <c r="S18693" s="24"/>
      <c r="T18693" s="24"/>
      <c r="U18693" s="24"/>
      <c r="V18693" s="24"/>
      <c r="W18693" s="24"/>
      <c r="X18693" s="24"/>
      <c r="Y18693" s="24"/>
      <c r="Z18693" s="24"/>
      <c r="AA18693" s="24"/>
    </row>
    <row r="18694">
      <c r="A18694" s="24"/>
      <c r="B18694" s="25"/>
      <c r="C18694" s="24"/>
      <c r="D18694" s="26"/>
      <c r="E18694" s="24"/>
      <c r="F18694" s="24"/>
      <c r="G18694" s="24"/>
      <c r="H18694" s="24"/>
      <c r="I18694" s="24"/>
      <c r="J18694" s="24"/>
      <c r="K18694" s="24"/>
      <c r="L18694" s="24"/>
      <c r="M18694" s="24"/>
      <c r="N18694" s="24"/>
      <c r="O18694" s="24"/>
      <c r="P18694" s="24"/>
      <c r="Q18694" s="24"/>
      <c r="R18694" s="24"/>
      <c r="S18694" s="24"/>
      <c r="T18694" s="24"/>
      <c r="U18694" s="24"/>
      <c r="V18694" s="24"/>
      <c r="W18694" s="24"/>
      <c r="X18694" s="24"/>
      <c r="Y18694" s="24"/>
      <c r="Z18694" s="24"/>
      <c r="AA18694" s="24"/>
    </row>
    <row r="18695">
      <c r="A18695" s="24"/>
      <c r="B18695" s="25"/>
      <c r="C18695" s="24"/>
      <c r="D18695" s="26"/>
      <c r="E18695" s="24"/>
      <c r="F18695" s="24"/>
      <c r="G18695" s="24"/>
      <c r="H18695" s="24"/>
      <c r="I18695" s="24"/>
      <c r="J18695" s="24"/>
      <c r="K18695" s="24"/>
      <c r="L18695" s="24"/>
      <c r="M18695" s="24"/>
      <c r="N18695" s="24"/>
      <c r="O18695" s="24"/>
      <c r="P18695" s="24"/>
      <c r="Q18695" s="24"/>
      <c r="R18695" s="24"/>
      <c r="S18695" s="24"/>
      <c r="T18695" s="24"/>
      <c r="U18695" s="24"/>
      <c r="V18695" s="24"/>
      <c r="W18695" s="24"/>
      <c r="X18695" s="24"/>
      <c r="Y18695" s="24"/>
      <c r="Z18695" s="24"/>
      <c r="AA18695" s="24"/>
    </row>
    <row r="18696">
      <c r="A18696" s="24"/>
      <c r="B18696" s="25"/>
      <c r="C18696" s="24"/>
      <c r="D18696" s="26"/>
      <c r="E18696" s="24"/>
      <c r="F18696" s="24"/>
      <c r="G18696" s="24"/>
      <c r="H18696" s="24"/>
      <c r="I18696" s="24"/>
      <c r="J18696" s="24"/>
      <c r="K18696" s="24"/>
      <c r="L18696" s="24"/>
      <c r="M18696" s="24"/>
      <c r="N18696" s="24"/>
      <c r="O18696" s="24"/>
      <c r="P18696" s="24"/>
      <c r="Q18696" s="24"/>
      <c r="R18696" s="24"/>
      <c r="S18696" s="24"/>
      <c r="T18696" s="24"/>
      <c r="U18696" s="24"/>
      <c r="V18696" s="24"/>
      <c r="W18696" s="24"/>
      <c r="X18696" s="24"/>
      <c r="Y18696" s="24"/>
      <c r="Z18696" s="24"/>
      <c r="AA18696" s="24"/>
    </row>
    <row r="18697">
      <c r="A18697" s="24"/>
      <c r="B18697" s="25"/>
      <c r="C18697" s="24"/>
      <c r="D18697" s="26"/>
      <c r="E18697" s="24"/>
      <c r="F18697" s="24"/>
      <c r="G18697" s="24"/>
      <c r="H18697" s="24"/>
      <c r="I18697" s="24"/>
      <c r="J18697" s="24"/>
      <c r="K18697" s="24"/>
      <c r="L18697" s="24"/>
      <c r="M18697" s="24"/>
      <c r="N18697" s="24"/>
      <c r="O18697" s="24"/>
      <c r="P18697" s="24"/>
      <c r="Q18697" s="24"/>
      <c r="R18697" s="24"/>
      <c r="S18697" s="24"/>
      <c r="T18697" s="24"/>
      <c r="U18697" s="24"/>
      <c r="V18697" s="24"/>
      <c r="W18697" s="24"/>
      <c r="X18697" s="24"/>
      <c r="Y18697" s="24"/>
      <c r="Z18697" s="24"/>
      <c r="AA18697" s="24"/>
    </row>
    <row r="18698">
      <c r="A18698" s="24"/>
      <c r="B18698" s="25"/>
      <c r="C18698" s="24"/>
      <c r="D18698" s="26"/>
      <c r="E18698" s="24"/>
      <c r="F18698" s="24"/>
      <c r="G18698" s="24"/>
      <c r="H18698" s="24"/>
      <c r="I18698" s="24"/>
      <c r="J18698" s="24"/>
      <c r="K18698" s="24"/>
      <c r="L18698" s="24"/>
      <c r="M18698" s="24"/>
      <c r="N18698" s="24"/>
      <c r="O18698" s="24"/>
      <c r="P18698" s="24"/>
      <c r="Q18698" s="24"/>
      <c r="R18698" s="24"/>
      <c r="S18698" s="24"/>
      <c r="T18698" s="24"/>
      <c r="U18698" s="24"/>
      <c r="V18698" s="24"/>
      <c r="W18698" s="24"/>
      <c r="X18698" s="24"/>
      <c r="Y18698" s="24"/>
      <c r="Z18698" s="24"/>
      <c r="AA18698" s="24"/>
    </row>
    <row r="18699">
      <c r="A18699" s="24"/>
      <c r="B18699" s="25"/>
      <c r="C18699" s="24"/>
      <c r="D18699" s="26"/>
      <c r="E18699" s="24"/>
      <c r="F18699" s="24"/>
      <c r="G18699" s="24"/>
      <c r="H18699" s="24"/>
      <c r="I18699" s="24"/>
      <c r="J18699" s="24"/>
      <c r="K18699" s="24"/>
      <c r="L18699" s="24"/>
      <c r="M18699" s="24"/>
      <c r="N18699" s="24"/>
      <c r="O18699" s="24"/>
      <c r="P18699" s="24"/>
      <c r="Q18699" s="24"/>
      <c r="R18699" s="24"/>
      <c r="S18699" s="24"/>
      <c r="T18699" s="24"/>
      <c r="U18699" s="24"/>
      <c r="V18699" s="24"/>
      <c r="W18699" s="24"/>
      <c r="X18699" s="24"/>
      <c r="Y18699" s="24"/>
      <c r="Z18699" s="24"/>
      <c r="AA18699" s="24"/>
    </row>
    <row r="18700">
      <c r="A18700" s="24"/>
      <c r="B18700" s="25"/>
      <c r="C18700" s="24"/>
      <c r="D18700" s="26"/>
      <c r="E18700" s="24"/>
      <c r="F18700" s="24"/>
      <c r="G18700" s="24"/>
      <c r="H18700" s="24"/>
      <c r="I18700" s="24"/>
      <c r="J18700" s="24"/>
      <c r="K18700" s="24"/>
      <c r="L18700" s="24"/>
      <c r="M18700" s="24"/>
      <c r="N18700" s="24"/>
      <c r="O18700" s="24"/>
      <c r="P18700" s="24"/>
      <c r="Q18700" s="24"/>
      <c r="R18700" s="24"/>
      <c r="S18700" s="24"/>
      <c r="T18700" s="24"/>
      <c r="U18700" s="24"/>
      <c r="V18700" s="24"/>
      <c r="W18700" s="24"/>
      <c r="X18700" s="24"/>
      <c r="Y18700" s="24"/>
      <c r="Z18700" s="24"/>
      <c r="AA18700" s="24"/>
    </row>
    <row r="18701">
      <c r="A18701" s="24"/>
      <c r="B18701" s="25"/>
      <c r="C18701" s="24"/>
      <c r="D18701" s="26"/>
      <c r="E18701" s="24"/>
      <c r="F18701" s="24"/>
      <c r="G18701" s="24"/>
      <c r="H18701" s="24"/>
      <c r="I18701" s="24"/>
      <c r="J18701" s="24"/>
      <c r="K18701" s="24"/>
      <c r="L18701" s="24"/>
      <c r="M18701" s="24"/>
      <c r="N18701" s="24"/>
      <c r="O18701" s="24"/>
      <c r="P18701" s="24"/>
      <c r="Q18701" s="24"/>
      <c r="R18701" s="24"/>
      <c r="S18701" s="24"/>
      <c r="T18701" s="24"/>
      <c r="U18701" s="24"/>
      <c r="V18701" s="24"/>
      <c r="W18701" s="24"/>
      <c r="X18701" s="24"/>
      <c r="Y18701" s="24"/>
      <c r="Z18701" s="24"/>
      <c r="AA18701" s="24"/>
    </row>
    <row r="18702">
      <c r="A18702" s="24"/>
      <c r="B18702" s="25"/>
      <c r="C18702" s="24"/>
      <c r="D18702" s="26"/>
      <c r="E18702" s="24"/>
      <c r="F18702" s="24"/>
      <c r="G18702" s="24"/>
      <c r="H18702" s="24"/>
      <c r="I18702" s="24"/>
      <c r="J18702" s="24"/>
      <c r="K18702" s="24"/>
      <c r="L18702" s="24"/>
      <c r="M18702" s="24"/>
      <c r="N18702" s="24"/>
      <c r="O18702" s="24"/>
      <c r="P18702" s="24"/>
      <c r="Q18702" s="24"/>
      <c r="R18702" s="24"/>
      <c r="S18702" s="24"/>
      <c r="T18702" s="24"/>
      <c r="U18702" s="24"/>
      <c r="V18702" s="24"/>
      <c r="W18702" s="24"/>
      <c r="X18702" s="24"/>
      <c r="Y18702" s="24"/>
      <c r="Z18702" s="24"/>
      <c r="AA18702" s="24"/>
    </row>
    <row r="18703">
      <c r="A18703" s="24"/>
      <c r="B18703" s="25"/>
      <c r="C18703" s="24"/>
      <c r="D18703" s="26"/>
      <c r="E18703" s="24"/>
      <c r="F18703" s="24"/>
      <c r="G18703" s="24"/>
      <c r="H18703" s="24"/>
      <c r="I18703" s="24"/>
      <c r="J18703" s="24"/>
      <c r="K18703" s="24"/>
      <c r="L18703" s="24"/>
      <c r="M18703" s="24"/>
      <c r="N18703" s="24"/>
      <c r="O18703" s="24"/>
      <c r="P18703" s="24"/>
      <c r="Q18703" s="24"/>
      <c r="R18703" s="24"/>
      <c r="S18703" s="24"/>
      <c r="T18703" s="24"/>
      <c r="U18703" s="24"/>
      <c r="V18703" s="24"/>
      <c r="W18703" s="24"/>
      <c r="X18703" s="24"/>
      <c r="Y18703" s="24"/>
      <c r="Z18703" s="24"/>
      <c r="AA18703" s="24"/>
    </row>
    <row r="18704">
      <c r="A18704" s="24"/>
      <c r="B18704" s="25"/>
      <c r="C18704" s="24"/>
      <c r="D18704" s="26"/>
      <c r="E18704" s="24"/>
      <c r="F18704" s="24"/>
      <c r="G18704" s="24"/>
      <c r="H18704" s="24"/>
      <c r="I18704" s="24"/>
      <c r="J18704" s="24"/>
      <c r="K18704" s="24"/>
      <c r="L18704" s="24"/>
      <c r="M18704" s="24"/>
      <c r="N18704" s="24"/>
      <c r="O18704" s="24"/>
      <c r="P18704" s="24"/>
      <c r="Q18704" s="24"/>
      <c r="R18704" s="24"/>
      <c r="S18704" s="24"/>
      <c r="T18704" s="24"/>
      <c r="U18704" s="24"/>
      <c r="V18704" s="24"/>
      <c r="W18704" s="24"/>
      <c r="X18704" s="24"/>
      <c r="Y18704" s="24"/>
      <c r="Z18704" s="24"/>
      <c r="AA18704" s="24"/>
    </row>
    <row r="18705">
      <c r="A18705" s="24"/>
      <c r="B18705" s="25"/>
      <c r="C18705" s="24"/>
      <c r="D18705" s="26"/>
      <c r="E18705" s="24"/>
      <c r="F18705" s="24"/>
      <c r="G18705" s="24"/>
      <c r="H18705" s="24"/>
      <c r="I18705" s="24"/>
      <c r="J18705" s="24"/>
      <c r="K18705" s="24"/>
      <c r="L18705" s="24"/>
      <c r="M18705" s="24"/>
      <c r="N18705" s="24"/>
      <c r="O18705" s="24"/>
      <c r="P18705" s="24"/>
      <c r="Q18705" s="24"/>
      <c r="R18705" s="24"/>
      <c r="S18705" s="24"/>
      <c r="T18705" s="24"/>
      <c r="U18705" s="24"/>
      <c r="V18705" s="24"/>
      <c r="W18705" s="24"/>
      <c r="X18705" s="24"/>
      <c r="Y18705" s="24"/>
      <c r="Z18705" s="24"/>
      <c r="AA18705" s="24"/>
    </row>
    <row r="18706">
      <c r="A18706" s="24"/>
      <c r="B18706" s="25"/>
      <c r="C18706" s="24"/>
      <c r="D18706" s="26"/>
      <c r="E18706" s="24"/>
      <c r="F18706" s="24"/>
      <c r="G18706" s="24"/>
      <c r="H18706" s="24"/>
      <c r="I18706" s="24"/>
      <c r="J18706" s="24"/>
      <c r="K18706" s="24"/>
      <c r="L18706" s="24"/>
      <c r="M18706" s="24"/>
      <c r="N18706" s="24"/>
      <c r="O18706" s="24"/>
      <c r="P18706" s="24"/>
      <c r="Q18706" s="24"/>
      <c r="R18706" s="24"/>
      <c r="S18706" s="24"/>
      <c r="T18706" s="24"/>
      <c r="U18706" s="24"/>
      <c r="V18706" s="24"/>
      <c r="W18706" s="24"/>
      <c r="X18706" s="24"/>
      <c r="Y18706" s="24"/>
      <c r="Z18706" s="24"/>
      <c r="AA18706" s="24"/>
    </row>
    <row r="18707">
      <c r="A18707" s="24"/>
      <c r="B18707" s="25"/>
      <c r="C18707" s="24"/>
      <c r="D18707" s="26"/>
      <c r="E18707" s="24"/>
      <c r="F18707" s="24"/>
      <c r="G18707" s="24"/>
      <c r="H18707" s="24"/>
      <c r="I18707" s="24"/>
      <c r="J18707" s="24"/>
      <c r="K18707" s="24"/>
      <c r="L18707" s="24"/>
      <c r="M18707" s="24"/>
      <c r="N18707" s="24"/>
      <c r="O18707" s="24"/>
      <c r="P18707" s="24"/>
      <c r="Q18707" s="24"/>
      <c r="R18707" s="24"/>
      <c r="S18707" s="24"/>
      <c r="T18707" s="24"/>
      <c r="U18707" s="24"/>
      <c r="V18707" s="24"/>
      <c r="W18707" s="24"/>
      <c r="X18707" s="24"/>
      <c r="Y18707" s="24"/>
      <c r="Z18707" s="24"/>
      <c r="AA18707" s="24"/>
    </row>
    <row r="18708">
      <c r="A18708" s="24"/>
      <c r="B18708" s="25"/>
      <c r="C18708" s="24"/>
      <c r="D18708" s="26"/>
      <c r="E18708" s="24"/>
      <c r="F18708" s="24"/>
      <c r="G18708" s="24"/>
      <c r="H18708" s="24"/>
      <c r="I18708" s="24"/>
      <c r="J18708" s="24"/>
      <c r="K18708" s="24"/>
      <c r="L18708" s="24"/>
      <c r="M18708" s="24"/>
      <c r="N18708" s="24"/>
      <c r="O18708" s="24"/>
      <c r="P18708" s="24"/>
      <c r="Q18708" s="24"/>
      <c r="R18708" s="24"/>
      <c r="S18708" s="24"/>
      <c r="T18708" s="24"/>
      <c r="U18708" s="24"/>
      <c r="V18708" s="24"/>
      <c r="W18708" s="24"/>
      <c r="X18708" s="24"/>
      <c r="Y18708" s="24"/>
      <c r="Z18708" s="24"/>
      <c r="AA18708" s="24"/>
    </row>
    <row r="18709">
      <c r="A18709" s="24"/>
      <c r="B18709" s="25"/>
      <c r="C18709" s="24"/>
      <c r="D18709" s="26"/>
      <c r="E18709" s="24"/>
      <c r="F18709" s="24"/>
      <c r="G18709" s="24"/>
      <c r="H18709" s="24"/>
      <c r="I18709" s="24"/>
      <c r="J18709" s="24"/>
      <c r="K18709" s="24"/>
      <c r="L18709" s="24"/>
      <c r="M18709" s="24"/>
      <c r="N18709" s="24"/>
      <c r="O18709" s="24"/>
      <c r="P18709" s="24"/>
      <c r="Q18709" s="24"/>
      <c r="R18709" s="24"/>
      <c r="S18709" s="24"/>
      <c r="T18709" s="24"/>
      <c r="U18709" s="24"/>
      <c r="V18709" s="24"/>
      <c r="W18709" s="24"/>
      <c r="X18709" s="24"/>
      <c r="Y18709" s="24"/>
      <c r="Z18709" s="24"/>
      <c r="AA18709" s="24"/>
    </row>
    <row r="18710">
      <c r="A18710" s="24"/>
      <c r="B18710" s="25"/>
      <c r="C18710" s="24"/>
      <c r="D18710" s="26"/>
      <c r="E18710" s="24"/>
      <c r="F18710" s="24"/>
      <c r="G18710" s="24"/>
      <c r="H18710" s="24"/>
      <c r="I18710" s="24"/>
      <c r="J18710" s="24"/>
      <c r="K18710" s="24"/>
      <c r="L18710" s="24"/>
      <c r="M18710" s="24"/>
      <c r="N18710" s="24"/>
      <c r="O18710" s="24"/>
      <c r="P18710" s="24"/>
      <c r="Q18710" s="24"/>
      <c r="R18710" s="24"/>
      <c r="S18710" s="24"/>
      <c r="T18710" s="24"/>
      <c r="U18710" s="24"/>
      <c r="V18710" s="24"/>
      <c r="W18710" s="24"/>
      <c r="X18710" s="24"/>
      <c r="Y18710" s="24"/>
      <c r="Z18710" s="24"/>
      <c r="AA18710" s="24"/>
    </row>
    <row r="18711">
      <c r="A18711" s="24"/>
      <c r="B18711" s="25"/>
      <c r="C18711" s="24"/>
      <c r="D18711" s="26"/>
      <c r="E18711" s="24"/>
      <c r="F18711" s="24"/>
      <c r="G18711" s="24"/>
      <c r="H18711" s="24"/>
      <c r="I18711" s="24"/>
      <c r="J18711" s="24"/>
      <c r="K18711" s="24"/>
      <c r="L18711" s="24"/>
      <c r="M18711" s="24"/>
      <c r="N18711" s="24"/>
      <c r="O18711" s="24"/>
      <c r="P18711" s="24"/>
      <c r="Q18711" s="24"/>
      <c r="R18711" s="24"/>
      <c r="S18711" s="24"/>
      <c r="T18711" s="24"/>
      <c r="U18711" s="24"/>
      <c r="V18711" s="24"/>
      <c r="W18711" s="24"/>
      <c r="X18711" s="24"/>
      <c r="Y18711" s="24"/>
      <c r="Z18711" s="24"/>
      <c r="AA18711" s="24"/>
    </row>
    <row r="18712">
      <c r="A18712" s="24"/>
      <c r="B18712" s="25"/>
      <c r="C18712" s="24"/>
      <c r="D18712" s="26"/>
      <c r="E18712" s="24"/>
      <c r="F18712" s="24"/>
      <c r="G18712" s="24"/>
      <c r="H18712" s="24"/>
      <c r="I18712" s="24"/>
      <c r="J18712" s="24"/>
      <c r="K18712" s="24"/>
      <c r="L18712" s="24"/>
      <c r="M18712" s="24"/>
      <c r="N18712" s="24"/>
      <c r="O18712" s="24"/>
      <c r="P18712" s="24"/>
      <c r="Q18712" s="24"/>
      <c r="R18712" s="24"/>
      <c r="S18712" s="24"/>
      <c r="T18712" s="24"/>
      <c r="U18712" s="24"/>
      <c r="V18712" s="24"/>
      <c r="W18712" s="24"/>
      <c r="X18712" s="24"/>
      <c r="Y18712" s="24"/>
      <c r="Z18712" s="24"/>
      <c r="AA18712" s="24"/>
    </row>
    <row r="18713">
      <c r="A18713" s="24"/>
      <c r="B18713" s="25"/>
      <c r="C18713" s="24"/>
      <c r="D18713" s="26"/>
      <c r="E18713" s="24"/>
      <c r="F18713" s="24"/>
      <c r="G18713" s="24"/>
      <c r="H18713" s="24"/>
      <c r="I18713" s="24"/>
      <c r="J18713" s="24"/>
      <c r="K18713" s="24"/>
      <c r="L18713" s="24"/>
      <c r="M18713" s="24"/>
      <c r="N18713" s="24"/>
      <c r="O18713" s="24"/>
      <c r="P18713" s="24"/>
      <c r="Q18713" s="24"/>
      <c r="R18713" s="24"/>
      <c r="S18713" s="24"/>
      <c r="T18713" s="24"/>
      <c r="U18713" s="24"/>
      <c r="V18713" s="24"/>
      <c r="W18713" s="24"/>
      <c r="X18713" s="24"/>
      <c r="Y18713" s="24"/>
      <c r="Z18713" s="24"/>
      <c r="AA18713" s="24"/>
    </row>
    <row r="18714">
      <c r="A18714" s="24"/>
      <c r="B18714" s="25"/>
      <c r="C18714" s="24"/>
      <c r="D18714" s="26"/>
      <c r="E18714" s="24"/>
      <c r="F18714" s="24"/>
      <c r="G18714" s="24"/>
      <c r="H18714" s="24"/>
      <c r="I18714" s="24"/>
      <c r="J18714" s="24"/>
      <c r="K18714" s="24"/>
      <c r="L18714" s="24"/>
      <c r="M18714" s="24"/>
      <c r="N18714" s="24"/>
      <c r="O18714" s="24"/>
      <c r="P18714" s="24"/>
      <c r="Q18714" s="24"/>
      <c r="R18714" s="24"/>
      <c r="S18714" s="24"/>
      <c r="T18714" s="24"/>
      <c r="U18714" s="24"/>
      <c r="V18714" s="24"/>
      <c r="W18714" s="24"/>
      <c r="X18714" s="24"/>
      <c r="Y18714" s="24"/>
      <c r="Z18714" s="24"/>
      <c r="AA18714" s="24"/>
    </row>
    <row r="18715">
      <c r="A18715" s="24"/>
      <c r="B18715" s="25"/>
      <c r="C18715" s="24"/>
      <c r="D18715" s="26"/>
      <c r="E18715" s="24"/>
      <c r="F18715" s="24"/>
      <c r="G18715" s="24"/>
      <c r="H18715" s="24"/>
      <c r="I18715" s="24"/>
      <c r="J18715" s="24"/>
      <c r="K18715" s="24"/>
      <c r="L18715" s="24"/>
      <c r="M18715" s="24"/>
      <c r="N18715" s="24"/>
      <c r="O18715" s="24"/>
      <c r="P18715" s="24"/>
      <c r="Q18715" s="24"/>
      <c r="R18715" s="24"/>
      <c r="S18715" s="24"/>
      <c r="T18715" s="24"/>
      <c r="U18715" s="24"/>
      <c r="V18715" s="24"/>
      <c r="W18715" s="24"/>
      <c r="X18715" s="24"/>
      <c r="Y18715" s="24"/>
      <c r="Z18715" s="24"/>
      <c r="AA18715" s="24"/>
    </row>
    <row r="18716">
      <c r="A18716" s="24"/>
      <c r="B18716" s="25"/>
      <c r="C18716" s="24"/>
      <c r="D18716" s="26"/>
      <c r="E18716" s="24"/>
      <c r="F18716" s="24"/>
      <c r="G18716" s="24"/>
      <c r="H18716" s="24"/>
      <c r="I18716" s="24"/>
      <c r="J18716" s="24"/>
      <c r="K18716" s="24"/>
      <c r="L18716" s="24"/>
      <c r="M18716" s="24"/>
      <c r="N18716" s="24"/>
      <c r="O18716" s="24"/>
      <c r="P18716" s="24"/>
      <c r="Q18716" s="24"/>
      <c r="R18716" s="24"/>
      <c r="S18716" s="24"/>
      <c r="T18716" s="24"/>
      <c r="U18716" s="24"/>
      <c r="V18716" s="24"/>
      <c r="W18716" s="24"/>
      <c r="X18716" s="24"/>
      <c r="Y18716" s="24"/>
      <c r="Z18716" s="24"/>
      <c r="AA18716" s="24"/>
    </row>
    <row r="18717">
      <c r="A18717" s="24"/>
      <c r="B18717" s="25"/>
      <c r="C18717" s="24"/>
      <c r="D18717" s="26"/>
      <c r="E18717" s="24"/>
      <c r="F18717" s="24"/>
      <c r="G18717" s="24"/>
      <c r="H18717" s="24"/>
      <c r="I18717" s="24"/>
      <c r="J18717" s="24"/>
      <c r="K18717" s="24"/>
      <c r="L18717" s="24"/>
      <c r="M18717" s="24"/>
      <c r="N18717" s="24"/>
      <c r="O18717" s="24"/>
      <c r="P18717" s="24"/>
      <c r="Q18717" s="24"/>
      <c r="R18717" s="24"/>
      <c r="S18717" s="24"/>
      <c r="T18717" s="24"/>
      <c r="U18717" s="24"/>
      <c r="V18717" s="24"/>
      <c r="W18717" s="24"/>
      <c r="X18717" s="24"/>
      <c r="Y18717" s="24"/>
      <c r="Z18717" s="24"/>
      <c r="AA18717" s="24"/>
    </row>
    <row r="18718">
      <c r="A18718" s="24"/>
      <c r="B18718" s="25"/>
      <c r="C18718" s="24"/>
      <c r="D18718" s="26"/>
      <c r="E18718" s="24"/>
      <c r="F18718" s="24"/>
      <c r="G18718" s="24"/>
      <c r="H18718" s="24"/>
      <c r="I18718" s="24"/>
      <c r="J18718" s="24"/>
      <c r="K18718" s="24"/>
      <c r="L18718" s="24"/>
      <c r="M18718" s="24"/>
      <c r="N18718" s="24"/>
      <c r="O18718" s="24"/>
      <c r="P18718" s="24"/>
      <c r="Q18718" s="24"/>
      <c r="R18718" s="24"/>
      <c r="S18718" s="24"/>
      <c r="T18718" s="24"/>
      <c r="U18718" s="24"/>
      <c r="V18718" s="24"/>
      <c r="W18718" s="24"/>
      <c r="X18718" s="24"/>
      <c r="Y18718" s="24"/>
      <c r="Z18718" s="24"/>
      <c r="AA18718" s="24"/>
    </row>
    <row r="18719">
      <c r="A18719" s="24"/>
      <c r="B18719" s="25"/>
      <c r="C18719" s="24"/>
      <c r="D18719" s="26"/>
      <c r="E18719" s="24"/>
      <c r="F18719" s="24"/>
      <c r="G18719" s="24"/>
      <c r="H18719" s="24"/>
      <c r="I18719" s="24"/>
      <c r="J18719" s="24"/>
      <c r="K18719" s="24"/>
      <c r="L18719" s="24"/>
      <c r="M18719" s="24"/>
      <c r="N18719" s="24"/>
      <c r="O18719" s="24"/>
      <c r="P18719" s="24"/>
      <c r="Q18719" s="24"/>
      <c r="R18719" s="24"/>
      <c r="S18719" s="24"/>
      <c r="T18719" s="24"/>
      <c r="U18719" s="24"/>
      <c r="V18719" s="24"/>
      <c r="W18719" s="24"/>
      <c r="X18719" s="24"/>
      <c r="Y18719" s="24"/>
      <c r="Z18719" s="24"/>
      <c r="AA18719" s="24"/>
    </row>
    <row r="18720">
      <c r="A18720" s="24"/>
      <c r="B18720" s="25"/>
      <c r="C18720" s="24"/>
      <c r="D18720" s="26"/>
      <c r="E18720" s="24"/>
      <c r="F18720" s="24"/>
      <c r="G18720" s="24"/>
      <c r="H18720" s="24"/>
      <c r="I18720" s="24"/>
      <c r="J18720" s="24"/>
      <c r="K18720" s="24"/>
      <c r="L18720" s="24"/>
      <c r="M18720" s="24"/>
      <c r="N18720" s="24"/>
      <c r="O18720" s="24"/>
      <c r="P18720" s="24"/>
      <c r="Q18720" s="24"/>
      <c r="R18720" s="24"/>
      <c r="S18720" s="24"/>
      <c r="T18720" s="24"/>
      <c r="U18720" s="24"/>
      <c r="V18720" s="24"/>
      <c r="W18720" s="24"/>
      <c r="X18720" s="24"/>
      <c r="Y18720" s="24"/>
      <c r="Z18720" s="24"/>
      <c r="AA18720" s="24"/>
    </row>
    <row r="18721">
      <c r="A18721" s="24"/>
      <c r="B18721" s="25"/>
      <c r="C18721" s="24"/>
      <c r="D18721" s="26"/>
      <c r="E18721" s="24"/>
      <c r="F18721" s="24"/>
      <c r="G18721" s="24"/>
      <c r="H18721" s="24"/>
      <c r="I18721" s="24"/>
      <c r="J18721" s="24"/>
      <c r="K18721" s="24"/>
      <c r="L18721" s="24"/>
      <c r="M18721" s="24"/>
      <c r="N18721" s="24"/>
      <c r="O18721" s="24"/>
      <c r="P18721" s="24"/>
      <c r="Q18721" s="24"/>
      <c r="R18721" s="24"/>
      <c r="S18721" s="24"/>
      <c r="T18721" s="24"/>
      <c r="U18721" s="24"/>
      <c r="V18721" s="24"/>
      <c r="W18721" s="24"/>
      <c r="X18721" s="24"/>
      <c r="Y18721" s="24"/>
      <c r="Z18721" s="24"/>
      <c r="AA18721" s="24"/>
    </row>
    <row r="18722">
      <c r="A18722" s="24"/>
      <c r="B18722" s="25"/>
      <c r="C18722" s="24"/>
      <c r="D18722" s="26"/>
      <c r="E18722" s="24"/>
      <c r="F18722" s="24"/>
      <c r="G18722" s="24"/>
      <c r="H18722" s="24"/>
      <c r="I18722" s="24"/>
      <c r="J18722" s="24"/>
      <c r="K18722" s="24"/>
      <c r="L18722" s="24"/>
      <c r="M18722" s="24"/>
      <c r="N18722" s="24"/>
      <c r="O18722" s="24"/>
      <c r="P18722" s="24"/>
      <c r="Q18722" s="24"/>
      <c r="R18722" s="24"/>
      <c r="S18722" s="24"/>
      <c r="T18722" s="24"/>
      <c r="U18722" s="24"/>
      <c r="V18722" s="24"/>
      <c r="W18722" s="24"/>
      <c r="X18722" s="24"/>
      <c r="Y18722" s="24"/>
      <c r="Z18722" s="24"/>
      <c r="AA18722" s="24"/>
    </row>
    <row r="18723">
      <c r="A18723" s="24"/>
      <c r="B18723" s="25"/>
      <c r="C18723" s="24"/>
      <c r="D18723" s="26"/>
      <c r="E18723" s="24"/>
      <c r="F18723" s="24"/>
      <c r="G18723" s="24"/>
      <c r="H18723" s="24"/>
      <c r="I18723" s="24"/>
      <c r="J18723" s="24"/>
      <c r="K18723" s="24"/>
      <c r="L18723" s="24"/>
      <c r="M18723" s="24"/>
      <c r="N18723" s="24"/>
      <c r="O18723" s="24"/>
      <c r="P18723" s="24"/>
      <c r="Q18723" s="24"/>
      <c r="R18723" s="24"/>
      <c r="S18723" s="24"/>
      <c r="T18723" s="24"/>
      <c r="U18723" s="24"/>
      <c r="V18723" s="24"/>
      <c r="W18723" s="24"/>
      <c r="X18723" s="24"/>
      <c r="Y18723" s="24"/>
      <c r="Z18723" s="24"/>
      <c r="AA18723" s="24"/>
    </row>
    <row r="18724">
      <c r="A18724" s="24"/>
      <c r="B18724" s="25"/>
      <c r="C18724" s="24"/>
      <c r="D18724" s="26"/>
      <c r="E18724" s="24"/>
      <c r="F18724" s="24"/>
      <c r="G18724" s="24"/>
      <c r="H18724" s="24"/>
      <c r="I18724" s="24"/>
      <c r="J18724" s="24"/>
      <c r="K18724" s="24"/>
      <c r="L18724" s="24"/>
      <c r="M18724" s="24"/>
      <c r="N18724" s="24"/>
      <c r="O18724" s="24"/>
      <c r="P18724" s="24"/>
      <c r="Q18724" s="24"/>
      <c r="R18724" s="24"/>
      <c r="S18724" s="24"/>
      <c r="T18724" s="24"/>
      <c r="U18724" s="24"/>
      <c r="V18724" s="24"/>
      <c r="W18724" s="24"/>
      <c r="X18724" s="24"/>
      <c r="Y18724" s="24"/>
      <c r="Z18724" s="24"/>
      <c r="AA18724" s="24"/>
    </row>
    <row r="18725">
      <c r="A18725" s="24"/>
      <c r="B18725" s="25"/>
      <c r="C18725" s="24"/>
      <c r="D18725" s="26"/>
      <c r="E18725" s="24"/>
      <c r="F18725" s="24"/>
      <c r="G18725" s="24"/>
      <c r="H18725" s="24"/>
      <c r="I18725" s="24"/>
      <c r="J18725" s="24"/>
      <c r="K18725" s="24"/>
      <c r="L18725" s="24"/>
      <c r="M18725" s="24"/>
      <c r="N18725" s="24"/>
      <c r="O18725" s="24"/>
      <c r="P18725" s="24"/>
      <c r="Q18725" s="24"/>
      <c r="R18725" s="24"/>
      <c r="S18725" s="24"/>
      <c r="T18725" s="24"/>
      <c r="U18725" s="24"/>
      <c r="V18725" s="24"/>
      <c r="W18725" s="24"/>
      <c r="X18725" s="24"/>
      <c r="Y18725" s="24"/>
      <c r="Z18725" s="24"/>
      <c r="AA18725" s="24"/>
    </row>
    <row r="18726">
      <c r="A18726" s="24"/>
      <c r="B18726" s="25"/>
      <c r="C18726" s="24"/>
      <c r="D18726" s="26"/>
      <c r="E18726" s="24"/>
      <c r="F18726" s="24"/>
      <c r="G18726" s="24"/>
      <c r="H18726" s="24"/>
      <c r="I18726" s="24"/>
      <c r="J18726" s="24"/>
      <c r="K18726" s="24"/>
      <c r="L18726" s="24"/>
      <c r="M18726" s="24"/>
      <c r="N18726" s="24"/>
      <c r="O18726" s="24"/>
      <c r="P18726" s="24"/>
      <c r="Q18726" s="24"/>
      <c r="R18726" s="24"/>
      <c r="S18726" s="24"/>
      <c r="T18726" s="24"/>
      <c r="U18726" s="24"/>
      <c r="V18726" s="24"/>
      <c r="W18726" s="24"/>
      <c r="X18726" s="24"/>
      <c r="Y18726" s="24"/>
      <c r="Z18726" s="24"/>
      <c r="AA18726" s="24"/>
    </row>
    <row r="18727">
      <c r="A18727" s="24"/>
      <c r="B18727" s="25"/>
      <c r="C18727" s="24"/>
      <c r="D18727" s="26"/>
      <c r="E18727" s="24"/>
      <c r="F18727" s="24"/>
      <c r="G18727" s="24"/>
      <c r="H18727" s="24"/>
      <c r="I18727" s="24"/>
      <c r="J18727" s="24"/>
      <c r="K18727" s="24"/>
      <c r="L18727" s="24"/>
      <c r="M18727" s="24"/>
      <c r="N18727" s="24"/>
      <c r="O18727" s="24"/>
      <c r="P18727" s="24"/>
      <c r="Q18727" s="24"/>
      <c r="R18727" s="24"/>
      <c r="S18727" s="24"/>
      <c r="T18727" s="24"/>
      <c r="U18727" s="24"/>
      <c r="V18727" s="24"/>
      <c r="W18727" s="24"/>
      <c r="X18727" s="24"/>
      <c r="Y18727" s="24"/>
      <c r="Z18727" s="24"/>
      <c r="AA18727" s="24"/>
    </row>
    <row r="18728">
      <c r="A18728" s="24"/>
      <c r="B18728" s="25"/>
      <c r="C18728" s="24"/>
      <c r="D18728" s="26"/>
      <c r="E18728" s="24"/>
      <c r="F18728" s="24"/>
      <c r="G18728" s="24"/>
      <c r="H18728" s="24"/>
      <c r="I18728" s="24"/>
      <c r="J18728" s="24"/>
      <c r="K18728" s="24"/>
      <c r="L18728" s="24"/>
      <c r="M18728" s="24"/>
      <c r="N18728" s="24"/>
      <c r="O18728" s="24"/>
      <c r="P18728" s="24"/>
      <c r="Q18728" s="24"/>
      <c r="R18728" s="24"/>
      <c r="S18728" s="24"/>
      <c r="T18728" s="24"/>
      <c r="U18728" s="24"/>
      <c r="V18728" s="24"/>
      <c r="W18728" s="24"/>
      <c r="X18728" s="24"/>
      <c r="Y18728" s="24"/>
      <c r="Z18728" s="24"/>
      <c r="AA18728" s="24"/>
    </row>
    <row r="18729">
      <c r="A18729" s="24"/>
      <c r="B18729" s="25"/>
      <c r="C18729" s="24"/>
      <c r="D18729" s="26"/>
      <c r="E18729" s="24"/>
      <c r="F18729" s="24"/>
      <c r="G18729" s="24"/>
      <c r="H18729" s="24"/>
      <c r="I18729" s="24"/>
      <c r="J18729" s="24"/>
      <c r="K18729" s="24"/>
      <c r="L18729" s="24"/>
      <c r="M18729" s="24"/>
      <c r="N18729" s="24"/>
      <c r="O18729" s="24"/>
      <c r="P18729" s="24"/>
      <c r="Q18729" s="24"/>
      <c r="R18729" s="24"/>
      <c r="S18729" s="24"/>
      <c r="T18729" s="24"/>
      <c r="U18729" s="24"/>
      <c r="V18729" s="24"/>
      <c r="W18729" s="24"/>
      <c r="X18729" s="24"/>
      <c r="Y18729" s="24"/>
      <c r="Z18729" s="24"/>
      <c r="AA18729" s="24"/>
    </row>
    <row r="18730">
      <c r="A18730" s="24"/>
      <c r="B18730" s="25"/>
      <c r="C18730" s="24"/>
      <c r="D18730" s="26"/>
      <c r="E18730" s="24"/>
      <c r="F18730" s="24"/>
      <c r="G18730" s="24"/>
      <c r="H18730" s="24"/>
      <c r="I18730" s="24"/>
      <c r="J18730" s="24"/>
      <c r="K18730" s="24"/>
      <c r="L18730" s="24"/>
      <c r="M18730" s="24"/>
      <c r="N18730" s="24"/>
      <c r="O18730" s="24"/>
      <c r="P18730" s="24"/>
      <c r="Q18730" s="24"/>
      <c r="R18730" s="24"/>
      <c r="S18730" s="24"/>
      <c r="T18730" s="24"/>
      <c r="U18730" s="24"/>
      <c r="V18730" s="24"/>
      <c r="W18730" s="24"/>
      <c r="X18730" s="24"/>
      <c r="Y18730" s="24"/>
      <c r="Z18730" s="24"/>
      <c r="AA18730" s="24"/>
    </row>
    <row r="18731">
      <c r="A18731" s="24"/>
      <c r="B18731" s="25"/>
      <c r="C18731" s="24"/>
      <c r="D18731" s="26"/>
      <c r="E18731" s="24"/>
      <c r="F18731" s="24"/>
      <c r="G18731" s="24"/>
      <c r="H18731" s="24"/>
      <c r="I18731" s="24"/>
      <c r="J18731" s="24"/>
      <c r="K18731" s="24"/>
      <c r="L18731" s="24"/>
      <c r="M18731" s="24"/>
      <c r="N18731" s="24"/>
      <c r="O18731" s="24"/>
      <c r="P18731" s="24"/>
      <c r="Q18731" s="24"/>
      <c r="R18731" s="24"/>
      <c r="S18731" s="24"/>
      <c r="T18731" s="24"/>
      <c r="U18731" s="24"/>
      <c r="V18731" s="24"/>
      <c r="W18731" s="24"/>
      <c r="X18731" s="24"/>
      <c r="Y18731" s="24"/>
      <c r="Z18731" s="24"/>
      <c r="AA18731" s="24"/>
    </row>
    <row r="18732">
      <c r="A18732" s="24"/>
      <c r="B18732" s="25"/>
      <c r="C18732" s="24"/>
      <c r="D18732" s="26"/>
      <c r="E18732" s="24"/>
      <c r="F18732" s="24"/>
      <c r="G18732" s="24"/>
      <c r="H18732" s="24"/>
      <c r="I18732" s="24"/>
      <c r="J18732" s="24"/>
      <c r="K18732" s="24"/>
      <c r="L18732" s="24"/>
      <c r="M18732" s="24"/>
      <c r="N18732" s="24"/>
      <c r="O18732" s="24"/>
      <c r="P18732" s="24"/>
      <c r="Q18732" s="24"/>
      <c r="R18732" s="24"/>
      <c r="S18732" s="24"/>
      <c r="T18732" s="24"/>
      <c r="U18732" s="24"/>
      <c r="V18732" s="24"/>
      <c r="W18732" s="24"/>
      <c r="X18732" s="24"/>
      <c r="Y18732" s="24"/>
      <c r="Z18732" s="24"/>
      <c r="AA18732" s="24"/>
    </row>
    <row r="18733">
      <c r="A18733" s="24"/>
      <c r="B18733" s="25"/>
      <c r="C18733" s="24"/>
      <c r="D18733" s="26"/>
      <c r="E18733" s="24"/>
      <c r="F18733" s="24"/>
      <c r="G18733" s="24"/>
      <c r="H18733" s="24"/>
      <c r="I18733" s="24"/>
      <c r="J18733" s="24"/>
      <c r="K18733" s="24"/>
      <c r="L18733" s="24"/>
      <c r="M18733" s="24"/>
      <c r="N18733" s="24"/>
      <c r="O18733" s="24"/>
      <c r="P18733" s="24"/>
      <c r="Q18733" s="24"/>
      <c r="R18733" s="24"/>
      <c r="S18733" s="24"/>
      <c r="T18733" s="24"/>
      <c r="U18733" s="24"/>
      <c r="V18733" s="24"/>
      <c r="W18733" s="24"/>
      <c r="X18733" s="24"/>
      <c r="Y18733" s="24"/>
      <c r="Z18733" s="24"/>
      <c r="AA18733" s="24"/>
    </row>
    <row r="18734">
      <c r="A18734" s="24"/>
      <c r="B18734" s="25"/>
      <c r="C18734" s="24"/>
      <c r="D18734" s="26"/>
      <c r="E18734" s="24"/>
      <c r="F18734" s="24"/>
      <c r="G18734" s="24"/>
      <c r="H18734" s="24"/>
      <c r="I18734" s="24"/>
      <c r="J18734" s="24"/>
      <c r="K18734" s="24"/>
      <c r="L18734" s="24"/>
      <c r="M18734" s="24"/>
      <c r="N18734" s="24"/>
      <c r="O18734" s="24"/>
      <c r="P18734" s="24"/>
      <c r="Q18734" s="24"/>
      <c r="R18734" s="24"/>
      <c r="S18734" s="24"/>
      <c r="T18734" s="24"/>
      <c r="U18734" s="24"/>
      <c r="V18734" s="24"/>
      <c r="W18734" s="24"/>
      <c r="X18734" s="24"/>
      <c r="Y18734" s="24"/>
      <c r="Z18734" s="24"/>
      <c r="AA18734" s="24"/>
    </row>
    <row r="18735">
      <c r="A18735" s="24"/>
      <c r="B18735" s="25"/>
      <c r="C18735" s="24"/>
      <c r="D18735" s="26"/>
      <c r="E18735" s="24"/>
      <c r="F18735" s="24"/>
      <c r="G18735" s="24"/>
      <c r="H18735" s="24"/>
      <c r="I18735" s="24"/>
      <c r="J18735" s="24"/>
      <c r="K18735" s="24"/>
      <c r="L18735" s="24"/>
      <c r="M18735" s="24"/>
      <c r="N18735" s="24"/>
      <c r="O18735" s="24"/>
      <c r="P18735" s="24"/>
      <c r="Q18735" s="24"/>
      <c r="R18735" s="24"/>
      <c r="S18735" s="24"/>
      <c r="T18735" s="24"/>
      <c r="U18735" s="24"/>
      <c r="V18735" s="24"/>
      <c r="W18735" s="24"/>
      <c r="X18735" s="24"/>
      <c r="Y18735" s="24"/>
      <c r="Z18735" s="24"/>
      <c r="AA18735" s="24"/>
    </row>
    <row r="18736">
      <c r="A18736" s="24"/>
      <c r="B18736" s="25"/>
      <c r="C18736" s="24"/>
      <c r="D18736" s="26"/>
      <c r="E18736" s="24"/>
      <c r="F18736" s="24"/>
      <c r="G18736" s="24"/>
      <c r="H18736" s="24"/>
      <c r="I18736" s="24"/>
      <c r="J18736" s="24"/>
      <c r="K18736" s="24"/>
      <c r="L18736" s="24"/>
      <c r="M18736" s="24"/>
      <c r="N18736" s="24"/>
      <c r="O18736" s="24"/>
      <c r="P18736" s="24"/>
      <c r="Q18736" s="24"/>
      <c r="R18736" s="24"/>
      <c r="S18736" s="24"/>
      <c r="T18736" s="24"/>
      <c r="U18736" s="24"/>
      <c r="V18736" s="24"/>
      <c r="W18736" s="24"/>
      <c r="X18736" s="24"/>
      <c r="Y18736" s="24"/>
      <c r="Z18736" s="24"/>
      <c r="AA18736" s="24"/>
    </row>
    <row r="18737">
      <c r="A18737" s="24"/>
      <c r="B18737" s="25"/>
      <c r="C18737" s="24"/>
      <c r="D18737" s="26"/>
      <c r="E18737" s="24"/>
      <c r="F18737" s="24"/>
      <c r="G18737" s="24"/>
      <c r="H18737" s="24"/>
      <c r="I18737" s="24"/>
      <c r="J18737" s="24"/>
      <c r="K18737" s="24"/>
      <c r="L18737" s="24"/>
      <c r="M18737" s="24"/>
      <c r="N18737" s="24"/>
      <c r="O18737" s="24"/>
      <c r="P18737" s="24"/>
      <c r="Q18737" s="24"/>
      <c r="R18737" s="24"/>
      <c r="S18737" s="24"/>
      <c r="T18737" s="24"/>
      <c r="U18737" s="24"/>
      <c r="V18737" s="24"/>
      <c r="W18737" s="24"/>
      <c r="X18737" s="24"/>
      <c r="Y18737" s="24"/>
      <c r="Z18737" s="24"/>
      <c r="AA18737" s="24"/>
    </row>
    <row r="18738">
      <c r="A18738" s="24"/>
      <c r="B18738" s="25"/>
      <c r="C18738" s="24"/>
      <c r="D18738" s="26"/>
      <c r="E18738" s="24"/>
      <c r="F18738" s="24"/>
      <c r="G18738" s="24"/>
      <c r="H18738" s="24"/>
      <c r="I18738" s="24"/>
      <c r="J18738" s="24"/>
      <c r="K18738" s="24"/>
      <c r="L18738" s="24"/>
      <c r="M18738" s="24"/>
      <c r="N18738" s="24"/>
      <c r="O18738" s="24"/>
      <c r="P18738" s="24"/>
      <c r="Q18738" s="24"/>
      <c r="R18738" s="24"/>
      <c r="S18738" s="24"/>
      <c r="T18738" s="24"/>
      <c r="U18738" s="24"/>
      <c r="V18738" s="24"/>
      <c r="W18738" s="24"/>
      <c r="X18738" s="24"/>
      <c r="Y18738" s="24"/>
      <c r="Z18738" s="24"/>
      <c r="AA18738" s="24"/>
    </row>
    <row r="18739">
      <c r="A18739" s="24"/>
      <c r="B18739" s="25"/>
      <c r="C18739" s="24"/>
      <c r="D18739" s="26"/>
      <c r="E18739" s="24"/>
      <c r="F18739" s="24"/>
      <c r="G18739" s="24"/>
      <c r="H18739" s="24"/>
      <c r="I18739" s="24"/>
      <c r="J18739" s="24"/>
      <c r="K18739" s="24"/>
      <c r="L18739" s="24"/>
      <c r="M18739" s="24"/>
      <c r="N18739" s="24"/>
      <c r="O18739" s="24"/>
      <c r="P18739" s="24"/>
      <c r="Q18739" s="24"/>
      <c r="R18739" s="24"/>
      <c r="S18739" s="24"/>
      <c r="T18739" s="24"/>
      <c r="U18739" s="24"/>
      <c r="V18739" s="24"/>
      <c r="W18739" s="24"/>
      <c r="X18739" s="24"/>
      <c r="Y18739" s="24"/>
      <c r="Z18739" s="24"/>
      <c r="AA18739" s="24"/>
    </row>
    <row r="18740">
      <c r="A18740" s="24"/>
      <c r="B18740" s="25"/>
      <c r="C18740" s="24"/>
      <c r="D18740" s="26"/>
      <c r="E18740" s="24"/>
      <c r="F18740" s="24"/>
      <c r="G18740" s="24"/>
      <c r="H18740" s="24"/>
      <c r="I18740" s="24"/>
      <c r="J18740" s="24"/>
      <c r="K18740" s="24"/>
      <c r="L18740" s="24"/>
      <c r="M18740" s="24"/>
      <c r="N18740" s="24"/>
      <c r="O18740" s="24"/>
      <c r="P18740" s="24"/>
      <c r="Q18740" s="24"/>
      <c r="R18740" s="24"/>
      <c r="S18740" s="24"/>
      <c r="T18740" s="24"/>
      <c r="U18740" s="24"/>
      <c r="V18740" s="24"/>
      <c r="W18740" s="24"/>
      <c r="X18740" s="24"/>
      <c r="Y18740" s="24"/>
      <c r="Z18740" s="24"/>
      <c r="AA18740" s="24"/>
    </row>
    <row r="18741">
      <c r="A18741" s="24"/>
      <c r="B18741" s="25"/>
      <c r="C18741" s="24"/>
      <c r="D18741" s="26"/>
      <c r="E18741" s="24"/>
      <c r="F18741" s="24"/>
      <c r="G18741" s="24"/>
      <c r="H18741" s="24"/>
      <c r="I18741" s="24"/>
      <c r="J18741" s="24"/>
      <c r="K18741" s="24"/>
      <c r="L18741" s="24"/>
      <c r="M18741" s="24"/>
      <c r="N18741" s="24"/>
      <c r="O18741" s="24"/>
      <c r="P18741" s="24"/>
      <c r="Q18741" s="24"/>
      <c r="R18741" s="24"/>
      <c r="S18741" s="24"/>
      <c r="T18741" s="24"/>
      <c r="U18741" s="24"/>
      <c r="V18741" s="24"/>
      <c r="W18741" s="24"/>
      <c r="X18741" s="24"/>
      <c r="Y18741" s="24"/>
      <c r="Z18741" s="24"/>
      <c r="AA18741" s="24"/>
    </row>
    <row r="18742">
      <c r="A18742" s="24"/>
      <c r="B18742" s="25"/>
      <c r="C18742" s="24"/>
      <c r="D18742" s="26"/>
      <c r="E18742" s="24"/>
      <c r="F18742" s="24"/>
      <c r="G18742" s="24"/>
      <c r="H18742" s="24"/>
      <c r="I18742" s="24"/>
      <c r="J18742" s="24"/>
      <c r="K18742" s="24"/>
      <c r="L18742" s="24"/>
      <c r="M18742" s="24"/>
      <c r="N18742" s="24"/>
      <c r="O18742" s="24"/>
      <c r="P18742" s="24"/>
      <c r="Q18742" s="24"/>
      <c r="R18742" s="24"/>
      <c r="S18742" s="24"/>
      <c r="T18742" s="24"/>
      <c r="U18742" s="24"/>
      <c r="V18742" s="24"/>
      <c r="W18742" s="24"/>
      <c r="X18742" s="24"/>
      <c r="Y18742" s="24"/>
      <c r="Z18742" s="24"/>
      <c r="AA18742" s="24"/>
    </row>
    <row r="18743">
      <c r="A18743" s="24"/>
      <c r="B18743" s="25"/>
      <c r="C18743" s="24"/>
      <c r="D18743" s="26"/>
      <c r="E18743" s="24"/>
      <c r="F18743" s="24"/>
      <c r="G18743" s="24"/>
      <c r="H18743" s="24"/>
      <c r="I18743" s="24"/>
      <c r="J18743" s="24"/>
      <c r="K18743" s="24"/>
      <c r="L18743" s="24"/>
      <c r="M18743" s="24"/>
      <c r="N18743" s="24"/>
      <c r="O18743" s="24"/>
      <c r="P18743" s="24"/>
      <c r="Q18743" s="24"/>
      <c r="R18743" s="24"/>
      <c r="S18743" s="24"/>
      <c r="T18743" s="24"/>
      <c r="U18743" s="24"/>
      <c r="V18743" s="24"/>
      <c r="W18743" s="24"/>
      <c r="X18743" s="24"/>
      <c r="Y18743" s="24"/>
      <c r="Z18743" s="24"/>
      <c r="AA18743" s="24"/>
    </row>
    <row r="18744">
      <c r="A18744" s="24"/>
      <c r="B18744" s="25"/>
      <c r="C18744" s="24"/>
      <c r="D18744" s="26"/>
      <c r="E18744" s="24"/>
      <c r="F18744" s="24"/>
      <c r="G18744" s="24"/>
      <c r="H18744" s="24"/>
      <c r="I18744" s="24"/>
      <c r="J18744" s="24"/>
      <c r="K18744" s="24"/>
      <c r="L18744" s="24"/>
      <c r="M18744" s="24"/>
      <c r="N18744" s="24"/>
      <c r="O18744" s="24"/>
      <c r="P18744" s="24"/>
      <c r="Q18744" s="24"/>
      <c r="R18744" s="24"/>
      <c r="S18744" s="24"/>
      <c r="T18744" s="24"/>
      <c r="U18744" s="24"/>
      <c r="V18744" s="24"/>
      <c r="W18744" s="24"/>
      <c r="X18744" s="24"/>
      <c r="Y18744" s="24"/>
      <c r="Z18744" s="24"/>
      <c r="AA18744" s="24"/>
    </row>
    <row r="18745">
      <c r="A18745" s="24"/>
      <c r="B18745" s="25"/>
      <c r="C18745" s="24"/>
      <c r="D18745" s="26"/>
      <c r="E18745" s="24"/>
      <c r="F18745" s="24"/>
      <c r="G18745" s="24"/>
      <c r="H18745" s="24"/>
      <c r="I18745" s="24"/>
      <c r="J18745" s="24"/>
      <c r="K18745" s="24"/>
      <c r="L18745" s="24"/>
      <c r="M18745" s="24"/>
      <c r="N18745" s="24"/>
      <c r="O18745" s="24"/>
      <c r="P18745" s="24"/>
      <c r="Q18745" s="24"/>
      <c r="R18745" s="24"/>
      <c r="S18745" s="24"/>
      <c r="T18745" s="24"/>
      <c r="U18745" s="24"/>
      <c r="V18745" s="24"/>
      <c r="W18745" s="24"/>
      <c r="X18745" s="24"/>
      <c r="Y18745" s="24"/>
      <c r="Z18745" s="24"/>
      <c r="AA18745" s="24"/>
    </row>
    <row r="18746">
      <c r="A18746" s="24"/>
      <c r="B18746" s="25"/>
      <c r="C18746" s="24"/>
      <c r="D18746" s="26"/>
      <c r="E18746" s="24"/>
      <c r="F18746" s="24"/>
      <c r="G18746" s="24"/>
      <c r="H18746" s="24"/>
      <c r="I18746" s="24"/>
      <c r="J18746" s="24"/>
      <c r="K18746" s="24"/>
      <c r="L18746" s="24"/>
      <c r="M18746" s="24"/>
      <c r="N18746" s="24"/>
      <c r="O18746" s="24"/>
      <c r="P18746" s="24"/>
      <c r="Q18746" s="24"/>
      <c r="R18746" s="24"/>
      <c r="S18746" s="24"/>
      <c r="T18746" s="24"/>
      <c r="U18746" s="24"/>
      <c r="V18746" s="24"/>
      <c r="W18746" s="24"/>
      <c r="X18746" s="24"/>
      <c r="Y18746" s="24"/>
      <c r="Z18746" s="24"/>
      <c r="AA18746" s="24"/>
    </row>
    <row r="18747">
      <c r="A18747" s="24"/>
      <c r="B18747" s="25"/>
      <c r="C18747" s="24"/>
      <c r="D18747" s="26"/>
      <c r="E18747" s="24"/>
      <c r="F18747" s="24"/>
      <c r="G18747" s="24"/>
      <c r="H18747" s="24"/>
      <c r="I18747" s="24"/>
      <c r="J18747" s="24"/>
      <c r="K18747" s="24"/>
      <c r="L18747" s="24"/>
      <c r="M18747" s="24"/>
      <c r="N18747" s="24"/>
      <c r="O18747" s="24"/>
      <c r="P18747" s="24"/>
      <c r="Q18747" s="24"/>
      <c r="R18747" s="24"/>
      <c r="S18747" s="24"/>
      <c r="T18747" s="24"/>
      <c r="U18747" s="24"/>
      <c r="V18747" s="24"/>
      <c r="W18747" s="24"/>
      <c r="X18747" s="24"/>
      <c r="Y18747" s="24"/>
      <c r="Z18747" s="24"/>
      <c r="AA18747" s="24"/>
    </row>
    <row r="18748">
      <c r="A18748" s="24"/>
      <c r="B18748" s="25"/>
      <c r="C18748" s="24"/>
      <c r="D18748" s="26"/>
      <c r="E18748" s="24"/>
      <c r="F18748" s="24"/>
      <c r="G18748" s="24"/>
      <c r="H18748" s="24"/>
      <c r="I18748" s="24"/>
      <c r="J18748" s="24"/>
      <c r="K18748" s="24"/>
      <c r="L18748" s="24"/>
      <c r="M18748" s="24"/>
      <c r="N18748" s="24"/>
      <c r="O18748" s="24"/>
      <c r="P18748" s="24"/>
      <c r="Q18748" s="24"/>
      <c r="R18748" s="24"/>
      <c r="S18748" s="24"/>
      <c r="T18748" s="24"/>
      <c r="U18748" s="24"/>
      <c r="V18748" s="24"/>
      <c r="W18748" s="24"/>
      <c r="X18748" s="24"/>
      <c r="Y18748" s="24"/>
      <c r="Z18748" s="24"/>
      <c r="AA18748" s="24"/>
    </row>
    <row r="18749">
      <c r="A18749" s="24"/>
      <c r="B18749" s="25"/>
      <c r="C18749" s="24"/>
      <c r="D18749" s="26"/>
      <c r="E18749" s="24"/>
      <c r="F18749" s="24"/>
      <c r="G18749" s="24"/>
      <c r="H18749" s="24"/>
      <c r="I18749" s="24"/>
      <c r="J18749" s="24"/>
      <c r="K18749" s="24"/>
      <c r="L18749" s="24"/>
      <c r="M18749" s="24"/>
      <c r="N18749" s="24"/>
      <c r="O18749" s="24"/>
      <c r="P18749" s="24"/>
      <c r="Q18749" s="24"/>
      <c r="R18749" s="24"/>
      <c r="S18749" s="24"/>
      <c r="T18749" s="24"/>
      <c r="U18749" s="24"/>
      <c r="V18749" s="24"/>
      <c r="W18749" s="24"/>
      <c r="X18749" s="24"/>
      <c r="Y18749" s="24"/>
      <c r="Z18749" s="24"/>
      <c r="AA18749" s="24"/>
    </row>
    <row r="18750">
      <c r="A18750" s="24"/>
      <c r="B18750" s="25"/>
      <c r="C18750" s="24"/>
      <c r="D18750" s="26"/>
      <c r="E18750" s="24"/>
      <c r="F18750" s="24"/>
      <c r="G18750" s="24"/>
      <c r="H18750" s="24"/>
      <c r="I18750" s="24"/>
      <c r="J18750" s="24"/>
      <c r="K18750" s="24"/>
      <c r="L18750" s="24"/>
      <c r="M18750" s="24"/>
      <c r="N18750" s="24"/>
      <c r="O18750" s="24"/>
      <c r="P18750" s="24"/>
      <c r="Q18750" s="24"/>
      <c r="R18750" s="24"/>
      <c r="S18750" s="24"/>
      <c r="T18750" s="24"/>
      <c r="U18750" s="24"/>
      <c r="V18750" s="24"/>
      <c r="W18750" s="24"/>
      <c r="X18750" s="24"/>
      <c r="Y18750" s="24"/>
      <c r="Z18750" s="24"/>
      <c r="AA18750" s="24"/>
    </row>
    <row r="18751">
      <c r="A18751" s="24"/>
      <c r="B18751" s="25"/>
      <c r="C18751" s="24"/>
      <c r="D18751" s="26"/>
      <c r="E18751" s="24"/>
      <c r="F18751" s="24"/>
      <c r="G18751" s="24"/>
      <c r="H18751" s="24"/>
      <c r="I18751" s="24"/>
      <c r="J18751" s="24"/>
      <c r="K18751" s="24"/>
      <c r="L18751" s="24"/>
      <c r="M18751" s="24"/>
      <c r="N18751" s="24"/>
      <c r="O18751" s="24"/>
      <c r="P18751" s="24"/>
      <c r="Q18751" s="24"/>
      <c r="R18751" s="24"/>
      <c r="S18751" s="24"/>
      <c r="T18751" s="24"/>
      <c r="U18751" s="24"/>
      <c r="V18751" s="24"/>
      <c r="W18751" s="24"/>
      <c r="X18751" s="24"/>
      <c r="Y18751" s="24"/>
      <c r="Z18751" s="24"/>
      <c r="AA18751" s="24"/>
    </row>
    <row r="18752">
      <c r="A18752" s="24"/>
      <c r="B18752" s="25"/>
      <c r="C18752" s="24"/>
      <c r="D18752" s="26"/>
      <c r="E18752" s="24"/>
      <c r="F18752" s="24"/>
      <c r="G18752" s="24"/>
      <c r="H18752" s="24"/>
      <c r="I18752" s="24"/>
      <c r="J18752" s="24"/>
      <c r="K18752" s="24"/>
      <c r="L18752" s="24"/>
      <c r="M18752" s="24"/>
      <c r="N18752" s="24"/>
      <c r="O18752" s="24"/>
      <c r="P18752" s="24"/>
      <c r="Q18752" s="24"/>
      <c r="R18752" s="24"/>
      <c r="S18752" s="24"/>
      <c r="T18752" s="24"/>
      <c r="U18752" s="24"/>
      <c r="V18752" s="24"/>
      <c r="W18752" s="24"/>
      <c r="X18752" s="24"/>
      <c r="Y18752" s="24"/>
      <c r="Z18752" s="24"/>
      <c r="AA18752" s="24"/>
    </row>
    <row r="18753">
      <c r="A18753" s="24"/>
      <c r="B18753" s="25"/>
      <c r="C18753" s="24"/>
      <c r="D18753" s="26"/>
      <c r="E18753" s="24"/>
      <c r="F18753" s="24"/>
      <c r="G18753" s="24"/>
      <c r="H18753" s="24"/>
      <c r="I18753" s="24"/>
      <c r="J18753" s="24"/>
      <c r="K18753" s="24"/>
      <c r="L18753" s="24"/>
      <c r="M18753" s="24"/>
      <c r="N18753" s="24"/>
      <c r="O18753" s="24"/>
      <c r="P18753" s="24"/>
      <c r="Q18753" s="24"/>
      <c r="R18753" s="24"/>
      <c r="S18753" s="24"/>
      <c r="T18753" s="24"/>
      <c r="U18753" s="24"/>
      <c r="V18753" s="24"/>
      <c r="W18753" s="24"/>
      <c r="X18753" s="24"/>
      <c r="Y18753" s="24"/>
      <c r="Z18753" s="24"/>
      <c r="AA18753" s="24"/>
    </row>
    <row r="18754">
      <c r="A18754" s="24"/>
      <c r="B18754" s="25"/>
      <c r="C18754" s="24"/>
      <c r="D18754" s="26"/>
      <c r="E18754" s="24"/>
      <c r="F18754" s="24"/>
      <c r="G18754" s="24"/>
      <c r="H18754" s="24"/>
      <c r="I18754" s="24"/>
      <c r="J18754" s="24"/>
      <c r="K18754" s="24"/>
      <c r="L18754" s="24"/>
      <c r="M18754" s="24"/>
      <c r="N18754" s="24"/>
      <c r="O18754" s="24"/>
      <c r="P18754" s="24"/>
      <c r="Q18754" s="24"/>
      <c r="R18754" s="24"/>
      <c r="S18754" s="24"/>
      <c r="T18754" s="24"/>
      <c r="U18754" s="24"/>
      <c r="V18754" s="24"/>
      <c r="W18754" s="24"/>
      <c r="X18754" s="24"/>
      <c r="Y18754" s="24"/>
      <c r="Z18754" s="24"/>
      <c r="AA18754" s="24"/>
    </row>
    <row r="18755">
      <c r="A18755" s="24"/>
      <c r="B18755" s="25"/>
      <c r="C18755" s="24"/>
      <c r="D18755" s="26"/>
      <c r="E18755" s="24"/>
      <c r="F18755" s="24"/>
      <c r="G18755" s="24"/>
      <c r="H18755" s="24"/>
      <c r="I18755" s="24"/>
      <c r="J18755" s="24"/>
      <c r="K18755" s="24"/>
      <c r="L18755" s="24"/>
      <c r="M18755" s="24"/>
      <c r="N18755" s="24"/>
      <c r="O18755" s="24"/>
      <c r="P18755" s="24"/>
      <c r="Q18755" s="24"/>
      <c r="R18755" s="24"/>
      <c r="S18755" s="24"/>
      <c r="T18755" s="24"/>
      <c r="U18755" s="24"/>
      <c r="V18755" s="24"/>
      <c r="W18755" s="24"/>
      <c r="X18755" s="24"/>
      <c r="Y18755" s="24"/>
      <c r="Z18755" s="24"/>
      <c r="AA18755" s="24"/>
    </row>
    <row r="18756">
      <c r="A18756" s="24"/>
      <c r="B18756" s="25"/>
      <c r="C18756" s="24"/>
      <c r="D18756" s="26"/>
      <c r="E18756" s="24"/>
      <c r="F18756" s="24"/>
      <c r="G18756" s="24"/>
      <c r="H18756" s="24"/>
      <c r="I18756" s="24"/>
      <c r="J18756" s="24"/>
      <c r="K18756" s="24"/>
      <c r="L18756" s="24"/>
      <c r="M18756" s="24"/>
      <c r="N18756" s="24"/>
      <c r="O18756" s="24"/>
      <c r="P18756" s="24"/>
      <c r="Q18756" s="24"/>
      <c r="R18756" s="24"/>
      <c r="S18756" s="24"/>
      <c r="T18756" s="24"/>
      <c r="U18756" s="24"/>
      <c r="V18756" s="24"/>
      <c r="W18756" s="24"/>
      <c r="X18756" s="24"/>
      <c r="Y18756" s="24"/>
      <c r="Z18756" s="24"/>
      <c r="AA18756" s="24"/>
    </row>
    <row r="18757">
      <c r="A18757" s="24"/>
      <c r="B18757" s="25"/>
      <c r="C18757" s="24"/>
      <c r="D18757" s="26"/>
      <c r="E18757" s="24"/>
      <c r="F18757" s="24"/>
      <c r="G18757" s="24"/>
      <c r="H18757" s="24"/>
      <c r="I18757" s="24"/>
      <c r="J18757" s="24"/>
      <c r="K18757" s="24"/>
      <c r="L18757" s="24"/>
      <c r="M18757" s="24"/>
      <c r="N18757" s="24"/>
      <c r="O18757" s="24"/>
      <c r="P18757" s="24"/>
      <c r="Q18757" s="24"/>
      <c r="R18757" s="24"/>
      <c r="S18757" s="24"/>
      <c r="T18757" s="24"/>
      <c r="U18757" s="24"/>
      <c r="V18757" s="24"/>
      <c r="W18757" s="24"/>
      <c r="X18757" s="24"/>
      <c r="Y18757" s="24"/>
      <c r="Z18757" s="24"/>
      <c r="AA18757" s="24"/>
    </row>
    <row r="18758">
      <c r="A18758" s="24"/>
      <c r="B18758" s="25"/>
      <c r="C18758" s="24"/>
      <c r="D18758" s="26"/>
      <c r="E18758" s="24"/>
      <c r="F18758" s="24"/>
      <c r="G18758" s="24"/>
      <c r="H18758" s="24"/>
      <c r="I18758" s="24"/>
      <c r="J18758" s="24"/>
      <c r="K18758" s="24"/>
      <c r="L18758" s="24"/>
      <c r="M18758" s="24"/>
      <c r="N18758" s="24"/>
      <c r="O18758" s="24"/>
      <c r="P18758" s="24"/>
      <c r="Q18758" s="24"/>
      <c r="R18758" s="24"/>
      <c r="S18758" s="24"/>
      <c r="T18758" s="24"/>
      <c r="U18758" s="24"/>
      <c r="V18758" s="24"/>
      <c r="W18758" s="24"/>
      <c r="X18758" s="24"/>
      <c r="Y18758" s="24"/>
      <c r="Z18758" s="24"/>
      <c r="AA18758" s="24"/>
    </row>
    <row r="18759">
      <c r="A18759" s="24"/>
      <c r="B18759" s="25"/>
      <c r="C18759" s="24"/>
      <c r="D18759" s="26"/>
      <c r="E18759" s="24"/>
      <c r="F18759" s="24"/>
      <c r="G18759" s="24"/>
      <c r="H18759" s="24"/>
      <c r="I18759" s="24"/>
      <c r="J18759" s="24"/>
      <c r="K18759" s="24"/>
      <c r="L18759" s="24"/>
      <c r="M18759" s="24"/>
      <c r="N18759" s="24"/>
      <c r="O18759" s="24"/>
      <c r="P18759" s="24"/>
      <c r="Q18759" s="24"/>
      <c r="R18759" s="24"/>
      <c r="S18759" s="24"/>
      <c r="T18759" s="24"/>
      <c r="U18759" s="24"/>
      <c r="V18759" s="24"/>
      <c r="W18759" s="24"/>
      <c r="X18759" s="24"/>
      <c r="Y18759" s="24"/>
      <c r="Z18759" s="24"/>
      <c r="AA18759" s="24"/>
    </row>
    <row r="18760">
      <c r="A18760" s="24"/>
      <c r="B18760" s="25"/>
      <c r="C18760" s="24"/>
      <c r="D18760" s="26"/>
      <c r="E18760" s="24"/>
      <c r="F18760" s="24"/>
      <c r="G18760" s="24"/>
      <c r="H18760" s="24"/>
      <c r="I18760" s="24"/>
      <c r="J18760" s="24"/>
      <c r="K18760" s="24"/>
      <c r="L18760" s="24"/>
      <c r="M18760" s="24"/>
      <c r="N18760" s="24"/>
      <c r="O18760" s="24"/>
      <c r="P18760" s="24"/>
      <c r="Q18760" s="24"/>
      <c r="R18760" s="24"/>
      <c r="S18760" s="24"/>
      <c r="T18760" s="24"/>
      <c r="U18760" s="24"/>
      <c r="V18760" s="24"/>
      <c r="W18760" s="24"/>
      <c r="X18760" s="24"/>
      <c r="Y18760" s="24"/>
      <c r="Z18760" s="24"/>
      <c r="AA18760" s="24"/>
    </row>
    <row r="18761">
      <c r="A18761" s="24"/>
      <c r="B18761" s="25"/>
      <c r="C18761" s="24"/>
      <c r="D18761" s="26"/>
      <c r="E18761" s="24"/>
      <c r="F18761" s="24"/>
      <c r="G18761" s="24"/>
      <c r="H18761" s="24"/>
      <c r="I18761" s="24"/>
      <c r="J18761" s="24"/>
      <c r="K18761" s="24"/>
      <c r="L18761" s="24"/>
      <c r="M18761" s="24"/>
      <c r="N18761" s="24"/>
      <c r="O18761" s="24"/>
      <c r="P18761" s="24"/>
      <c r="Q18761" s="24"/>
      <c r="R18761" s="24"/>
      <c r="S18761" s="24"/>
      <c r="T18761" s="24"/>
      <c r="U18761" s="24"/>
      <c r="V18761" s="24"/>
      <c r="W18761" s="24"/>
      <c r="X18761" s="24"/>
      <c r="Y18761" s="24"/>
      <c r="Z18761" s="24"/>
      <c r="AA18761" s="24"/>
    </row>
    <row r="18762">
      <c r="A18762" s="24"/>
      <c r="B18762" s="25"/>
      <c r="C18762" s="24"/>
      <c r="D18762" s="26"/>
      <c r="E18762" s="24"/>
      <c r="F18762" s="24"/>
      <c r="G18762" s="24"/>
      <c r="H18762" s="24"/>
      <c r="I18762" s="24"/>
      <c r="J18762" s="24"/>
      <c r="K18762" s="24"/>
      <c r="L18762" s="24"/>
      <c r="M18762" s="24"/>
      <c r="N18762" s="24"/>
      <c r="O18762" s="24"/>
      <c r="P18762" s="24"/>
      <c r="Q18762" s="24"/>
      <c r="R18762" s="24"/>
      <c r="S18762" s="24"/>
      <c r="T18762" s="24"/>
      <c r="U18762" s="24"/>
      <c r="V18762" s="24"/>
      <c r="W18762" s="24"/>
      <c r="X18762" s="24"/>
      <c r="Y18762" s="24"/>
      <c r="Z18762" s="24"/>
      <c r="AA18762" s="24"/>
    </row>
    <row r="18763">
      <c r="A18763" s="24"/>
      <c r="B18763" s="25"/>
      <c r="C18763" s="24"/>
      <c r="D18763" s="26"/>
      <c r="E18763" s="24"/>
      <c r="F18763" s="24"/>
      <c r="G18763" s="24"/>
      <c r="H18763" s="24"/>
      <c r="I18763" s="24"/>
      <c r="J18763" s="24"/>
      <c r="K18763" s="24"/>
      <c r="L18763" s="24"/>
      <c r="M18763" s="24"/>
      <c r="N18763" s="24"/>
      <c r="O18763" s="24"/>
      <c r="P18763" s="24"/>
      <c r="Q18763" s="24"/>
      <c r="R18763" s="24"/>
      <c r="S18763" s="24"/>
      <c r="T18763" s="24"/>
      <c r="U18763" s="24"/>
      <c r="V18763" s="24"/>
      <c r="W18763" s="24"/>
      <c r="X18763" s="24"/>
      <c r="Y18763" s="24"/>
      <c r="Z18763" s="24"/>
      <c r="AA18763" s="24"/>
    </row>
    <row r="18764">
      <c r="A18764" s="24"/>
      <c r="B18764" s="25"/>
      <c r="C18764" s="24"/>
      <c r="D18764" s="26"/>
      <c r="E18764" s="24"/>
      <c r="F18764" s="24"/>
      <c r="G18764" s="24"/>
      <c r="H18764" s="24"/>
      <c r="I18764" s="24"/>
      <c r="J18764" s="24"/>
      <c r="K18764" s="24"/>
      <c r="L18764" s="24"/>
      <c r="M18764" s="24"/>
      <c r="N18764" s="24"/>
      <c r="O18764" s="24"/>
      <c r="P18764" s="24"/>
      <c r="Q18764" s="24"/>
      <c r="R18764" s="24"/>
      <c r="S18764" s="24"/>
      <c r="T18764" s="24"/>
      <c r="U18764" s="24"/>
      <c r="V18764" s="24"/>
      <c r="W18764" s="24"/>
      <c r="X18764" s="24"/>
      <c r="Y18764" s="24"/>
      <c r="Z18764" s="24"/>
      <c r="AA18764" s="24"/>
    </row>
    <row r="18765">
      <c r="A18765" s="24"/>
      <c r="B18765" s="25"/>
      <c r="C18765" s="24"/>
      <c r="D18765" s="26"/>
      <c r="E18765" s="24"/>
      <c r="F18765" s="24"/>
      <c r="G18765" s="24"/>
      <c r="H18765" s="24"/>
      <c r="I18765" s="24"/>
      <c r="J18765" s="24"/>
      <c r="K18765" s="24"/>
      <c r="L18765" s="24"/>
      <c r="M18765" s="24"/>
      <c r="N18765" s="24"/>
      <c r="O18765" s="24"/>
      <c r="P18765" s="24"/>
      <c r="Q18765" s="24"/>
      <c r="R18765" s="24"/>
      <c r="S18765" s="24"/>
      <c r="T18765" s="24"/>
      <c r="U18765" s="24"/>
      <c r="V18765" s="24"/>
      <c r="W18765" s="24"/>
      <c r="X18765" s="24"/>
      <c r="Y18765" s="24"/>
      <c r="Z18765" s="24"/>
      <c r="AA18765" s="24"/>
    </row>
    <row r="18766">
      <c r="A18766" s="24"/>
      <c r="B18766" s="25"/>
      <c r="C18766" s="24"/>
      <c r="D18766" s="26"/>
      <c r="E18766" s="24"/>
      <c r="F18766" s="24"/>
      <c r="G18766" s="24"/>
      <c r="H18766" s="24"/>
      <c r="I18766" s="24"/>
      <c r="J18766" s="24"/>
      <c r="K18766" s="24"/>
      <c r="L18766" s="24"/>
      <c r="M18766" s="24"/>
      <c r="N18766" s="24"/>
      <c r="O18766" s="24"/>
      <c r="P18766" s="24"/>
      <c r="Q18766" s="24"/>
      <c r="R18766" s="24"/>
      <c r="S18766" s="24"/>
      <c r="T18766" s="24"/>
      <c r="U18766" s="24"/>
      <c r="V18766" s="24"/>
      <c r="W18766" s="24"/>
      <c r="X18766" s="24"/>
      <c r="Y18766" s="24"/>
      <c r="Z18766" s="24"/>
      <c r="AA18766" s="24"/>
    </row>
    <row r="18767">
      <c r="A18767" s="24"/>
      <c r="B18767" s="25"/>
      <c r="C18767" s="24"/>
      <c r="D18767" s="26"/>
      <c r="E18767" s="24"/>
      <c r="F18767" s="24"/>
      <c r="G18767" s="24"/>
      <c r="H18767" s="24"/>
      <c r="I18767" s="24"/>
      <c r="J18767" s="24"/>
      <c r="K18767" s="24"/>
      <c r="L18767" s="24"/>
      <c r="M18767" s="24"/>
      <c r="N18767" s="24"/>
      <c r="O18767" s="24"/>
      <c r="P18767" s="24"/>
      <c r="Q18767" s="24"/>
      <c r="R18767" s="24"/>
      <c r="S18767" s="24"/>
      <c r="T18767" s="24"/>
      <c r="U18767" s="24"/>
      <c r="V18767" s="24"/>
      <c r="W18767" s="24"/>
      <c r="X18767" s="24"/>
      <c r="Y18767" s="24"/>
      <c r="Z18767" s="24"/>
      <c r="AA18767" s="24"/>
    </row>
    <row r="18768">
      <c r="A18768" s="24"/>
      <c r="B18768" s="25"/>
      <c r="C18768" s="24"/>
      <c r="D18768" s="26"/>
      <c r="E18768" s="24"/>
      <c r="F18768" s="24"/>
      <c r="G18768" s="24"/>
      <c r="H18768" s="24"/>
      <c r="I18768" s="24"/>
      <c r="J18768" s="24"/>
      <c r="K18768" s="24"/>
      <c r="L18768" s="24"/>
      <c r="M18768" s="24"/>
      <c r="N18768" s="24"/>
      <c r="O18768" s="24"/>
      <c r="P18768" s="24"/>
      <c r="Q18768" s="24"/>
      <c r="R18768" s="24"/>
      <c r="S18768" s="24"/>
      <c r="T18768" s="24"/>
      <c r="U18768" s="24"/>
      <c r="V18768" s="24"/>
      <c r="W18768" s="24"/>
      <c r="X18768" s="24"/>
      <c r="Y18768" s="24"/>
      <c r="Z18768" s="24"/>
      <c r="AA18768" s="24"/>
    </row>
    <row r="18769">
      <c r="A18769" s="24"/>
      <c r="B18769" s="25"/>
      <c r="C18769" s="24"/>
      <c r="D18769" s="26"/>
      <c r="E18769" s="24"/>
      <c r="F18769" s="24"/>
      <c r="G18769" s="24"/>
      <c r="H18769" s="24"/>
      <c r="I18769" s="24"/>
      <c r="J18769" s="24"/>
      <c r="K18769" s="24"/>
      <c r="L18769" s="24"/>
      <c r="M18769" s="24"/>
      <c r="N18769" s="24"/>
      <c r="O18769" s="24"/>
      <c r="P18769" s="24"/>
      <c r="Q18769" s="24"/>
      <c r="R18769" s="24"/>
      <c r="S18769" s="24"/>
      <c r="T18769" s="24"/>
      <c r="U18769" s="24"/>
      <c r="V18769" s="24"/>
      <c r="W18769" s="24"/>
      <c r="X18769" s="24"/>
      <c r="Y18769" s="24"/>
      <c r="Z18769" s="24"/>
      <c r="AA18769" s="24"/>
    </row>
    <row r="18770">
      <c r="A18770" s="24"/>
      <c r="B18770" s="25"/>
      <c r="C18770" s="24"/>
      <c r="D18770" s="26"/>
      <c r="E18770" s="24"/>
      <c r="F18770" s="24"/>
      <c r="G18770" s="24"/>
      <c r="H18770" s="24"/>
      <c r="I18770" s="24"/>
      <c r="J18770" s="24"/>
      <c r="K18770" s="24"/>
      <c r="L18770" s="24"/>
      <c r="M18770" s="24"/>
      <c r="N18770" s="24"/>
      <c r="O18770" s="24"/>
      <c r="P18770" s="24"/>
      <c r="Q18770" s="24"/>
      <c r="R18770" s="24"/>
      <c r="S18770" s="24"/>
      <c r="T18770" s="24"/>
      <c r="U18770" s="24"/>
      <c r="V18770" s="24"/>
      <c r="W18770" s="24"/>
      <c r="X18770" s="24"/>
      <c r="Y18770" s="24"/>
      <c r="Z18770" s="24"/>
      <c r="AA18770" s="24"/>
    </row>
    <row r="18771">
      <c r="A18771" s="24"/>
      <c r="B18771" s="25"/>
      <c r="C18771" s="24"/>
      <c r="D18771" s="26"/>
      <c r="E18771" s="24"/>
      <c r="F18771" s="24"/>
      <c r="G18771" s="24"/>
      <c r="H18771" s="24"/>
      <c r="I18771" s="24"/>
      <c r="J18771" s="24"/>
      <c r="K18771" s="24"/>
      <c r="L18771" s="24"/>
      <c r="M18771" s="24"/>
      <c r="N18771" s="24"/>
      <c r="O18771" s="24"/>
      <c r="P18771" s="24"/>
      <c r="Q18771" s="24"/>
      <c r="R18771" s="24"/>
      <c r="S18771" s="24"/>
      <c r="T18771" s="24"/>
      <c r="U18771" s="24"/>
      <c r="V18771" s="24"/>
      <c r="W18771" s="24"/>
      <c r="X18771" s="24"/>
      <c r="Y18771" s="24"/>
      <c r="Z18771" s="24"/>
      <c r="AA18771" s="24"/>
    </row>
    <row r="18772">
      <c r="A18772" s="24"/>
      <c r="B18772" s="25"/>
      <c r="C18772" s="24"/>
      <c r="D18772" s="26"/>
      <c r="E18772" s="24"/>
      <c r="F18772" s="24"/>
      <c r="G18772" s="24"/>
      <c r="H18772" s="24"/>
      <c r="I18772" s="24"/>
      <c r="J18772" s="24"/>
      <c r="K18772" s="24"/>
      <c r="L18772" s="24"/>
      <c r="M18772" s="24"/>
      <c r="N18772" s="24"/>
      <c r="O18772" s="24"/>
      <c r="P18772" s="24"/>
      <c r="Q18772" s="24"/>
      <c r="R18772" s="24"/>
      <c r="S18772" s="24"/>
      <c r="T18772" s="24"/>
      <c r="U18772" s="24"/>
      <c r="V18772" s="24"/>
      <c r="W18772" s="24"/>
      <c r="X18772" s="24"/>
      <c r="Y18772" s="24"/>
      <c r="Z18772" s="24"/>
      <c r="AA18772" s="24"/>
    </row>
    <row r="18773">
      <c r="A18773" s="24"/>
      <c r="B18773" s="25"/>
      <c r="C18773" s="24"/>
      <c r="D18773" s="26"/>
      <c r="E18773" s="24"/>
      <c r="F18773" s="24"/>
      <c r="G18773" s="24"/>
      <c r="H18773" s="24"/>
      <c r="I18773" s="24"/>
      <c r="J18773" s="24"/>
      <c r="K18773" s="24"/>
      <c r="L18773" s="24"/>
      <c r="M18773" s="24"/>
      <c r="N18773" s="24"/>
      <c r="O18773" s="24"/>
      <c r="P18773" s="24"/>
      <c r="Q18773" s="24"/>
      <c r="R18773" s="24"/>
      <c r="S18773" s="24"/>
      <c r="T18773" s="24"/>
      <c r="U18773" s="24"/>
      <c r="V18773" s="24"/>
      <c r="W18773" s="24"/>
      <c r="X18773" s="24"/>
      <c r="Y18773" s="24"/>
      <c r="Z18773" s="24"/>
      <c r="AA18773" s="24"/>
    </row>
    <row r="18774">
      <c r="A18774" s="24"/>
      <c r="B18774" s="25"/>
      <c r="C18774" s="24"/>
      <c r="D18774" s="26"/>
      <c r="E18774" s="24"/>
      <c r="F18774" s="24"/>
      <c r="G18774" s="24"/>
      <c r="H18774" s="24"/>
      <c r="I18774" s="24"/>
      <c r="J18774" s="24"/>
      <c r="K18774" s="24"/>
      <c r="L18774" s="24"/>
      <c r="M18774" s="24"/>
      <c r="N18774" s="24"/>
      <c r="O18774" s="24"/>
      <c r="P18774" s="24"/>
      <c r="Q18774" s="24"/>
      <c r="R18774" s="24"/>
      <c r="S18774" s="24"/>
      <c r="T18774" s="24"/>
      <c r="U18774" s="24"/>
      <c r="V18774" s="24"/>
      <c r="W18774" s="24"/>
      <c r="X18774" s="24"/>
      <c r="Y18774" s="24"/>
      <c r="Z18774" s="24"/>
      <c r="AA18774" s="24"/>
    </row>
    <row r="18775">
      <c r="A18775" s="24"/>
      <c r="B18775" s="25"/>
      <c r="C18775" s="24"/>
      <c r="D18775" s="26"/>
      <c r="E18775" s="24"/>
      <c r="F18775" s="24"/>
      <c r="G18775" s="24"/>
      <c r="H18775" s="24"/>
      <c r="I18775" s="24"/>
      <c r="J18775" s="24"/>
      <c r="K18775" s="24"/>
      <c r="L18775" s="24"/>
      <c r="M18775" s="24"/>
      <c r="N18775" s="24"/>
      <c r="O18775" s="24"/>
      <c r="P18775" s="24"/>
      <c r="Q18775" s="24"/>
      <c r="R18775" s="24"/>
      <c r="S18775" s="24"/>
      <c r="T18775" s="24"/>
      <c r="U18775" s="24"/>
      <c r="V18775" s="24"/>
      <c r="W18775" s="24"/>
      <c r="X18775" s="24"/>
      <c r="Y18775" s="24"/>
      <c r="Z18775" s="24"/>
      <c r="AA18775" s="24"/>
    </row>
    <row r="18776">
      <c r="A18776" s="24"/>
      <c r="B18776" s="25"/>
      <c r="C18776" s="24"/>
      <c r="D18776" s="26"/>
      <c r="E18776" s="24"/>
      <c r="F18776" s="24"/>
      <c r="G18776" s="24"/>
      <c r="H18776" s="24"/>
      <c r="I18776" s="24"/>
      <c r="J18776" s="24"/>
      <c r="K18776" s="24"/>
      <c r="L18776" s="24"/>
      <c r="M18776" s="24"/>
      <c r="N18776" s="24"/>
      <c r="O18776" s="24"/>
      <c r="P18776" s="24"/>
      <c r="Q18776" s="24"/>
      <c r="R18776" s="24"/>
      <c r="S18776" s="24"/>
      <c r="T18776" s="24"/>
      <c r="U18776" s="24"/>
      <c r="V18776" s="24"/>
      <c r="W18776" s="24"/>
      <c r="X18776" s="24"/>
      <c r="Y18776" s="24"/>
      <c r="Z18776" s="24"/>
      <c r="AA18776" s="24"/>
    </row>
    <row r="18777">
      <c r="A18777" s="24"/>
      <c r="B18777" s="25"/>
      <c r="C18777" s="24"/>
      <c r="D18777" s="26"/>
      <c r="E18777" s="24"/>
      <c r="F18777" s="24"/>
      <c r="G18777" s="24"/>
      <c r="H18777" s="24"/>
      <c r="I18777" s="24"/>
      <c r="J18777" s="24"/>
      <c r="K18777" s="24"/>
      <c r="L18777" s="24"/>
      <c r="M18777" s="24"/>
      <c r="N18777" s="24"/>
      <c r="O18777" s="24"/>
      <c r="P18777" s="24"/>
      <c r="Q18777" s="24"/>
      <c r="R18777" s="24"/>
      <c r="S18777" s="24"/>
      <c r="T18777" s="24"/>
      <c r="U18777" s="24"/>
      <c r="V18777" s="24"/>
      <c r="W18777" s="24"/>
      <c r="X18777" s="24"/>
      <c r="Y18777" s="24"/>
      <c r="Z18777" s="24"/>
      <c r="AA18777" s="24"/>
    </row>
    <row r="18778">
      <c r="A18778" s="24"/>
      <c r="B18778" s="25"/>
      <c r="C18778" s="24"/>
      <c r="D18778" s="26"/>
      <c r="E18778" s="24"/>
      <c r="F18778" s="24"/>
      <c r="G18778" s="24"/>
      <c r="H18778" s="24"/>
      <c r="I18778" s="24"/>
      <c r="J18778" s="24"/>
      <c r="K18778" s="24"/>
      <c r="L18778" s="24"/>
      <c r="M18778" s="24"/>
      <c r="N18778" s="24"/>
      <c r="O18778" s="24"/>
      <c r="P18778" s="24"/>
      <c r="Q18778" s="24"/>
      <c r="R18778" s="24"/>
      <c r="S18778" s="24"/>
      <c r="T18778" s="24"/>
      <c r="U18778" s="24"/>
      <c r="V18778" s="24"/>
      <c r="W18778" s="24"/>
      <c r="X18778" s="24"/>
      <c r="Y18778" s="24"/>
      <c r="Z18778" s="24"/>
      <c r="AA18778" s="24"/>
    </row>
    <row r="18779">
      <c r="A18779" s="24"/>
      <c r="B18779" s="25"/>
      <c r="C18779" s="24"/>
      <c r="D18779" s="26"/>
      <c r="E18779" s="24"/>
      <c r="F18779" s="24"/>
      <c r="G18779" s="24"/>
      <c r="H18779" s="24"/>
      <c r="I18779" s="24"/>
      <c r="J18779" s="24"/>
      <c r="K18779" s="24"/>
      <c r="L18779" s="24"/>
      <c r="M18779" s="24"/>
      <c r="N18779" s="24"/>
      <c r="O18779" s="24"/>
      <c r="P18779" s="24"/>
      <c r="Q18779" s="24"/>
      <c r="R18779" s="24"/>
      <c r="S18779" s="24"/>
      <c r="T18779" s="24"/>
      <c r="U18779" s="24"/>
      <c r="V18779" s="24"/>
      <c r="W18779" s="24"/>
      <c r="X18779" s="24"/>
      <c r="Y18779" s="24"/>
      <c r="Z18779" s="24"/>
      <c r="AA18779" s="24"/>
    </row>
    <row r="18780">
      <c r="A18780" s="24"/>
      <c r="B18780" s="25"/>
      <c r="C18780" s="24"/>
      <c r="D18780" s="26"/>
      <c r="E18780" s="24"/>
      <c r="F18780" s="24"/>
      <c r="G18780" s="24"/>
      <c r="H18780" s="24"/>
      <c r="I18780" s="24"/>
      <c r="J18780" s="24"/>
      <c r="K18780" s="24"/>
      <c r="L18780" s="24"/>
      <c r="M18780" s="24"/>
      <c r="N18780" s="24"/>
      <c r="O18780" s="24"/>
      <c r="P18780" s="24"/>
      <c r="Q18780" s="24"/>
      <c r="R18780" s="24"/>
      <c r="S18780" s="24"/>
      <c r="T18780" s="24"/>
      <c r="U18780" s="24"/>
      <c r="V18780" s="24"/>
      <c r="W18780" s="24"/>
      <c r="X18780" s="24"/>
      <c r="Y18780" s="24"/>
      <c r="Z18780" s="24"/>
      <c r="AA18780" s="24"/>
    </row>
    <row r="18781">
      <c r="A18781" s="24"/>
      <c r="B18781" s="25"/>
      <c r="C18781" s="24"/>
      <c r="D18781" s="26"/>
      <c r="E18781" s="24"/>
      <c r="F18781" s="24"/>
      <c r="G18781" s="24"/>
      <c r="H18781" s="24"/>
      <c r="I18781" s="24"/>
      <c r="J18781" s="24"/>
      <c r="K18781" s="24"/>
      <c r="L18781" s="24"/>
      <c r="M18781" s="24"/>
      <c r="N18781" s="24"/>
      <c r="O18781" s="24"/>
      <c r="P18781" s="24"/>
      <c r="Q18781" s="24"/>
      <c r="R18781" s="24"/>
      <c r="S18781" s="24"/>
      <c r="T18781" s="24"/>
      <c r="U18781" s="24"/>
      <c r="V18781" s="24"/>
      <c r="W18781" s="24"/>
      <c r="X18781" s="24"/>
      <c r="Y18781" s="24"/>
      <c r="Z18781" s="24"/>
      <c r="AA18781" s="24"/>
    </row>
    <row r="18782">
      <c r="A18782" s="24"/>
      <c r="B18782" s="25"/>
      <c r="C18782" s="24"/>
      <c r="D18782" s="26"/>
      <c r="E18782" s="24"/>
      <c r="F18782" s="24"/>
      <c r="G18782" s="24"/>
      <c r="H18782" s="24"/>
      <c r="I18782" s="24"/>
      <c r="J18782" s="24"/>
      <c r="K18782" s="24"/>
      <c r="L18782" s="24"/>
      <c r="M18782" s="24"/>
      <c r="N18782" s="24"/>
      <c r="O18782" s="24"/>
      <c r="P18782" s="24"/>
      <c r="Q18782" s="24"/>
      <c r="R18782" s="24"/>
      <c r="S18782" s="24"/>
      <c r="T18782" s="24"/>
      <c r="U18782" s="24"/>
      <c r="V18782" s="24"/>
      <c r="W18782" s="24"/>
      <c r="X18782" s="24"/>
      <c r="Y18782" s="24"/>
      <c r="Z18782" s="24"/>
      <c r="AA18782" s="24"/>
    </row>
    <row r="18783">
      <c r="A18783" s="24"/>
      <c r="B18783" s="25"/>
      <c r="C18783" s="24"/>
      <c r="D18783" s="26"/>
      <c r="E18783" s="24"/>
      <c r="F18783" s="24"/>
      <c r="G18783" s="24"/>
      <c r="H18783" s="24"/>
      <c r="I18783" s="24"/>
      <c r="J18783" s="24"/>
      <c r="K18783" s="24"/>
      <c r="L18783" s="24"/>
      <c r="M18783" s="24"/>
      <c r="N18783" s="24"/>
      <c r="O18783" s="24"/>
      <c r="P18783" s="24"/>
      <c r="Q18783" s="24"/>
      <c r="R18783" s="24"/>
      <c r="S18783" s="24"/>
      <c r="T18783" s="24"/>
      <c r="U18783" s="24"/>
      <c r="V18783" s="24"/>
      <c r="W18783" s="24"/>
      <c r="X18783" s="24"/>
      <c r="Y18783" s="24"/>
      <c r="Z18783" s="24"/>
      <c r="AA18783" s="24"/>
    </row>
    <row r="18784">
      <c r="A18784" s="24"/>
      <c r="B18784" s="25"/>
      <c r="C18784" s="24"/>
      <c r="D18784" s="26"/>
      <c r="E18784" s="24"/>
      <c r="F18784" s="24"/>
      <c r="G18784" s="24"/>
      <c r="H18784" s="24"/>
      <c r="I18784" s="24"/>
      <c r="J18784" s="24"/>
      <c r="K18784" s="24"/>
      <c r="L18784" s="24"/>
      <c r="M18784" s="24"/>
      <c r="N18784" s="24"/>
      <c r="O18784" s="24"/>
      <c r="P18784" s="24"/>
      <c r="Q18784" s="24"/>
      <c r="R18784" s="24"/>
      <c r="S18784" s="24"/>
      <c r="T18784" s="24"/>
      <c r="U18784" s="24"/>
      <c r="V18784" s="24"/>
      <c r="W18784" s="24"/>
      <c r="X18784" s="24"/>
      <c r="Y18784" s="24"/>
      <c r="Z18784" s="24"/>
      <c r="AA18784" s="24"/>
    </row>
    <row r="18785">
      <c r="A18785" s="24"/>
      <c r="B18785" s="25"/>
      <c r="C18785" s="24"/>
      <c r="D18785" s="26"/>
      <c r="E18785" s="24"/>
      <c r="F18785" s="24"/>
      <c r="G18785" s="24"/>
      <c r="H18785" s="24"/>
      <c r="I18785" s="24"/>
      <c r="J18785" s="24"/>
      <c r="K18785" s="24"/>
      <c r="L18785" s="24"/>
      <c r="M18785" s="24"/>
      <c r="N18785" s="24"/>
      <c r="O18785" s="24"/>
      <c r="P18785" s="24"/>
      <c r="Q18785" s="24"/>
      <c r="R18785" s="24"/>
      <c r="S18785" s="24"/>
      <c r="T18785" s="24"/>
      <c r="U18785" s="24"/>
      <c r="V18785" s="24"/>
      <c r="W18785" s="24"/>
      <c r="X18785" s="24"/>
      <c r="Y18785" s="24"/>
      <c r="Z18785" s="24"/>
      <c r="AA18785" s="24"/>
    </row>
    <row r="18786">
      <c r="A18786" s="24"/>
      <c r="B18786" s="25"/>
      <c r="C18786" s="24"/>
      <c r="D18786" s="26"/>
      <c r="E18786" s="24"/>
      <c r="F18786" s="24"/>
      <c r="G18786" s="24"/>
      <c r="H18786" s="24"/>
      <c r="I18786" s="24"/>
      <c r="J18786" s="24"/>
      <c r="K18786" s="24"/>
      <c r="L18786" s="24"/>
      <c r="M18786" s="24"/>
      <c r="N18786" s="24"/>
      <c r="O18786" s="24"/>
      <c r="P18786" s="24"/>
      <c r="Q18786" s="24"/>
      <c r="R18786" s="24"/>
      <c r="S18786" s="24"/>
      <c r="T18786" s="24"/>
      <c r="U18786" s="24"/>
      <c r="V18786" s="24"/>
      <c r="W18786" s="24"/>
      <c r="X18786" s="24"/>
      <c r="Y18786" s="24"/>
      <c r="Z18786" s="24"/>
      <c r="AA18786" s="24"/>
    </row>
    <row r="18787">
      <c r="A18787" s="24"/>
      <c r="B18787" s="25"/>
      <c r="C18787" s="24"/>
      <c r="D18787" s="26"/>
      <c r="E18787" s="24"/>
      <c r="F18787" s="24"/>
      <c r="G18787" s="24"/>
      <c r="H18787" s="24"/>
      <c r="I18787" s="24"/>
      <c r="J18787" s="24"/>
      <c r="K18787" s="24"/>
      <c r="L18787" s="24"/>
      <c r="M18787" s="24"/>
      <c r="N18787" s="24"/>
      <c r="O18787" s="24"/>
      <c r="P18787" s="24"/>
      <c r="Q18787" s="24"/>
      <c r="R18787" s="24"/>
      <c r="S18787" s="24"/>
      <c r="T18787" s="24"/>
      <c r="U18787" s="24"/>
      <c r="V18787" s="24"/>
      <c r="W18787" s="24"/>
      <c r="X18787" s="24"/>
      <c r="Y18787" s="24"/>
      <c r="Z18787" s="24"/>
      <c r="AA18787" s="24"/>
    </row>
    <row r="18788">
      <c r="A18788" s="24"/>
      <c r="B18788" s="25"/>
      <c r="C18788" s="24"/>
      <c r="D18788" s="26"/>
      <c r="E18788" s="24"/>
      <c r="F18788" s="24"/>
      <c r="G18788" s="24"/>
      <c r="H18788" s="24"/>
      <c r="I18788" s="24"/>
      <c r="J18788" s="24"/>
      <c r="K18788" s="24"/>
      <c r="L18788" s="24"/>
      <c r="M18788" s="24"/>
      <c r="N18788" s="24"/>
      <c r="O18788" s="24"/>
      <c r="P18788" s="24"/>
      <c r="Q18788" s="24"/>
      <c r="R18788" s="24"/>
      <c r="S18788" s="24"/>
      <c r="T18788" s="24"/>
      <c r="U18788" s="24"/>
      <c r="V18788" s="24"/>
      <c r="W18788" s="24"/>
      <c r="X18788" s="24"/>
      <c r="Y18788" s="24"/>
      <c r="Z18788" s="24"/>
      <c r="AA18788" s="24"/>
    </row>
    <row r="18789">
      <c r="A18789" s="24"/>
      <c r="B18789" s="25"/>
      <c r="C18789" s="24"/>
      <c r="D18789" s="26"/>
      <c r="E18789" s="24"/>
      <c r="F18789" s="24"/>
      <c r="G18789" s="24"/>
      <c r="H18789" s="24"/>
      <c r="I18789" s="24"/>
      <c r="J18789" s="24"/>
      <c r="K18789" s="24"/>
      <c r="L18789" s="24"/>
      <c r="M18789" s="24"/>
      <c r="N18789" s="24"/>
      <c r="O18789" s="24"/>
      <c r="P18789" s="24"/>
      <c r="Q18789" s="24"/>
      <c r="R18789" s="24"/>
      <c r="S18789" s="24"/>
      <c r="T18789" s="24"/>
      <c r="U18789" s="24"/>
      <c r="V18789" s="24"/>
      <c r="W18789" s="24"/>
      <c r="X18789" s="24"/>
      <c r="Y18789" s="24"/>
      <c r="Z18789" s="24"/>
      <c r="AA18789" s="24"/>
    </row>
    <row r="18790">
      <c r="A18790" s="24"/>
      <c r="B18790" s="25"/>
      <c r="C18790" s="24"/>
      <c r="D18790" s="26"/>
      <c r="E18790" s="24"/>
      <c r="F18790" s="24"/>
      <c r="G18790" s="24"/>
      <c r="H18790" s="24"/>
      <c r="I18790" s="24"/>
      <c r="J18790" s="24"/>
      <c r="K18790" s="24"/>
      <c r="L18790" s="24"/>
      <c r="M18790" s="24"/>
      <c r="N18790" s="24"/>
      <c r="O18790" s="24"/>
      <c r="P18790" s="24"/>
      <c r="Q18790" s="24"/>
      <c r="R18790" s="24"/>
      <c r="S18790" s="24"/>
      <c r="T18790" s="24"/>
      <c r="U18790" s="24"/>
      <c r="V18790" s="24"/>
      <c r="W18790" s="24"/>
      <c r="X18790" s="24"/>
      <c r="Y18790" s="24"/>
      <c r="Z18790" s="24"/>
      <c r="AA18790" s="24"/>
    </row>
    <row r="18791">
      <c r="A18791" s="24"/>
      <c r="B18791" s="25"/>
      <c r="C18791" s="24"/>
      <c r="D18791" s="26"/>
      <c r="E18791" s="24"/>
      <c r="F18791" s="24"/>
      <c r="G18791" s="24"/>
      <c r="H18791" s="24"/>
      <c r="I18791" s="24"/>
      <c r="J18791" s="24"/>
      <c r="K18791" s="24"/>
      <c r="L18791" s="24"/>
      <c r="M18791" s="24"/>
      <c r="N18791" s="24"/>
      <c r="O18791" s="24"/>
      <c r="P18791" s="24"/>
      <c r="Q18791" s="24"/>
      <c r="R18791" s="24"/>
      <c r="S18791" s="24"/>
      <c r="T18791" s="24"/>
      <c r="U18791" s="24"/>
      <c r="V18791" s="24"/>
      <c r="W18791" s="24"/>
      <c r="X18791" s="24"/>
      <c r="Y18791" s="24"/>
      <c r="Z18791" s="24"/>
      <c r="AA18791" s="24"/>
    </row>
    <row r="18792">
      <c r="A18792" s="24"/>
      <c r="B18792" s="25"/>
      <c r="C18792" s="24"/>
      <c r="D18792" s="26"/>
      <c r="E18792" s="24"/>
      <c r="F18792" s="24"/>
      <c r="G18792" s="24"/>
      <c r="H18792" s="24"/>
      <c r="I18792" s="24"/>
      <c r="J18792" s="24"/>
      <c r="K18792" s="24"/>
      <c r="L18792" s="24"/>
      <c r="M18792" s="24"/>
      <c r="N18792" s="24"/>
      <c r="O18792" s="24"/>
      <c r="P18792" s="24"/>
      <c r="Q18792" s="24"/>
      <c r="R18792" s="24"/>
      <c r="S18792" s="24"/>
      <c r="T18792" s="24"/>
      <c r="U18792" s="24"/>
      <c r="V18792" s="24"/>
      <c r="W18792" s="24"/>
      <c r="X18792" s="24"/>
      <c r="Y18792" s="24"/>
      <c r="Z18792" s="24"/>
      <c r="AA18792" s="24"/>
    </row>
    <row r="18793">
      <c r="A18793" s="24"/>
      <c r="B18793" s="25"/>
      <c r="C18793" s="24"/>
      <c r="D18793" s="26"/>
      <c r="E18793" s="24"/>
      <c r="F18793" s="24"/>
      <c r="G18793" s="24"/>
      <c r="H18793" s="24"/>
      <c r="I18793" s="24"/>
      <c r="J18793" s="24"/>
      <c r="K18793" s="24"/>
      <c r="L18793" s="24"/>
      <c r="M18793" s="24"/>
      <c r="N18793" s="24"/>
      <c r="O18793" s="24"/>
      <c r="P18793" s="24"/>
      <c r="Q18793" s="24"/>
      <c r="R18793" s="24"/>
      <c r="S18793" s="24"/>
      <c r="T18793" s="24"/>
      <c r="U18793" s="24"/>
      <c r="V18793" s="24"/>
      <c r="W18793" s="24"/>
      <c r="X18793" s="24"/>
      <c r="Y18793" s="24"/>
      <c r="Z18793" s="24"/>
      <c r="AA18793" s="24"/>
    </row>
    <row r="18794">
      <c r="A18794" s="24"/>
      <c r="B18794" s="25"/>
      <c r="C18794" s="24"/>
      <c r="D18794" s="26"/>
      <c r="E18794" s="24"/>
      <c r="F18794" s="24"/>
      <c r="G18794" s="24"/>
      <c r="H18794" s="24"/>
      <c r="I18794" s="24"/>
      <c r="J18794" s="24"/>
      <c r="K18794" s="24"/>
      <c r="L18794" s="24"/>
      <c r="M18794" s="24"/>
      <c r="N18794" s="24"/>
      <c r="O18794" s="24"/>
      <c r="P18794" s="24"/>
      <c r="Q18794" s="24"/>
      <c r="R18794" s="24"/>
      <c r="S18794" s="24"/>
      <c r="T18794" s="24"/>
      <c r="U18794" s="24"/>
      <c r="V18794" s="24"/>
      <c r="W18794" s="24"/>
      <c r="X18794" s="24"/>
      <c r="Y18794" s="24"/>
      <c r="Z18794" s="24"/>
      <c r="AA18794" s="24"/>
    </row>
    <row r="18795">
      <c r="A18795" s="24"/>
      <c r="B18795" s="25"/>
      <c r="C18795" s="24"/>
      <c r="D18795" s="26"/>
      <c r="E18795" s="24"/>
      <c r="F18795" s="24"/>
      <c r="G18795" s="24"/>
      <c r="H18795" s="24"/>
      <c r="I18795" s="24"/>
      <c r="J18795" s="24"/>
      <c r="K18795" s="24"/>
      <c r="L18795" s="24"/>
      <c r="M18795" s="24"/>
      <c r="N18795" s="24"/>
      <c r="O18795" s="24"/>
      <c r="P18795" s="24"/>
      <c r="Q18795" s="24"/>
      <c r="R18795" s="24"/>
      <c r="S18795" s="24"/>
      <c r="T18795" s="24"/>
      <c r="U18795" s="24"/>
      <c r="V18795" s="24"/>
      <c r="W18795" s="24"/>
      <c r="X18795" s="24"/>
      <c r="Y18795" s="24"/>
      <c r="Z18795" s="24"/>
      <c r="AA18795" s="24"/>
    </row>
    <row r="18796">
      <c r="A18796" s="24"/>
      <c r="B18796" s="25"/>
      <c r="C18796" s="24"/>
      <c r="D18796" s="26"/>
      <c r="E18796" s="24"/>
      <c r="F18796" s="24"/>
      <c r="G18796" s="24"/>
      <c r="H18796" s="24"/>
      <c r="I18796" s="24"/>
      <c r="J18796" s="24"/>
      <c r="K18796" s="24"/>
      <c r="L18796" s="24"/>
      <c r="M18796" s="24"/>
      <c r="N18796" s="24"/>
      <c r="O18796" s="24"/>
      <c r="P18796" s="24"/>
      <c r="Q18796" s="24"/>
      <c r="R18796" s="24"/>
      <c r="S18796" s="24"/>
      <c r="T18796" s="24"/>
      <c r="U18796" s="24"/>
      <c r="V18796" s="24"/>
      <c r="W18796" s="24"/>
      <c r="X18796" s="24"/>
      <c r="Y18796" s="24"/>
      <c r="Z18796" s="24"/>
      <c r="AA18796" s="24"/>
    </row>
    <row r="18797">
      <c r="A18797" s="24"/>
      <c r="B18797" s="25"/>
      <c r="C18797" s="24"/>
      <c r="D18797" s="26"/>
      <c r="E18797" s="24"/>
      <c r="F18797" s="24"/>
      <c r="G18797" s="24"/>
      <c r="H18797" s="24"/>
      <c r="I18797" s="24"/>
      <c r="J18797" s="24"/>
      <c r="K18797" s="24"/>
      <c r="L18797" s="24"/>
      <c r="M18797" s="24"/>
      <c r="N18797" s="24"/>
      <c r="O18797" s="24"/>
      <c r="P18797" s="24"/>
      <c r="Q18797" s="24"/>
      <c r="R18797" s="24"/>
      <c r="S18797" s="24"/>
      <c r="T18797" s="24"/>
      <c r="U18797" s="24"/>
      <c r="V18797" s="24"/>
      <c r="W18797" s="24"/>
      <c r="X18797" s="24"/>
      <c r="Y18797" s="24"/>
      <c r="Z18797" s="24"/>
      <c r="AA18797" s="24"/>
    </row>
    <row r="18798">
      <c r="A18798" s="24"/>
      <c r="B18798" s="25"/>
      <c r="C18798" s="24"/>
      <c r="D18798" s="26"/>
      <c r="E18798" s="24"/>
      <c r="F18798" s="24"/>
      <c r="G18798" s="24"/>
      <c r="H18798" s="24"/>
      <c r="I18798" s="24"/>
      <c r="J18798" s="24"/>
      <c r="K18798" s="24"/>
      <c r="L18798" s="24"/>
      <c r="M18798" s="24"/>
      <c r="N18798" s="24"/>
      <c r="O18798" s="24"/>
      <c r="P18798" s="24"/>
      <c r="Q18798" s="24"/>
      <c r="R18798" s="24"/>
      <c r="S18798" s="24"/>
      <c r="T18798" s="24"/>
      <c r="U18798" s="24"/>
      <c r="V18798" s="24"/>
      <c r="W18798" s="24"/>
      <c r="X18798" s="24"/>
      <c r="Y18798" s="24"/>
      <c r="Z18798" s="24"/>
      <c r="AA18798" s="24"/>
    </row>
    <row r="18799">
      <c r="A18799" s="24"/>
      <c r="B18799" s="25"/>
      <c r="C18799" s="24"/>
      <c r="D18799" s="26"/>
      <c r="E18799" s="24"/>
      <c r="F18799" s="24"/>
      <c r="G18799" s="24"/>
      <c r="H18799" s="24"/>
      <c r="I18799" s="24"/>
      <c r="J18799" s="24"/>
      <c r="K18799" s="24"/>
      <c r="L18799" s="24"/>
      <c r="M18799" s="24"/>
      <c r="N18799" s="24"/>
      <c r="O18799" s="24"/>
      <c r="P18799" s="24"/>
      <c r="Q18799" s="24"/>
      <c r="R18799" s="24"/>
      <c r="S18799" s="24"/>
      <c r="T18799" s="24"/>
      <c r="U18799" s="24"/>
      <c r="V18799" s="24"/>
      <c r="W18799" s="24"/>
      <c r="X18799" s="24"/>
      <c r="Y18799" s="24"/>
      <c r="Z18799" s="24"/>
      <c r="AA18799" s="24"/>
    </row>
    <row r="18800">
      <c r="A18800" s="24"/>
      <c r="B18800" s="25"/>
      <c r="C18800" s="24"/>
      <c r="D18800" s="26"/>
      <c r="E18800" s="24"/>
      <c r="F18800" s="24"/>
      <c r="G18800" s="24"/>
      <c r="H18800" s="24"/>
      <c r="I18800" s="24"/>
      <c r="J18800" s="24"/>
      <c r="K18800" s="24"/>
      <c r="L18800" s="24"/>
      <c r="M18800" s="24"/>
      <c r="N18800" s="24"/>
      <c r="O18800" s="24"/>
      <c r="P18800" s="24"/>
      <c r="Q18800" s="24"/>
      <c r="R18800" s="24"/>
      <c r="S18800" s="24"/>
      <c r="T18800" s="24"/>
      <c r="U18800" s="24"/>
      <c r="V18800" s="24"/>
      <c r="W18800" s="24"/>
      <c r="X18800" s="24"/>
      <c r="Y18800" s="24"/>
      <c r="Z18800" s="24"/>
      <c r="AA18800" s="24"/>
    </row>
    <row r="18801">
      <c r="A18801" s="24"/>
      <c r="B18801" s="25"/>
      <c r="C18801" s="24"/>
      <c r="D18801" s="26"/>
      <c r="E18801" s="24"/>
      <c r="F18801" s="24"/>
      <c r="G18801" s="24"/>
      <c r="H18801" s="24"/>
      <c r="I18801" s="24"/>
      <c r="J18801" s="24"/>
      <c r="K18801" s="24"/>
      <c r="L18801" s="24"/>
      <c r="M18801" s="24"/>
      <c r="N18801" s="24"/>
      <c r="O18801" s="24"/>
      <c r="P18801" s="24"/>
      <c r="Q18801" s="24"/>
      <c r="R18801" s="24"/>
      <c r="S18801" s="24"/>
      <c r="T18801" s="24"/>
      <c r="U18801" s="24"/>
      <c r="V18801" s="24"/>
      <c r="W18801" s="24"/>
      <c r="X18801" s="24"/>
      <c r="Y18801" s="24"/>
      <c r="Z18801" s="24"/>
      <c r="AA18801" s="24"/>
    </row>
    <row r="18802">
      <c r="A18802" s="24"/>
      <c r="B18802" s="25"/>
      <c r="C18802" s="24"/>
      <c r="D18802" s="26"/>
      <c r="E18802" s="24"/>
      <c r="F18802" s="24"/>
      <c r="G18802" s="24"/>
      <c r="H18802" s="24"/>
      <c r="I18802" s="24"/>
      <c r="J18802" s="24"/>
      <c r="K18802" s="24"/>
      <c r="L18802" s="24"/>
      <c r="M18802" s="24"/>
      <c r="N18802" s="24"/>
      <c r="O18802" s="24"/>
      <c r="P18802" s="24"/>
      <c r="Q18802" s="24"/>
      <c r="R18802" s="24"/>
      <c r="S18802" s="24"/>
      <c r="T18802" s="24"/>
      <c r="U18802" s="24"/>
      <c r="V18802" s="24"/>
      <c r="W18802" s="24"/>
      <c r="X18802" s="24"/>
      <c r="Y18802" s="24"/>
      <c r="Z18802" s="24"/>
      <c r="AA18802" s="24"/>
    </row>
    <row r="18803">
      <c r="A18803" s="24"/>
      <c r="B18803" s="25"/>
      <c r="C18803" s="24"/>
      <c r="D18803" s="26"/>
      <c r="E18803" s="24"/>
      <c r="F18803" s="24"/>
      <c r="G18803" s="24"/>
      <c r="H18803" s="24"/>
      <c r="I18803" s="24"/>
      <c r="J18803" s="24"/>
      <c r="K18803" s="24"/>
      <c r="L18803" s="24"/>
      <c r="M18803" s="24"/>
      <c r="N18803" s="24"/>
      <c r="O18803" s="24"/>
      <c r="P18803" s="24"/>
      <c r="Q18803" s="24"/>
      <c r="R18803" s="24"/>
      <c r="S18803" s="24"/>
      <c r="T18803" s="24"/>
      <c r="U18803" s="24"/>
      <c r="V18803" s="24"/>
      <c r="W18803" s="24"/>
      <c r="X18803" s="24"/>
      <c r="Y18803" s="24"/>
      <c r="Z18803" s="24"/>
      <c r="AA18803" s="24"/>
    </row>
    <row r="18804">
      <c r="A18804" s="24"/>
      <c r="B18804" s="25"/>
      <c r="C18804" s="24"/>
      <c r="D18804" s="26"/>
      <c r="E18804" s="24"/>
      <c r="F18804" s="24"/>
      <c r="G18804" s="24"/>
      <c r="H18804" s="24"/>
      <c r="I18804" s="24"/>
      <c r="J18804" s="24"/>
      <c r="K18804" s="24"/>
      <c r="L18804" s="24"/>
      <c r="M18804" s="24"/>
      <c r="N18804" s="24"/>
      <c r="O18804" s="24"/>
      <c r="P18804" s="24"/>
      <c r="Q18804" s="24"/>
      <c r="R18804" s="24"/>
      <c r="S18804" s="24"/>
      <c r="T18804" s="24"/>
      <c r="U18804" s="24"/>
      <c r="V18804" s="24"/>
      <c r="W18804" s="24"/>
      <c r="X18804" s="24"/>
      <c r="Y18804" s="24"/>
      <c r="Z18804" s="24"/>
      <c r="AA18804" s="24"/>
    </row>
    <row r="18805">
      <c r="A18805" s="24"/>
      <c r="B18805" s="25"/>
      <c r="C18805" s="24"/>
      <c r="D18805" s="26"/>
      <c r="E18805" s="24"/>
      <c r="F18805" s="24"/>
      <c r="G18805" s="24"/>
      <c r="H18805" s="24"/>
      <c r="I18805" s="24"/>
      <c r="J18805" s="24"/>
      <c r="K18805" s="24"/>
      <c r="L18805" s="24"/>
      <c r="M18805" s="24"/>
      <c r="N18805" s="24"/>
      <c r="O18805" s="24"/>
      <c r="P18805" s="24"/>
      <c r="Q18805" s="24"/>
      <c r="R18805" s="24"/>
      <c r="S18805" s="24"/>
      <c r="T18805" s="24"/>
      <c r="U18805" s="24"/>
      <c r="V18805" s="24"/>
      <c r="W18805" s="24"/>
      <c r="X18805" s="24"/>
      <c r="Y18805" s="24"/>
      <c r="Z18805" s="24"/>
      <c r="AA18805" s="24"/>
    </row>
    <row r="18806">
      <c r="A18806" s="24"/>
      <c r="B18806" s="25"/>
      <c r="C18806" s="24"/>
      <c r="D18806" s="26"/>
      <c r="E18806" s="24"/>
      <c r="F18806" s="24"/>
      <c r="G18806" s="24"/>
      <c r="H18806" s="24"/>
      <c r="I18806" s="24"/>
      <c r="J18806" s="24"/>
      <c r="K18806" s="24"/>
      <c r="L18806" s="24"/>
      <c r="M18806" s="24"/>
      <c r="N18806" s="24"/>
      <c r="O18806" s="24"/>
      <c r="P18806" s="24"/>
      <c r="Q18806" s="24"/>
      <c r="R18806" s="24"/>
      <c r="S18806" s="24"/>
      <c r="T18806" s="24"/>
      <c r="U18806" s="24"/>
      <c r="V18806" s="24"/>
      <c r="W18806" s="24"/>
      <c r="X18806" s="24"/>
      <c r="Y18806" s="24"/>
      <c r="Z18806" s="24"/>
      <c r="AA18806" s="24"/>
    </row>
    <row r="18807">
      <c r="A18807" s="24"/>
      <c r="B18807" s="25"/>
      <c r="C18807" s="24"/>
      <c r="D18807" s="26"/>
      <c r="E18807" s="24"/>
      <c r="F18807" s="24"/>
      <c r="G18807" s="24"/>
      <c r="H18807" s="24"/>
      <c r="I18807" s="24"/>
      <c r="J18807" s="24"/>
      <c r="K18807" s="24"/>
      <c r="L18807" s="24"/>
      <c r="M18807" s="24"/>
      <c r="N18807" s="24"/>
      <c r="O18807" s="24"/>
      <c r="P18807" s="24"/>
      <c r="Q18807" s="24"/>
      <c r="R18807" s="24"/>
      <c r="S18807" s="24"/>
      <c r="T18807" s="24"/>
      <c r="U18807" s="24"/>
      <c r="V18807" s="24"/>
      <c r="W18807" s="24"/>
      <c r="X18807" s="24"/>
      <c r="Y18807" s="24"/>
      <c r="Z18807" s="24"/>
      <c r="AA18807" s="24"/>
    </row>
    <row r="18808">
      <c r="A18808" s="24"/>
      <c r="B18808" s="25"/>
      <c r="C18808" s="24"/>
      <c r="D18808" s="26"/>
      <c r="E18808" s="24"/>
      <c r="F18808" s="24"/>
      <c r="G18808" s="24"/>
      <c r="H18808" s="24"/>
      <c r="I18808" s="24"/>
      <c r="J18808" s="24"/>
      <c r="K18808" s="24"/>
      <c r="L18808" s="24"/>
      <c r="M18808" s="24"/>
      <c r="N18808" s="24"/>
      <c r="O18808" s="24"/>
      <c r="P18808" s="24"/>
      <c r="Q18808" s="24"/>
      <c r="R18808" s="24"/>
      <c r="S18808" s="24"/>
      <c r="T18808" s="24"/>
      <c r="U18808" s="24"/>
      <c r="V18808" s="24"/>
      <c r="W18808" s="24"/>
      <c r="X18808" s="24"/>
      <c r="Y18808" s="24"/>
      <c r="Z18808" s="24"/>
      <c r="AA18808" s="24"/>
    </row>
    <row r="18809">
      <c r="A18809" s="24"/>
      <c r="B18809" s="25"/>
      <c r="C18809" s="24"/>
      <c r="D18809" s="26"/>
      <c r="E18809" s="24"/>
      <c r="F18809" s="24"/>
      <c r="G18809" s="24"/>
      <c r="H18809" s="24"/>
      <c r="I18809" s="24"/>
      <c r="J18809" s="24"/>
      <c r="K18809" s="24"/>
      <c r="L18809" s="24"/>
      <c r="M18809" s="24"/>
      <c r="N18809" s="24"/>
      <c r="O18809" s="24"/>
      <c r="P18809" s="24"/>
      <c r="Q18809" s="24"/>
      <c r="R18809" s="24"/>
      <c r="S18809" s="24"/>
      <c r="T18809" s="24"/>
      <c r="U18809" s="24"/>
      <c r="V18809" s="24"/>
      <c r="W18809" s="24"/>
      <c r="X18809" s="24"/>
      <c r="Y18809" s="24"/>
      <c r="Z18809" s="24"/>
      <c r="AA18809" s="24"/>
    </row>
    <row r="18810">
      <c r="A18810" s="24"/>
      <c r="B18810" s="25"/>
      <c r="C18810" s="24"/>
      <c r="D18810" s="26"/>
      <c r="E18810" s="24"/>
      <c r="F18810" s="24"/>
      <c r="G18810" s="24"/>
      <c r="H18810" s="24"/>
      <c r="I18810" s="24"/>
      <c r="J18810" s="24"/>
      <c r="K18810" s="24"/>
      <c r="L18810" s="24"/>
      <c r="M18810" s="24"/>
      <c r="N18810" s="24"/>
      <c r="O18810" s="24"/>
      <c r="P18810" s="24"/>
      <c r="Q18810" s="24"/>
      <c r="R18810" s="24"/>
      <c r="S18810" s="24"/>
      <c r="T18810" s="24"/>
      <c r="U18810" s="24"/>
      <c r="V18810" s="24"/>
      <c r="W18810" s="24"/>
      <c r="X18810" s="24"/>
      <c r="Y18810" s="24"/>
      <c r="Z18810" s="24"/>
      <c r="AA18810" s="24"/>
    </row>
    <row r="18811">
      <c r="A18811" s="24"/>
      <c r="B18811" s="25"/>
      <c r="C18811" s="24"/>
      <c r="D18811" s="26"/>
      <c r="E18811" s="24"/>
      <c r="F18811" s="24"/>
      <c r="G18811" s="24"/>
      <c r="H18811" s="24"/>
      <c r="I18811" s="24"/>
      <c r="J18811" s="24"/>
      <c r="K18811" s="24"/>
      <c r="L18811" s="24"/>
      <c r="M18811" s="24"/>
      <c r="N18811" s="24"/>
      <c r="O18811" s="24"/>
      <c r="P18811" s="24"/>
      <c r="Q18811" s="24"/>
      <c r="R18811" s="24"/>
      <c r="S18811" s="24"/>
      <c r="T18811" s="24"/>
      <c r="U18811" s="24"/>
      <c r="V18811" s="24"/>
      <c r="W18811" s="24"/>
      <c r="X18811" s="24"/>
      <c r="Y18811" s="24"/>
      <c r="Z18811" s="24"/>
      <c r="AA18811" s="24"/>
    </row>
    <row r="18812">
      <c r="A18812" s="24"/>
      <c r="B18812" s="25"/>
      <c r="C18812" s="24"/>
      <c r="D18812" s="26"/>
      <c r="E18812" s="24"/>
      <c r="F18812" s="24"/>
      <c r="G18812" s="24"/>
      <c r="H18812" s="24"/>
      <c r="I18812" s="24"/>
      <c r="J18812" s="24"/>
      <c r="K18812" s="24"/>
      <c r="L18812" s="24"/>
      <c r="M18812" s="24"/>
      <c r="N18812" s="24"/>
      <c r="O18812" s="24"/>
      <c r="P18812" s="24"/>
      <c r="Q18812" s="24"/>
      <c r="R18812" s="24"/>
      <c r="S18812" s="24"/>
      <c r="T18812" s="24"/>
      <c r="U18812" s="24"/>
      <c r="V18812" s="24"/>
      <c r="W18812" s="24"/>
      <c r="X18812" s="24"/>
      <c r="Y18812" s="24"/>
      <c r="Z18812" s="24"/>
      <c r="AA18812" s="24"/>
    </row>
    <row r="18813">
      <c r="A18813" s="24"/>
      <c r="B18813" s="25"/>
      <c r="C18813" s="24"/>
      <c r="D18813" s="26"/>
      <c r="E18813" s="24"/>
      <c r="F18813" s="24"/>
      <c r="G18813" s="24"/>
      <c r="H18813" s="24"/>
      <c r="I18813" s="24"/>
      <c r="J18813" s="24"/>
      <c r="K18813" s="24"/>
      <c r="L18813" s="24"/>
      <c r="M18813" s="24"/>
      <c r="N18813" s="24"/>
      <c r="O18813" s="24"/>
      <c r="P18813" s="24"/>
      <c r="Q18813" s="24"/>
      <c r="R18813" s="24"/>
      <c r="S18813" s="24"/>
      <c r="T18813" s="24"/>
      <c r="U18813" s="24"/>
      <c r="V18813" s="24"/>
      <c r="W18813" s="24"/>
      <c r="X18813" s="24"/>
      <c r="Y18813" s="24"/>
      <c r="Z18813" s="24"/>
      <c r="AA18813" s="24"/>
    </row>
    <row r="18814">
      <c r="A18814" s="24"/>
      <c r="B18814" s="25"/>
      <c r="C18814" s="24"/>
      <c r="D18814" s="26"/>
      <c r="E18814" s="24"/>
      <c r="F18814" s="24"/>
      <c r="G18814" s="24"/>
      <c r="H18814" s="24"/>
      <c r="I18814" s="24"/>
      <c r="J18814" s="24"/>
      <c r="K18814" s="24"/>
      <c r="L18814" s="24"/>
      <c r="M18814" s="24"/>
      <c r="N18814" s="24"/>
      <c r="O18814" s="24"/>
      <c r="P18814" s="24"/>
      <c r="Q18814" s="24"/>
      <c r="R18814" s="24"/>
      <c r="S18814" s="24"/>
      <c r="T18814" s="24"/>
      <c r="U18814" s="24"/>
      <c r="V18814" s="24"/>
      <c r="W18814" s="24"/>
      <c r="X18814" s="24"/>
      <c r="Y18814" s="24"/>
      <c r="Z18814" s="24"/>
      <c r="AA18814" s="24"/>
    </row>
    <row r="18815">
      <c r="A18815" s="24"/>
      <c r="B18815" s="25"/>
      <c r="C18815" s="24"/>
      <c r="D18815" s="26"/>
      <c r="E18815" s="24"/>
      <c r="F18815" s="24"/>
      <c r="G18815" s="24"/>
      <c r="H18815" s="24"/>
      <c r="I18815" s="24"/>
      <c r="J18815" s="24"/>
      <c r="K18815" s="24"/>
      <c r="L18815" s="24"/>
      <c r="M18815" s="24"/>
      <c r="N18815" s="24"/>
      <c r="O18815" s="24"/>
      <c r="P18815" s="24"/>
      <c r="Q18815" s="24"/>
      <c r="R18815" s="24"/>
      <c r="S18815" s="24"/>
      <c r="T18815" s="24"/>
      <c r="U18815" s="24"/>
      <c r="V18815" s="24"/>
      <c r="W18815" s="24"/>
      <c r="X18815" s="24"/>
      <c r="Y18815" s="24"/>
      <c r="Z18815" s="24"/>
      <c r="AA18815" s="24"/>
    </row>
    <row r="18816">
      <c r="A18816" s="24"/>
      <c r="B18816" s="25"/>
      <c r="C18816" s="24"/>
      <c r="D18816" s="26"/>
      <c r="E18816" s="24"/>
      <c r="F18816" s="24"/>
      <c r="G18816" s="24"/>
      <c r="H18816" s="24"/>
      <c r="I18816" s="24"/>
      <c r="J18816" s="24"/>
      <c r="K18816" s="24"/>
      <c r="L18816" s="24"/>
      <c r="M18816" s="24"/>
      <c r="N18816" s="24"/>
      <c r="O18816" s="24"/>
      <c r="P18816" s="24"/>
      <c r="Q18816" s="24"/>
      <c r="R18816" s="24"/>
      <c r="S18816" s="24"/>
      <c r="T18816" s="24"/>
      <c r="U18816" s="24"/>
      <c r="V18816" s="24"/>
      <c r="W18816" s="24"/>
      <c r="X18816" s="24"/>
      <c r="Y18816" s="24"/>
      <c r="Z18816" s="24"/>
      <c r="AA18816" s="24"/>
    </row>
    <row r="18817">
      <c r="A18817" s="24"/>
      <c r="B18817" s="25"/>
      <c r="C18817" s="24"/>
      <c r="D18817" s="26"/>
      <c r="E18817" s="24"/>
      <c r="F18817" s="24"/>
      <c r="G18817" s="24"/>
      <c r="H18817" s="24"/>
      <c r="I18817" s="24"/>
      <c r="J18817" s="24"/>
      <c r="K18817" s="24"/>
      <c r="L18817" s="24"/>
      <c r="M18817" s="24"/>
      <c r="N18817" s="24"/>
      <c r="O18817" s="24"/>
      <c r="P18817" s="24"/>
      <c r="Q18817" s="24"/>
      <c r="R18817" s="24"/>
      <c r="S18817" s="24"/>
      <c r="T18817" s="24"/>
      <c r="U18817" s="24"/>
      <c r="V18817" s="24"/>
      <c r="W18817" s="24"/>
      <c r="X18817" s="24"/>
      <c r="Y18817" s="24"/>
      <c r="Z18817" s="24"/>
      <c r="AA18817" s="24"/>
    </row>
    <row r="18818">
      <c r="A18818" s="24"/>
      <c r="B18818" s="25"/>
      <c r="C18818" s="24"/>
      <c r="D18818" s="26"/>
      <c r="E18818" s="24"/>
      <c r="F18818" s="24"/>
      <c r="G18818" s="24"/>
      <c r="H18818" s="24"/>
      <c r="I18818" s="24"/>
      <c r="J18818" s="24"/>
      <c r="K18818" s="24"/>
      <c r="L18818" s="24"/>
      <c r="M18818" s="24"/>
      <c r="N18818" s="24"/>
      <c r="O18818" s="24"/>
      <c r="P18818" s="24"/>
      <c r="Q18818" s="24"/>
      <c r="R18818" s="24"/>
      <c r="S18818" s="24"/>
      <c r="T18818" s="24"/>
      <c r="U18818" s="24"/>
      <c r="V18818" s="24"/>
      <c r="W18818" s="24"/>
      <c r="X18818" s="24"/>
      <c r="Y18818" s="24"/>
      <c r="Z18818" s="24"/>
      <c r="AA18818" s="24"/>
    </row>
    <row r="18819">
      <c r="A18819" s="24"/>
      <c r="B18819" s="25"/>
      <c r="C18819" s="24"/>
      <c r="D18819" s="26"/>
      <c r="E18819" s="24"/>
      <c r="F18819" s="24"/>
      <c r="G18819" s="24"/>
      <c r="H18819" s="24"/>
      <c r="I18819" s="24"/>
      <c r="J18819" s="24"/>
      <c r="K18819" s="24"/>
      <c r="L18819" s="24"/>
      <c r="M18819" s="24"/>
      <c r="N18819" s="24"/>
      <c r="O18819" s="24"/>
      <c r="P18819" s="24"/>
      <c r="Q18819" s="24"/>
      <c r="R18819" s="24"/>
      <c r="S18819" s="24"/>
      <c r="T18819" s="24"/>
      <c r="U18819" s="24"/>
      <c r="V18819" s="24"/>
      <c r="W18819" s="24"/>
      <c r="X18819" s="24"/>
      <c r="Y18819" s="24"/>
      <c r="Z18819" s="24"/>
      <c r="AA18819" s="24"/>
    </row>
    <row r="18820">
      <c r="A18820" s="24"/>
      <c r="B18820" s="25"/>
      <c r="C18820" s="24"/>
      <c r="D18820" s="26"/>
      <c r="E18820" s="24"/>
      <c r="F18820" s="24"/>
      <c r="G18820" s="24"/>
      <c r="H18820" s="24"/>
      <c r="I18820" s="24"/>
      <c r="J18820" s="24"/>
      <c r="K18820" s="24"/>
      <c r="L18820" s="24"/>
      <c r="M18820" s="24"/>
      <c r="N18820" s="24"/>
      <c r="O18820" s="24"/>
      <c r="P18820" s="24"/>
      <c r="Q18820" s="24"/>
      <c r="R18820" s="24"/>
      <c r="S18820" s="24"/>
      <c r="T18820" s="24"/>
      <c r="U18820" s="24"/>
      <c r="V18820" s="24"/>
      <c r="W18820" s="24"/>
      <c r="X18820" s="24"/>
      <c r="Y18820" s="24"/>
      <c r="Z18820" s="24"/>
      <c r="AA18820" s="24"/>
    </row>
    <row r="18821">
      <c r="A18821" s="24"/>
      <c r="B18821" s="25"/>
      <c r="C18821" s="24"/>
      <c r="D18821" s="26"/>
      <c r="E18821" s="24"/>
      <c r="F18821" s="24"/>
      <c r="G18821" s="24"/>
      <c r="H18821" s="24"/>
      <c r="I18821" s="24"/>
      <c r="J18821" s="24"/>
      <c r="K18821" s="24"/>
      <c r="L18821" s="24"/>
      <c r="M18821" s="24"/>
      <c r="N18821" s="24"/>
      <c r="O18821" s="24"/>
      <c r="P18821" s="24"/>
      <c r="Q18821" s="24"/>
      <c r="R18821" s="24"/>
      <c r="S18821" s="24"/>
      <c r="T18821" s="24"/>
      <c r="U18821" s="24"/>
      <c r="V18821" s="24"/>
      <c r="W18821" s="24"/>
      <c r="X18821" s="24"/>
      <c r="Y18821" s="24"/>
      <c r="Z18821" s="24"/>
      <c r="AA18821" s="24"/>
    </row>
    <row r="18822">
      <c r="A18822" s="24"/>
      <c r="B18822" s="25"/>
      <c r="C18822" s="24"/>
      <c r="D18822" s="26"/>
      <c r="E18822" s="24"/>
      <c r="F18822" s="24"/>
      <c r="G18822" s="24"/>
      <c r="H18822" s="24"/>
      <c r="I18822" s="24"/>
      <c r="J18822" s="24"/>
      <c r="K18822" s="24"/>
      <c r="L18822" s="24"/>
      <c r="M18822" s="24"/>
      <c r="N18822" s="24"/>
      <c r="O18822" s="24"/>
      <c r="P18822" s="24"/>
      <c r="Q18822" s="24"/>
      <c r="R18822" s="24"/>
      <c r="S18822" s="24"/>
      <c r="T18822" s="24"/>
      <c r="U18822" s="24"/>
      <c r="V18822" s="24"/>
      <c r="W18822" s="24"/>
      <c r="X18822" s="24"/>
      <c r="Y18822" s="24"/>
      <c r="Z18822" s="24"/>
      <c r="AA18822" s="24"/>
    </row>
    <row r="18823">
      <c r="A18823" s="24"/>
      <c r="B18823" s="25"/>
      <c r="C18823" s="24"/>
      <c r="D18823" s="26"/>
      <c r="E18823" s="24"/>
      <c r="F18823" s="24"/>
      <c r="G18823" s="24"/>
      <c r="H18823" s="24"/>
      <c r="I18823" s="24"/>
      <c r="J18823" s="24"/>
      <c r="K18823" s="24"/>
      <c r="L18823" s="24"/>
      <c r="M18823" s="24"/>
      <c r="N18823" s="24"/>
      <c r="O18823" s="24"/>
      <c r="P18823" s="24"/>
      <c r="Q18823" s="24"/>
      <c r="R18823" s="24"/>
      <c r="S18823" s="24"/>
      <c r="T18823" s="24"/>
      <c r="U18823" s="24"/>
      <c r="V18823" s="24"/>
      <c r="W18823" s="24"/>
      <c r="X18823" s="24"/>
      <c r="Y18823" s="24"/>
      <c r="Z18823" s="24"/>
      <c r="AA18823" s="24"/>
    </row>
    <row r="18824">
      <c r="A18824" s="24"/>
      <c r="B18824" s="25"/>
      <c r="C18824" s="24"/>
      <c r="D18824" s="26"/>
      <c r="E18824" s="24"/>
      <c r="F18824" s="24"/>
      <c r="G18824" s="24"/>
      <c r="H18824" s="24"/>
      <c r="I18824" s="24"/>
      <c r="J18824" s="24"/>
      <c r="K18824" s="24"/>
      <c r="L18824" s="24"/>
      <c r="M18824" s="24"/>
      <c r="N18824" s="24"/>
      <c r="O18824" s="24"/>
      <c r="P18824" s="24"/>
      <c r="Q18824" s="24"/>
      <c r="R18824" s="24"/>
      <c r="S18824" s="24"/>
      <c r="T18824" s="24"/>
      <c r="U18824" s="24"/>
      <c r="V18824" s="24"/>
      <c r="W18824" s="24"/>
      <c r="X18824" s="24"/>
      <c r="Y18824" s="24"/>
      <c r="Z18824" s="24"/>
      <c r="AA18824" s="24"/>
    </row>
    <row r="18825">
      <c r="A18825" s="24"/>
      <c r="B18825" s="25"/>
      <c r="C18825" s="24"/>
      <c r="D18825" s="26"/>
      <c r="E18825" s="24"/>
      <c r="F18825" s="24"/>
      <c r="G18825" s="24"/>
      <c r="H18825" s="24"/>
      <c r="I18825" s="24"/>
      <c r="J18825" s="24"/>
      <c r="K18825" s="24"/>
      <c r="L18825" s="24"/>
      <c r="M18825" s="24"/>
      <c r="N18825" s="24"/>
      <c r="O18825" s="24"/>
      <c r="P18825" s="24"/>
      <c r="Q18825" s="24"/>
      <c r="R18825" s="24"/>
      <c r="S18825" s="24"/>
      <c r="T18825" s="24"/>
      <c r="U18825" s="24"/>
      <c r="V18825" s="24"/>
      <c r="W18825" s="24"/>
      <c r="X18825" s="24"/>
      <c r="Y18825" s="24"/>
      <c r="Z18825" s="24"/>
      <c r="AA18825" s="24"/>
    </row>
    <row r="18826">
      <c r="A18826" s="24"/>
      <c r="B18826" s="25"/>
      <c r="C18826" s="24"/>
      <c r="D18826" s="26"/>
      <c r="E18826" s="24"/>
      <c r="F18826" s="24"/>
      <c r="G18826" s="24"/>
      <c r="H18826" s="24"/>
      <c r="I18826" s="24"/>
      <c r="J18826" s="24"/>
      <c r="K18826" s="24"/>
      <c r="L18826" s="24"/>
      <c r="M18826" s="24"/>
      <c r="N18826" s="24"/>
      <c r="O18826" s="24"/>
      <c r="P18826" s="24"/>
      <c r="Q18826" s="24"/>
      <c r="R18826" s="24"/>
      <c r="S18826" s="24"/>
      <c r="T18826" s="24"/>
      <c r="U18826" s="24"/>
      <c r="V18826" s="24"/>
      <c r="W18826" s="24"/>
      <c r="X18826" s="24"/>
      <c r="Y18826" s="24"/>
      <c r="Z18826" s="24"/>
      <c r="AA18826" s="24"/>
    </row>
    <row r="18827">
      <c r="A18827" s="24"/>
      <c r="B18827" s="25"/>
      <c r="C18827" s="24"/>
      <c r="D18827" s="26"/>
      <c r="E18827" s="24"/>
      <c r="F18827" s="24"/>
      <c r="G18827" s="24"/>
      <c r="H18827" s="24"/>
      <c r="I18827" s="24"/>
      <c r="J18827" s="24"/>
      <c r="K18827" s="24"/>
      <c r="L18827" s="24"/>
      <c r="M18827" s="24"/>
      <c r="N18827" s="24"/>
      <c r="O18827" s="24"/>
      <c r="P18827" s="24"/>
      <c r="Q18827" s="24"/>
      <c r="R18827" s="24"/>
      <c r="S18827" s="24"/>
      <c r="T18827" s="24"/>
      <c r="U18827" s="24"/>
      <c r="V18827" s="24"/>
      <c r="W18827" s="24"/>
      <c r="X18827" s="24"/>
      <c r="Y18827" s="24"/>
      <c r="Z18827" s="24"/>
      <c r="AA18827" s="24"/>
    </row>
    <row r="18828">
      <c r="A18828" s="24"/>
      <c r="B18828" s="25"/>
      <c r="C18828" s="24"/>
      <c r="D18828" s="26"/>
      <c r="E18828" s="24"/>
      <c r="F18828" s="24"/>
      <c r="G18828" s="24"/>
      <c r="H18828" s="24"/>
      <c r="I18828" s="24"/>
      <c r="J18828" s="24"/>
      <c r="K18828" s="24"/>
      <c r="L18828" s="24"/>
      <c r="M18828" s="24"/>
      <c r="N18828" s="24"/>
      <c r="O18828" s="24"/>
      <c r="P18828" s="24"/>
      <c r="Q18828" s="24"/>
      <c r="R18828" s="24"/>
      <c r="S18828" s="24"/>
      <c r="T18828" s="24"/>
      <c r="U18828" s="24"/>
      <c r="V18828" s="24"/>
      <c r="W18828" s="24"/>
      <c r="X18828" s="24"/>
      <c r="Y18828" s="24"/>
      <c r="Z18828" s="24"/>
      <c r="AA18828" s="24"/>
    </row>
    <row r="18829">
      <c r="A18829" s="24"/>
      <c r="B18829" s="25"/>
      <c r="C18829" s="24"/>
      <c r="D18829" s="26"/>
      <c r="E18829" s="24"/>
      <c r="F18829" s="24"/>
      <c r="G18829" s="24"/>
      <c r="H18829" s="24"/>
      <c r="I18829" s="24"/>
      <c r="J18829" s="24"/>
      <c r="K18829" s="24"/>
      <c r="L18829" s="24"/>
      <c r="M18829" s="24"/>
      <c r="N18829" s="24"/>
      <c r="O18829" s="24"/>
      <c r="P18829" s="24"/>
      <c r="Q18829" s="24"/>
      <c r="R18829" s="24"/>
      <c r="S18829" s="24"/>
      <c r="T18829" s="24"/>
      <c r="U18829" s="24"/>
      <c r="V18829" s="24"/>
      <c r="W18829" s="24"/>
      <c r="X18829" s="24"/>
      <c r="Y18829" s="24"/>
      <c r="Z18829" s="24"/>
      <c r="AA18829" s="24"/>
    </row>
    <row r="18830">
      <c r="A18830" s="24"/>
      <c r="B18830" s="25"/>
      <c r="C18830" s="24"/>
      <c r="D18830" s="26"/>
      <c r="E18830" s="24"/>
      <c r="F18830" s="24"/>
      <c r="G18830" s="24"/>
      <c r="H18830" s="24"/>
      <c r="I18830" s="24"/>
      <c r="J18830" s="24"/>
      <c r="K18830" s="24"/>
      <c r="L18830" s="24"/>
      <c r="M18830" s="24"/>
      <c r="N18830" s="24"/>
      <c r="O18830" s="24"/>
      <c r="P18830" s="24"/>
      <c r="Q18830" s="24"/>
      <c r="R18830" s="24"/>
      <c r="S18830" s="24"/>
      <c r="T18830" s="24"/>
      <c r="U18830" s="24"/>
      <c r="V18830" s="24"/>
      <c r="W18830" s="24"/>
      <c r="X18830" s="24"/>
      <c r="Y18830" s="24"/>
      <c r="Z18830" s="24"/>
      <c r="AA18830" s="24"/>
    </row>
    <row r="18831">
      <c r="A18831" s="24"/>
      <c r="B18831" s="25"/>
      <c r="C18831" s="24"/>
      <c r="D18831" s="26"/>
      <c r="E18831" s="24"/>
      <c r="F18831" s="24"/>
      <c r="G18831" s="24"/>
      <c r="H18831" s="24"/>
      <c r="I18831" s="24"/>
      <c r="J18831" s="24"/>
      <c r="K18831" s="24"/>
      <c r="L18831" s="24"/>
      <c r="M18831" s="24"/>
      <c r="N18831" s="24"/>
      <c r="O18831" s="24"/>
      <c r="P18831" s="24"/>
      <c r="Q18831" s="24"/>
      <c r="R18831" s="24"/>
      <c r="S18831" s="24"/>
      <c r="T18831" s="24"/>
      <c r="U18831" s="24"/>
      <c r="V18831" s="24"/>
      <c r="W18831" s="24"/>
      <c r="X18831" s="24"/>
      <c r="Y18831" s="24"/>
      <c r="Z18831" s="24"/>
      <c r="AA18831" s="24"/>
    </row>
    <row r="18832">
      <c r="A18832" s="24"/>
      <c r="B18832" s="25"/>
      <c r="C18832" s="24"/>
      <c r="D18832" s="26"/>
      <c r="E18832" s="24"/>
      <c r="F18832" s="24"/>
      <c r="G18832" s="24"/>
      <c r="H18832" s="24"/>
      <c r="I18832" s="24"/>
      <c r="J18832" s="24"/>
      <c r="K18832" s="24"/>
      <c r="L18832" s="24"/>
      <c r="M18832" s="24"/>
      <c r="N18832" s="24"/>
      <c r="O18832" s="24"/>
      <c r="P18832" s="24"/>
      <c r="Q18832" s="24"/>
      <c r="R18832" s="24"/>
      <c r="S18832" s="24"/>
      <c r="T18832" s="24"/>
      <c r="U18832" s="24"/>
      <c r="V18832" s="24"/>
      <c r="W18832" s="24"/>
      <c r="X18832" s="24"/>
      <c r="Y18832" s="24"/>
      <c r="Z18832" s="24"/>
      <c r="AA18832" s="24"/>
    </row>
    <row r="18833">
      <c r="A18833" s="24"/>
      <c r="B18833" s="25"/>
      <c r="C18833" s="24"/>
      <c r="D18833" s="26"/>
      <c r="E18833" s="24"/>
      <c r="F18833" s="24"/>
      <c r="G18833" s="24"/>
      <c r="H18833" s="24"/>
      <c r="I18833" s="24"/>
      <c r="J18833" s="24"/>
      <c r="K18833" s="24"/>
      <c r="L18833" s="24"/>
      <c r="M18833" s="24"/>
      <c r="N18833" s="24"/>
      <c r="O18833" s="24"/>
      <c r="P18833" s="24"/>
      <c r="Q18833" s="24"/>
      <c r="R18833" s="24"/>
      <c r="S18833" s="24"/>
      <c r="T18833" s="24"/>
      <c r="U18833" s="24"/>
      <c r="V18833" s="24"/>
      <c r="W18833" s="24"/>
      <c r="X18833" s="24"/>
      <c r="Y18833" s="24"/>
      <c r="Z18833" s="24"/>
      <c r="AA18833" s="24"/>
    </row>
    <row r="18834">
      <c r="A18834" s="24"/>
      <c r="B18834" s="25"/>
      <c r="C18834" s="24"/>
      <c r="D18834" s="26"/>
      <c r="E18834" s="24"/>
      <c r="F18834" s="24"/>
      <c r="G18834" s="24"/>
      <c r="H18834" s="24"/>
      <c r="I18834" s="24"/>
      <c r="J18834" s="24"/>
      <c r="K18834" s="24"/>
      <c r="L18834" s="24"/>
      <c r="M18834" s="24"/>
      <c r="N18834" s="24"/>
      <c r="O18834" s="24"/>
      <c r="P18834" s="24"/>
      <c r="Q18834" s="24"/>
      <c r="R18834" s="24"/>
      <c r="S18834" s="24"/>
      <c r="T18834" s="24"/>
      <c r="U18834" s="24"/>
      <c r="V18834" s="24"/>
      <c r="W18834" s="24"/>
      <c r="X18834" s="24"/>
      <c r="Y18834" s="24"/>
      <c r="Z18834" s="24"/>
      <c r="AA18834" s="24"/>
    </row>
    <row r="18835">
      <c r="A18835" s="24"/>
      <c r="B18835" s="25"/>
      <c r="C18835" s="24"/>
      <c r="D18835" s="26"/>
      <c r="E18835" s="24"/>
      <c r="F18835" s="24"/>
      <c r="G18835" s="24"/>
      <c r="H18835" s="24"/>
      <c r="I18835" s="24"/>
      <c r="J18835" s="24"/>
      <c r="K18835" s="24"/>
      <c r="L18835" s="24"/>
      <c r="M18835" s="24"/>
      <c r="N18835" s="24"/>
      <c r="O18835" s="24"/>
      <c r="P18835" s="24"/>
      <c r="Q18835" s="24"/>
      <c r="R18835" s="24"/>
      <c r="S18835" s="24"/>
      <c r="T18835" s="24"/>
      <c r="U18835" s="24"/>
      <c r="V18835" s="24"/>
      <c r="W18835" s="24"/>
      <c r="X18835" s="24"/>
      <c r="Y18835" s="24"/>
      <c r="Z18835" s="24"/>
      <c r="AA18835" s="24"/>
    </row>
    <row r="18836">
      <c r="A18836" s="24"/>
      <c r="B18836" s="25"/>
      <c r="C18836" s="24"/>
      <c r="D18836" s="26"/>
      <c r="E18836" s="24"/>
      <c r="F18836" s="24"/>
      <c r="G18836" s="24"/>
      <c r="H18836" s="24"/>
      <c r="I18836" s="24"/>
      <c r="J18836" s="24"/>
      <c r="K18836" s="24"/>
      <c r="L18836" s="24"/>
      <c r="M18836" s="24"/>
      <c r="N18836" s="24"/>
      <c r="O18836" s="24"/>
      <c r="P18836" s="24"/>
      <c r="Q18836" s="24"/>
      <c r="R18836" s="24"/>
      <c r="S18836" s="24"/>
      <c r="T18836" s="24"/>
      <c r="U18836" s="24"/>
      <c r="V18836" s="24"/>
      <c r="W18836" s="24"/>
      <c r="X18836" s="24"/>
      <c r="Y18836" s="24"/>
      <c r="Z18836" s="24"/>
      <c r="AA18836" s="24"/>
    </row>
    <row r="18837">
      <c r="A18837" s="24"/>
      <c r="B18837" s="25"/>
      <c r="C18837" s="24"/>
      <c r="D18837" s="26"/>
      <c r="E18837" s="24"/>
      <c r="F18837" s="24"/>
      <c r="G18837" s="24"/>
      <c r="H18837" s="24"/>
      <c r="I18837" s="24"/>
      <c r="J18837" s="24"/>
      <c r="K18837" s="24"/>
      <c r="L18837" s="24"/>
      <c r="M18837" s="24"/>
      <c r="N18837" s="24"/>
      <c r="O18837" s="24"/>
      <c r="P18837" s="24"/>
      <c r="Q18837" s="24"/>
      <c r="R18837" s="24"/>
      <c r="S18837" s="24"/>
      <c r="T18837" s="24"/>
      <c r="U18837" s="24"/>
      <c r="V18837" s="24"/>
      <c r="W18837" s="24"/>
      <c r="X18837" s="24"/>
      <c r="Y18837" s="24"/>
      <c r="Z18837" s="24"/>
      <c r="AA18837" s="24"/>
    </row>
    <row r="18838">
      <c r="A18838" s="24"/>
      <c r="B18838" s="25"/>
      <c r="C18838" s="24"/>
      <c r="D18838" s="26"/>
      <c r="E18838" s="24"/>
      <c r="F18838" s="24"/>
      <c r="G18838" s="24"/>
      <c r="H18838" s="24"/>
      <c r="I18838" s="24"/>
      <c r="J18838" s="24"/>
      <c r="K18838" s="24"/>
      <c r="L18838" s="24"/>
      <c r="M18838" s="24"/>
      <c r="N18838" s="24"/>
      <c r="O18838" s="24"/>
      <c r="P18838" s="24"/>
      <c r="Q18838" s="24"/>
      <c r="R18838" s="24"/>
      <c r="S18838" s="24"/>
      <c r="T18838" s="24"/>
      <c r="U18838" s="24"/>
      <c r="V18838" s="24"/>
      <c r="W18838" s="24"/>
      <c r="X18838" s="24"/>
      <c r="Y18838" s="24"/>
      <c r="Z18838" s="24"/>
      <c r="AA18838" s="24"/>
    </row>
    <row r="18839">
      <c r="A18839" s="24"/>
      <c r="B18839" s="25"/>
      <c r="C18839" s="24"/>
      <c r="D18839" s="26"/>
      <c r="E18839" s="24"/>
      <c r="F18839" s="24"/>
      <c r="G18839" s="24"/>
      <c r="H18839" s="24"/>
      <c r="I18839" s="24"/>
      <c r="J18839" s="24"/>
      <c r="K18839" s="24"/>
      <c r="L18839" s="24"/>
      <c r="M18839" s="24"/>
      <c r="N18839" s="24"/>
      <c r="O18839" s="24"/>
      <c r="P18839" s="24"/>
      <c r="Q18839" s="24"/>
      <c r="R18839" s="24"/>
      <c r="S18839" s="24"/>
      <c r="T18839" s="24"/>
      <c r="U18839" s="24"/>
      <c r="V18839" s="24"/>
      <c r="W18839" s="24"/>
      <c r="X18839" s="24"/>
      <c r="Y18839" s="24"/>
      <c r="Z18839" s="24"/>
      <c r="AA18839" s="24"/>
    </row>
    <row r="18840">
      <c r="A18840" s="24"/>
      <c r="B18840" s="25"/>
      <c r="C18840" s="24"/>
      <c r="D18840" s="26"/>
      <c r="E18840" s="24"/>
      <c r="F18840" s="24"/>
      <c r="G18840" s="24"/>
      <c r="H18840" s="24"/>
      <c r="I18840" s="24"/>
      <c r="J18840" s="24"/>
      <c r="K18840" s="24"/>
      <c r="L18840" s="24"/>
      <c r="M18840" s="24"/>
      <c r="N18840" s="24"/>
      <c r="O18840" s="24"/>
      <c r="P18840" s="24"/>
      <c r="Q18840" s="24"/>
      <c r="R18840" s="24"/>
      <c r="S18840" s="24"/>
      <c r="T18840" s="24"/>
      <c r="U18840" s="24"/>
      <c r="V18840" s="24"/>
      <c r="W18840" s="24"/>
      <c r="X18840" s="24"/>
      <c r="Y18840" s="24"/>
      <c r="Z18840" s="24"/>
      <c r="AA18840" s="24"/>
    </row>
    <row r="18841">
      <c r="A18841" s="24"/>
      <c r="B18841" s="25"/>
      <c r="C18841" s="24"/>
      <c r="D18841" s="26"/>
      <c r="E18841" s="24"/>
      <c r="F18841" s="24"/>
      <c r="G18841" s="24"/>
      <c r="H18841" s="24"/>
      <c r="I18841" s="24"/>
      <c r="J18841" s="24"/>
      <c r="K18841" s="24"/>
      <c r="L18841" s="24"/>
      <c r="M18841" s="24"/>
      <c r="N18841" s="24"/>
      <c r="O18841" s="24"/>
      <c r="P18841" s="24"/>
      <c r="Q18841" s="24"/>
      <c r="R18841" s="24"/>
      <c r="S18841" s="24"/>
      <c r="T18841" s="24"/>
      <c r="U18841" s="24"/>
      <c r="V18841" s="24"/>
      <c r="W18841" s="24"/>
      <c r="X18841" s="24"/>
      <c r="Y18841" s="24"/>
      <c r="Z18841" s="24"/>
      <c r="AA18841" s="24"/>
    </row>
    <row r="18842">
      <c r="A18842" s="24"/>
      <c r="B18842" s="25"/>
      <c r="C18842" s="24"/>
      <c r="D18842" s="26"/>
      <c r="E18842" s="24"/>
      <c r="F18842" s="24"/>
      <c r="G18842" s="24"/>
      <c r="H18842" s="24"/>
      <c r="I18842" s="24"/>
      <c r="J18842" s="24"/>
      <c r="K18842" s="24"/>
      <c r="L18842" s="24"/>
      <c r="M18842" s="24"/>
      <c r="N18842" s="24"/>
      <c r="O18842" s="24"/>
      <c r="P18842" s="24"/>
      <c r="Q18842" s="24"/>
      <c r="R18842" s="24"/>
      <c r="S18842" s="24"/>
      <c r="T18842" s="24"/>
      <c r="U18842" s="24"/>
      <c r="V18842" s="24"/>
      <c r="W18842" s="24"/>
      <c r="X18842" s="24"/>
      <c r="Y18842" s="24"/>
      <c r="Z18842" s="24"/>
      <c r="AA18842" s="24"/>
    </row>
    <row r="18843">
      <c r="A18843" s="24"/>
      <c r="B18843" s="25"/>
      <c r="C18843" s="24"/>
      <c r="D18843" s="26"/>
      <c r="E18843" s="24"/>
      <c r="F18843" s="24"/>
      <c r="G18843" s="24"/>
      <c r="H18843" s="24"/>
      <c r="I18843" s="24"/>
      <c r="J18843" s="24"/>
      <c r="K18843" s="24"/>
      <c r="L18843" s="24"/>
      <c r="M18843" s="24"/>
      <c r="N18843" s="24"/>
      <c r="O18843" s="24"/>
      <c r="P18843" s="24"/>
      <c r="Q18843" s="24"/>
      <c r="R18843" s="24"/>
      <c r="S18843" s="24"/>
      <c r="T18843" s="24"/>
      <c r="U18843" s="24"/>
      <c r="V18843" s="24"/>
      <c r="W18843" s="24"/>
      <c r="X18843" s="24"/>
      <c r="Y18843" s="24"/>
      <c r="Z18843" s="24"/>
      <c r="AA18843" s="24"/>
    </row>
    <row r="18844">
      <c r="A18844" s="24"/>
      <c r="B18844" s="25"/>
      <c r="C18844" s="24"/>
      <c r="D18844" s="26"/>
      <c r="E18844" s="24"/>
      <c r="F18844" s="24"/>
      <c r="G18844" s="24"/>
      <c r="H18844" s="24"/>
      <c r="I18844" s="24"/>
      <c r="J18844" s="24"/>
      <c r="K18844" s="24"/>
      <c r="L18844" s="24"/>
      <c r="M18844" s="24"/>
      <c r="N18844" s="24"/>
      <c r="O18844" s="24"/>
      <c r="P18844" s="24"/>
      <c r="Q18844" s="24"/>
      <c r="R18844" s="24"/>
      <c r="S18844" s="24"/>
      <c r="T18844" s="24"/>
      <c r="U18844" s="24"/>
      <c r="V18844" s="24"/>
      <c r="W18844" s="24"/>
      <c r="X18844" s="24"/>
      <c r="Y18844" s="24"/>
      <c r="Z18844" s="24"/>
      <c r="AA18844" s="24"/>
    </row>
    <row r="18845">
      <c r="A18845" s="24"/>
      <c r="B18845" s="25"/>
      <c r="C18845" s="24"/>
      <c r="D18845" s="26"/>
      <c r="E18845" s="24"/>
      <c r="F18845" s="24"/>
      <c r="G18845" s="24"/>
      <c r="H18845" s="24"/>
      <c r="I18845" s="24"/>
      <c r="J18845" s="24"/>
      <c r="K18845" s="24"/>
      <c r="L18845" s="24"/>
      <c r="M18845" s="24"/>
      <c r="N18845" s="24"/>
      <c r="O18845" s="24"/>
      <c r="P18845" s="24"/>
      <c r="Q18845" s="24"/>
      <c r="R18845" s="24"/>
      <c r="S18845" s="24"/>
      <c r="T18845" s="24"/>
      <c r="U18845" s="24"/>
      <c r="V18845" s="24"/>
      <c r="W18845" s="24"/>
      <c r="X18845" s="24"/>
      <c r="Y18845" s="24"/>
      <c r="Z18845" s="24"/>
      <c r="AA18845" s="24"/>
    </row>
    <row r="18846">
      <c r="A18846" s="24"/>
      <c r="B18846" s="25"/>
      <c r="C18846" s="24"/>
      <c r="D18846" s="26"/>
      <c r="E18846" s="24"/>
      <c r="F18846" s="24"/>
      <c r="G18846" s="24"/>
      <c r="H18846" s="24"/>
      <c r="I18846" s="24"/>
      <c r="J18846" s="24"/>
      <c r="K18846" s="24"/>
      <c r="L18846" s="24"/>
      <c r="M18846" s="24"/>
      <c r="N18846" s="24"/>
      <c r="O18846" s="24"/>
      <c r="P18846" s="24"/>
      <c r="Q18846" s="24"/>
      <c r="R18846" s="24"/>
      <c r="S18846" s="24"/>
      <c r="T18846" s="24"/>
      <c r="U18846" s="24"/>
      <c r="V18846" s="24"/>
      <c r="W18846" s="24"/>
      <c r="X18846" s="24"/>
      <c r="Y18846" s="24"/>
      <c r="Z18846" s="24"/>
      <c r="AA18846" s="24"/>
    </row>
    <row r="18847">
      <c r="A18847" s="24"/>
      <c r="B18847" s="25"/>
      <c r="C18847" s="24"/>
      <c r="D18847" s="26"/>
      <c r="E18847" s="24"/>
      <c r="F18847" s="24"/>
      <c r="G18847" s="24"/>
      <c r="H18847" s="24"/>
      <c r="I18847" s="24"/>
      <c r="J18847" s="24"/>
      <c r="K18847" s="24"/>
      <c r="L18847" s="24"/>
      <c r="M18847" s="24"/>
      <c r="N18847" s="24"/>
      <c r="O18847" s="24"/>
      <c r="P18847" s="24"/>
      <c r="Q18847" s="24"/>
      <c r="R18847" s="24"/>
      <c r="S18847" s="24"/>
      <c r="T18847" s="24"/>
      <c r="U18847" s="24"/>
      <c r="V18847" s="24"/>
      <c r="W18847" s="24"/>
      <c r="X18847" s="24"/>
      <c r="Y18847" s="24"/>
      <c r="Z18847" s="24"/>
      <c r="AA18847" s="24"/>
    </row>
    <row r="18848">
      <c r="A18848" s="24"/>
      <c r="B18848" s="25"/>
      <c r="C18848" s="24"/>
      <c r="D18848" s="26"/>
      <c r="E18848" s="24"/>
      <c r="F18848" s="24"/>
      <c r="G18848" s="24"/>
      <c r="H18848" s="24"/>
      <c r="I18848" s="24"/>
      <c r="J18848" s="24"/>
      <c r="K18848" s="24"/>
      <c r="L18848" s="24"/>
      <c r="M18848" s="24"/>
      <c r="N18848" s="24"/>
      <c r="O18848" s="24"/>
      <c r="P18848" s="24"/>
      <c r="Q18848" s="24"/>
      <c r="R18848" s="24"/>
      <c r="S18848" s="24"/>
      <c r="T18848" s="24"/>
      <c r="U18848" s="24"/>
      <c r="V18848" s="24"/>
      <c r="W18848" s="24"/>
      <c r="X18848" s="24"/>
      <c r="Y18848" s="24"/>
      <c r="Z18848" s="24"/>
      <c r="AA18848" s="24"/>
    </row>
    <row r="18849">
      <c r="A18849" s="24"/>
      <c r="B18849" s="25"/>
      <c r="C18849" s="24"/>
      <c r="D18849" s="26"/>
      <c r="E18849" s="24"/>
      <c r="F18849" s="24"/>
      <c r="G18849" s="24"/>
      <c r="H18849" s="24"/>
      <c r="I18849" s="24"/>
      <c r="J18849" s="24"/>
      <c r="K18849" s="24"/>
      <c r="L18849" s="24"/>
      <c r="M18849" s="24"/>
      <c r="N18849" s="24"/>
      <c r="O18849" s="24"/>
      <c r="P18849" s="24"/>
      <c r="Q18849" s="24"/>
      <c r="R18849" s="24"/>
      <c r="S18849" s="24"/>
      <c r="T18849" s="24"/>
      <c r="U18849" s="24"/>
      <c r="V18849" s="24"/>
      <c r="W18849" s="24"/>
      <c r="X18849" s="24"/>
      <c r="Y18849" s="24"/>
      <c r="Z18849" s="24"/>
      <c r="AA18849" s="24"/>
    </row>
    <row r="18850">
      <c r="A18850" s="24"/>
      <c r="B18850" s="25"/>
      <c r="C18850" s="24"/>
      <c r="D18850" s="26"/>
      <c r="E18850" s="24"/>
      <c r="F18850" s="24"/>
      <c r="G18850" s="24"/>
      <c r="H18850" s="24"/>
      <c r="I18850" s="24"/>
      <c r="J18850" s="24"/>
      <c r="K18850" s="24"/>
      <c r="L18850" s="24"/>
      <c r="M18850" s="24"/>
      <c r="N18850" s="24"/>
      <c r="O18850" s="24"/>
      <c r="P18850" s="24"/>
      <c r="Q18850" s="24"/>
      <c r="R18850" s="24"/>
      <c r="S18850" s="24"/>
      <c r="T18850" s="24"/>
      <c r="U18850" s="24"/>
      <c r="V18850" s="24"/>
      <c r="W18850" s="24"/>
      <c r="X18850" s="24"/>
      <c r="Y18850" s="24"/>
      <c r="Z18850" s="24"/>
      <c r="AA18850" s="24"/>
    </row>
    <row r="18851">
      <c r="A18851" s="24"/>
      <c r="B18851" s="25"/>
      <c r="C18851" s="24"/>
      <c r="D18851" s="26"/>
      <c r="E18851" s="24"/>
      <c r="F18851" s="24"/>
      <c r="G18851" s="24"/>
      <c r="H18851" s="24"/>
      <c r="I18851" s="24"/>
      <c r="J18851" s="24"/>
      <c r="K18851" s="24"/>
      <c r="L18851" s="24"/>
      <c r="M18851" s="24"/>
      <c r="N18851" s="24"/>
      <c r="O18851" s="24"/>
      <c r="P18851" s="24"/>
      <c r="Q18851" s="24"/>
      <c r="R18851" s="24"/>
      <c r="S18851" s="24"/>
      <c r="T18851" s="24"/>
      <c r="U18851" s="24"/>
      <c r="V18851" s="24"/>
      <c r="W18851" s="24"/>
      <c r="X18851" s="24"/>
      <c r="Y18851" s="24"/>
      <c r="Z18851" s="24"/>
      <c r="AA18851" s="24"/>
    </row>
    <row r="18852">
      <c r="A18852" s="24"/>
      <c r="B18852" s="25"/>
      <c r="C18852" s="24"/>
      <c r="D18852" s="26"/>
      <c r="E18852" s="24"/>
      <c r="F18852" s="24"/>
      <c r="G18852" s="24"/>
      <c r="H18852" s="24"/>
      <c r="I18852" s="24"/>
      <c r="J18852" s="24"/>
      <c r="K18852" s="24"/>
      <c r="L18852" s="24"/>
      <c r="M18852" s="24"/>
      <c r="N18852" s="24"/>
      <c r="O18852" s="24"/>
      <c r="P18852" s="24"/>
      <c r="Q18852" s="24"/>
      <c r="R18852" s="24"/>
      <c r="S18852" s="24"/>
      <c r="T18852" s="24"/>
      <c r="U18852" s="24"/>
      <c r="V18852" s="24"/>
      <c r="W18852" s="24"/>
      <c r="X18852" s="24"/>
      <c r="Y18852" s="24"/>
      <c r="Z18852" s="24"/>
      <c r="AA18852" s="24"/>
    </row>
    <row r="18853">
      <c r="A18853" s="24"/>
      <c r="B18853" s="25"/>
      <c r="C18853" s="24"/>
      <c r="D18853" s="26"/>
      <c r="E18853" s="24"/>
      <c r="F18853" s="24"/>
      <c r="G18853" s="24"/>
      <c r="H18853" s="24"/>
      <c r="I18853" s="24"/>
      <c r="J18853" s="24"/>
      <c r="K18853" s="24"/>
      <c r="L18853" s="24"/>
      <c r="M18853" s="24"/>
      <c r="N18853" s="24"/>
      <c r="O18853" s="24"/>
      <c r="P18853" s="24"/>
      <c r="Q18853" s="24"/>
      <c r="R18853" s="24"/>
      <c r="S18853" s="24"/>
      <c r="T18853" s="24"/>
      <c r="U18853" s="24"/>
      <c r="V18853" s="24"/>
      <c r="W18853" s="24"/>
      <c r="X18853" s="24"/>
      <c r="Y18853" s="24"/>
      <c r="Z18853" s="24"/>
      <c r="AA18853" s="24"/>
    </row>
    <row r="18854">
      <c r="A18854" s="24"/>
      <c r="B18854" s="25"/>
      <c r="C18854" s="24"/>
      <c r="D18854" s="26"/>
      <c r="E18854" s="24"/>
      <c r="F18854" s="24"/>
      <c r="G18854" s="24"/>
      <c r="H18854" s="24"/>
      <c r="I18854" s="24"/>
      <c r="J18854" s="24"/>
      <c r="K18854" s="24"/>
      <c r="L18854" s="24"/>
      <c r="M18854" s="24"/>
      <c r="N18854" s="24"/>
      <c r="O18854" s="24"/>
      <c r="P18854" s="24"/>
      <c r="Q18854" s="24"/>
      <c r="R18854" s="24"/>
      <c r="S18854" s="24"/>
      <c r="T18854" s="24"/>
      <c r="U18854" s="24"/>
      <c r="V18854" s="24"/>
      <c r="W18854" s="24"/>
      <c r="X18854" s="24"/>
      <c r="Y18854" s="24"/>
      <c r="Z18854" s="24"/>
      <c r="AA18854" s="24"/>
    </row>
    <row r="18855">
      <c r="A18855" s="24"/>
      <c r="B18855" s="25"/>
      <c r="C18855" s="24"/>
      <c r="D18855" s="26"/>
      <c r="E18855" s="24"/>
      <c r="F18855" s="24"/>
      <c r="G18855" s="24"/>
      <c r="H18855" s="24"/>
      <c r="I18855" s="24"/>
      <c r="J18855" s="24"/>
      <c r="K18855" s="24"/>
      <c r="L18855" s="24"/>
      <c r="M18855" s="24"/>
      <c r="N18855" s="24"/>
      <c r="O18855" s="24"/>
      <c r="P18855" s="24"/>
      <c r="Q18855" s="24"/>
      <c r="R18855" s="24"/>
      <c r="S18855" s="24"/>
      <c r="T18855" s="24"/>
      <c r="U18855" s="24"/>
      <c r="V18855" s="24"/>
      <c r="W18855" s="24"/>
      <c r="X18855" s="24"/>
      <c r="Y18855" s="24"/>
      <c r="Z18855" s="24"/>
      <c r="AA18855" s="24"/>
    </row>
    <row r="18856">
      <c r="A18856" s="24"/>
      <c r="B18856" s="25"/>
      <c r="C18856" s="24"/>
      <c r="D18856" s="26"/>
      <c r="E18856" s="24"/>
      <c r="F18856" s="24"/>
      <c r="G18856" s="24"/>
      <c r="H18856" s="24"/>
      <c r="I18856" s="24"/>
      <c r="J18856" s="24"/>
      <c r="K18856" s="24"/>
      <c r="L18856" s="24"/>
      <c r="M18856" s="24"/>
      <c r="N18856" s="24"/>
      <c r="O18856" s="24"/>
      <c r="P18856" s="24"/>
      <c r="Q18856" s="24"/>
      <c r="R18856" s="24"/>
      <c r="S18856" s="24"/>
      <c r="T18856" s="24"/>
      <c r="U18856" s="24"/>
      <c r="V18856" s="24"/>
      <c r="W18856" s="24"/>
      <c r="X18856" s="24"/>
      <c r="Y18856" s="24"/>
      <c r="Z18856" s="24"/>
      <c r="AA18856" s="24"/>
    </row>
    <row r="18857">
      <c r="A18857" s="24"/>
      <c r="B18857" s="25"/>
      <c r="C18857" s="24"/>
      <c r="D18857" s="26"/>
      <c r="E18857" s="24"/>
      <c r="F18857" s="24"/>
      <c r="G18857" s="24"/>
      <c r="H18857" s="24"/>
      <c r="I18857" s="24"/>
      <c r="J18857" s="24"/>
      <c r="K18857" s="24"/>
      <c r="L18857" s="24"/>
      <c r="M18857" s="24"/>
      <c r="N18857" s="24"/>
      <c r="O18857" s="24"/>
      <c r="P18857" s="24"/>
      <c r="Q18857" s="24"/>
      <c r="R18857" s="24"/>
      <c r="S18857" s="24"/>
      <c r="T18857" s="24"/>
      <c r="U18857" s="24"/>
      <c r="V18857" s="24"/>
      <c r="W18857" s="24"/>
      <c r="X18857" s="24"/>
      <c r="Y18857" s="24"/>
      <c r="Z18857" s="24"/>
      <c r="AA18857" s="24"/>
    </row>
    <row r="18858">
      <c r="A18858" s="24"/>
      <c r="B18858" s="25"/>
      <c r="C18858" s="24"/>
      <c r="D18858" s="26"/>
      <c r="E18858" s="24"/>
      <c r="F18858" s="24"/>
      <c r="G18858" s="24"/>
      <c r="H18858" s="24"/>
      <c r="I18858" s="24"/>
      <c r="J18858" s="24"/>
      <c r="K18858" s="24"/>
      <c r="L18858" s="24"/>
      <c r="M18858" s="24"/>
      <c r="N18858" s="24"/>
      <c r="O18858" s="24"/>
      <c r="P18858" s="24"/>
      <c r="Q18858" s="24"/>
      <c r="R18858" s="24"/>
      <c r="S18858" s="24"/>
      <c r="T18858" s="24"/>
      <c r="U18858" s="24"/>
      <c r="V18858" s="24"/>
      <c r="W18858" s="24"/>
      <c r="X18858" s="24"/>
      <c r="Y18858" s="24"/>
      <c r="Z18858" s="24"/>
      <c r="AA18858" s="24"/>
    </row>
    <row r="18859">
      <c r="A18859" s="24"/>
      <c r="B18859" s="25"/>
      <c r="C18859" s="24"/>
      <c r="D18859" s="26"/>
      <c r="E18859" s="24"/>
      <c r="F18859" s="24"/>
      <c r="G18859" s="24"/>
      <c r="H18859" s="24"/>
      <c r="I18859" s="24"/>
      <c r="J18859" s="24"/>
      <c r="K18859" s="24"/>
      <c r="L18859" s="24"/>
      <c r="M18859" s="24"/>
      <c r="N18859" s="24"/>
      <c r="O18859" s="24"/>
      <c r="P18859" s="24"/>
      <c r="Q18859" s="24"/>
      <c r="R18859" s="24"/>
      <c r="S18859" s="24"/>
      <c r="T18859" s="24"/>
      <c r="U18859" s="24"/>
      <c r="V18859" s="24"/>
      <c r="W18859" s="24"/>
      <c r="X18859" s="24"/>
      <c r="Y18859" s="24"/>
      <c r="Z18859" s="24"/>
      <c r="AA18859" s="24"/>
    </row>
    <row r="18860">
      <c r="A18860" s="24"/>
      <c r="B18860" s="25"/>
      <c r="C18860" s="24"/>
      <c r="D18860" s="26"/>
      <c r="E18860" s="24"/>
      <c r="F18860" s="24"/>
      <c r="G18860" s="24"/>
      <c r="H18860" s="24"/>
      <c r="I18860" s="24"/>
      <c r="J18860" s="24"/>
      <c r="K18860" s="24"/>
      <c r="L18860" s="24"/>
      <c r="M18860" s="24"/>
      <c r="N18860" s="24"/>
      <c r="O18860" s="24"/>
      <c r="P18860" s="24"/>
      <c r="Q18860" s="24"/>
      <c r="R18860" s="24"/>
      <c r="S18860" s="24"/>
      <c r="T18860" s="24"/>
      <c r="U18860" s="24"/>
      <c r="V18860" s="24"/>
      <c r="W18860" s="24"/>
      <c r="X18860" s="24"/>
      <c r="Y18860" s="24"/>
      <c r="Z18860" s="24"/>
      <c r="AA18860" s="24"/>
    </row>
    <row r="18861">
      <c r="A18861" s="24"/>
      <c r="B18861" s="25"/>
      <c r="C18861" s="24"/>
      <c r="D18861" s="26"/>
      <c r="E18861" s="24"/>
      <c r="F18861" s="24"/>
      <c r="G18861" s="24"/>
      <c r="H18861" s="24"/>
      <c r="I18861" s="24"/>
      <c r="J18861" s="24"/>
      <c r="K18861" s="24"/>
      <c r="L18861" s="24"/>
      <c r="M18861" s="24"/>
      <c r="N18861" s="24"/>
      <c r="O18861" s="24"/>
      <c r="P18861" s="24"/>
      <c r="Q18861" s="24"/>
      <c r="R18861" s="24"/>
      <c r="S18861" s="24"/>
      <c r="T18861" s="24"/>
      <c r="U18861" s="24"/>
      <c r="V18861" s="24"/>
      <c r="W18861" s="24"/>
      <c r="X18861" s="24"/>
      <c r="Y18861" s="24"/>
      <c r="Z18861" s="24"/>
      <c r="AA18861" s="24"/>
    </row>
    <row r="18862">
      <c r="A18862" s="24"/>
      <c r="B18862" s="25"/>
      <c r="C18862" s="24"/>
      <c r="D18862" s="26"/>
      <c r="E18862" s="24"/>
      <c r="F18862" s="24"/>
      <c r="G18862" s="24"/>
      <c r="H18862" s="24"/>
      <c r="I18862" s="24"/>
      <c r="J18862" s="24"/>
      <c r="K18862" s="24"/>
      <c r="L18862" s="24"/>
      <c r="M18862" s="24"/>
      <c r="N18862" s="24"/>
      <c r="O18862" s="24"/>
      <c r="P18862" s="24"/>
      <c r="Q18862" s="24"/>
      <c r="R18862" s="24"/>
      <c r="S18862" s="24"/>
      <c r="T18862" s="24"/>
      <c r="U18862" s="24"/>
      <c r="V18862" s="24"/>
      <c r="W18862" s="24"/>
      <c r="X18862" s="24"/>
      <c r="Y18862" s="24"/>
      <c r="Z18862" s="24"/>
      <c r="AA18862" s="24"/>
    </row>
    <row r="18863">
      <c r="A18863" s="24"/>
      <c r="B18863" s="25"/>
      <c r="C18863" s="24"/>
      <c r="D18863" s="26"/>
      <c r="E18863" s="24"/>
      <c r="F18863" s="24"/>
      <c r="G18863" s="24"/>
      <c r="H18863" s="24"/>
      <c r="I18863" s="24"/>
      <c r="J18863" s="24"/>
      <c r="K18863" s="24"/>
      <c r="L18863" s="24"/>
      <c r="M18863" s="24"/>
      <c r="N18863" s="24"/>
      <c r="O18863" s="24"/>
      <c r="P18863" s="24"/>
      <c r="Q18863" s="24"/>
      <c r="R18863" s="24"/>
      <c r="S18863" s="24"/>
      <c r="T18863" s="24"/>
      <c r="U18863" s="24"/>
      <c r="V18863" s="24"/>
      <c r="W18863" s="24"/>
      <c r="X18863" s="24"/>
      <c r="Y18863" s="24"/>
      <c r="Z18863" s="24"/>
      <c r="AA18863" s="24"/>
    </row>
    <row r="18864">
      <c r="A18864" s="24"/>
      <c r="B18864" s="25"/>
      <c r="C18864" s="24"/>
      <c r="D18864" s="26"/>
      <c r="E18864" s="24"/>
      <c r="F18864" s="24"/>
      <c r="G18864" s="24"/>
      <c r="H18864" s="24"/>
      <c r="I18864" s="24"/>
      <c r="J18864" s="24"/>
      <c r="K18864" s="24"/>
      <c r="L18864" s="24"/>
      <c r="M18864" s="24"/>
      <c r="N18864" s="24"/>
      <c r="O18864" s="24"/>
      <c r="P18864" s="24"/>
      <c r="Q18864" s="24"/>
      <c r="R18864" s="24"/>
      <c r="S18864" s="24"/>
      <c r="T18864" s="24"/>
      <c r="U18864" s="24"/>
      <c r="V18864" s="24"/>
      <c r="W18864" s="24"/>
      <c r="X18864" s="24"/>
      <c r="Y18864" s="24"/>
      <c r="Z18864" s="24"/>
      <c r="AA18864" s="24"/>
    </row>
    <row r="18865">
      <c r="A18865" s="24"/>
      <c r="B18865" s="25"/>
      <c r="C18865" s="24"/>
      <c r="D18865" s="26"/>
      <c r="E18865" s="24"/>
      <c r="F18865" s="24"/>
      <c r="G18865" s="24"/>
      <c r="H18865" s="24"/>
      <c r="I18865" s="24"/>
      <c r="J18865" s="24"/>
      <c r="K18865" s="24"/>
      <c r="L18865" s="24"/>
      <c r="M18865" s="24"/>
      <c r="N18865" s="24"/>
      <c r="O18865" s="24"/>
      <c r="P18865" s="24"/>
      <c r="Q18865" s="24"/>
      <c r="R18865" s="24"/>
      <c r="S18865" s="24"/>
      <c r="T18865" s="24"/>
      <c r="U18865" s="24"/>
      <c r="V18865" s="24"/>
      <c r="W18865" s="24"/>
      <c r="X18865" s="24"/>
      <c r="Y18865" s="24"/>
      <c r="Z18865" s="24"/>
      <c r="AA18865" s="24"/>
    </row>
    <row r="18866">
      <c r="A18866" s="24"/>
      <c r="B18866" s="25"/>
      <c r="C18866" s="24"/>
      <c r="D18866" s="26"/>
      <c r="E18866" s="24"/>
      <c r="F18866" s="24"/>
      <c r="G18866" s="24"/>
      <c r="H18866" s="24"/>
      <c r="I18866" s="24"/>
      <c r="J18866" s="24"/>
      <c r="K18866" s="24"/>
      <c r="L18866" s="24"/>
      <c r="M18866" s="24"/>
      <c r="N18866" s="24"/>
      <c r="O18866" s="24"/>
      <c r="P18866" s="24"/>
      <c r="Q18866" s="24"/>
      <c r="R18866" s="24"/>
      <c r="S18866" s="24"/>
      <c r="T18866" s="24"/>
      <c r="U18866" s="24"/>
      <c r="V18866" s="24"/>
      <c r="W18866" s="24"/>
      <c r="X18866" s="24"/>
      <c r="Y18866" s="24"/>
      <c r="Z18866" s="24"/>
      <c r="AA18866" s="24"/>
    </row>
    <row r="18867">
      <c r="A18867" s="24"/>
      <c r="B18867" s="25"/>
      <c r="C18867" s="24"/>
      <c r="D18867" s="26"/>
      <c r="E18867" s="24"/>
      <c r="F18867" s="24"/>
      <c r="G18867" s="24"/>
      <c r="H18867" s="24"/>
      <c r="I18867" s="24"/>
      <c r="J18867" s="24"/>
      <c r="K18867" s="24"/>
      <c r="L18867" s="24"/>
      <c r="M18867" s="24"/>
      <c r="N18867" s="24"/>
      <c r="O18867" s="24"/>
      <c r="P18867" s="24"/>
      <c r="Q18867" s="24"/>
      <c r="R18867" s="24"/>
      <c r="S18867" s="24"/>
      <c r="T18867" s="24"/>
      <c r="U18867" s="24"/>
      <c r="V18867" s="24"/>
      <c r="W18867" s="24"/>
      <c r="X18867" s="24"/>
      <c r="Y18867" s="24"/>
      <c r="Z18867" s="24"/>
      <c r="AA18867" s="24"/>
    </row>
    <row r="18868">
      <c r="A18868" s="24"/>
      <c r="B18868" s="25"/>
      <c r="C18868" s="24"/>
      <c r="D18868" s="26"/>
      <c r="E18868" s="24"/>
      <c r="F18868" s="24"/>
      <c r="G18868" s="24"/>
      <c r="H18868" s="24"/>
      <c r="I18868" s="24"/>
      <c r="J18868" s="24"/>
      <c r="K18868" s="24"/>
      <c r="L18868" s="24"/>
      <c r="M18868" s="24"/>
      <c r="N18868" s="24"/>
      <c r="O18868" s="24"/>
      <c r="P18868" s="24"/>
      <c r="Q18868" s="24"/>
      <c r="R18868" s="24"/>
      <c r="S18868" s="24"/>
      <c r="T18868" s="24"/>
      <c r="U18868" s="24"/>
      <c r="V18868" s="24"/>
      <c r="W18868" s="24"/>
      <c r="X18868" s="24"/>
      <c r="Y18868" s="24"/>
      <c r="Z18868" s="24"/>
      <c r="AA18868" s="24"/>
    </row>
    <row r="18869">
      <c r="A18869" s="24"/>
      <c r="B18869" s="25"/>
      <c r="C18869" s="24"/>
      <c r="D18869" s="26"/>
      <c r="E18869" s="24"/>
      <c r="F18869" s="24"/>
      <c r="G18869" s="24"/>
      <c r="H18869" s="24"/>
      <c r="I18869" s="24"/>
      <c r="J18869" s="24"/>
      <c r="K18869" s="24"/>
      <c r="L18869" s="24"/>
      <c r="M18869" s="24"/>
      <c r="N18869" s="24"/>
      <c r="O18869" s="24"/>
      <c r="P18869" s="24"/>
      <c r="Q18869" s="24"/>
      <c r="R18869" s="24"/>
      <c r="S18869" s="24"/>
      <c r="T18869" s="24"/>
      <c r="U18869" s="24"/>
      <c r="V18869" s="24"/>
      <c r="W18869" s="24"/>
      <c r="X18869" s="24"/>
      <c r="Y18869" s="24"/>
      <c r="Z18869" s="24"/>
      <c r="AA18869" s="24"/>
    </row>
    <row r="18870">
      <c r="A18870" s="24"/>
      <c r="B18870" s="25"/>
      <c r="C18870" s="24"/>
      <c r="D18870" s="26"/>
      <c r="E18870" s="24"/>
      <c r="F18870" s="24"/>
      <c r="G18870" s="24"/>
      <c r="H18870" s="24"/>
      <c r="I18870" s="24"/>
      <c r="J18870" s="24"/>
      <c r="K18870" s="24"/>
      <c r="L18870" s="24"/>
      <c r="M18870" s="24"/>
      <c r="N18870" s="24"/>
      <c r="O18870" s="24"/>
      <c r="P18870" s="24"/>
      <c r="Q18870" s="24"/>
      <c r="R18870" s="24"/>
      <c r="S18870" s="24"/>
      <c r="T18870" s="24"/>
      <c r="U18870" s="24"/>
      <c r="V18870" s="24"/>
      <c r="W18870" s="24"/>
      <c r="X18870" s="24"/>
      <c r="Y18870" s="24"/>
      <c r="Z18870" s="24"/>
      <c r="AA18870" s="24"/>
    </row>
    <row r="18871">
      <c r="A18871" s="24"/>
      <c r="B18871" s="25"/>
      <c r="C18871" s="24"/>
      <c r="D18871" s="26"/>
      <c r="E18871" s="24"/>
      <c r="F18871" s="24"/>
      <c r="G18871" s="24"/>
      <c r="H18871" s="24"/>
      <c r="I18871" s="24"/>
      <c r="J18871" s="24"/>
      <c r="K18871" s="24"/>
      <c r="L18871" s="24"/>
      <c r="M18871" s="24"/>
      <c r="N18871" s="24"/>
      <c r="O18871" s="24"/>
      <c r="P18871" s="24"/>
      <c r="Q18871" s="24"/>
      <c r="R18871" s="24"/>
      <c r="S18871" s="24"/>
      <c r="T18871" s="24"/>
      <c r="U18871" s="24"/>
      <c r="V18871" s="24"/>
      <c r="W18871" s="24"/>
      <c r="X18871" s="24"/>
      <c r="Y18871" s="24"/>
      <c r="Z18871" s="24"/>
      <c r="AA18871" s="24"/>
    </row>
    <row r="18872">
      <c r="A18872" s="24"/>
      <c r="B18872" s="25"/>
      <c r="C18872" s="24"/>
      <c r="D18872" s="26"/>
      <c r="E18872" s="24"/>
      <c r="F18872" s="24"/>
      <c r="G18872" s="24"/>
      <c r="H18872" s="24"/>
      <c r="I18872" s="24"/>
      <c r="J18872" s="24"/>
      <c r="K18872" s="24"/>
      <c r="L18872" s="24"/>
      <c r="M18872" s="24"/>
      <c r="N18872" s="24"/>
      <c r="O18872" s="24"/>
      <c r="P18872" s="24"/>
      <c r="Q18872" s="24"/>
      <c r="R18872" s="24"/>
      <c r="S18872" s="24"/>
      <c r="T18872" s="24"/>
      <c r="U18872" s="24"/>
      <c r="V18872" s="24"/>
      <c r="W18872" s="24"/>
      <c r="X18872" s="24"/>
      <c r="Y18872" s="24"/>
      <c r="Z18872" s="24"/>
      <c r="AA18872" s="24"/>
    </row>
    <row r="18873">
      <c r="A18873" s="24"/>
      <c r="B18873" s="25"/>
      <c r="C18873" s="24"/>
      <c r="D18873" s="26"/>
      <c r="E18873" s="24"/>
      <c r="F18873" s="24"/>
      <c r="G18873" s="24"/>
      <c r="H18873" s="24"/>
      <c r="I18873" s="24"/>
      <c r="J18873" s="24"/>
      <c r="K18873" s="24"/>
      <c r="L18873" s="24"/>
      <c r="M18873" s="24"/>
      <c r="N18873" s="24"/>
      <c r="O18873" s="24"/>
      <c r="P18873" s="24"/>
      <c r="Q18873" s="24"/>
      <c r="R18873" s="24"/>
      <c r="S18873" s="24"/>
      <c r="T18873" s="24"/>
      <c r="U18873" s="24"/>
      <c r="V18873" s="24"/>
      <c r="W18873" s="24"/>
      <c r="X18873" s="24"/>
      <c r="Y18873" s="24"/>
      <c r="Z18873" s="24"/>
      <c r="AA18873" s="24"/>
    </row>
    <row r="18874">
      <c r="A18874" s="24"/>
      <c r="B18874" s="25"/>
      <c r="C18874" s="24"/>
      <c r="D18874" s="26"/>
      <c r="E18874" s="24"/>
      <c r="F18874" s="24"/>
      <c r="G18874" s="24"/>
      <c r="H18874" s="24"/>
      <c r="I18874" s="24"/>
      <c r="J18874" s="24"/>
      <c r="K18874" s="24"/>
      <c r="L18874" s="24"/>
      <c r="M18874" s="24"/>
      <c r="N18874" s="24"/>
      <c r="O18874" s="24"/>
      <c r="P18874" s="24"/>
      <c r="Q18874" s="24"/>
      <c r="R18874" s="24"/>
      <c r="S18874" s="24"/>
      <c r="T18874" s="24"/>
      <c r="U18874" s="24"/>
      <c r="V18874" s="24"/>
      <c r="W18874" s="24"/>
      <c r="X18874" s="24"/>
      <c r="Y18874" s="24"/>
      <c r="Z18874" s="24"/>
      <c r="AA18874" s="24"/>
    </row>
    <row r="18875">
      <c r="A18875" s="24"/>
      <c r="B18875" s="25"/>
      <c r="C18875" s="24"/>
      <c r="D18875" s="26"/>
      <c r="E18875" s="24"/>
      <c r="F18875" s="24"/>
      <c r="G18875" s="24"/>
      <c r="H18875" s="24"/>
      <c r="I18875" s="24"/>
      <c r="J18875" s="24"/>
      <c r="K18875" s="24"/>
      <c r="L18875" s="24"/>
      <c r="M18875" s="24"/>
      <c r="N18875" s="24"/>
      <c r="O18875" s="24"/>
      <c r="P18875" s="24"/>
      <c r="Q18875" s="24"/>
      <c r="R18875" s="24"/>
      <c r="S18875" s="24"/>
      <c r="T18875" s="24"/>
      <c r="U18875" s="24"/>
      <c r="V18875" s="24"/>
      <c r="W18875" s="24"/>
      <c r="X18875" s="24"/>
      <c r="Y18875" s="24"/>
      <c r="Z18875" s="24"/>
      <c r="AA18875" s="24"/>
    </row>
    <row r="18876">
      <c r="A18876" s="24"/>
      <c r="B18876" s="25"/>
      <c r="C18876" s="24"/>
      <c r="D18876" s="26"/>
      <c r="E18876" s="24"/>
      <c r="F18876" s="24"/>
      <c r="G18876" s="24"/>
      <c r="H18876" s="24"/>
      <c r="I18876" s="24"/>
      <c r="J18876" s="24"/>
      <c r="K18876" s="24"/>
      <c r="L18876" s="24"/>
      <c r="M18876" s="24"/>
      <c r="N18876" s="24"/>
      <c r="O18876" s="24"/>
      <c r="P18876" s="24"/>
      <c r="Q18876" s="24"/>
      <c r="R18876" s="24"/>
      <c r="S18876" s="24"/>
      <c r="T18876" s="24"/>
      <c r="U18876" s="24"/>
      <c r="V18876" s="24"/>
      <c r="W18876" s="24"/>
      <c r="X18876" s="24"/>
      <c r="Y18876" s="24"/>
      <c r="Z18876" s="24"/>
      <c r="AA18876" s="24"/>
    </row>
    <row r="18877">
      <c r="A18877" s="24"/>
      <c r="B18877" s="25"/>
      <c r="C18877" s="24"/>
      <c r="D18877" s="26"/>
      <c r="E18877" s="24"/>
      <c r="F18877" s="24"/>
      <c r="G18877" s="24"/>
      <c r="H18877" s="24"/>
      <c r="I18877" s="24"/>
      <c r="J18877" s="24"/>
      <c r="K18877" s="24"/>
      <c r="L18877" s="24"/>
      <c r="M18877" s="24"/>
      <c r="N18877" s="24"/>
      <c r="O18877" s="24"/>
      <c r="P18877" s="24"/>
      <c r="Q18877" s="24"/>
      <c r="R18877" s="24"/>
      <c r="S18877" s="24"/>
      <c r="T18877" s="24"/>
      <c r="U18877" s="24"/>
      <c r="V18877" s="24"/>
      <c r="W18877" s="24"/>
      <c r="X18877" s="24"/>
      <c r="Y18877" s="24"/>
      <c r="Z18877" s="24"/>
      <c r="AA18877" s="24"/>
    </row>
    <row r="18878">
      <c r="A18878" s="24"/>
      <c r="B18878" s="25"/>
      <c r="C18878" s="24"/>
      <c r="D18878" s="26"/>
      <c r="E18878" s="24"/>
      <c r="F18878" s="24"/>
      <c r="G18878" s="24"/>
      <c r="H18878" s="24"/>
      <c r="I18878" s="24"/>
      <c r="J18878" s="24"/>
      <c r="K18878" s="24"/>
      <c r="L18878" s="24"/>
      <c r="M18878" s="24"/>
      <c r="N18878" s="24"/>
      <c r="O18878" s="24"/>
      <c r="P18878" s="24"/>
      <c r="Q18878" s="24"/>
      <c r="R18878" s="24"/>
      <c r="S18878" s="24"/>
      <c r="T18878" s="24"/>
      <c r="U18878" s="24"/>
      <c r="V18878" s="24"/>
      <c r="W18878" s="24"/>
      <c r="X18878" s="24"/>
      <c r="Y18878" s="24"/>
      <c r="Z18878" s="24"/>
      <c r="AA18878" s="24"/>
    </row>
    <row r="18879">
      <c r="A18879" s="24"/>
      <c r="B18879" s="25"/>
      <c r="C18879" s="24"/>
      <c r="D18879" s="26"/>
      <c r="E18879" s="24"/>
      <c r="F18879" s="24"/>
      <c r="G18879" s="24"/>
      <c r="H18879" s="24"/>
      <c r="I18879" s="24"/>
      <c r="J18879" s="24"/>
      <c r="K18879" s="24"/>
      <c r="L18879" s="24"/>
      <c r="M18879" s="24"/>
      <c r="N18879" s="24"/>
      <c r="O18879" s="24"/>
      <c r="P18879" s="24"/>
      <c r="Q18879" s="24"/>
      <c r="R18879" s="24"/>
      <c r="S18879" s="24"/>
      <c r="T18879" s="24"/>
      <c r="U18879" s="24"/>
      <c r="V18879" s="24"/>
      <c r="W18879" s="24"/>
      <c r="X18879" s="24"/>
      <c r="Y18879" s="24"/>
      <c r="Z18879" s="24"/>
      <c r="AA18879" s="24"/>
    </row>
    <row r="18880">
      <c r="A18880" s="24"/>
      <c r="B18880" s="25"/>
      <c r="C18880" s="24"/>
      <c r="D18880" s="26"/>
      <c r="E18880" s="24"/>
      <c r="F18880" s="24"/>
      <c r="G18880" s="24"/>
      <c r="H18880" s="24"/>
      <c r="I18880" s="24"/>
      <c r="J18880" s="24"/>
      <c r="K18880" s="24"/>
      <c r="L18880" s="24"/>
      <c r="M18880" s="24"/>
      <c r="N18880" s="24"/>
      <c r="O18880" s="24"/>
      <c r="P18880" s="24"/>
      <c r="Q18880" s="24"/>
      <c r="R18880" s="24"/>
      <c r="S18880" s="24"/>
      <c r="T18880" s="24"/>
      <c r="U18880" s="24"/>
      <c r="V18880" s="24"/>
      <c r="W18880" s="24"/>
      <c r="X18880" s="24"/>
      <c r="Y18880" s="24"/>
      <c r="Z18880" s="24"/>
      <c r="AA18880" s="24"/>
    </row>
    <row r="18881">
      <c r="A18881" s="24"/>
      <c r="B18881" s="25"/>
      <c r="C18881" s="24"/>
      <c r="D18881" s="26"/>
      <c r="E18881" s="24"/>
      <c r="F18881" s="24"/>
      <c r="G18881" s="24"/>
      <c r="H18881" s="24"/>
      <c r="I18881" s="24"/>
      <c r="J18881" s="24"/>
      <c r="K18881" s="24"/>
      <c r="L18881" s="24"/>
      <c r="M18881" s="24"/>
      <c r="N18881" s="24"/>
      <c r="O18881" s="24"/>
      <c r="P18881" s="24"/>
      <c r="Q18881" s="24"/>
      <c r="R18881" s="24"/>
      <c r="S18881" s="24"/>
      <c r="T18881" s="24"/>
      <c r="U18881" s="24"/>
      <c r="V18881" s="24"/>
      <c r="W18881" s="24"/>
      <c r="X18881" s="24"/>
      <c r="Y18881" s="24"/>
      <c r="Z18881" s="24"/>
      <c r="AA18881" s="24"/>
    </row>
    <row r="18882">
      <c r="A18882" s="24"/>
      <c r="B18882" s="25"/>
      <c r="C18882" s="24"/>
      <c r="D18882" s="26"/>
      <c r="E18882" s="24"/>
      <c r="F18882" s="24"/>
      <c r="G18882" s="24"/>
      <c r="H18882" s="24"/>
      <c r="I18882" s="24"/>
      <c r="J18882" s="24"/>
      <c r="K18882" s="24"/>
      <c r="L18882" s="24"/>
      <c r="M18882" s="24"/>
      <c r="N18882" s="24"/>
      <c r="O18882" s="24"/>
      <c r="P18882" s="24"/>
      <c r="Q18882" s="24"/>
      <c r="R18882" s="24"/>
      <c r="S18882" s="24"/>
      <c r="T18882" s="24"/>
      <c r="U18882" s="24"/>
      <c r="V18882" s="24"/>
      <c r="W18882" s="24"/>
      <c r="X18882" s="24"/>
      <c r="Y18882" s="24"/>
      <c r="Z18882" s="24"/>
      <c r="AA18882" s="24"/>
    </row>
    <row r="18883">
      <c r="A18883" s="24"/>
      <c r="B18883" s="25"/>
      <c r="C18883" s="24"/>
      <c r="D18883" s="26"/>
      <c r="E18883" s="24"/>
      <c r="F18883" s="24"/>
      <c r="G18883" s="24"/>
      <c r="H18883" s="24"/>
      <c r="I18883" s="24"/>
      <c r="J18883" s="24"/>
      <c r="K18883" s="24"/>
      <c r="L18883" s="24"/>
      <c r="M18883" s="24"/>
      <c r="N18883" s="24"/>
      <c r="O18883" s="24"/>
      <c r="P18883" s="24"/>
      <c r="Q18883" s="24"/>
      <c r="R18883" s="24"/>
      <c r="S18883" s="24"/>
      <c r="T18883" s="24"/>
      <c r="U18883" s="24"/>
      <c r="V18883" s="24"/>
      <c r="W18883" s="24"/>
      <c r="X18883" s="24"/>
      <c r="Y18883" s="24"/>
      <c r="Z18883" s="24"/>
      <c r="AA18883" s="24"/>
    </row>
    <row r="18884">
      <c r="A18884" s="24"/>
      <c r="B18884" s="25"/>
      <c r="C18884" s="24"/>
      <c r="D18884" s="26"/>
      <c r="E18884" s="24"/>
      <c r="F18884" s="24"/>
      <c r="G18884" s="24"/>
      <c r="H18884" s="24"/>
      <c r="I18884" s="24"/>
      <c r="J18884" s="24"/>
      <c r="K18884" s="24"/>
      <c r="L18884" s="24"/>
      <c r="M18884" s="24"/>
      <c r="N18884" s="24"/>
      <c r="O18884" s="24"/>
      <c r="P18884" s="24"/>
      <c r="Q18884" s="24"/>
      <c r="R18884" s="24"/>
      <c r="S18884" s="24"/>
      <c r="T18884" s="24"/>
      <c r="U18884" s="24"/>
      <c r="V18884" s="24"/>
      <c r="W18884" s="24"/>
      <c r="X18884" s="24"/>
      <c r="Y18884" s="24"/>
      <c r="Z18884" s="24"/>
      <c r="AA18884" s="24"/>
    </row>
    <row r="18885">
      <c r="A18885" s="24"/>
      <c r="B18885" s="25"/>
      <c r="C18885" s="24"/>
      <c r="D18885" s="26"/>
      <c r="E18885" s="24"/>
      <c r="F18885" s="24"/>
      <c r="G18885" s="24"/>
      <c r="H18885" s="24"/>
      <c r="I18885" s="24"/>
      <c r="J18885" s="24"/>
      <c r="K18885" s="24"/>
      <c r="L18885" s="24"/>
      <c r="M18885" s="24"/>
      <c r="N18885" s="24"/>
      <c r="O18885" s="24"/>
      <c r="P18885" s="24"/>
      <c r="Q18885" s="24"/>
      <c r="R18885" s="24"/>
      <c r="S18885" s="24"/>
      <c r="T18885" s="24"/>
      <c r="U18885" s="24"/>
      <c r="V18885" s="24"/>
      <c r="W18885" s="24"/>
      <c r="X18885" s="24"/>
      <c r="Y18885" s="24"/>
      <c r="Z18885" s="24"/>
      <c r="AA18885" s="24"/>
    </row>
    <row r="18886">
      <c r="A18886" s="24"/>
      <c r="B18886" s="25"/>
      <c r="C18886" s="24"/>
      <c r="D18886" s="26"/>
      <c r="E18886" s="24"/>
      <c r="F18886" s="24"/>
      <c r="G18886" s="24"/>
      <c r="H18886" s="24"/>
      <c r="I18886" s="24"/>
      <c r="J18886" s="24"/>
      <c r="K18886" s="24"/>
      <c r="L18886" s="24"/>
      <c r="M18886" s="24"/>
      <c r="N18886" s="24"/>
      <c r="O18886" s="24"/>
      <c r="P18886" s="24"/>
      <c r="Q18886" s="24"/>
      <c r="R18886" s="24"/>
      <c r="S18886" s="24"/>
      <c r="T18886" s="24"/>
      <c r="U18886" s="24"/>
      <c r="V18886" s="24"/>
      <c r="W18886" s="24"/>
      <c r="X18886" s="24"/>
      <c r="Y18886" s="24"/>
      <c r="Z18886" s="24"/>
      <c r="AA18886" s="24"/>
    </row>
    <row r="18887">
      <c r="A18887" s="24"/>
      <c r="B18887" s="25"/>
      <c r="C18887" s="24"/>
      <c r="D18887" s="26"/>
      <c r="E18887" s="24"/>
      <c r="F18887" s="24"/>
      <c r="G18887" s="24"/>
      <c r="H18887" s="24"/>
      <c r="I18887" s="24"/>
      <c r="J18887" s="24"/>
      <c r="K18887" s="24"/>
      <c r="L18887" s="24"/>
      <c r="M18887" s="24"/>
      <c r="N18887" s="24"/>
      <c r="O18887" s="24"/>
      <c r="P18887" s="24"/>
      <c r="Q18887" s="24"/>
      <c r="R18887" s="24"/>
      <c r="S18887" s="24"/>
      <c r="T18887" s="24"/>
      <c r="U18887" s="24"/>
      <c r="V18887" s="24"/>
      <c r="W18887" s="24"/>
      <c r="X18887" s="24"/>
      <c r="Y18887" s="24"/>
      <c r="Z18887" s="24"/>
      <c r="AA18887" s="24"/>
    </row>
    <row r="18888">
      <c r="A18888" s="24"/>
      <c r="B18888" s="25"/>
      <c r="C18888" s="24"/>
      <c r="D18888" s="26"/>
      <c r="E18888" s="24"/>
      <c r="F18888" s="24"/>
      <c r="G18888" s="24"/>
      <c r="H18888" s="24"/>
      <c r="I18888" s="24"/>
      <c r="J18888" s="24"/>
      <c r="K18888" s="24"/>
      <c r="L18888" s="24"/>
      <c r="M18888" s="24"/>
      <c r="N18888" s="24"/>
      <c r="O18888" s="24"/>
      <c r="P18888" s="24"/>
      <c r="Q18888" s="24"/>
      <c r="R18888" s="24"/>
      <c r="S18888" s="24"/>
      <c r="T18888" s="24"/>
      <c r="U18888" s="24"/>
      <c r="V18888" s="24"/>
      <c r="W18888" s="24"/>
      <c r="X18888" s="24"/>
      <c r="Y18888" s="24"/>
      <c r="Z18888" s="24"/>
      <c r="AA18888" s="24"/>
    </row>
    <row r="18889">
      <c r="A18889" s="24"/>
      <c r="B18889" s="25"/>
      <c r="C18889" s="24"/>
      <c r="D18889" s="26"/>
      <c r="E18889" s="24"/>
      <c r="F18889" s="24"/>
      <c r="G18889" s="24"/>
      <c r="H18889" s="24"/>
      <c r="I18889" s="24"/>
      <c r="J18889" s="24"/>
      <c r="K18889" s="24"/>
      <c r="L18889" s="24"/>
      <c r="M18889" s="24"/>
      <c r="N18889" s="24"/>
      <c r="O18889" s="24"/>
      <c r="P18889" s="24"/>
      <c r="Q18889" s="24"/>
      <c r="R18889" s="24"/>
      <c r="S18889" s="24"/>
      <c r="T18889" s="24"/>
      <c r="U18889" s="24"/>
      <c r="V18889" s="24"/>
      <c r="W18889" s="24"/>
      <c r="X18889" s="24"/>
      <c r="Y18889" s="24"/>
      <c r="Z18889" s="24"/>
      <c r="AA18889" s="24"/>
    </row>
    <row r="18890">
      <c r="A18890" s="24"/>
      <c r="B18890" s="25"/>
      <c r="C18890" s="24"/>
      <c r="D18890" s="26"/>
      <c r="E18890" s="24"/>
      <c r="F18890" s="24"/>
      <c r="G18890" s="24"/>
      <c r="H18890" s="24"/>
      <c r="I18890" s="24"/>
      <c r="J18890" s="24"/>
      <c r="K18890" s="24"/>
      <c r="L18890" s="24"/>
      <c r="M18890" s="24"/>
      <c r="N18890" s="24"/>
      <c r="O18890" s="24"/>
      <c r="P18890" s="24"/>
      <c r="Q18890" s="24"/>
      <c r="R18890" s="24"/>
      <c r="S18890" s="24"/>
      <c r="T18890" s="24"/>
      <c r="U18890" s="24"/>
      <c r="V18890" s="24"/>
      <c r="W18890" s="24"/>
      <c r="X18890" s="24"/>
      <c r="Y18890" s="24"/>
      <c r="Z18890" s="24"/>
      <c r="AA18890" s="24"/>
    </row>
    <row r="18891">
      <c r="A18891" s="24"/>
      <c r="B18891" s="25"/>
      <c r="C18891" s="24"/>
      <c r="D18891" s="26"/>
      <c r="E18891" s="24"/>
      <c r="F18891" s="24"/>
      <c r="G18891" s="24"/>
      <c r="H18891" s="24"/>
      <c r="I18891" s="24"/>
      <c r="J18891" s="24"/>
      <c r="K18891" s="24"/>
      <c r="L18891" s="24"/>
      <c r="M18891" s="24"/>
      <c r="N18891" s="24"/>
      <c r="O18891" s="24"/>
      <c r="P18891" s="24"/>
      <c r="Q18891" s="24"/>
      <c r="R18891" s="24"/>
      <c r="S18891" s="24"/>
      <c r="T18891" s="24"/>
      <c r="U18891" s="24"/>
      <c r="V18891" s="24"/>
      <c r="W18891" s="24"/>
      <c r="X18891" s="24"/>
      <c r="Y18891" s="24"/>
      <c r="Z18891" s="24"/>
      <c r="AA18891" s="24"/>
    </row>
    <row r="18892">
      <c r="A18892" s="24"/>
      <c r="B18892" s="25"/>
      <c r="C18892" s="24"/>
      <c r="D18892" s="26"/>
      <c r="E18892" s="24"/>
      <c r="F18892" s="24"/>
      <c r="G18892" s="24"/>
      <c r="H18892" s="24"/>
      <c r="I18892" s="24"/>
      <c r="J18892" s="24"/>
      <c r="K18892" s="24"/>
      <c r="L18892" s="24"/>
      <c r="M18892" s="24"/>
      <c r="N18892" s="24"/>
      <c r="O18892" s="24"/>
      <c r="P18892" s="24"/>
      <c r="Q18892" s="24"/>
      <c r="R18892" s="24"/>
      <c r="S18892" s="24"/>
      <c r="T18892" s="24"/>
      <c r="U18892" s="24"/>
      <c r="V18892" s="24"/>
      <c r="W18892" s="24"/>
      <c r="X18892" s="24"/>
      <c r="Y18892" s="24"/>
      <c r="Z18892" s="24"/>
      <c r="AA18892" s="24"/>
    </row>
    <row r="18893">
      <c r="A18893" s="24"/>
      <c r="B18893" s="25"/>
      <c r="C18893" s="24"/>
      <c r="D18893" s="26"/>
      <c r="E18893" s="24"/>
      <c r="F18893" s="24"/>
      <c r="G18893" s="24"/>
      <c r="H18893" s="24"/>
      <c r="I18893" s="24"/>
      <c r="J18893" s="24"/>
      <c r="K18893" s="24"/>
      <c r="L18893" s="24"/>
      <c r="M18893" s="24"/>
      <c r="N18893" s="24"/>
      <c r="O18893" s="24"/>
      <c r="P18893" s="24"/>
      <c r="Q18893" s="24"/>
      <c r="R18893" s="24"/>
      <c r="S18893" s="24"/>
      <c r="T18893" s="24"/>
      <c r="U18893" s="24"/>
      <c r="V18893" s="24"/>
      <c r="W18893" s="24"/>
      <c r="X18893" s="24"/>
      <c r="Y18893" s="24"/>
      <c r="Z18893" s="24"/>
      <c r="AA18893" s="24"/>
    </row>
    <row r="18894">
      <c r="A18894" s="24"/>
      <c r="B18894" s="25"/>
      <c r="C18894" s="24"/>
      <c r="D18894" s="26"/>
      <c r="E18894" s="24"/>
      <c r="F18894" s="24"/>
      <c r="G18894" s="24"/>
      <c r="H18894" s="24"/>
      <c r="I18894" s="24"/>
      <c r="J18894" s="24"/>
      <c r="K18894" s="24"/>
      <c r="L18894" s="24"/>
      <c r="M18894" s="24"/>
      <c r="N18894" s="24"/>
      <c r="O18894" s="24"/>
      <c r="P18894" s="24"/>
      <c r="Q18894" s="24"/>
      <c r="R18894" s="24"/>
      <c r="S18894" s="24"/>
      <c r="T18894" s="24"/>
      <c r="U18894" s="24"/>
      <c r="V18894" s="24"/>
      <c r="W18894" s="24"/>
      <c r="X18894" s="24"/>
      <c r="Y18894" s="24"/>
      <c r="Z18894" s="24"/>
      <c r="AA18894" s="24"/>
    </row>
    <row r="18895">
      <c r="A18895" s="24"/>
      <c r="B18895" s="25"/>
      <c r="C18895" s="24"/>
      <c r="D18895" s="26"/>
      <c r="E18895" s="24"/>
      <c r="F18895" s="24"/>
      <c r="G18895" s="24"/>
      <c r="H18895" s="24"/>
      <c r="I18895" s="24"/>
      <c r="J18895" s="24"/>
      <c r="K18895" s="24"/>
      <c r="L18895" s="24"/>
      <c r="M18895" s="24"/>
      <c r="N18895" s="24"/>
      <c r="O18895" s="24"/>
      <c r="P18895" s="24"/>
      <c r="Q18895" s="24"/>
      <c r="R18895" s="24"/>
      <c r="S18895" s="24"/>
      <c r="T18895" s="24"/>
      <c r="U18895" s="24"/>
      <c r="V18895" s="24"/>
      <c r="W18895" s="24"/>
      <c r="X18895" s="24"/>
      <c r="Y18895" s="24"/>
      <c r="Z18895" s="24"/>
      <c r="AA18895" s="24"/>
    </row>
    <row r="18896">
      <c r="A18896" s="24"/>
      <c r="B18896" s="25"/>
      <c r="C18896" s="24"/>
      <c r="D18896" s="26"/>
      <c r="E18896" s="24"/>
      <c r="F18896" s="24"/>
      <c r="G18896" s="24"/>
      <c r="H18896" s="24"/>
      <c r="I18896" s="24"/>
      <c r="J18896" s="24"/>
      <c r="K18896" s="24"/>
      <c r="L18896" s="24"/>
      <c r="M18896" s="24"/>
      <c r="N18896" s="24"/>
      <c r="O18896" s="24"/>
      <c r="P18896" s="24"/>
      <c r="Q18896" s="24"/>
      <c r="R18896" s="24"/>
      <c r="S18896" s="24"/>
      <c r="T18896" s="24"/>
      <c r="U18896" s="24"/>
      <c r="V18896" s="24"/>
      <c r="W18896" s="24"/>
      <c r="X18896" s="24"/>
      <c r="Y18896" s="24"/>
      <c r="Z18896" s="24"/>
      <c r="AA18896" s="24"/>
    </row>
    <row r="18897">
      <c r="A18897" s="24"/>
      <c r="B18897" s="25"/>
      <c r="C18897" s="24"/>
      <c r="D18897" s="26"/>
      <c r="E18897" s="24"/>
      <c r="F18897" s="24"/>
      <c r="G18897" s="24"/>
      <c r="H18897" s="24"/>
      <c r="I18897" s="24"/>
      <c r="J18897" s="24"/>
      <c r="K18897" s="24"/>
      <c r="L18897" s="24"/>
      <c r="M18897" s="24"/>
      <c r="N18897" s="24"/>
      <c r="O18897" s="24"/>
      <c r="P18897" s="24"/>
      <c r="Q18897" s="24"/>
      <c r="R18897" s="24"/>
      <c r="S18897" s="24"/>
      <c r="T18897" s="24"/>
      <c r="U18897" s="24"/>
      <c r="V18897" s="24"/>
      <c r="W18897" s="24"/>
      <c r="X18897" s="24"/>
      <c r="Y18897" s="24"/>
      <c r="Z18897" s="24"/>
      <c r="AA18897" s="24"/>
    </row>
    <row r="18898">
      <c r="A18898" s="24"/>
      <c r="B18898" s="25"/>
      <c r="C18898" s="24"/>
      <c r="D18898" s="26"/>
      <c r="E18898" s="24"/>
      <c r="F18898" s="24"/>
      <c r="G18898" s="24"/>
      <c r="H18898" s="24"/>
      <c r="I18898" s="24"/>
      <c r="J18898" s="24"/>
      <c r="K18898" s="24"/>
      <c r="L18898" s="24"/>
      <c r="M18898" s="24"/>
      <c r="N18898" s="24"/>
      <c r="O18898" s="24"/>
      <c r="P18898" s="24"/>
      <c r="Q18898" s="24"/>
      <c r="R18898" s="24"/>
      <c r="S18898" s="24"/>
      <c r="T18898" s="24"/>
      <c r="U18898" s="24"/>
      <c r="V18898" s="24"/>
      <c r="W18898" s="24"/>
      <c r="X18898" s="24"/>
      <c r="Y18898" s="24"/>
      <c r="Z18898" s="24"/>
      <c r="AA18898" s="24"/>
    </row>
    <row r="18899">
      <c r="A18899" s="24"/>
      <c r="B18899" s="25"/>
      <c r="C18899" s="24"/>
      <c r="D18899" s="26"/>
      <c r="E18899" s="24"/>
      <c r="F18899" s="24"/>
      <c r="G18899" s="24"/>
      <c r="H18899" s="24"/>
      <c r="I18899" s="24"/>
      <c r="J18899" s="24"/>
      <c r="K18899" s="24"/>
      <c r="L18899" s="24"/>
      <c r="M18899" s="24"/>
      <c r="N18899" s="24"/>
      <c r="O18899" s="24"/>
      <c r="P18899" s="24"/>
      <c r="Q18899" s="24"/>
      <c r="R18899" s="24"/>
      <c r="S18899" s="24"/>
      <c r="T18899" s="24"/>
      <c r="U18899" s="24"/>
      <c r="V18899" s="24"/>
      <c r="W18899" s="24"/>
      <c r="X18899" s="24"/>
      <c r="Y18899" s="24"/>
      <c r="Z18899" s="24"/>
      <c r="AA18899" s="24"/>
    </row>
    <row r="18900">
      <c r="A18900" s="24"/>
      <c r="B18900" s="25"/>
      <c r="C18900" s="24"/>
      <c r="D18900" s="26"/>
      <c r="E18900" s="24"/>
      <c r="F18900" s="24"/>
      <c r="G18900" s="24"/>
      <c r="H18900" s="24"/>
      <c r="I18900" s="24"/>
      <c r="J18900" s="24"/>
      <c r="K18900" s="24"/>
      <c r="L18900" s="24"/>
      <c r="M18900" s="24"/>
      <c r="N18900" s="24"/>
      <c r="O18900" s="24"/>
      <c r="P18900" s="24"/>
      <c r="Q18900" s="24"/>
      <c r="R18900" s="24"/>
      <c r="S18900" s="24"/>
      <c r="T18900" s="24"/>
      <c r="U18900" s="24"/>
      <c r="V18900" s="24"/>
      <c r="W18900" s="24"/>
      <c r="X18900" s="24"/>
      <c r="Y18900" s="24"/>
      <c r="Z18900" s="24"/>
      <c r="AA18900" s="24"/>
    </row>
    <row r="18901">
      <c r="A18901" s="24"/>
      <c r="B18901" s="25"/>
      <c r="C18901" s="24"/>
      <c r="D18901" s="26"/>
      <c r="E18901" s="24"/>
      <c r="F18901" s="24"/>
      <c r="G18901" s="24"/>
      <c r="H18901" s="24"/>
      <c r="I18901" s="24"/>
      <c r="J18901" s="24"/>
      <c r="K18901" s="24"/>
      <c r="L18901" s="24"/>
      <c r="M18901" s="24"/>
      <c r="N18901" s="24"/>
      <c r="O18901" s="24"/>
      <c r="P18901" s="24"/>
      <c r="Q18901" s="24"/>
      <c r="R18901" s="24"/>
      <c r="S18901" s="24"/>
      <c r="T18901" s="24"/>
      <c r="U18901" s="24"/>
      <c r="V18901" s="24"/>
      <c r="W18901" s="24"/>
      <c r="X18901" s="24"/>
      <c r="Y18901" s="24"/>
      <c r="Z18901" s="24"/>
      <c r="AA18901" s="24"/>
    </row>
    <row r="18902">
      <c r="A18902" s="24"/>
      <c r="B18902" s="25"/>
      <c r="C18902" s="24"/>
      <c r="D18902" s="26"/>
      <c r="E18902" s="24"/>
      <c r="F18902" s="24"/>
      <c r="G18902" s="24"/>
      <c r="H18902" s="24"/>
      <c r="I18902" s="24"/>
      <c r="J18902" s="24"/>
      <c r="K18902" s="24"/>
      <c r="L18902" s="24"/>
      <c r="M18902" s="24"/>
      <c r="N18902" s="24"/>
      <c r="O18902" s="24"/>
      <c r="P18902" s="24"/>
      <c r="Q18902" s="24"/>
      <c r="R18902" s="24"/>
      <c r="S18902" s="24"/>
      <c r="T18902" s="24"/>
      <c r="U18902" s="24"/>
      <c r="V18902" s="24"/>
      <c r="W18902" s="24"/>
      <c r="X18902" s="24"/>
      <c r="Y18902" s="24"/>
      <c r="Z18902" s="24"/>
      <c r="AA18902" s="24"/>
    </row>
    <row r="18903">
      <c r="A18903" s="24"/>
      <c r="B18903" s="25"/>
      <c r="C18903" s="24"/>
      <c r="D18903" s="26"/>
      <c r="E18903" s="24"/>
      <c r="F18903" s="24"/>
      <c r="G18903" s="24"/>
      <c r="H18903" s="24"/>
      <c r="I18903" s="24"/>
      <c r="J18903" s="24"/>
      <c r="K18903" s="24"/>
      <c r="L18903" s="24"/>
      <c r="M18903" s="24"/>
      <c r="N18903" s="24"/>
      <c r="O18903" s="24"/>
      <c r="P18903" s="24"/>
      <c r="Q18903" s="24"/>
      <c r="R18903" s="24"/>
      <c r="S18903" s="24"/>
      <c r="T18903" s="24"/>
      <c r="U18903" s="24"/>
      <c r="V18903" s="24"/>
      <c r="W18903" s="24"/>
      <c r="X18903" s="24"/>
      <c r="Y18903" s="24"/>
      <c r="Z18903" s="24"/>
      <c r="AA18903" s="24"/>
    </row>
    <row r="18904">
      <c r="A18904" s="24"/>
      <c r="B18904" s="25"/>
      <c r="C18904" s="24"/>
      <c r="D18904" s="26"/>
      <c r="E18904" s="24"/>
      <c r="F18904" s="24"/>
      <c r="G18904" s="24"/>
      <c r="H18904" s="24"/>
      <c r="I18904" s="24"/>
      <c r="J18904" s="24"/>
      <c r="K18904" s="24"/>
      <c r="L18904" s="24"/>
      <c r="M18904" s="24"/>
      <c r="N18904" s="24"/>
      <c r="O18904" s="24"/>
      <c r="P18904" s="24"/>
      <c r="Q18904" s="24"/>
      <c r="R18904" s="24"/>
      <c r="S18904" s="24"/>
      <c r="T18904" s="24"/>
      <c r="U18904" s="24"/>
      <c r="V18904" s="24"/>
      <c r="W18904" s="24"/>
      <c r="X18904" s="24"/>
      <c r="Y18904" s="24"/>
      <c r="Z18904" s="24"/>
      <c r="AA18904" s="24"/>
    </row>
    <row r="18905">
      <c r="A18905" s="24"/>
      <c r="B18905" s="25"/>
      <c r="C18905" s="24"/>
      <c r="D18905" s="26"/>
      <c r="E18905" s="24"/>
      <c r="F18905" s="24"/>
      <c r="G18905" s="24"/>
      <c r="H18905" s="24"/>
      <c r="I18905" s="24"/>
      <c r="J18905" s="24"/>
      <c r="K18905" s="24"/>
      <c r="L18905" s="24"/>
      <c r="M18905" s="24"/>
      <c r="N18905" s="24"/>
      <c r="O18905" s="24"/>
      <c r="P18905" s="24"/>
      <c r="Q18905" s="24"/>
      <c r="R18905" s="24"/>
      <c r="S18905" s="24"/>
      <c r="T18905" s="24"/>
      <c r="U18905" s="24"/>
      <c r="V18905" s="24"/>
      <c r="W18905" s="24"/>
      <c r="X18905" s="24"/>
      <c r="Y18905" s="24"/>
      <c r="Z18905" s="24"/>
      <c r="AA18905" s="24"/>
    </row>
    <row r="18906">
      <c r="A18906" s="24"/>
      <c r="B18906" s="25"/>
      <c r="C18906" s="24"/>
      <c r="D18906" s="26"/>
      <c r="E18906" s="24"/>
      <c r="F18906" s="24"/>
      <c r="G18906" s="24"/>
      <c r="H18906" s="24"/>
      <c r="I18906" s="24"/>
      <c r="J18906" s="24"/>
      <c r="K18906" s="24"/>
      <c r="L18906" s="24"/>
      <c r="M18906" s="24"/>
      <c r="N18906" s="24"/>
      <c r="O18906" s="24"/>
      <c r="P18906" s="24"/>
      <c r="Q18906" s="24"/>
      <c r="R18906" s="24"/>
      <c r="S18906" s="24"/>
      <c r="T18906" s="24"/>
      <c r="U18906" s="24"/>
      <c r="V18906" s="24"/>
      <c r="W18906" s="24"/>
      <c r="X18906" s="24"/>
      <c r="Y18906" s="24"/>
      <c r="Z18906" s="24"/>
      <c r="AA18906" s="24"/>
    </row>
    <row r="18907">
      <c r="A18907" s="24"/>
      <c r="B18907" s="25"/>
      <c r="C18907" s="24"/>
      <c r="D18907" s="26"/>
      <c r="E18907" s="24"/>
      <c r="F18907" s="24"/>
      <c r="G18907" s="24"/>
      <c r="H18907" s="24"/>
      <c r="I18907" s="24"/>
      <c r="J18907" s="24"/>
      <c r="K18907" s="24"/>
      <c r="L18907" s="24"/>
      <c r="M18907" s="24"/>
      <c r="N18907" s="24"/>
      <c r="O18907" s="24"/>
      <c r="P18907" s="24"/>
      <c r="Q18907" s="24"/>
      <c r="R18907" s="24"/>
      <c r="S18907" s="24"/>
      <c r="T18907" s="24"/>
      <c r="U18907" s="24"/>
      <c r="V18907" s="24"/>
      <c r="W18907" s="24"/>
      <c r="X18907" s="24"/>
      <c r="Y18907" s="24"/>
      <c r="Z18907" s="24"/>
      <c r="AA18907" s="24"/>
    </row>
    <row r="18908">
      <c r="A18908" s="24"/>
      <c r="B18908" s="25"/>
      <c r="C18908" s="24"/>
      <c r="D18908" s="26"/>
      <c r="E18908" s="24"/>
      <c r="F18908" s="24"/>
      <c r="G18908" s="24"/>
      <c r="H18908" s="24"/>
      <c r="I18908" s="24"/>
      <c r="J18908" s="24"/>
      <c r="K18908" s="24"/>
      <c r="L18908" s="24"/>
      <c r="M18908" s="24"/>
      <c r="N18908" s="24"/>
      <c r="O18908" s="24"/>
      <c r="P18908" s="24"/>
      <c r="Q18908" s="24"/>
      <c r="R18908" s="24"/>
      <c r="S18908" s="24"/>
      <c r="T18908" s="24"/>
      <c r="U18908" s="24"/>
      <c r="V18908" s="24"/>
      <c r="W18908" s="24"/>
      <c r="X18908" s="24"/>
      <c r="Y18908" s="24"/>
      <c r="Z18908" s="24"/>
      <c r="AA18908" s="24"/>
    </row>
    <row r="18909">
      <c r="A18909" s="24"/>
      <c r="B18909" s="25"/>
      <c r="C18909" s="24"/>
      <c r="D18909" s="26"/>
      <c r="E18909" s="24"/>
      <c r="F18909" s="24"/>
      <c r="G18909" s="24"/>
      <c r="H18909" s="24"/>
      <c r="I18909" s="24"/>
      <c r="J18909" s="24"/>
      <c r="K18909" s="24"/>
      <c r="L18909" s="24"/>
      <c r="M18909" s="24"/>
      <c r="N18909" s="24"/>
      <c r="O18909" s="24"/>
      <c r="P18909" s="24"/>
      <c r="Q18909" s="24"/>
      <c r="R18909" s="24"/>
      <c r="S18909" s="24"/>
      <c r="T18909" s="24"/>
      <c r="U18909" s="24"/>
      <c r="V18909" s="24"/>
      <c r="W18909" s="24"/>
      <c r="X18909" s="24"/>
      <c r="Y18909" s="24"/>
      <c r="Z18909" s="24"/>
      <c r="AA18909" s="24"/>
    </row>
    <row r="18910">
      <c r="A18910" s="24"/>
      <c r="B18910" s="25"/>
      <c r="C18910" s="24"/>
      <c r="D18910" s="26"/>
      <c r="E18910" s="24"/>
      <c r="F18910" s="24"/>
      <c r="G18910" s="24"/>
      <c r="H18910" s="24"/>
      <c r="I18910" s="24"/>
      <c r="J18910" s="24"/>
      <c r="K18910" s="24"/>
      <c r="L18910" s="24"/>
      <c r="M18910" s="24"/>
      <c r="N18910" s="24"/>
      <c r="O18910" s="24"/>
      <c r="P18910" s="24"/>
      <c r="Q18910" s="24"/>
      <c r="R18910" s="24"/>
      <c r="S18910" s="24"/>
      <c r="T18910" s="24"/>
      <c r="U18910" s="24"/>
      <c r="V18910" s="24"/>
      <c r="W18910" s="24"/>
      <c r="X18910" s="24"/>
      <c r="Y18910" s="24"/>
      <c r="Z18910" s="24"/>
      <c r="AA18910" s="24"/>
    </row>
    <row r="18911">
      <c r="A18911" s="24"/>
      <c r="B18911" s="25"/>
      <c r="C18911" s="24"/>
      <c r="D18911" s="26"/>
      <c r="E18911" s="24"/>
      <c r="F18911" s="24"/>
      <c r="G18911" s="24"/>
      <c r="H18911" s="24"/>
      <c r="I18911" s="24"/>
      <c r="J18911" s="24"/>
      <c r="K18911" s="24"/>
      <c r="L18911" s="24"/>
      <c r="M18911" s="24"/>
      <c r="N18911" s="24"/>
      <c r="O18911" s="24"/>
      <c r="P18911" s="24"/>
      <c r="Q18911" s="24"/>
      <c r="R18911" s="24"/>
      <c r="S18911" s="24"/>
      <c r="T18911" s="24"/>
      <c r="U18911" s="24"/>
      <c r="V18911" s="24"/>
      <c r="W18911" s="24"/>
      <c r="X18911" s="24"/>
      <c r="Y18911" s="24"/>
      <c r="Z18911" s="24"/>
      <c r="AA18911" s="24"/>
    </row>
    <row r="18912">
      <c r="A18912" s="24"/>
      <c r="B18912" s="25"/>
      <c r="C18912" s="24"/>
      <c r="D18912" s="26"/>
      <c r="E18912" s="24"/>
      <c r="F18912" s="24"/>
      <c r="G18912" s="24"/>
      <c r="H18912" s="24"/>
      <c r="I18912" s="24"/>
      <c r="J18912" s="24"/>
      <c r="K18912" s="24"/>
      <c r="L18912" s="24"/>
      <c r="M18912" s="24"/>
      <c r="N18912" s="24"/>
      <c r="O18912" s="24"/>
      <c r="P18912" s="24"/>
      <c r="Q18912" s="24"/>
      <c r="R18912" s="24"/>
      <c r="S18912" s="24"/>
      <c r="T18912" s="24"/>
      <c r="U18912" s="24"/>
      <c r="V18912" s="24"/>
      <c r="W18912" s="24"/>
      <c r="X18912" s="24"/>
      <c r="Y18912" s="24"/>
      <c r="Z18912" s="24"/>
      <c r="AA18912" s="24"/>
    </row>
    <row r="18913">
      <c r="A18913" s="24"/>
      <c r="B18913" s="25"/>
      <c r="C18913" s="24"/>
      <c r="D18913" s="26"/>
      <c r="E18913" s="24"/>
      <c r="F18913" s="24"/>
      <c r="G18913" s="24"/>
      <c r="H18913" s="24"/>
      <c r="I18913" s="24"/>
      <c r="J18913" s="24"/>
      <c r="K18913" s="24"/>
      <c r="L18913" s="24"/>
      <c r="M18913" s="24"/>
      <c r="N18913" s="24"/>
      <c r="O18913" s="24"/>
      <c r="P18913" s="24"/>
      <c r="Q18913" s="24"/>
      <c r="R18913" s="24"/>
      <c r="S18913" s="24"/>
      <c r="T18913" s="24"/>
      <c r="U18913" s="24"/>
      <c r="V18913" s="24"/>
      <c r="W18913" s="24"/>
      <c r="X18913" s="24"/>
      <c r="Y18913" s="24"/>
      <c r="Z18913" s="24"/>
      <c r="AA18913" s="24"/>
    </row>
    <row r="18914">
      <c r="A18914" s="24"/>
      <c r="B18914" s="25"/>
      <c r="C18914" s="24"/>
      <c r="D18914" s="26"/>
      <c r="E18914" s="24"/>
      <c r="F18914" s="24"/>
      <c r="G18914" s="24"/>
      <c r="H18914" s="24"/>
      <c r="I18914" s="24"/>
      <c r="J18914" s="24"/>
      <c r="K18914" s="24"/>
      <c r="L18914" s="24"/>
      <c r="M18914" s="24"/>
      <c r="N18914" s="24"/>
      <c r="O18914" s="24"/>
      <c r="P18914" s="24"/>
      <c r="Q18914" s="24"/>
      <c r="R18914" s="24"/>
      <c r="S18914" s="24"/>
      <c r="T18914" s="24"/>
      <c r="U18914" s="24"/>
      <c r="V18914" s="24"/>
      <c r="W18914" s="24"/>
      <c r="X18914" s="24"/>
      <c r="Y18914" s="24"/>
      <c r="Z18914" s="24"/>
      <c r="AA18914" s="24"/>
    </row>
    <row r="18915">
      <c r="A18915" s="24"/>
      <c r="B18915" s="25"/>
      <c r="C18915" s="24"/>
      <c r="D18915" s="26"/>
      <c r="E18915" s="24"/>
      <c r="F18915" s="24"/>
      <c r="G18915" s="24"/>
      <c r="H18915" s="24"/>
      <c r="I18915" s="24"/>
      <c r="J18915" s="24"/>
      <c r="K18915" s="24"/>
      <c r="L18915" s="24"/>
      <c r="M18915" s="24"/>
      <c r="N18915" s="24"/>
      <c r="O18915" s="24"/>
      <c r="P18915" s="24"/>
      <c r="Q18915" s="24"/>
      <c r="R18915" s="24"/>
      <c r="S18915" s="24"/>
      <c r="T18915" s="24"/>
      <c r="U18915" s="24"/>
      <c r="V18915" s="24"/>
      <c r="W18915" s="24"/>
      <c r="X18915" s="24"/>
      <c r="Y18915" s="24"/>
      <c r="Z18915" s="24"/>
      <c r="AA18915" s="24"/>
    </row>
    <row r="18916">
      <c r="A18916" s="24"/>
      <c r="B18916" s="25"/>
      <c r="C18916" s="24"/>
      <c r="D18916" s="26"/>
      <c r="E18916" s="24"/>
      <c r="F18916" s="24"/>
      <c r="G18916" s="24"/>
      <c r="H18916" s="24"/>
      <c r="I18916" s="24"/>
      <c r="J18916" s="24"/>
      <c r="K18916" s="24"/>
      <c r="L18916" s="24"/>
      <c r="M18916" s="24"/>
      <c r="N18916" s="24"/>
      <c r="O18916" s="24"/>
      <c r="P18916" s="24"/>
      <c r="Q18916" s="24"/>
      <c r="R18916" s="24"/>
      <c r="S18916" s="24"/>
      <c r="T18916" s="24"/>
      <c r="U18916" s="24"/>
      <c r="V18916" s="24"/>
      <c r="W18916" s="24"/>
      <c r="X18916" s="24"/>
      <c r="Y18916" s="24"/>
      <c r="Z18916" s="24"/>
      <c r="AA18916" s="24"/>
    </row>
    <row r="18917">
      <c r="A18917" s="24"/>
      <c r="B18917" s="25"/>
      <c r="C18917" s="24"/>
      <c r="D18917" s="26"/>
      <c r="E18917" s="24"/>
      <c r="F18917" s="24"/>
      <c r="G18917" s="24"/>
      <c r="H18917" s="24"/>
      <c r="I18917" s="24"/>
      <c r="J18917" s="24"/>
      <c r="K18917" s="24"/>
      <c r="L18917" s="24"/>
      <c r="M18917" s="24"/>
      <c r="N18917" s="24"/>
      <c r="O18917" s="24"/>
      <c r="P18917" s="24"/>
      <c r="Q18917" s="24"/>
      <c r="R18917" s="24"/>
      <c r="S18917" s="24"/>
      <c r="T18917" s="24"/>
      <c r="U18917" s="24"/>
      <c r="V18917" s="24"/>
      <c r="W18917" s="24"/>
      <c r="X18917" s="24"/>
      <c r="Y18917" s="24"/>
      <c r="Z18917" s="24"/>
      <c r="AA18917" s="24"/>
    </row>
    <row r="18918">
      <c r="A18918" s="24"/>
      <c r="B18918" s="25"/>
      <c r="C18918" s="24"/>
      <c r="D18918" s="26"/>
      <c r="E18918" s="24"/>
      <c r="F18918" s="24"/>
      <c r="G18918" s="24"/>
      <c r="H18918" s="24"/>
      <c r="I18918" s="24"/>
      <c r="J18918" s="24"/>
      <c r="K18918" s="24"/>
      <c r="L18918" s="24"/>
      <c r="M18918" s="24"/>
      <c r="N18918" s="24"/>
      <c r="O18918" s="24"/>
      <c r="P18918" s="24"/>
      <c r="Q18918" s="24"/>
      <c r="R18918" s="24"/>
      <c r="S18918" s="24"/>
      <c r="T18918" s="24"/>
      <c r="U18918" s="24"/>
      <c r="V18918" s="24"/>
      <c r="W18918" s="24"/>
      <c r="X18918" s="24"/>
      <c r="Y18918" s="24"/>
      <c r="Z18918" s="24"/>
      <c r="AA18918" s="24"/>
    </row>
    <row r="18919">
      <c r="A18919" s="24"/>
      <c r="B18919" s="25"/>
      <c r="C18919" s="24"/>
      <c r="D18919" s="26"/>
      <c r="E18919" s="24"/>
      <c r="F18919" s="24"/>
      <c r="G18919" s="24"/>
      <c r="H18919" s="24"/>
      <c r="I18919" s="24"/>
      <c r="J18919" s="24"/>
      <c r="K18919" s="24"/>
      <c r="L18919" s="24"/>
      <c r="M18919" s="24"/>
      <c r="N18919" s="24"/>
      <c r="O18919" s="24"/>
      <c r="P18919" s="24"/>
      <c r="Q18919" s="24"/>
      <c r="R18919" s="24"/>
      <c r="S18919" s="24"/>
      <c r="T18919" s="24"/>
      <c r="U18919" s="24"/>
      <c r="V18919" s="24"/>
      <c r="W18919" s="24"/>
      <c r="X18919" s="24"/>
      <c r="Y18919" s="24"/>
      <c r="Z18919" s="24"/>
      <c r="AA18919" s="24"/>
    </row>
    <row r="18920">
      <c r="A18920" s="24"/>
      <c r="B18920" s="25"/>
      <c r="C18920" s="24"/>
      <c r="D18920" s="26"/>
      <c r="E18920" s="24"/>
      <c r="F18920" s="24"/>
      <c r="G18920" s="24"/>
      <c r="H18920" s="24"/>
      <c r="I18920" s="24"/>
      <c r="J18920" s="24"/>
      <c r="K18920" s="24"/>
      <c r="L18920" s="24"/>
      <c r="M18920" s="24"/>
      <c r="N18920" s="24"/>
      <c r="O18920" s="24"/>
      <c r="P18920" s="24"/>
      <c r="Q18920" s="24"/>
      <c r="R18920" s="24"/>
      <c r="S18920" s="24"/>
      <c r="T18920" s="24"/>
      <c r="U18920" s="24"/>
      <c r="V18920" s="24"/>
      <c r="W18920" s="24"/>
      <c r="X18920" s="24"/>
      <c r="Y18920" s="24"/>
      <c r="Z18920" s="24"/>
      <c r="AA18920" s="24"/>
    </row>
    <row r="18921">
      <c r="A18921" s="24"/>
      <c r="B18921" s="25"/>
      <c r="C18921" s="24"/>
      <c r="D18921" s="26"/>
      <c r="E18921" s="24"/>
      <c r="F18921" s="24"/>
      <c r="G18921" s="24"/>
      <c r="H18921" s="24"/>
      <c r="I18921" s="24"/>
      <c r="J18921" s="24"/>
      <c r="K18921" s="24"/>
      <c r="L18921" s="24"/>
      <c r="M18921" s="24"/>
      <c r="N18921" s="24"/>
      <c r="O18921" s="24"/>
      <c r="P18921" s="24"/>
      <c r="Q18921" s="24"/>
      <c r="R18921" s="24"/>
      <c r="S18921" s="24"/>
      <c r="T18921" s="24"/>
      <c r="U18921" s="24"/>
      <c r="V18921" s="24"/>
      <c r="W18921" s="24"/>
      <c r="X18921" s="24"/>
      <c r="Y18921" s="24"/>
      <c r="Z18921" s="24"/>
      <c r="AA18921" s="24"/>
    </row>
    <row r="18922">
      <c r="A18922" s="24"/>
      <c r="B18922" s="25"/>
      <c r="C18922" s="24"/>
      <c r="D18922" s="26"/>
      <c r="E18922" s="24"/>
      <c r="F18922" s="24"/>
      <c r="G18922" s="24"/>
      <c r="H18922" s="24"/>
      <c r="I18922" s="24"/>
      <c r="J18922" s="24"/>
      <c r="K18922" s="24"/>
      <c r="L18922" s="24"/>
      <c r="M18922" s="24"/>
      <c r="N18922" s="24"/>
      <c r="O18922" s="24"/>
      <c r="P18922" s="24"/>
      <c r="Q18922" s="24"/>
      <c r="R18922" s="24"/>
      <c r="S18922" s="24"/>
      <c r="T18922" s="24"/>
      <c r="U18922" s="24"/>
      <c r="V18922" s="24"/>
      <c r="W18922" s="24"/>
      <c r="X18922" s="24"/>
      <c r="Y18922" s="24"/>
      <c r="Z18922" s="24"/>
      <c r="AA18922" s="24"/>
    </row>
    <row r="18923">
      <c r="A18923" s="24"/>
      <c r="B18923" s="25"/>
      <c r="C18923" s="24"/>
      <c r="D18923" s="26"/>
      <c r="E18923" s="24"/>
      <c r="F18923" s="24"/>
      <c r="G18923" s="24"/>
      <c r="H18923" s="24"/>
      <c r="I18923" s="24"/>
      <c r="J18923" s="24"/>
      <c r="K18923" s="24"/>
      <c r="L18923" s="24"/>
      <c r="M18923" s="24"/>
      <c r="N18923" s="24"/>
      <c r="O18923" s="24"/>
      <c r="P18923" s="24"/>
      <c r="Q18923" s="24"/>
      <c r="R18923" s="24"/>
      <c r="S18923" s="24"/>
      <c r="T18923" s="24"/>
      <c r="U18923" s="24"/>
      <c r="V18923" s="24"/>
      <c r="W18923" s="24"/>
      <c r="X18923" s="24"/>
      <c r="Y18923" s="24"/>
      <c r="Z18923" s="24"/>
      <c r="AA18923" s="24"/>
    </row>
    <row r="18924">
      <c r="A18924" s="24"/>
      <c r="B18924" s="25"/>
      <c r="C18924" s="24"/>
      <c r="D18924" s="26"/>
      <c r="E18924" s="24"/>
      <c r="F18924" s="24"/>
      <c r="G18924" s="24"/>
      <c r="H18924" s="24"/>
      <c r="I18924" s="24"/>
      <c r="J18924" s="24"/>
      <c r="K18924" s="24"/>
      <c r="L18924" s="24"/>
      <c r="M18924" s="24"/>
      <c r="N18924" s="24"/>
      <c r="O18924" s="24"/>
      <c r="P18924" s="24"/>
      <c r="Q18924" s="24"/>
      <c r="R18924" s="24"/>
      <c r="S18924" s="24"/>
      <c r="T18924" s="24"/>
      <c r="U18924" s="24"/>
      <c r="V18924" s="24"/>
      <c r="W18924" s="24"/>
      <c r="X18924" s="24"/>
      <c r="Y18924" s="24"/>
      <c r="Z18924" s="24"/>
      <c r="AA18924" s="24"/>
    </row>
    <row r="18925">
      <c r="A18925" s="24"/>
      <c r="B18925" s="25"/>
      <c r="C18925" s="24"/>
      <c r="D18925" s="26"/>
      <c r="E18925" s="24"/>
      <c r="F18925" s="24"/>
      <c r="G18925" s="24"/>
      <c r="H18925" s="24"/>
      <c r="I18925" s="24"/>
      <c r="J18925" s="24"/>
      <c r="K18925" s="24"/>
      <c r="L18925" s="24"/>
      <c r="M18925" s="24"/>
      <c r="N18925" s="24"/>
      <c r="O18925" s="24"/>
      <c r="P18925" s="24"/>
      <c r="Q18925" s="24"/>
      <c r="R18925" s="24"/>
      <c r="S18925" s="24"/>
      <c r="T18925" s="24"/>
      <c r="U18925" s="24"/>
      <c r="V18925" s="24"/>
      <c r="W18925" s="24"/>
      <c r="X18925" s="24"/>
      <c r="Y18925" s="24"/>
      <c r="Z18925" s="24"/>
      <c r="AA18925" s="24"/>
    </row>
    <row r="18926">
      <c r="A18926" s="24"/>
      <c r="B18926" s="25"/>
      <c r="C18926" s="24"/>
      <c r="D18926" s="26"/>
      <c r="E18926" s="24"/>
      <c r="F18926" s="24"/>
      <c r="G18926" s="24"/>
      <c r="H18926" s="24"/>
      <c r="I18926" s="24"/>
      <c r="J18926" s="24"/>
      <c r="K18926" s="24"/>
      <c r="L18926" s="24"/>
      <c r="M18926" s="24"/>
      <c r="N18926" s="24"/>
      <c r="O18926" s="24"/>
      <c r="P18926" s="24"/>
      <c r="Q18926" s="24"/>
      <c r="R18926" s="24"/>
      <c r="S18926" s="24"/>
      <c r="T18926" s="24"/>
      <c r="U18926" s="24"/>
      <c r="V18926" s="24"/>
      <c r="W18926" s="24"/>
      <c r="X18926" s="24"/>
      <c r="Y18926" s="24"/>
      <c r="Z18926" s="24"/>
      <c r="AA18926" s="24"/>
    </row>
    <row r="18927">
      <c r="A18927" s="24"/>
      <c r="B18927" s="25"/>
      <c r="C18927" s="24"/>
      <c r="D18927" s="26"/>
      <c r="E18927" s="24"/>
      <c r="F18927" s="24"/>
      <c r="G18927" s="24"/>
      <c r="H18927" s="24"/>
      <c r="I18927" s="24"/>
      <c r="J18927" s="24"/>
      <c r="K18927" s="24"/>
      <c r="L18927" s="24"/>
      <c r="M18927" s="24"/>
      <c r="N18927" s="24"/>
      <c r="O18927" s="24"/>
      <c r="P18927" s="24"/>
      <c r="Q18927" s="24"/>
      <c r="R18927" s="24"/>
      <c r="S18927" s="24"/>
      <c r="T18927" s="24"/>
      <c r="U18927" s="24"/>
      <c r="V18927" s="24"/>
      <c r="W18927" s="24"/>
      <c r="X18927" s="24"/>
      <c r="Y18927" s="24"/>
      <c r="Z18927" s="24"/>
      <c r="AA18927" s="24"/>
    </row>
    <row r="18928">
      <c r="A18928" s="24"/>
      <c r="B18928" s="25"/>
      <c r="C18928" s="24"/>
      <c r="D18928" s="26"/>
      <c r="E18928" s="24"/>
      <c r="F18928" s="24"/>
      <c r="G18928" s="24"/>
      <c r="H18928" s="24"/>
      <c r="I18928" s="24"/>
      <c r="J18928" s="24"/>
      <c r="K18928" s="24"/>
      <c r="L18928" s="24"/>
      <c r="M18928" s="24"/>
      <c r="N18928" s="24"/>
      <c r="O18928" s="24"/>
      <c r="P18928" s="24"/>
      <c r="Q18928" s="24"/>
      <c r="R18928" s="24"/>
      <c r="S18928" s="24"/>
      <c r="T18928" s="24"/>
      <c r="U18928" s="24"/>
      <c r="V18928" s="24"/>
      <c r="W18928" s="24"/>
      <c r="X18928" s="24"/>
      <c r="Y18928" s="24"/>
      <c r="Z18928" s="24"/>
      <c r="AA18928" s="24"/>
    </row>
    <row r="18929">
      <c r="A18929" s="24"/>
      <c r="B18929" s="25"/>
      <c r="C18929" s="24"/>
      <c r="D18929" s="26"/>
      <c r="E18929" s="24"/>
      <c r="F18929" s="24"/>
      <c r="G18929" s="24"/>
      <c r="H18929" s="24"/>
      <c r="I18929" s="24"/>
      <c r="J18929" s="24"/>
      <c r="K18929" s="24"/>
      <c r="L18929" s="24"/>
      <c r="M18929" s="24"/>
      <c r="N18929" s="24"/>
      <c r="O18929" s="24"/>
      <c r="P18929" s="24"/>
      <c r="Q18929" s="24"/>
      <c r="R18929" s="24"/>
      <c r="S18929" s="24"/>
      <c r="T18929" s="24"/>
      <c r="U18929" s="24"/>
      <c r="V18929" s="24"/>
      <c r="W18929" s="24"/>
      <c r="X18929" s="24"/>
      <c r="Y18929" s="24"/>
      <c r="Z18929" s="24"/>
      <c r="AA18929" s="24"/>
    </row>
    <row r="18930">
      <c r="A18930" s="24"/>
      <c r="B18930" s="25"/>
      <c r="C18930" s="24"/>
      <c r="D18930" s="26"/>
      <c r="E18930" s="24"/>
      <c r="F18930" s="24"/>
      <c r="G18930" s="24"/>
      <c r="H18930" s="24"/>
      <c r="I18930" s="24"/>
      <c r="J18930" s="24"/>
      <c r="K18930" s="24"/>
      <c r="L18930" s="24"/>
      <c r="M18930" s="24"/>
      <c r="N18930" s="24"/>
      <c r="O18930" s="24"/>
      <c r="P18930" s="24"/>
      <c r="Q18930" s="24"/>
      <c r="R18930" s="24"/>
      <c r="S18930" s="24"/>
      <c r="T18930" s="24"/>
      <c r="U18930" s="24"/>
      <c r="V18930" s="24"/>
      <c r="W18930" s="24"/>
      <c r="X18930" s="24"/>
      <c r="Y18930" s="24"/>
      <c r="Z18930" s="24"/>
      <c r="AA18930" s="24"/>
    </row>
    <row r="18931">
      <c r="A18931" s="24"/>
      <c r="B18931" s="25"/>
      <c r="C18931" s="24"/>
      <c r="D18931" s="26"/>
      <c r="E18931" s="24"/>
      <c r="F18931" s="24"/>
      <c r="G18931" s="24"/>
      <c r="H18931" s="24"/>
      <c r="I18931" s="24"/>
      <c r="J18931" s="24"/>
      <c r="K18931" s="24"/>
      <c r="L18931" s="24"/>
      <c r="M18931" s="24"/>
      <c r="N18931" s="24"/>
      <c r="O18931" s="24"/>
      <c r="P18931" s="24"/>
      <c r="Q18931" s="24"/>
      <c r="R18931" s="24"/>
      <c r="S18931" s="24"/>
      <c r="T18931" s="24"/>
      <c r="U18931" s="24"/>
      <c r="V18931" s="24"/>
      <c r="W18931" s="24"/>
      <c r="X18931" s="24"/>
      <c r="Y18931" s="24"/>
      <c r="Z18931" s="24"/>
      <c r="AA18931" s="24"/>
    </row>
    <row r="18932">
      <c r="A18932" s="24"/>
      <c r="B18932" s="25"/>
      <c r="C18932" s="24"/>
      <c r="D18932" s="26"/>
      <c r="E18932" s="24"/>
      <c r="F18932" s="24"/>
      <c r="G18932" s="24"/>
      <c r="H18932" s="24"/>
      <c r="I18932" s="24"/>
      <c r="J18932" s="24"/>
      <c r="K18932" s="24"/>
      <c r="L18932" s="24"/>
      <c r="M18932" s="24"/>
      <c r="N18932" s="24"/>
      <c r="O18932" s="24"/>
      <c r="P18932" s="24"/>
      <c r="Q18932" s="24"/>
      <c r="R18932" s="24"/>
      <c r="S18932" s="24"/>
      <c r="T18932" s="24"/>
      <c r="U18932" s="24"/>
      <c r="V18932" s="24"/>
      <c r="W18932" s="24"/>
      <c r="X18932" s="24"/>
      <c r="Y18932" s="24"/>
      <c r="Z18932" s="24"/>
      <c r="AA18932" s="24"/>
    </row>
    <row r="18933">
      <c r="A18933" s="24"/>
      <c r="B18933" s="25"/>
      <c r="C18933" s="24"/>
      <c r="D18933" s="26"/>
      <c r="E18933" s="24"/>
      <c r="F18933" s="24"/>
      <c r="G18933" s="24"/>
      <c r="H18933" s="24"/>
      <c r="I18933" s="24"/>
      <c r="J18933" s="24"/>
      <c r="K18933" s="24"/>
      <c r="L18933" s="24"/>
      <c r="M18933" s="24"/>
      <c r="N18933" s="24"/>
      <c r="O18933" s="24"/>
      <c r="P18933" s="24"/>
      <c r="Q18933" s="24"/>
      <c r="R18933" s="24"/>
      <c r="S18933" s="24"/>
      <c r="T18933" s="24"/>
      <c r="U18933" s="24"/>
      <c r="V18933" s="24"/>
      <c r="W18933" s="24"/>
      <c r="X18933" s="24"/>
      <c r="Y18933" s="24"/>
      <c r="Z18933" s="24"/>
      <c r="AA18933" s="24"/>
    </row>
    <row r="18934">
      <c r="A18934" s="24"/>
      <c r="B18934" s="25"/>
      <c r="C18934" s="24"/>
      <c r="D18934" s="26"/>
      <c r="E18934" s="24"/>
      <c r="F18934" s="24"/>
      <c r="G18934" s="24"/>
      <c r="H18934" s="24"/>
      <c r="I18934" s="24"/>
      <c r="J18934" s="24"/>
      <c r="K18934" s="24"/>
      <c r="L18934" s="24"/>
      <c r="M18934" s="24"/>
      <c r="N18934" s="24"/>
      <c r="O18934" s="24"/>
      <c r="P18934" s="24"/>
      <c r="Q18934" s="24"/>
      <c r="R18934" s="24"/>
      <c r="S18934" s="24"/>
      <c r="T18934" s="24"/>
      <c r="U18934" s="24"/>
      <c r="V18934" s="24"/>
      <c r="W18934" s="24"/>
      <c r="X18934" s="24"/>
      <c r="Y18934" s="24"/>
      <c r="Z18934" s="24"/>
      <c r="AA18934" s="24"/>
    </row>
    <row r="18935">
      <c r="A18935" s="24"/>
      <c r="B18935" s="25"/>
      <c r="C18935" s="24"/>
      <c r="D18935" s="26"/>
      <c r="E18935" s="24"/>
      <c r="F18935" s="24"/>
      <c r="G18935" s="24"/>
      <c r="H18935" s="24"/>
      <c r="I18935" s="24"/>
      <c r="J18935" s="24"/>
      <c r="K18935" s="24"/>
      <c r="L18935" s="24"/>
      <c r="M18935" s="24"/>
      <c r="N18935" s="24"/>
      <c r="O18935" s="24"/>
      <c r="P18935" s="24"/>
      <c r="Q18935" s="24"/>
      <c r="R18935" s="24"/>
      <c r="S18935" s="24"/>
      <c r="T18935" s="24"/>
      <c r="U18935" s="24"/>
      <c r="V18935" s="24"/>
      <c r="W18935" s="24"/>
      <c r="X18935" s="24"/>
      <c r="Y18935" s="24"/>
      <c r="Z18935" s="24"/>
      <c r="AA18935" s="24"/>
    </row>
    <row r="18936">
      <c r="A18936" s="24"/>
      <c r="B18936" s="25"/>
      <c r="C18936" s="24"/>
      <c r="D18936" s="26"/>
      <c r="E18936" s="24"/>
      <c r="F18936" s="24"/>
      <c r="G18936" s="24"/>
      <c r="H18936" s="24"/>
      <c r="I18936" s="24"/>
      <c r="J18936" s="24"/>
      <c r="K18936" s="24"/>
      <c r="L18936" s="24"/>
      <c r="M18936" s="24"/>
      <c r="N18936" s="24"/>
      <c r="O18936" s="24"/>
      <c r="P18936" s="24"/>
      <c r="Q18936" s="24"/>
      <c r="R18936" s="24"/>
      <c r="S18936" s="24"/>
      <c r="T18936" s="24"/>
      <c r="U18936" s="24"/>
      <c r="V18936" s="24"/>
      <c r="W18936" s="24"/>
      <c r="X18936" s="24"/>
      <c r="Y18936" s="24"/>
      <c r="Z18936" s="24"/>
      <c r="AA18936" s="24"/>
    </row>
    <row r="18937">
      <c r="A18937" s="24"/>
      <c r="B18937" s="25"/>
      <c r="C18937" s="24"/>
      <c r="D18937" s="26"/>
      <c r="E18937" s="24"/>
      <c r="F18937" s="24"/>
      <c r="G18937" s="24"/>
      <c r="H18937" s="24"/>
      <c r="I18937" s="24"/>
      <c r="J18937" s="24"/>
      <c r="K18937" s="24"/>
      <c r="L18937" s="24"/>
      <c r="M18937" s="24"/>
      <c r="N18937" s="24"/>
      <c r="O18937" s="24"/>
      <c r="P18937" s="24"/>
      <c r="Q18937" s="24"/>
      <c r="R18937" s="24"/>
      <c r="S18937" s="24"/>
      <c r="T18937" s="24"/>
      <c r="U18937" s="24"/>
      <c r="V18937" s="24"/>
      <c r="W18937" s="24"/>
      <c r="X18937" s="24"/>
      <c r="Y18937" s="24"/>
      <c r="Z18937" s="24"/>
      <c r="AA18937" s="24"/>
    </row>
    <row r="18938">
      <c r="A18938" s="24"/>
      <c r="B18938" s="25"/>
      <c r="C18938" s="24"/>
      <c r="D18938" s="26"/>
      <c r="E18938" s="24"/>
      <c r="F18938" s="24"/>
      <c r="G18938" s="24"/>
      <c r="H18938" s="24"/>
      <c r="I18938" s="24"/>
      <c r="J18938" s="24"/>
      <c r="K18938" s="24"/>
      <c r="L18938" s="24"/>
      <c r="M18938" s="24"/>
      <c r="N18938" s="24"/>
      <c r="O18938" s="24"/>
      <c r="P18938" s="24"/>
      <c r="Q18938" s="24"/>
      <c r="R18938" s="24"/>
      <c r="S18938" s="24"/>
      <c r="T18938" s="24"/>
      <c r="U18938" s="24"/>
      <c r="V18938" s="24"/>
      <c r="W18938" s="24"/>
      <c r="X18938" s="24"/>
      <c r="Y18938" s="24"/>
      <c r="Z18938" s="24"/>
      <c r="AA18938" s="24"/>
    </row>
    <row r="18939">
      <c r="A18939" s="24"/>
      <c r="B18939" s="25"/>
      <c r="C18939" s="24"/>
      <c r="D18939" s="26"/>
      <c r="E18939" s="24"/>
      <c r="F18939" s="24"/>
      <c r="G18939" s="24"/>
      <c r="H18939" s="24"/>
      <c r="I18939" s="24"/>
      <c r="J18939" s="24"/>
      <c r="K18939" s="24"/>
      <c r="L18939" s="24"/>
      <c r="M18939" s="24"/>
      <c r="N18939" s="24"/>
      <c r="O18939" s="24"/>
      <c r="P18939" s="24"/>
      <c r="Q18939" s="24"/>
      <c r="R18939" s="24"/>
      <c r="S18939" s="24"/>
      <c r="T18939" s="24"/>
      <c r="U18939" s="24"/>
      <c r="V18939" s="24"/>
      <c r="W18939" s="24"/>
      <c r="X18939" s="24"/>
      <c r="Y18939" s="24"/>
      <c r="Z18939" s="24"/>
      <c r="AA18939" s="24"/>
    </row>
    <row r="18940">
      <c r="A18940" s="24"/>
      <c r="B18940" s="25"/>
      <c r="C18940" s="24"/>
      <c r="D18940" s="26"/>
      <c r="E18940" s="24"/>
      <c r="F18940" s="24"/>
      <c r="G18940" s="24"/>
      <c r="H18940" s="24"/>
      <c r="I18940" s="24"/>
      <c r="J18940" s="24"/>
      <c r="K18940" s="24"/>
      <c r="L18940" s="24"/>
      <c r="M18940" s="24"/>
      <c r="N18940" s="24"/>
      <c r="O18940" s="24"/>
      <c r="P18940" s="24"/>
      <c r="Q18940" s="24"/>
      <c r="R18940" s="24"/>
      <c r="S18940" s="24"/>
      <c r="T18940" s="24"/>
      <c r="U18940" s="24"/>
      <c r="V18940" s="24"/>
      <c r="W18940" s="24"/>
      <c r="X18940" s="24"/>
      <c r="Y18940" s="24"/>
      <c r="Z18940" s="24"/>
      <c r="AA18940" s="24"/>
    </row>
    <row r="18941">
      <c r="A18941" s="24"/>
      <c r="B18941" s="25"/>
      <c r="C18941" s="24"/>
      <c r="D18941" s="26"/>
      <c r="E18941" s="24"/>
      <c r="F18941" s="24"/>
      <c r="G18941" s="24"/>
      <c r="H18941" s="24"/>
      <c r="I18941" s="24"/>
      <c r="J18941" s="24"/>
      <c r="K18941" s="24"/>
      <c r="L18941" s="24"/>
      <c r="M18941" s="24"/>
      <c r="N18941" s="24"/>
      <c r="O18941" s="24"/>
      <c r="P18941" s="24"/>
      <c r="Q18941" s="24"/>
      <c r="R18941" s="24"/>
      <c r="S18941" s="24"/>
      <c r="T18941" s="24"/>
      <c r="U18941" s="24"/>
      <c r="V18941" s="24"/>
      <c r="W18941" s="24"/>
      <c r="X18941" s="24"/>
      <c r="Y18941" s="24"/>
      <c r="Z18941" s="24"/>
      <c r="AA18941" s="24"/>
    </row>
    <row r="18942">
      <c r="A18942" s="24"/>
      <c r="B18942" s="25"/>
      <c r="C18942" s="24"/>
      <c r="D18942" s="26"/>
      <c r="E18942" s="24"/>
      <c r="F18942" s="24"/>
      <c r="G18942" s="24"/>
      <c r="H18942" s="24"/>
      <c r="I18942" s="24"/>
      <c r="J18942" s="24"/>
      <c r="K18942" s="24"/>
      <c r="L18942" s="24"/>
      <c r="M18942" s="24"/>
      <c r="N18942" s="24"/>
      <c r="O18942" s="24"/>
      <c r="P18942" s="24"/>
      <c r="Q18942" s="24"/>
      <c r="R18942" s="24"/>
      <c r="S18942" s="24"/>
      <c r="T18942" s="24"/>
      <c r="U18942" s="24"/>
      <c r="V18942" s="24"/>
      <c r="W18942" s="24"/>
      <c r="X18942" s="24"/>
      <c r="Y18942" s="24"/>
      <c r="Z18942" s="24"/>
      <c r="AA18942" s="24"/>
    </row>
    <row r="18943">
      <c r="A18943" s="24"/>
      <c r="B18943" s="25"/>
      <c r="C18943" s="24"/>
      <c r="D18943" s="26"/>
      <c r="E18943" s="24"/>
      <c r="F18943" s="24"/>
      <c r="G18943" s="24"/>
      <c r="H18943" s="24"/>
      <c r="I18943" s="24"/>
      <c r="J18943" s="24"/>
      <c r="K18943" s="24"/>
      <c r="L18943" s="24"/>
      <c r="M18943" s="24"/>
      <c r="N18943" s="24"/>
      <c r="O18943" s="24"/>
      <c r="P18943" s="24"/>
      <c r="Q18943" s="24"/>
      <c r="R18943" s="24"/>
      <c r="S18943" s="24"/>
      <c r="T18943" s="24"/>
      <c r="U18943" s="24"/>
      <c r="V18943" s="24"/>
      <c r="W18943" s="24"/>
      <c r="X18943" s="24"/>
      <c r="Y18943" s="24"/>
      <c r="Z18943" s="24"/>
      <c r="AA18943" s="24"/>
    </row>
    <row r="18944">
      <c r="A18944" s="24"/>
      <c r="B18944" s="25"/>
      <c r="C18944" s="24"/>
      <c r="D18944" s="26"/>
      <c r="E18944" s="24"/>
      <c r="F18944" s="24"/>
      <c r="G18944" s="24"/>
      <c r="H18944" s="24"/>
      <c r="I18944" s="24"/>
      <c r="J18944" s="24"/>
      <c r="K18944" s="24"/>
      <c r="L18944" s="24"/>
      <c r="M18944" s="24"/>
      <c r="N18944" s="24"/>
      <c r="O18944" s="24"/>
      <c r="P18944" s="24"/>
      <c r="Q18944" s="24"/>
      <c r="R18944" s="24"/>
      <c r="S18944" s="24"/>
      <c r="T18944" s="24"/>
      <c r="U18944" s="24"/>
      <c r="V18944" s="24"/>
      <c r="W18944" s="24"/>
      <c r="X18944" s="24"/>
      <c r="Y18944" s="24"/>
      <c r="Z18944" s="24"/>
      <c r="AA18944" s="24"/>
    </row>
    <row r="18945">
      <c r="A18945" s="24"/>
      <c r="B18945" s="25"/>
      <c r="C18945" s="24"/>
      <c r="D18945" s="26"/>
      <c r="E18945" s="24"/>
      <c r="F18945" s="24"/>
      <c r="G18945" s="24"/>
      <c r="H18945" s="24"/>
      <c r="I18945" s="24"/>
      <c r="J18945" s="24"/>
      <c r="K18945" s="24"/>
      <c r="L18945" s="24"/>
      <c r="M18945" s="24"/>
      <c r="N18945" s="24"/>
      <c r="O18945" s="24"/>
      <c r="P18945" s="24"/>
      <c r="Q18945" s="24"/>
      <c r="R18945" s="24"/>
      <c r="S18945" s="24"/>
      <c r="T18945" s="24"/>
      <c r="U18945" s="24"/>
      <c r="V18945" s="24"/>
      <c r="W18945" s="24"/>
      <c r="X18945" s="24"/>
      <c r="Y18945" s="24"/>
      <c r="Z18945" s="24"/>
      <c r="AA18945" s="24"/>
    </row>
    <row r="18946">
      <c r="A18946" s="24"/>
      <c r="B18946" s="25"/>
      <c r="C18946" s="24"/>
      <c r="D18946" s="26"/>
      <c r="E18946" s="24"/>
      <c r="F18946" s="24"/>
      <c r="G18946" s="24"/>
      <c r="H18946" s="24"/>
      <c r="I18946" s="24"/>
      <c r="J18946" s="24"/>
      <c r="K18946" s="24"/>
      <c r="L18946" s="24"/>
      <c r="M18946" s="24"/>
      <c r="N18946" s="24"/>
      <c r="O18946" s="24"/>
      <c r="P18946" s="24"/>
      <c r="Q18946" s="24"/>
      <c r="R18946" s="24"/>
      <c r="S18946" s="24"/>
      <c r="T18946" s="24"/>
      <c r="U18946" s="24"/>
      <c r="V18946" s="24"/>
      <c r="W18946" s="24"/>
      <c r="X18946" s="24"/>
      <c r="Y18946" s="24"/>
      <c r="Z18946" s="24"/>
      <c r="AA18946" s="24"/>
    </row>
    <row r="18947">
      <c r="A18947" s="24"/>
      <c r="B18947" s="25"/>
      <c r="C18947" s="24"/>
      <c r="D18947" s="26"/>
      <c r="E18947" s="24"/>
      <c r="F18947" s="24"/>
      <c r="G18947" s="24"/>
      <c r="H18947" s="24"/>
      <c r="I18947" s="24"/>
      <c r="J18947" s="24"/>
      <c r="K18947" s="24"/>
      <c r="L18947" s="24"/>
      <c r="M18947" s="24"/>
      <c r="N18947" s="24"/>
      <c r="O18947" s="24"/>
      <c r="P18947" s="24"/>
      <c r="Q18947" s="24"/>
      <c r="R18947" s="24"/>
      <c r="S18947" s="24"/>
      <c r="T18947" s="24"/>
      <c r="U18947" s="24"/>
      <c r="V18947" s="24"/>
      <c r="W18947" s="24"/>
      <c r="X18947" s="24"/>
      <c r="Y18947" s="24"/>
      <c r="Z18947" s="24"/>
      <c r="AA18947" s="24"/>
    </row>
    <row r="18948">
      <c r="A18948" s="24"/>
      <c r="B18948" s="25"/>
      <c r="C18948" s="24"/>
      <c r="D18948" s="26"/>
      <c r="E18948" s="24"/>
      <c r="F18948" s="24"/>
      <c r="G18948" s="24"/>
      <c r="H18948" s="24"/>
      <c r="I18948" s="24"/>
      <c r="J18948" s="24"/>
      <c r="K18948" s="24"/>
      <c r="L18948" s="24"/>
      <c r="M18948" s="24"/>
      <c r="N18948" s="24"/>
      <c r="O18948" s="24"/>
      <c r="P18948" s="24"/>
      <c r="Q18948" s="24"/>
      <c r="R18948" s="24"/>
      <c r="S18948" s="24"/>
      <c r="T18948" s="24"/>
      <c r="U18948" s="24"/>
      <c r="V18948" s="24"/>
      <c r="W18948" s="24"/>
      <c r="X18948" s="24"/>
      <c r="Y18948" s="24"/>
      <c r="Z18948" s="24"/>
      <c r="AA18948" s="24"/>
    </row>
    <row r="18949">
      <c r="A18949" s="24"/>
      <c r="B18949" s="25"/>
      <c r="C18949" s="24"/>
      <c r="D18949" s="26"/>
      <c r="E18949" s="24"/>
      <c r="F18949" s="24"/>
      <c r="G18949" s="24"/>
      <c r="H18949" s="24"/>
      <c r="I18949" s="24"/>
      <c r="J18949" s="24"/>
      <c r="K18949" s="24"/>
      <c r="L18949" s="24"/>
      <c r="M18949" s="24"/>
      <c r="N18949" s="24"/>
      <c r="O18949" s="24"/>
      <c r="P18949" s="24"/>
      <c r="Q18949" s="24"/>
      <c r="R18949" s="24"/>
      <c r="S18949" s="24"/>
      <c r="T18949" s="24"/>
      <c r="U18949" s="24"/>
      <c r="V18949" s="24"/>
      <c r="W18949" s="24"/>
      <c r="X18949" s="24"/>
      <c r="Y18949" s="24"/>
      <c r="Z18949" s="24"/>
      <c r="AA18949" s="24"/>
    </row>
    <row r="18950">
      <c r="A18950" s="24"/>
      <c r="B18950" s="25"/>
      <c r="C18950" s="24"/>
      <c r="D18950" s="26"/>
      <c r="E18950" s="24"/>
      <c r="F18950" s="24"/>
      <c r="G18950" s="24"/>
      <c r="H18950" s="24"/>
      <c r="I18950" s="24"/>
      <c r="J18950" s="24"/>
      <c r="K18950" s="24"/>
      <c r="L18950" s="24"/>
      <c r="M18950" s="24"/>
      <c r="N18950" s="24"/>
      <c r="O18950" s="24"/>
      <c r="P18950" s="24"/>
      <c r="Q18950" s="24"/>
      <c r="R18950" s="24"/>
      <c r="S18950" s="24"/>
      <c r="T18950" s="24"/>
      <c r="U18950" s="24"/>
      <c r="V18950" s="24"/>
      <c r="W18950" s="24"/>
      <c r="X18950" s="24"/>
      <c r="Y18950" s="24"/>
      <c r="Z18950" s="24"/>
      <c r="AA18950" s="24"/>
    </row>
    <row r="18951">
      <c r="A18951" s="24"/>
      <c r="B18951" s="25"/>
      <c r="C18951" s="24"/>
      <c r="D18951" s="26"/>
      <c r="E18951" s="24"/>
      <c r="F18951" s="24"/>
      <c r="G18951" s="24"/>
      <c r="H18951" s="24"/>
      <c r="I18951" s="24"/>
      <c r="J18951" s="24"/>
      <c r="K18951" s="24"/>
      <c r="L18951" s="24"/>
      <c r="M18951" s="24"/>
      <c r="N18951" s="24"/>
      <c r="O18951" s="24"/>
      <c r="P18951" s="24"/>
      <c r="Q18951" s="24"/>
      <c r="R18951" s="24"/>
      <c r="S18951" s="24"/>
      <c r="T18951" s="24"/>
      <c r="U18951" s="24"/>
      <c r="V18951" s="24"/>
      <c r="W18951" s="24"/>
      <c r="X18951" s="24"/>
      <c r="Y18951" s="24"/>
      <c r="Z18951" s="24"/>
      <c r="AA18951" s="24"/>
    </row>
    <row r="18952">
      <c r="A18952" s="24"/>
      <c r="B18952" s="25"/>
      <c r="C18952" s="24"/>
      <c r="D18952" s="26"/>
      <c r="E18952" s="24"/>
      <c r="F18952" s="24"/>
      <c r="G18952" s="24"/>
      <c r="H18952" s="24"/>
      <c r="I18952" s="24"/>
      <c r="J18952" s="24"/>
      <c r="K18952" s="24"/>
      <c r="L18952" s="24"/>
      <c r="M18952" s="24"/>
      <c r="N18952" s="24"/>
      <c r="O18952" s="24"/>
      <c r="P18952" s="24"/>
      <c r="Q18952" s="24"/>
      <c r="R18952" s="24"/>
      <c r="S18952" s="24"/>
      <c r="T18952" s="24"/>
      <c r="U18952" s="24"/>
      <c r="V18952" s="24"/>
      <c r="W18952" s="24"/>
      <c r="X18952" s="24"/>
      <c r="Y18952" s="24"/>
      <c r="Z18952" s="24"/>
      <c r="AA18952" s="24"/>
    </row>
    <row r="18953">
      <c r="A18953" s="24"/>
      <c r="B18953" s="25"/>
      <c r="C18953" s="24"/>
      <c r="D18953" s="26"/>
      <c r="E18953" s="24"/>
      <c r="F18953" s="24"/>
      <c r="G18953" s="24"/>
      <c r="H18953" s="24"/>
      <c r="I18953" s="24"/>
      <c r="J18953" s="24"/>
      <c r="K18953" s="24"/>
      <c r="L18953" s="24"/>
      <c r="M18953" s="24"/>
      <c r="N18953" s="24"/>
      <c r="O18953" s="24"/>
      <c r="P18953" s="24"/>
      <c r="Q18953" s="24"/>
      <c r="R18953" s="24"/>
      <c r="S18953" s="24"/>
      <c r="T18953" s="24"/>
      <c r="U18953" s="24"/>
      <c r="V18953" s="24"/>
      <c r="W18953" s="24"/>
      <c r="X18953" s="24"/>
      <c r="Y18953" s="24"/>
      <c r="Z18953" s="24"/>
      <c r="AA18953" s="24"/>
    </row>
    <row r="18954">
      <c r="A18954" s="24"/>
      <c r="B18954" s="25"/>
      <c r="C18954" s="24"/>
      <c r="D18954" s="26"/>
      <c r="E18954" s="24"/>
      <c r="F18954" s="24"/>
      <c r="G18954" s="24"/>
      <c r="H18954" s="24"/>
      <c r="I18954" s="24"/>
      <c r="J18954" s="24"/>
      <c r="K18954" s="24"/>
      <c r="L18954" s="24"/>
      <c r="M18954" s="24"/>
      <c r="N18954" s="24"/>
      <c r="O18954" s="24"/>
      <c r="P18954" s="24"/>
      <c r="Q18954" s="24"/>
      <c r="R18954" s="24"/>
      <c r="S18954" s="24"/>
      <c r="T18954" s="24"/>
      <c r="U18954" s="24"/>
      <c r="V18954" s="24"/>
      <c r="W18954" s="24"/>
      <c r="X18954" s="24"/>
      <c r="Y18954" s="24"/>
      <c r="Z18954" s="24"/>
      <c r="AA18954" s="24"/>
    </row>
    <row r="18955">
      <c r="A18955" s="24"/>
      <c r="B18955" s="25"/>
      <c r="C18955" s="24"/>
      <c r="D18955" s="26"/>
      <c r="E18955" s="24"/>
      <c r="F18955" s="24"/>
      <c r="G18955" s="24"/>
      <c r="H18955" s="24"/>
      <c r="I18955" s="24"/>
      <c r="J18955" s="24"/>
      <c r="K18955" s="24"/>
      <c r="L18955" s="24"/>
      <c r="M18955" s="24"/>
      <c r="N18955" s="24"/>
      <c r="O18955" s="24"/>
      <c r="P18955" s="24"/>
      <c r="Q18955" s="24"/>
      <c r="R18955" s="24"/>
      <c r="S18955" s="24"/>
      <c r="T18955" s="24"/>
      <c r="U18955" s="24"/>
      <c r="V18955" s="24"/>
      <c r="W18955" s="24"/>
      <c r="X18955" s="24"/>
      <c r="Y18955" s="24"/>
      <c r="Z18955" s="24"/>
      <c r="AA18955" s="24"/>
    </row>
    <row r="18956">
      <c r="A18956" s="24"/>
      <c r="B18956" s="25"/>
      <c r="C18956" s="24"/>
      <c r="D18956" s="26"/>
      <c r="E18956" s="24"/>
      <c r="F18956" s="24"/>
      <c r="G18956" s="24"/>
      <c r="H18956" s="24"/>
      <c r="I18956" s="24"/>
      <c r="J18956" s="24"/>
      <c r="K18956" s="24"/>
      <c r="L18956" s="24"/>
      <c r="M18956" s="24"/>
      <c r="N18956" s="24"/>
      <c r="O18956" s="24"/>
      <c r="P18956" s="24"/>
      <c r="Q18956" s="24"/>
      <c r="R18956" s="24"/>
      <c r="S18956" s="24"/>
      <c r="T18956" s="24"/>
      <c r="U18956" s="24"/>
      <c r="V18956" s="24"/>
      <c r="W18956" s="24"/>
      <c r="X18956" s="24"/>
      <c r="Y18956" s="24"/>
      <c r="Z18956" s="24"/>
      <c r="AA18956" s="24"/>
    </row>
    <row r="18957">
      <c r="A18957" s="24"/>
      <c r="B18957" s="25"/>
      <c r="C18957" s="24"/>
      <c r="D18957" s="26"/>
      <c r="E18957" s="24"/>
      <c r="F18957" s="24"/>
      <c r="G18957" s="24"/>
      <c r="H18957" s="24"/>
      <c r="I18957" s="24"/>
      <c r="J18957" s="24"/>
      <c r="K18957" s="24"/>
      <c r="L18957" s="24"/>
      <c r="M18957" s="24"/>
      <c r="N18957" s="24"/>
      <c r="O18957" s="24"/>
      <c r="P18957" s="24"/>
      <c r="Q18957" s="24"/>
      <c r="R18957" s="24"/>
      <c r="S18957" s="24"/>
      <c r="T18957" s="24"/>
      <c r="U18957" s="24"/>
      <c r="V18957" s="24"/>
      <c r="W18957" s="24"/>
      <c r="X18957" s="24"/>
      <c r="Y18957" s="24"/>
      <c r="Z18957" s="24"/>
      <c r="AA18957" s="24"/>
    </row>
    <row r="18958">
      <c r="A18958" s="24"/>
      <c r="B18958" s="25"/>
      <c r="C18958" s="24"/>
      <c r="D18958" s="26"/>
      <c r="E18958" s="24"/>
      <c r="F18958" s="24"/>
      <c r="G18958" s="24"/>
      <c r="H18958" s="24"/>
      <c r="I18958" s="24"/>
      <c r="J18958" s="24"/>
      <c r="K18958" s="24"/>
      <c r="L18958" s="24"/>
      <c r="M18958" s="24"/>
      <c r="N18958" s="24"/>
      <c r="O18958" s="24"/>
      <c r="P18958" s="24"/>
      <c r="Q18958" s="24"/>
      <c r="R18958" s="24"/>
      <c r="S18958" s="24"/>
      <c r="T18958" s="24"/>
      <c r="U18958" s="24"/>
      <c r="V18958" s="24"/>
      <c r="W18958" s="24"/>
      <c r="X18958" s="24"/>
      <c r="Y18958" s="24"/>
      <c r="Z18958" s="24"/>
      <c r="AA18958" s="24"/>
    </row>
    <row r="18959">
      <c r="A18959" s="24"/>
      <c r="B18959" s="25"/>
      <c r="C18959" s="24"/>
      <c r="D18959" s="26"/>
      <c r="E18959" s="24"/>
      <c r="F18959" s="24"/>
      <c r="G18959" s="24"/>
      <c r="H18959" s="24"/>
      <c r="I18959" s="24"/>
      <c r="J18959" s="24"/>
      <c r="K18959" s="24"/>
      <c r="L18959" s="24"/>
      <c r="M18959" s="24"/>
      <c r="N18959" s="24"/>
      <c r="O18959" s="24"/>
      <c r="P18959" s="24"/>
      <c r="Q18959" s="24"/>
      <c r="R18959" s="24"/>
      <c r="S18959" s="24"/>
      <c r="T18959" s="24"/>
      <c r="U18959" s="24"/>
      <c r="V18959" s="24"/>
      <c r="W18959" s="24"/>
      <c r="X18959" s="24"/>
      <c r="Y18959" s="24"/>
      <c r="Z18959" s="24"/>
      <c r="AA18959" s="24"/>
    </row>
    <row r="18960">
      <c r="A18960" s="24"/>
      <c r="B18960" s="25"/>
      <c r="C18960" s="24"/>
      <c r="D18960" s="26"/>
      <c r="E18960" s="24"/>
      <c r="F18960" s="24"/>
      <c r="G18960" s="24"/>
      <c r="H18960" s="24"/>
      <c r="I18960" s="24"/>
      <c r="J18960" s="24"/>
      <c r="K18960" s="24"/>
      <c r="L18960" s="24"/>
      <c r="M18960" s="24"/>
      <c r="N18960" s="24"/>
      <c r="O18960" s="24"/>
      <c r="P18960" s="24"/>
      <c r="Q18960" s="24"/>
      <c r="R18960" s="24"/>
      <c r="S18960" s="24"/>
      <c r="T18960" s="24"/>
      <c r="U18960" s="24"/>
      <c r="V18960" s="24"/>
      <c r="W18960" s="24"/>
      <c r="X18960" s="24"/>
      <c r="Y18960" s="24"/>
      <c r="Z18960" s="24"/>
      <c r="AA18960" s="24"/>
    </row>
    <row r="18961">
      <c r="A18961" s="24"/>
      <c r="B18961" s="25"/>
      <c r="C18961" s="24"/>
      <c r="D18961" s="26"/>
      <c r="E18961" s="24"/>
      <c r="F18961" s="24"/>
      <c r="G18961" s="24"/>
      <c r="H18961" s="24"/>
      <c r="I18961" s="24"/>
      <c r="J18961" s="24"/>
      <c r="K18961" s="24"/>
      <c r="L18961" s="24"/>
      <c r="M18961" s="24"/>
      <c r="N18961" s="24"/>
      <c r="O18961" s="24"/>
      <c r="P18961" s="24"/>
      <c r="Q18961" s="24"/>
      <c r="R18961" s="24"/>
      <c r="S18961" s="24"/>
      <c r="T18961" s="24"/>
      <c r="U18961" s="24"/>
      <c r="V18961" s="24"/>
      <c r="W18961" s="24"/>
      <c r="X18961" s="24"/>
      <c r="Y18961" s="24"/>
      <c r="Z18961" s="24"/>
      <c r="AA18961" s="24"/>
    </row>
    <row r="18962">
      <c r="A18962" s="24"/>
      <c r="B18962" s="25"/>
      <c r="C18962" s="24"/>
      <c r="D18962" s="26"/>
      <c r="E18962" s="24"/>
      <c r="F18962" s="24"/>
      <c r="G18962" s="24"/>
      <c r="H18962" s="24"/>
      <c r="I18962" s="24"/>
      <c r="J18962" s="24"/>
      <c r="K18962" s="24"/>
      <c r="L18962" s="24"/>
      <c r="M18962" s="24"/>
      <c r="N18962" s="24"/>
      <c r="O18962" s="24"/>
      <c r="P18962" s="24"/>
      <c r="Q18962" s="24"/>
      <c r="R18962" s="24"/>
      <c r="S18962" s="24"/>
      <c r="T18962" s="24"/>
      <c r="U18962" s="24"/>
      <c r="V18962" s="24"/>
      <c r="W18962" s="24"/>
      <c r="X18962" s="24"/>
      <c r="Y18962" s="24"/>
      <c r="Z18962" s="24"/>
      <c r="AA18962" s="24"/>
    </row>
    <row r="18963">
      <c r="A18963" s="24"/>
      <c r="B18963" s="25"/>
      <c r="C18963" s="24"/>
      <c r="D18963" s="26"/>
      <c r="E18963" s="24"/>
      <c r="F18963" s="24"/>
      <c r="G18963" s="24"/>
      <c r="H18963" s="24"/>
      <c r="I18963" s="24"/>
      <c r="J18963" s="24"/>
      <c r="K18963" s="24"/>
      <c r="L18963" s="24"/>
      <c r="M18963" s="24"/>
      <c r="N18963" s="24"/>
      <c r="O18963" s="24"/>
      <c r="P18963" s="24"/>
      <c r="Q18963" s="24"/>
      <c r="R18963" s="24"/>
      <c r="S18963" s="24"/>
      <c r="T18963" s="24"/>
      <c r="U18963" s="24"/>
      <c r="V18963" s="24"/>
      <c r="W18963" s="24"/>
      <c r="X18963" s="24"/>
      <c r="Y18963" s="24"/>
      <c r="Z18963" s="24"/>
      <c r="AA18963" s="24"/>
    </row>
    <row r="18964">
      <c r="A18964" s="24"/>
      <c r="B18964" s="25"/>
      <c r="C18964" s="24"/>
      <c r="D18964" s="26"/>
      <c r="E18964" s="24"/>
      <c r="F18964" s="24"/>
      <c r="G18964" s="24"/>
      <c r="H18964" s="24"/>
      <c r="I18964" s="24"/>
      <c r="J18964" s="24"/>
      <c r="K18964" s="24"/>
      <c r="L18964" s="24"/>
      <c r="M18964" s="24"/>
      <c r="N18964" s="24"/>
      <c r="O18964" s="24"/>
      <c r="P18964" s="24"/>
      <c r="Q18964" s="24"/>
      <c r="R18964" s="24"/>
      <c r="S18964" s="24"/>
      <c r="T18964" s="24"/>
      <c r="U18964" s="24"/>
      <c r="V18964" s="24"/>
      <c r="W18964" s="24"/>
      <c r="X18964" s="24"/>
      <c r="Y18964" s="24"/>
      <c r="Z18964" s="24"/>
      <c r="AA18964" s="24"/>
    </row>
    <row r="18965">
      <c r="A18965" s="24"/>
      <c r="B18965" s="25"/>
      <c r="C18965" s="24"/>
      <c r="D18965" s="26"/>
      <c r="E18965" s="24"/>
      <c r="F18965" s="24"/>
      <c r="G18965" s="24"/>
      <c r="H18965" s="24"/>
      <c r="I18965" s="24"/>
      <c r="J18965" s="24"/>
      <c r="K18965" s="24"/>
      <c r="L18965" s="24"/>
      <c r="M18965" s="24"/>
      <c r="N18965" s="24"/>
      <c r="O18965" s="24"/>
      <c r="P18965" s="24"/>
      <c r="Q18965" s="24"/>
      <c r="R18965" s="24"/>
      <c r="S18965" s="24"/>
      <c r="T18965" s="24"/>
      <c r="U18965" s="24"/>
      <c r="V18965" s="24"/>
      <c r="W18965" s="24"/>
      <c r="X18965" s="24"/>
      <c r="Y18965" s="24"/>
      <c r="Z18965" s="24"/>
      <c r="AA18965" s="24"/>
    </row>
    <row r="18966">
      <c r="A18966" s="24"/>
      <c r="B18966" s="25"/>
      <c r="C18966" s="24"/>
      <c r="D18966" s="26"/>
      <c r="E18966" s="24"/>
      <c r="F18966" s="24"/>
      <c r="G18966" s="24"/>
      <c r="H18966" s="24"/>
      <c r="I18966" s="24"/>
      <c r="J18966" s="24"/>
      <c r="K18966" s="24"/>
      <c r="L18966" s="24"/>
      <c r="M18966" s="24"/>
      <c r="N18966" s="24"/>
      <c r="O18966" s="24"/>
      <c r="P18966" s="24"/>
      <c r="Q18966" s="24"/>
      <c r="R18966" s="24"/>
      <c r="S18966" s="24"/>
      <c r="T18966" s="24"/>
      <c r="U18966" s="24"/>
      <c r="V18966" s="24"/>
      <c r="W18966" s="24"/>
      <c r="X18966" s="24"/>
      <c r="Y18966" s="24"/>
      <c r="Z18966" s="24"/>
      <c r="AA18966" s="24"/>
    </row>
    <row r="18967">
      <c r="A18967" s="24"/>
      <c r="B18967" s="25"/>
      <c r="C18967" s="24"/>
      <c r="D18967" s="26"/>
      <c r="E18967" s="24"/>
      <c r="F18967" s="24"/>
      <c r="G18967" s="24"/>
      <c r="H18967" s="24"/>
      <c r="I18967" s="24"/>
      <c r="J18967" s="24"/>
      <c r="K18967" s="24"/>
      <c r="L18967" s="24"/>
      <c r="M18967" s="24"/>
      <c r="N18967" s="24"/>
      <c r="O18967" s="24"/>
      <c r="P18967" s="24"/>
      <c r="Q18967" s="24"/>
      <c r="R18967" s="24"/>
      <c r="S18967" s="24"/>
      <c r="T18967" s="24"/>
      <c r="U18967" s="24"/>
      <c r="V18967" s="24"/>
      <c r="W18967" s="24"/>
      <c r="X18967" s="24"/>
      <c r="Y18967" s="24"/>
      <c r="Z18967" s="24"/>
      <c r="AA18967" s="24"/>
    </row>
    <row r="18968">
      <c r="A18968" s="24"/>
      <c r="B18968" s="25"/>
      <c r="C18968" s="24"/>
      <c r="D18968" s="26"/>
      <c r="E18968" s="24"/>
      <c r="F18968" s="24"/>
      <c r="G18968" s="24"/>
      <c r="H18968" s="24"/>
      <c r="I18968" s="24"/>
      <c r="J18968" s="24"/>
      <c r="K18968" s="24"/>
      <c r="L18968" s="24"/>
      <c r="M18968" s="24"/>
      <c r="N18968" s="24"/>
      <c r="O18968" s="24"/>
      <c r="P18968" s="24"/>
      <c r="Q18968" s="24"/>
      <c r="R18968" s="24"/>
      <c r="S18968" s="24"/>
      <c r="T18968" s="24"/>
      <c r="U18968" s="24"/>
      <c r="V18968" s="24"/>
      <c r="W18968" s="24"/>
      <c r="X18968" s="24"/>
      <c r="Y18968" s="24"/>
      <c r="Z18968" s="24"/>
      <c r="AA18968" s="24"/>
    </row>
    <row r="18969">
      <c r="A18969" s="24"/>
      <c r="B18969" s="25"/>
      <c r="C18969" s="24"/>
      <c r="D18969" s="26"/>
      <c r="E18969" s="24"/>
      <c r="F18969" s="24"/>
      <c r="G18969" s="24"/>
      <c r="H18969" s="24"/>
      <c r="I18969" s="24"/>
      <c r="J18969" s="24"/>
      <c r="K18969" s="24"/>
      <c r="L18969" s="24"/>
      <c r="M18969" s="24"/>
      <c r="N18969" s="24"/>
      <c r="O18969" s="24"/>
      <c r="P18969" s="24"/>
      <c r="Q18969" s="24"/>
      <c r="R18969" s="24"/>
      <c r="S18969" s="24"/>
      <c r="T18969" s="24"/>
      <c r="U18969" s="24"/>
      <c r="V18969" s="24"/>
      <c r="W18969" s="24"/>
      <c r="X18969" s="24"/>
      <c r="Y18969" s="24"/>
      <c r="Z18969" s="24"/>
      <c r="AA18969" s="24"/>
    </row>
    <row r="18970">
      <c r="A18970" s="24"/>
      <c r="B18970" s="25"/>
      <c r="C18970" s="24"/>
      <c r="D18970" s="26"/>
      <c r="E18970" s="24"/>
      <c r="F18970" s="24"/>
      <c r="G18970" s="24"/>
      <c r="H18970" s="24"/>
      <c r="I18970" s="24"/>
      <c r="J18970" s="24"/>
      <c r="K18970" s="24"/>
      <c r="L18970" s="24"/>
      <c r="M18970" s="24"/>
      <c r="N18970" s="24"/>
      <c r="O18970" s="24"/>
      <c r="P18970" s="24"/>
      <c r="Q18970" s="24"/>
      <c r="R18970" s="24"/>
      <c r="S18970" s="24"/>
      <c r="T18970" s="24"/>
      <c r="U18970" s="24"/>
      <c r="V18970" s="24"/>
      <c r="W18970" s="24"/>
      <c r="X18970" s="24"/>
      <c r="Y18970" s="24"/>
      <c r="Z18970" s="24"/>
      <c r="AA18970" s="24"/>
    </row>
    <row r="18971">
      <c r="A18971" s="24"/>
      <c r="B18971" s="25"/>
      <c r="C18971" s="24"/>
      <c r="D18971" s="26"/>
      <c r="E18971" s="24"/>
      <c r="F18971" s="24"/>
      <c r="G18971" s="24"/>
      <c r="H18971" s="24"/>
      <c r="I18971" s="24"/>
      <c r="J18971" s="24"/>
      <c r="K18971" s="24"/>
      <c r="L18971" s="24"/>
      <c r="M18971" s="24"/>
      <c r="N18971" s="24"/>
      <c r="O18971" s="24"/>
      <c r="P18971" s="24"/>
      <c r="Q18971" s="24"/>
      <c r="R18971" s="24"/>
      <c r="S18971" s="24"/>
      <c r="T18971" s="24"/>
      <c r="U18971" s="24"/>
      <c r="V18971" s="24"/>
      <c r="W18971" s="24"/>
      <c r="X18971" s="24"/>
      <c r="Y18971" s="24"/>
      <c r="Z18971" s="24"/>
      <c r="AA18971" s="24"/>
    </row>
    <row r="18972">
      <c r="A18972" s="24"/>
      <c r="B18972" s="25"/>
      <c r="C18972" s="24"/>
      <c r="D18972" s="26"/>
      <c r="E18972" s="24"/>
      <c r="F18972" s="24"/>
      <c r="G18972" s="24"/>
      <c r="H18972" s="24"/>
      <c r="I18972" s="24"/>
      <c r="J18972" s="24"/>
      <c r="K18972" s="24"/>
      <c r="L18972" s="24"/>
      <c r="M18972" s="24"/>
      <c r="N18972" s="24"/>
      <c r="O18972" s="24"/>
      <c r="P18972" s="24"/>
      <c r="Q18972" s="24"/>
      <c r="R18972" s="24"/>
      <c r="S18972" s="24"/>
      <c r="T18972" s="24"/>
      <c r="U18972" s="24"/>
      <c r="V18972" s="24"/>
      <c r="W18972" s="24"/>
      <c r="X18972" s="24"/>
      <c r="Y18972" s="24"/>
      <c r="Z18972" s="24"/>
      <c r="AA18972" s="24"/>
    </row>
    <row r="18973">
      <c r="A18973" s="24"/>
      <c r="B18973" s="25"/>
      <c r="C18973" s="24"/>
      <c r="D18973" s="26"/>
      <c r="E18973" s="24"/>
      <c r="F18973" s="24"/>
      <c r="G18973" s="24"/>
      <c r="H18973" s="24"/>
      <c r="I18973" s="24"/>
      <c r="J18973" s="24"/>
      <c r="K18973" s="24"/>
      <c r="L18973" s="24"/>
      <c r="M18973" s="24"/>
      <c r="N18973" s="24"/>
      <c r="O18973" s="24"/>
      <c r="P18973" s="24"/>
      <c r="Q18973" s="24"/>
      <c r="R18973" s="24"/>
      <c r="S18973" s="24"/>
      <c r="T18973" s="24"/>
      <c r="U18973" s="24"/>
      <c r="V18973" s="24"/>
      <c r="W18973" s="24"/>
      <c r="X18973" s="24"/>
      <c r="Y18973" s="24"/>
      <c r="Z18973" s="24"/>
      <c r="AA18973" s="24"/>
    </row>
    <row r="18974">
      <c r="A18974" s="24"/>
      <c r="B18974" s="25"/>
      <c r="C18974" s="24"/>
      <c r="D18974" s="26"/>
      <c r="E18974" s="24"/>
      <c r="F18974" s="24"/>
      <c r="G18974" s="24"/>
      <c r="H18974" s="24"/>
      <c r="I18974" s="24"/>
      <c r="J18974" s="24"/>
      <c r="K18974" s="24"/>
      <c r="L18974" s="24"/>
      <c r="M18974" s="24"/>
      <c r="N18974" s="24"/>
      <c r="O18974" s="24"/>
      <c r="P18974" s="24"/>
      <c r="Q18974" s="24"/>
      <c r="R18974" s="24"/>
      <c r="S18974" s="24"/>
      <c r="T18974" s="24"/>
      <c r="U18974" s="24"/>
      <c r="V18974" s="24"/>
      <c r="W18974" s="24"/>
      <c r="X18974" s="24"/>
      <c r="Y18974" s="24"/>
      <c r="Z18974" s="24"/>
      <c r="AA18974" s="24"/>
    </row>
    <row r="18975">
      <c r="A18975" s="24"/>
      <c r="B18975" s="25"/>
      <c r="C18975" s="24"/>
      <c r="D18975" s="26"/>
      <c r="E18975" s="24"/>
      <c r="F18975" s="24"/>
      <c r="G18975" s="24"/>
      <c r="H18975" s="24"/>
      <c r="I18975" s="24"/>
      <c r="J18975" s="24"/>
      <c r="K18975" s="24"/>
      <c r="L18975" s="24"/>
      <c r="M18975" s="24"/>
      <c r="N18975" s="24"/>
      <c r="O18975" s="24"/>
      <c r="P18975" s="24"/>
      <c r="Q18975" s="24"/>
      <c r="R18975" s="24"/>
      <c r="S18975" s="24"/>
      <c r="T18975" s="24"/>
      <c r="U18975" s="24"/>
      <c r="V18975" s="24"/>
      <c r="W18975" s="24"/>
      <c r="X18975" s="24"/>
      <c r="Y18975" s="24"/>
      <c r="Z18975" s="24"/>
      <c r="AA18975" s="24"/>
    </row>
    <row r="18976">
      <c r="A18976" s="24"/>
      <c r="B18976" s="25"/>
      <c r="C18976" s="24"/>
      <c r="D18976" s="26"/>
      <c r="E18976" s="24"/>
      <c r="F18976" s="24"/>
      <c r="G18976" s="24"/>
      <c r="H18976" s="24"/>
      <c r="I18976" s="24"/>
      <c r="J18976" s="24"/>
      <c r="K18976" s="24"/>
      <c r="L18976" s="24"/>
      <c r="M18976" s="24"/>
      <c r="N18976" s="24"/>
      <c r="O18976" s="24"/>
      <c r="P18976" s="24"/>
      <c r="Q18976" s="24"/>
      <c r="R18976" s="24"/>
      <c r="S18976" s="24"/>
      <c r="T18976" s="24"/>
      <c r="U18976" s="24"/>
      <c r="V18976" s="24"/>
      <c r="W18976" s="24"/>
      <c r="X18976" s="24"/>
      <c r="Y18976" s="24"/>
      <c r="Z18976" s="24"/>
      <c r="AA18976" s="24"/>
    </row>
    <row r="18977">
      <c r="A18977" s="24"/>
      <c r="B18977" s="25"/>
      <c r="C18977" s="24"/>
      <c r="D18977" s="26"/>
      <c r="E18977" s="24"/>
      <c r="F18977" s="24"/>
      <c r="G18977" s="24"/>
      <c r="H18977" s="24"/>
      <c r="I18977" s="24"/>
      <c r="J18977" s="24"/>
      <c r="K18977" s="24"/>
      <c r="L18977" s="24"/>
      <c r="M18977" s="24"/>
      <c r="N18977" s="24"/>
      <c r="O18977" s="24"/>
      <c r="P18977" s="24"/>
      <c r="Q18977" s="24"/>
      <c r="R18977" s="24"/>
      <c r="S18977" s="24"/>
      <c r="T18977" s="24"/>
      <c r="U18977" s="24"/>
      <c r="V18977" s="24"/>
      <c r="W18977" s="24"/>
      <c r="X18977" s="24"/>
      <c r="Y18977" s="24"/>
      <c r="Z18977" s="24"/>
      <c r="AA18977" s="24"/>
    </row>
    <row r="18978">
      <c r="A18978" s="24"/>
      <c r="B18978" s="25"/>
      <c r="C18978" s="24"/>
      <c r="D18978" s="26"/>
      <c r="E18978" s="24"/>
      <c r="F18978" s="24"/>
      <c r="G18978" s="24"/>
      <c r="H18978" s="24"/>
      <c r="I18978" s="24"/>
      <c r="J18978" s="24"/>
      <c r="K18978" s="24"/>
      <c r="L18978" s="24"/>
      <c r="M18978" s="24"/>
      <c r="N18978" s="24"/>
      <c r="O18978" s="24"/>
      <c r="P18978" s="24"/>
      <c r="Q18978" s="24"/>
      <c r="R18978" s="24"/>
      <c r="S18978" s="24"/>
      <c r="T18978" s="24"/>
      <c r="U18978" s="24"/>
      <c r="V18978" s="24"/>
      <c r="W18978" s="24"/>
      <c r="X18978" s="24"/>
      <c r="Y18978" s="24"/>
      <c r="Z18978" s="24"/>
      <c r="AA18978" s="24"/>
    </row>
    <row r="18979">
      <c r="A18979" s="24"/>
      <c r="B18979" s="25"/>
      <c r="C18979" s="24"/>
      <c r="D18979" s="26"/>
      <c r="E18979" s="24"/>
      <c r="F18979" s="24"/>
      <c r="G18979" s="24"/>
      <c r="H18979" s="24"/>
      <c r="I18979" s="24"/>
      <c r="J18979" s="24"/>
      <c r="K18979" s="24"/>
      <c r="L18979" s="24"/>
      <c r="M18979" s="24"/>
      <c r="N18979" s="24"/>
      <c r="O18979" s="24"/>
      <c r="P18979" s="24"/>
      <c r="Q18979" s="24"/>
      <c r="R18979" s="24"/>
      <c r="S18979" s="24"/>
      <c r="T18979" s="24"/>
      <c r="U18979" s="24"/>
      <c r="V18979" s="24"/>
      <c r="W18979" s="24"/>
      <c r="X18979" s="24"/>
      <c r="Y18979" s="24"/>
      <c r="Z18979" s="24"/>
      <c r="AA18979" s="24"/>
    </row>
    <row r="18980">
      <c r="A18980" s="24"/>
      <c r="B18980" s="25"/>
      <c r="C18980" s="24"/>
      <c r="D18980" s="26"/>
      <c r="E18980" s="24"/>
      <c r="F18980" s="24"/>
      <c r="G18980" s="24"/>
      <c r="H18980" s="24"/>
      <c r="I18980" s="24"/>
      <c r="J18980" s="24"/>
      <c r="K18980" s="24"/>
      <c r="L18980" s="24"/>
      <c r="M18980" s="24"/>
      <c r="N18980" s="24"/>
      <c r="O18980" s="24"/>
      <c r="P18980" s="24"/>
      <c r="Q18980" s="24"/>
      <c r="R18980" s="24"/>
      <c r="S18980" s="24"/>
      <c r="T18980" s="24"/>
      <c r="U18980" s="24"/>
      <c r="V18980" s="24"/>
      <c r="W18980" s="24"/>
      <c r="X18980" s="24"/>
      <c r="Y18980" s="24"/>
      <c r="Z18980" s="24"/>
      <c r="AA18980" s="24"/>
    </row>
    <row r="18981">
      <c r="A18981" s="24"/>
      <c r="B18981" s="25"/>
      <c r="C18981" s="24"/>
      <c r="D18981" s="26"/>
      <c r="E18981" s="24"/>
      <c r="F18981" s="24"/>
      <c r="G18981" s="24"/>
      <c r="H18981" s="24"/>
      <c r="I18981" s="24"/>
      <c r="J18981" s="24"/>
      <c r="K18981" s="24"/>
      <c r="L18981" s="24"/>
      <c r="M18981" s="24"/>
      <c r="N18981" s="24"/>
      <c r="O18981" s="24"/>
      <c r="P18981" s="24"/>
      <c r="Q18981" s="24"/>
      <c r="R18981" s="24"/>
      <c r="S18981" s="24"/>
      <c r="T18981" s="24"/>
      <c r="U18981" s="24"/>
      <c r="V18981" s="24"/>
      <c r="W18981" s="24"/>
      <c r="X18981" s="24"/>
      <c r="Y18981" s="24"/>
      <c r="Z18981" s="24"/>
      <c r="AA18981" s="24"/>
    </row>
    <row r="18982">
      <c r="A18982" s="24"/>
      <c r="B18982" s="25"/>
      <c r="C18982" s="24"/>
      <c r="D18982" s="26"/>
      <c r="E18982" s="24"/>
      <c r="F18982" s="24"/>
      <c r="G18982" s="24"/>
      <c r="H18982" s="24"/>
      <c r="I18982" s="24"/>
      <c r="J18982" s="24"/>
      <c r="K18982" s="24"/>
      <c r="L18982" s="24"/>
      <c r="M18982" s="24"/>
      <c r="N18982" s="24"/>
      <c r="O18982" s="24"/>
      <c r="P18982" s="24"/>
      <c r="Q18982" s="24"/>
      <c r="R18982" s="24"/>
      <c r="S18982" s="24"/>
      <c r="T18982" s="24"/>
      <c r="U18982" s="24"/>
      <c r="V18982" s="24"/>
      <c r="W18982" s="24"/>
      <c r="X18982" s="24"/>
      <c r="Y18982" s="24"/>
      <c r="Z18982" s="24"/>
      <c r="AA18982" s="24"/>
    </row>
    <row r="18983">
      <c r="A18983" s="24"/>
      <c r="B18983" s="25"/>
      <c r="C18983" s="24"/>
      <c r="D18983" s="26"/>
      <c r="E18983" s="24"/>
      <c r="F18983" s="24"/>
      <c r="G18983" s="24"/>
      <c r="H18983" s="24"/>
      <c r="I18983" s="24"/>
      <c r="J18983" s="24"/>
      <c r="K18983" s="24"/>
      <c r="L18983" s="24"/>
      <c r="M18983" s="24"/>
      <c r="N18983" s="24"/>
      <c r="O18983" s="24"/>
      <c r="P18983" s="24"/>
      <c r="Q18983" s="24"/>
      <c r="R18983" s="24"/>
      <c r="S18983" s="24"/>
      <c r="T18983" s="24"/>
      <c r="U18983" s="24"/>
      <c r="V18983" s="24"/>
      <c r="W18983" s="24"/>
      <c r="X18983" s="24"/>
      <c r="Y18983" s="24"/>
      <c r="Z18983" s="24"/>
      <c r="AA18983" s="24"/>
    </row>
    <row r="18984">
      <c r="A18984" s="24"/>
      <c r="B18984" s="25"/>
      <c r="C18984" s="24"/>
      <c r="D18984" s="26"/>
      <c r="E18984" s="24"/>
      <c r="F18984" s="24"/>
      <c r="G18984" s="24"/>
      <c r="H18984" s="24"/>
      <c r="I18984" s="24"/>
      <c r="J18984" s="24"/>
      <c r="K18984" s="24"/>
      <c r="L18984" s="24"/>
      <c r="M18984" s="24"/>
      <c r="N18984" s="24"/>
      <c r="O18984" s="24"/>
      <c r="P18984" s="24"/>
      <c r="Q18984" s="24"/>
      <c r="R18984" s="24"/>
      <c r="S18984" s="24"/>
      <c r="T18984" s="24"/>
      <c r="U18984" s="24"/>
      <c r="V18984" s="24"/>
      <c r="W18984" s="24"/>
      <c r="X18984" s="24"/>
      <c r="Y18984" s="24"/>
      <c r="Z18984" s="24"/>
      <c r="AA18984" s="24"/>
    </row>
    <row r="18985">
      <c r="A18985" s="24"/>
      <c r="B18985" s="25"/>
      <c r="C18985" s="24"/>
      <c r="D18985" s="26"/>
      <c r="E18985" s="24"/>
      <c r="F18985" s="24"/>
      <c r="G18985" s="24"/>
      <c r="H18985" s="24"/>
      <c r="I18985" s="24"/>
      <c r="J18985" s="24"/>
      <c r="K18985" s="24"/>
      <c r="L18985" s="24"/>
      <c r="M18985" s="24"/>
      <c r="N18985" s="24"/>
      <c r="O18985" s="24"/>
      <c r="P18985" s="24"/>
      <c r="Q18985" s="24"/>
      <c r="R18985" s="24"/>
      <c r="S18985" s="24"/>
      <c r="T18985" s="24"/>
      <c r="U18985" s="24"/>
      <c r="V18985" s="24"/>
      <c r="W18985" s="24"/>
      <c r="X18985" s="24"/>
      <c r="Y18985" s="24"/>
      <c r="Z18985" s="24"/>
      <c r="AA18985" s="24"/>
    </row>
    <row r="18986">
      <c r="A18986" s="24"/>
      <c r="B18986" s="25"/>
      <c r="C18986" s="24"/>
      <c r="D18986" s="26"/>
      <c r="E18986" s="24"/>
      <c r="F18986" s="24"/>
      <c r="G18986" s="24"/>
      <c r="H18986" s="24"/>
      <c r="I18986" s="24"/>
      <c r="J18986" s="24"/>
      <c r="K18986" s="24"/>
      <c r="L18986" s="24"/>
      <c r="M18986" s="24"/>
      <c r="N18986" s="24"/>
      <c r="O18986" s="24"/>
      <c r="P18986" s="24"/>
      <c r="Q18986" s="24"/>
      <c r="R18986" s="24"/>
      <c r="S18986" s="24"/>
      <c r="T18986" s="24"/>
      <c r="U18986" s="24"/>
      <c r="V18986" s="24"/>
      <c r="W18986" s="24"/>
      <c r="X18986" s="24"/>
      <c r="Y18986" s="24"/>
      <c r="Z18986" s="24"/>
      <c r="AA18986" s="24"/>
    </row>
    <row r="18987">
      <c r="A18987" s="24"/>
      <c r="B18987" s="25"/>
      <c r="C18987" s="24"/>
      <c r="D18987" s="26"/>
      <c r="E18987" s="24"/>
      <c r="F18987" s="24"/>
      <c r="G18987" s="24"/>
      <c r="H18987" s="24"/>
      <c r="I18987" s="24"/>
      <c r="J18987" s="24"/>
      <c r="K18987" s="24"/>
      <c r="L18987" s="24"/>
      <c r="M18987" s="24"/>
      <c r="N18987" s="24"/>
      <c r="O18987" s="24"/>
      <c r="P18987" s="24"/>
      <c r="Q18987" s="24"/>
      <c r="R18987" s="24"/>
      <c r="S18987" s="24"/>
      <c r="T18987" s="24"/>
      <c r="U18987" s="24"/>
      <c r="V18987" s="24"/>
      <c r="W18987" s="24"/>
      <c r="X18987" s="24"/>
      <c r="Y18987" s="24"/>
      <c r="Z18987" s="24"/>
      <c r="AA18987" s="24"/>
    </row>
    <row r="18988">
      <c r="A18988" s="24"/>
      <c r="B18988" s="25"/>
      <c r="C18988" s="24"/>
      <c r="D18988" s="26"/>
      <c r="E18988" s="24"/>
      <c r="F18988" s="24"/>
      <c r="G18988" s="24"/>
      <c r="H18988" s="24"/>
      <c r="I18988" s="24"/>
      <c r="J18988" s="24"/>
      <c r="K18988" s="24"/>
      <c r="L18988" s="24"/>
      <c r="M18988" s="24"/>
      <c r="N18988" s="24"/>
      <c r="O18988" s="24"/>
      <c r="P18988" s="24"/>
      <c r="Q18988" s="24"/>
      <c r="R18988" s="24"/>
      <c r="S18988" s="24"/>
      <c r="T18988" s="24"/>
      <c r="U18988" s="24"/>
      <c r="V18988" s="24"/>
      <c r="W18988" s="24"/>
      <c r="X18988" s="24"/>
      <c r="Y18988" s="24"/>
      <c r="Z18988" s="24"/>
      <c r="AA18988" s="24"/>
    </row>
    <row r="18989">
      <c r="A18989" s="24"/>
      <c r="B18989" s="25"/>
      <c r="C18989" s="24"/>
      <c r="D18989" s="26"/>
      <c r="E18989" s="24"/>
      <c r="F18989" s="24"/>
      <c r="G18989" s="24"/>
      <c r="H18989" s="24"/>
      <c r="I18989" s="24"/>
      <c r="J18989" s="24"/>
      <c r="K18989" s="24"/>
      <c r="L18989" s="24"/>
      <c r="M18989" s="24"/>
      <c r="N18989" s="24"/>
      <c r="O18989" s="24"/>
      <c r="P18989" s="24"/>
      <c r="Q18989" s="24"/>
      <c r="R18989" s="24"/>
      <c r="S18989" s="24"/>
      <c r="T18989" s="24"/>
      <c r="U18989" s="24"/>
      <c r="V18989" s="24"/>
      <c r="W18989" s="24"/>
      <c r="X18989" s="24"/>
      <c r="Y18989" s="24"/>
      <c r="Z18989" s="24"/>
      <c r="AA18989" s="24"/>
    </row>
    <row r="18990">
      <c r="A18990" s="24"/>
      <c r="B18990" s="25"/>
      <c r="C18990" s="24"/>
      <c r="D18990" s="26"/>
      <c r="E18990" s="24"/>
      <c r="F18990" s="24"/>
      <c r="G18990" s="24"/>
      <c r="H18990" s="24"/>
      <c r="I18990" s="24"/>
      <c r="J18990" s="24"/>
      <c r="K18990" s="24"/>
      <c r="L18990" s="24"/>
      <c r="M18990" s="24"/>
      <c r="N18990" s="24"/>
      <c r="O18990" s="24"/>
      <c r="P18990" s="24"/>
      <c r="Q18990" s="24"/>
      <c r="R18990" s="24"/>
      <c r="S18990" s="24"/>
      <c r="T18990" s="24"/>
      <c r="U18990" s="24"/>
      <c r="V18990" s="24"/>
      <c r="W18990" s="24"/>
      <c r="X18990" s="24"/>
      <c r="Y18990" s="24"/>
      <c r="Z18990" s="24"/>
      <c r="AA18990" s="24"/>
    </row>
    <row r="18991">
      <c r="A18991" s="24"/>
      <c r="B18991" s="25"/>
      <c r="C18991" s="24"/>
      <c r="D18991" s="26"/>
      <c r="E18991" s="24"/>
      <c r="F18991" s="24"/>
      <c r="G18991" s="24"/>
      <c r="H18991" s="24"/>
      <c r="I18991" s="24"/>
      <c r="J18991" s="24"/>
      <c r="K18991" s="24"/>
      <c r="L18991" s="24"/>
      <c r="M18991" s="24"/>
      <c r="N18991" s="24"/>
      <c r="O18991" s="24"/>
      <c r="P18991" s="24"/>
      <c r="Q18991" s="24"/>
      <c r="R18991" s="24"/>
      <c r="S18991" s="24"/>
      <c r="T18991" s="24"/>
      <c r="U18991" s="24"/>
      <c r="V18991" s="24"/>
      <c r="W18991" s="24"/>
      <c r="X18991" s="24"/>
      <c r="Y18991" s="24"/>
      <c r="Z18991" s="24"/>
      <c r="AA18991" s="24"/>
    </row>
    <row r="18992">
      <c r="A18992" s="24"/>
      <c r="B18992" s="25"/>
      <c r="C18992" s="24"/>
      <c r="D18992" s="26"/>
      <c r="E18992" s="24"/>
      <c r="F18992" s="24"/>
      <c r="G18992" s="24"/>
      <c r="H18992" s="24"/>
      <c r="I18992" s="24"/>
      <c r="J18992" s="24"/>
      <c r="K18992" s="24"/>
      <c r="L18992" s="24"/>
      <c r="M18992" s="24"/>
      <c r="N18992" s="24"/>
      <c r="O18992" s="24"/>
      <c r="P18992" s="24"/>
      <c r="Q18992" s="24"/>
      <c r="R18992" s="24"/>
      <c r="S18992" s="24"/>
      <c r="T18992" s="24"/>
      <c r="U18992" s="24"/>
      <c r="V18992" s="24"/>
      <c r="W18992" s="24"/>
      <c r="X18992" s="24"/>
      <c r="Y18992" s="24"/>
      <c r="Z18992" s="24"/>
      <c r="AA18992" s="24"/>
    </row>
    <row r="18993">
      <c r="A18993" s="24"/>
      <c r="B18993" s="25"/>
      <c r="C18993" s="24"/>
      <c r="D18993" s="26"/>
      <c r="E18993" s="24"/>
      <c r="F18993" s="24"/>
      <c r="G18993" s="24"/>
      <c r="H18993" s="24"/>
      <c r="I18993" s="24"/>
      <c r="J18993" s="24"/>
      <c r="K18993" s="24"/>
      <c r="L18993" s="24"/>
      <c r="M18993" s="24"/>
      <c r="N18993" s="24"/>
      <c r="O18993" s="24"/>
      <c r="P18993" s="24"/>
      <c r="Q18993" s="24"/>
      <c r="R18993" s="24"/>
      <c r="S18993" s="24"/>
      <c r="T18993" s="24"/>
      <c r="U18993" s="24"/>
      <c r="V18993" s="24"/>
      <c r="W18993" s="24"/>
      <c r="X18993" s="24"/>
      <c r="Y18993" s="24"/>
      <c r="Z18993" s="24"/>
      <c r="AA18993" s="24"/>
    </row>
    <row r="18994">
      <c r="A18994" s="24"/>
      <c r="B18994" s="25"/>
      <c r="C18994" s="24"/>
      <c r="D18994" s="26"/>
      <c r="E18994" s="24"/>
      <c r="F18994" s="24"/>
      <c r="G18994" s="24"/>
      <c r="H18994" s="24"/>
      <c r="I18994" s="24"/>
      <c r="J18994" s="24"/>
      <c r="K18994" s="24"/>
      <c r="L18994" s="24"/>
      <c r="M18994" s="24"/>
      <c r="N18994" s="24"/>
      <c r="O18994" s="24"/>
      <c r="P18994" s="24"/>
      <c r="Q18994" s="24"/>
      <c r="R18994" s="24"/>
      <c r="S18994" s="24"/>
      <c r="T18994" s="24"/>
      <c r="U18994" s="24"/>
      <c r="V18994" s="24"/>
      <c r="W18994" s="24"/>
      <c r="X18994" s="24"/>
      <c r="Y18994" s="24"/>
      <c r="Z18994" s="24"/>
      <c r="AA18994" s="24"/>
    </row>
    <row r="18995">
      <c r="A18995" s="24"/>
      <c r="B18995" s="25"/>
      <c r="C18995" s="24"/>
      <c r="D18995" s="26"/>
      <c r="E18995" s="24"/>
      <c r="F18995" s="24"/>
      <c r="G18995" s="24"/>
      <c r="H18995" s="24"/>
      <c r="I18995" s="24"/>
      <c r="J18995" s="24"/>
      <c r="K18995" s="24"/>
      <c r="L18995" s="24"/>
      <c r="M18995" s="24"/>
      <c r="N18995" s="24"/>
      <c r="O18995" s="24"/>
      <c r="P18995" s="24"/>
      <c r="Q18995" s="24"/>
      <c r="R18995" s="24"/>
      <c r="S18995" s="24"/>
      <c r="T18995" s="24"/>
      <c r="U18995" s="24"/>
      <c r="V18995" s="24"/>
      <c r="W18995" s="24"/>
      <c r="X18995" s="24"/>
      <c r="Y18995" s="24"/>
      <c r="Z18995" s="24"/>
      <c r="AA18995" s="24"/>
    </row>
    <row r="18996">
      <c r="A18996" s="24"/>
      <c r="B18996" s="25"/>
      <c r="C18996" s="24"/>
      <c r="D18996" s="26"/>
      <c r="E18996" s="24"/>
      <c r="F18996" s="24"/>
      <c r="G18996" s="24"/>
      <c r="H18996" s="24"/>
      <c r="I18996" s="24"/>
      <c r="J18996" s="24"/>
      <c r="K18996" s="24"/>
      <c r="L18996" s="24"/>
      <c r="M18996" s="24"/>
      <c r="N18996" s="24"/>
      <c r="O18996" s="24"/>
      <c r="P18996" s="24"/>
      <c r="Q18996" s="24"/>
      <c r="R18996" s="24"/>
      <c r="S18996" s="24"/>
      <c r="T18996" s="24"/>
      <c r="U18996" s="24"/>
      <c r="V18996" s="24"/>
      <c r="W18996" s="24"/>
      <c r="X18996" s="24"/>
      <c r="Y18996" s="24"/>
      <c r="Z18996" s="24"/>
      <c r="AA18996" s="24"/>
    </row>
    <row r="18997">
      <c r="A18997" s="24"/>
      <c r="B18997" s="25"/>
      <c r="C18997" s="24"/>
      <c r="D18997" s="26"/>
      <c r="E18997" s="24"/>
      <c r="F18997" s="24"/>
      <c r="G18997" s="24"/>
      <c r="H18997" s="24"/>
      <c r="I18997" s="24"/>
      <c r="J18997" s="24"/>
      <c r="K18997" s="24"/>
      <c r="L18997" s="24"/>
      <c r="M18997" s="24"/>
      <c r="N18997" s="24"/>
      <c r="O18997" s="24"/>
      <c r="P18997" s="24"/>
      <c r="Q18997" s="24"/>
      <c r="R18997" s="24"/>
      <c r="S18997" s="24"/>
      <c r="T18997" s="24"/>
      <c r="U18997" s="24"/>
      <c r="V18997" s="24"/>
      <c r="W18997" s="24"/>
      <c r="X18997" s="24"/>
      <c r="Y18997" s="24"/>
      <c r="Z18997" s="24"/>
      <c r="AA18997" s="24"/>
    </row>
    <row r="18998">
      <c r="A18998" s="24"/>
      <c r="B18998" s="25"/>
      <c r="C18998" s="24"/>
      <c r="D18998" s="26"/>
      <c r="E18998" s="24"/>
      <c r="F18998" s="24"/>
      <c r="G18998" s="24"/>
      <c r="H18998" s="24"/>
      <c r="I18998" s="24"/>
      <c r="J18998" s="24"/>
      <c r="K18998" s="24"/>
      <c r="L18998" s="24"/>
      <c r="M18998" s="24"/>
      <c r="N18998" s="24"/>
      <c r="O18998" s="24"/>
      <c r="P18998" s="24"/>
      <c r="Q18998" s="24"/>
      <c r="R18998" s="24"/>
      <c r="S18998" s="24"/>
      <c r="T18998" s="24"/>
      <c r="U18998" s="24"/>
      <c r="V18998" s="24"/>
      <c r="W18998" s="24"/>
      <c r="X18998" s="24"/>
      <c r="Y18998" s="24"/>
      <c r="Z18998" s="24"/>
      <c r="AA18998" s="24"/>
    </row>
    <row r="18999">
      <c r="A18999" s="24"/>
      <c r="B18999" s="25"/>
      <c r="C18999" s="24"/>
      <c r="D18999" s="26"/>
      <c r="E18999" s="24"/>
      <c r="F18999" s="24"/>
      <c r="G18999" s="24"/>
      <c r="H18999" s="24"/>
      <c r="I18999" s="24"/>
      <c r="J18999" s="24"/>
      <c r="K18999" s="24"/>
      <c r="L18999" s="24"/>
      <c r="M18999" s="24"/>
      <c r="N18999" s="24"/>
      <c r="O18999" s="24"/>
      <c r="P18999" s="24"/>
      <c r="Q18999" s="24"/>
      <c r="R18999" s="24"/>
      <c r="S18999" s="24"/>
      <c r="T18999" s="24"/>
      <c r="U18999" s="24"/>
      <c r="V18999" s="24"/>
      <c r="W18999" s="24"/>
      <c r="X18999" s="24"/>
      <c r="Y18999" s="24"/>
      <c r="Z18999" s="24"/>
      <c r="AA18999" s="24"/>
    </row>
    <row r="19000">
      <c r="A19000" s="24"/>
      <c r="B19000" s="25"/>
      <c r="C19000" s="24"/>
      <c r="D19000" s="26"/>
      <c r="E19000" s="24"/>
      <c r="F19000" s="24"/>
      <c r="G19000" s="24"/>
      <c r="H19000" s="24"/>
      <c r="I19000" s="24"/>
      <c r="J19000" s="24"/>
      <c r="K19000" s="24"/>
      <c r="L19000" s="24"/>
      <c r="M19000" s="24"/>
      <c r="N19000" s="24"/>
      <c r="O19000" s="24"/>
      <c r="P19000" s="24"/>
      <c r="Q19000" s="24"/>
      <c r="R19000" s="24"/>
      <c r="S19000" s="24"/>
      <c r="T19000" s="24"/>
      <c r="U19000" s="24"/>
      <c r="V19000" s="24"/>
      <c r="W19000" s="24"/>
      <c r="X19000" s="24"/>
      <c r="Y19000" s="24"/>
      <c r="Z19000" s="24"/>
      <c r="AA19000" s="24"/>
    </row>
    <row r="19001">
      <c r="A19001" s="24"/>
      <c r="B19001" s="25"/>
      <c r="C19001" s="24"/>
      <c r="D19001" s="26"/>
      <c r="E19001" s="24"/>
      <c r="F19001" s="24"/>
      <c r="G19001" s="24"/>
      <c r="H19001" s="24"/>
      <c r="I19001" s="24"/>
      <c r="J19001" s="24"/>
      <c r="K19001" s="24"/>
      <c r="L19001" s="24"/>
      <c r="M19001" s="24"/>
      <c r="N19001" s="24"/>
      <c r="O19001" s="24"/>
      <c r="P19001" s="24"/>
      <c r="Q19001" s="24"/>
      <c r="R19001" s="24"/>
      <c r="S19001" s="24"/>
      <c r="T19001" s="24"/>
      <c r="U19001" s="24"/>
      <c r="V19001" s="24"/>
      <c r="W19001" s="24"/>
      <c r="X19001" s="24"/>
      <c r="Y19001" s="24"/>
      <c r="Z19001" s="24"/>
      <c r="AA19001" s="24"/>
    </row>
    <row r="19002">
      <c r="A19002" s="24"/>
      <c r="B19002" s="25"/>
      <c r="C19002" s="24"/>
      <c r="D19002" s="26"/>
      <c r="E19002" s="24"/>
      <c r="F19002" s="24"/>
      <c r="G19002" s="24"/>
      <c r="H19002" s="24"/>
      <c r="I19002" s="24"/>
      <c r="J19002" s="24"/>
      <c r="K19002" s="24"/>
      <c r="L19002" s="24"/>
      <c r="M19002" s="24"/>
      <c r="N19002" s="24"/>
      <c r="O19002" s="24"/>
      <c r="P19002" s="24"/>
      <c r="Q19002" s="24"/>
      <c r="R19002" s="24"/>
      <c r="S19002" s="24"/>
      <c r="T19002" s="24"/>
      <c r="U19002" s="24"/>
      <c r="V19002" s="24"/>
      <c r="W19002" s="24"/>
      <c r="X19002" s="24"/>
      <c r="Y19002" s="24"/>
      <c r="Z19002" s="24"/>
      <c r="AA19002" s="24"/>
    </row>
    <row r="19003">
      <c r="A19003" s="24"/>
      <c r="B19003" s="25"/>
      <c r="C19003" s="24"/>
      <c r="D19003" s="26"/>
      <c r="E19003" s="24"/>
      <c r="F19003" s="24"/>
      <c r="G19003" s="24"/>
      <c r="H19003" s="24"/>
      <c r="I19003" s="24"/>
      <c r="J19003" s="24"/>
      <c r="K19003" s="24"/>
      <c r="L19003" s="24"/>
      <c r="M19003" s="24"/>
      <c r="N19003" s="24"/>
      <c r="O19003" s="24"/>
      <c r="P19003" s="24"/>
      <c r="Q19003" s="24"/>
      <c r="R19003" s="24"/>
      <c r="S19003" s="24"/>
      <c r="T19003" s="24"/>
      <c r="U19003" s="24"/>
      <c r="V19003" s="24"/>
      <c r="W19003" s="24"/>
      <c r="X19003" s="24"/>
      <c r="Y19003" s="24"/>
      <c r="Z19003" s="24"/>
      <c r="AA19003" s="24"/>
    </row>
    <row r="19004">
      <c r="A19004" s="24"/>
      <c r="B19004" s="25"/>
      <c r="C19004" s="24"/>
      <c r="D19004" s="26"/>
      <c r="E19004" s="24"/>
      <c r="F19004" s="24"/>
      <c r="G19004" s="24"/>
      <c r="H19004" s="24"/>
      <c r="I19004" s="24"/>
      <c r="J19004" s="24"/>
      <c r="K19004" s="24"/>
      <c r="L19004" s="24"/>
      <c r="M19004" s="24"/>
      <c r="N19004" s="24"/>
      <c r="O19004" s="24"/>
      <c r="P19004" s="24"/>
      <c r="Q19004" s="24"/>
      <c r="R19004" s="24"/>
      <c r="S19004" s="24"/>
      <c r="T19004" s="24"/>
      <c r="U19004" s="24"/>
      <c r="V19004" s="24"/>
      <c r="W19004" s="24"/>
      <c r="X19004" s="24"/>
      <c r="Y19004" s="24"/>
      <c r="Z19004" s="24"/>
      <c r="AA19004" s="24"/>
    </row>
    <row r="19005">
      <c r="A19005" s="24"/>
      <c r="B19005" s="25"/>
      <c r="C19005" s="24"/>
      <c r="D19005" s="26"/>
      <c r="E19005" s="24"/>
      <c r="F19005" s="24"/>
      <c r="G19005" s="24"/>
      <c r="H19005" s="24"/>
      <c r="I19005" s="24"/>
      <c r="J19005" s="24"/>
      <c r="K19005" s="24"/>
      <c r="L19005" s="24"/>
      <c r="M19005" s="24"/>
      <c r="N19005" s="24"/>
      <c r="O19005" s="24"/>
      <c r="P19005" s="24"/>
      <c r="Q19005" s="24"/>
      <c r="R19005" s="24"/>
      <c r="S19005" s="24"/>
      <c r="T19005" s="24"/>
      <c r="U19005" s="24"/>
      <c r="V19005" s="24"/>
      <c r="W19005" s="24"/>
      <c r="X19005" s="24"/>
      <c r="Y19005" s="24"/>
      <c r="Z19005" s="24"/>
      <c r="AA19005" s="24"/>
    </row>
    <row r="19006">
      <c r="A19006" s="24"/>
      <c r="B19006" s="25"/>
      <c r="C19006" s="24"/>
      <c r="D19006" s="26"/>
      <c r="E19006" s="24"/>
      <c r="F19006" s="24"/>
      <c r="G19006" s="24"/>
      <c r="H19006" s="24"/>
      <c r="I19006" s="24"/>
      <c r="J19006" s="24"/>
      <c r="K19006" s="24"/>
      <c r="L19006" s="24"/>
      <c r="M19006" s="24"/>
      <c r="N19006" s="24"/>
      <c r="O19006" s="24"/>
      <c r="P19006" s="24"/>
      <c r="Q19006" s="24"/>
      <c r="R19006" s="24"/>
      <c r="S19006" s="24"/>
      <c r="T19006" s="24"/>
      <c r="U19006" s="24"/>
      <c r="V19006" s="24"/>
      <c r="W19006" s="24"/>
      <c r="X19006" s="24"/>
      <c r="Y19006" s="24"/>
      <c r="Z19006" s="24"/>
      <c r="AA19006" s="24"/>
    </row>
    <row r="19007">
      <c r="A19007" s="24"/>
      <c r="B19007" s="25"/>
      <c r="C19007" s="24"/>
      <c r="D19007" s="26"/>
      <c r="E19007" s="24"/>
      <c r="F19007" s="24"/>
      <c r="G19007" s="24"/>
      <c r="H19007" s="24"/>
      <c r="I19007" s="24"/>
      <c r="J19007" s="24"/>
      <c r="K19007" s="24"/>
      <c r="L19007" s="24"/>
      <c r="M19007" s="24"/>
      <c r="N19007" s="24"/>
      <c r="O19007" s="24"/>
      <c r="P19007" s="24"/>
      <c r="Q19007" s="24"/>
      <c r="R19007" s="24"/>
      <c r="S19007" s="24"/>
      <c r="T19007" s="24"/>
      <c r="U19007" s="24"/>
      <c r="V19007" s="24"/>
      <c r="W19007" s="24"/>
      <c r="X19007" s="24"/>
      <c r="Y19007" s="24"/>
      <c r="Z19007" s="24"/>
      <c r="AA19007" s="24"/>
    </row>
    <row r="19008">
      <c r="A19008" s="24"/>
      <c r="B19008" s="25"/>
      <c r="C19008" s="24"/>
      <c r="D19008" s="26"/>
      <c r="E19008" s="24"/>
      <c r="F19008" s="24"/>
      <c r="G19008" s="24"/>
      <c r="H19008" s="24"/>
      <c r="I19008" s="24"/>
      <c r="J19008" s="24"/>
      <c r="K19008" s="24"/>
      <c r="L19008" s="24"/>
      <c r="M19008" s="24"/>
      <c r="N19008" s="24"/>
      <c r="O19008" s="24"/>
      <c r="P19008" s="24"/>
      <c r="Q19008" s="24"/>
      <c r="R19008" s="24"/>
      <c r="S19008" s="24"/>
      <c r="T19008" s="24"/>
      <c r="U19008" s="24"/>
      <c r="V19008" s="24"/>
      <c r="W19008" s="24"/>
      <c r="X19008" s="24"/>
      <c r="Y19008" s="24"/>
      <c r="Z19008" s="24"/>
      <c r="AA19008" s="24"/>
    </row>
    <row r="19009">
      <c r="A19009" s="24"/>
      <c r="B19009" s="25"/>
      <c r="C19009" s="24"/>
      <c r="D19009" s="26"/>
      <c r="E19009" s="24"/>
      <c r="F19009" s="24"/>
      <c r="G19009" s="24"/>
      <c r="H19009" s="24"/>
      <c r="I19009" s="24"/>
      <c r="J19009" s="24"/>
      <c r="K19009" s="24"/>
      <c r="L19009" s="24"/>
      <c r="M19009" s="24"/>
      <c r="N19009" s="24"/>
      <c r="O19009" s="24"/>
      <c r="P19009" s="24"/>
      <c r="Q19009" s="24"/>
      <c r="R19009" s="24"/>
      <c r="S19009" s="24"/>
      <c r="T19009" s="24"/>
      <c r="U19009" s="24"/>
      <c r="V19009" s="24"/>
      <c r="W19009" s="24"/>
      <c r="X19009" s="24"/>
      <c r="Y19009" s="24"/>
      <c r="Z19009" s="24"/>
      <c r="AA19009" s="24"/>
    </row>
    <row r="19010">
      <c r="A19010" s="24"/>
      <c r="B19010" s="25"/>
      <c r="C19010" s="24"/>
      <c r="D19010" s="26"/>
      <c r="E19010" s="24"/>
      <c r="F19010" s="24"/>
      <c r="G19010" s="24"/>
      <c r="H19010" s="24"/>
      <c r="I19010" s="24"/>
      <c r="J19010" s="24"/>
      <c r="K19010" s="24"/>
      <c r="L19010" s="24"/>
      <c r="M19010" s="24"/>
      <c r="N19010" s="24"/>
      <c r="O19010" s="24"/>
      <c r="P19010" s="24"/>
      <c r="Q19010" s="24"/>
      <c r="R19010" s="24"/>
      <c r="S19010" s="24"/>
      <c r="T19010" s="24"/>
      <c r="U19010" s="24"/>
      <c r="V19010" s="24"/>
      <c r="W19010" s="24"/>
      <c r="X19010" s="24"/>
      <c r="Y19010" s="24"/>
      <c r="Z19010" s="24"/>
      <c r="AA19010" s="24"/>
    </row>
    <row r="19011">
      <c r="A19011" s="24"/>
      <c r="B19011" s="25"/>
      <c r="C19011" s="24"/>
      <c r="D19011" s="26"/>
      <c r="E19011" s="24"/>
      <c r="F19011" s="24"/>
      <c r="G19011" s="24"/>
      <c r="H19011" s="24"/>
      <c r="I19011" s="24"/>
      <c r="J19011" s="24"/>
      <c r="K19011" s="24"/>
      <c r="L19011" s="24"/>
      <c r="M19011" s="24"/>
      <c r="N19011" s="24"/>
      <c r="O19011" s="24"/>
      <c r="P19011" s="24"/>
      <c r="Q19011" s="24"/>
      <c r="R19011" s="24"/>
      <c r="S19011" s="24"/>
      <c r="T19011" s="24"/>
      <c r="U19011" s="24"/>
      <c r="V19011" s="24"/>
      <c r="W19011" s="24"/>
      <c r="X19011" s="24"/>
      <c r="Y19011" s="24"/>
      <c r="Z19011" s="24"/>
      <c r="AA19011" s="24"/>
    </row>
    <row r="19012">
      <c r="A19012" s="24"/>
      <c r="B19012" s="25"/>
      <c r="C19012" s="24"/>
      <c r="D19012" s="26"/>
      <c r="E19012" s="24"/>
      <c r="F19012" s="24"/>
      <c r="G19012" s="24"/>
      <c r="H19012" s="24"/>
      <c r="I19012" s="24"/>
      <c r="J19012" s="24"/>
      <c r="K19012" s="24"/>
      <c r="L19012" s="24"/>
      <c r="M19012" s="24"/>
      <c r="N19012" s="24"/>
      <c r="O19012" s="24"/>
      <c r="P19012" s="24"/>
      <c r="Q19012" s="24"/>
      <c r="R19012" s="24"/>
      <c r="S19012" s="24"/>
      <c r="T19012" s="24"/>
      <c r="U19012" s="24"/>
      <c r="V19012" s="24"/>
      <c r="W19012" s="24"/>
      <c r="X19012" s="24"/>
      <c r="Y19012" s="24"/>
      <c r="Z19012" s="24"/>
      <c r="AA19012" s="24"/>
    </row>
    <row r="19013">
      <c r="A19013" s="24"/>
      <c r="B19013" s="25"/>
      <c r="C19013" s="24"/>
      <c r="D19013" s="26"/>
      <c r="E19013" s="24"/>
      <c r="F19013" s="24"/>
      <c r="G19013" s="24"/>
      <c r="H19013" s="24"/>
      <c r="I19013" s="24"/>
      <c r="J19013" s="24"/>
      <c r="K19013" s="24"/>
      <c r="L19013" s="24"/>
      <c r="M19013" s="24"/>
      <c r="N19013" s="24"/>
      <c r="O19013" s="24"/>
      <c r="P19013" s="24"/>
      <c r="Q19013" s="24"/>
      <c r="R19013" s="24"/>
      <c r="S19013" s="24"/>
      <c r="T19013" s="24"/>
      <c r="U19013" s="24"/>
      <c r="V19013" s="24"/>
      <c r="W19013" s="24"/>
      <c r="X19013" s="24"/>
      <c r="Y19013" s="24"/>
      <c r="Z19013" s="24"/>
      <c r="AA19013" s="24"/>
    </row>
    <row r="19014">
      <c r="A19014" s="24"/>
      <c r="B19014" s="25"/>
      <c r="C19014" s="24"/>
      <c r="D19014" s="26"/>
      <c r="E19014" s="24"/>
      <c r="F19014" s="24"/>
      <c r="G19014" s="24"/>
      <c r="H19014" s="24"/>
      <c r="I19014" s="24"/>
      <c r="J19014" s="24"/>
      <c r="K19014" s="24"/>
      <c r="L19014" s="24"/>
      <c r="M19014" s="24"/>
      <c r="N19014" s="24"/>
      <c r="O19014" s="24"/>
      <c r="P19014" s="24"/>
      <c r="Q19014" s="24"/>
      <c r="R19014" s="24"/>
      <c r="S19014" s="24"/>
      <c r="T19014" s="24"/>
      <c r="U19014" s="24"/>
      <c r="V19014" s="24"/>
      <c r="W19014" s="24"/>
      <c r="X19014" s="24"/>
      <c r="Y19014" s="24"/>
      <c r="Z19014" s="24"/>
      <c r="AA19014" s="24"/>
    </row>
    <row r="19015">
      <c r="A19015" s="24"/>
      <c r="B19015" s="25"/>
      <c r="C19015" s="24"/>
      <c r="D19015" s="26"/>
      <c r="E19015" s="24"/>
      <c r="F19015" s="24"/>
      <c r="G19015" s="24"/>
      <c r="H19015" s="24"/>
      <c r="I19015" s="24"/>
      <c r="J19015" s="24"/>
      <c r="K19015" s="24"/>
      <c r="L19015" s="24"/>
      <c r="M19015" s="24"/>
      <c r="N19015" s="24"/>
      <c r="O19015" s="24"/>
      <c r="P19015" s="24"/>
      <c r="Q19015" s="24"/>
      <c r="R19015" s="24"/>
      <c r="S19015" s="24"/>
      <c r="T19015" s="24"/>
      <c r="U19015" s="24"/>
      <c r="V19015" s="24"/>
      <c r="W19015" s="24"/>
      <c r="X19015" s="24"/>
      <c r="Y19015" s="24"/>
      <c r="Z19015" s="24"/>
      <c r="AA19015" s="24"/>
    </row>
    <row r="19016">
      <c r="A19016" s="24"/>
      <c r="B19016" s="25"/>
      <c r="C19016" s="24"/>
      <c r="D19016" s="26"/>
      <c r="E19016" s="24"/>
      <c r="F19016" s="24"/>
      <c r="G19016" s="24"/>
      <c r="H19016" s="24"/>
      <c r="I19016" s="24"/>
      <c r="J19016" s="24"/>
      <c r="K19016" s="24"/>
      <c r="L19016" s="24"/>
      <c r="M19016" s="24"/>
      <c r="N19016" s="24"/>
      <c r="O19016" s="24"/>
      <c r="P19016" s="24"/>
      <c r="Q19016" s="24"/>
      <c r="R19016" s="24"/>
      <c r="S19016" s="24"/>
      <c r="T19016" s="24"/>
      <c r="U19016" s="24"/>
      <c r="V19016" s="24"/>
      <c r="W19016" s="24"/>
      <c r="X19016" s="24"/>
      <c r="Y19016" s="24"/>
      <c r="Z19016" s="24"/>
      <c r="AA19016" s="24"/>
    </row>
    <row r="19017">
      <c r="A19017" s="24"/>
      <c r="B19017" s="25"/>
      <c r="C19017" s="24"/>
      <c r="D19017" s="26"/>
      <c r="E19017" s="24"/>
      <c r="F19017" s="24"/>
      <c r="G19017" s="24"/>
      <c r="H19017" s="24"/>
      <c r="I19017" s="24"/>
      <c r="J19017" s="24"/>
      <c r="K19017" s="24"/>
      <c r="L19017" s="24"/>
      <c r="M19017" s="24"/>
      <c r="N19017" s="24"/>
      <c r="O19017" s="24"/>
      <c r="P19017" s="24"/>
      <c r="Q19017" s="24"/>
      <c r="R19017" s="24"/>
      <c r="S19017" s="24"/>
      <c r="T19017" s="24"/>
      <c r="U19017" s="24"/>
      <c r="V19017" s="24"/>
      <c r="W19017" s="24"/>
      <c r="X19017" s="24"/>
      <c r="Y19017" s="24"/>
      <c r="Z19017" s="24"/>
      <c r="AA19017" s="24"/>
    </row>
    <row r="19018">
      <c r="A19018" s="24"/>
      <c r="B19018" s="25"/>
      <c r="C19018" s="24"/>
      <c r="D19018" s="26"/>
      <c r="E19018" s="24"/>
      <c r="F19018" s="24"/>
      <c r="G19018" s="24"/>
      <c r="H19018" s="24"/>
      <c r="I19018" s="24"/>
      <c r="J19018" s="24"/>
      <c r="K19018" s="24"/>
      <c r="L19018" s="24"/>
      <c r="M19018" s="24"/>
      <c r="N19018" s="24"/>
      <c r="O19018" s="24"/>
      <c r="P19018" s="24"/>
      <c r="Q19018" s="24"/>
      <c r="R19018" s="24"/>
      <c r="S19018" s="24"/>
      <c r="T19018" s="24"/>
      <c r="U19018" s="24"/>
      <c r="V19018" s="24"/>
      <c r="W19018" s="24"/>
      <c r="X19018" s="24"/>
      <c r="Y19018" s="24"/>
      <c r="Z19018" s="24"/>
      <c r="AA19018" s="24"/>
    </row>
    <row r="19019">
      <c r="A19019" s="24"/>
      <c r="B19019" s="25"/>
      <c r="C19019" s="24"/>
      <c r="D19019" s="26"/>
      <c r="E19019" s="24"/>
      <c r="F19019" s="24"/>
      <c r="G19019" s="24"/>
      <c r="H19019" s="24"/>
      <c r="I19019" s="24"/>
      <c r="J19019" s="24"/>
      <c r="K19019" s="24"/>
      <c r="L19019" s="24"/>
      <c r="M19019" s="24"/>
      <c r="N19019" s="24"/>
      <c r="O19019" s="24"/>
      <c r="P19019" s="24"/>
      <c r="Q19019" s="24"/>
      <c r="R19019" s="24"/>
      <c r="S19019" s="24"/>
      <c r="T19019" s="24"/>
      <c r="U19019" s="24"/>
      <c r="V19019" s="24"/>
      <c r="W19019" s="24"/>
      <c r="X19019" s="24"/>
      <c r="Y19019" s="24"/>
      <c r="Z19019" s="24"/>
      <c r="AA19019" s="24"/>
    </row>
    <row r="19020">
      <c r="A19020" s="24"/>
      <c r="B19020" s="25"/>
      <c r="C19020" s="24"/>
      <c r="D19020" s="26"/>
      <c r="E19020" s="24"/>
      <c r="F19020" s="24"/>
      <c r="G19020" s="24"/>
      <c r="H19020" s="24"/>
      <c r="I19020" s="24"/>
      <c r="J19020" s="24"/>
      <c r="K19020" s="24"/>
      <c r="L19020" s="24"/>
      <c r="M19020" s="24"/>
      <c r="N19020" s="24"/>
      <c r="O19020" s="24"/>
      <c r="P19020" s="24"/>
      <c r="Q19020" s="24"/>
      <c r="R19020" s="24"/>
      <c r="S19020" s="24"/>
      <c r="T19020" s="24"/>
      <c r="U19020" s="24"/>
      <c r="V19020" s="24"/>
      <c r="W19020" s="24"/>
      <c r="X19020" s="24"/>
      <c r="Y19020" s="24"/>
      <c r="Z19020" s="24"/>
      <c r="AA19020" s="24"/>
    </row>
    <row r="19021">
      <c r="A19021" s="24"/>
      <c r="B19021" s="25"/>
      <c r="C19021" s="24"/>
      <c r="D19021" s="26"/>
      <c r="E19021" s="24"/>
      <c r="F19021" s="24"/>
      <c r="G19021" s="24"/>
      <c r="H19021" s="24"/>
      <c r="I19021" s="24"/>
      <c r="J19021" s="24"/>
      <c r="K19021" s="24"/>
      <c r="L19021" s="24"/>
      <c r="M19021" s="24"/>
      <c r="N19021" s="24"/>
      <c r="O19021" s="24"/>
      <c r="P19021" s="24"/>
      <c r="Q19021" s="24"/>
      <c r="R19021" s="24"/>
      <c r="S19021" s="24"/>
      <c r="T19021" s="24"/>
      <c r="U19021" s="24"/>
      <c r="V19021" s="24"/>
      <c r="W19021" s="24"/>
      <c r="X19021" s="24"/>
      <c r="Y19021" s="24"/>
      <c r="Z19021" s="24"/>
      <c r="AA19021" s="24"/>
    </row>
    <row r="19022">
      <c r="A19022" s="24"/>
      <c r="B19022" s="25"/>
      <c r="C19022" s="24"/>
      <c r="D19022" s="26"/>
      <c r="E19022" s="24"/>
      <c r="F19022" s="24"/>
      <c r="G19022" s="24"/>
      <c r="H19022" s="24"/>
      <c r="I19022" s="24"/>
      <c r="J19022" s="24"/>
      <c r="K19022" s="24"/>
      <c r="L19022" s="24"/>
      <c r="M19022" s="24"/>
      <c r="N19022" s="24"/>
      <c r="O19022" s="24"/>
      <c r="P19022" s="24"/>
      <c r="Q19022" s="24"/>
      <c r="R19022" s="24"/>
      <c r="S19022" s="24"/>
      <c r="T19022" s="24"/>
      <c r="U19022" s="24"/>
      <c r="V19022" s="24"/>
      <c r="W19022" s="24"/>
      <c r="X19022" s="24"/>
      <c r="Y19022" s="24"/>
      <c r="Z19022" s="24"/>
      <c r="AA19022" s="24"/>
    </row>
    <row r="19023">
      <c r="A19023" s="24"/>
      <c r="B19023" s="25"/>
      <c r="C19023" s="24"/>
      <c r="D19023" s="26"/>
      <c r="E19023" s="24"/>
      <c r="F19023" s="24"/>
      <c r="G19023" s="24"/>
      <c r="H19023" s="24"/>
      <c r="I19023" s="24"/>
      <c r="J19023" s="24"/>
      <c r="K19023" s="24"/>
      <c r="L19023" s="24"/>
      <c r="M19023" s="24"/>
      <c r="N19023" s="24"/>
      <c r="O19023" s="24"/>
      <c r="P19023" s="24"/>
      <c r="Q19023" s="24"/>
      <c r="R19023" s="24"/>
      <c r="S19023" s="24"/>
      <c r="T19023" s="24"/>
      <c r="U19023" s="24"/>
      <c r="V19023" s="24"/>
      <c r="W19023" s="24"/>
      <c r="X19023" s="24"/>
      <c r="Y19023" s="24"/>
      <c r="Z19023" s="24"/>
      <c r="AA19023" s="24"/>
    </row>
    <row r="19024">
      <c r="A19024" s="24"/>
      <c r="B19024" s="25"/>
      <c r="C19024" s="24"/>
      <c r="D19024" s="26"/>
      <c r="E19024" s="24"/>
      <c r="F19024" s="24"/>
      <c r="G19024" s="24"/>
      <c r="H19024" s="24"/>
      <c r="I19024" s="24"/>
      <c r="J19024" s="24"/>
      <c r="K19024" s="24"/>
      <c r="L19024" s="24"/>
      <c r="M19024" s="24"/>
      <c r="N19024" s="24"/>
      <c r="O19024" s="24"/>
      <c r="P19024" s="24"/>
      <c r="Q19024" s="24"/>
      <c r="R19024" s="24"/>
      <c r="S19024" s="24"/>
      <c r="T19024" s="24"/>
      <c r="U19024" s="24"/>
      <c r="V19024" s="24"/>
      <c r="W19024" s="24"/>
      <c r="X19024" s="24"/>
      <c r="Y19024" s="24"/>
      <c r="Z19024" s="24"/>
      <c r="AA19024" s="24"/>
    </row>
    <row r="19025">
      <c r="A19025" s="24"/>
      <c r="B19025" s="25"/>
      <c r="C19025" s="24"/>
      <c r="D19025" s="26"/>
      <c r="E19025" s="24"/>
      <c r="F19025" s="24"/>
      <c r="G19025" s="24"/>
      <c r="H19025" s="24"/>
      <c r="I19025" s="24"/>
      <c r="J19025" s="24"/>
      <c r="K19025" s="24"/>
      <c r="L19025" s="24"/>
      <c r="M19025" s="24"/>
      <c r="N19025" s="24"/>
      <c r="O19025" s="24"/>
      <c r="P19025" s="24"/>
      <c r="Q19025" s="24"/>
      <c r="R19025" s="24"/>
      <c r="S19025" s="24"/>
      <c r="T19025" s="24"/>
      <c r="U19025" s="24"/>
      <c r="V19025" s="24"/>
      <c r="W19025" s="24"/>
      <c r="X19025" s="24"/>
      <c r="Y19025" s="24"/>
      <c r="Z19025" s="24"/>
      <c r="AA19025" s="24"/>
    </row>
    <row r="19026">
      <c r="A19026" s="24"/>
      <c r="B19026" s="25"/>
      <c r="C19026" s="24"/>
      <c r="D19026" s="26"/>
      <c r="E19026" s="24"/>
      <c r="F19026" s="24"/>
      <c r="G19026" s="24"/>
      <c r="H19026" s="24"/>
      <c r="I19026" s="24"/>
      <c r="J19026" s="24"/>
      <c r="K19026" s="24"/>
      <c r="L19026" s="24"/>
      <c r="M19026" s="24"/>
      <c r="N19026" s="24"/>
      <c r="O19026" s="24"/>
      <c r="P19026" s="24"/>
      <c r="Q19026" s="24"/>
      <c r="R19026" s="24"/>
      <c r="S19026" s="24"/>
      <c r="T19026" s="24"/>
      <c r="U19026" s="24"/>
      <c r="V19026" s="24"/>
      <c r="W19026" s="24"/>
      <c r="X19026" s="24"/>
      <c r="Y19026" s="24"/>
      <c r="Z19026" s="24"/>
      <c r="AA19026" s="24"/>
    </row>
    <row r="19027">
      <c r="A19027" s="24"/>
      <c r="B19027" s="25"/>
      <c r="C19027" s="24"/>
      <c r="D19027" s="26"/>
      <c r="E19027" s="24"/>
      <c r="F19027" s="24"/>
      <c r="G19027" s="24"/>
      <c r="H19027" s="24"/>
      <c r="I19027" s="24"/>
      <c r="J19027" s="24"/>
      <c r="K19027" s="24"/>
      <c r="L19027" s="24"/>
      <c r="M19027" s="24"/>
      <c r="N19027" s="24"/>
      <c r="O19027" s="24"/>
      <c r="P19027" s="24"/>
      <c r="Q19027" s="24"/>
      <c r="R19027" s="24"/>
      <c r="S19027" s="24"/>
      <c r="T19027" s="24"/>
      <c r="U19027" s="24"/>
      <c r="V19027" s="24"/>
      <c r="W19027" s="24"/>
      <c r="X19027" s="24"/>
      <c r="Y19027" s="24"/>
      <c r="Z19027" s="24"/>
      <c r="AA19027" s="24"/>
    </row>
    <row r="19028">
      <c r="A19028" s="24"/>
      <c r="B19028" s="25"/>
      <c r="C19028" s="24"/>
      <c r="D19028" s="26"/>
      <c r="E19028" s="24"/>
      <c r="F19028" s="24"/>
      <c r="G19028" s="24"/>
      <c r="H19028" s="24"/>
      <c r="I19028" s="24"/>
      <c r="J19028" s="24"/>
      <c r="K19028" s="24"/>
      <c r="L19028" s="24"/>
      <c r="M19028" s="24"/>
      <c r="N19028" s="24"/>
      <c r="O19028" s="24"/>
      <c r="P19028" s="24"/>
      <c r="Q19028" s="24"/>
      <c r="R19028" s="24"/>
      <c r="S19028" s="24"/>
      <c r="T19028" s="24"/>
      <c r="U19028" s="24"/>
      <c r="V19028" s="24"/>
      <c r="W19028" s="24"/>
      <c r="X19028" s="24"/>
      <c r="Y19028" s="24"/>
      <c r="Z19028" s="24"/>
      <c r="AA19028" s="24"/>
    </row>
    <row r="19029">
      <c r="A19029" s="24"/>
      <c r="B19029" s="25"/>
      <c r="C19029" s="24"/>
      <c r="D19029" s="26"/>
      <c r="E19029" s="24"/>
      <c r="F19029" s="24"/>
      <c r="G19029" s="24"/>
      <c r="H19029" s="24"/>
      <c r="I19029" s="24"/>
      <c r="J19029" s="24"/>
      <c r="K19029" s="24"/>
      <c r="L19029" s="24"/>
      <c r="M19029" s="24"/>
      <c r="N19029" s="24"/>
      <c r="O19029" s="24"/>
      <c r="P19029" s="24"/>
      <c r="Q19029" s="24"/>
      <c r="R19029" s="24"/>
      <c r="S19029" s="24"/>
      <c r="T19029" s="24"/>
      <c r="U19029" s="24"/>
      <c r="V19029" s="24"/>
      <c r="W19029" s="24"/>
      <c r="X19029" s="24"/>
      <c r="Y19029" s="24"/>
      <c r="Z19029" s="24"/>
      <c r="AA19029" s="24"/>
    </row>
    <row r="19030">
      <c r="A19030" s="24"/>
      <c r="B19030" s="25"/>
      <c r="C19030" s="24"/>
      <c r="D19030" s="26"/>
      <c r="E19030" s="24"/>
      <c r="F19030" s="24"/>
      <c r="G19030" s="24"/>
      <c r="H19030" s="24"/>
      <c r="I19030" s="24"/>
      <c r="J19030" s="24"/>
      <c r="K19030" s="24"/>
      <c r="L19030" s="24"/>
      <c r="M19030" s="24"/>
      <c r="N19030" s="24"/>
      <c r="O19030" s="24"/>
      <c r="P19030" s="24"/>
      <c r="Q19030" s="24"/>
      <c r="R19030" s="24"/>
      <c r="S19030" s="24"/>
      <c r="T19030" s="24"/>
      <c r="U19030" s="24"/>
      <c r="V19030" s="24"/>
      <c r="W19030" s="24"/>
      <c r="X19030" s="24"/>
      <c r="Y19030" s="24"/>
      <c r="Z19030" s="24"/>
      <c r="AA19030" s="24"/>
    </row>
    <row r="19031">
      <c r="A19031" s="24"/>
      <c r="B19031" s="25"/>
      <c r="C19031" s="24"/>
      <c r="D19031" s="26"/>
      <c r="E19031" s="24"/>
      <c r="F19031" s="24"/>
      <c r="G19031" s="24"/>
      <c r="H19031" s="24"/>
      <c r="I19031" s="24"/>
      <c r="J19031" s="24"/>
      <c r="K19031" s="24"/>
      <c r="L19031" s="24"/>
      <c r="M19031" s="24"/>
      <c r="N19031" s="24"/>
      <c r="O19031" s="24"/>
      <c r="P19031" s="24"/>
      <c r="Q19031" s="24"/>
      <c r="R19031" s="24"/>
      <c r="S19031" s="24"/>
      <c r="T19031" s="24"/>
      <c r="U19031" s="24"/>
      <c r="V19031" s="24"/>
      <c r="W19031" s="24"/>
      <c r="X19031" s="24"/>
      <c r="Y19031" s="24"/>
      <c r="Z19031" s="24"/>
      <c r="AA19031" s="24"/>
    </row>
    <row r="19032">
      <c r="A19032" s="24"/>
      <c r="B19032" s="25"/>
      <c r="C19032" s="24"/>
      <c r="D19032" s="26"/>
      <c r="E19032" s="24"/>
      <c r="F19032" s="24"/>
      <c r="G19032" s="24"/>
      <c r="H19032" s="24"/>
      <c r="I19032" s="24"/>
      <c r="J19032" s="24"/>
      <c r="K19032" s="24"/>
      <c r="L19032" s="24"/>
      <c r="M19032" s="24"/>
      <c r="N19032" s="24"/>
      <c r="O19032" s="24"/>
      <c r="P19032" s="24"/>
      <c r="Q19032" s="24"/>
      <c r="R19032" s="24"/>
      <c r="S19032" s="24"/>
      <c r="T19032" s="24"/>
      <c r="U19032" s="24"/>
      <c r="V19032" s="24"/>
      <c r="W19032" s="24"/>
      <c r="X19032" s="24"/>
      <c r="Y19032" s="24"/>
      <c r="Z19032" s="24"/>
      <c r="AA19032" s="24"/>
    </row>
    <row r="19033">
      <c r="A19033" s="24"/>
      <c r="B19033" s="25"/>
      <c r="C19033" s="24"/>
      <c r="D19033" s="26"/>
      <c r="E19033" s="24"/>
      <c r="F19033" s="24"/>
      <c r="G19033" s="24"/>
      <c r="H19033" s="24"/>
      <c r="I19033" s="24"/>
      <c r="J19033" s="24"/>
      <c r="K19033" s="24"/>
      <c r="L19033" s="24"/>
      <c r="M19033" s="24"/>
      <c r="N19033" s="24"/>
      <c r="O19033" s="24"/>
      <c r="P19033" s="24"/>
      <c r="Q19033" s="24"/>
      <c r="R19033" s="24"/>
      <c r="S19033" s="24"/>
      <c r="T19033" s="24"/>
      <c r="U19033" s="24"/>
      <c r="V19033" s="24"/>
      <c r="W19033" s="24"/>
      <c r="X19033" s="24"/>
      <c r="Y19033" s="24"/>
      <c r="Z19033" s="24"/>
      <c r="AA19033" s="24"/>
    </row>
    <row r="19034">
      <c r="A19034" s="24"/>
      <c r="B19034" s="25"/>
      <c r="C19034" s="24"/>
      <c r="D19034" s="26"/>
      <c r="E19034" s="24"/>
      <c r="F19034" s="24"/>
      <c r="G19034" s="24"/>
      <c r="H19034" s="24"/>
      <c r="I19034" s="24"/>
      <c r="J19034" s="24"/>
      <c r="K19034" s="24"/>
      <c r="L19034" s="24"/>
      <c r="M19034" s="24"/>
      <c r="N19034" s="24"/>
      <c r="O19034" s="24"/>
      <c r="P19034" s="24"/>
      <c r="Q19034" s="24"/>
      <c r="R19034" s="24"/>
      <c r="S19034" s="24"/>
      <c r="T19034" s="24"/>
      <c r="U19034" s="24"/>
      <c r="V19034" s="24"/>
      <c r="W19034" s="24"/>
      <c r="X19034" s="24"/>
      <c r="Y19034" s="24"/>
      <c r="Z19034" s="24"/>
      <c r="AA19034" s="24"/>
    </row>
    <row r="19035">
      <c r="A19035" s="24"/>
      <c r="B19035" s="25"/>
      <c r="C19035" s="24"/>
      <c r="D19035" s="26"/>
      <c r="E19035" s="24"/>
      <c r="F19035" s="24"/>
      <c r="G19035" s="24"/>
      <c r="H19035" s="24"/>
      <c r="I19035" s="24"/>
      <c r="J19035" s="24"/>
      <c r="K19035" s="24"/>
      <c r="L19035" s="24"/>
      <c r="M19035" s="24"/>
      <c r="N19035" s="24"/>
      <c r="O19035" s="24"/>
      <c r="P19035" s="24"/>
      <c r="Q19035" s="24"/>
      <c r="R19035" s="24"/>
      <c r="S19035" s="24"/>
      <c r="T19035" s="24"/>
      <c r="U19035" s="24"/>
      <c r="V19035" s="24"/>
      <c r="W19035" s="24"/>
      <c r="X19035" s="24"/>
      <c r="Y19035" s="24"/>
      <c r="Z19035" s="24"/>
      <c r="AA19035" s="24"/>
    </row>
    <row r="19036">
      <c r="A19036" s="24"/>
      <c r="B19036" s="25"/>
      <c r="C19036" s="24"/>
      <c r="D19036" s="26"/>
      <c r="E19036" s="24"/>
      <c r="F19036" s="24"/>
      <c r="G19036" s="24"/>
      <c r="H19036" s="24"/>
      <c r="I19036" s="24"/>
      <c r="J19036" s="24"/>
      <c r="K19036" s="24"/>
      <c r="L19036" s="24"/>
      <c r="M19036" s="24"/>
      <c r="N19036" s="24"/>
      <c r="O19036" s="24"/>
      <c r="P19036" s="24"/>
      <c r="Q19036" s="24"/>
      <c r="R19036" s="24"/>
      <c r="S19036" s="24"/>
      <c r="T19036" s="24"/>
      <c r="U19036" s="24"/>
      <c r="V19036" s="24"/>
      <c r="W19036" s="24"/>
      <c r="X19036" s="24"/>
      <c r="Y19036" s="24"/>
      <c r="Z19036" s="24"/>
      <c r="AA19036" s="24"/>
    </row>
    <row r="19037">
      <c r="A19037" s="24"/>
      <c r="B19037" s="25"/>
      <c r="C19037" s="24"/>
      <c r="D19037" s="26"/>
      <c r="E19037" s="24"/>
      <c r="F19037" s="24"/>
      <c r="G19037" s="24"/>
      <c r="H19037" s="24"/>
      <c r="I19037" s="24"/>
      <c r="J19037" s="24"/>
      <c r="K19037" s="24"/>
      <c r="L19037" s="24"/>
      <c r="M19037" s="24"/>
      <c r="N19037" s="24"/>
      <c r="O19037" s="24"/>
      <c r="P19037" s="24"/>
      <c r="Q19037" s="24"/>
      <c r="R19037" s="24"/>
      <c r="S19037" s="24"/>
      <c r="T19037" s="24"/>
      <c r="U19037" s="24"/>
      <c r="V19037" s="24"/>
      <c r="W19037" s="24"/>
      <c r="X19037" s="24"/>
      <c r="Y19037" s="24"/>
      <c r="Z19037" s="24"/>
      <c r="AA19037" s="24"/>
    </row>
    <row r="19038">
      <c r="A19038" s="24"/>
      <c r="B19038" s="25"/>
      <c r="C19038" s="24"/>
      <c r="D19038" s="26"/>
      <c r="E19038" s="24"/>
      <c r="F19038" s="24"/>
      <c r="G19038" s="24"/>
      <c r="H19038" s="24"/>
      <c r="I19038" s="24"/>
      <c r="J19038" s="24"/>
      <c r="K19038" s="24"/>
      <c r="L19038" s="24"/>
      <c r="M19038" s="24"/>
      <c r="N19038" s="24"/>
      <c r="O19038" s="24"/>
      <c r="P19038" s="24"/>
      <c r="Q19038" s="24"/>
      <c r="R19038" s="24"/>
      <c r="S19038" s="24"/>
      <c r="T19038" s="24"/>
      <c r="U19038" s="24"/>
      <c r="V19038" s="24"/>
      <c r="W19038" s="24"/>
      <c r="X19038" s="24"/>
      <c r="Y19038" s="24"/>
      <c r="Z19038" s="24"/>
      <c r="AA19038" s="24"/>
    </row>
    <row r="19039">
      <c r="A19039" s="24"/>
      <c r="B19039" s="25"/>
      <c r="C19039" s="24"/>
      <c r="D19039" s="26"/>
      <c r="E19039" s="24"/>
      <c r="F19039" s="24"/>
      <c r="G19039" s="24"/>
      <c r="H19039" s="24"/>
      <c r="I19039" s="24"/>
      <c r="J19039" s="24"/>
      <c r="K19039" s="24"/>
      <c r="L19039" s="24"/>
      <c r="M19039" s="24"/>
      <c r="N19039" s="24"/>
      <c r="O19039" s="24"/>
      <c r="P19039" s="24"/>
      <c r="Q19039" s="24"/>
      <c r="R19039" s="24"/>
      <c r="S19039" s="24"/>
      <c r="T19039" s="24"/>
      <c r="U19039" s="24"/>
      <c r="V19039" s="24"/>
      <c r="W19039" s="24"/>
      <c r="X19039" s="24"/>
      <c r="Y19039" s="24"/>
      <c r="Z19039" s="24"/>
      <c r="AA19039" s="24"/>
    </row>
    <row r="19040">
      <c r="A19040" s="24"/>
      <c r="B19040" s="25"/>
      <c r="C19040" s="24"/>
      <c r="D19040" s="26"/>
      <c r="E19040" s="24"/>
      <c r="F19040" s="24"/>
      <c r="G19040" s="24"/>
      <c r="H19040" s="24"/>
      <c r="I19040" s="24"/>
      <c r="J19040" s="24"/>
      <c r="K19040" s="24"/>
      <c r="L19040" s="24"/>
      <c r="M19040" s="24"/>
      <c r="N19040" s="24"/>
      <c r="O19040" s="24"/>
      <c r="P19040" s="24"/>
      <c r="Q19040" s="24"/>
      <c r="R19040" s="24"/>
      <c r="S19040" s="24"/>
      <c r="T19040" s="24"/>
      <c r="U19040" s="24"/>
      <c r="V19040" s="24"/>
      <c r="W19040" s="24"/>
      <c r="X19040" s="24"/>
      <c r="Y19040" s="24"/>
      <c r="Z19040" s="24"/>
      <c r="AA19040" s="24"/>
    </row>
    <row r="19041">
      <c r="A19041" s="24"/>
      <c r="B19041" s="25"/>
      <c r="C19041" s="24"/>
      <c r="D19041" s="26"/>
      <c r="E19041" s="24"/>
      <c r="F19041" s="24"/>
      <c r="G19041" s="24"/>
      <c r="H19041" s="24"/>
      <c r="I19041" s="24"/>
      <c r="J19041" s="24"/>
      <c r="K19041" s="24"/>
      <c r="L19041" s="24"/>
      <c r="M19041" s="24"/>
      <c r="N19041" s="24"/>
      <c r="O19041" s="24"/>
      <c r="P19041" s="24"/>
      <c r="Q19041" s="24"/>
      <c r="R19041" s="24"/>
      <c r="S19041" s="24"/>
      <c r="T19041" s="24"/>
      <c r="U19041" s="24"/>
      <c r="V19041" s="24"/>
      <c r="W19041" s="24"/>
      <c r="X19041" s="24"/>
      <c r="Y19041" s="24"/>
      <c r="Z19041" s="24"/>
      <c r="AA19041" s="24"/>
    </row>
    <row r="19042">
      <c r="A19042" s="24"/>
      <c r="B19042" s="25"/>
      <c r="C19042" s="24"/>
      <c r="D19042" s="26"/>
      <c r="E19042" s="24"/>
      <c r="F19042" s="24"/>
      <c r="G19042" s="24"/>
      <c r="H19042" s="24"/>
      <c r="I19042" s="24"/>
      <c r="J19042" s="24"/>
      <c r="K19042" s="24"/>
      <c r="L19042" s="24"/>
      <c r="M19042" s="24"/>
      <c r="N19042" s="24"/>
      <c r="O19042" s="24"/>
      <c r="P19042" s="24"/>
      <c r="Q19042" s="24"/>
      <c r="R19042" s="24"/>
      <c r="S19042" s="24"/>
      <c r="T19042" s="24"/>
      <c r="U19042" s="24"/>
      <c r="V19042" s="24"/>
      <c r="W19042" s="24"/>
      <c r="X19042" s="24"/>
      <c r="Y19042" s="24"/>
      <c r="Z19042" s="24"/>
      <c r="AA19042" s="24"/>
    </row>
    <row r="19043">
      <c r="A19043" s="24"/>
      <c r="B19043" s="25"/>
      <c r="C19043" s="24"/>
      <c r="D19043" s="26"/>
      <c r="E19043" s="24"/>
      <c r="F19043" s="24"/>
      <c r="G19043" s="24"/>
      <c r="H19043" s="24"/>
      <c r="I19043" s="24"/>
      <c r="J19043" s="24"/>
      <c r="K19043" s="24"/>
      <c r="L19043" s="24"/>
      <c r="M19043" s="24"/>
      <c r="N19043" s="24"/>
      <c r="O19043" s="24"/>
      <c r="P19043" s="24"/>
      <c r="Q19043" s="24"/>
      <c r="R19043" s="24"/>
      <c r="S19043" s="24"/>
      <c r="T19043" s="24"/>
      <c r="U19043" s="24"/>
      <c r="V19043" s="24"/>
      <c r="W19043" s="24"/>
      <c r="X19043" s="24"/>
      <c r="Y19043" s="24"/>
      <c r="Z19043" s="24"/>
      <c r="AA19043" s="24"/>
    </row>
    <row r="19044">
      <c r="A19044" s="24"/>
      <c r="B19044" s="25"/>
      <c r="C19044" s="24"/>
      <c r="D19044" s="26"/>
      <c r="E19044" s="24"/>
      <c r="F19044" s="24"/>
      <c r="G19044" s="24"/>
      <c r="H19044" s="24"/>
      <c r="I19044" s="24"/>
      <c r="J19044" s="24"/>
      <c r="K19044" s="24"/>
      <c r="L19044" s="24"/>
      <c r="M19044" s="24"/>
      <c r="N19044" s="24"/>
      <c r="O19044" s="24"/>
      <c r="P19044" s="24"/>
      <c r="Q19044" s="24"/>
      <c r="R19044" s="24"/>
      <c r="S19044" s="24"/>
      <c r="T19044" s="24"/>
      <c r="U19044" s="24"/>
      <c r="V19044" s="24"/>
      <c r="W19044" s="24"/>
      <c r="X19044" s="24"/>
      <c r="Y19044" s="24"/>
      <c r="Z19044" s="24"/>
      <c r="AA19044" s="24"/>
    </row>
    <row r="19045">
      <c r="A19045" s="24"/>
      <c r="B19045" s="25"/>
      <c r="C19045" s="24"/>
      <c r="D19045" s="26"/>
      <c r="E19045" s="24"/>
      <c r="F19045" s="24"/>
      <c r="G19045" s="24"/>
      <c r="H19045" s="24"/>
      <c r="I19045" s="24"/>
      <c r="J19045" s="24"/>
      <c r="K19045" s="24"/>
      <c r="L19045" s="24"/>
      <c r="M19045" s="24"/>
      <c r="N19045" s="24"/>
      <c r="O19045" s="24"/>
      <c r="P19045" s="24"/>
      <c r="Q19045" s="24"/>
      <c r="R19045" s="24"/>
      <c r="S19045" s="24"/>
      <c r="T19045" s="24"/>
      <c r="U19045" s="24"/>
      <c r="V19045" s="24"/>
      <c r="W19045" s="24"/>
      <c r="X19045" s="24"/>
      <c r="Y19045" s="24"/>
      <c r="Z19045" s="24"/>
      <c r="AA19045" s="24"/>
    </row>
    <row r="19046">
      <c r="A19046" s="24"/>
      <c r="B19046" s="25"/>
      <c r="C19046" s="24"/>
      <c r="D19046" s="26"/>
      <c r="E19046" s="24"/>
      <c r="F19046" s="24"/>
      <c r="G19046" s="24"/>
      <c r="H19046" s="24"/>
      <c r="I19046" s="24"/>
      <c r="J19046" s="24"/>
      <c r="K19046" s="24"/>
      <c r="L19046" s="24"/>
      <c r="M19046" s="24"/>
      <c r="N19046" s="24"/>
      <c r="O19046" s="24"/>
      <c r="P19046" s="24"/>
      <c r="Q19046" s="24"/>
      <c r="R19046" s="24"/>
      <c r="S19046" s="24"/>
      <c r="T19046" s="24"/>
      <c r="U19046" s="24"/>
      <c r="V19046" s="24"/>
      <c r="W19046" s="24"/>
      <c r="X19046" s="24"/>
      <c r="Y19046" s="24"/>
      <c r="Z19046" s="24"/>
      <c r="AA19046" s="24"/>
    </row>
    <row r="19047">
      <c r="A19047" s="24"/>
      <c r="B19047" s="25"/>
      <c r="C19047" s="24"/>
      <c r="D19047" s="26"/>
      <c r="E19047" s="24"/>
      <c r="F19047" s="24"/>
      <c r="G19047" s="24"/>
      <c r="H19047" s="24"/>
      <c r="I19047" s="24"/>
      <c r="J19047" s="24"/>
      <c r="K19047" s="24"/>
      <c r="L19047" s="24"/>
      <c r="M19047" s="24"/>
      <c r="N19047" s="24"/>
      <c r="O19047" s="24"/>
      <c r="P19047" s="24"/>
      <c r="Q19047" s="24"/>
      <c r="R19047" s="24"/>
      <c r="S19047" s="24"/>
      <c r="T19047" s="24"/>
      <c r="U19047" s="24"/>
      <c r="V19047" s="24"/>
      <c r="W19047" s="24"/>
      <c r="X19047" s="24"/>
      <c r="Y19047" s="24"/>
      <c r="Z19047" s="24"/>
      <c r="AA19047" s="24"/>
    </row>
    <row r="19048">
      <c r="A19048" s="24"/>
      <c r="B19048" s="25"/>
      <c r="C19048" s="24"/>
      <c r="D19048" s="26"/>
      <c r="E19048" s="24"/>
      <c r="F19048" s="24"/>
      <c r="G19048" s="24"/>
      <c r="H19048" s="24"/>
      <c r="I19048" s="24"/>
      <c r="J19048" s="24"/>
      <c r="K19048" s="24"/>
      <c r="L19048" s="24"/>
      <c r="M19048" s="24"/>
      <c r="N19048" s="24"/>
      <c r="O19048" s="24"/>
      <c r="P19048" s="24"/>
      <c r="Q19048" s="24"/>
      <c r="R19048" s="24"/>
      <c r="S19048" s="24"/>
      <c r="T19048" s="24"/>
      <c r="U19048" s="24"/>
      <c r="V19048" s="24"/>
      <c r="W19048" s="24"/>
      <c r="X19048" s="24"/>
      <c r="Y19048" s="24"/>
      <c r="Z19048" s="24"/>
      <c r="AA19048" s="24"/>
    </row>
    <row r="19049">
      <c r="A19049" s="24"/>
      <c r="B19049" s="25"/>
      <c r="C19049" s="24"/>
      <c r="D19049" s="26"/>
      <c r="E19049" s="24"/>
      <c r="F19049" s="24"/>
      <c r="G19049" s="24"/>
      <c r="H19049" s="24"/>
      <c r="I19049" s="24"/>
      <c r="J19049" s="24"/>
      <c r="K19049" s="24"/>
      <c r="L19049" s="24"/>
      <c r="M19049" s="24"/>
      <c r="N19049" s="24"/>
      <c r="O19049" s="24"/>
      <c r="P19049" s="24"/>
      <c r="Q19049" s="24"/>
      <c r="R19049" s="24"/>
      <c r="S19049" s="24"/>
      <c r="T19049" s="24"/>
      <c r="U19049" s="24"/>
      <c r="V19049" s="24"/>
      <c r="W19049" s="24"/>
      <c r="X19049" s="24"/>
      <c r="Y19049" s="24"/>
      <c r="Z19049" s="24"/>
      <c r="AA19049" s="24"/>
    </row>
    <row r="19050">
      <c r="A19050" s="24"/>
      <c r="B19050" s="25"/>
      <c r="C19050" s="24"/>
      <c r="D19050" s="26"/>
      <c r="E19050" s="24"/>
      <c r="F19050" s="24"/>
      <c r="G19050" s="24"/>
      <c r="H19050" s="24"/>
      <c r="I19050" s="24"/>
      <c r="J19050" s="24"/>
      <c r="K19050" s="24"/>
      <c r="L19050" s="24"/>
      <c r="M19050" s="24"/>
      <c r="N19050" s="24"/>
      <c r="O19050" s="24"/>
      <c r="P19050" s="24"/>
      <c r="Q19050" s="24"/>
      <c r="R19050" s="24"/>
      <c r="S19050" s="24"/>
      <c r="T19050" s="24"/>
      <c r="U19050" s="24"/>
      <c r="V19050" s="24"/>
      <c r="W19050" s="24"/>
      <c r="X19050" s="24"/>
      <c r="Y19050" s="24"/>
      <c r="Z19050" s="24"/>
      <c r="AA19050" s="24"/>
    </row>
    <row r="19051">
      <c r="A19051" s="24"/>
      <c r="B19051" s="25"/>
      <c r="C19051" s="24"/>
      <c r="D19051" s="26"/>
      <c r="E19051" s="24"/>
      <c r="F19051" s="24"/>
      <c r="G19051" s="24"/>
      <c r="H19051" s="24"/>
      <c r="I19051" s="24"/>
      <c r="J19051" s="24"/>
      <c r="K19051" s="24"/>
      <c r="L19051" s="24"/>
      <c r="M19051" s="24"/>
      <c r="N19051" s="24"/>
      <c r="O19051" s="24"/>
      <c r="P19051" s="24"/>
      <c r="Q19051" s="24"/>
      <c r="R19051" s="24"/>
      <c r="S19051" s="24"/>
      <c r="T19051" s="24"/>
      <c r="U19051" s="24"/>
      <c r="V19051" s="24"/>
      <c r="W19051" s="24"/>
      <c r="X19051" s="24"/>
      <c r="Y19051" s="24"/>
      <c r="Z19051" s="24"/>
      <c r="AA19051" s="24"/>
    </row>
    <row r="19052">
      <c r="A19052" s="24"/>
      <c r="B19052" s="25"/>
      <c r="C19052" s="24"/>
      <c r="D19052" s="26"/>
      <c r="E19052" s="24"/>
      <c r="F19052" s="24"/>
      <c r="G19052" s="24"/>
      <c r="H19052" s="24"/>
      <c r="I19052" s="24"/>
      <c r="J19052" s="24"/>
      <c r="K19052" s="24"/>
      <c r="L19052" s="24"/>
      <c r="M19052" s="24"/>
      <c r="N19052" s="24"/>
      <c r="O19052" s="24"/>
      <c r="P19052" s="24"/>
      <c r="Q19052" s="24"/>
      <c r="R19052" s="24"/>
      <c r="S19052" s="24"/>
      <c r="T19052" s="24"/>
      <c r="U19052" s="24"/>
      <c r="V19052" s="24"/>
      <c r="W19052" s="24"/>
      <c r="X19052" s="24"/>
      <c r="Y19052" s="24"/>
      <c r="Z19052" s="24"/>
      <c r="AA19052" s="24"/>
    </row>
    <row r="19053">
      <c r="A19053" s="24"/>
      <c r="B19053" s="25"/>
      <c r="C19053" s="24"/>
      <c r="D19053" s="26"/>
      <c r="E19053" s="24"/>
      <c r="F19053" s="24"/>
      <c r="G19053" s="24"/>
      <c r="H19053" s="24"/>
      <c r="I19053" s="24"/>
      <c r="J19053" s="24"/>
      <c r="K19053" s="24"/>
      <c r="L19053" s="24"/>
      <c r="M19053" s="24"/>
      <c r="N19053" s="24"/>
      <c r="O19053" s="24"/>
      <c r="P19053" s="24"/>
      <c r="Q19053" s="24"/>
      <c r="R19053" s="24"/>
      <c r="S19053" s="24"/>
      <c r="T19053" s="24"/>
      <c r="U19053" s="24"/>
      <c r="V19053" s="24"/>
      <c r="W19053" s="24"/>
      <c r="X19053" s="24"/>
      <c r="Y19053" s="24"/>
      <c r="Z19053" s="24"/>
      <c r="AA19053" s="24"/>
    </row>
    <row r="19054">
      <c r="A19054" s="24"/>
      <c r="B19054" s="25"/>
      <c r="C19054" s="24"/>
      <c r="D19054" s="26"/>
      <c r="E19054" s="24"/>
      <c r="F19054" s="24"/>
      <c r="G19054" s="24"/>
      <c r="H19054" s="24"/>
      <c r="I19054" s="24"/>
      <c r="J19054" s="24"/>
      <c r="K19054" s="24"/>
      <c r="L19054" s="24"/>
      <c r="M19054" s="24"/>
      <c r="N19054" s="24"/>
      <c r="O19054" s="24"/>
      <c r="P19054" s="24"/>
      <c r="Q19054" s="24"/>
      <c r="R19054" s="24"/>
      <c r="S19054" s="24"/>
      <c r="T19054" s="24"/>
      <c r="U19054" s="24"/>
      <c r="V19054" s="24"/>
      <c r="W19054" s="24"/>
      <c r="X19054" s="24"/>
      <c r="Y19054" s="24"/>
      <c r="Z19054" s="24"/>
      <c r="AA19054" s="24"/>
    </row>
    <row r="19055">
      <c r="A19055" s="24"/>
      <c r="B19055" s="25"/>
      <c r="C19055" s="24"/>
      <c r="D19055" s="26"/>
      <c r="E19055" s="24"/>
      <c r="F19055" s="24"/>
      <c r="G19055" s="24"/>
      <c r="H19055" s="24"/>
      <c r="I19055" s="24"/>
      <c r="J19055" s="24"/>
      <c r="K19055" s="24"/>
      <c r="L19055" s="24"/>
      <c r="M19055" s="24"/>
      <c r="N19055" s="24"/>
      <c r="O19055" s="24"/>
      <c r="P19055" s="24"/>
      <c r="Q19055" s="24"/>
      <c r="R19055" s="24"/>
      <c r="S19055" s="24"/>
      <c r="T19055" s="24"/>
      <c r="U19055" s="24"/>
      <c r="V19055" s="24"/>
      <c r="W19055" s="24"/>
      <c r="X19055" s="24"/>
      <c r="Y19055" s="24"/>
      <c r="Z19055" s="24"/>
      <c r="AA19055" s="24"/>
    </row>
    <row r="19056">
      <c r="A19056" s="24"/>
      <c r="B19056" s="25"/>
      <c r="C19056" s="24"/>
      <c r="D19056" s="26"/>
      <c r="E19056" s="24"/>
      <c r="F19056" s="24"/>
      <c r="G19056" s="24"/>
      <c r="H19056" s="24"/>
      <c r="I19056" s="24"/>
      <c r="J19056" s="24"/>
      <c r="K19056" s="24"/>
      <c r="L19056" s="24"/>
      <c r="M19056" s="24"/>
      <c r="N19056" s="24"/>
      <c r="O19056" s="24"/>
      <c r="P19056" s="24"/>
      <c r="Q19056" s="24"/>
      <c r="R19056" s="24"/>
      <c r="S19056" s="24"/>
      <c r="T19056" s="24"/>
      <c r="U19056" s="24"/>
      <c r="V19056" s="24"/>
      <c r="W19056" s="24"/>
      <c r="X19056" s="24"/>
      <c r="Y19056" s="24"/>
      <c r="Z19056" s="24"/>
      <c r="AA19056" s="24"/>
    </row>
    <row r="19057">
      <c r="A19057" s="24"/>
      <c r="B19057" s="25"/>
      <c r="C19057" s="24"/>
      <c r="D19057" s="26"/>
      <c r="E19057" s="24"/>
      <c r="F19057" s="24"/>
      <c r="G19057" s="24"/>
      <c r="H19057" s="24"/>
      <c r="I19057" s="24"/>
      <c r="J19057" s="24"/>
      <c r="K19057" s="24"/>
      <c r="L19057" s="24"/>
      <c r="M19057" s="24"/>
      <c r="N19057" s="24"/>
      <c r="O19057" s="24"/>
      <c r="P19057" s="24"/>
      <c r="Q19057" s="24"/>
      <c r="R19057" s="24"/>
      <c r="S19057" s="24"/>
      <c r="T19057" s="24"/>
      <c r="U19057" s="24"/>
      <c r="V19057" s="24"/>
      <c r="W19057" s="24"/>
      <c r="X19057" s="24"/>
      <c r="Y19057" s="24"/>
      <c r="Z19057" s="24"/>
      <c r="AA19057" s="24"/>
    </row>
    <row r="19058">
      <c r="A19058" s="24"/>
      <c r="B19058" s="25"/>
      <c r="C19058" s="24"/>
      <c r="D19058" s="26"/>
      <c r="E19058" s="24"/>
      <c r="F19058" s="24"/>
      <c r="G19058" s="24"/>
      <c r="H19058" s="24"/>
      <c r="I19058" s="24"/>
      <c r="J19058" s="24"/>
      <c r="K19058" s="24"/>
      <c r="L19058" s="24"/>
      <c r="M19058" s="24"/>
      <c r="N19058" s="24"/>
      <c r="O19058" s="24"/>
      <c r="P19058" s="24"/>
      <c r="Q19058" s="24"/>
      <c r="R19058" s="24"/>
      <c r="S19058" s="24"/>
      <c r="T19058" s="24"/>
      <c r="U19058" s="24"/>
      <c r="V19058" s="24"/>
      <c r="W19058" s="24"/>
      <c r="X19058" s="24"/>
      <c r="Y19058" s="24"/>
      <c r="Z19058" s="24"/>
      <c r="AA19058" s="24"/>
    </row>
    <row r="19059">
      <c r="A19059" s="24"/>
      <c r="B19059" s="25"/>
      <c r="C19059" s="24"/>
      <c r="D19059" s="26"/>
      <c r="E19059" s="24"/>
      <c r="F19059" s="24"/>
      <c r="G19059" s="24"/>
      <c r="H19059" s="24"/>
      <c r="I19059" s="24"/>
      <c r="J19059" s="24"/>
      <c r="K19059" s="24"/>
      <c r="L19059" s="24"/>
      <c r="M19059" s="24"/>
      <c r="N19059" s="24"/>
      <c r="O19059" s="24"/>
      <c r="P19059" s="24"/>
      <c r="Q19059" s="24"/>
      <c r="R19059" s="24"/>
      <c r="S19059" s="24"/>
      <c r="T19059" s="24"/>
      <c r="U19059" s="24"/>
      <c r="V19059" s="24"/>
      <c r="W19059" s="24"/>
      <c r="X19059" s="24"/>
      <c r="Y19059" s="24"/>
      <c r="Z19059" s="24"/>
      <c r="AA19059" s="24"/>
    </row>
    <row r="19060">
      <c r="A19060" s="24"/>
      <c r="B19060" s="25"/>
      <c r="C19060" s="24"/>
      <c r="D19060" s="26"/>
      <c r="E19060" s="24"/>
      <c r="F19060" s="24"/>
      <c r="G19060" s="24"/>
      <c r="H19060" s="24"/>
      <c r="I19060" s="24"/>
      <c r="J19060" s="24"/>
      <c r="K19060" s="24"/>
      <c r="L19060" s="24"/>
      <c r="M19060" s="24"/>
      <c r="N19060" s="24"/>
      <c r="O19060" s="24"/>
      <c r="P19060" s="24"/>
      <c r="Q19060" s="24"/>
      <c r="R19060" s="24"/>
      <c r="S19060" s="24"/>
      <c r="T19060" s="24"/>
      <c r="U19060" s="24"/>
      <c r="V19060" s="24"/>
      <c r="W19060" s="24"/>
      <c r="X19060" s="24"/>
      <c r="Y19060" s="24"/>
      <c r="Z19060" s="24"/>
      <c r="AA19060" s="24"/>
    </row>
    <row r="19061">
      <c r="A19061" s="24"/>
      <c r="B19061" s="25"/>
      <c r="C19061" s="24"/>
      <c r="D19061" s="26"/>
      <c r="E19061" s="24"/>
      <c r="F19061" s="24"/>
      <c r="G19061" s="24"/>
      <c r="H19061" s="24"/>
      <c r="I19061" s="24"/>
      <c r="J19061" s="24"/>
      <c r="K19061" s="24"/>
      <c r="L19061" s="24"/>
      <c r="M19061" s="24"/>
      <c r="N19061" s="24"/>
      <c r="O19061" s="24"/>
      <c r="P19061" s="24"/>
      <c r="Q19061" s="24"/>
      <c r="R19061" s="24"/>
      <c r="S19061" s="24"/>
      <c r="T19061" s="24"/>
      <c r="U19061" s="24"/>
      <c r="V19061" s="24"/>
      <c r="W19061" s="24"/>
      <c r="X19061" s="24"/>
      <c r="Y19061" s="24"/>
      <c r="Z19061" s="24"/>
      <c r="AA19061" s="24"/>
    </row>
    <row r="19062">
      <c r="A19062" s="24"/>
      <c r="B19062" s="25"/>
      <c r="C19062" s="24"/>
      <c r="D19062" s="26"/>
      <c r="E19062" s="24"/>
      <c r="F19062" s="24"/>
      <c r="G19062" s="24"/>
      <c r="H19062" s="24"/>
      <c r="I19062" s="24"/>
      <c r="J19062" s="24"/>
      <c r="K19062" s="24"/>
      <c r="L19062" s="24"/>
      <c r="M19062" s="24"/>
      <c r="N19062" s="24"/>
      <c r="O19062" s="24"/>
      <c r="P19062" s="24"/>
      <c r="Q19062" s="24"/>
      <c r="R19062" s="24"/>
      <c r="S19062" s="24"/>
      <c r="T19062" s="24"/>
      <c r="U19062" s="24"/>
      <c r="V19062" s="24"/>
      <c r="W19062" s="24"/>
      <c r="X19062" s="24"/>
      <c r="Y19062" s="24"/>
      <c r="Z19062" s="24"/>
      <c r="AA19062" s="24"/>
    </row>
    <row r="19063">
      <c r="A19063" s="24"/>
      <c r="B19063" s="25"/>
      <c r="C19063" s="24"/>
      <c r="D19063" s="26"/>
      <c r="E19063" s="24"/>
      <c r="F19063" s="24"/>
      <c r="G19063" s="24"/>
      <c r="H19063" s="24"/>
      <c r="I19063" s="24"/>
      <c r="J19063" s="24"/>
      <c r="K19063" s="24"/>
      <c r="L19063" s="24"/>
      <c r="M19063" s="24"/>
      <c r="N19063" s="24"/>
      <c r="O19063" s="24"/>
      <c r="P19063" s="24"/>
      <c r="Q19063" s="24"/>
      <c r="R19063" s="24"/>
      <c r="S19063" s="24"/>
      <c r="T19063" s="24"/>
      <c r="U19063" s="24"/>
      <c r="V19063" s="24"/>
      <c r="W19063" s="24"/>
      <c r="X19063" s="24"/>
      <c r="Y19063" s="24"/>
      <c r="Z19063" s="24"/>
      <c r="AA19063" s="24"/>
    </row>
    <row r="19064">
      <c r="A19064" s="24"/>
      <c r="B19064" s="25"/>
      <c r="C19064" s="24"/>
      <c r="D19064" s="26"/>
      <c r="E19064" s="24"/>
      <c r="F19064" s="24"/>
      <c r="G19064" s="24"/>
      <c r="H19064" s="24"/>
      <c r="I19064" s="24"/>
      <c r="J19064" s="24"/>
      <c r="K19064" s="24"/>
      <c r="L19064" s="24"/>
      <c r="M19064" s="24"/>
      <c r="N19064" s="24"/>
      <c r="O19064" s="24"/>
      <c r="P19064" s="24"/>
      <c r="Q19064" s="24"/>
      <c r="R19064" s="24"/>
      <c r="S19064" s="24"/>
      <c r="T19064" s="24"/>
      <c r="U19064" s="24"/>
      <c r="V19064" s="24"/>
      <c r="W19064" s="24"/>
      <c r="X19064" s="24"/>
      <c r="Y19064" s="24"/>
      <c r="Z19064" s="24"/>
      <c r="AA19064" s="24"/>
    </row>
    <row r="19065">
      <c r="A19065" s="24"/>
      <c r="B19065" s="25"/>
      <c r="C19065" s="24"/>
      <c r="D19065" s="26"/>
      <c r="E19065" s="24"/>
      <c r="F19065" s="24"/>
      <c r="G19065" s="24"/>
      <c r="H19065" s="24"/>
      <c r="I19065" s="24"/>
      <c r="J19065" s="24"/>
      <c r="K19065" s="24"/>
      <c r="L19065" s="24"/>
      <c r="M19065" s="24"/>
      <c r="N19065" s="24"/>
      <c r="O19065" s="24"/>
      <c r="P19065" s="24"/>
      <c r="Q19065" s="24"/>
      <c r="R19065" s="24"/>
      <c r="S19065" s="24"/>
      <c r="T19065" s="24"/>
      <c r="U19065" s="24"/>
      <c r="V19065" s="24"/>
      <c r="W19065" s="24"/>
      <c r="X19065" s="24"/>
      <c r="Y19065" s="24"/>
      <c r="Z19065" s="24"/>
      <c r="AA19065" s="24"/>
    </row>
    <row r="19066">
      <c r="A19066" s="24"/>
      <c r="B19066" s="25"/>
      <c r="C19066" s="24"/>
      <c r="D19066" s="26"/>
      <c r="E19066" s="24"/>
      <c r="F19066" s="24"/>
      <c r="G19066" s="24"/>
      <c r="H19066" s="24"/>
      <c r="I19066" s="24"/>
      <c r="J19066" s="24"/>
      <c r="K19066" s="24"/>
      <c r="L19066" s="24"/>
      <c r="M19066" s="24"/>
      <c r="N19066" s="24"/>
      <c r="O19066" s="24"/>
      <c r="P19066" s="24"/>
      <c r="Q19066" s="24"/>
      <c r="R19066" s="24"/>
      <c r="S19066" s="24"/>
      <c r="T19066" s="24"/>
      <c r="U19066" s="24"/>
      <c r="V19066" s="24"/>
      <c r="W19066" s="24"/>
      <c r="X19066" s="24"/>
      <c r="Y19066" s="24"/>
      <c r="Z19066" s="24"/>
      <c r="AA19066" s="24"/>
    </row>
    <row r="19067">
      <c r="A19067" s="24"/>
      <c r="B19067" s="25"/>
      <c r="C19067" s="24"/>
      <c r="D19067" s="26"/>
      <c r="E19067" s="24"/>
      <c r="F19067" s="24"/>
      <c r="G19067" s="24"/>
      <c r="H19067" s="24"/>
      <c r="I19067" s="24"/>
      <c r="J19067" s="24"/>
      <c r="K19067" s="24"/>
      <c r="L19067" s="24"/>
      <c r="M19067" s="24"/>
      <c r="N19067" s="24"/>
      <c r="O19067" s="24"/>
      <c r="P19067" s="24"/>
      <c r="Q19067" s="24"/>
      <c r="R19067" s="24"/>
      <c r="S19067" s="24"/>
      <c r="T19067" s="24"/>
      <c r="U19067" s="24"/>
      <c r="V19067" s="24"/>
      <c r="W19067" s="24"/>
      <c r="X19067" s="24"/>
      <c r="Y19067" s="24"/>
      <c r="Z19067" s="24"/>
      <c r="AA19067" s="24"/>
    </row>
    <row r="19068">
      <c r="A19068" s="24"/>
      <c r="B19068" s="25"/>
      <c r="C19068" s="24"/>
      <c r="D19068" s="26"/>
      <c r="E19068" s="24"/>
      <c r="F19068" s="24"/>
      <c r="G19068" s="24"/>
      <c r="H19068" s="24"/>
      <c r="I19068" s="24"/>
      <c r="J19068" s="24"/>
      <c r="K19068" s="24"/>
      <c r="L19068" s="24"/>
      <c r="M19068" s="24"/>
      <c r="N19068" s="24"/>
      <c r="O19068" s="24"/>
      <c r="P19068" s="24"/>
      <c r="Q19068" s="24"/>
      <c r="R19068" s="24"/>
      <c r="S19068" s="24"/>
      <c r="T19068" s="24"/>
      <c r="U19068" s="24"/>
      <c r="V19068" s="24"/>
      <c r="W19068" s="24"/>
      <c r="X19068" s="24"/>
      <c r="Y19068" s="24"/>
      <c r="Z19068" s="24"/>
      <c r="AA19068" s="24"/>
    </row>
    <row r="19069">
      <c r="A19069" s="24"/>
      <c r="B19069" s="25"/>
      <c r="C19069" s="24"/>
      <c r="D19069" s="26"/>
      <c r="E19069" s="24"/>
      <c r="F19069" s="24"/>
      <c r="G19069" s="24"/>
      <c r="H19069" s="24"/>
      <c r="I19069" s="24"/>
      <c r="J19069" s="24"/>
      <c r="K19069" s="24"/>
      <c r="L19069" s="24"/>
      <c r="M19069" s="24"/>
      <c r="N19069" s="24"/>
      <c r="O19069" s="24"/>
      <c r="P19069" s="24"/>
      <c r="Q19069" s="24"/>
      <c r="R19069" s="24"/>
      <c r="S19069" s="24"/>
      <c r="T19069" s="24"/>
      <c r="U19069" s="24"/>
      <c r="V19069" s="24"/>
      <c r="W19069" s="24"/>
      <c r="X19069" s="24"/>
      <c r="Y19069" s="24"/>
      <c r="Z19069" s="24"/>
      <c r="AA19069" s="24"/>
    </row>
    <row r="19070">
      <c r="A19070" s="24"/>
      <c r="B19070" s="25"/>
      <c r="C19070" s="24"/>
      <c r="D19070" s="26"/>
      <c r="E19070" s="24"/>
      <c r="F19070" s="24"/>
      <c r="G19070" s="24"/>
      <c r="H19070" s="24"/>
      <c r="I19070" s="24"/>
      <c r="J19070" s="24"/>
      <c r="K19070" s="24"/>
      <c r="L19070" s="24"/>
      <c r="M19070" s="24"/>
      <c r="N19070" s="24"/>
      <c r="O19070" s="24"/>
      <c r="P19070" s="24"/>
      <c r="Q19070" s="24"/>
      <c r="R19070" s="24"/>
      <c r="S19070" s="24"/>
      <c r="T19070" s="24"/>
      <c r="U19070" s="24"/>
      <c r="V19070" s="24"/>
      <c r="W19070" s="24"/>
      <c r="X19070" s="24"/>
      <c r="Y19070" s="24"/>
      <c r="Z19070" s="24"/>
      <c r="AA19070" s="24"/>
    </row>
    <row r="19071">
      <c r="A19071" s="24"/>
      <c r="B19071" s="25"/>
      <c r="C19071" s="24"/>
      <c r="D19071" s="26"/>
      <c r="E19071" s="24"/>
      <c r="F19071" s="24"/>
      <c r="G19071" s="24"/>
      <c r="H19071" s="24"/>
      <c r="I19071" s="24"/>
      <c r="J19071" s="24"/>
      <c r="K19071" s="24"/>
      <c r="L19071" s="24"/>
      <c r="M19071" s="24"/>
      <c r="N19071" s="24"/>
      <c r="O19071" s="24"/>
      <c r="P19071" s="24"/>
      <c r="Q19071" s="24"/>
      <c r="R19071" s="24"/>
      <c r="S19071" s="24"/>
      <c r="T19071" s="24"/>
      <c r="U19071" s="24"/>
      <c r="V19071" s="24"/>
      <c r="W19071" s="24"/>
      <c r="X19071" s="24"/>
      <c r="Y19071" s="24"/>
      <c r="Z19071" s="24"/>
      <c r="AA19071" s="24"/>
    </row>
    <row r="19072">
      <c r="A19072" s="24"/>
      <c r="B19072" s="25"/>
      <c r="C19072" s="24"/>
      <c r="D19072" s="26"/>
      <c r="E19072" s="24"/>
      <c r="F19072" s="24"/>
      <c r="G19072" s="24"/>
      <c r="H19072" s="24"/>
      <c r="I19072" s="24"/>
      <c r="J19072" s="24"/>
      <c r="K19072" s="24"/>
      <c r="L19072" s="24"/>
      <c r="M19072" s="24"/>
      <c r="N19072" s="24"/>
      <c r="O19072" s="24"/>
      <c r="P19072" s="24"/>
      <c r="Q19072" s="24"/>
      <c r="R19072" s="24"/>
      <c r="S19072" s="24"/>
      <c r="T19072" s="24"/>
      <c r="U19072" s="24"/>
      <c r="V19072" s="24"/>
      <c r="W19072" s="24"/>
      <c r="X19072" s="24"/>
      <c r="Y19072" s="24"/>
      <c r="Z19072" s="24"/>
      <c r="AA19072" s="24"/>
    </row>
    <row r="19073">
      <c r="A19073" s="24"/>
      <c r="B19073" s="25"/>
      <c r="C19073" s="24"/>
      <c r="D19073" s="26"/>
      <c r="E19073" s="24"/>
      <c r="F19073" s="24"/>
      <c r="G19073" s="24"/>
      <c r="H19073" s="24"/>
      <c r="I19073" s="24"/>
      <c r="J19073" s="24"/>
      <c r="K19073" s="24"/>
      <c r="L19073" s="24"/>
      <c r="M19073" s="24"/>
      <c r="N19073" s="24"/>
      <c r="O19073" s="24"/>
      <c r="P19073" s="24"/>
      <c r="Q19073" s="24"/>
      <c r="R19073" s="24"/>
      <c r="S19073" s="24"/>
      <c r="T19073" s="24"/>
      <c r="U19073" s="24"/>
      <c r="V19073" s="24"/>
      <c r="W19073" s="24"/>
      <c r="X19073" s="24"/>
      <c r="Y19073" s="24"/>
      <c r="Z19073" s="24"/>
      <c r="AA19073" s="24"/>
    </row>
    <row r="19074">
      <c r="A19074" s="24"/>
      <c r="B19074" s="25"/>
      <c r="C19074" s="24"/>
      <c r="D19074" s="26"/>
      <c r="E19074" s="24"/>
      <c r="F19074" s="24"/>
      <c r="G19074" s="24"/>
      <c r="H19074" s="24"/>
      <c r="I19074" s="24"/>
      <c r="J19074" s="24"/>
      <c r="K19074" s="24"/>
      <c r="L19074" s="24"/>
      <c r="M19074" s="24"/>
      <c r="N19074" s="24"/>
      <c r="O19074" s="24"/>
      <c r="P19074" s="24"/>
      <c r="Q19074" s="24"/>
      <c r="R19074" s="24"/>
      <c r="S19074" s="24"/>
      <c r="T19074" s="24"/>
      <c r="U19074" s="24"/>
      <c r="V19074" s="24"/>
      <c r="W19074" s="24"/>
      <c r="X19074" s="24"/>
      <c r="Y19074" s="24"/>
      <c r="Z19074" s="24"/>
      <c r="AA19074" s="24"/>
    </row>
    <row r="19075">
      <c r="A19075" s="24"/>
      <c r="B19075" s="25"/>
      <c r="C19075" s="24"/>
      <c r="D19075" s="26"/>
      <c r="E19075" s="24"/>
      <c r="F19075" s="24"/>
      <c r="G19075" s="24"/>
      <c r="H19075" s="24"/>
      <c r="I19075" s="24"/>
      <c r="J19075" s="24"/>
      <c r="K19075" s="24"/>
      <c r="L19075" s="24"/>
      <c r="M19075" s="24"/>
      <c r="N19075" s="24"/>
      <c r="O19075" s="24"/>
      <c r="P19075" s="24"/>
      <c r="Q19075" s="24"/>
      <c r="R19075" s="24"/>
      <c r="S19075" s="24"/>
      <c r="T19075" s="24"/>
      <c r="U19075" s="24"/>
      <c r="V19075" s="24"/>
      <c r="W19075" s="24"/>
      <c r="X19075" s="24"/>
      <c r="Y19075" s="24"/>
      <c r="Z19075" s="24"/>
      <c r="AA19075" s="24"/>
    </row>
    <row r="19076">
      <c r="A19076" s="24"/>
      <c r="B19076" s="25"/>
      <c r="C19076" s="24"/>
      <c r="D19076" s="26"/>
      <c r="E19076" s="24"/>
      <c r="F19076" s="24"/>
      <c r="G19076" s="24"/>
      <c r="H19076" s="24"/>
      <c r="I19076" s="24"/>
      <c r="J19076" s="24"/>
      <c r="K19076" s="24"/>
      <c r="L19076" s="24"/>
      <c r="M19076" s="24"/>
      <c r="N19076" s="24"/>
      <c r="O19076" s="24"/>
      <c r="P19076" s="24"/>
      <c r="Q19076" s="24"/>
      <c r="R19076" s="24"/>
      <c r="S19076" s="24"/>
      <c r="T19076" s="24"/>
      <c r="U19076" s="24"/>
      <c r="V19076" s="24"/>
      <c r="W19076" s="24"/>
      <c r="X19076" s="24"/>
      <c r="Y19076" s="24"/>
      <c r="Z19076" s="24"/>
      <c r="AA19076" s="24"/>
    </row>
    <row r="19077">
      <c r="A19077" s="24"/>
      <c r="B19077" s="25"/>
      <c r="C19077" s="24"/>
      <c r="D19077" s="26"/>
      <c r="E19077" s="24"/>
      <c r="F19077" s="24"/>
      <c r="G19077" s="24"/>
      <c r="H19077" s="24"/>
      <c r="I19077" s="24"/>
      <c r="J19077" s="24"/>
      <c r="K19077" s="24"/>
      <c r="L19077" s="24"/>
      <c r="M19077" s="24"/>
      <c r="N19077" s="24"/>
      <c r="O19077" s="24"/>
      <c r="P19077" s="24"/>
      <c r="Q19077" s="24"/>
      <c r="R19077" s="24"/>
      <c r="S19077" s="24"/>
      <c r="T19077" s="24"/>
      <c r="U19077" s="24"/>
      <c r="V19077" s="24"/>
      <c r="W19077" s="24"/>
      <c r="X19077" s="24"/>
      <c r="Y19077" s="24"/>
      <c r="Z19077" s="24"/>
      <c r="AA19077" s="24"/>
    </row>
    <row r="19078">
      <c r="A19078" s="24"/>
      <c r="B19078" s="25"/>
      <c r="C19078" s="24"/>
      <c r="D19078" s="26"/>
      <c r="E19078" s="24"/>
      <c r="F19078" s="24"/>
      <c r="G19078" s="24"/>
      <c r="H19078" s="24"/>
      <c r="I19078" s="24"/>
      <c r="J19078" s="24"/>
      <c r="K19078" s="24"/>
      <c r="L19078" s="24"/>
      <c r="M19078" s="24"/>
      <c r="N19078" s="24"/>
      <c r="O19078" s="24"/>
      <c r="P19078" s="24"/>
      <c r="Q19078" s="24"/>
      <c r="R19078" s="24"/>
      <c r="S19078" s="24"/>
      <c r="T19078" s="24"/>
      <c r="U19078" s="24"/>
      <c r="V19078" s="24"/>
      <c r="W19078" s="24"/>
      <c r="X19078" s="24"/>
      <c r="Y19078" s="24"/>
      <c r="Z19078" s="24"/>
      <c r="AA19078" s="24"/>
    </row>
    <row r="19079">
      <c r="A19079" s="24"/>
      <c r="B19079" s="25"/>
      <c r="C19079" s="24"/>
      <c r="D19079" s="26"/>
      <c r="E19079" s="24"/>
      <c r="F19079" s="24"/>
      <c r="G19079" s="24"/>
      <c r="H19079" s="24"/>
      <c r="I19079" s="24"/>
      <c r="J19079" s="24"/>
      <c r="K19079" s="24"/>
      <c r="L19079" s="24"/>
      <c r="M19079" s="24"/>
      <c r="N19079" s="24"/>
      <c r="O19079" s="24"/>
      <c r="P19079" s="24"/>
      <c r="Q19079" s="24"/>
      <c r="R19079" s="24"/>
      <c r="S19079" s="24"/>
      <c r="T19079" s="24"/>
      <c r="U19079" s="24"/>
      <c r="V19079" s="24"/>
      <c r="W19079" s="24"/>
      <c r="X19079" s="24"/>
      <c r="Y19079" s="24"/>
      <c r="Z19079" s="24"/>
      <c r="AA19079" s="24"/>
    </row>
    <row r="19080">
      <c r="A19080" s="24"/>
      <c r="B19080" s="25"/>
      <c r="C19080" s="24"/>
      <c r="D19080" s="26"/>
      <c r="E19080" s="24"/>
      <c r="F19080" s="24"/>
      <c r="G19080" s="24"/>
      <c r="H19080" s="24"/>
      <c r="I19080" s="24"/>
      <c r="J19080" s="24"/>
      <c r="K19080" s="24"/>
      <c r="L19080" s="24"/>
      <c r="M19080" s="24"/>
      <c r="N19080" s="24"/>
      <c r="O19080" s="24"/>
      <c r="P19080" s="24"/>
      <c r="Q19080" s="24"/>
      <c r="R19080" s="24"/>
      <c r="S19080" s="24"/>
      <c r="T19080" s="24"/>
      <c r="U19080" s="24"/>
      <c r="V19080" s="24"/>
      <c r="W19080" s="24"/>
      <c r="X19080" s="24"/>
      <c r="Y19080" s="24"/>
      <c r="Z19080" s="24"/>
      <c r="AA19080" s="24"/>
    </row>
    <row r="19081">
      <c r="A19081" s="24"/>
      <c r="B19081" s="25"/>
      <c r="C19081" s="24"/>
      <c r="D19081" s="26"/>
      <c r="E19081" s="24"/>
      <c r="F19081" s="24"/>
      <c r="G19081" s="24"/>
      <c r="H19081" s="24"/>
      <c r="I19081" s="24"/>
      <c r="J19081" s="24"/>
      <c r="K19081" s="24"/>
      <c r="L19081" s="24"/>
      <c r="M19081" s="24"/>
      <c r="N19081" s="24"/>
      <c r="O19081" s="24"/>
      <c r="P19081" s="24"/>
      <c r="Q19081" s="24"/>
      <c r="R19081" s="24"/>
      <c r="S19081" s="24"/>
      <c r="T19081" s="24"/>
      <c r="U19081" s="24"/>
      <c r="V19081" s="24"/>
      <c r="W19081" s="24"/>
      <c r="X19081" s="24"/>
      <c r="Y19081" s="24"/>
      <c r="Z19081" s="24"/>
      <c r="AA19081" s="24"/>
    </row>
    <row r="19082">
      <c r="A19082" s="24"/>
      <c r="B19082" s="25"/>
      <c r="C19082" s="24"/>
      <c r="D19082" s="26"/>
      <c r="E19082" s="24"/>
      <c r="F19082" s="24"/>
      <c r="G19082" s="24"/>
      <c r="H19082" s="24"/>
      <c r="I19082" s="24"/>
      <c r="J19082" s="24"/>
      <c r="K19082" s="24"/>
      <c r="L19082" s="24"/>
      <c r="M19082" s="24"/>
      <c r="N19082" s="24"/>
      <c r="O19082" s="24"/>
      <c r="P19082" s="24"/>
      <c r="Q19082" s="24"/>
      <c r="R19082" s="24"/>
      <c r="S19082" s="24"/>
      <c r="T19082" s="24"/>
      <c r="U19082" s="24"/>
      <c r="V19082" s="24"/>
      <c r="W19082" s="24"/>
      <c r="X19082" s="24"/>
      <c r="Y19082" s="24"/>
      <c r="Z19082" s="24"/>
      <c r="AA19082" s="24"/>
    </row>
    <row r="19083">
      <c r="A19083" s="24"/>
      <c r="B19083" s="25"/>
      <c r="C19083" s="24"/>
      <c r="D19083" s="26"/>
      <c r="E19083" s="24"/>
      <c r="F19083" s="24"/>
      <c r="G19083" s="24"/>
      <c r="H19083" s="24"/>
      <c r="I19083" s="24"/>
      <c r="J19083" s="24"/>
      <c r="K19083" s="24"/>
      <c r="L19083" s="24"/>
      <c r="M19083" s="24"/>
      <c r="N19083" s="24"/>
      <c r="O19083" s="24"/>
      <c r="P19083" s="24"/>
      <c r="Q19083" s="24"/>
      <c r="R19083" s="24"/>
      <c r="S19083" s="24"/>
      <c r="T19083" s="24"/>
      <c r="U19083" s="24"/>
      <c r="V19083" s="24"/>
      <c r="W19083" s="24"/>
      <c r="X19083" s="24"/>
      <c r="Y19083" s="24"/>
      <c r="Z19083" s="24"/>
      <c r="AA19083" s="24"/>
    </row>
    <row r="19084">
      <c r="A19084" s="24"/>
      <c r="B19084" s="25"/>
      <c r="C19084" s="24"/>
      <c r="D19084" s="26"/>
      <c r="E19084" s="24"/>
      <c r="F19084" s="24"/>
      <c r="G19084" s="24"/>
      <c r="H19084" s="24"/>
      <c r="I19084" s="24"/>
      <c r="J19084" s="24"/>
      <c r="K19084" s="24"/>
      <c r="L19084" s="24"/>
      <c r="M19084" s="24"/>
      <c r="N19084" s="24"/>
      <c r="O19084" s="24"/>
      <c r="P19084" s="24"/>
      <c r="Q19084" s="24"/>
      <c r="R19084" s="24"/>
      <c r="S19084" s="24"/>
      <c r="T19084" s="24"/>
      <c r="U19084" s="24"/>
      <c r="V19084" s="24"/>
      <c r="W19084" s="24"/>
      <c r="X19084" s="24"/>
      <c r="Y19084" s="24"/>
      <c r="Z19084" s="24"/>
      <c r="AA19084" s="24"/>
    </row>
    <row r="19085">
      <c r="A19085" s="24"/>
      <c r="B19085" s="25"/>
      <c r="C19085" s="24"/>
      <c r="D19085" s="26"/>
      <c r="E19085" s="24"/>
      <c r="F19085" s="24"/>
      <c r="G19085" s="24"/>
      <c r="H19085" s="24"/>
      <c r="I19085" s="24"/>
      <c r="J19085" s="24"/>
      <c r="K19085" s="24"/>
      <c r="L19085" s="24"/>
      <c r="M19085" s="24"/>
      <c r="N19085" s="24"/>
      <c r="O19085" s="24"/>
      <c r="P19085" s="24"/>
      <c r="Q19085" s="24"/>
      <c r="R19085" s="24"/>
      <c r="S19085" s="24"/>
      <c r="T19085" s="24"/>
      <c r="U19085" s="24"/>
      <c r="V19085" s="24"/>
      <c r="W19085" s="24"/>
      <c r="X19085" s="24"/>
      <c r="Y19085" s="24"/>
      <c r="Z19085" s="24"/>
      <c r="AA19085" s="24"/>
    </row>
    <row r="19086">
      <c r="A19086" s="24"/>
      <c r="B19086" s="25"/>
      <c r="C19086" s="24"/>
      <c r="D19086" s="26"/>
      <c r="E19086" s="24"/>
      <c r="F19086" s="24"/>
      <c r="G19086" s="24"/>
      <c r="H19086" s="24"/>
      <c r="I19086" s="24"/>
      <c r="J19086" s="24"/>
      <c r="K19086" s="24"/>
      <c r="L19086" s="24"/>
      <c r="M19086" s="24"/>
      <c r="N19086" s="24"/>
      <c r="O19086" s="24"/>
      <c r="P19086" s="24"/>
      <c r="Q19086" s="24"/>
      <c r="R19086" s="24"/>
      <c r="S19086" s="24"/>
      <c r="T19086" s="24"/>
      <c r="U19086" s="24"/>
      <c r="V19086" s="24"/>
      <c r="W19086" s="24"/>
      <c r="X19086" s="24"/>
      <c r="Y19086" s="24"/>
      <c r="Z19086" s="24"/>
      <c r="AA19086" s="24"/>
    </row>
    <row r="19087">
      <c r="A19087" s="24"/>
      <c r="B19087" s="25"/>
      <c r="C19087" s="24"/>
      <c r="D19087" s="26"/>
      <c r="E19087" s="24"/>
      <c r="F19087" s="24"/>
      <c r="G19087" s="24"/>
      <c r="H19087" s="24"/>
      <c r="I19087" s="24"/>
      <c r="J19087" s="24"/>
      <c r="K19087" s="24"/>
      <c r="L19087" s="24"/>
      <c r="M19087" s="24"/>
      <c r="N19087" s="24"/>
      <c r="O19087" s="24"/>
      <c r="P19087" s="24"/>
      <c r="Q19087" s="24"/>
      <c r="R19087" s="24"/>
      <c r="S19087" s="24"/>
      <c r="T19087" s="24"/>
      <c r="U19087" s="24"/>
      <c r="V19087" s="24"/>
      <c r="W19087" s="24"/>
      <c r="X19087" s="24"/>
      <c r="Y19087" s="24"/>
      <c r="Z19087" s="24"/>
      <c r="AA19087" s="24"/>
    </row>
    <row r="19088">
      <c r="A19088" s="24"/>
      <c r="B19088" s="25"/>
      <c r="C19088" s="24"/>
      <c r="D19088" s="26"/>
      <c r="E19088" s="24"/>
      <c r="F19088" s="24"/>
      <c r="G19088" s="24"/>
      <c r="H19088" s="24"/>
      <c r="I19088" s="24"/>
      <c r="J19088" s="24"/>
      <c r="K19088" s="24"/>
      <c r="L19088" s="24"/>
      <c r="M19088" s="24"/>
      <c r="N19088" s="24"/>
      <c r="O19088" s="24"/>
      <c r="P19088" s="24"/>
      <c r="Q19088" s="24"/>
      <c r="R19088" s="24"/>
      <c r="S19088" s="24"/>
      <c r="T19088" s="24"/>
      <c r="U19088" s="24"/>
      <c r="V19088" s="24"/>
      <c r="W19088" s="24"/>
      <c r="X19088" s="24"/>
      <c r="Y19088" s="24"/>
      <c r="Z19088" s="24"/>
      <c r="AA19088" s="24"/>
    </row>
    <row r="19089">
      <c r="A19089" s="24"/>
      <c r="B19089" s="25"/>
      <c r="C19089" s="24"/>
      <c r="D19089" s="26"/>
      <c r="E19089" s="24"/>
      <c r="F19089" s="24"/>
      <c r="G19089" s="24"/>
      <c r="H19089" s="24"/>
      <c r="I19089" s="24"/>
      <c r="J19089" s="24"/>
      <c r="K19089" s="24"/>
      <c r="L19089" s="24"/>
      <c r="M19089" s="24"/>
      <c r="N19089" s="24"/>
      <c r="O19089" s="24"/>
      <c r="P19089" s="24"/>
      <c r="Q19089" s="24"/>
      <c r="R19089" s="24"/>
      <c r="S19089" s="24"/>
      <c r="T19089" s="24"/>
      <c r="U19089" s="24"/>
      <c r="V19089" s="24"/>
      <c r="W19089" s="24"/>
      <c r="X19089" s="24"/>
      <c r="Y19089" s="24"/>
      <c r="Z19089" s="24"/>
      <c r="AA19089" s="24"/>
    </row>
    <row r="19090">
      <c r="A19090" s="24"/>
      <c r="B19090" s="25"/>
      <c r="C19090" s="24"/>
      <c r="D19090" s="26"/>
      <c r="E19090" s="24"/>
      <c r="F19090" s="24"/>
      <c r="G19090" s="24"/>
      <c r="H19090" s="24"/>
      <c r="I19090" s="24"/>
      <c r="J19090" s="24"/>
      <c r="K19090" s="24"/>
      <c r="L19090" s="24"/>
      <c r="M19090" s="24"/>
      <c r="N19090" s="24"/>
      <c r="O19090" s="24"/>
      <c r="P19090" s="24"/>
      <c r="Q19090" s="24"/>
      <c r="R19090" s="24"/>
      <c r="S19090" s="24"/>
      <c r="T19090" s="24"/>
      <c r="U19090" s="24"/>
      <c r="V19090" s="24"/>
      <c r="W19090" s="24"/>
      <c r="X19090" s="24"/>
      <c r="Y19090" s="24"/>
      <c r="Z19090" s="24"/>
      <c r="AA19090" s="24"/>
    </row>
    <row r="19091">
      <c r="A19091" s="24"/>
      <c r="B19091" s="25"/>
      <c r="C19091" s="24"/>
      <c r="D19091" s="26"/>
      <c r="E19091" s="24"/>
      <c r="F19091" s="24"/>
      <c r="G19091" s="24"/>
      <c r="H19091" s="24"/>
      <c r="I19091" s="24"/>
      <c r="J19091" s="24"/>
      <c r="K19091" s="24"/>
      <c r="L19091" s="24"/>
      <c r="M19091" s="24"/>
      <c r="N19091" s="24"/>
      <c r="O19091" s="24"/>
      <c r="P19091" s="24"/>
      <c r="Q19091" s="24"/>
      <c r="R19091" s="24"/>
      <c r="S19091" s="24"/>
      <c r="T19091" s="24"/>
      <c r="U19091" s="24"/>
      <c r="V19091" s="24"/>
      <c r="W19091" s="24"/>
      <c r="X19091" s="24"/>
      <c r="Y19091" s="24"/>
      <c r="Z19091" s="24"/>
      <c r="AA19091" s="24"/>
    </row>
    <row r="19092">
      <c r="A19092" s="24"/>
      <c r="B19092" s="25"/>
      <c r="C19092" s="24"/>
      <c r="D19092" s="26"/>
      <c r="E19092" s="24"/>
      <c r="F19092" s="24"/>
      <c r="G19092" s="24"/>
      <c r="H19092" s="24"/>
      <c r="I19092" s="24"/>
      <c r="J19092" s="24"/>
      <c r="K19092" s="24"/>
      <c r="L19092" s="24"/>
      <c r="M19092" s="24"/>
      <c r="N19092" s="24"/>
      <c r="O19092" s="24"/>
      <c r="P19092" s="24"/>
      <c r="Q19092" s="24"/>
      <c r="R19092" s="24"/>
      <c r="S19092" s="24"/>
      <c r="T19092" s="24"/>
      <c r="U19092" s="24"/>
      <c r="V19092" s="24"/>
      <c r="W19092" s="24"/>
      <c r="X19092" s="24"/>
      <c r="Y19092" s="24"/>
      <c r="Z19092" s="24"/>
      <c r="AA19092" s="24"/>
    </row>
    <row r="19093">
      <c r="A19093" s="24"/>
      <c r="B19093" s="25"/>
      <c r="C19093" s="24"/>
      <c r="D19093" s="26"/>
      <c r="E19093" s="24"/>
      <c r="F19093" s="24"/>
      <c r="G19093" s="24"/>
      <c r="H19093" s="24"/>
      <c r="I19093" s="24"/>
      <c r="J19093" s="24"/>
      <c r="K19093" s="24"/>
      <c r="L19093" s="24"/>
      <c r="M19093" s="24"/>
      <c r="N19093" s="24"/>
      <c r="O19093" s="24"/>
      <c r="P19093" s="24"/>
      <c r="Q19093" s="24"/>
      <c r="R19093" s="24"/>
      <c r="S19093" s="24"/>
      <c r="T19093" s="24"/>
      <c r="U19093" s="24"/>
      <c r="V19093" s="24"/>
      <c r="W19093" s="24"/>
      <c r="X19093" s="24"/>
      <c r="Y19093" s="24"/>
      <c r="Z19093" s="24"/>
      <c r="AA19093" s="24"/>
    </row>
    <row r="19094">
      <c r="A19094" s="24"/>
      <c r="B19094" s="25"/>
      <c r="C19094" s="24"/>
      <c r="D19094" s="26"/>
      <c r="E19094" s="24"/>
      <c r="F19094" s="24"/>
      <c r="G19094" s="24"/>
      <c r="H19094" s="24"/>
      <c r="I19094" s="24"/>
      <c r="J19094" s="24"/>
      <c r="K19094" s="24"/>
      <c r="L19094" s="24"/>
      <c r="M19094" s="24"/>
      <c r="N19094" s="24"/>
      <c r="O19094" s="24"/>
      <c r="P19094" s="24"/>
      <c r="Q19094" s="24"/>
      <c r="R19094" s="24"/>
      <c r="S19094" s="24"/>
      <c r="T19094" s="24"/>
      <c r="U19094" s="24"/>
      <c r="V19094" s="24"/>
      <c r="W19094" s="24"/>
      <c r="X19094" s="24"/>
      <c r="Y19094" s="24"/>
      <c r="Z19094" s="24"/>
      <c r="AA19094" s="24"/>
    </row>
    <row r="19095">
      <c r="A19095" s="24"/>
      <c r="B19095" s="25"/>
      <c r="C19095" s="24"/>
      <c r="D19095" s="26"/>
      <c r="E19095" s="24"/>
      <c r="F19095" s="24"/>
      <c r="G19095" s="24"/>
      <c r="H19095" s="24"/>
      <c r="I19095" s="24"/>
      <c r="J19095" s="24"/>
      <c r="K19095" s="24"/>
      <c r="L19095" s="24"/>
      <c r="M19095" s="24"/>
      <c r="N19095" s="24"/>
      <c r="O19095" s="24"/>
      <c r="P19095" s="24"/>
      <c r="Q19095" s="24"/>
      <c r="R19095" s="24"/>
      <c r="S19095" s="24"/>
      <c r="T19095" s="24"/>
      <c r="U19095" s="24"/>
      <c r="V19095" s="24"/>
      <c r="W19095" s="24"/>
      <c r="X19095" s="24"/>
      <c r="Y19095" s="24"/>
      <c r="Z19095" s="24"/>
      <c r="AA19095" s="24"/>
    </row>
    <row r="19096">
      <c r="A19096" s="24"/>
      <c r="B19096" s="25"/>
      <c r="C19096" s="24"/>
      <c r="D19096" s="26"/>
      <c r="E19096" s="24"/>
      <c r="F19096" s="24"/>
      <c r="G19096" s="24"/>
      <c r="H19096" s="24"/>
      <c r="I19096" s="24"/>
      <c r="J19096" s="24"/>
      <c r="K19096" s="24"/>
      <c r="L19096" s="24"/>
      <c r="M19096" s="24"/>
      <c r="N19096" s="24"/>
      <c r="O19096" s="24"/>
      <c r="P19096" s="24"/>
      <c r="Q19096" s="24"/>
      <c r="R19096" s="24"/>
      <c r="S19096" s="24"/>
      <c r="T19096" s="24"/>
      <c r="U19096" s="24"/>
      <c r="V19096" s="24"/>
      <c r="W19096" s="24"/>
      <c r="X19096" s="24"/>
      <c r="Y19096" s="24"/>
      <c r="Z19096" s="24"/>
      <c r="AA19096" s="24"/>
    </row>
    <row r="19097">
      <c r="A19097" s="24"/>
      <c r="B19097" s="25"/>
      <c r="C19097" s="24"/>
      <c r="D19097" s="26"/>
      <c r="E19097" s="24"/>
      <c r="F19097" s="24"/>
      <c r="G19097" s="24"/>
      <c r="H19097" s="24"/>
      <c r="I19097" s="24"/>
      <c r="J19097" s="24"/>
      <c r="K19097" s="24"/>
      <c r="L19097" s="24"/>
      <c r="M19097" s="24"/>
      <c r="N19097" s="24"/>
      <c r="O19097" s="24"/>
      <c r="P19097" s="24"/>
      <c r="Q19097" s="24"/>
      <c r="R19097" s="24"/>
      <c r="S19097" s="24"/>
      <c r="T19097" s="24"/>
      <c r="U19097" s="24"/>
      <c r="V19097" s="24"/>
      <c r="W19097" s="24"/>
      <c r="X19097" s="24"/>
      <c r="Y19097" s="24"/>
      <c r="Z19097" s="24"/>
      <c r="AA19097" s="24"/>
    </row>
    <row r="19098">
      <c r="A19098" s="24"/>
      <c r="B19098" s="25"/>
      <c r="C19098" s="24"/>
      <c r="D19098" s="26"/>
      <c r="E19098" s="24"/>
      <c r="F19098" s="24"/>
      <c r="G19098" s="24"/>
      <c r="H19098" s="24"/>
      <c r="I19098" s="24"/>
      <c r="J19098" s="24"/>
      <c r="K19098" s="24"/>
      <c r="L19098" s="24"/>
      <c r="M19098" s="24"/>
      <c r="N19098" s="24"/>
      <c r="O19098" s="24"/>
      <c r="P19098" s="24"/>
      <c r="Q19098" s="24"/>
      <c r="R19098" s="24"/>
      <c r="S19098" s="24"/>
      <c r="T19098" s="24"/>
      <c r="U19098" s="24"/>
      <c r="V19098" s="24"/>
      <c r="W19098" s="24"/>
      <c r="X19098" s="24"/>
      <c r="Y19098" s="24"/>
      <c r="Z19098" s="24"/>
      <c r="AA19098" s="24"/>
    </row>
    <row r="19099">
      <c r="A19099" s="24"/>
      <c r="B19099" s="25"/>
      <c r="C19099" s="24"/>
      <c r="D19099" s="26"/>
      <c r="E19099" s="24"/>
      <c r="F19099" s="24"/>
      <c r="G19099" s="24"/>
      <c r="H19099" s="24"/>
      <c r="I19099" s="24"/>
      <c r="J19099" s="24"/>
      <c r="K19099" s="24"/>
      <c r="L19099" s="24"/>
      <c r="M19099" s="24"/>
      <c r="N19099" s="24"/>
      <c r="O19099" s="24"/>
      <c r="P19099" s="24"/>
      <c r="Q19099" s="24"/>
      <c r="R19099" s="24"/>
      <c r="S19099" s="24"/>
      <c r="T19099" s="24"/>
      <c r="U19099" s="24"/>
      <c r="V19099" s="24"/>
      <c r="W19099" s="24"/>
      <c r="X19099" s="24"/>
      <c r="Y19099" s="24"/>
      <c r="Z19099" s="24"/>
      <c r="AA19099" s="24"/>
    </row>
    <row r="19100">
      <c r="A19100" s="24"/>
      <c r="B19100" s="25"/>
      <c r="C19100" s="24"/>
      <c r="D19100" s="26"/>
      <c r="E19100" s="24"/>
      <c r="F19100" s="24"/>
      <c r="G19100" s="24"/>
      <c r="H19100" s="24"/>
      <c r="I19100" s="24"/>
      <c r="J19100" s="24"/>
      <c r="K19100" s="24"/>
      <c r="L19100" s="24"/>
      <c r="M19100" s="24"/>
      <c r="N19100" s="24"/>
      <c r="O19100" s="24"/>
      <c r="P19100" s="24"/>
      <c r="Q19100" s="24"/>
      <c r="R19100" s="24"/>
      <c r="S19100" s="24"/>
      <c r="T19100" s="24"/>
      <c r="U19100" s="24"/>
      <c r="V19100" s="24"/>
      <c r="W19100" s="24"/>
      <c r="X19100" s="24"/>
      <c r="Y19100" s="24"/>
      <c r="Z19100" s="24"/>
      <c r="AA19100" s="24"/>
    </row>
    <row r="19101">
      <c r="A19101" s="24"/>
      <c r="B19101" s="25"/>
      <c r="C19101" s="24"/>
      <c r="D19101" s="26"/>
      <c r="E19101" s="24"/>
      <c r="F19101" s="24"/>
      <c r="G19101" s="24"/>
      <c r="H19101" s="24"/>
      <c r="I19101" s="24"/>
      <c r="J19101" s="24"/>
      <c r="K19101" s="24"/>
      <c r="L19101" s="24"/>
      <c r="M19101" s="24"/>
      <c r="N19101" s="24"/>
      <c r="O19101" s="24"/>
      <c r="P19101" s="24"/>
      <c r="Q19101" s="24"/>
      <c r="R19101" s="24"/>
      <c r="S19101" s="24"/>
      <c r="T19101" s="24"/>
      <c r="U19101" s="24"/>
      <c r="V19101" s="24"/>
      <c r="W19101" s="24"/>
      <c r="X19101" s="24"/>
      <c r="Y19101" s="24"/>
      <c r="Z19101" s="24"/>
      <c r="AA19101" s="24"/>
    </row>
    <row r="19102">
      <c r="A19102" s="24"/>
      <c r="B19102" s="25"/>
      <c r="C19102" s="24"/>
      <c r="D19102" s="26"/>
      <c r="E19102" s="24"/>
      <c r="F19102" s="24"/>
      <c r="G19102" s="24"/>
      <c r="H19102" s="24"/>
      <c r="I19102" s="24"/>
      <c r="J19102" s="24"/>
      <c r="K19102" s="24"/>
      <c r="L19102" s="24"/>
      <c r="M19102" s="24"/>
      <c r="N19102" s="24"/>
      <c r="O19102" s="24"/>
      <c r="P19102" s="24"/>
      <c r="Q19102" s="24"/>
      <c r="R19102" s="24"/>
      <c r="S19102" s="24"/>
      <c r="T19102" s="24"/>
      <c r="U19102" s="24"/>
      <c r="V19102" s="24"/>
      <c r="W19102" s="24"/>
      <c r="X19102" s="24"/>
      <c r="Y19102" s="24"/>
      <c r="Z19102" s="24"/>
      <c r="AA19102" s="24"/>
    </row>
    <row r="19103">
      <c r="A19103" s="24"/>
      <c r="B19103" s="25"/>
      <c r="C19103" s="24"/>
      <c r="D19103" s="26"/>
      <c r="E19103" s="24"/>
      <c r="F19103" s="24"/>
      <c r="G19103" s="24"/>
      <c r="H19103" s="24"/>
      <c r="I19103" s="24"/>
      <c r="J19103" s="24"/>
      <c r="K19103" s="24"/>
      <c r="L19103" s="24"/>
      <c r="M19103" s="24"/>
      <c r="N19103" s="24"/>
      <c r="O19103" s="24"/>
      <c r="P19103" s="24"/>
      <c r="Q19103" s="24"/>
      <c r="R19103" s="24"/>
      <c r="S19103" s="24"/>
      <c r="T19103" s="24"/>
      <c r="U19103" s="24"/>
      <c r="V19103" s="24"/>
      <c r="W19103" s="24"/>
      <c r="X19103" s="24"/>
      <c r="Y19103" s="24"/>
      <c r="Z19103" s="24"/>
      <c r="AA19103" s="24"/>
    </row>
    <row r="19104">
      <c r="A19104" s="24"/>
      <c r="B19104" s="25"/>
      <c r="C19104" s="24"/>
      <c r="D19104" s="26"/>
      <c r="E19104" s="24"/>
      <c r="F19104" s="24"/>
      <c r="G19104" s="24"/>
      <c r="H19104" s="24"/>
      <c r="I19104" s="24"/>
      <c r="J19104" s="24"/>
      <c r="K19104" s="24"/>
      <c r="L19104" s="24"/>
      <c r="M19104" s="24"/>
      <c r="N19104" s="24"/>
      <c r="O19104" s="24"/>
      <c r="P19104" s="24"/>
      <c r="Q19104" s="24"/>
      <c r="R19104" s="24"/>
      <c r="S19104" s="24"/>
      <c r="T19104" s="24"/>
      <c r="U19104" s="24"/>
      <c r="V19104" s="24"/>
      <c r="W19104" s="24"/>
      <c r="X19104" s="24"/>
      <c r="Y19104" s="24"/>
      <c r="Z19104" s="24"/>
      <c r="AA19104" s="24"/>
    </row>
    <row r="19105">
      <c r="A19105" s="24"/>
      <c r="B19105" s="25"/>
      <c r="C19105" s="24"/>
      <c r="D19105" s="26"/>
      <c r="E19105" s="24"/>
      <c r="F19105" s="24"/>
      <c r="G19105" s="24"/>
      <c r="H19105" s="24"/>
      <c r="I19105" s="24"/>
      <c r="J19105" s="24"/>
      <c r="K19105" s="24"/>
      <c r="L19105" s="24"/>
      <c r="M19105" s="24"/>
      <c r="N19105" s="24"/>
      <c r="O19105" s="24"/>
      <c r="P19105" s="24"/>
      <c r="Q19105" s="24"/>
      <c r="R19105" s="24"/>
      <c r="S19105" s="24"/>
      <c r="T19105" s="24"/>
      <c r="U19105" s="24"/>
      <c r="V19105" s="24"/>
      <c r="W19105" s="24"/>
      <c r="X19105" s="24"/>
      <c r="Y19105" s="24"/>
      <c r="Z19105" s="24"/>
      <c r="AA19105" s="24"/>
    </row>
    <row r="19106">
      <c r="A19106" s="24"/>
      <c r="B19106" s="25"/>
      <c r="C19106" s="24"/>
      <c r="D19106" s="26"/>
      <c r="E19106" s="24"/>
      <c r="F19106" s="24"/>
      <c r="G19106" s="24"/>
      <c r="H19106" s="24"/>
      <c r="I19106" s="24"/>
      <c r="J19106" s="24"/>
      <c r="K19106" s="24"/>
      <c r="L19106" s="24"/>
      <c r="M19106" s="24"/>
      <c r="N19106" s="24"/>
      <c r="O19106" s="24"/>
      <c r="P19106" s="24"/>
      <c r="Q19106" s="24"/>
      <c r="R19106" s="24"/>
      <c r="S19106" s="24"/>
      <c r="T19106" s="24"/>
      <c r="U19106" s="24"/>
      <c r="V19106" s="24"/>
      <c r="W19106" s="24"/>
      <c r="X19106" s="24"/>
      <c r="Y19106" s="24"/>
      <c r="Z19106" s="24"/>
      <c r="AA19106" s="24"/>
    </row>
    <row r="19107">
      <c r="A19107" s="24"/>
      <c r="B19107" s="25"/>
      <c r="C19107" s="24"/>
      <c r="D19107" s="26"/>
      <c r="E19107" s="24"/>
      <c r="F19107" s="24"/>
      <c r="G19107" s="24"/>
      <c r="H19107" s="24"/>
      <c r="I19107" s="24"/>
      <c r="J19107" s="24"/>
      <c r="K19107" s="24"/>
      <c r="L19107" s="24"/>
      <c r="M19107" s="24"/>
      <c r="N19107" s="24"/>
      <c r="O19107" s="24"/>
      <c r="P19107" s="24"/>
      <c r="Q19107" s="24"/>
      <c r="R19107" s="24"/>
      <c r="S19107" s="24"/>
      <c r="T19107" s="24"/>
      <c r="U19107" s="24"/>
      <c r="V19107" s="24"/>
      <c r="W19107" s="24"/>
      <c r="X19107" s="24"/>
      <c r="Y19107" s="24"/>
      <c r="Z19107" s="24"/>
      <c r="AA19107" s="24"/>
    </row>
    <row r="19108">
      <c r="A19108" s="24"/>
      <c r="B19108" s="25"/>
      <c r="C19108" s="24"/>
      <c r="D19108" s="26"/>
      <c r="E19108" s="24"/>
      <c r="F19108" s="24"/>
      <c r="G19108" s="24"/>
      <c r="H19108" s="24"/>
      <c r="I19108" s="24"/>
      <c r="J19108" s="24"/>
      <c r="K19108" s="24"/>
      <c r="L19108" s="24"/>
      <c r="M19108" s="24"/>
      <c r="N19108" s="24"/>
      <c r="O19108" s="24"/>
      <c r="P19108" s="24"/>
      <c r="Q19108" s="24"/>
      <c r="R19108" s="24"/>
      <c r="S19108" s="24"/>
      <c r="T19108" s="24"/>
      <c r="U19108" s="24"/>
      <c r="V19108" s="24"/>
      <c r="W19108" s="24"/>
      <c r="X19108" s="24"/>
      <c r="Y19108" s="24"/>
      <c r="Z19108" s="24"/>
      <c r="AA19108" s="24"/>
    </row>
    <row r="19109">
      <c r="A19109" s="24"/>
      <c r="B19109" s="25"/>
      <c r="C19109" s="24"/>
      <c r="D19109" s="26"/>
      <c r="E19109" s="24"/>
      <c r="F19109" s="24"/>
      <c r="G19109" s="24"/>
      <c r="H19109" s="24"/>
      <c r="I19109" s="24"/>
      <c r="J19109" s="24"/>
      <c r="K19109" s="24"/>
      <c r="L19109" s="24"/>
      <c r="M19109" s="24"/>
      <c r="N19109" s="24"/>
      <c r="O19109" s="24"/>
      <c r="P19109" s="24"/>
      <c r="Q19109" s="24"/>
      <c r="R19109" s="24"/>
      <c r="S19109" s="24"/>
      <c r="T19109" s="24"/>
      <c r="U19109" s="24"/>
      <c r="V19109" s="24"/>
      <c r="W19109" s="24"/>
      <c r="X19109" s="24"/>
      <c r="Y19109" s="24"/>
      <c r="Z19109" s="24"/>
      <c r="AA19109" s="24"/>
    </row>
    <row r="19110">
      <c r="A19110" s="24"/>
      <c r="B19110" s="25"/>
      <c r="C19110" s="24"/>
      <c r="D19110" s="26"/>
      <c r="E19110" s="24"/>
      <c r="F19110" s="24"/>
      <c r="G19110" s="24"/>
      <c r="H19110" s="24"/>
      <c r="I19110" s="24"/>
      <c r="J19110" s="24"/>
      <c r="K19110" s="24"/>
      <c r="L19110" s="24"/>
      <c r="M19110" s="24"/>
      <c r="N19110" s="24"/>
      <c r="O19110" s="24"/>
      <c r="P19110" s="24"/>
      <c r="Q19110" s="24"/>
      <c r="R19110" s="24"/>
      <c r="S19110" s="24"/>
      <c r="T19110" s="24"/>
      <c r="U19110" s="24"/>
      <c r="V19110" s="24"/>
      <c r="W19110" s="24"/>
      <c r="X19110" s="24"/>
      <c r="Y19110" s="24"/>
      <c r="Z19110" s="24"/>
      <c r="AA19110" s="24"/>
    </row>
    <row r="19111">
      <c r="A19111" s="24"/>
      <c r="B19111" s="25"/>
      <c r="C19111" s="24"/>
      <c r="D19111" s="26"/>
      <c r="E19111" s="24"/>
      <c r="F19111" s="24"/>
      <c r="G19111" s="24"/>
      <c r="H19111" s="24"/>
      <c r="I19111" s="24"/>
      <c r="J19111" s="24"/>
      <c r="K19111" s="24"/>
      <c r="L19111" s="24"/>
      <c r="M19111" s="24"/>
      <c r="N19111" s="24"/>
      <c r="O19111" s="24"/>
      <c r="P19111" s="24"/>
      <c r="Q19111" s="24"/>
      <c r="R19111" s="24"/>
      <c r="S19111" s="24"/>
      <c r="T19111" s="24"/>
      <c r="U19111" s="24"/>
      <c r="V19111" s="24"/>
      <c r="W19111" s="24"/>
      <c r="X19111" s="24"/>
      <c r="Y19111" s="24"/>
      <c r="Z19111" s="24"/>
      <c r="AA19111" s="24"/>
    </row>
    <row r="19112">
      <c r="A19112" s="24"/>
      <c r="B19112" s="25"/>
      <c r="C19112" s="24"/>
      <c r="D19112" s="26"/>
      <c r="E19112" s="24"/>
      <c r="F19112" s="24"/>
      <c r="G19112" s="24"/>
      <c r="H19112" s="24"/>
      <c r="I19112" s="24"/>
      <c r="J19112" s="24"/>
      <c r="K19112" s="24"/>
      <c r="L19112" s="24"/>
      <c r="M19112" s="24"/>
      <c r="N19112" s="24"/>
      <c r="O19112" s="24"/>
      <c r="P19112" s="24"/>
      <c r="Q19112" s="24"/>
      <c r="R19112" s="24"/>
      <c r="S19112" s="24"/>
      <c r="T19112" s="24"/>
      <c r="U19112" s="24"/>
      <c r="V19112" s="24"/>
      <c r="W19112" s="24"/>
      <c r="X19112" s="24"/>
      <c r="Y19112" s="24"/>
      <c r="Z19112" s="24"/>
      <c r="AA19112" s="24"/>
    </row>
    <row r="19113">
      <c r="A19113" s="24"/>
      <c r="B19113" s="25"/>
      <c r="C19113" s="24"/>
      <c r="D19113" s="26"/>
      <c r="E19113" s="24"/>
      <c r="F19113" s="24"/>
      <c r="G19113" s="24"/>
      <c r="H19113" s="24"/>
      <c r="I19113" s="24"/>
      <c r="J19113" s="24"/>
      <c r="K19113" s="24"/>
      <c r="L19113" s="24"/>
      <c r="M19113" s="24"/>
      <c r="N19113" s="24"/>
      <c r="O19113" s="24"/>
      <c r="P19113" s="24"/>
      <c r="Q19113" s="24"/>
      <c r="R19113" s="24"/>
      <c r="S19113" s="24"/>
      <c r="T19113" s="24"/>
      <c r="U19113" s="24"/>
      <c r="V19113" s="24"/>
      <c r="W19113" s="24"/>
      <c r="X19113" s="24"/>
      <c r="Y19113" s="24"/>
      <c r="Z19113" s="24"/>
      <c r="AA19113" s="24"/>
    </row>
    <row r="19114">
      <c r="A19114" s="24"/>
      <c r="B19114" s="25"/>
      <c r="C19114" s="24"/>
      <c r="D19114" s="26"/>
      <c r="E19114" s="24"/>
      <c r="F19114" s="24"/>
      <c r="G19114" s="24"/>
      <c r="H19114" s="24"/>
      <c r="I19114" s="24"/>
      <c r="J19114" s="24"/>
      <c r="K19114" s="24"/>
      <c r="L19114" s="24"/>
      <c r="M19114" s="24"/>
      <c r="N19114" s="24"/>
      <c r="O19114" s="24"/>
      <c r="P19114" s="24"/>
      <c r="Q19114" s="24"/>
      <c r="R19114" s="24"/>
      <c r="S19114" s="24"/>
      <c r="T19114" s="24"/>
      <c r="U19114" s="24"/>
      <c r="V19114" s="24"/>
      <c r="W19114" s="24"/>
      <c r="X19114" s="24"/>
      <c r="Y19114" s="24"/>
      <c r="Z19114" s="24"/>
      <c r="AA19114" s="24"/>
    </row>
    <row r="19115">
      <c r="A19115" s="24"/>
      <c r="B19115" s="25"/>
      <c r="C19115" s="24"/>
      <c r="D19115" s="26"/>
      <c r="E19115" s="24"/>
      <c r="F19115" s="24"/>
      <c r="G19115" s="24"/>
      <c r="H19115" s="24"/>
      <c r="I19115" s="24"/>
      <c r="J19115" s="24"/>
      <c r="K19115" s="24"/>
      <c r="L19115" s="24"/>
      <c r="M19115" s="24"/>
      <c r="N19115" s="24"/>
      <c r="O19115" s="24"/>
      <c r="P19115" s="24"/>
      <c r="Q19115" s="24"/>
      <c r="R19115" s="24"/>
      <c r="S19115" s="24"/>
      <c r="T19115" s="24"/>
      <c r="U19115" s="24"/>
      <c r="V19115" s="24"/>
      <c r="W19115" s="24"/>
      <c r="X19115" s="24"/>
      <c r="Y19115" s="24"/>
      <c r="Z19115" s="24"/>
      <c r="AA19115" s="24"/>
    </row>
    <row r="19116">
      <c r="A19116" s="24"/>
      <c r="B19116" s="25"/>
      <c r="C19116" s="24"/>
      <c r="D19116" s="26"/>
      <c r="E19116" s="24"/>
      <c r="F19116" s="24"/>
      <c r="G19116" s="24"/>
      <c r="H19116" s="24"/>
      <c r="I19116" s="24"/>
      <c r="J19116" s="24"/>
      <c r="K19116" s="24"/>
      <c r="L19116" s="24"/>
      <c r="M19116" s="24"/>
      <c r="N19116" s="24"/>
      <c r="O19116" s="24"/>
      <c r="P19116" s="24"/>
      <c r="Q19116" s="24"/>
      <c r="R19116" s="24"/>
      <c r="S19116" s="24"/>
      <c r="T19116" s="24"/>
      <c r="U19116" s="24"/>
      <c r="V19116" s="24"/>
      <c r="W19116" s="24"/>
      <c r="X19116" s="24"/>
      <c r="Y19116" s="24"/>
      <c r="Z19116" s="24"/>
      <c r="AA19116" s="24"/>
    </row>
    <row r="19117">
      <c r="A19117" s="24"/>
      <c r="B19117" s="25"/>
      <c r="C19117" s="24"/>
      <c r="D19117" s="26"/>
      <c r="E19117" s="24"/>
      <c r="F19117" s="24"/>
      <c r="G19117" s="24"/>
      <c r="H19117" s="24"/>
      <c r="I19117" s="24"/>
      <c r="J19117" s="24"/>
      <c r="K19117" s="24"/>
      <c r="L19117" s="24"/>
      <c r="M19117" s="24"/>
      <c r="N19117" s="24"/>
      <c r="O19117" s="24"/>
      <c r="P19117" s="24"/>
      <c r="Q19117" s="24"/>
      <c r="R19117" s="24"/>
      <c r="S19117" s="24"/>
      <c r="T19117" s="24"/>
      <c r="U19117" s="24"/>
      <c r="V19117" s="24"/>
      <c r="W19117" s="24"/>
      <c r="X19117" s="24"/>
      <c r="Y19117" s="24"/>
      <c r="Z19117" s="24"/>
      <c r="AA19117" s="24"/>
    </row>
    <row r="19118">
      <c r="A19118" s="24"/>
      <c r="B19118" s="25"/>
      <c r="C19118" s="24"/>
      <c r="D19118" s="26"/>
      <c r="E19118" s="24"/>
      <c r="F19118" s="24"/>
      <c r="G19118" s="24"/>
      <c r="H19118" s="24"/>
      <c r="I19118" s="24"/>
      <c r="J19118" s="24"/>
      <c r="K19118" s="24"/>
      <c r="L19118" s="24"/>
      <c r="M19118" s="24"/>
      <c r="N19118" s="24"/>
      <c r="O19118" s="24"/>
      <c r="P19118" s="24"/>
      <c r="Q19118" s="24"/>
      <c r="R19118" s="24"/>
      <c r="S19118" s="24"/>
      <c r="T19118" s="24"/>
      <c r="U19118" s="24"/>
      <c r="V19118" s="24"/>
      <c r="W19118" s="24"/>
      <c r="X19118" s="24"/>
      <c r="Y19118" s="24"/>
      <c r="Z19118" s="24"/>
      <c r="AA19118" s="24"/>
    </row>
    <row r="19119">
      <c r="A19119" s="24"/>
      <c r="B19119" s="25"/>
      <c r="C19119" s="24"/>
      <c r="D19119" s="26"/>
      <c r="E19119" s="24"/>
      <c r="F19119" s="24"/>
      <c r="G19119" s="24"/>
      <c r="H19119" s="24"/>
      <c r="I19119" s="24"/>
      <c r="J19119" s="24"/>
      <c r="K19119" s="24"/>
      <c r="L19119" s="24"/>
      <c r="M19119" s="24"/>
      <c r="N19119" s="24"/>
      <c r="O19119" s="24"/>
      <c r="P19119" s="24"/>
      <c r="Q19119" s="24"/>
      <c r="R19119" s="24"/>
      <c r="S19119" s="24"/>
      <c r="T19119" s="24"/>
      <c r="U19119" s="24"/>
      <c r="V19119" s="24"/>
      <c r="W19119" s="24"/>
      <c r="X19119" s="24"/>
      <c r="Y19119" s="24"/>
      <c r="Z19119" s="24"/>
      <c r="AA19119" s="24"/>
    </row>
    <row r="19120">
      <c r="A19120" s="24"/>
      <c r="B19120" s="25"/>
      <c r="C19120" s="24"/>
      <c r="D19120" s="26"/>
      <c r="E19120" s="24"/>
      <c r="F19120" s="24"/>
      <c r="G19120" s="24"/>
      <c r="H19120" s="24"/>
      <c r="I19120" s="24"/>
      <c r="J19120" s="24"/>
      <c r="K19120" s="24"/>
      <c r="L19120" s="24"/>
      <c r="M19120" s="24"/>
      <c r="N19120" s="24"/>
      <c r="O19120" s="24"/>
      <c r="P19120" s="24"/>
      <c r="Q19120" s="24"/>
      <c r="R19120" s="24"/>
      <c r="S19120" s="24"/>
      <c r="T19120" s="24"/>
      <c r="U19120" s="24"/>
      <c r="V19120" s="24"/>
      <c r="W19120" s="24"/>
      <c r="X19120" s="24"/>
      <c r="Y19120" s="24"/>
      <c r="Z19120" s="24"/>
      <c r="AA19120" s="24"/>
    </row>
    <row r="19121">
      <c r="A19121" s="24"/>
      <c r="B19121" s="25"/>
      <c r="C19121" s="24"/>
      <c r="D19121" s="26"/>
      <c r="E19121" s="24"/>
      <c r="F19121" s="24"/>
      <c r="G19121" s="24"/>
      <c r="H19121" s="24"/>
      <c r="I19121" s="24"/>
      <c r="J19121" s="24"/>
      <c r="K19121" s="24"/>
      <c r="L19121" s="24"/>
      <c r="M19121" s="24"/>
      <c r="N19121" s="24"/>
      <c r="O19121" s="24"/>
      <c r="P19121" s="24"/>
      <c r="Q19121" s="24"/>
      <c r="R19121" s="24"/>
      <c r="S19121" s="24"/>
      <c r="T19121" s="24"/>
      <c r="U19121" s="24"/>
      <c r="V19121" s="24"/>
      <c r="W19121" s="24"/>
      <c r="X19121" s="24"/>
      <c r="Y19121" s="24"/>
      <c r="Z19121" s="24"/>
      <c r="AA19121" s="24"/>
    </row>
    <row r="19122">
      <c r="A19122" s="24"/>
      <c r="B19122" s="25"/>
      <c r="C19122" s="24"/>
      <c r="D19122" s="26"/>
      <c r="E19122" s="24"/>
      <c r="F19122" s="24"/>
      <c r="G19122" s="24"/>
      <c r="H19122" s="24"/>
      <c r="I19122" s="24"/>
      <c r="J19122" s="24"/>
      <c r="K19122" s="24"/>
      <c r="L19122" s="24"/>
      <c r="M19122" s="24"/>
      <c r="N19122" s="24"/>
      <c r="O19122" s="24"/>
      <c r="P19122" s="24"/>
      <c r="Q19122" s="24"/>
      <c r="R19122" s="24"/>
      <c r="S19122" s="24"/>
      <c r="T19122" s="24"/>
      <c r="U19122" s="24"/>
      <c r="V19122" s="24"/>
      <c r="W19122" s="24"/>
      <c r="X19122" s="24"/>
      <c r="Y19122" s="24"/>
      <c r="Z19122" s="24"/>
      <c r="AA19122" s="24"/>
    </row>
    <row r="19123">
      <c r="A19123" s="24"/>
      <c r="B19123" s="25"/>
      <c r="C19123" s="24"/>
      <c r="D19123" s="26"/>
      <c r="E19123" s="24"/>
      <c r="F19123" s="24"/>
      <c r="G19123" s="24"/>
      <c r="H19123" s="24"/>
      <c r="I19123" s="24"/>
      <c r="J19123" s="24"/>
      <c r="K19123" s="24"/>
      <c r="L19123" s="24"/>
      <c r="M19123" s="24"/>
      <c r="N19123" s="24"/>
      <c r="O19123" s="24"/>
      <c r="P19123" s="24"/>
      <c r="Q19123" s="24"/>
      <c r="R19123" s="24"/>
      <c r="S19123" s="24"/>
      <c r="T19123" s="24"/>
      <c r="U19123" s="24"/>
      <c r="V19123" s="24"/>
      <c r="W19123" s="24"/>
      <c r="X19123" s="24"/>
      <c r="Y19123" s="24"/>
      <c r="Z19123" s="24"/>
      <c r="AA19123" s="24"/>
    </row>
    <row r="19124">
      <c r="A19124" s="24"/>
      <c r="B19124" s="25"/>
      <c r="C19124" s="24"/>
      <c r="D19124" s="26"/>
      <c r="E19124" s="24"/>
      <c r="F19124" s="24"/>
      <c r="G19124" s="24"/>
      <c r="H19124" s="24"/>
      <c r="I19124" s="24"/>
      <c r="J19124" s="24"/>
      <c r="K19124" s="24"/>
      <c r="L19124" s="24"/>
      <c r="M19124" s="24"/>
      <c r="N19124" s="24"/>
      <c r="O19124" s="24"/>
      <c r="P19124" s="24"/>
      <c r="Q19124" s="24"/>
      <c r="R19124" s="24"/>
      <c r="S19124" s="24"/>
      <c r="T19124" s="24"/>
      <c r="U19124" s="24"/>
      <c r="V19124" s="24"/>
      <c r="W19124" s="24"/>
      <c r="X19124" s="24"/>
      <c r="Y19124" s="24"/>
      <c r="Z19124" s="24"/>
      <c r="AA19124" s="24"/>
    </row>
    <row r="19125">
      <c r="A19125" s="24"/>
      <c r="B19125" s="25"/>
      <c r="C19125" s="24"/>
      <c r="D19125" s="26"/>
      <c r="E19125" s="24"/>
      <c r="F19125" s="24"/>
      <c r="G19125" s="24"/>
      <c r="H19125" s="24"/>
      <c r="I19125" s="24"/>
      <c r="J19125" s="24"/>
      <c r="K19125" s="24"/>
      <c r="L19125" s="24"/>
      <c r="M19125" s="24"/>
      <c r="N19125" s="24"/>
      <c r="O19125" s="24"/>
      <c r="P19125" s="24"/>
      <c r="Q19125" s="24"/>
      <c r="R19125" s="24"/>
      <c r="S19125" s="24"/>
      <c r="T19125" s="24"/>
      <c r="U19125" s="24"/>
      <c r="V19125" s="24"/>
      <c r="W19125" s="24"/>
      <c r="X19125" s="24"/>
      <c r="Y19125" s="24"/>
      <c r="Z19125" s="24"/>
      <c r="AA19125" s="24"/>
    </row>
    <row r="19126">
      <c r="A19126" s="24"/>
      <c r="B19126" s="25"/>
      <c r="C19126" s="24"/>
      <c r="D19126" s="26"/>
      <c r="E19126" s="24"/>
      <c r="F19126" s="24"/>
      <c r="G19126" s="24"/>
      <c r="H19126" s="24"/>
      <c r="I19126" s="24"/>
      <c r="J19126" s="24"/>
      <c r="K19126" s="24"/>
      <c r="L19126" s="24"/>
      <c r="M19126" s="24"/>
      <c r="N19126" s="24"/>
      <c r="O19126" s="24"/>
      <c r="P19126" s="24"/>
      <c r="Q19126" s="24"/>
      <c r="R19126" s="24"/>
      <c r="S19126" s="24"/>
      <c r="T19126" s="24"/>
      <c r="U19126" s="24"/>
      <c r="V19126" s="24"/>
      <c r="W19126" s="24"/>
      <c r="X19126" s="24"/>
      <c r="Y19126" s="24"/>
      <c r="Z19126" s="24"/>
      <c r="AA19126" s="24"/>
    </row>
    <row r="19127">
      <c r="A19127" s="24"/>
      <c r="B19127" s="25"/>
      <c r="C19127" s="24"/>
      <c r="D19127" s="26"/>
      <c r="E19127" s="24"/>
      <c r="F19127" s="24"/>
      <c r="G19127" s="24"/>
      <c r="H19127" s="24"/>
      <c r="I19127" s="24"/>
      <c r="J19127" s="24"/>
      <c r="K19127" s="24"/>
      <c r="L19127" s="24"/>
      <c r="M19127" s="24"/>
      <c r="N19127" s="24"/>
      <c r="O19127" s="24"/>
      <c r="P19127" s="24"/>
      <c r="Q19127" s="24"/>
      <c r="R19127" s="24"/>
      <c r="S19127" s="24"/>
      <c r="T19127" s="24"/>
      <c r="U19127" s="24"/>
      <c r="V19127" s="24"/>
      <c r="W19127" s="24"/>
      <c r="X19127" s="24"/>
      <c r="Y19127" s="24"/>
      <c r="Z19127" s="24"/>
      <c r="AA19127" s="24"/>
    </row>
    <row r="19128">
      <c r="A19128" s="24"/>
      <c r="B19128" s="25"/>
      <c r="C19128" s="24"/>
      <c r="D19128" s="26"/>
      <c r="E19128" s="24"/>
      <c r="F19128" s="24"/>
      <c r="G19128" s="24"/>
      <c r="H19128" s="24"/>
      <c r="I19128" s="24"/>
      <c r="J19128" s="24"/>
      <c r="K19128" s="24"/>
      <c r="L19128" s="24"/>
      <c r="M19128" s="24"/>
      <c r="N19128" s="24"/>
      <c r="O19128" s="24"/>
      <c r="P19128" s="24"/>
      <c r="Q19128" s="24"/>
      <c r="R19128" s="24"/>
      <c r="S19128" s="24"/>
      <c r="T19128" s="24"/>
      <c r="U19128" s="24"/>
      <c r="V19128" s="24"/>
      <c r="W19128" s="24"/>
      <c r="X19128" s="24"/>
      <c r="Y19128" s="24"/>
      <c r="Z19128" s="24"/>
      <c r="AA19128" s="24"/>
    </row>
    <row r="19129">
      <c r="A19129" s="24"/>
      <c r="B19129" s="25"/>
      <c r="C19129" s="24"/>
      <c r="D19129" s="26"/>
      <c r="E19129" s="24"/>
      <c r="F19129" s="24"/>
      <c r="G19129" s="24"/>
      <c r="H19129" s="24"/>
      <c r="I19129" s="24"/>
      <c r="J19129" s="24"/>
      <c r="K19129" s="24"/>
      <c r="L19129" s="24"/>
      <c r="M19129" s="24"/>
      <c r="N19129" s="24"/>
      <c r="O19129" s="24"/>
      <c r="P19129" s="24"/>
      <c r="Q19129" s="24"/>
      <c r="R19129" s="24"/>
      <c r="S19129" s="24"/>
      <c r="T19129" s="24"/>
      <c r="U19129" s="24"/>
      <c r="V19129" s="24"/>
      <c r="W19129" s="24"/>
      <c r="X19129" s="24"/>
      <c r="Y19129" s="24"/>
      <c r="Z19129" s="24"/>
      <c r="AA19129" s="24"/>
    </row>
    <row r="19130">
      <c r="A19130" s="24"/>
      <c r="B19130" s="25"/>
      <c r="C19130" s="24"/>
      <c r="D19130" s="26"/>
      <c r="E19130" s="24"/>
      <c r="F19130" s="24"/>
      <c r="G19130" s="24"/>
      <c r="H19130" s="24"/>
      <c r="I19130" s="24"/>
      <c r="J19130" s="24"/>
      <c r="K19130" s="24"/>
      <c r="L19130" s="24"/>
      <c r="M19130" s="24"/>
      <c r="N19130" s="24"/>
      <c r="O19130" s="24"/>
      <c r="P19130" s="24"/>
      <c r="Q19130" s="24"/>
      <c r="R19130" s="24"/>
      <c r="S19130" s="24"/>
      <c r="T19130" s="24"/>
      <c r="U19130" s="24"/>
      <c r="V19130" s="24"/>
      <c r="W19130" s="24"/>
      <c r="X19130" s="24"/>
      <c r="Y19130" s="24"/>
      <c r="Z19130" s="24"/>
      <c r="AA19130" s="24"/>
    </row>
    <row r="19131">
      <c r="A19131" s="24"/>
      <c r="B19131" s="25"/>
      <c r="C19131" s="24"/>
      <c r="D19131" s="26"/>
      <c r="E19131" s="24"/>
      <c r="F19131" s="24"/>
      <c r="G19131" s="24"/>
      <c r="H19131" s="24"/>
      <c r="I19131" s="24"/>
      <c r="J19131" s="24"/>
      <c r="K19131" s="24"/>
      <c r="L19131" s="24"/>
      <c r="M19131" s="24"/>
      <c r="N19131" s="24"/>
      <c r="O19131" s="24"/>
      <c r="P19131" s="24"/>
      <c r="Q19131" s="24"/>
      <c r="R19131" s="24"/>
      <c r="S19131" s="24"/>
      <c r="T19131" s="24"/>
      <c r="U19131" s="24"/>
      <c r="V19131" s="24"/>
      <c r="W19131" s="24"/>
      <c r="X19131" s="24"/>
      <c r="Y19131" s="24"/>
      <c r="Z19131" s="24"/>
      <c r="AA19131" s="24"/>
    </row>
    <row r="19132">
      <c r="A19132" s="24"/>
      <c r="B19132" s="25"/>
      <c r="C19132" s="24"/>
      <c r="D19132" s="26"/>
      <c r="E19132" s="24"/>
      <c r="F19132" s="24"/>
      <c r="G19132" s="24"/>
      <c r="H19132" s="24"/>
      <c r="I19132" s="24"/>
      <c r="J19132" s="24"/>
      <c r="K19132" s="24"/>
      <c r="L19132" s="24"/>
      <c r="M19132" s="24"/>
      <c r="N19132" s="24"/>
      <c r="O19132" s="24"/>
      <c r="P19132" s="24"/>
      <c r="Q19132" s="24"/>
      <c r="R19132" s="24"/>
      <c r="S19132" s="24"/>
      <c r="T19132" s="24"/>
      <c r="U19132" s="24"/>
      <c r="V19132" s="24"/>
      <c r="W19132" s="24"/>
      <c r="X19132" s="24"/>
      <c r="Y19132" s="24"/>
      <c r="Z19132" s="24"/>
      <c r="AA19132" s="24"/>
    </row>
    <row r="19133">
      <c r="A19133" s="24"/>
      <c r="B19133" s="25"/>
      <c r="C19133" s="24"/>
      <c r="D19133" s="26"/>
      <c r="E19133" s="24"/>
      <c r="F19133" s="24"/>
      <c r="G19133" s="24"/>
      <c r="H19133" s="24"/>
      <c r="I19133" s="24"/>
      <c r="J19133" s="24"/>
      <c r="K19133" s="24"/>
      <c r="L19133" s="24"/>
      <c r="M19133" s="24"/>
      <c r="N19133" s="24"/>
      <c r="O19133" s="24"/>
      <c r="P19133" s="24"/>
      <c r="Q19133" s="24"/>
      <c r="R19133" s="24"/>
      <c r="S19133" s="24"/>
      <c r="T19133" s="24"/>
      <c r="U19133" s="24"/>
      <c r="V19133" s="24"/>
      <c r="W19133" s="24"/>
      <c r="X19133" s="24"/>
      <c r="Y19133" s="24"/>
      <c r="Z19133" s="24"/>
      <c r="AA19133" s="24"/>
    </row>
    <row r="19134">
      <c r="A19134" s="24"/>
      <c r="B19134" s="25"/>
      <c r="C19134" s="24"/>
      <c r="D19134" s="26"/>
      <c r="E19134" s="24"/>
      <c r="F19134" s="24"/>
      <c r="G19134" s="24"/>
      <c r="H19134" s="24"/>
      <c r="I19134" s="24"/>
      <c r="J19134" s="24"/>
      <c r="K19134" s="24"/>
      <c r="L19134" s="24"/>
      <c r="M19134" s="24"/>
      <c r="N19134" s="24"/>
      <c r="O19134" s="24"/>
      <c r="P19134" s="24"/>
      <c r="Q19134" s="24"/>
      <c r="R19134" s="24"/>
      <c r="S19134" s="24"/>
      <c r="T19134" s="24"/>
      <c r="U19134" s="24"/>
      <c r="V19134" s="24"/>
      <c r="W19134" s="24"/>
      <c r="X19134" s="24"/>
      <c r="Y19134" s="24"/>
      <c r="Z19134" s="24"/>
      <c r="AA19134" s="24"/>
    </row>
    <row r="19135">
      <c r="A19135" s="24"/>
      <c r="B19135" s="25"/>
      <c r="C19135" s="24"/>
      <c r="D19135" s="26"/>
      <c r="E19135" s="24"/>
      <c r="F19135" s="24"/>
      <c r="G19135" s="24"/>
      <c r="H19135" s="24"/>
      <c r="I19135" s="24"/>
      <c r="J19135" s="24"/>
      <c r="K19135" s="24"/>
      <c r="L19135" s="24"/>
      <c r="M19135" s="24"/>
      <c r="N19135" s="24"/>
      <c r="O19135" s="24"/>
      <c r="P19135" s="24"/>
      <c r="Q19135" s="24"/>
      <c r="R19135" s="24"/>
      <c r="S19135" s="24"/>
      <c r="T19135" s="24"/>
      <c r="U19135" s="24"/>
      <c r="V19135" s="24"/>
      <c r="W19135" s="24"/>
      <c r="X19135" s="24"/>
      <c r="Y19135" s="24"/>
      <c r="Z19135" s="24"/>
      <c r="AA19135" s="24"/>
    </row>
    <row r="19136">
      <c r="A19136" s="24"/>
      <c r="B19136" s="25"/>
      <c r="C19136" s="24"/>
      <c r="D19136" s="26"/>
      <c r="E19136" s="24"/>
      <c r="F19136" s="24"/>
      <c r="G19136" s="24"/>
      <c r="H19136" s="24"/>
      <c r="I19136" s="24"/>
      <c r="J19136" s="24"/>
      <c r="K19136" s="24"/>
      <c r="L19136" s="24"/>
      <c r="M19136" s="24"/>
      <c r="N19136" s="24"/>
      <c r="O19136" s="24"/>
      <c r="P19136" s="24"/>
      <c r="Q19136" s="24"/>
      <c r="R19136" s="24"/>
      <c r="S19136" s="24"/>
      <c r="T19136" s="24"/>
      <c r="U19136" s="24"/>
      <c r="V19136" s="24"/>
      <c r="W19136" s="24"/>
      <c r="X19136" s="24"/>
      <c r="Y19136" s="24"/>
      <c r="Z19136" s="24"/>
      <c r="AA19136" s="24"/>
    </row>
    <row r="19137">
      <c r="A19137" s="24"/>
      <c r="B19137" s="25"/>
      <c r="C19137" s="24"/>
      <c r="D19137" s="26"/>
      <c r="E19137" s="24"/>
      <c r="F19137" s="24"/>
      <c r="G19137" s="24"/>
      <c r="H19137" s="24"/>
      <c r="I19137" s="24"/>
      <c r="J19137" s="24"/>
      <c r="K19137" s="24"/>
      <c r="L19137" s="24"/>
      <c r="M19137" s="24"/>
      <c r="N19137" s="24"/>
      <c r="O19137" s="24"/>
      <c r="P19137" s="24"/>
      <c r="Q19137" s="24"/>
      <c r="R19137" s="24"/>
      <c r="S19137" s="24"/>
      <c r="T19137" s="24"/>
      <c r="U19137" s="24"/>
      <c r="V19137" s="24"/>
      <c r="W19137" s="24"/>
      <c r="X19137" s="24"/>
      <c r="Y19137" s="24"/>
      <c r="Z19137" s="24"/>
      <c r="AA19137" s="24"/>
    </row>
    <row r="19138">
      <c r="A19138" s="24"/>
      <c r="B19138" s="25"/>
      <c r="C19138" s="24"/>
      <c r="D19138" s="26"/>
      <c r="E19138" s="24"/>
      <c r="F19138" s="24"/>
      <c r="G19138" s="24"/>
      <c r="H19138" s="24"/>
      <c r="I19138" s="24"/>
      <c r="J19138" s="24"/>
      <c r="K19138" s="24"/>
      <c r="L19138" s="24"/>
      <c r="M19138" s="24"/>
      <c r="N19138" s="24"/>
      <c r="O19138" s="24"/>
      <c r="P19138" s="24"/>
      <c r="Q19138" s="24"/>
      <c r="R19138" s="24"/>
      <c r="S19138" s="24"/>
      <c r="T19138" s="24"/>
      <c r="U19138" s="24"/>
      <c r="V19138" s="24"/>
      <c r="W19138" s="24"/>
      <c r="X19138" s="24"/>
      <c r="Y19138" s="24"/>
      <c r="Z19138" s="24"/>
      <c r="AA19138" s="24"/>
    </row>
    <row r="19139">
      <c r="A19139" s="24"/>
      <c r="B19139" s="25"/>
      <c r="C19139" s="24"/>
      <c r="D19139" s="26"/>
      <c r="E19139" s="24"/>
      <c r="F19139" s="24"/>
      <c r="G19139" s="24"/>
      <c r="H19139" s="24"/>
      <c r="I19139" s="24"/>
      <c r="J19139" s="24"/>
      <c r="K19139" s="24"/>
      <c r="L19139" s="24"/>
      <c r="M19139" s="24"/>
      <c r="N19139" s="24"/>
      <c r="O19139" s="24"/>
      <c r="P19139" s="24"/>
      <c r="Q19139" s="24"/>
      <c r="R19139" s="24"/>
      <c r="S19139" s="24"/>
      <c r="T19139" s="24"/>
      <c r="U19139" s="24"/>
      <c r="V19139" s="24"/>
      <c r="W19139" s="24"/>
      <c r="X19139" s="24"/>
      <c r="Y19139" s="24"/>
      <c r="Z19139" s="24"/>
      <c r="AA19139" s="24"/>
    </row>
    <row r="19140">
      <c r="A19140" s="24"/>
      <c r="B19140" s="25"/>
      <c r="C19140" s="24"/>
      <c r="D19140" s="26"/>
      <c r="E19140" s="24"/>
      <c r="F19140" s="24"/>
      <c r="G19140" s="24"/>
      <c r="H19140" s="24"/>
      <c r="I19140" s="24"/>
      <c r="J19140" s="24"/>
      <c r="K19140" s="24"/>
      <c r="L19140" s="24"/>
      <c r="M19140" s="24"/>
      <c r="N19140" s="24"/>
      <c r="O19140" s="24"/>
      <c r="P19140" s="24"/>
      <c r="Q19140" s="24"/>
      <c r="R19140" s="24"/>
      <c r="S19140" s="24"/>
      <c r="T19140" s="24"/>
      <c r="U19140" s="24"/>
      <c r="V19140" s="24"/>
      <c r="W19140" s="24"/>
      <c r="X19140" s="24"/>
      <c r="Y19140" s="24"/>
      <c r="Z19140" s="24"/>
      <c r="AA19140" s="24"/>
    </row>
    <row r="19141">
      <c r="A19141" s="24"/>
      <c r="B19141" s="25"/>
      <c r="C19141" s="24"/>
      <c r="D19141" s="26"/>
      <c r="E19141" s="24"/>
      <c r="F19141" s="24"/>
      <c r="G19141" s="24"/>
      <c r="H19141" s="24"/>
      <c r="I19141" s="24"/>
      <c r="J19141" s="24"/>
      <c r="K19141" s="24"/>
      <c r="L19141" s="24"/>
      <c r="M19141" s="24"/>
      <c r="N19141" s="24"/>
      <c r="O19141" s="24"/>
      <c r="P19141" s="24"/>
      <c r="Q19141" s="24"/>
      <c r="R19141" s="24"/>
      <c r="S19141" s="24"/>
      <c r="T19141" s="24"/>
      <c r="U19141" s="24"/>
      <c r="V19141" s="24"/>
      <c r="W19141" s="24"/>
      <c r="X19141" s="24"/>
      <c r="Y19141" s="24"/>
      <c r="Z19141" s="24"/>
      <c r="AA19141" s="24"/>
    </row>
    <row r="19142">
      <c r="A19142" s="24"/>
      <c r="B19142" s="25"/>
      <c r="C19142" s="24"/>
      <c r="D19142" s="26"/>
      <c r="E19142" s="24"/>
      <c r="F19142" s="24"/>
      <c r="G19142" s="24"/>
      <c r="H19142" s="24"/>
      <c r="I19142" s="24"/>
      <c r="J19142" s="24"/>
      <c r="K19142" s="24"/>
      <c r="L19142" s="24"/>
      <c r="M19142" s="24"/>
      <c r="N19142" s="24"/>
      <c r="O19142" s="24"/>
      <c r="P19142" s="24"/>
      <c r="Q19142" s="24"/>
      <c r="R19142" s="24"/>
      <c r="S19142" s="24"/>
      <c r="T19142" s="24"/>
      <c r="U19142" s="24"/>
      <c r="V19142" s="24"/>
      <c r="W19142" s="24"/>
      <c r="X19142" s="24"/>
      <c r="Y19142" s="24"/>
      <c r="Z19142" s="24"/>
      <c r="AA19142" s="24"/>
    </row>
    <row r="19143">
      <c r="A19143" s="24"/>
      <c r="B19143" s="25"/>
      <c r="C19143" s="24"/>
      <c r="D19143" s="26"/>
      <c r="E19143" s="24"/>
      <c r="F19143" s="24"/>
      <c r="G19143" s="24"/>
      <c r="H19143" s="24"/>
      <c r="I19143" s="24"/>
      <c r="J19143" s="24"/>
      <c r="K19143" s="24"/>
      <c r="L19143" s="24"/>
      <c r="M19143" s="24"/>
      <c r="N19143" s="24"/>
      <c r="O19143" s="24"/>
      <c r="P19143" s="24"/>
      <c r="Q19143" s="24"/>
      <c r="R19143" s="24"/>
      <c r="S19143" s="24"/>
      <c r="T19143" s="24"/>
      <c r="U19143" s="24"/>
      <c r="V19143" s="24"/>
      <c r="W19143" s="24"/>
      <c r="X19143" s="24"/>
      <c r="Y19143" s="24"/>
      <c r="Z19143" s="24"/>
      <c r="AA19143" s="24"/>
    </row>
    <row r="19144">
      <c r="A19144" s="24"/>
      <c r="B19144" s="25"/>
      <c r="C19144" s="24"/>
      <c r="D19144" s="26"/>
      <c r="E19144" s="24"/>
      <c r="F19144" s="24"/>
      <c r="G19144" s="24"/>
      <c r="H19144" s="24"/>
      <c r="I19144" s="24"/>
      <c r="J19144" s="24"/>
      <c r="K19144" s="24"/>
      <c r="L19144" s="24"/>
      <c r="M19144" s="24"/>
      <c r="N19144" s="24"/>
      <c r="O19144" s="24"/>
      <c r="P19144" s="24"/>
      <c r="Q19144" s="24"/>
      <c r="R19144" s="24"/>
      <c r="S19144" s="24"/>
      <c r="T19144" s="24"/>
      <c r="U19144" s="24"/>
      <c r="V19144" s="24"/>
      <c r="W19144" s="24"/>
      <c r="X19144" s="24"/>
      <c r="Y19144" s="24"/>
      <c r="Z19144" s="24"/>
      <c r="AA19144" s="24"/>
    </row>
    <row r="19145">
      <c r="A19145" s="24"/>
      <c r="B19145" s="25"/>
      <c r="C19145" s="24"/>
      <c r="D19145" s="26"/>
      <c r="E19145" s="24"/>
      <c r="F19145" s="24"/>
      <c r="G19145" s="24"/>
      <c r="H19145" s="24"/>
      <c r="I19145" s="24"/>
      <c r="J19145" s="24"/>
      <c r="K19145" s="24"/>
      <c r="L19145" s="24"/>
      <c r="M19145" s="24"/>
      <c r="N19145" s="24"/>
      <c r="O19145" s="24"/>
      <c r="P19145" s="24"/>
      <c r="Q19145" s="24"/>
      <c r="R19145" s="24"/>
      <c r="S19145" s="24"/>
      <c r="T19145" s="24"/>
      <c r="U19145" s="24"/>
      <c r="V19145" s="24"/>
      <c r="W19145" s="24"/>
      <c r="X19145" s="24"/>
      <c r="Y19145" s="24"/>
      <c r="Z19145" s="24"/>
      <c r="AA19145" s="24"/>
    </row>
    <row r="19146">
      <c r="A19146" s="24"/>
      <c r="B19146" s="25"/>
      <c r="C19146" s="24"/>
      <c r="D19146" s="26"/>
      <c r="E19146" s="24"/>
      <c r="F19146" s="24"/>
      <c r="G19146" s="24"/>
      <c r="H19146" s="24"/>
      <c r="I19146" s="24"/>
      <c r="J19146" s="24"/>
      <c r="K19146" s="24"/>
      <c r="L19146" s="24"/>
      <c r="M19146" s="24"/>
      <c r="N19146" s="24"/>
      <c r="O19146" s="24"/>
      <c r="P19146" s="24"/>
      <c r="Q19146" s="24"/>
      <c r="R19146" s="24"/>
      <c r="S19146" s="24"/>
      <c r="T19146" s="24"/>
      <c r="U19146" s="24"/>
      <c r="V19146" s="24"/>
      <c r="W19146" s="24"/>
      <c r="X19146" s="24"/>
      <c r="Y19146" s="24"/>
      <c r="Z19146" s="24"/>
      <c r="AA19146" s="24"/>
    </row>
    <row r="19147">
      <c r="A19147" s="24"/>
      <c r="B19147" s="25"/>
      <c r="C19147" s="24"/>
      <c r="D19147" s="26"/>
      <c r="E19147" s="24"/>
      <c r="F19147" s="24"/>
      <c r="G19147" s="24"/>
      <c r="H19147" s="24"/>
      <c r="I19147" s="24"/>
      <c r="J19147" s="24"/>
      <c r="K19147" s="24"/>
      <c r="L19147" s="24"/>
      <c r="M19147" s="24"/>
      <c r="N19147" s="24"/>
      <c r="O19147" s="24"/>
      <c r="P19147" s="24"/>
      <c r="Q19147" s="24"/>
      <c r="R19147" s="24"/>
      <c r="S19147" s="24"/>
      <c r="T19147" s="24"/>
      <c r="U19147" s="24"/>
      <c r="V19147" s="24"/>
      <c r="W19147" s="24"/>
      <c r="X19147" s="24"/>
      <c r="Y19147" s="24"/>
      <c r="Z19147" s="24"/>
      <c r="AA19147" s="24"/>
    </row>
    <row r="19148">
      <c r="A19148" s="24"/>
      <c r="B19148" s="25"/>
      <c r="C19148" s="24"/>
      <c r="D19148" s="26"/>
      <c r="E19148" s="24"/>
      <c r="F19148" s="24"/>
      <c r="G19148" s="24"/>
      <c r="H19148" s="24"/>
      <c r="I19148" s="24"/>
      <c r="J19148" s="24"/>
      <c r="K19148" s="24"/>
      <c r="L19148" s="24"/>
      <c r="M19148" s="24"/>
      <c r="N19148" s="24"/>
      <c r="O19148" s="24"/>
      <c r="P19148" s="24"/>
      <c r="Q19148" s="24"/>
      <c r="R19148" s="24"/>
      <c r="S19148" s="24"/>
      <c r="T19148" s="24"/>
      <c r="U19148" s="24"/>
      <c r="V19148" s="24"/>
      <c r="W19148" s="24"/>
      <c r="X19148" s="24"/>
      <c r="Y19148" s="24"/>
      <c r="Z19148" s="24"/>
      <c r="AA19148" s="24"/>
    </row>
    <row r="19149">
      <c r="A19149" s="24"/>
      <c r="B19149" s="25"/>
      <c r="C19149" s="24"/>
      <c r="D19149" s="26"/>
      <c r="E19149" s="24"/>
      <c r="F19149" s="24"/>
      <c r="G19149" s="24"/>
      <c r="H19149" s="24"/>
      <c r="I19149" s="24"/>
      <c r="J19149" s="24"/>
      <c r="K19149" s="24"/>
      <c r="L19149" s="24"/>
      <c r="M19149" s="24"/>
      <c r="N19149" s="24"/>
      <c r="O19149" s="24"/>
      <c r="P19149" s="24"/>
      <c r="Q19149" s="24"/>
      <c r="R19149" s="24"/>
      <c r="S19149" s="24"/>
      <c r="T19149" s="24"/>
      <c r="U19149" s="24"/>
      <c r="V19149" s="24"/>
      <c r="W19149" s="24"/>
      <c r="X19149" s="24"/>
      <c r="Y19149" s="24"/>
      <c r="Z19149" s="24"/>
      <c r="AA19149" s="24"/>
    </row>
    <row r="19150">
      <c r="A19150" s="24"/>
      <c r="B19150" s="25"/>
      <c r="C19150" s="24"/>
      <c r="D19150" s="26"/>
      <c r="E19150" s="24"/>
      <c r="F19150" s="24"/>
      <c r="G19150" s="24"/>
      <c r="H19150" s="24"/>
      <c r="I19150" s="24"/>
      <c r="J19150" s="24"/>
      <c r="K19150" s="24"/>
      <c r="L19150" s="24"/>
      <c r="M19150" s="24"/>
      <c r="N19150" s="24"/>
      <c r="O19150" s="24"/>
      <c r="P19150" s="24"/>
      <c r="Q19150" s="24"/>
      <c r="R19150" s="24"/>
      <c r="S19150" s="24"/>
      <c r="T19150" s="24"/>
      <c r="U19150" s="24"/>
      <c r="V19150" s="24"/>
      <c r="W19150" s="24"/>
      <c r="X19150" s="24"/>
      <c r="Y19150" s="24"/>
      <c r="Z19150" s="24"/>
      <c r="AA19150" s="24"/>
    </row>
    <row r="19151">
      <c r="A19151" s="24"/>
      <c r="B19151" s="25"/>
      <c r="C19151" s="24"/>
      <c r="D19151" s="26"/>
      <c r="E19151" s="24"/>
      <c r="F19151" s="24"/>
      <c r="G19151" s="24"/>
      <c r="H19151" s="24"/>
      <c r="I19151" s="24"/>
      <c r="J19151" s="24"/>
      <c r="K19151" s="24"/>
      <c r="L19151" s="24"/>
      <c r="M19151" s="24"/>
      <c r="N19151" s="24"/>
      <c r="O19151" s="24"/>
      <c r="P19151" s="24"/>
      <c r="Q19151" s="24"/>
      <c r="R19151" s="24"/>
      <c r="S19151" s="24"/>
      <c r="T19151" s="24"/>
      <c r="U19151" s="24"/>
      <c r="V19151" s="24"/>
      <c r="W19151" s="24"/>
      <c r="X19151" s="24"/>
      <c r="Y19151" s="24"/>
      <c r="Z19151" s="24"/>
      <c r="AA19151" s="24"/>
    </row>
    <row r="19152">
      <c r="A19152" s="24"/>
      <c r="B19152" s="25"/>
      <c r="C19152" s="24"/>
      <c r="D19152" s="26"/>
      <c r="E19152" s="24"/>
      <c r="F19152" s="24"/>
      <c r="G19152" s="24"/>
      <c r="H19152" s="24"/>
      <c r="I19152" s="24"/>
      <c r="J19152" s="24"/>
      <c r="K19152" s="24"/>
      <c r="L19152" s="24"/>
      <c r="M19152" s="24"/>
      <c r="N19152" s="24"/>
      <c r="O19152" s="24"/>
      <c r="P19152" s="24"/>
      <c r="Q19152" s="24"/>
      <c r="R19152" s="24"/>
      <c r="S19152" s="24"/>
      <c r="T19152" s="24"/>
      <c r="U19152" s="24"/>
      <c r="V19152" s="24"/>
      <c r="W19152" s="24"/>
      <c r="X19152" s="24"/>
      <c r="Y19152" s="24"/>
      <c r="Z19152" s="24"/>
      <c r="AA19152" s="24"/>
    </row>
    <row r="19153">
      <c r="A19153" s="24"/>
      <c r="B19153" s="25"/>
      <c r="C19153" s="24"/>
      <c r="D19153" s="26"/>
      <c r="E19153" s="24"/>
      <c r="F19153" s="24"/>
      <c r="G19153" s="24"/>
      <c r="H19153" s="24"/>
      <c r="I19153" s="24"/>
      <c r="J19153" s="24"/>
      <c r="K19153" s="24"/>
      <c r="L19153" s="24"/>
      <c r="M19153" s="24"/>
      <c r="N19153" s="24"/>
      <c r="O19153" s="24"/>
      <c r="P19153" s="24"/>
      <c r="Q19153" s="24"/>
      <c r="R19153" s="24"/>
      <c r="S19153" s="24"/>
      <c r="T19153" s="24"/>
      <c r="U19153" s="24"/>
      <c r="V19153" s="24"/>
      <c r="W19153" s="24"/>
      <c r="X19153" s="24"/>
      <c r="Y19153" s="24"/>
      <c r="Z19153" s="24"/>
      <c r="AA19153" s="24"/>
    </row>
    <row r="19154">
      <c r="A19154" s="24"/>
      <c r="B19154" s="25"/>
      <c r="C19154" s="24"/>
      <c r="D19154" s="26"/>
      <c r="E19154" s="24"/>
      <c r="F19154" s="24"/>
      <c r="G19154" s="24"/>
      <c r="H19154" s="24"/>
      <c r="I19154" s="24"/>
      <c r="J19154" s="24"/>
      <c r="K19154" s="24"/>
      <c r="L19154" s="24"/>
      <c r="M19154" s="24"/>
      <c r="N19154" s="24"/>
      <c r="O19154" s="24"/>
      <c r="P19154" s="24"/>
      <c r="Q19154" s="24"/>
      <c r="R19154" s="24"/>
      <c r="S19154" s="24"/>
      <c r="T19154" s="24"/>
      <c r="U19154" s="24"/>
      <c r="V19154" s="24"/>
      <c r="W19154" s="24"/>
      <c r="X19154" s="24"/>
      <c r="Y19154" s="24"/>
      <c r="Z19154" s="24"/>
      <c r="AA19154" s="24"/>
    </row>
    <row r="19155">
      <c r="A19155" s="24"/>
      <c r="B19155" s="25"/>
      <c r="C19155" s="24"/>
      <c r="D19155" s="26"/>
      <c r="E19155" s="24"/>
      <c r="F19155" s="24"/>
      <c r="G19155" s="24"/>
      <c r="H19155" s="24"/>
      <c r="I19155" s="24"/>
      <c r="J19155" s="24"/>
      <c r="K19155" s="24"/>
      <c r="L19155" s="24"/>
      <c r="M19155" s="24"/>
      <c r="N19155" s="24"/>
      <c r="O19155" s="24"/>
      <c r="P19155" s="24"/>
      <c r="Q19155" s="24"/>
      <c r="R19155" s="24"/>
      <c r="S19155" s="24"/>
      <c r="T19155" s="24"/>
      <c r="U19155" s="24"/>
      <c r="V19155" s="24"/>
      <c r="W19155" s="24"/>
      <c r="X19155" s="24"/>
      <c r="Y19155" s="24"/>
      <c r="Z19155" s="24"/>
      <c r="AA19155" s="24"/>
    </row>
    <row r="19156">
      <c r="A19156" s="24"/>
      <c r="B19156" s="25"/>
      <c r="C19156" s="24"/>
      <c r="D19156" s="26"/>
      <c r="E19156" s="24"/>
      <c r="F19156" s="24"/>
      <c r="G19156" s="24"/>
      <c r="H19156" s="24"/>
      <c r="I19156" s="24"/>
      <c r="J19156" s="24"/>
      <c r="K19156" s="24"/>
      <c r="L19156" s="24"/>
      <c r="M19156" s="24"/>
      <c r="N19156" s="24"/>
      <c r="O19156" s="24"/>
      <c r="P19156" s="24"/>
      <c r="Q19156" s="24"/>
      <c r="R19156" s="24"/>
      <c r="S19156" s="24"/>
      <c r="T19156" s="24"/>
      <c r="U19156" s="24"/>
      <c r="V19156" s="24"/>
      <c r="W19156" s="24"/>
      <c r="X19156" s="24"/>
      <c r="Y19156" s="24"/>
      <c r="Z19156" s="24"/>
      <c r="AA19156" s="24"/>
    </row>
    <row r="19157">
      <c r="A19157" s="24"/>
      <c r="B19157" s="25"/>
      <c r="C19157" s="24"/>
      <c r="D19157" s="26"/>
      <c r="E19157" s="24"/>
      <c r="F19157" s="24"/>
      <c r="G19157" s="24"/>
      <c r="H19157" s="24"/>
      <c r="I19157" s="24"/>
      <c r="J19157" s="24"/>
      <c r="K19157" s="24"/>
      <c r="L19157" s="24"/>
      <c r="M19157" s="24"/>
      <c r="N19157" s="24"/>
      <c r="O19157" s="24"/>
      <c r="P19157" s="24"/>
      <c r="Q19157" s="24"/>
      <c r="R19157" s="24"/>
      <c r="S19157" s="24"/>
      <c r="T19157" s="24"/>
      <c r="U19157" s="24"/>
      <c r="V19157" s="24"/>
      <c r="W19157" s="24"/>
      <c r="X19157" s="24"/>
      <c r="Y19157" s="24"/>
      <c r="Z19157" s="24"/>
      <c r="AA19157" s="24"/>
    </row>
    <row r="19158">
      <c r="A19158" s="24"/>
      <c r="B19158" s="25"/>
      <c r="C19158" s="24"/>
      <c r="D19158" s="26"/>
      <c r="E19158" s="24"/>
      <c r="F19158" s="24"/>
      <c r="G19158" s="24"/>
      <c r="H19158" s="24"/>
      <c r="I19158" s="24"/>
      <c r="J19158" s="24"/>
      <c r="K19158" s="24"/>
      <c r="L19158" s="24"/>
      <c r="M19158" s="24"/>
      <c r="N19158" s="24"/>
      <c r="O19158" s="24"/>
      <c r="P19158" s="24"/>
      <c r="Q19158" s="24"/>
      <c r="R19158" s="24"/>
      <c r="S19158" s="24"/>
      <c r="T19158" s="24"/>
      <c r="U19158" s="24"/>
      <c r="V19158" s="24"/>
      <c r="W19158" s="24"/>
      <c r="X19158" s="24"/>
      <c r="Y19158" s="24"/>
      <c r="Z19158" s="24"/>
      <c r="AA19158" s="24"/>
    </row>
    <row r="19159">
      <c r="A19159" s="24"/>
      <c r="B19159" s="25"/>
      <c r="C19159" s="24"/>
      <c r="D19159" s="26"/>
      <c r="E19159" s="24"/>
      <c r="F19159" s="24"/>
      <c r="G19159" s="24"/>
      <c r="H19159" s="24"/>
      <c r="I19159" s="24"/>
      <c r="J19159" s="24"/>
      <c r="K19159" s="24"/>
      <c r="L19159" s="24"/>
      <c r="M19159" s="24"/>
      <c r="N19159" s="24"/>
      <c r="O19159" s="24"/>
      <c r="P19159" s="24"/>
      <c r="Q19159" s="24"/>
      <c r="R19159" s="24"/>
      <c r="S19159" s="24"/>
      <c r="T19159" s="24"/>
      <c r="U19159" s="24"/>
      <c r="V19159" s="24"/>
      <c r="W19159" s="24"/>
      <c r="X19159" s="24"/>
      <c r="Y19159" s="24"/>
      <c r="Z19159" s="24"/>
      <c r="AA19159" s="24"/>
    </row>
    <row r="19160">
      <c r="A19160" s="24"/>
      <c r="B19160" s="25"/>
      <c r="C19160" s="24"/>
      <c r="D19160" s="26"/>
      <c r="E19160" s="24"/>
      <c r="F19160" s="24"/>
      <c r="G19160" s="24"/>
      <c r="H19160" s="24"/>
      <c r="I19160" s="24"/>
      <c r="J19160" s="24"/>
      <c r="K19160" s="24"/>
      <c r="L19160" s="24"/>
      <c r="M19160" s="24"/>
      <c r="N19160" s="24"/>
      <c r="O19160" s="24"/>
      <c r="P19160" s="24"/>
      <c r="Q19160" s="24"/>
      <c r="R19160" s="24"/>
      <c r="S19160" s="24"/>
      <c r="T19160" s="24"/>
      <c r="U19160" s="24"/>
      <c r="V19160" s="24"/>
      <c r="W19160" s="24"/>
      <c r="X19160" s="24"/>
      <c r="Y19160" s="24"/>
      <c r="Z19160" s="24"/>
      <c r="AA19160" s="24"/>
    </row>
    <row r="19161">
      <c r="A19161" s="24"/>
      <c r="B19161" s="25"/>
      <c r="C19161" s="24"/>
      <c r="D19161" s="26"/>
      <c r="E19161" s="24"/>
      <c r="F19161" s="24"/>
      <c r="G19161" s="24"/>
      <c r="H19161" s="24"/>
      <c r="I19161" s="24"/>
      <c r="J19161" s="24"/>
      <c r="K19161" s="24"/>
      <c r="L19161" s="24"/>
      <c r="M19161" s="24"/>
      <c r="N19161" s="24"/>
      <c r="O19161" s="24"/>
      <c r="P19161" s="24"/>
      <c r="Q19161" s="24"/>
      <c r="R19161" s="24"/>
      <c r="S19161" s="24"/>
      <c r="T19161" s="24"/>
      <c r="U19161" s="24"/>
      <c r="V19161" s="24"/>
      <c r="W19161" s="24"/>
      <c r="X19161" s="24"/>
      <c r="Y19161" s="24"/>
      <c r="Z19161" s="24"/>
      <c r="AA19161" s="24"/>
    </row>
    <row r="19162">
      <c r="A19162" s="24"/>
      <c r="B19162" s="25"/>
      <c r="C19162" s="24"/>
      <c r="D19162" s="26"/>
      <c r="E19162" s="24"/>
      <c r="F19162" s="24"/>
      <c r="G19162" s="24"/>
      <c r="H19162" s="24"/>
      <c r="I19162" s="24"/>
      <c r="J19162" s="24"/>
      <c r="K19162" s="24"/>
      <c r="L19162" s="24"/>
      <c r="M19162" s="24"/>
      <c r="N19162" s="24"/>
      <c r="O19162" s="24"/>
      <c r="P19162" s="24"/>
      <c r="Q19162" s="24"/>
      <c r="R19162" s="24"/>
      <c r="S19162" s="24"/>
      <c r="T19162" s="24"/>
      <c r="U19162" s="24"/>
      <c r="V19162" s="24"/>
      <c r="W19162" s="24"/>
      <c r="X19162" s="24"/>
      <c r="Y19162" s="24"/>
      <c r="Z19162" s="24"/>
      <c r="AA19162" s="24"/>
    </row>
    <row r="19163">
      <c r="A19163" s="24"/>
      <c r="B19163" s="25"/>
      <c r="C19163" s="24"/>
      <c r="D19163" s="26"/>
      <c r="E19163" s="24"/>
      <c r="F19163" s="24"/>
      <c r="G19163" s="24"/>
      <c r="H19163" s="24"/>
      <c r="I19163" s="24"/>
      <c r="J19163" s="24"/>
      <c r="K19163" s="24"/>
      <c r="L19163" s="24"/>
      <c r="M19163" s="24"/>
      <c r="N19163" s="24"/>
      <c r="O19163" s="24"/>
      <c r="P19163" s="24"/>
      <c r="Q19163" s="24"/>
      <c r="R19163" s="24"/>
      <c r="S19163" s="24"/>
      <c r="T19163" s="24"/>
      <c r="U19163" s="24"/>
      <c r="V19163" s="24"/>
      <c r="W19163" s="24"/>
      <c r="X19163" s="24"/>
      <c r="Y19163" s="24"/>
      <c r="Z19163" s="24"/>
      <c r="AA19163" s="24"/>
    </row>
    <row r="19164">
      <c r="A19164" s="24"/>
      <c r="B19164" s="25"/>
      <c r="C19164" s="24"/>
      <c r="D19164" s="26"/>
      <c r="E19164" s="24"/>
      <c r="F19164" s="24"/>
      <c r="G19164" s="24"/>
      <c r="H19164" s="24"/>
      <c r="I19164" s="24"/>
      <c r="J19164" s="24"/>
      <c r="K19164" s="24"/>
      <c r="L19164" s="24"/>
      <c r="M19164" s="24"/>
      <c r="N19164" s="24"/>
      <c r="O19164" s="24"/>
      <c r="P19164" s="24"/>
      <c r="Q19164" s="24"/>
      <c r="R19164" s="24"/>
      <c r="S19164" s="24"/>
      <c r="T19164" s="24"/>
      <c r="U19164" s="24"/>
      <c r="V19164" s="24"/>
      <c r="W19164" s="24"/>
      <c r="X19164" s="24"/>
      <c r="Y19164" s="24"/>
      <c r="Z19164" s="24"/>
      <c r="AA19164" s="24"/>
    </row>
    <row r="19165">
      <c r="A19165" s="24"/>
      <c r="B19165" s="25"/>
      <c r="C19165" s="24"/>
      <c r="D19165" s="26"/>
      <c r="E19165" s="24"/>
      <c r="F19165" s="24"/>
      <c r="G19165" s="24"/>
      <c r="H19165" s="24"/>
      <c r="I19165" s="24"/>
      <c r="J19165" s="24"/>
      <c r="K19165" s="24"/>
      <c r="L19165" s="24"/>
      <c r="M19165" s="24"/>
      <c r="N19165" s="24"/>
      <c r="O19165" s="24"/>
      <c r="P19165" s="24"/>
      <c r="Q19165" s="24"/>
      <c r="R19165" s="24"/>
      <c r="S19165" s="24"/>
      <c r="T19165" s="24"/>
      <c r="U19165" s="24"/>
      <c r="V19165" s="24"/>
      <c r="W19165" s="24"/>
      <c r="X19165" s="24"/>
      <c r="Y19165" s="24"/>
      <c r="Z19165" s="24"/>
      <c r="AA19165" s="24"/>
    </row>
    <row r="19166">
      <c r="A19166" s="24"/>
      <c r="B19166" s="25"/>
      <c r="C19166" s="24"/>
      <c r="D19166" s="26"/>
      <c r="E19166" s="24"/>
      <c r="F19166" s="24"/>
      <c r="G19166" s="24"/>
      <c r="H19166" s="24"/>
      <c r="I19166" s="24"/>
      <c r="J19166" s="24"/>
      <c r="K19166" s="24"/>
      <c r="L19166" s="24"/>
      <c r="M19166" s="24"/>
      <c r="N19166" s="24"/>
      <c r="O19166" s="24"/>
      <c r="P19166" s="24"/>
      <c r="Q19166" s="24"/>
      <c r="R19166" s="24"/>
      <c r="S19166" s="24"/>
      <c r="T19166" s="24"/>
      <c r="U19166" s="24"/>
      <c r="V19166" s="24"/>
      <c r="W19166" s="24"/>
      <c r="X19166" s="24"/>
      <c r="Y19166" s="24"/>
      <c r="Z19166" s="24"/>
      <c r="AA19166" s="24"/>
    </row>
    <row r="19167">
      <c r="A19167" s="24"/>
      <c r="B19167" s="25"/>
      <c r="C19167" s="24"/>
      <c r="D19167" s="26"/>
      <c r="E19167" s="24"/>
      <c r="F19167" s="24"/>
      <c r="G19167" s="24"/>
      <c r="H19167" s="24"/>
      <c r="I19167" s="24"/>
      <c r="J19167" s="24"/>
      <c r="K19167" s="24"/>
      <c r="L19167" s="24"/>
      <c r="M19167" s="24"/>
      <c r="N19167" s="24"/>
      <c r="O19167" s="24"/>
      <c r="P19167" s="24"/>
      <c r="Q19167" s="24"/>
      <c r="R19167" s="24"/>
      <c r="S19167" s="24"/>
      <c r="T19167" s="24"/>
      <c r="U19167" s="24"/>
      <c r="V19167" s="24"/>
      <c r="W19167" s="24"/>
      <c r="X19167" s="24"/>
      <c r="Y19167" s="24"/>
      <c r="Z19167" s="24"/>
      <c r="AA19167" s="24"/>
    </row>
    <row r="19168">
      <c r="A19168" s="24"/>
      <c r="B19168" s="25"/>
      <c r="C19168" s="24"/>
      <c r="D19168" s="26"/>
      <c r="E19168" s="24"/>
      <c r="F19168" s="24"/>
      <c r="G19168" s="24"/>
      <c r="H19168" s="24"/>
      <c r="I19168" s="24"/>
      <c r="J19168" s="24"/>
      <c r="K19168" s="24"/>
      <c r="L19168" s="24"/>
      <c r="M19168" s="24"/>
      <c r="N19168" s="24"/>
      <c r="O19168" s="24"/>
      <c r="P19168" s="24"/>
      <c r="Q19168" s="24"/>
      <c r="R19168" s="24"/>
      <c r="S19168" s="24"/>
      <c r="T19168" s="24"/>
      <c r="U19168" s="24"/>
      <c r="V19168" s="24"/>
      <c r="W19168" s="24"/>
      <c r="X19168" s="24"/>
      <c r="Y19168" s="24"/>
      <c r="Z19168" s="24"/>
      <c r="AA19168" s="24"/>
    </row>
    <row r="19169">
      <c r="A19169" s="24"/>
      <c r="B19169" s="25"/>
      <c r="C19169" s="24"/>
      <c r="D19169" s="26"/>
      <c r="E19169" s="24"/>
      <c r="F19169" s="24"/>
      <c r="G19169" s="24"/>
      <c r="H19169" s="24"/>
      <c r="I19169" s="24"/>
      <c r="J19169" s="24"/>
      <c r="K19169" s="24"/>
      <c r="L19169" s="24"/>
      <c r="M19169" s="24"/>
      <c r="N19169" s="24"/>
      <c r="O19169" s="24"/>
      <c r="P19169" s="24"/>
      <c r="Q19169" s="24"/>
      <c r="R19169" s="24"/>
      <c r="S19169" s="24"/>
      <c r="T19169" s="24"/>
      <c r="U19169" s="24"/>
      <c r="V19169" s="24"/>
      <c r="W19169" s="24"/>
      <c r="X19169" s="24"/>
      <c r="Y19169" s="24"/>
      <c r="Z19169" s="24"/>
      <c r="AA19169" s="24"/>
    </row>
    <row r="19170">
      <c r="A19170" s="24"/>
      <c r="B19170" s="25"/>
      <c r="C19170" s="24"/>
      <c r="D19170" s="26"/>
      <c r="E19170" s="24"/>
      <c r="F19170" s="24"/>
      <c r="G19170" s="24"/>
      <c r="H19170" s="24"/>
      <c r="I19170" s="24"/>
      <c r="J19170" s="24"/>
      <c r="K19170" s="24"/>
      <c r="L19170" s="24"/>
      <c r="M19170" s="24"/>
      <c r="N19170" s="24"/>
      <c r="O19170" s="24"/>
      <c r="P19170" s="24"/>
      <c r="Q19170" s="24"/>
      <c r="R19170" s="24"/>
      <c r="S19170" s="24"/>
      <c r="T19170" s="24"/>
      <c r="U19170" s="24"/>
      <c r="V19170" s="24"/>
      <c r="W19170" s="24"/>
      <c r="X19170" s="24"/>
      <c r="Y19170" s="24"/>
      <c r="Z19170" s="24"/>
      <c r="AA19170" s="24"/>
    </row>
    <row r="19171">
      <c r="A19171" s="24"/>
      <c r="B19171" s="25"/>
      <c r="C19171" s="24"/>
      <c r="D19171" s="26"/>
      <c r="E19171" s="24"/>
      <c r="F19171" s="24"/>
      <c r="G19171" s="24"/>
      <c r="H19171" s="24"/>
      <c r="I19171" s="24"/>
      <c r="J19171" s="24"/>
      <c r="K19171" s="24"/>
      <c r="L19171" s="24"/>
      <c r="M19171" s="24"/>
      <c r="N19171" s="24"/>
      <c r="O19171" s="24"/>
      <c r="P19171" s="24"/>
      <c r="Q19171" s="24"/>
      <c r="R19171" s="24"/>
      <c r="S19171" s="24"/>
      <c r="T19171" s="24"/>
      <c r="U19171" s="24"/>
      <c r="V19171" s="24"/>
      <c r="W19171" s="24"/>
      <c r="X19171" s="24"/>
      <c r="Y19171" s="24"/>
      <c r="Z19171" s="24"/>
      <c r="AA19171" s="24"/>
    </row>
    <row r="19172">
      <c r="A19172" s="24"/>
      <c r="B19172" s="25"/>
      <c r="C19172" s="24"/>
      <c r="D19172" s="26"/>
      <c r="E19172" s="24"/>
      <c r="F19172" s="24"/>
      <c r="G19172" s="24"/>
      <c r="H19172" s="24"/>
      <c r="I19172" s="24"/>
      <c r="J19172" s="24"/>
      <c r="K19172" s="24"/>
      <c r="L19172" s="24"/>
      <c r="M19172" s="24"/>
      <c r="N19172" s="24"/>
      <c r="O19172" s="24"/>
      <c r="P19172" s="24"/>
      <c r="Q19172" s="24"/>
      <c r="R19172" s="24"/>
      <c r="S19172" s="24"/>
      <c r="T19172" s="24"/>
      <c r="U19172" s="24"/>
      <c r="V19172" s="24"/>
      <c r="W19172" s="24"/>
      <c r="X19172" s="24"/>
      <c r="Y19172" s="24"/>
      <c r="Z19172" s="24"/>
      <c r="AA19172" s="24"/>
    </row>
    <row r="19173">
      <c r="A19173" s="24"/>
      <c r="B19173" s="25"/>
      <c r="C19173" s="24"/>
      <c r="D19173" s="26"/>
      <c r="E19173" s="24"/>
      <c r="F19173" s="24"/>
      <c r="G19173" s="24"/>
      <c r="H19173" s="24"/>
      <c r="I19173" s="24"/>
      <c r="J19173" s="24"/>
      <c r="K19173" s="24"/>
      <c r="L19173" s="24"/>
      <c r="M19173" s="24"/>
      <c r="N19173" s="24"/>
      <c r="O19173" s="24"/>
      <c r="P19173" s="24"/>
      <c r="Q19173" s="24"/>
      <c r="R19173" s="24"/>
      <c r="S19173" s="24"/>
      <c r="T19173" s="24"/>
      <c r="U19173" s="24"/>
      <c r="V19173" s="24"/>
      <c r="W19173" s="24"/>
      <c r="X19173" s="24"/>
      <c r="Y19173" s="24"/>
      <c r="Z19173" s="24"/>
      <c r="AA19173" s="24"/>
    </row>
    <row r="19174">
      <c r="A19174" s="24"/>
      <c r="B19174" s="25"/>
      <c r="C19174" s="24"/>
      <c r="D19174" s="26"/>
      <c r="E19174" s="24"/>
      <c r="F19174" s="24"/>
      <c r="G19174" s="24"/>
      <c r="H19174" s="24"/>
      <c r="I19174" s="24"/>
      <c r="J19174" s="24"/>
      <c r="K19174" s="24"/>
      <c r="L19174" s="24"/>
      <c r="M19174" s="24"/>
      <c r="N19174" s="24"/>
      <c r="O19174" s="24"/>
      <c r="P19174" s="24"/>
      <c r="Q19174" s="24"/>
      <c r="R19174" s="24"/>
      <c r="S19174" s="24"/>
      <c r="T19174" s="24"/>
      <c r="U19174" s="24"/>
      <c r="V19174" s="24"/>
      <c r="W19174" s="24"/>
      <c r="X19174" s="24"/>
      <c r="Y19174" s="24"/>
      <c r="Z19174" s="24"/>
      <c r="AA19174" s="24"/>
    </row>
    <row r="19175">
      <c r="A19175" s="24"/>
      <c r="B19175" s="25"/>
      <c r="C19175" s="24"/>
      <c r="D19175" s="26"/>
      <c r="E19175" s="24"/>
      <c r="F19175" s="24"/>
      <c r="G19175" s="24"/>
      <c r="H19175" s="24"/>
      <c r="I19175" s="24"/>
      <c r="J19175" s="24"/>
      <c r="K19175" s="24"/>
      <c r="L19175" s="24"/>
      <c r="M19175" s="24"/>
      <c r="N19175" s="24"/>
      <c r="O19175" s="24"/>
      <c r="P19175" s="24"/>
      <c r="Q19175" s="24"/>
      <c r="R19175" s="24"/>
      <c r="S19175" s="24"/>
      <c r="T19175" s="24"/>
      <c r="U19175" s="24"/>
      <c r="V19175" s="24"/>
      <c r="W19175" s="24"/>
      <c r="X19175" s="24"/>
      <c r="Y19175" s="24"/>
      <c r="Z19175" s="24"/>
      <c r="AA19175" s="24"/>
    </row>
    <row r="19176">
      <c r="A19176" s="24"/>
      <c r="B19176" s="25"/>
      <c r="C19176" s="24"/>
      <c r="D19176" s="26"/>
      <c r="E19176" s="24"/>
      <c r="F19176" s="24"/>
      <c r="G19176" s="24"/>
      <c r="H19176" s="24"/>
      <c r="I19176" s="24"/>
      <c r="J19176" s="24"/>
      <c r="K19176" s="24"/>
      <c r="L19176" s="24"/>
      <c r="M19176" s="24"/>
      <c r="N19176" s="24"/>
      <c r="O19176" s="24"/>
      <c r="P19176" s="24"/>
      <c r="Q19176" s="24"/>
      <c r="R19176" s="24"/>
      <c r="S19176" s="24"/>
      <c r="T19176" s="24"/>
      <c r="U19176" s="24"/>
      <c r="V19176" s="24"/>
      <c r="W19176" s="24"/>
      <c r="X19176" s="24"/>
      <c r="Y19176" s="24"/>
      <c r="Z19176" s="24"/>
      <c r="AA19176" s="24"/>
    </row>
    <row r="19177">
      <c r="A19177" s="24"/>
      <c r="B19177" s="25"/>
      <c r="C19177" s="24"/>
      <c r="D19177" s="26"/>
      <c r="E19177" s="24"/>
      <c r="F19177" s="24"/>
      <c r="G19177" s="24"/>
      <c r="H19177" s="24"/>
      <c r="I19177" s="24"/>
      <c r="J19177" s="24"/>
      <c r="K19177" s="24"/>
      <c r="L19177" s="24"/>
      <c r="M19177" s="24"/>
      <c r="N19177" s="24"/>
      <c r="O19177" s="24"/>
      <c r="P19177" s="24"/>
      <c r="Q19177" s="24"/>
      <c r="R19177" s="24"/>
      <c r="S19177" s="24"/>
      <c r="T19177" s="24"/>
      <c r="U19177" s="24"/>
      <c r="V19177" s="24"/>
      <c r="W19177" s="24"/>
      <c r="X19177" s="24"/>
      <c r="Y19177" s="24"/>
      <c r="Z19177" s="24"/>
      <c r="AA19177" s="24"/>
    </row>
    <row r="19178">
      <c r="A19178" s="24"/>
      <c r="B19178" s="25"/>
      <c r="C19178" s="24"/>
      <c r="D19178" s="26"/>
      <c r="E19178" s="24"/>
      <c r="F19178" s="24"/>
      <c r="G19178" s="24"/>
      <c r="H19178" s="24"/>
      <c r="I19178" s="24"/>
      <c r="J19178" s="24"/>
      <c r="K19178" s="24"/>
      <c r="L19178" s="24"/>
      <c r="M19178" s="24"/>
      <c r="N19178" s="24"/>
      <c r="O19178" s="24"/>
      <c r="P19178" s="24"/>
      <c r="Q19178" s="24"/>
      <c r="R19178" s="24"/>
      <c r="S19178" s="24"/>
      <c r="T19178" s="24"/>
      <c r="U19178" s="24"/>
      <c r="V19178" s="24"/>
      <c r="W19178" s="24"/>
      <c r="X19178" s="24"/>
      <c r="Y19178" s="24"/>
      <c r="Z19178" s="24"/>
      <c r="AA19178" s="24"/>
    </row>
    <row r="19179">
      <c r="A19179" s="24"/>
      <c r="B19179" s="25"/>
      <c r="C19179" s="24"/>
      <c r="D19179" s="26"/>
      <c r="E19179" s="24"/>
      <c r="F19179" s="24"/>
      <c r="G19179" s="24"/>
      <c r="H19179" s="24"/>
      <c r="I19179" s="24"/>
      <c r="J19179" s="24"/>
      <c r="K19179" s="24"/>
      <c r="L19179" s="24"/>
      <c r="M19179" s="24"/>
      <c r="N19179" s="24"/>
      <c r="O19179" s="24"/>
      <c r="P19179" s="24"/>
      <c r="Q19179" s="24"/>
      <c r="R19179" s="24"/>
      <c r="S19179" s="24"/>
      <c r="T19179" s="24"/>
      <c r="U19179" s="24"/>
      <c r="V19179" s="24"/>
      <c r="W19179" s="24"/>
      <c r="X19179" s="24"/>
      <c r="Y19179" s="24"/>
      <c r="Z19179" s="24"/>
      <c r="AA19179" s="24"/>
    </row>
    <row r="19180">
      <c r="A19180" s="24"/>
      <c r="B19180" s="25"/>
      <c r="C19180" s="24"/>
      <c r="D19180" s="26"/>
      <c r="E19180" s="24"/>
      <c r="F19180" s="24"/>
      <c r="G19180" s="24"/>
      <c r="H19180" s="24"/>
      <c r="I19180" s="24"/>
      <c r="J19180" s="24"/>
      <c r="K19180" s="24"/>
      <c r="L19180" s="24"/>
      <c r="M19180" s="24"/>
      <c r="N19180" s="24"/>
      <c r="O19180" s="24"/>
      <c r="P19180" s="24"/>
      <c r="Q19180" s="24"/>
      <c r="R19180" s="24"/>
      <c r="S19180" s="24"/>
      <c r="T19180" s="24"/>
      <c r="U19180" s="24"/>
      <c r="V19180" s="24"/>
      <c r="W19180" s="24"/>
      <c r="X19180" s="24"/>
      <c r="Y19180" s="24"/>
      <c r="Z19180" s="24"/>
      <c r="AA19180" s="24"/>
    </row>
    <row r="19181">
      <c r="A19181" s="24"/>
      <c r="B19181" s="25"/>
      <c r="C19181" s="24"/>
      <c r="D19181" s="26"/>
      <c r="E19181" s="24"/>
      <c r="F19181" s="24"/>
      <c r="G19181" s="24"/>
      <c r="H19181" s="24"/>
      <c r="I19181" s="24"/>
      <c r="J19181" s="24"/>
      <c r="K19181" s="24"/>
      <c r="L19181" s="24"/>
      <c r="M19181" s="24"/>
      <c r="N19181" s="24"/>
      <c r="O19181" s="24"/>
      <c r="P19181" s="24"/>
      <c r="Q19181" s="24"/>
      <c r="R19181" s="24"/>
      <c r="S19181" s="24"/>
      <c r="T19181" s="24"/>
      <c r="U19181" s="24"/>
      <c r="V19181" s="24"/>
      <c r="W19181" s="24"/>
      <c r="X19181" s="24"/>
      <c r="Y19181" s="24"/>
      <c r="Z19181" s="24"/>
      <c r="AA19181" s="24"/>
    </row>
    <row r="19182">
      <c r="A19182" s="24"/>
      <c r="B19182" s="25"/>
      <c r="C19182" s="24"/>
      <c r="D19182" s="26"/>
      <c r="E19182" s="24"/>
      <c r="F19182" s="24"/>
      <c r="G19182" s="24"/>
      <c r="H19182" s="24"/>
      <c r="I19182" s="24"/>
      <c r="J19182" s="24"/>
      <c r="K19182" s="24"/>
      <c r="L19182" s="24"/>
      <c r="M19182" s="24"/>
      <c r="N19182" s="24"/>
      <c r="O19182" s="24"/>
      <c r="P19182" s="24"/>
      <c r="Q19182" s="24"/>
      <c r="R19182" s="24"/>
      <c r="S19182" s="24"/>
      <c r="T19182" s="24"/>
      <c r="U19182" s="24"/>
      <c r="V19182" s="24"/>
      <c r="W19182" s="24"/>
      <c r="X19182" s="24"/>
      <c r="Y19182" s="24"/>
      <c r="Z19182" s="24"/>
      <c r="AA19182" s="24"/>
    </row>
    <row r="19183">
      <c r="A19183" s="24"/>
      <c r="B19183" s="25"/>
      <c r="C19183" s="24"/>
      <c r="D19183" s="26"/>
      <c r="E19183" s="24"/>
      <c r="F19183" s="24"/>
      <c r="G19183" s="24"/>
      <c r="H19183" s="24"/>
      <c r="I19183" s="24"/>
      <c r="J19183" s="24"/>
      <c r="K19183" s="24"/>
      <c r="L19183" s="24"/>
      <c r="M19183" s="24"/>
      <c r="N19183" s="24"/>
      <c r="O19183" s="24"/>
      <c r="P19183" s="24"/>
      <c r="Q19183" s="24"/>
      <c r="R19183" s="24"/>
      <c r="S19183" s="24"/>
      <c r="T19183" s="24"/>
      <c r="U19183" s="24"/>
      <c r="V19183" s="24"/>
      <c r="W19183" s="24"/>
      <c r="X19183" s="24"/>
      <c r="Y19183" s="24"/>
      <c r="Z19183" s="24"/>
      <c r="AA19183" s="24"/>
    </row>
    <row r="19184">
      <c r="A19184" s="24"/>
      <c r="B19184" s="25"/>
      <c r="C19184" s="24"/>
      <c r="D19184" s="26"/>
      <c r="E19184" s="24"/>
      <c r="F19184" s="24"/>
      <c r="G19184" s="24"/>
      <c r="H19184" s="24"/>
      <c r="I19184" s="24"/>
      <c r="J19184" s="24"/>
      <c r="K19184" s="24"/>
      <c r="L19184" s="24"/>
      <c r="M19184" s="24"/>
      <c r="N19184" s="24"/>
      <c r="O19184" s="24"/>
      <c r="P19184" s="24"/>
      <c r="Q19184" s="24"/>
      <c r="R19184" s="24"/>
      <c r="S19184" s="24"/>
      <c r="T19184" s="24"/>
      <c r="U19184" s="24"/>
      <c r="V19184" s="24"/>
      <c r="W19184" s="24"/>
      <c r="X19184" s="24"/>
      <c r="Y19184" s="24"/>
      <c r="Z19184" s="24"/>
      <c r="AA19184" s="24"/>
    </row>
    <row r="19185">
      <c r="A19185" s="24"/>
      <c r="B19185" s="25"/>
      <c r="C19185" s="24"/>
      <c r="D19185" s="26"/>
      <c r="E19185" s="24"/>
      <c r="F19185" s="24"/>
      <c r="G19185" s="24"/>
      <c r="H19185" s="24"/>
      <c r="I19185" s="24"/>
      <c r="J19185" s="24"/>
      <c r="K19185" s="24"/>
      <c r="L19185" s="24"/>
      <c r="M19185" s="24"/>
      <c r="N19185" s="24"/>
      <c r="O19185" s="24"/>
      <c r="P19185" s="24"/>
      <c r="Q19185" s="24"/>
      <c r="R19185" s="24"/>
      <c r="S19185" s="24"/>
      <c r="T19185" s="24"/>
      <c r="U19185" s="24"/>
      <c r="V19185" s="24"/>
      <c r="W19185" s="24"/>
      <c r="X19185" s="24"/>
      <c r="Y19185" s="24"/>
      <c r="Z19185" s="24"/>
      <c r="AA19185" s="24"/>
    </row>
    <row r="19186">
      <c r="A19186" s="24"/>
      <c r="B19186" s="25"/>
      <c r="C19186" s="24"/>
      <c r="D19186" s="26"/>
      <c r="E19186" s="24"/>
      <c r="F19186" s="24"/>
      <c r="G19186" s="24"/>
      <c r="H19186" s="24"/>
      <c r="I19186" s="24"/>
      <c r="J19186" s="24"/>
      <c r="K19186" s="24"/>
      <c r="L19186" s="24"/>
      <c r="M19186" s="24"/>
      <c r="N19186" s="24"/>
      <c r="O19186" s="24"/>
      <c r="P19186" s="24"/>
      <c r="Q19186" s="24"/>
      <c r="R19186" s="24"/>
      <c r="S19186" s="24"/>
      <c r="T19186" s="24"/>
      <c r="U19186" s="24"/>
      <c r="V19186" s="24"/>
      <c r="W19186" s="24"/>
      <c r="X19186" s="24"/>
      <c r="Y19186" s="24"/>
      <c r="Z19186" s="24"/>
      <c r="AA19186" s="24"/>
    </row>
    <row r="19187">
      <c r="A19187" s="24"/>
      <c r="B19187" s="25"/>
      <c r="C19187" s="24"/>
      <c r="D19187" s="26"/>
      <c r="E19187" s="24"/>
      <c r="F19187" s="24"/>
      <c r="G19187" s="24"/>
      <c r="H19187" s="24"/>
      <c r="I19187" s="24"/>
      <c r="J19187" s="24"/>
      <c r="K19187" s="24"/>
      <c r="L19187" s="24"/>
      <c r="M19187" s="24"/>
      <c r="N19187" s="24"/>
      <c r="O19187" s="24"/>
      <c r="P19187" s="24"/>
      <c r="Q19187" s="24"/>
      <c r="R19187" s="24"/>
      <c r="S19187" s="24"/>
      <c r="T19187" s="24"/>
      <c r="U19187" s="24"/>
      <c r="V19187" s="24"/>
      <c r="W19187" s="24"/>
      <c r="X19187" s="24"/>
      <c r="Y19187" s="24"/>
      <c r="Z19187" s="24"/>
      <c r="AA19187" s="24"/>
    </row>
    <row r="19188">
      <c r="A19188" s="24"/>
      <c r="B19188" s="25"/>
      <c r="C19188" s="24"/>
      <c r="D19188" s="26"/>
      <c r="E19188" s="24"/>
      <c r="F19188" s="24"/>
      <c r="G19188" s="24"/>
      <c r="H19188" s="24"/>
      <c r="I19188" s="24"/>
      <c r="J19188" s="24"/>
      <c r="K19188" s="24"/>
      <c r="L19188" s="24"/>
      <c r="M19188" s="24"/>
      <c r="N19188" s="24"/>
      <c r="O19188" s="24"/>
      <c r="P19188" s="24"/>
      <c r="Q19188" s="24"/>
      <c r="R19188" s="24"/>
      <c r="S19188" s="24"/>
      <c r="T19188" s="24"/>
      <c r="U19188" s="24"/>
      <c r="V19188" s="24"/>
      <c r="W19188" s="24"/>
      <c r="X19188" s="24"/>
      <c r="Y19188" s="24"/>
      <c r="Z19188" s="24"/>
      <c r="AA19188" s="24"/>
    </row>
    <row r="19189">
      <c r="A19189" s="24"/>
      <c r="B19189" s="25"/>
      <c r="C19189" s="24"/>
      <c r="D19189" s="26"/>
      <c r="E19189" s="24"/>
      <c r="F19189" s="24"/>
      <c r="G19189" s="24"/>
      <c r="H19189" s="24"/>
      <c r="I19189" s="24"/>
      <c r="J19189" s="24"/>
      <c r="K19189" s="24"/>
      <c r="L19189" s="24"/>
      <c r="M19189" s="24"/>
      <c r="N19189" s="24"/>
      <c r="O19189" s="24"/>
      <c r="P19189" s="24"/>
      <c r="Q19189" s="24"/>
      <c r="R19189" s="24"/>
      <c r="S19189" s="24"/>
      <c r="T19189" s="24"/>
      <c r="U19189" s="24"/>
      <c r="V19189" s="24"/>
      <c r="W19189" s="24"/>
      <c r="X19189" s="24"/>
      <c r="Y19189" s="24"/>
      <c r="Z19189" s="24"/>
      <c r="AA19189" s="24"/>
    </row>
    <row r="19190">
      <c r="A19190" s="24"/>
      <c r="B19190" s="25"/>
      <c r="C19190" s="24"/>
      <c r="D19190" s="26"/>
      <c r="E19190" s="24"/>
      <c r="F19190" s="24"/>
      <c r="G19190" s="24"/>
      <c r="H19190" s="24"/>
      <c r="I19190" s="24"/>
      <c r="J19190" s="24"/>
      <c r="K19190" s="24"/>
      <c r="L19190" s="24"/>
      <c r="M19190" s="24"/>
      <c r="N19190" s="24"/>
      <c r="O19190" s="24"/>
      <c r="P19190" s="24"/>
      <c r="Q19190" s="24"/>
      <c r="R19190" s="24"/>
      <c r="S19190" s="24"/>
      <c r="T19190" s="24"/>
      <c r="U19190" s="24"/>
      <c r="V19190" s="24"/>
      <c r="W19190" s="24"/>
      <c r="X19190" s="24"/>
      <c r="Y19190" s="24"/>
      <c r="Z19190" s="24"/>
      <c r="AA19190" s="24"/>
    </row>
    <row r="19191">
      <c r="A19191" s="24"/>
      <c r="B19191" s="25"/>
      <c r="C19191" s="24"/>
      <c r="D19191" s="26"/>
      <c r="E19191" s="24"/>
      <c r="F19191" s="24"/>
      <c r="G19191" s="24"/>
      <c r="H19191" s="24"/>
      <c r="I19191" s="24"/>
      <c r="J19191" s="24"/>
      <c r="K19191" s="24"/>
      <c r="L19191" s="24"/>
      <c r="M19191" s="24"/>
      <c r="N19191" s="24"/>
      <c r="O19191" s="24"/>
      <c r="P19191" s="24"/>
      <c r="Q19191" s="24"/>
      <c r="R19191" s="24"/>
      <c r="S19191" s="24"/>
      <c r="T19191" s="24"/>
      <c r="U19191" s="24"/>
      <c r="V19191" s="24"/>
      <c r="W19191" s="24"/>
      <c r="X19191" s="24"/>
      <c r="Y19191" s="24"/>
      <c r="Z19191" s="24"/>
      <c r="AA19191" s="24"/>
    </row>
    <row r="19192">
      <c r="A19192" s="24"/>
      <c r="B19192" s="25"/>
      <c r="C19192" s="24"/>
      <c r="D19192" s="26"/>
      <c r="E19192" s="24"/>
      <c r="F19192" s="24"/>
      <c r="G19192" s="24"/>
      <c r="H19192" s="24"/>
      <c r="I19192" s="24"/>
      <c r="J19192" s="24"/>
      <c r="K19192" s="24"/>
      <c r="L19192" s="24"/>
      <c r="M19192" s="24"/>
      <c r="N19192" s="24"/>
      <c r="O19192" s="24"/>
      <c r="P19192" s="24"/>
      <c r="Q19192" s="24"/>
      <c r="R19192" s="24"/>
      <c r="S19192" s="24"/>
      <c r="T19192" s="24"/>
      <c r="U19192" s="24"/>
      <c r="V19192" s="24"/>
      <c r="W19192" s="24"/>
      <c r="X19192" s="24"/>
      <c r="Y19192" s="24"/>
      <c r="Z19192" s="24"/>
      <c r="AA19192" s="24"/>
    </row>
    <row r="19193">
      <c r="A19193" s="24"/>
      <c r="B19193" s="25"/>
      <c r="C19193" s="24"/>
      <c r="D19193" s="26"/>
      <c r="E19193" s="24"/>
      <c r="F19193" s="24"/>
      <c r="G19193" s="24"/>
      <c r="H19193" s="24"/>
      <c r="I19193" s="24"/>
      <c r="J19193" s="24"/>
      <c r="K19193" s="24"/>
      <c r="L19193" s="24"/>
      <c r="M19193" s="24"/>
      <c r="N19193" s="24"/>
      <c r="O19193" s="24"/>
      <c r="P19193" s="24"/>
      <c r="Q19193" s="24"/>
      <c r="R19193" s="24"/>
      <c r="S19193" s="24"/>
      <c r="T19193" s="24"/>
      <c r="U19193" s="24"/>
      <c r="V19193" s="24"/>
      <c r="W19193" s="24"/>
      <c r="X19193" s="24"/>
      <c r="Y19193" s="24"/>
      <c r="Z19193" s="24"/>
      <c r="AA19193" s="24"/>
    </row>
    <row r="19194">
      <c r="A19194" s="24"/>
      <c r="B19194" s="25"/>
      <c r="C19194" s="24"/>
      <c r="D19194" s="26"/>
      <c r="E19194" s="24"/>
      <c r="F19194" s="24"/>
      <c r="G19194" s="24"/>
      <c r="H19194" s="24"/>
      <c r="I19194" s="24"/>
      <c r="J19194" s="24"/>
      <c r="K19194" s="24"/>
      <c r="L19194" s="24"/>
      <c r="M19194" s="24"/>
      <c r="N19194" s="24"/>
      <c r="O19194" s="24"/>
      <c r="P19194" s="24"/>
      <c r="Q19194" s="24"/>
      <c r="R19194" s="24"/>
      <c r="S19194" s="24"/>
      <c r="T19194" s="24"/>
      <c r="U19194" s="24"/>
      <c r="V19194" s="24"/>
      <c r="W19194" s="24"/>
      <c r="X19194" s="24"/>
      <c r="Y19194" s="24"/>
      <c r="Z19194" s="24"/>
      <c r="AA19194" s="24"/>
    </row>
    <row r="19195">
      <c r="A19195" s="24"/>
      <c r="B19195" s="25"/>
      <c r="C19195" s="24"/>
      <c r="D19195" s="26"/>
      <c r="E19195" s="24"/>
      <c r="F19195" s="24"/>
      <c r="G19195" s="24"/>
      <c r="H19195" s="24"/>
      <c r="I19195" s="24"/>
      <c r="J19195" s="24"/>
      <c r="K19195" s="24"/>
      <c r="L19195" s="24"/>
      <c r="M19195" s="24"/>
      <c r="N19195" s="24"/>
      <c r="O19195" s="24"/>
      <c r="P19195" s="24"/>
      <c r="Q19195" s="24"/>
      <c r="R19195" s="24"/>
      <c r="S19195" s="24"/>
      <c r="T19195" s="24"/>
      <c r="U19195" s="24"/>
      <c r="V19195" s="24"/>
      <c r="W19195" s="24"/>
      <c r="X19195" s="24"/>
      <c r="Y19195" s="24"/>
      <c r="Z19195" s="24"/>
      <c r="AA19195" s="24"/>
    </row>
    <row r="19196">
      <c r="A19196" s="24"/>
      <c r="B19196" s="25"/>
      <c r="C19196" s="24"/>
      <c r="D19196" s="26"/>
      <c r="E19196" s="24"/>
      <c r="F19196" s="24"/>
      <c r="G19196" s="24"/>
      <c r="H19196" s="24"/>
      <c r="I19196" s="24"/>
      <c r="J19196" s="24"/>
      <c r="K19196" s="24"/>
      <c r="L19196" s="24"/>
      <c r="M19196" s="24"/>
      <c r="N19196" s="24"/>
      <c r="O19196" s="24"/>
      <c r="P19196" s="24"/>
      <c r="Q19196" s="24"/>
      <c r="R19196" s="24"/>
      <c r="S19196" s="24"/>
      <c r="T19196" s="24"/>
      <c r="U19196" s="24"/>
      <c r="V19196" s="24"/>
      <c r="W19196" s="24"/>
      <c r="X19196" s="24"/>
      <c r="Y19196" s="24"/>
      <c r="Z19196" s="24"/>
      <c r="AA19196" s="24"/>
    </row>
    <row r="19197">
      <c r="A19197" s="24"/>
      <c r="B19197" s="25"/>
      <c r="C19197" s="24"/>
      <c r="D19197" s="26"/>
      <c r="E19197" s="24"/>
      <c r="F19197" s="24"/>
      <c r="G19197" s="24"/>
      <c r="H19197" s="24"/>
      <c r="I19197" s="24"/>
      <c r="J19197" s="24"/>
      <c r="K19197" s="24"/>
      <c r="L19197" s="24"/>
      <c r="M19197" s="24"/>
      <c r="N19197" s="24"/>
      <c r="O19197" s="24"/>
      <c r="P19197" s="24"/>
      <c r="Q19197" s="24"/>
      <c r="R19197" s="24"/>
      <c r="S19197" s="24"/>
      <c r="T19197" s="24"/>
      <c r="U19197" s="24"/>
      <c r="V19197" s="24"/>
      <c r="W19197" s="24"/>
      <c r="X19197" s="24"/>
      <c r="Y19197" s="24"/>
      <c r="Z19197" s="24"/>
      <c r="AA19197" s="24"/>
    </row>
    <row r="19198">
      <c r="A19198" s="24"/>
      <c r="B19198" s="25"/>
      <c r="C19198" s="24"/>
      <c r="D19198" s="26"/>
      <c r="E19198" s="24"/>
      <c r="F19198" s="24"/>
      <c r="G19198" s="24"/>
      <c r="H19198" s="24"/>
      <c r="I19198" s="24"/>
      <c r="J19198" s="24"/>
      <c r="K19198" s="24"/>
      <c r="L19198" s="24"/>
      <c r="M19198" s="24"/>
      <c r="N19198" s="24"/>
      <c r="O19198" s="24"/>
      <c r="P19198" s="24"/>
      <c r="Q19198" s="24"/>
      <c r="R19198" s="24"/>
      <c r="S19198" s="24"/>
      <c r="T19198" s="24"/>
      <c r="U19198" s="24"/>
      <c r="V19198" s="24"/>
      <c r="W19198" s="24"/>
      <c r="X19198" s="24"/>
      <c r="Y19198" s="24"/>
      <c r="Z19198" s="24"/>
      <c r="AA19198" s="24"/>
    </row>
    <row r="19199">
      <c r="A19199" s="24"/>
      <c r="B19199" s="25"/>
      <c r="C19199" s="24"/>
      <c r="D19199" s="26"/>
      <c r="E19199" s="24"/>
      <c r="F19199" s="24"/>
      <c r="G19199" s="24"/>
      <c r="H19199" s="24"/>
      <c r="I19199" s="24"/>
      <c r="J19199" s="24"/>
      <c r="K19199" s="24"/>
      <c r="L19199" s="24"/>
      <c r="M19199" s="24"/>
      <c r="N19199" s="24"/>
      <c r="O19199" s="24"/>
      <c r="P19199" s="24"/>
      <c r="Q19199" s="24"/>
      <c r="R19199" s="24"/>
      <c r="S19199" s="24"/>
      <c r="T19199" s="24"/>
      <c r="U19199" s="24"/>
      <c r="V19199" s="24"/>
      <c r="W19199" s="24"/>
      <c r="X19199" s="24"/>
      <c r="Y19199" s="24"/>
      <c r="Z19199" s="24"/>
      <c r="AA19199" s="24"/>
    </row>
    <row r="19200">
      <c r="A19200" s="24"/>
      <c r="B19200" s="25"/>
      <c r="C19200" s="24"/>
      <c r="D19200" s="26"/>
      <c r="E19200" s="24"/>
      <c r="F19200" s="24"/>
      <c r="G19200" s="24"/>
      <c r="H19200" s="24"/>
      <c r="I19200" s="24"/>
      <c r="J19200" s="24"/>
      <c r="K19200" s="24"/>
      <c r="L19200" s="24"/>
      <c r="M19200" s="24"/>
      <c r="N19200" s="24"/>
      <c r="O19200" s="24"/>
      <c r="P19200" s="24"/>
      <c r="Q19200" s="24"/>
      <c r="R19200" s="24"/>
      <c r="S19200" s="24"/>
      <c r="T19200" s="24"/>
      <c r="U19200" s="24"/>
      <c r="V19200" s="24"/>
      <c r="W19200" s="24"/>
      <c r="X19200" s="24"/>
      <c r="Y19200" s="24"/>
      <c r="Z19200" s="24"/>
      <c r="AA19200" s="24"/>
    </row>
    <row r="19201">
      <c r="A19201" s="24"/>
      <c r="B19201" s="25"/>
      <c r="C19201" s="24"/>
      <c r="D19201" s="26"/>
      <c r="E19201" s="24"/>
      <c r="F19201" s="24"/>
      <c r="G19201" s="24"/>
      <c r="H19201" s="24"/>
      <c r="I19201" s="24"/>
      <c r="J19201" s="24"/>
      <c r="K19201" s="24"/>
      <c r="L19201" s="24"/>
      <c r="M19201" s="24"/>
      <c r="N19201" s="24"/>
      <c r="O19201" s="24"/>
      <c r="P19201" s="24"/>
      <c r="Q19201" s="24"/>
      <c r="R19201" s="24"/>
      <c r="S19201" s="24"/>
      <c r="T19201" s="24"/>
      <c r="U19201" s="24"/>
      <c r="V19201" s="24"/>
      <c r="W19201" s="24"/>
      <c r="X19201" s="24"/>
      <c r="Y19201" s="24"/>
      <c r="Z19201" s="24"/>
      <c r="AA19201" s="24"/>
    </row>
    <row r="19202">
      <c r="A19202" s="24"/>
      <c r="B19202" s="25"/>
      <c r="C19202" s="24"/>
      <c r="D19202" s="26"/>
      <c r="E19202" s="24"/>
      <c r="F19202" s="24"/>
      <c r="G19202" s="24"/>
      <c r="H19202" s="24"/>
      <c r="I19202" s="24"/>
      <c r="J19202" s="24"/>
      <c r="K19202" s="24"/>
      <c r="L19202" s="24"/>
      <c r="M19202" s="24"/>
      <c r="N19202" s="24"/>
      <c r="O19202" s="24"/>
      <c r="P19202" s="24"/>
      <c r="Q19202" s="24"/>
      <c r="R19202" s="24"/>
      <c r="S19202" s="24"/>
      <c r="T19202" s="24"/>
      <c r="U19202" s="24"/>
      <c r="V19202" s="24"/>
      <c r="W19202" s="24"/>
      <c r="X19202" s="24"/>
      <c r="Y19202" s="24"/>
      <c r="Z19202" s="24"/>
      <c r="AA19202" s="24"/>
    </row>
    <row r="19203">
      <c r="A19203" s="24"/>
      <c r="B19203" s="25"/>
      <c r="C19203" s="24"/>
      <c r="D19203" s="26"/>
      <c r="E19203" s="24"/>
      <c r="F19203" s="24"/>
      <c r="G19203" s="24"/>
      <c r="H19203" s="24"/>
      <c r="I19203" s="24"/>
      <c r="J19203" s="24"/>
      <c r="K19203" s="24"/>
      <c r="L19203" s="24"/>
      <c r="M19203" s="24"/>
      <c r="N19203" s="24"/>
      <c r="O19203" s="24"/>
      <c r="P19203" s="24"/>
      <c r="Q19203" s="24"/>
      <c r="R19203" s="24"/>
      <c r="S19203" s="24"/>
      <c r="T19203" s="24"/>
      <c r="U19203" s="24"/>
      <c r="V19203" s="24"/>
      <c r="W19203" s="24"/>
      <c r="X19203" s="24"/>
      <c r="Y19203" s="24"/>
      <c r="Z19203" s="24"/>
      <c r="AA19203" s="24"/>
    </row>
    <row r="19204">
      <c r="A19204" s="24"/>
      <c r="B19204" s="25"/>
      <c r="C19204" s="24"/>
      <c r="D19204" s="26"/>
      <c r="E19204" s="24"/>
      <c r="F19204" s="24"/>
      <c r="G19204" s="24"/>
      <c r="H19204" s="24"/>
      <c r="I19204" s="24"/>
      <c r="J19204" s="24"/>
      <c r="K19204" s="24"/>
      <c r="L19204" s="24"/>
      <c r="M19204" s="24"/>
      <c r="N19204" s="24"/>
      <c r="O19204" s="24"/>
      <c r="P19204" s="24"/>
      <c r="Q19204" s="24"/>
      <c r="R19204" s="24"/>
      <c r="S19204" s="24"/>
      <c r="T19204" s="24"/>
      <c r="U19204" s="24"/>
      <c r="V19204" s="24"/>
      <c r="W19204" s="24"/>
      <c r="X19204" s="24"/>
      <c r="Y19204" s="24"/>
      <c r="Z19204" s="24"/>
      <c r="AA19204" s="24"/>
    </row>
    <row r="19205">
      <c r="A19205" s="24"/>
      <c r="B19205" s="25"/>
      <c r="C19205" s="24"/>
      <c r="D19205" s="26"/>
      <c r="E19205" s="24"/>
      <c r="F19205" s="24"/>
      <c r="G19205" s="24"/>
      <c r="H19205" s="24"/>
      <c r="I19205" s="24"/>
      <c r="J19205" s="24"/>
      <c r="K19205" s="24"/>
      <c r="L19205" s="24"/>
      <c r="M19205" s="24"/>
      <c r="N19205" s="24"/>
      <c r="O19205" s="24"/>
      <c r="P19205" s="24"/>
      <c r="Q19205" s="24"/>
      <c r="R19205" s="24"/>
      <c r="S19205" s="24"/>
      <c r="T19205" s="24"/>
      <c r="U19205" s="24"/>
      <c r="V19205" s="24"/>
      <c r="W19205" s="24"/>
      <c r="X19205" s="24"/>
      <c r="Y19205" s="24"/>
      <c r="Z19205" s="24"/>
      <c r="AA19205" s="24"/>
    </row>
    <row r="19206">
      <c r="A19206" s="24"/>
      <c r="B19206" s="25"/>
      <c r="C19206" s="24"/>
      <c r="D19206" s="26"/>
      <c r="E19206" s="24"/>
      <c r="F19206" s="24"/>
      <c r="G19206" s="24"/>
      <c r="H19206" s="24"/>
      <c r="I19206" s="24"/>
      <c r="J19206" s="24"/>
      <c r="K19206" s="24"/>
      <c r="L19206" s="24"/>
      <c r="M19206" s="24"/>
      <c r="N19206" s="24"/>
      <c r="O19206" s="24"/>
      <c r="P19206" s="24"/>
      <c r="Q19206" s="24"/>
      <c r="R19206" s="24"/>
      <c r="S19206" s="24"/>
      <c r="T19206" s="24"/>
      <c r="U19206" s="24"/>
      <c r="V19206" s="24"/>
      <c r="W19206" s="24"/>
      <c r="X19206" s="24"/>
      <c r="Y19206" s="24"/>
      <c r="Z19206" s="24"/>
      <c r="AA19206" s="24"/>
    </row>
    <row r="19207">
      <c r="A19207" s="24"/>
      <c r="B19207" s="25"/>
      <c r="C19207" s="24"/>
      <c r="D19207" s="26"/>
      <c r="E19207" s="24"/>
      <c r="F19207" s="24"/>
      <c r="G19207" s="24"/>
      <c r="H19207" s="24"/>
      <c r="I19207" s="24"/>
      <c r="J19207" s="24"/>
      <c r="K19207" s="24"/>
      <c r="L19207" s="24"/>
      <c r="M19207" s="24"/>
      <c r="N19207" s="24"/>
      <c r="O19207" s="24"/>
      <c r="P19207" s="24"/>
      <c r="Q19207" s="24"/>
      <c r="R19207" s="24"/>
      <c r="S19207" s="24"/>
      <c r="T19207" s="24"/>
      <c r="U19207" s="24"/>
      <c r="V19207" s="24"/>
      <c r="W19207" s="24"/>
      <c r="X19207" s="24"/>
      <c r="Y19207" s="24"/>
      <c r="Z19207" s="24"/>
      <c r="AA19207" s="24"/>
    </row>
    <row r="19208">
      <c r="A19208" s="24"/>
      <c r="B19208" s="25"/>
      <c r="C19208" s="24"/>
      <c r="D19208" s="26"/>
      <c r="E19208" s="24"/>
      <c r="F19208" s="24"/>
      <c r="G19208" s="24"/>
      <c r="H19208" s="24"/>
      <c r="I19208" s="24"/>
      <c r="J19208" s="24"/>
      <c r="K19208" s="24"/>
      <c r="L19208" s="24"/>
      <c r="M19208" s="24"/>
      <c r="N19208" s="24"/>
      <c r="O19208" s="24"/>
      <c r="P19208" s="24"/>
      <c r="Q19208" s="24"/>
      <c r="R19208" s="24"/>
      <c r="S19208" s="24"/>
      <c r="T19208" s="24"/>
      <c r="U19208" s="24"/>
      <c r="V19208" s="24"/>
      <c r="W19208" s="24"/>
      <c r="X19208" s="24"/>
      <c r="Y19208" s="24"/>
      <c r="Z19208" s="24"/>
      <c r="AA19208" s="24"/>
    </row>
    <row r="19209">
      <c r="A19209" s="24"/>
      <c r="B19209" s="25"/>
      <c r="C19209" s="24"/>
      <c r="D19209" s="26"/>
      <c r="E19209" s="24"/>
      <c r="F19209" s="24"/>
      <c r="G19209" s="24"/>
      <c r="H19209" s="24"/>
      <c r="I19209" s="24"/>
      <c r="J19209" s="24"/>
      <c r="K19209" s="24"/>
      <c r="L19209" s="24"/>
      <c r="M19209" s="24"/>
      <c r="N19209" s="24"/>
      <c r="O19209" s="24"/>
      <c r="P19209" s="24"/>
      <c r="Q19209" s="24"/>
      <c r="R19209" s="24"/>
      <c r="S19209" s="24"/>
      <c r="T19209" s="24"/>
      <c r="U19209" s="24"/>
      <c r="V19209" s="24"/>
      <c r="W19209" s="24"/>
      <c r="X19209" s="24"/>
      <c r="Y19209" s="24"/>
      <c r="Z19209" s="24"/>
      <c r="AA19209" s="24"/>
    </row>
    <row r="19210">
      <c r="A19210" s="24"/>
      <c r="B19210" s="25"/>
      <c r="C19210" s="24"/>
      <c r="D19210" s="26"/>
      <c r="E19210" s="24"/>
      <c r="F19210" s="24"/>
      <c r="G19210" s="24"/>
      <c r="H19210" s="24"/>
      <c r="I19210" s="24"/>
      <c r="J19210" s="24"/>
      <c r="K19210" s="24"/>
      <c r="L19210" s="24"/>
      <c r="M19210" s="24"/>
      <c r="N19210" s="24"/>
      <c r="O19210" s="24"/>
      <c r="P19210" s="24"/>
      <c r="Q19210" s="24"/>
      <c r="R19210" s="24"/>
      <c r="S19210" s="24"/>
      <c r="T19210" s="24"/>
      <c r="U19210" s="24"/>
      <c r="V19210" s="24"/>
      <c r="W19210" s="24"/>
      <c r="X19210" s="24"/>
      <c r="Y19210" s="24"/>
      <c r="Z19210" s="24"/>
      <c r="AA19210" s="24"/>
    </row>
    <row r="19211">
      <c r="A19211" s="24"/>
      <c r="B19211" s="25"/>
      <c r="C19211" s="24"/>
      <c r="D19211" s="26"/>
      <c r="E19211" s="24"/>
      <c r="F19211" s="24"/>
      <c r="G19211" s="24"/>
      <c r="H19211" s="24"/>
      <c r="I19211" s="24"/>
      <c r="J19211" s="24"/>
      <c r="K19211" s="24"/>
      <c r="L19211" s="24"/>
      <c r="M19211" s="24"/>
      <c r="N19211" s="24"/>
      <c r="O19211" s="24"/>
      <c r="P19211" s="24"/>
      <c r="Q19211" s="24"/>
      <c r="R19211" s="24"/>
      <c r="S19211" s="24"/>
      <c r="T19211" s="24"/>
      <c r="U19211" s="24"/>
      <c r="V19211" s="24"/>
      <c r="W19211" s="24"/>
      <c r="X19211" s="24"/>
      <c r="Y19211" s="24"/>
      <c r="Z19211" s="24"/>
      <c r="AA19211" s="24"/>
    </row>
    <row r="19212">
      <c r="A19212" s="24"/>
      <c r="B19212" s="25"/>
      <c r="C19212" s="24"/>
      <c r="D19212" s="26"/>
      <c r="E19212" s="24"/>
      <c r="F19212" s="24"/>
      <c r="G19212" s="24"/>
      <c r="H19212" s="24"/>
      <c r="I19212" s="24"/>
      <c r="J19212" s="24"/>
      <c r="K19212" s="24"/>
      <c r="L19212" s="24"/>
      <c r="M19212" s="24"/>
      <c r="N19212" s="24"/>
      <c r="O19212" s="24"/>
      <c r="P19212" s="24"/>
      <c r="Q19212" s="24"/>
      <c r="R19212" s="24"/>
      <c r="S19212" s="24"/>
      <c r="T19212" s="24"/>
      <c r="U19212" s="24"/>
      <c r="V19212" s="24"/>
      <c r="W19212" s="24"/>
      <c r="X19212" s="24"/>
      <c r="Y19212" s="24"/>
      <c r="Z19212" s="24"/>
      <c r="AA19212" s="24"/>
    </row>
    <row r="19213">
      <c r="A19213" s="24"/>
      <c r="B19213" s="25"/>
      <c r="C19213" s="24"/>
      <c r="D19213" s="26"/>
      <c r="E19213" s="24"/>
      <c r="F19213" s="24"/>
      <c r="G19213" s="24"/>
      <c r="H19213" s="24"/>
      <c r="I19213" s="24"/>
      <c r="J19213" s="24"/>
      <c r="K19213" s="24"/>
      <c r="L19213" s="24"/>
      <c r="M19213" s="24"/>
      <c r="N19213" s="24"/>
      <c r="O19213" s="24"/>
      <c r="P19213" s="24"/>
      <c r="Q19213" s="24"/>
      <c r="R19213" s="24"/>
      <c r="S19213" s="24"/>
      <c r="T19213" s="24"/>
      <c r="U19213" s="24"/>
      <c r="V19213" s="24"/>
      <c r="W19213" s="24"/>
      <c r="X19213" s="24"/>
      <c r="Y19213" s="24"/>
      <c r="Z19213" s="24"/>
      <c r="AA19213" s="24"/>
    </row>
    <row r="19214">
      <c r="A19214" s="24"/>
      <c r="B19214" s="25"/>
      <c r="C19214" s="24"/>
      <c r="D19214" s="26"/>
      <c r="E19214" s="24"/>
      <c r="F19214" s="24"/>
      <c r="G19214" s="24"/>
      <c r="H19214" s="24"/>
      <c r="I19214" s="24"/>
      <c r="J19214" s="24"/>
      <c r="K19214" s="24"/>
      <c r="L19214" s="24"/>
      <c r="M19214" s="24"/>
      <c r="N19214" s="24"/>
      <c r="O19214" s="24"/>
      <c r="P19214" s="24"/>
      <c r="Q19214" s="24"/>
      <c r="R19214" s="24"/>
      <c r="S19214" s="24"/>
      <c r="T19214" s="24"/>
      <c r="U19214" s="24"/>
      <c r="V19214" s="24"/>
      <c r="W19214" s="24"/>
      <c r="X19214" s="24"/>
      <c r="Y19214" s="24"/>
      <c r="Z19214" s="24"/>
      <c r="AA19214" s="24"/>
    </row>
    <row r="19215">
      <c r="A19215" s="24"/>
      <c r="B19215" s="25"/>
      <c r="C19215" s="24"/>
      <c r="D19215" s="26"/>
      <c r="E19215" s="24"/>
      <c r="F19215" s="24"/>
      <c r="G19215" s="24"/>
      <c r="H19215" s="24"/>
      <c r="I19215" s="24"/>
      <c r="J19215" s="24"/>
      <c r="K19215" s="24"/>
      <c r="L19215" s="24"/>
      <c r="M19215" s="24"/>
      <c r="N19215" s="24"/>
      <c r="O19215" s="24"/>
      <c r="P19215" s="24"/>
      <c r="Q19215" s="24"/>
      <c r="R19215" s="24"/>
      <c r="S19215" s="24"/>
      <c r="T19215" s="24"/>
      <c r="U19215" s="24"/>
      <c r="V19215" s="24"/>
      <c r="W19215" s="24"/>
      <c r="X19215" s="24"/>
      <c r="Y19215" s="24"/>
      <c r="Z19215" s="24"/>
      <c r="AA19215" s="24"/>
    </row>
    <row r="19216">
      <c r="A19216" s="24"/>
      <c r="B19216" s="25"/>
      <c r="C19216" s="24"/>
      <c r="D19216" s="26"/>
      <c r="E19216" s="24"/>
      <c r="F19216" s="24"/>
      <c r="G19216" s="24"/>
      <c r="H19216" s="24"/>
      <c r="I19216" s="24"/>
      <c r="J19216" s="24"/>
      <c r="K19216" s="24"/>
      <c r="L19216" s="24"/>
      <c r="M19216" s="24"/>
      <c r="N19216" s="24"/>
      <c r="O19216" s="24"/>
      <c r="P19216" s="24"/>
      <c r="Q19216" s="24"/>
      <c r="R19216" s="24"/>
      <c r="S19216" s="24"/>
      <c r="T19216" s="24"/>
      <c r="U19216" s="24"/>
      <c r="V19216" s="24"/>
      <c r="W19216" s="24"/>
      <c r="X19216" s="24"/>
      <c r="Y19216" s="24"/>
      <c r="Z19216" s="24"/>
      <c r="AA19216" s="24"/>
    </row>
    <row r="19217">
      <c r="A19217" s="24"/>
      <c r="B19217" s="25"/>
      <c r="C19217" s="24"/>
      <c r="D19217" s="26"/>
      <c r="E19217" s="24"/>
      <c r="F19217" s="24"/>
      <c r="G19217" s="24"/>
      <c r="H19217" s="24"/>
      <c r="I19217" s="24"/>
      <c r="J19217" s="24"/>
      <c r="K19217" s="24"/>
      <c r="L19217" s="24"/>
      <c r="M19217" s="24"/>
      <c r="N19217" s="24"/>
      <c r="O19217" s="24"/>
      <c r="P19217" s="24"/>
      <c r="Q19217" s="24"/>
      <c r="R19217" s="24"/>
      <c r="S19217" s="24"/>
      <c r="T19217" s="24"/>
      <c r="U19217" s="24"/>
      <c r="V19217" s="24"/>
      <c r="W19217" s="24"/>
      <c r="X19217" s="24"/>
      <c r="Y19217" s="24"/>
      <c r="Z19217" s="24"/>
      <c r="AA19217" s="24"/>
    </row>
    <row r="19218">
      <c r="A19218" s="24"/>
      <c r="B19218" s="25"/>
      <c r="C19218" s="24"/>
      <c r="D19218" s="26"/>
      <c r="E19218" s="24"/>
      <c r="F19218" s="24"/>
      <c r="G19218" s="24"/>
      <c r="H19218" s="24"/>
      <c r="I19218" s="24"/>
      <c r="J19218" s="24"/>
      <c r="K19218" s="24"/>
      <c r="L19218" s="24"/>
      <c r="M19218" s="24"/>
      <c r="N19218" s="24"/>
      <c r="O19218" s="24"/>
      <c r="P19218" s="24"/>
      <c r="Q19218" s="24"/>
      <c r="R19218" s="24"/>
      <c r="S19218" s="24"/>
      <c r="T19218" s="24"/>
      <c r="U19218" s="24"/>
      <c r="V19218" s="24"/>
      <c r="W19218" s="24"/>
      <c r="X19218" s="24"/>
      <c r="Y19218" s="24"/>
      <c r="Z19218" s="24"/>
      <c r="AA19218" s="24"/>
    </row>
    <row r="19219">
      <c r="A19219" s="24"/>
      <c r="B19219" s="25"/>
      <c r="C19219" s="24"/>
      <c r="D19219" s="26"/>
      <c r="E19219" s="24"/>
      <c r="F19219" s="24"/>
      <c r="G19219" s="24"/>
      <c r="H19219" s="24"/>
      <c r="I19219" s="24"/>
      <c r="J19219" s="24"/>
      <c r="K19219" s="24"/>
      <c r="L19219" s="24"/>
      <c r="M19219" s="24"/>
      <c r="N19219" s="24"/>
      <c r="O19219" s="24"/>
      <c r="P19219" s="24"/>
      <c r="Q19219" s="24"/>
      <c r="R19219" s="24"/>
      <c r="S19219" s="24"/>
      <c r="T19219" s="24"/>
      <c r="U19219" s="24"/>
      <c r="V19219" s="24"/>
      <c r="W19219" s="24"/>
      <c r="X19219" s="24"/>
      <c r="Y19219" s="24"/>
      <c r="Z19219" s="24"/>
      <c r="AA19219" s="24"/>
    </row>
    <row r="19220">
      <c r="A19220" s="24"/>
      <c r="B19220" s="25"/>
      <c r="C19220" s="24"/>
      <c r="D19220" s="26"/>
      <c r="E19220" s="24"/>
      <c r="F19220" s="24"/>
      <c r="G19220" s="24"/>
      <c r="H19220" s="24"/>
      <c r="I19220" s="24"/>
      <c r="J19220" s="24"/>
      <c r="K19220" s="24"/>
      <c r="L19220" s="24"/>
      <c r="M19220" s="24"/>
      <c r="N19220" s="24"/>
      <c r="O19220" s="24"/>
      <c r="P19220" s="24"/>
      <c r="Q19220" s="24"/>
      <c r="R19220" s="24"/>
      <c r="S19220" s="24"/>
      <c r="T19220" s="24"/>
      <c r="U19220" s="24"/>
      <c r="V19220" s="24"/>
      <c r="W19220" s="24"/>
      <c r="X19220" s="24"/>
      <c r="Y19220" s="24"/>
      <c r="Z19220" s="24"/>
      <c r="AA19220" s="24"/>
    </row>
    <row r="19221">
      <c r="A19221" s="24"/>
      <c r="B19221" s="25"/>
      <c r="C19221" s="24"/>
      <c r="D19221" s="26"/>
      <c r="E19221" s="24"/>
      <c r="F19221" s="24"/>
      <c r="G19221" s="24"/>
      <c r="H19221" s="24"/>
      <c r="I19221" s="24"/>
      <c r="J19221" s="24"/>
      <c r="K19221" s="24"/>
      <c r="L19221" s="24"/>
      <c r="M19221" s="24"/>
      <c r="N19221" s="24"/>
      <c r="O19221" s="24"/>
      <c r="P19221" s="24"/>
      <c r="Q19221" s="24"/>
      <c r="R19221" s="24"/>
      <c r="S19221" s="24"/>
      <c r="T19221" s="24"/>
      <c r="U19221" s="24"/>
      <c r="V19221" s="24"/>
      <c r="W19221" s="24"/>
      <c r="X19221" s="24"/>
      <c r="Y19221" s="24"/>
      <c r="Z19221" s="24"/>
      <c r="AA19221" s="24"/>
    </row>
    <row r="19222">
      <c r="A19222" s="24"/>
      <c r="B19222" s="25"/>
      <c r="C19222" s="24"/>
      <c r="D19222" s="26"/>
      <c r="E19222" s="24"/>
      <c r="F19222" s="24"/>
      <c r="G19222" s="24"/>
      <c r="H19222" s="24"/>
      <c r="I19222" s="24"/>
      <c r="J19222" s="24"/>
      <c r="K19222" s="24"/>
      <c r="L19222" s="24"/>
      <c r="M19222" s="24"/>
      <c r="N19222" s="24"/>
      <c r="O19222" s="24"/>
      <c r="P19222" s="24"/>
      <c r="Q19222" s="24"/>
      <c r="R19222" s="24"/>
      <c r="S19222" s="24"/>
      <c r="T19222" s="24"/>
      <c r="U19222" s="24"/>
      <c r="V19222" s="24"/>
      <c r="W19222" s="24"/>
      <c r="X19222" s="24"/>
      <c r="Y19222" s="24"/>
      <c r="Z19222" s="24"/>
      <c r="AA19222" s="24"/>
    </row>
    <row r="19223">
      <c r="A19223" s="24"/>
      <c r="B19223" s="25"/>
      <c r="C19223" s="24"/>
      <c r="D19223" s="26"/>
      <c r="E19223" s="24"/>
      <c r="F19223" s="24"/>
      <c r="G19223" s="24"/>
      <c r="H19223" s="24"/>
      <c r="I19223" s="24"/>
      <c r="J19223" s="24"/>
      <c r="K19223" s="24"/>
      <c r="L19223" s="24"/>
      <c r="M19223" s="24"/>
      <c r="N19223" s="24"/>
      <c r="O19223" s="24"/>
      <c r="P19223" s="24"/>
      <c r="Q19223" s="24"/>
      <c r="R19223" s="24"/>
      <c r="S19223" s="24"/>
      <c r="T19223" s="24"/>
      <c r="U19223" s="24"/>
      <c r="V19223" s="24"/>
      <c r="W19223" s="24"/>
      <c r="X19223" s="24"/>
      <c r="Y19223" s="24"/>
      <c r="Z19223" s="24"/>
      <c r="AA19223" s="24"/>
    </row>
    <row r="19224">
      <c r="A19224" s="24"/>
      <c r="B19224" s="25"/>
      <c r="C19224" s="24"/>
      <c r="D19224" s="26"/>
      <c r="E19224" s="24"/>
      <c r="F19224" s="24"/>
      <c r="G19224" s="24"/>
      <c r="H19224" s="24"/>
      <c r="I19224" s="24"/>
      <c r="J19224" s="24"/>
      <c r="K19224" s="24"/>
      <c r="L19224" s="24"/>
      <c r="M19224" s="24"/>
      <c r="N19224" s="24"/>
      <c r="O19224" s="24"/>
      <c r="P19224" s="24"/>
      <c r="Q19224" s="24"/>
      <c r="R19224" s="24"/>
      <c r="S19224" s="24"/>
      <c r="T19224" s="24"/>
      <c r="U19224" s="24"/>
      <c r="V19224" s="24"/>
      <c r="W19224" s="24"/>
      <c r="X19224" s="24"/>
      <c r="Y19224" s="24"/>
      <c r="Z19224" s="24"/>
      <c r="AA19224" s="24"/>
    </row>
    <row r="19225">
      <c r="A19225" s="24"/>
      <c r="B19225" s="25"/>
      <c r="C19225" s="24"/>
      <c r="D19225" s="26"/>
      <c r="E19225" s="24"/>
      <c r="F19225" s="24"/>
      <c r="G19225" s="24"/>
      <c r="H19225" s="24"/>
      <c r="I19225" s="24"/>
      <c r="J19225" s="24"/>
      <c r="K19225" s="24"/>
      <c r="L19225" s="24"/>
      <c r="M19225" s="24"/>
      <c r="N19225" s="24"/>
      <c r="O19225" s="24"/>
      <c r="P19225" s="24"/>
      <c r="Q19225" s="24"/>
      <c r="R19225" s="24"/>
      <c r="S19225" s="24"/>
      <c r="T19225" s="24"/>
      <c r="U19225" s="24"/>
      <c r="V19225" s="24"/>
      <c r="W19225" s="24"/>
      <c r="X19225" s="24"/>
      <c r="Y19225" s="24"/>
      <c r="Z19225" s="24"/>
      <c r="AA19225" s="24"/>
    </row>
    <row r="19226">
      <c r="A19226" s="24"/>
      <c r="B19226" s="25"/>
      <c r="C19226" s="24"/>
      <c r="D19226" s="26"/>
      <c r="E19226" s="24"/>
      <c r="F19226" s="24"/>
      <c r="G19226" s="24"/>
      <c r="H19226" s="24"/>
      <c r="I19226" s="24"/>
      <c r="J19226" s="24"/>
      <c r="K19226" s="24"/>
      <c r="L19226" s="24"/>
      <c r="M19226" s="24"/>
      <c r="N19226" s="24"/>
      <c r="O19226" s="24"/>
      <c r="P19226" s="24"/>
      <c r="Q19226" s="24"/>
      <c r="R19226" s="24"/>
      <c r="S19226" s="24"/>
      <c r="T19226" s="24"/>
      <c r="U19226" s="24"/>
      <c r="V19226" s="24"/>
      <c r="W19226" s="24"/>
      <c r="X19226" s="24"/>
      <c r="Y19226" s="24"/>
      <c r="Z19226" s="24"/>
      <c r="AA19226" s="24"/>
    </row>
    <row r="19227">
      <c r="A19227" s="24"/>
      <c r="B19227" s="25"/>
      <c r="C19227" s="24"/>
      <c r="D19227" s="26"/>
      <c r="E19227" s="24"/>
      <c r="F19227" s="24"/>
      <c r="G19227" s="24"/>
      <c r="H19227" s="24"/>
      <c r="I19227" s="24"/>
      <c r="J19227" s="24"/>
      <c r="K19227" s="24"/>
      <c r="L19227" s="24"/>
      <c r="M19227" s="24"/>
      <c r="N19227" s="24"/>
      <c r="O19227" s="24"/>
      <c r="P19227" s="24"/>
      <c r="Q19227" s="24"/>
      <c r="R19227" s="24"/>
      <c r="S19227" s="24"/>
      <c r="T19227" s="24"/>
      <c r="U19227" s="24"/>
      <c r="V19227" s="24"/>
      <c r="W19227" s="24"/>
      <c r="X19227" s="24"/>
      <c r="Y19227" s="24"/>
      <c r="Z19227" s="24"/>
      <c r="AA19227" s="24"/>
    </row>
    <row r="19228">
      <c r="A19228" s="24"/>
      <c r="B19228" s="25"/>
      <c r="C19228" s="24"/>
      <c r="D19228" s="26"/>
      <c r="E19228" s="24"/>
      <c r="F19228" s="24"/>
      <c r="G19228" s="24"/>
      <c r="H19228" s="24"/>
      <c r="I19228" s="24"/>
      <c r="J19228" s="24"/>
      <c r="K19228" s="24"/>
      <c r="L19228" s="24"/>
      <c r="M19228" s="24"/>
      <c r="N19228" s="24"/>
      <c r="O19228" s="24"/>
      <c r="P19228" s="24"/>
      <c r="Q19228" s="24"/>
      <c r="R19228" s="24"/>
      <c r="S19228" s="24"/>
      <c r="T19228" s="24"/>
      <c r="U19228" s="24"/>
      <c r="V19228" s="24"/>
      <c r="W19228" s="24"/>
      <c r="X19228" s="24"/>
      <c r="Y19228" s="24"/>
      <c r="Z19228" s="24"/>
      <c r="AA19228" s="24"/>
    </row>
    <row r="19229">
      <c r="A19229" s="24"/>
      <c r="B19229" s="25"/>
      <c r="C19229" s="24"/>
      <c r="D19229" s="26"/>
      <c r="E19229" s="24"/>
      <c r="F19229" s="24"/>
      <c r="G19229" s="24"/>
      <c r="H19229" s="24"/>
      <c r="I19229" s="24"/>
      <c r="J19229" s="24"/>
      <c r="K19229" s="24"/>
      <c r="L19229" s="24"/>
      <c r="M19229" s="24"/>
      <c r="N19229" s="24"/>
      <c r="O19229" s="24"/>
      <c r="P19229" s="24"/>
      <c r="Q19229" s="24"/>
      <c r="R19229" s="24"/>
      <c r="S19229" s="24"/>
      <c r="T19229" s="24"/>
      <c r="U19229" s="24"/>
      <c r="V19229" s="24"/>
      <c r="W19229" s="24"/>
      <c r="X19229" s="24"/>
      <c r="Y19229" s="24"/>
      <c r="Z19229" s="24"/>
      <c r="AA19229" s="24"/>
    </row>
    <row r="19230">
      <c r="A19230" s="24"/>
      <c r="B19230" s="25"/>
      <c r="C19230" s="24"/>
      <c r="D19230" s="26"/>
      <c r="E19230" s="24"/>
      <c r="F19230" s="24"/>
      <c r="G19230" s="24"/>
      <c r="H19230" s="24"/>
      <c r="I19230" s="24"/>
      <c r="J19230" s="24"/>
      <c r="K19230" s="24"/>
      <c r="L19230" s="24"/>
      <c r="M19230" s="24"/>
      <c r="N19230" s="24"/>
      <c r="O19230" s="24"/>
      <c r="P19230" s="24"/>
      <c r="Q19230" s="24"/>
      <c r="R19230" s="24"/>
      <c r="S19230" s="24"/>
      <c r="T19230" s="24"/>
      <c r="U19230" s="24"/>
      <c r="V19230" s="24"/>
      <c r="W19230" s="24"/>
      <c r="X19230" s="24"/>
      <c r="Y19230" s="24"/>
      <c r="Z19230" s="24"/>
      <c r="AA19230" s="24"/>
    </row>
    <row r="19231">
      <c r="A19231" s="24"/>
      <c r="B19231" s="25"/>
      <c r="C19231" s="24"/>
      <c r="D19231" s="26"/>
      <c r="E19231" s="24"/>
      <c r="F19231" s="24"/>
      <c r="G19231" s="24"/>
      <c r="H19231" s="24"/>
      <c r="I19231" s="24"/>
      <c r="J19231" s="24"/>
      <c r="K19231" s="24"/>
      <c r="L19231" s="24"/>
      <c r="M19231" s="24"/>
      <c r="N19231" s="24"/>
      <c r="O19231" s="24"/>
      <c r="P19231" s="24"/>
      <c r="Q19231" s="24"/>
      <c r="R19231" s="24"/>
      <c r="S19231" s="24"/>
      <c r="T19231" s="24"/>
      <c r="U19231" s="24"/>
      <c r="V19231" s="24"/>
      <c r="W19231" s="24"/>
      <c r="X19231" s="24"/>
      <c r="Y19231" s="24"/>
      <c r="Z19231" s="24"/>
      <c r="AA19231" s="24"/>
    </row>
    <row r="19232">
      <c r="A19232" s="24"/>
      <c r="B19232" s="25"/>
      <c r="C19232" s="24"/>
      <c r="D19232" s="26"/>
      <c r="E19232" s="24"/>
      <c r="F19232" s="24"/>
      <c r="G19232" s="24"/>
      <c r="H19232" s="24"/>
      <c r="I19232" s="24"/>
      <c r="J19232" s="24"/>
      <c r="K19232" s="24"/>
      <c r="L19232" s="24"/>
      <c r="M19232" s="24"/>
      <c r="N19232" s="24"/>
      <c r="O19232" s="24"/>
      <c r="P19232" s="24"/>
      <c r="Q19232" s="24"/>
      <c r="R19232" s="24"/>
      <c r="S19232" s="24"/>
      <c r="T19232" s="24"/>
      <c r="U19232" s="24"/>
      <c r="V19232" s="24"/>
      <c r="W19232" s="24"/>
      <c r="X19232" s="24"/>
      <c r="Y19232" s="24"/>
      <c r="Z19232" s="24"/>
      <c r="AA19232" s="24"/>
    </row>
    <row r="19233">
      <c r="A19233" s="24"/>
      <c r="B19233" s="25"/>
      <c r="C19233" s="24"/>
      <c r="D19233" s="26"/>
      <c r="E19233" s="24"/>
      <c r="F19233" s="24"/>
      <c r="G19233" s="24"/>
      <c r="H19233" s="24"/>
      <c r="I19233" s="24"/>
      <c r="J19233" s="24"/>
      <c r="K19233" s="24"/>
      <c r="L19233" s="24"/>
      <c r="M19233" s="24"/>
      <c r="N19233" s="24"/>
      <c r="O19233" s="24"/>
      <c r="P19233" s="24"/>
      <c r="Q19233" s="24"/>
      <c r="R19233" s="24"/>
      <c r="S19233" s="24"/>
      <c r="T19233" s="24"/>
      <c r="U19233" s="24"/>
      <c r="V19233" s="24"/>
      <c r="W19233" s="24"/>
      <c r="X19233" s="24"/>
      <c r="Y19233" s="24"/>
      <c r="Z19233" s="24"/>
      <c r="AA19233" s="24"/>
    </row>
    <row r="19234">
      <c r="A19234" s="24"/>
      <c r="B19234" s="25"/>
      <c r="C19234" s="24"/>
      <c r="D19234" s="26"/>
      <c r="E19234" s="24"/>
      <c r="F19234" s="24"/>
      <c r="G19234" s="24"/>
      <c r="H19234" s="24"/>
      <c r="I19234" s="24"/>
      <c r="J19234" s="24"/>
      <c r="K19234" s="24"/>
      <c r="L19234" s="24"/>
      <c r="M19234" s="24"/>
      <c r="N19234" s="24"/>
      <c r="O19234" s="24"/>
      <c r="P19234" s="24"/>
      <c r="Q19234" s="24"/>
      <c r="R19234" s="24"/>
      <c r="S19234" s="24"/>
      <c r="T19234" s="24"/>
      <c r="U19234" s="24"/>
      <c r="V19234" s="24"/>
      <c r="W19234" s="24"/>
      <c r="X19234" s="24"/>
      <c r="Y19234" s="24"/>
      <c r="Z19234" s="24"/>
      <c r="AA19234" s="24"/>
    </row>
    <row r="19235">
      <c r="A19235" s="24"/>
      <c r="B19235" s="25"/>
      <c r="C19235" s="24"/>
      <c r="D19235" s="26"/>
      <c r="E19235" s="24"/>
      <c r="F19235" s="24"/>
      <c r="G19235" s="24"/>
      <c r="H19235" s="24"/>
      <c r="I19235" s="24"/>
      <c r="J19235" s="24"/>
      <c r="K19235" s="24"/>
      <c r="L19235" s="24"/>
      <c r="M19235" s="24"/>
      <c r="N19235" s="24"/>
      <c r="O19235" s="24"/>
      <c r="P19235" s="24"/>
      <c r="Q19235" s="24"/>
      <c r="R19235" s="24"/>
      <c r="S19235" s="24"/>
      <c r="T19235" s="24"/>
      <c r="U19235" s="24"/>
      <c r="V19235" s="24"/>
      <c r="W19235" s="24"/>
      <c r="X19235" s="24"/>
      <c r="Y19235" s="24"/>
      <c r="Z19235" s="24"/>
      <c r="AA19235" s="24"/>
    </row>
    <row r="19236">
      <c r="A19236" s="24"/>
      <c r="B19236" s="25"/>
      <c r="C19236" s="24"/>
      <c r="D19236" s="26"/>
      <c r="E19236" s="24"/>
      <c r="F19236" s="24"/>
      <c r="G19236" s="24"/>
      <c r="H19236" s="24"/>
      <c r="I19236" s="24"/>
      <c r="J19236" s="24"/>
      <c r="K19236" s="24"/>
      <c r="L19236" s="24"/>
      <c r="M19236" s="24"/>
      <c r="N19236" s="24"/>
      <c r="O19236" s="24"/>
      <c r="P19236" s="24"/>
      <c r="Q19236" s="24"/>
      <c r="R19236" s="24"/>
      <c r="S19236" s="24"/>
      <c r="T19236" s="24"/>
      <c r="U19236" s="24"/>
      <c r="V19236" s="24"/>
      <c r="W19236" s="24"/>
      <c r="X19236" s="24"/>
      <c r="Y19236" s="24"/>
      <c r="Z19236" s="24"/>
      <c r="AA19236" s="24"/>
    </row>
    <row r="19237">
      <c r="A19237" s="24"/>
      <c r="B19237" s="25"/>
      <c r="C19237" s="24"/>
      <c r="D19237" s="26"/>
      <c r="E19237" s="24"/>
      <c r="F19237" s="24"/>
      <c r="G19237" s="24"/>
      <c r="H19237" s="24"/>
      <c r="I19237" s="24"/>
      <c r="J19237" s="24"/>
      <c r="K19237" s="24"/>
      <c r="L19237" s="24"/>
      <c r="M19237" s="24"/>
      <c r="N19237" s="24"/>
      <c r="O19237" s="24"/>
      <c r="P19237" s="24"/>
      <c r="Q19237" s="24"/>
      <c r="R19237" s="24"/>
      <c r="S19237" s="24"/>
      <c r="T19237" s="24"/>
      <c r="U19237" s="24"/>
      <c r="V19237" s="24"/>
      <c r="W19237" s="24"/>
      <c r="X19237" s="24"/>
      <c r="Y19237" s="24"/>
      <c r="Z19237" s="24"/>
      <c r="AA19237" s="24"/>
    </row>
    <row r="19238">
      <c r="A19238" s="24"/>
      <c r="B19238" s="25"/>
      <c r="C19238" s="24"/>
      <c r="D19238" s="26"/>
      <c r="E19238" s="24"/>
      <c r="F19238" s="24"/>
      <c r="G19238" s="24"/>
      <c r="H19238" s="24"/>
      <c r="I19238" s="24"/>
      <c r="J19238" s="24"/>
      <c r="K19238" s="24"/>
      <c r="L19238" s="24"/>
      <c r="M19238" s="24"/>
      <c r="N19238" s="24"/>
      <c r="O19238" s="24"/>
      <c r="P19238" s="24"/>
      <c r="Q19238" s="24"/>
      <c r="R19238" s="24"/>
      <c r="S19238" s="24"/>
      <c r="T19238" s="24"/>
      <c r="U19238" s="24"/>
      <c r="V19238" s="24"/>
      <c r="W19238" s="24"/>
      <c r="X19238" s="24"/>
      <c r="Y19238" s="24"/>
      <c r="Z19238" s="24"/>
      <c r="AA19238" s="24"/>
    </row>
    <row r="19239">
      <c r="A19239" s="24"/>
      <c r="B19239" s="25"/>
      <c r="C19239" s="24"/>
      <c r="D19239" s="26"/>
      <c r="E19239" s="24"/>
      <c r="F19239" s="24"/>
      <c r="G19239" s="24"/>
      <c r="H19239" s="24"/>
      <c r="I19239" s="24"/>
      <c r="J19239" s="24"/>
      <c r="K19239" s="24"/>
      <c r="L19239" s="24"/>
      <c r="M19239" s="24"/>
      <c r="N19239" s="24"/>
      <c r="O19239" s="24"/>
      <c r="P19239" s="24"/>
      <c r="Q19239" s="24"/>
      <c r="R19239" s="24"/>
      <c r="S19239" s="24"/>
      <c r="T19239" s="24"/>
      <c r="U19239" s="24"/>
      <c r="V19239" s="24"/>
      <c r="W19239" s="24"/>
      <c r="X19239" s="24"/>
      <c r="Y19239" s="24"/>
      <c r="Z19239" s="24"/>
      <c r="AA19239" s="24"/>
    </row>
    <row r="19240">
      <c r="A19240" s="24"/>
      <c r="B19240" s="25"/>
      <c r="C19240" s="24"/>
      <c r="D19240" s="26"/>
      <c r="E19240" s="24"/>
      <c r="F19240" s="24"/>
      <c r="G19240" s="24"/>
      <c r="H19240" s="24"/>
      <c r="I19240" s="24"/>
      <c r="J19240" s="24"/>
      <c r="K19240" s="24"/>
      <c r="L19240" s="24"/>
      <c r="M19240" s="24"/>
      <c r="N19240" s="24"/>
      <c r="O19240" s="24"/>
      <c r="P19240" s="24"/>
      <c r="Q19240" s="24"/>
      <c r="R19240" s="24"/>
      <c r="S19240" s="24"/>
      <c r="T19240" s="24"/>
      <c r="U19240" s="24"/>
      <c r="V19240" s="24"/>
      <c r="W19240" s="24"/>
      <c r="X19240" s="24"/>
      <c r="Y19240" s="24"/>
      <c r="Z19240" s="24"/>
      <c r="AA19240" s="24"/>
    </row>
    <row r="19241">
      <c r="A19241" s="24"/>
      <c r="B19241" s="25"/>
      <c r="C19241" s="24"/>
      <c r="D19241" s="26"/>
      <c r="E19241" s="24"/>
      <c r="F19241" s="24"/>
      <c r="G19241" s="24"/>
      <c r="H19241" s="24"/>
      <c r="I19241" s="24"/>
      <c r="J19241" s="24"/>
      <c r="K19241" s="24"/>
      <c r="L19241" s="24"/>
      <c r="M19241" s="24"/>
      <c r="N19241" s="24"/>
      <c r="O19241" s="24"/>
      <c r="P19241" s="24"/>
      <c r="Q19241" s="24"/>
      <c r="R19241" s="24"/>
      <c r="S19241" s="24"/>
      <c r="T19241" s="24"/>
      <c r="U19241" s="24"/>
      <c r="V19241" s="24"/>
      <c r="W19241" s="24"/>
      <c r="X19241" s="24"/>
      <c r="Y19241" s="24"/>
      <c r="Z19241" s="24"/>
      <c r="AA19241" s="24"/>
    </row>
    <row r="19242">
      <c r="A19242" s="24"/>
      <c r="B19242" s="25"/>
      <c r="C19242" s="24"/>
      <c r="D19242" s="26"/>
      <c r="E19242" s="24"/>
      <c r="F19242" s="24"/>
      <c r="G19242" s="24"/>
      <c r="H19242" s="24"/>
      <c r="I19242" s="24"/>
      <c r="J19242" s="24"/>
      <c r="K19242" s="24"/>
      <c r="L19242" s="24"/>
      <c r="M19242" s="24"/>
      <c r="N19242" s="24"/>
      <c r="O19242" s="24"/>
      <c r="P19242" s="24"/>
      <c r="Q19242" s="24"/>
      <c r="R19242" s="24"/>
      <c r="S19242" s="24"/>
      <c r="T19242" s="24"/>
      <c r="U19242" s="24"/>
      <c r="V19242" s="24"/>
      <c r="W19242" s="24"/>
      <c r="X19242" s="24"/>
      <c r="Y19242" s="24"/>
      <c r="Z19242" s="24"/>
      <c r="AA19242" s="24"/>
    </row>
    <row r="19243">
      <c r="A19243" s="24"/>
      <c r="B19243" s="25"/>
      <c r="C19243" s="24"/>
      <c r="D19243" s="26"/>
      <c r="E19243" s="24"/>
      <c r="F19243" s="24"/>
      <c r="G19243" s="24"/>
      <c r="H19243" s="24"/>
      <c r="I19243" s="24"/>
      <c r="J19243" s="24"/>
      <c r="K19243" s="24"/>
      <c r="L19243" s="24"/>
      <c r="M19243" s="24"/>
      <c r="N19243" s="24"/>
      <c r="O19243" s="24"/>
      <c r="P19243" s="24"/>
      <c r="Q19243" s="24"/>
      <c r="R19243" s="24"/>
      <c r="S19243" s="24"/>
      <c r="T19243" s="24"/>
      <c r="U19243" s="24"/>
      <c r="V19243" s="24"/>
      <c r="W19243" s="24"/>
      <c r="X19243" s="24"/>
      <c r="Y19243" s="24"/>
      <c r="Z19243" s="24"/>
      <c r="AA19243" s="24"/>
    </row>
    <row r="19244">
      <c r="A19244" s="24"/>
      <c r="B19244" s="25"/>
      <c r="C19244" s="24"/>
      <c r="D19244" s="26"/>
      <c r="E19244" s="24"/>
      <c r="F19244" s="24"/>
      <c r="G19244" s="24"/>
      <c r="H19244" s="24"/>
      <c r="I19244" s="24"/>
      <c r="J19244" s="24"/>
      <c r="K19244" s="24"/>
      <c r="L19244" s="24"/>
      <c r="M19244" s="24"/>
      <c r="N19244" s="24"/>
      <c r="O19244" s="24"/>
      <c r="P19244" s="24"/>
      <c r="Q19244" s="24"/>
      <c r="R19244" s="24"/>
      <c r="S19244" s="24"/>
      <c r="T19244" s="24"/>
      <c r="U19244" s="24"/>
      <c r="V19244" s="24"/>
      <c r="W19244" s="24"/>
      <c r="X19244" s="24"/>
      <c r="Y19244" s="24"/>
      <c r="Z19244" s="24"/>
      <c r="AA19244" s="24"/>
    </row>
    <row r="19245">
      <c r="A19245" s="24"/>
      <c r="B19245" s="25"/>
      <c r="C19245" s="24"/>
      <c r="D19245" s="26"/>
      <c r="E19245" s="24"/>
      <c r="F19245" s="24"/>
      <c r="G19245" s="24"/>
      <c r="H19245" s="24"/>
      <c r="I19245" s="24"/>
      <c r="J19245" s="24"/>
      <c r="K19245" s="24"/>
      <c r="L19245" s="24"/>
      <c r="M19245" s="24"/>
      <c r="N19245" s="24"/>
      <c r="O19245" s="24"/>
      <c r="P19245" s="24"/>
      <c r="Q19245" s="24"/>
      <c r="R19245" s="24"/>
      <c r="S19245" s="24"/>
      <c r="T19245" s="24"/>
      <c r="U19245" s="24"/>
      <c r="V19245" s="24"/>
      <c r="W19245" s="24"/>
      <c r="X19245" s="24"/>
      <c r="Y19245" s="24"/>
      <c r="Z19245" s="24"/>
      <c r="AA19245" s="24"/>
    </row>
    <row r="19246">
      <c r="A19246" s="24"/>
      <c r="B19246" s="25"/>
      <c r="C19246" s="24"/>
      <c r="D19246" s="26"/>
      <c r="E19246" s="24"/>
      <c r="F19246" s="24"/>
      <c r="G19246" s="24"/>
      <c r="H19246" s="24"/>
      <c r="I19246" s="24"/>
      <c r="J19246" s="24"/>
      <c r="K19246" s="24"/>
      <c r="L19246" s="24"/>
      <c r="M19246" s="24"/>
      <c r="N19246" s="24"/>
      <c r="O19246" s="24"/>
      <c r="P19246" s="24"/>
      <c r="Q19246" s="24"/>
      <c r="R19246" s="24"/>
      <c r="S19246" s="24"/>
      <c r="T19246" s="24"/>
      <c r="U19246" s="24"/>
      <c r="V19246" s="24"/>
      <c r="W19246" s="24"/>
      <c r="X19246" s="24"/>
      <c r="Y19246" s="24"/>
      <c r="Z19246" s="24"/>
      <c r="AA19246" s="24"/>
    </row>
    <row r="19247">
      <c r="A19247" s="24"/>
      <c r="B19247" s="25"/>
      <c r="C19247" s="24"/>
      <c r="D19247" s="26"/>
      <c r="E19247" s="24"/>
      <c r="F19247" s="24"/>
      <c r="G19247" s="24"/>
      <c r="H19247" s="24"/>
      <c r="I19247" s="24"/>
      <c r="J19247" s="24"/>
      <c r="K19247" s="24"/>
      <c r="L19247" s="24"/>
      <c r="M19247" s="24"/>
      <c r="N19247" s="24"/>
      <c r="O19247" s="24"/>
      <c r="P19247" s="24"/>
      <c r="Q19247" s="24"/>
      <c r="R19247" s="24"/>
      <c r="S19247" s="24"/>
      <c r="T19247" s="24"/>
      <c r="U19247" s="24"/>
      <c r="V19247" s="24"/>
      <c r="W19247" s="24"/>
      <c r="X19247" s="24"/>
      <c r="Y19247" s="24"/>
      <c r="Z19247" s="24"/>
      <c r="AA19247" s="24"/>
    </row>
    <row r="19248">
      <c r="A19248" s="24"/>
      <c r="B19248" s="25"/>
      <c r="C19248" s="24"/>
      <c r="D19248" s="26"/>
      <c r="E19248" s="24"/>
      <c r="F19248" s="24"/>
      <c r="G19248" s="24"/>
      <c r="H19248" s="24"/>
      <c r="I19248" s="24"/>
      <c r="J19248" s="24"/>
      <c r="K19248" s="24"/>
      <c r="L19248" s="24"/>
      <c r="M19248" s="24"/>
      <c r="N19248" s="24"/>
      <c r="O19248" s="24"/>
      <c r="P19248" s="24"/>
      <c r="Q19248" s="24"/>
      <c r="R19248" s="24"/>
      <c r="S19248" s="24"/>
      <c r="T19248" s="24"/>
      <c r="U19248" s="24"/>
      <c r="V19248" s="24"/>
      <c r="W19248" s="24"/>
      <c r="X19248" s="24"/>
      <c r="Y19248" s="24"/>
      <c r="Z19248" s="24"/>
      <c r="AA19248" s="24"/>
    </row>
    <row r="19249">
      <c r="A19249" s="24"/>
      <c r="B19249" s="25"/>
      <c r="C19249" s="24"/>
      <c r="D19249" s="26"/>
      <c r="E19249" s="24"/>
      <c r="F19249" s="24"/>
      <c r="G19249" s="24"/>
      <c r="H19249" s="24"/>
      <c r="I19249" s="24"/>
      <c r="J19249" s="24"/>
      <c r="K19249" s="24"/>
      <c r="L19249" s="24"/>
      <c r="M19249" s="24"/>
      <c r="N19249" s="24"/>
      <c r="O19249" s="24"/>
      <c r="P19249" s="24"/>
      <c r="Q19249" s="24"/>
      <c r="R19249" s="24"/>
      <c r="S19249" s="24"/>
      <c r="T19249" s="24"/>
      <c r="U19249" s="24"/>
      <c r="V19249" s="24"/>
      <c r="W19249" s="24"/>
      <c r="X19249" s="24"/>
      <c r="Y19249" s="24"/>
      <c r="Z19249" s="24"/>
      <c r="AA19249" s="24"/>
    </row>
    <row r="19250">
      <c r="A19250" s="24"/>
      <c r="B19250" s="25"/>
      <c r="C19250" s="24"/>
      <c r="D19250" s="26"/>
      <c r="E19250" s="24"/>
      <c r="F19250" s="24"/>
      <c r="G19250" s="24"/>
      <c r="H19250" s="24"/>
      <c r="I19250" s="24"/>
      <c r="J19250" s="24"/>
      <c r="K19250" s="24"/>
      <c r="L19250" s="24"/>
      <c r="M19250" s="24"/>
      <c r="N19250" s="24"/>
      <c r="O19250" s="24"/>
      <c r="P19250" s="24"/>
      <c r="Q19250" s="24"/>
      <c r="R19250" s="24"/>
      <c r="S19250" s="24"/>
      <c r="T19250" s="24"/>
      <c r="U19250" s="24"/>
      <c r="V19250" s="24"/>
      <c r="W19250" s="24"/>
      <c r="X19250" s="24"/>
      <c r="Y19250" s="24"/>
      <c r="Z19250" s="24"/>
      <c r="AA19250" s="24"/>
    </row>
    <row r="19251">
      <c r="A19251" s="24"/>
      <c r="B19251" s="25"/>
      <c r="C19251" s="24"/>
      <c r="D19251" s="26"/>
      <c r="E19251" s="24"/>
      <c r="F19251" s="24"/>
      <c r="G19251" s="24"/>
      <c r="H19251" s="24"/>
      <c r="I19251" s="24"/>
      <c r="J19251" s="24"/>
      <c r="K19251" s="24"/>
      <c r="L19251" s="24"/>
      <c r="M19251" s="24"/>
      <c r="N19251" s="24"/>
      <c r="O19251" s="24"/>
      <c r="P19251" s="24"/>
      <c r="Q19251" s="24"/>
      <c r="R19251" s="24"/>
      <c r="S19251" s="24"/>
      <c r="T19251" s="24"/>
      <c r="U19251" s="24"/>
      <c r="V19251" s="24"/>
      <c r="W19251" s="24"/>
      <c r="X19251" s="24"/>
      <c r="Y19251" s="24"/>
      <c r="Z19251" s="24"/>
      <c r="AA19251" s="24"/>
    </row>
    <row r="19252">
      <c r="A19252" s="24"/>
      <c r="B19252" s="25"/>
      <c r="C19252" s="24"/>
      <c r="D19252" s="26"/>
      <c r="E19252" s="24"/>
      <c r="F19252" s="24"/>
      <c r="G19252" s="24"/>
      <c r="H19252" s="24"/>
      <c r="I19252" s="24"/>
      <c r="J19252" s="24"/>
      <c r="K19252" s="24"/>
      <c r="L19252" s="24"/>
      <c r="M19252" s="24"/>
      <c r="N19252" s="24"/>
      <c r="O19252" s="24"/>
      <c r="P19252" s="24"/>
      <c r="Q19252" s="24"/>
      <c r="R19252" s="24"/>
      <c r="S19252" s="24"/>
      <c r="T19252" s="24"/>
      <c r="U19252" s="24"/>
      <c r="V19252" s="24"/>
      <c r="W19252" s="24"/>
      <c r="X19252" s="24"/>
      <c r="Y19252" s="24"/>
      <c r="Z19252" s="24"/>
      <c r="AA19252" s="24"/>
    </row>
    <row r="19253">
      <c r="A19253" s="24"/>
      <c r="B19253" s="25"/>
      <c r="C19253" s="24"/>
      <c r="D19253" s="26"/>
      <c r="E19253" s="24"/>
      <c r="F19253" s="24"/>
      <c r="G19253" s="24"/>
      <c r="H19253" s="24"/>
      <c r="I19253" s="24"/>
      <c r="J19253" s="24"/>
      <c r="K19253" s="24"/>
      <c r="L19253" s="24"/>
      <c r="M19253" s="24"/>
      <c r="N19253" s="24"/>
      <c r="O19253" s="24"/>
      <c r="P19253" s="24"/>
      <c r="Q19253" s="24"/>
      <c r="R19253" s="24"/>
      <c r="S19253" s="24"/>
      <c r="T19253" s="24"/>
      <c r="U19253" s="24"/>
      <c r="V19253" s="24"/>
      <c r="W19253" s="24"/>
      <c r="X19253" s="24"/>
      <c r="Y19253" s="24"/>
      <c r="Z19253" s="24"/>
      <c r="AA19253" s="24"/>
    </row>
    <row r="19254">
      <c r="A19254" s="24"/>
      <c r="B19254" s="25"/>
      <c r="C19254" s="24"/>
      <c r="D19254" s="26"/>
      <c r="E19254" s="24"/>
      <c r="F19254" s="24"/>
      <c r="G19254" s="24"/>
      <c r="H19254" s="24"/>
      <c r="I19254" s="24"/>
      <c r="J19254" s="24"/>
      <c r="K19254" s="24"/>
      <c r="L19254" s="24"/>
      <c r="M19254" s="24"/>
      <c r="N19254" s="24"/>
      <c r="O19254" s="24"/>
      <c r="P19254" s="24"/>
      <c r="Q19254" s="24"/>
      <c r="R19254" s="24"/>
      <c r="S19254" s="24"/>
      <c r="T19254" s="24"/>
      <c r="U19254" s="24"/>
      <c r="V19254" s="24"/>
      <c r="W19254" s="24"/>
      <c r="X19254" s="24"/>
      <c r="Y19254" s="24"/>
      <c r="Z19254" s="24"/>
      <c r="AA19254" s="24"/>
    </row>
    <row r="19255">
      <c r="A19255" s="24"/>
      <c r="B19255" s="25"/>
      <c r="C19255" s="24"/>
      <c r="D19255" s="26"/>
      <c r="E19255" s="24"/>
      <c r="F19255" s="24"/>
      <c r="G19255" s="24"/>
      <c r="H19255" s="24"/>
      <c r="I19255" s="24"/>
      <c r="J19255" s="24"/>
      <c r="K19255" s="24"/>
      <c r="L19255" s="24"/>
      <c r="M19255" s="24"/>
      <c r="N19255" s="24"/>
      <c r="O19255" s="24"/>
      <c r="P19255" s="24"/>
      <c r="Q19255" s="24"/>
      <c r="R19255" s="24"/>
      <c r="S19255" s="24"/>
      <c r="T19255" s="24"/>
      <c r="U19255" s="24"/>
      <c r="V19255" s="24"/>
      <c r="W19255" s="24"/>
      <c r="X19255" s="24"/>
      <c r="Y19255" s="24"/>
      <c r="Z19255" s="24"/>
      <c r="AA19255" s="24"/>
    </row>
    <row r="19256">
      <c r="A19256" s="24"/>
      <c r="B19256" s="25"/>
      <c r="C19256" s="24"/>
      <c r="D19256" s="26"/>
      <c r="E19256" s="24"/>
      <c r="F19256" s="24"/>
      <c r="G19256" s="24"/>
      <c r="H19256" s="24"/>
      <c r="I19256" s="24"/>
      <c r="J19256" s="24"/>
      <c r="K19256" s="24"/>
      <c r="L19256" s="24"/>
      <c r="M19256" s="24"/>
      <c r="N19256" s="24"/>
      <c r="O19256" s="24"/>
      <c r="P19256" s="24"/>
      <c r="Q19256" s="24"/>
      <c r="R19256" s="24"/>
      <c r="S19256" s="24"/>
      <c r="T19256" s="24"/>
      <c r="U19256" s="24"/>
      <c r="V19256" s="24"/>
      <c r="W19256" s="24"/>
      <c r="X19256" s="24"/>
      <c r="Y19256" s="24"/>
      <c r="Z19256" s="24"/>
      <c r="AA19256" s="24"/>
    </row>
    <row r="19257">
      <c r="A19257" s="24"/>
      <c r="B19257" s="25"/>
      <c r="C19257" s="24"/>
      <c r="D19257" s="26"/>
      <c r="E19257" s="24"/>
      <c r="F19257" s="24"/>
      <c r="G19257" s="24"/>
      <c r="H19257" s="24"/>
      <c r="I19257" s="24"/>
      <c r="J19257" s="24"/>
      <c r="K19257" s="24"/>
      <c r="L19257" s="24"/>
      <c r="M19257" s="24"/>
      <c r="N19257" s="24"/>
      <c r="O19257" s="24"/>
      <c r="P19257" s="24"/>
      <c r="Q19257" s="24"/>
      <c r="R19257" s="24"/>
      <c r="S19257" s="24"/>
      <c r="T19257" s="24"/>
      <c r="U19257" s="24"/>
      <c r="V19257" s="24"/>
      <c r="W19257" s="24"/>
      <c r="X19257" s="24"/>
      <c r="Y19257" s="24"/>
      <c r="Z19257" s="24"/>
      <c r="AA19257" s="24"/>
    </row>
    <row r="19258">
      <c r="A19258" s="24"/>
      <c r="B19258" s="25"/>
      <c r="C19258" s="24"/>
      <c r="D19258" s="26"/>
      <c r="E19258" s="24"/>
      <c r="F19258" s="24"/>
      <c r="G19258" s="24"/>
      <c r="H19258" s="24"/>
      <c r="I19258" s="24"/>
      <c r="J19258" s="24"/>
      <c r="K19258" s="24"/>
      <c r="L19258" s="24"/>
      <c r="M19258" s="24"/>
      <c r="N19258" s="24"/>
      <c r="O19258" s="24"/>
      <c r="P19258" s="24"/>
      <c r="Q19258" s="24"/>
      <c r="R19258" s="24"/>
      <c r="S19258" s="24"/>
      <c r="T19258" s="24"/>
      <c r="U19258" s="24"/>
      <c r="V19258" s="24"/>
      <c r="W19258" s="24"/>
      <c r="X19258" s="24"/>
      <c r="Y19258" s="24"/>
      <c r="Z19258" s="24"/>
      <c r="AA19258" s="24"/>
    </row>
    <row r="19259">
      <c r="A19259" s="24"/>
      <c r="B19259" s="25"/>
      <c r="C19259" s="24"/>
      <c r="D19259" s="26"/>
      <c r="E19259" s="24"/>
      <c r="F19259" s="24"/>
      <c r="G19259" s="24"/>
      <c r="H19259" s="24"/>
      <c r="I19259" s="24"/>
      <c r="J19259" s="24"/>
      <c r="K19259" s="24"/>
      <c r="L19259" s="24"/>
      <c r="M19259" s="24"/>
      <c r="N19259" s="24"/>
      <c r="O19259" s="24"/>
      <c r="P19259" s="24"/>
      <c r="Q19259" s="24"/>
      <c r="R19259" s="24"/>
      <c r="S19259" s="24"/>
      <c r="T19259" s="24"/>
      <c r="U19259" s="24"/>
      <c r="V19259" s="24"/>
      <c r="W19259" s="24"/>
      <c r="X19259" s="24"/>
      <c r="Y19259" s="24"/>
      <c r="Z19259" s="24"/>
      <c r="AA19259" s="24"/>
    </row>
    <row r="19260">
      <c r="A19260" s="24"/>
      <c r="B19260" s="25"/>
      <c r="C19260" s="24"/>
      <c r="D19260" s="26"/>
      <c r="E19260" s="24"/>
      <c r="F19260" s="24"/>
      <c r="G19260" s="24"/>
      <c r="H19260" s="24"/>
      <c r="I19260" s="24"/>
      <c r="J19260" s="24"/>
      <c r="K19260" s="24"/>
      <c r="L19260" s="24"/>
      <c r="M19260" s="24"/>
      <c r="N19260" s="24"/>
      <c r="O19260" s="24"/>
      <c r="P19260" s="24"/>
      <c r="Q19260" s="24"/>
      <c r="R19260" s="24"/>
      <c r="S19260" s="24"/>
      <c r="T19260" s="24"/>
      <c r="U19260" s="24"/>
      <c r="V19260" s="24"/>
      <c r="W19260" s="24"/>
      <c r="X19260" s="24"/>
      <c r="Y19260" s="24"/>
      <c r="Z19260" s="24"/>
      <c r="AA19260" s="24"/>
    </row>
    <row r="19261">
      <c r="A19261" s="24"/>
      <c r="B19261" s="25"/>
      <c r="C19261" s="24"/>
      <c r="D19261" s="26"/>
      <c r="E19261" s="24"/>
      <c r="F19261" s="24"/>
      <c r="G19261" s="24"/>
      <c r="H19261" s="24"/>
      <c r="I19261" s="24"/>
      <c r="J19261" s="24"/>
      <c r="K19261" s="24"/>
      <c r="L19261" s="24"/>
      <c r="M19261" s="24"/>
      <c r="N19261" s="24"/>
      <c r="O19261" s="24"/>
      <c r="P19261" s="24"/>
      <c r="Q19261" s="24"/>
      <c r="R19261" s="24"/>
      <c r="S19261" s="24"/>
      <c r="T19261" s="24"/>
      <c r="U19261" s="24"/>
      <c r="V19261" s="24"/>
      <c r="W19261" s="24"/>
      <c r="X19261" s="24"/>
      <c r="Y19261" s="24"/>
      <c r="Z19261" s="24"/>
      <c r="AA19261" s="24"/>
    </row>
    <row r="19262">
      <c r="A19262" s="24"/>
      <c r="B19262" s="25"/>
      <c r="C19262" s="24"/>
      <c r="D19262" s="26"/>
      <c r="E19262" s="24"/>
      <c r="F19262" s="24"/>
      <c r="G19262" s="24"/>
      <c r="H19262" s="24"/>
      <c r="I19262" s="24"/>
      <c r="J19262" s="24"/>
      <c r="K19262" s="24"/>
      <c r="L19262" s="24"/>
      <c r="M19262" s="24"/>
      <c r="N19262" s="24"/>
      <c r="O19262" s="24"/>
      <c r="P19262" s="24"/>
      <c r="Q19262" s="24"/>
      <c r="R19262" s="24"/>
      <c r="S19262" s="24"/>
      <c r="T19262" s="24"/>
      <c r="U19262" s="24"/>
      <c r="V19262" s="24"/>
      <c r="W19262" s="24"/>
      <c r="X19262" s="24"/>
      <c r="Y19262" s="24"/>
      <c r="Z19262" s="24"/>
      <c r="AA19262" s="24"/>
    </row>
    <row r="19263">
      <c r="A19263" s="24"/>
      <c r="B19263" s="25"/>
      <c r="C19263" s="24"/>
      <c r="D19263" s="26"/>
      <c r="E19263" s="24"/>
      <c r="F19263" s="24"/>
      <c r="G19263" s="24"/>
      <c r="H19263" s="24"/>
      <c r="I19263" s="24"/>
      <c r="J19263" s="24"/>
      <c r="K19263" s="24"/>
      <c r="L19263" s="24"/>
      <c r="M19263" s="24"/>
      <c r="N19263" s="24"/>
      <c r="O19263" s="24"/>
      <c r="P19263" s="24"/>
      <c r="Q19263" s="24"/>
      <c r="R19263" s="24"/>
      <c r="S19263" s="24"/>
      <c r="T19263" s="24"/>
      <c r="U19263" s="24"/>
      <c r="V19263" s="24"/>
      <c r="W19263" s="24"/>
      <c r="X19263" s="24"/>
      <c r="Y19263" s="24"/>
      <c r="Z19263" s="24"/>
      <c r="AA19263" s="24"/>
    </row>
    <row r="19264">
      <c r="A19264" s="24"/>
      <c r="B19264" s="25"/>
      <c r="C19264" s="24"/>
      <c r="D19264" s="26"/>
      <c r="E19264" s="24"/>
      <c r="F19264" s="24"/>
      <c r="G19264" s="24"/>
      <c r="H19264" s="24"/>
      <c r="I19264" s="24"/>
      <c r="J19264" s="24"/>
      <c r="K19264" s="24"/>
      <c r="L19264" s="24"/>
      <c r="M19264" s="24"/>
      <c r="N19264" s="24"/>
      <c r="O19264" s="24"/>
      <c r="P19264" s="24"/>
      <c r="Q19264" s="24"/>
      <c r="R19264" s="24"/>
      <c r="S19264" s="24"/>
      <c r="T19264" s="24"/>
      <c r="U19264" s="24"/>
      <c r="V19264" s="24"/>
      <c r="W19264" s="24"/>
      <c r="X19264" s="24"/>
      <c r="Y19264" s="24"/>
      <c r="Z19264" s="24"/>
      <c r="AA19264" s="24"/>
    </row>
    <row r="19265">
      <c r="A19265" s="24"/>
      <c r="B19265" s="25"/>
      <c r="C19265" s="24"/>
      <c r="D19265" s="26"/>
      <c r="E19265" s="24"/>
      <c r="F19265" s="24"/>
      <c r="G19265" s="24"/>
      <c r="H19265" s="24"/>
      <c r="I19265" s="24"/>
      <c r="J19265" s="24"/>
      <c r="K19265" s="24"/>
      <c r="L19265" s="24"/>
      <c r="M19265" s="24"/>
      <c r="N19265" s="24"/>
      <c r="O19265" s="24"/>
      <c r="P19265" s="24"/>
      <c r="Q19265" s="24"/>
      <c r="R19265" s="24"/>
      <c r="S19265" s="24"/>
      <c r="T19265" s="24"/>
      <c r="U19265" s="24"/>
      <c r="V19265" s="24"/>
      <c r="W19265" s="24"/>
      <c r="X19265" s="24"/>
      <c r="Y19265" s="24"/>
      <c r="Z19265" s="24"/>
      <c r="AA19265" s="24"/>
    </row>
    <row r="19266">
      <c r="A19266" s="24"/>
      <c r="B19266" s="25"/>
      <c r="C19266" s="24"/>
      <c r="D19266" s="26"/>
      <c r="E19266" s="24"/>
      <c r="F19266" s="24"/>
      <c r="G19266" s="24"/>
      <c r="H19266" s="24"/>
      <c r="I19266" s="24"/>
      <c r="J19266" s="24"/>
      <c r="K19266" s="24"/>
      <c r="L19266" s="24"/>
      <c r="M19266" s="24"/>
      <c r="N19266" s="24"/>
      <c r="O19266" s="24"/>
      <c r="P19266" s="24"/>
      <c r="Q19266" s="24"/>
      <c r="R19266" s="24"/>
      <c r="S19266" s="24"/>
      <c r="T19266" s="24"/>
      <c r="U19266" s="24"/>
      <c r="V19266" s="24"/>
      <c r="W19266" s="24"/>
      <c r="X19266" s="24"/>
      <c r="Y19266" s="24"/>
      <c r="Z19266" s="24"/>
      <c r="AA19266" s="24"/>
    </row>
    <row r="19267">
      <c r="A19267" s="24"/>
      <c r="B19267" s="25"/>
      <c r="C19267" s="24"/>
      <c r="D19267" s="26"/>
      <c r="E19267" s="24"/>
      <c r="F19267" s="24"/>
      <c r="G19267" s="24"/>
      <c r="H19267" s="24"/>
      <c r="I19267" s="24"/>
      <c r="J19267" s="24"/>
      <c r="K19267" s="24"/>
      <c r="L19267" s="24"/>
      <c r="M19267" s="24"/>
      <c r="N19267" s="24"/>
      <c r="O19267" s="24"/>
      <c r="P19267" s="24"/>
      <c r="Q19267" s="24"/>
      <c r="R19267" s="24"/>
      <c r="S19267" s="24"/>
      <c r="T19267" s="24"/>
      <c r="U19267" s="24"/>
      <c r="V19267" s="24"/>
      <c r="W19267" s="24"/>
      <c r="X19267" s="24"/>
      <c r="Y19267" s="24"/>
      <c r="Z19267" s="24"/>
      <c r="AA19267" s="24"/>
    </row>
    <row r="19268">
      <c r="A19268" s="24"/>
      <c r="B19268" s="25"/>
      <c r="C19268" s="24"/>
      <c r="D19268" s="26"/>
      <c r="E19268" s="24"/>
      <c r="F19268" s="24"/>
      <c r="G19268" s="24"/>
      <c r="H19268" s="24"/>
      <c r="I19268" s="24"/>
      <c r="J19268" s="24"/>
      <c r="K19268" s="24"/>
      <c r="L19268" s="24"/>
      <c r="M19268" s="24"/>
      <c r="N19268" s="24"/>
      <c r="O19268" s="24"/>
      <c r="P19268" s="24"/>
      <c r="Q19268" s="24"/>
      <c r="R19268" s="24"/>
      <c r="S19268" s="24"/>
      <c r="T19268" s="24"/>
      <c r="U19268" s="24"/>
      <c r="V19268" s="24"/>
      <c r="W19268" s="24"/>
      <c r="X19268" s="24"/>
      <c r="Y19268" s="24"/>
      <c r="Z19268" s="24"/>
      <c r="AA19268" s="24"/>
    </row>
    <row r="19269">
      <c r="A19269" s="24"/>
      <c r="B19269" s="25"/>
      <c r="C19269" s="24"/>
      <c r="D19269" s="26"/>
      <c r="E19269" s="24"/>
      <c r="F19269" s="24"/>
      <c r="G19269" s="24"/>
      <c r="H19269" s="24"/>
      <c r="I19269" s="24"/>
      <c r="J19269" s="24"/>
      <c r="K19269" s="24"/>
      <c r="L19269" s="24"/>
      <c r="M19269" s="24"/>
      <c r="N19269" s="24"/>
      <c r="O19269" s="24"/>
      <c r="P19269" s="24"/>
      <c r="Q19269" s="24"/>
      <c r="R19269" s="24"/>
      <c r="S19269" s="24"/>
      <c r="T19269" s="24"/>
      <c r="U19269" s="24"/>
      <c r="V19269" s="24"/>
      <c r="W19269" s="24"/>
      <c r="X19269" s="24"/>
      <c r="Y19269" s="24"/>
      <c r="Z19269" s="24"/>
      <c r="AA19269" s="24"/>
    </row>
    <row r="19270">
      <c r="A19270" s="24"/>
      <c r="B19270" s="25"/>
      <c r="C19270" s="24"/>
      <c r="D19270" s="26"/>
      <c r="E19270" s="24"/>
      <c r="F19270" s="24"/>
      <c r="G19270" s="24"/>
      <c r="H19270" s="24"/>
      <c r="I19270" s="24"/>
      <c r="J19270" s="24"/>
      <c r="K19270" s="24"/>
      <c r="L19270" s="24"/>
      <c r="M19270" s="24"/>
      <c r="N19270" s="24"/>
      <c r="O19270" s="24"/>
      <c r="P19270" s="24"/>
      <c r="Q19270" s="24"/>
      <c r="R19270" s="24"/>
      <c r="S19270" s="24"/>
      <c r="T19270" s="24"/>
      <c r="U19270" s="24"/>
      <c r="V19270" s="24"/>
      <c r="W19270" s="24"/>
      <c r="X19270" s="24"/>
      <c r="Y19270" s="24"/>
      <c r="Z19270" s="24"/>
      <c r="AA19270" s="24"/>
    </row>
    <row r="19271">
      <c r="A19271" s="24"/>
      <c r="B19271" s="25"/>
      <c r="C19271" s="24"/>
      <c r="D19271" s="26"/>
      <c r="E19271" s="24"/>
      <c r="F19271" s="24"/>
      <c r="G19271" s="24"/>
      <c r="H19271" s="24"/>
      <c r="I19271" s="24"/>
      <c r="J19271" s="24"/>
      <c r="K19271" s="24"/>
      <c r="L19271" s="24"/>
      <c r="M19271" s="24"/>
      <c r="N19271" s="24"/>
      <c r="O19271" s="24"/>
      <c r="P19271" s="24"/>
      <c r="Q19271" s="24"/>
      <c r="R19271" s="24"/>
      <c r="S19271" s="24"/>
      <c r="T19271" s="24"/>
      <c r="U19271" s="24"/>
      <c r="V19271" s="24"/>
      <c r="W19271" s="24"/>
      <c r="X19271" s="24"/>
      <c r="Y19271" s="24"/>
      <c r="Z19271" s="24"/>
      <c r="AA19271" s="24"/>
    </row>
    <row r="19272">
      <c r="A19272" s="24"/>
      <c r="B19272" s="25"/>
      <c r="C19272" s="24"/>
      <c r="D19272" s="26"/>
      <c r="E19272" s="24"/>
      <c r="F19272" s="24"/>
      <c r="G19272" s="24"/>
      <c r="H19272" s="24"/>
      <c r="I19272" s="24"/>
      <c r="J19272" s="24"/>
      <c r="K19272" s="24"/>
      <c r="L19272" s="24"/>
      <c r="M19272" s="24"/>
      <c r="N19272" s="24"/>
      <c r="O19272" s="24"/>
      <c r="P19272" s="24"/>
      <c r="Q19272" s="24"/>
      <c r="R19272" s="24"/>
      <c r="S19272" s="24"/>
      <c r="T19272" s="24"/>
      <c r="U19272" s="24"/>
      <c r="V19272" s="24"/>
      <c r="W19272" s="24"/>
      <c r="X19272" s="24"/>
      <c r="Y19272" s="24"/>
      <c r="Z19272" s="24"/>
      <c r="AA19272" s="24"/>
    </row>
    <row r="19273">
      <c r="A19273" s="24"/>
      <c r="B19273" s="25"/>
      <c r="C19273" s="24"/>
      <c r="D19273" s="26"/>
      <c r="E19273" s="24"/>
      <c r="F19273" s="24"/>
      <c r="G19273" s="24"/>
      <c r="H19273" s="24"/>
      <c r="I19273" s="24"/>
      <c r="J19273" s="24"/>
      <c r="K19273" s="24"/>
      <c r="L19273" s="24"/>
      <c r="M19273" s="24"/>
      <c r="N19273" s="24"/>
      <c r="O19273" s="24"/>
      <c r="P19273" s="24"/>
      <c r="Q19273" s="24"/>
      <c r="R19273" s="24"/>
      <c r="S19273" s="24"/>
      <c r="T19273" s="24"/>
      <c r="U19273" s="24"/>
      <c r="V19273" s="24"/>
      <c r="W19273" s="24"/>
      <c r="X19273" s="24"/>
      <c r="Y19273" s="24"/>
      <c r="Z19273" s="24"/>
      <c r="AA19273" s="24"/>
    </row>
    <row r="19274">
      <c r="A19274" s="24"/>
      <c r="B19274" s="25"/>
      <c r="C19274" s="24"/>
      <c r="D19274" s="26"/>
      <c r="E19274" s="24"/>
      <c r="F19274" s="24"/>
      <c r="G19274" s="24"/>
      <c r="H19274" s="24"/>
      <c r="I19274" s="24"/>
      <c r="J19274" s="24"/>
      <c r="K19274" s="24"/>
      <c r="L19274" s="24"/>
      <c r="M19274" s="24"/>
      <c r="N19274" s="24"/>
      <c r="O19274" s="24"/>
      <c r="P19274" s="24"/>
      <c r="Q19274" s="24"/>
      <c r="R19274" s="24"/>
      <c r="S19274" s="24"/>
      <c r="T19274" s="24"/>
      <c r="U19274" s="24"/>
      <c r="V19274" s="24"/>
      <c r="W19274" s="24"/>
      <c r="X19274" s="24"/>
      <c r="Y19274" s="24"/>
      <c r="Z19274" s="24"/>
      <c r="AA19274" s="24"/>
    </row>
    <row r="19275">
      <c r="A19275" s="24"/>
      <c r="B19275" s="25"/>
      <c r="C19275" s="24"/>
      <c r="D19275" s="26"/>
      <c r="E19275" s="24"/>
      <c r="F19275" s="24"/>
      <c r="G19275" s="24"/>
      <c r="H19275" s="24"/>
      <c r="I19275" s="24"/>
      <c r="J19275" s="24"/>
      <c r="K19275" s="24"/>
      <c r="L19275" s="24"/>
      <c r="M19275" s="24"/>
      <c r="N19275" s="24"/>
      <c r="O19275" s="24"/>
      <c r="P19275" s="24"/>
      <c r="Q19275" s="24"/>
      <c r="R19275" s="24"/>
      <c r="S19275" s="24"/>
      <c r="T19275" s="24"/>
      <c r="U19275" s="24"/>
      <c r="V19275" s="24"/>
      <c r="W19275" s="24"/>
      <c r="X19275" s="24"/>
      <c r="Y19275" s="24"/>
      <c r="Z19275" s="24"/>
      <c r="AA19275" s="24"/>
    </row>
    <row r="19276">
      <c r="A19276" s="24"/>
      <c r="B19276" s="25"/>
      <c r="C19276" s="24"/>
      <c r="D19276" s="26"/>
      <c r="E19276" s="24"/>
      <c r="F19276" s="24"/>
      <c r="G19276" s="24"/>
      <c r="H19276" s="24"/>
      <c r="I19276" s="24"/>
      <c r="J19276" s="24"/>
      <c r="K19276" s="24"/>
      <c r="L19276" s="24"/>
      <c r="M19276" s="24"/>
      <c r="N19276" s="24"/>
      <c r="O19276" s="24"/>
      <c r="P19276" s="24"/>
      <c r="Q19276" s="24"/>
      <c r="R19276" s="24"/>
      <c r="S19276" s="24"/>
      <c r="T19276" s="24"/>
      <c r="U19276" s="24"/>
      <c r="V19276" s="24"/>
      <c r="W19276" s="24"/>
      <c r="X19276" s="24"/>
      <c r="Y19276" s="24"/>
      <c r="Z19276" s="24"/>
      <c r="AA19276" s="24"/>
    </row>
    <row r="19277">
      <c r="A19277" s="24"/>
      <c r="B19277" s="25"/>
      <c r="C19277" s="24"/>
      <c r="D19277" s="26"/>
      <c r="E19277" s="24"/>
      <c r="F19277" s="24"/>
      <c r="G19277" s="24"/>
      <c r="H19277" s="24"/>
      <c r="I19277" s="24"/>
      <c r="J19277" s="24"/>
      <c r="K19277" s="24"/>
      <c r="L19277" s="24"/>
      <c r="M19277" s="24"/>
      <c r="N19277" s="24"/>
      <c r="O19277" s="24"/>
      <c r="P19277" s="24"/>
      <c r="Q19277" s="24"/>
      <c r="R19277" s="24"/>
      <c r="S19277" s="24"/>
      <c r="T19277" s="24"/>
      <c r="U19277" s="24"/>
      <c r="V19277" s="24"/>
      <c r="W19277" s="24"/>
      <c r="X19277" s="24"/>
      <c r="Y19277" s="24"/>
      <c r="Z19277" s="24"/>
      <c r="AA19277" s="24"/>
    </row>
    <row r="19278">
      <c r="A19278" s="24"/>
      <c r="B19278" s="25"/>
      <c r="C19278" s="24"/>
      <c r="D19278" s="26"/>
      <c r="E19278" s="24"/>
      <c r="F19278" s="24"/>
      <c r="G19278" s="24"/>
      <c r="H19278" s="24"/>
      <c r="I19278" s="24"/>
      <c r="J19278" s="24"/>
      <c r="K19278" s="24"/>
      <c r="L19278" s="24"/>
      <c r="M19278" s="24"/>
      <c r="N19278" s="24"/>
      <c r="O19278" s="24"/>
      <c r="P19278" s="24"/>
      <c r="Q19278" s="24"/>
      <c r="R19278" s="24"/>
      <c r="S19278" s="24"/>
      <c r="T19278" s="24"/>
      <c r="U19278" s="24"/>
      <c r="V19278" s="24"/>
      <c r="W19278" s="24"/>
      <c r="X19278" s="24"/>
      <c r="Y19278" s="24"/>
      <c r="Z19278" s="24"/>
      <c r="AA19278" s="24"/>
    </row>
    <row r="19279">
      <c r="A19279" s="24"/>
      <c r="B19279" s="25"/>
      <c r="C19279" s="24"/>
      <c r="D19279" s="26"/>
      <c r="E19279" s="24"/>
      <c r="F19279" s="24"/>
      <c r="G19279" s="24"/>
      <c r="H19279" s="24"/>
      <c r="I19279" s="24"/>
      <c r="J19279" s="24"/>
      <c r="K19279" s="24"/>
      <c r="L19279" s="24"/>
      <c r="M19279" s="24"/>
      <c r="N19279" s="24"/>
      <c r="O19279" s="24"/>
      <c r="P19279" s="24"/>
      <c r="Q19279" s="24"/>
      <c r="R19279" s="24"/>
      <c r="S19279" s="24"/>
      <c r="T19279" s="24"/>
      <c r="U19279" s="24"/>
      <c r="V19279" s="24"/>
      <c r="W19279" s="24"/>
      <c r="X19279" s="24"/>
      <c r="Y19279" s="24"/>
      <c r="Z19279" s="24"/>
      <c r="AA19279" s="24"/>
    </row>
    <row r="19280">
      <c r="A19280" s="24"/>
      <c r="B19280" s="25"/>
      <c r="C19280" s="24"/>
      <c r="D19280" s="26"/>
      <c r="E19280" s="24"/>
      <c r="F19280" s="24"/>
      <c r="G19280" s="24"/>
      <c r="H19280" s="24"/>
      <c r="I19280" s="24"/>
      <c r="J19280" s="24"/>
      <c r="K19280" s="24"/>
      <c r="L19280" s="24"/>
      <c r="M19280" s="24"/>
      <c r="N19280" s="24"/>
      <c r="O19280" s="24"/>
      <c r="P19280" s="24"/>
      <c r="Q19280" s="24"/>
      <c r="R19280" s="24"/>
      <c r="S19280" s="24"/>
      <c r="T19280" s="24"/>
      <c r="U19280" s="24"/>
      <c r="V19280" s="24"/>
      <c r="W19280" s="24"/>
      <c r="X19280" s="24"/>
      <c r="Y19280" s="24"/>
      <c r="Z19280" s="24"/>
      <c r="AA19280" s="24"/>
    </row>
    <row r="19281">
      <c r="A19281" s="24"/>
      <c r="B19281" s="25"/>
      <c r="C19281" s="24"/>
      <c r="D19281" s="26"/>
      <c r="E19281" s="24"/>
      <c r="F19281" s="24"/>
      <c r="G19281" s="24"/>
      <c r="H19281" s="24"/>
      <c r="I19281" s="24"/>
      <c r="J19281" s="24"/>
      <c r="K19281" s="24"/>
      <c r="L19281" s="24"/>
      <c r="M19281" s="24"/>
      <c r="N19281" s="24"/>
      <c r="O19281" s="24"/>
      <c r="P19281" s="24"/>
      <c r="Q19281" s="24"/>
      <c r="R19281" s="24"/>
      <c r="S19281" s="24"/>
      <c r="T19281" s="24"/>
      <c r="U19281" s="24"/>
      <c r="V19281" s="24"/>
      <c r="W19281" s="24"/>
      <c r="X19281" s="24"/>
      <c r="Y19281" s="24"/>
      <c r="Z19281" s="24"/>
      <c r="AA19281" s="24"/>
    </row>
    <row r="19282">
      <c r="A19282" s="24"/>
      <c r="B19282" s="25"/>
      <c r="C19282" s="24"/>
      <c r="D19282" s="26"/>
      <c r="E19282" s="24"/>
      <c r="F19282" s="24"/>
      <c r="G19282" s="24"/>
      <c r="H19282" s="24"/>
      <c r="I19282" s="24"/>
      <c r="J19282" s="24"/>
      <c r="K19282" s="24"/>
      <c r="L19282" s="24"/>
      <c r="M19282" s="24"/>
      <c r="N19282" s="24"/>
      <c r="O19282" s="24"/>
      <c r="P19282" s="24"/>
      <c r="Q19282" s="24"/>
      <c r="R19282" s="24"/>
      <c r="S19282" s="24"/>
      <c r="T19282" s="24"/>
      <c r="U19282" s="24"/>
      <c r="V19282" s="24"/>
      <c r="W19282" s="24"/>
      <c r="X19282" s="24"/>
      <c r="Y19282" s="24"/>
      <c r="Z19282" s="24"/>
      <c r="AA19282" s="24"/>
    </row>
    <row r="19283">
      <c r="A19283" s="24"/>
      <c r="B19283" s="25"/>
      <c r="C19283" s="24"/>
      <c r="D19283" s="26"/>
      <c r="E19283" s="24"/>
      <c r="F19283" s="24"/>
      <c r="G19283" s="24"/>
      <c r="H19283" s="24"/>
      <c r="I19283" s="24"/>
      <c r="J19283" s="24"/>
      <c r="K19283" s="24"/>
      <c r="L19283" s="24"/>
      <c r="M19283" s="24"/>
      <c r="N19283" s="24"/>
      <c r="O19283" s="24"/>
      <c r="P19283" s="24"/>
      <c r="Q19283" s="24"/>
      <c r="R19283" s="24"/>
      <c r="S19283" s="24"/>
      <c r="T19283" s="24"/>
      <c r="U19283" s="24"/>
      <c r="V19283" s="24"/>
      <c r="W19283" s="24"/>
      <c r="X19283" s="24"/>
      <c r="Y19283" s="24"/>
      <c r="Z19283" s="24"/>
      <c r="AA19283" s="24"/>
    </row>
    <row r="19284">
      <c r="A19284" s="24"/>
      <c r="B19284" s="25"/>
      <c r="C19284" s="24"/>
      <c r="D19284" s="26"/>
      <c r="E19284" s="24"/>
      <c r="F19284" s="24"/>
      <c r="G19284" s="24"/>
      <c r="H19284" s="24"/>
      <c r="I19284" s="24"/>
      <c r="J19284" s="24"/>
      <c r="K19284" s="24"/>
      <c r="L19284" s="24"/>
      <c r="M19284" s="24"/>
      <c r="N19284" s="24"/>
      <c r="O19284" s="24"/>
      <c r="P19284" s="24"/>
      <c r="Q19284" s="24"/>
      <c r="R19284" s="24"/>
      <c r="S19284" s="24"/>
      <c r="T19284" s="24"/>
      <c r="U19284" s="24"/>
      <c r="V19284" s="24"/>
      <c r="W19284" s="24"/>
      <c r="X19284" s="24"/>
      <c r="Y19284" s="24"/>
      <c r="Z19284" s="24"/>
      <c r="AA19284" s="24"/>
    </row>
    <row r="19285">
      <c r="A19285" s="24"/>
      <c r="B19285" s="25"/>
      <c r="C19285" s="24"/>
      <c r="D19285" s="26"/>
      <c r="E19285" s="24"/>
      <c r="F19285" s="24"/>
      <c r="G19285" s="24"/>
      <c r="H19285" s="24"/>
      <c r="I19285" s="24"/>
      <c r="J19285" s="24"/>
      <c r="K19285" s="24"/>
      <c r="L19285" s="24"/>
      <c r="M19285" s="24"/>
      <c r="N19285" s="24"/>
      <c r="O19285" s="24"/>
      <c r="P19285" s="24"/>
      <c r="Q19285" s="24"/>
      <c r="R19285" s="24"/>
      <c r="S19285" s="24"/>
      <c r="T19285" s="24"/>
      <c r="U19285" s="24"/>
      <c r="V19285" s="24"/>
      <c r="W19285" s="24"/>
      <c r="X19285" s="24"/>
      <c r="Y19285" s="24"/>
      <c r="Z19285" s="24"/>
      <c r="AA19285" s="24"/>
    </row>
    <row r="19286">
      <c r="A19286" s="24"/>
      <c r="B19286" s="25"/>
      <c r="C19286" s="24"/>
      <c r="D19286" s="26"/>
      <c r="E19286" s="24"/>
      <c r="F19286" s="24"/>
      <c r="G19286" s="24"/>
      <c r="H19286" s="24"/>
      <c r="I19286" s="24"/>
      <c r="J19286" s="24"/>
      <c r="K19286" s="24"/>
      <c r="L19286" s="24"/>
      <c r="M19286" s="24"/>
      <c r="N19286" s="24"/>
      <c r="O19286" s="24"/>
      <c r="P19286" s="24"/>
      <c r="Q19286" s="24"/>
      <c r="R19286" s="24"/>
      <c r="S19286" s="24"/>
      <c r="T19286" s="24"/>
      <c r="U19286" s="24"/>
      <c r="V19286" s="24"/>
      <c r="W19286" s="24"/>
      <c r="X19286" s="24"/>
      <c r="Y19286" s="24"/>
      <c r="Z19286" s="24"/>
      <c r="AA19286" s="24"/>
    </row>
    <row r="19287">
      <c r="A19287" s="24"/>
      <c r="B19287" s="25"/>
      <c r="C19287" s="24"/>
      <c r="D19287" s="26"/>
      <c r="E19287" s="24"/>
      <c r="F19287" s="24"/>
      <c r="G19287" s="24"/>
      <c r="H19287" s="24"/>
      <c r="I19287" s="24"/>
      <c r="J19287" s="24"/>
      <c r="K19287" s="24"/>
      <c r="L19287" s="24"/>
      <c r="M19287" s="24"/>
      <c r="N19287" s="24"/>
      <c r="O19287" s="24"/>
      <c r="P19287" s="24"/>
      <c r="Q19287" s="24"/>
      <c r="R19287" s="24"/>
      <c r="S19287" s="24"/>
      <c r="T19287" s="24"/>
      <c r="U19287" s="24"/>
      <c r="V19287" s="24"/>
      <c r="W19287" s="24"/>
      <c r="X19287" s="24"/>
      <c r="Y19287" s="24"/>
      <c r="Z19287" s="24"/>
      <c r="AA19287" s="24"/>
    </row>
    <row r="19288">
      <c r="A19288" s="24"/>
      <c r="B19288" s="25"/>
      <c r="C19288" s="24"/>
      <c r="D19288" s="26"/>
      <c r="E19288" s="24"/>
      <c r="F19288" s="24"/>
      <c r="G19288" s="24"/>
      <c r="H19288" s="24"/>
      <c r="I19288" s="24"/>
      <c r="J19288" s="24"/>
      <c r="K19288" s="24"/>
      <c r="L19288" s="24"/>
      <c r="M19288" s="24"/>
      <c r="N19288" s="24"/>
      <c r="O19288" s="24"/>
      <c r="P19288" s="24"/>
      <c r="Q19288" s="24"/>
      <c r="R19288" s="24"/>
      <c r="S19288" s="24"/>
      <c r="T19288" s="24"/>
      <c r="U19288" s="24"/>
      <c r="V19288" s="24"/>
      <c r="W19288" s="24"/>
      <c r="X19288" s="24"/>
      <c r="Y19288" s="24"/>
      <c r="Z19288" s="24"/>
      <c r="AA19288" s="24"/>
    </row>
    <row r="19289">
      <c r="A19289" s="24"/>
      <c r="B19289" s="25"/>
      <c r="C19289" s="24"/>
      <c r="D19289" s="26"/>
      <c r="E19289" s="24"/>
      <c r="F19289" s="24"/>
      <c r="G19289" s="24"/>
      <c r="H19289" s="24"/>
      <c r="I19289" s="24"/>
      <c r="J19289" s="24"/>
      <c r="K19289" s="24"/>
      <c r="L19289" s="24"/>
      <c r="M19289" s="24"/>
      <c r="N19289" s="24"/>
      <c r="O19289" s="24"/>
      <c r="P19289" s="24"/>
      <c r="Q19289" s="24"/>
      <c r="R19289" s="24"/>
      <c r="S19289" s="24"/>
      <c r="T19289" s="24"/>
      <c r="U19289" s="24"/>
      <c r="V19289" s="24"/>
      <c r="W19289" s="24"/>
      <c r="X19289" s="24"/>
      <c r="Y19289" s="24"/>
      <c r="Z19289" s="24"/>
      <c r="AA19289" s="24"/>
    </row>
    <row r="19290">
      <c r="A19290" s="24"/>
      <c r="B19290" s="25"/>
      <c r="C19290" s="24"/>
      <c r="D19290" s="26"/>
      <c r="E19290" s="24"/>
      <c r="F19290" s="24"/>
      <c r="G19290" s="24"/>
      <c r="H19290" s="24"/>
      <c r="I19290" s="24"/>
      <c r="J19290" s="24"/>
      <c r="K19290" s="24"/>
      <c r="L19290" s="24"/>
      <c r="M19290" s="24"/>
      <c r="N19290" s="24"/>
      <c r="O19290" s="24"/>
      <c r="P19290" s="24"/>
      <c r="Q19290" s="24"/>
      <c r="R19290" s="24"/>
      <c r="S19290" s="24"/>
      <c r="T19290" s="24"/>
      <c r="U19290" s="24"/>
      <c r="V19290" s="24"/>
      <c r="W19290" s="24"/>
      <c r="X19290" s="24"/>
      <c r="Y19290" s="24"/>
      <c r="Z19290" s="24"/>
      <c r="AA19290" s="24"/>
    </row>
    <row r="19291">
      <c r="A19291" s="24"/>
      <c r="B19291" s="25"/>
      <c r="C19291" s="24"/>
      <c r="D19291" s="26"/>
      <c r="E19291" s="24"/>
      <c r="F19291" s="24"/>
      <c r="G19291" s="24"/>
      <c r="H19291" s="24"/>
      <c r="I19291" s="24"/>
      <c r="J19291" s="24"/>
      <c r="K19291" s="24"/>
      <c r="L19291" s="24"/>
      <c r="M19291" s="24"/>
      <c r="N19291" s="24"/>
      <c r="O19291" s="24"/>
      <c r="P19291" s="24"/>
      <c r="Q19291" s="24"/>
      <c r="R19291" s="24"/>
      <c r="S19291" s="24"/>
      <c r="T19291" s="24"/>
      <c r="U19291" s="24"/>
      <c r="V19291" s="24"/>
      <c r="W19291" s="24"/>
      <c r="X19291" s="24"/>
      <c r="Y19291" s="24"/>
      <c r="Z19291" s="24"/>
      <c r="AA19291" s="24"/>
    </row>
    <row r="19292">
      <c r="A19292" s="24"/>
      <c r="B19292" s="25"/>
      <c r="C19292" s="24"/>
      <c r="D19292" s="26"/>
      <c r="E19292" s="24"/>
      <c r="F19292" s="24"/>
      <c r="G19292" s="24"/>
      <c r="H19292" s="24"/>
      <c r="I19292" s="24"/>
      <c r="J19292" s="24"/>
      <c r="K19292" s="24"/>
      <c r="L19292" s="24"/>
      <c r="M19292" s="24"/>
      <c r="N19292" s="24"/>
      <c r="O19292" s="24"/>
      <c r="P19292" s="24"/>
      <c r="Q19292" s="24"/>
      <c r="R19292" s="24"/>
      <c r="S19292" s="24"/>
      <c r="T19292" s="24"/>
      <c r="U19292" s="24"/>
      <c r="V19292" s="24"/>
      <c r="W19292" s="24"/>
      <c r="X19292" s="24"/>
      <c r="Y19292" s="24"/>
      <c r="Z19292" s="24"/>
      <c r="AA19292" s="24"/>
    </row>
    <row r="19293">
      <c r="A19293" s="24"/>
      <c r="B19293" s="25"/>
      <c r="C19293" s="24"/>
      <c r="D19293" s="26"/>
      <c r="E19293" s="24"/>
      <c r="F19293" s="24"/>
      <c r="G19293" s="24"/>
      <c r="H19293" s="24"/>
      <c r="I19293" s="24"/>
      <c r="J19293" s="24"/>
      <c r="K19293" s="24"/>
      <c r="L19293" s="24"/>
      <c r="M19293" s="24"/>
      <c r="N19293" s="24"/>
      <c r="O19293" s="24"/>
      <c r="P19293" s="24"/>
      <c r="Q19293" s="24"/>
      <c r="R19293" s="24"/>
      <c r="S19293" s="24"/>
      <c r="T19293" s="24"/>
      <c r="U19293" s="24"/>
      <c r="V19293" s="24"/>
      <c r="W19293" s="24"/>
      <c r="X19293" s="24"/>
      <c r="Y19293" s="24"/>
      <c r="Z19293" s="24"/>
      <c r="AA19293" s="24"/>
    </row>
    <row r="19294">
      <c r="A19294" s="24"/>
      <c r="B19294" s="25"/>
      <c r="C19294" s="24"/>
      <c r="D19294" s="26"/>
      <c r="E19294" s="24"/>
      <c r="F19294" s="24"/>
      <c r="G19294" s="24"/>
      <c r="H19294" s="24"/>
      <c r="I19294" s="24"/>
      <c r="J19294" s="24"/>
      <c r="K19294" s="24"/>
      <c r="L19294" s="24"/>
      <c r="M19294" s="24"/>
      <c r="N19294" s="24"/>
      <c r="O19294" s="24"/>
      <c r="P19294" s="24"/>
      <c r="Q19294" s="24"/>
      <c r="R19294" s="24"/>
      <c r="S19294" s="24"/>
      <c r="T19294" s="24"/>
      <c r="U19294" s="24"/>
      <c r="V19294" s="24"/>
      <c r="W19294" s="24"/>
      <c r="X19294" s="24"/>
      <c r="Y19294" s="24"/>
      <c r="Z19294" s="24"/>
      <c r="AA19294" s="24"/>
    </row>
    <row r="19295">
      <c r="A19295" s="24"/>
      <c r="B19295" s="25"/>
      <c r="C19295" s="24"/>
      <c r="D19295" s="26"/>
      <c r="E19295" s="24"/>
      <c r="F19295" s="24"/>
      <c r="G19295" s="24"/>
      <c r="H19295" s="24"/>
      <c r="I19295" s="24"/>
      <c r="J19295" s="24"/>
      <c r="K19295" s="24"/>
      <c r="L19295" s="24"/>
      <c r="M19295" s="24"/>
      <c r="N19295" s="24"/>
      <c r="O19295" s="24"/>
      <c r="P19295" s="24"/>
      <c r="Q19295" s="24"/>
      <c r="R19295" s="24"/>
      <c r="S19295" s="24"/>
      <c r="T19295" s="24"/>
      <c r="U19295" s="24"/>
      <c r="V19295" s="24"/>
      <c r="W19295" s="24"/>
      <c r="X19295" s="24"/>
      <c r="Y19295" s="24"/>
      <c r="Z19295" s="24"/>
      <c r="AA19295" s="24"/>
    </row>
    <row r="19296">
      <c r="A19296" s="24"/>
      <c r="B19296" s="25"/>
      <c r="C19296" s="24"/>
      <c r="D19296" s="26"/>
      <c r="E19296" s="24"/>
      <c r="F19296" s="24"/>
      <c r="G19296" s="24"/>
      <c r="H19296" s="24"/>
      <c r="I19296" s="24"/>
      <c r="J19296" s="24"/>
      <c r="K19296" s="24"/>
      <c r="L19296" s="24"/>
      <c r="M19296" s="24"/>
      <c r="N19296" s="24"/>
      <c r="O19296" s="24"/>
      <c r="P19296" s="24"/>
      <c r="Q19296" s="24"/>
      <c r="R19296" s="24"/>
      <c r="S19296" s="24"/>
      <c r="T19296" s="24"/>
      <c r="U19296" s="24"/>
      <c r="V19296" s="24"/>
      <c r="W19296" s="24"/>
      <c r="X19296" s="24"/>
      <c r="Y19296" s="24"/>
      <c r="Z19296" s="24"/>
      <c r="AA19296" s="24"/>
    </row>
    <row r="19297">
      <c r="A19297" s="24"/>
      <c r="B19297" s="25"/>
      <c r="C19297" s="24"/>
      <c r="D19297" s="26"/>
      <c r="E19297" s="24"/>
      <c r="F19297" s="24"/>
      <c r="G19297" s="24"/>
      <c r="H19297" s="24"/>
      <c r="I19297" s="24"/>
      <c r="J19297" s="24"/>
      <c r="K19297" s="24"/>
      <c r="L19297" s="24"/>
      <c r="M19297" s="24"/>
      <c r="N19297" s="24"/>
      <c r="O19297" s="24"/>
      <c r="P19297" s="24"/>
      <c r="Q19297" s="24"/>
      <c r="R19297" s="24"/>
      <c r="S19297" s="24"/>
      <c r="T19297" s="24"/>
      <c r="U19297" s="24"/>
      <c r="V19297" s="24"/>
      <c r="W19297" s="24"/>
      <c r="X19297" s="24"/>
      <c r="Y19297" s="24"/>
      <c r="Z19297" s="24"/>
      <c r="AA19297" s="24"/>
    </row>
    <row r="19298">
      <c r="A19298" s="24"/>
      <c r="B19298" s="25"/>
      <c r="C19298" s="24"/>
      <c r="D19298" s="26"/>
      <c r="E19298" s="24"/>
      <c r="F19298" s="24"/>
      <c r="G19298" s="24"/>
      <c r="H19298" s="24"/>
      <c r="I19298" s="24"/>
      <c r="J19298" s="24"/>
      <c r="K19298" s="24"/>
      <c r="L19298" s="24"/>
      <c r="M19298" s="24"/>
      <c r="N19298" s="24"/>
      <c r="O19298" s="24"/>
      <c r="P19298" s="24"/>
      <c r="Q19298" s="24"/>
      <c r="R19298" s="24"/>
      <c r="S19298" s="24"/>
      <c r="T19298" s="24"/>
      <c r="U19298" s="24"/>
      <c r="V19298" s="24"/>
      <c r="W19298" s="24"/>
      <c r="X19298" s="24"/>
      <c r="Y19298" s="24"/>
      <c r="Z19298" s="24"/>
      <c r="AA19298" s="24"/>
    </row>
    <row r="19299">
      <c r="A19299" s="24"/>
      <c r="B19299" s="25"/>
      <c r="C19299" s="24"/>
      <c r="D19299" s="26"/>
      <c r="E19299" s="24"/>
      <c r="F19299" s="24"/>
      <c r="G19299" s="24"/>
      <c r="H19299" s="24"/>
      <c r="I19299" s="24"/>
      <c r="J19299" s="24"/>
      <c r="K19299" s="24"/>
      <c r="L19299" s="24"/>
      <c r="M19299" s="24"/>
      <c r="N19299" s="24"/>
      <c r="O19299" s="24"/>
      <c r="P19299" s="24"/>
      <c r="Q19299" s="24"/>
      <c r="R19299" s="24"/>
      <c r="S19299" s="24"/>
      <c r="T19299" s="24"/>
      <c r="U19299" s="24"/>
      <c r="V19299" s="24"/>
      <c r="W19299" s="24"/>
      <c r="X19299" s="24"/>
      <c r="Y19299" s="24"/>
      <c r="Z19299" s="24"/>
      <c r="AA19299" s="24"/>
    </row>
    <row r="19300">
      <c r="A19300" s="24"/>
      <c r="B19300" s="25"/>
      <c r="C19300" s="24"/>
      <c r="D19300" s="26"/>
      <c r="E19300" s="24"/>
      <c r="F19300" s="24"/>
      <c r="G19300" s="24"/>
      <c r="H19300" s="24"/>
      <c r="I19300" s="24"/>
      <c r="J19300" s="24"/>
      <c r="K19300" s="24"/>
      <c r="L19300" s="24"/>
      <c r="M19300" s="24"/>
      <c r="N19300" s="24"/>
      <c r="O19300" s="24"/>
      <c r="P19300" s="24"/>
      <c r="Q19300" s="24"/>
      <c r="R19300" s="24"/>
      <c r="S19300" s="24"/>
      <c r="T19300" s="24"/>
      <c r="U19300" s="24"/>
      <c r="V19300" s="24"/>
      <c r="W19300" s="24"/>
      <c r="X19300" s="24"/>
      <c r="Y19300" s="24"/>
      <c r="Z19300" s="24"/>
      <c r="AA19300" s="24"/>
    </row>
    <row r="19301">
      <c r="A19301" s="24"/>
      <c r="B19301" s="25"/>
      <c r="C19301" s="24"/>
      <c r="D19301" s="26"/>
      <c r="E19301" s="24"/>
      <c r="F19301" s="24"/>
      <c r="G19301" s="24"/>
      <c r="H19301" s="24"/>
      <c r="I19301" s="24"/>
      <c r="J19301" s="24"/>
      <c r="K19301" s="24"/>
      <c r="L19301" s="24"/>
      <c r="M19301" s="24"/>
      <c r="N19301" s="24"/>
      <c r="O19301" s="24"/>
      <c r="P19301" s="24"/>
      <c r="Q19301" s="24"/>
      <c r="R19301" s="24"/>
      <c r="S19301" s="24"/>
      <c r="T19301" s="24"/>
      <c r="U19301" s="24"/>
      <c r="V19301" s="24"/>
      <c r="W19301" s="24"/>
      <c r="X19301" s="24"/>
      <c r="Y19301" s="24"/>
      <c r="Z19301" s="24"/>
      <c r="AA19301" s="24"/>
    </row>
    <row r="19302">
      <c r="A19302" s="24"/>
      <c r="B19302" s="25"/>
      <c r="C19302" s="24"/>
      <c r="D19302" s="26"/>
      <c r="E19302" s="24"/>
      <c r="F19302" s="24"/>
      <c r="G19302" s="24"/>
      <c r="H19302" s="24"/>
      <c r="I19302" s="24"/>
      <c r="J19302" s="24"/>
      <c r="K19302" s="24"/>
      <c r="L19302" s="24"/>
      <c r="M19302" s="24"/>
      <c r="N19302" s="24"/>
      <c r="O19302" s="24"/>
      <c r="P19302" s="24"/>
      <c r="Q19302" s="24"/>
      <c r="R19302" s="24"/>
      <c r="S19302" s="24"/>
      <c r="T19302" s="24"/>
      <c r="U19302" s="24"/>
      <c r="V19302" s="24"/>
      <c r="W19302" s="24"/>
      <c r="X19302" s="24"/>
      <c r="Y19302" s="24"/>
      <c r="Z19302" s="24"/>
      <c r="AA19302" s="24"/>
    </row>
    <row r="19303">
      <c r="A19303" s="24"/>
      <c r="B19303" s="25"/>
      <c r="C19303" s="24"/>
      <c r="D19303" s="26"/>
      <c r="E19303" s="24"/>
      <c r="F19303" s="24"/>
      <c r="G19303" s="24"/>
      <c r="H19303" s="24"/>
      <c r="I19303" s="24"/>
      <c r="J19303" s="24"/>
      <c r="K19303" s="24"/>
      <c r="L19303" s="24"/>
      <c r="M19303" s="24"/>
      <c r="N19303" s="24"/>
      <c r="O19303" s="24"/>
      <c r="P19303" s="24"/>
      <c r="Q19303" s="24"/>
      <c r="R19303" s="24"/>
      <c r="S19303" s="24"/>
      <c r="T19303" s="24"/>
      <c r="U19303" s="24"/>
      <c r="V19303" s="24"/>
      <c r="W19303" s="24"/>
      <c r="X19303" s="24"/>
      <c r="Y19303" s="24"/>
      <c r="Z19303" s="24"/>
      <c r="AA19303" s="24"/>
    </row>
    <row r="19304">
      <c r="A19304" s="24"/>
      <c r="B19304" s="25"/>
      <c r="C19304" s="24"/>
      <c r="D19304" s="26"/>
      <c r="E19304" s="24"/>
      <c r="F19304" s="24"/>
      <c r="G19304" s="24"/>
      <c r="H19304" s="24"/>
      <c r="I19304" s="24"/>
      <c r="J19304" s="24"/>
      <c r="K19304" s="24"/>
      <c r="L19304" s="24"/>
      <c r="M19304" s="24"/>
      <c r="N19304" s="24"/>
      <c r="O19304" s="24"/>
      <c r="P19304" s="24"/>
      <c r="Q19304" s="24"/>
      <c r="R19304" s="24"/>
      <c r="S19304" s="24"/>
      <c r="T19304" s="24"/>
      <c r="U19304" s="24"/>
      <c r="V19304" s="24"/>
      <c r="W19304" s="24"/>
      <c r="X19304" s="24"/>
      <c r="Y19304" s="24"/>
      <c r="Z19304" s="24"/>
      <c r="AA19304" s="24"/>
    </row>
    <row r="19305">
      <c r="A19305" s="24"/>
      <c r="B19305" s="25"/>
      <c r="C19305" s="24"/>
      <c r="D19305" s="26"/>
      <c r="E19305" s="24"/>
      <c r="F19305" s="24"/>
      <c r="G19305" s="24"/>
      <c r="H19305" s="24"/>
      <c r="I19305" s="24"/>
      <c r="J19305" s="24"/>
      <c r="K19305" s="24"/>
      <c r="L19305" s="24"/>
      <c r="M19305" s="24"/>
      <c r="N19305" s="24"/>
      <c r="O19305" s="24"/>
      <c r="P19305" s="24"/>
      <c r="Q19305" s="24"/>
      <c r="R19305" s="24"/>
      <c r="S19305" s="24"/>
      <c r="T19305" s="24"/>
      <c r="U19305" s="24"/>
      <c r="V19305" s="24"/>
      <c r="W19305" s="24"/>
      <c r="X19305" s="24"/>
      <c r="Y19305" s="24"/>
      <c r="Z19305" s="24"/>
      <c r="AA19305" s="24"/>
    </row>
    <row r="19306">
      <c r="A19306" s="24"/>
      <c r="B19306" s="25"/>
      <c r="C19306" s="24"/>
      <c r="D19306" s="26"/>
      <c r="E19306" s="24"/>
      <c r="F19306" s="24"/>
      <c r="G19306" s="24"/>
      <c r="H19306" s="24"/>
      <c r="I19306" s="24"/>
      <c r="J19306" s="24"/>
      <c r="K19306" s="24"/>
      <c r="L19306" s="24"/>
      <c r="M19306" s="24"/>
      <c r="N19306" s="24"/>
      <c r="O19306" s="24"/>
      <c r="P19306" s="24"/>
      <c r="Q19306" s="24"/>
      <c r="R19306" s="24"/>
      <c r="S19306" s="24"/>
      <c r="T19306" s="24"/>
      <c r="U19306" s="24"/>
      <c r="V19306" s="24"/>
      <c r="W19306" s="24"/>
      <c r="X19306" s="24"/>
      <c r="Y19306" s="24"/>
      <c r="Z19306" s="24"/>
      <c r="AA19306" s="24"/>
    </row>
    <row r="19307">
      <c r="A19307" s="24"/>
      <c r="B19307" s="25"/>
      <c r="C19307" s="24"/>
      <c r="D19307" s="26"/>
      <c r="E19307" s="24"/>
      <c r="F19307" s="24"/>
      <c r="G19307" s="24"/>
      <c r="H19307" s="24"/>
      <c r="I19307" s="24"/>
      <c r="J19307" s="24"/>
      <c r="K19307" s="24"/>
      <c r="L19307" s="24"/>
      <c r="M19307" s="24"/>
      <c r="N19307" s="24"/>
      <c r="O19307" s="24"/>
      <c r="P19307" s="24"/>
      <c r="Q19307" s="24"/>
      <c r="R19307" s="24"/>
      <c r="S19307" s="24"/>
      <c r="T19307" s="24"/>
      <c r="U19307" s="24"/>
      <c r="V19307" s="24"/>
      <c r="W19307" s="24"/>
      <c r="X19307" s="24"/>
      <c r="Y19307" s="24"/>
      <c r="Z19307" s="24"/>
      <c r="AA19307" s="24"/>
    </row>
    <row r="19308">
      <c r="A19308" s="24"/>
      <c r="B19308" s="25"/>
      <c r="C19308" s="24"/>
      <c r="D19308" s="26"/>
      <c r="E19308" s="24"/>
      <c r="F19308" s="24"/>
      <c r="G19308" s="24"/>
      <c r="H19308" s="24"/>
      <c r="I19308" s="24"/>
      <c r="J19308" s="24"/>
      <c r="K19308" s="24"/>
      <c r="L19308" s="24"/>
      <c r="M19308" s="24"/>
      <c r="N19308" s="24"/>
      <c r="O19308" s="24"/>
      <c r="P19308" s="24"/>
      <c r="Q19308" s="24"/>
      <c r="R19308" s="24"/>
      <c r="S19308" s="24"/>
      <c r="T19308" s="24"/>
      <c r="U19308" s="24"/>
      <c r="V19308" s="24"/>
      <c r="W19308" s="24"/>
      <c r="X19308" s="24"/>
      <c r="Y19308" s="24"/>
      <c r="Z19308" s="24"/>
      <c r="AA19308" s="24"/>
    </row>
    <row r="19309">
      <c r="A19309" s="24"/>
      <c r="B19309" s="25"/>
      <c r="C19309" s="24"/>
      <c r="D19309" s="26"/>
      <c r="E19309" s="24"/>
      <c r="F19309" s="24"/>
      <c r="G19309" s="24"/>
      <c r="H19309" s="24"/>
      <c r="I19309" s="24"/>
      <c r="J19309" s="24"/>
      <c r="K19309" s="24"/>
      <c r="L19309" s="24"/>
      <c r="M19309" s="24"/>
      <c r="N19309" s="24"/>
      <c r="O19309" s="24"/>
      <c r="P19309" s="24"/>
      <c r="Q19309" s="24"/>
      <c r="R19309" s="24"/>
      <c r="S19309" s="24"/>
      <c r="T19309" s="24"/>
      <c r="U19309" s="24"/>
      <c r="V19309" s="24"/>
      <c r="W19309" s="24"/>
      <c r="X19309" s="24"/>
      <c r="Y19309" s="24"/>
      <c r="Z19309" s="24"/>
      <c r="AA19309" s="24"/>
    </row>
    <row r="19310">
      <c r="A19310" s="24"/>
      <c r="B19310" s="25"/>
      <c r="C19310" s="24"/>
      <c r="D19310" s="26"/>
      <c r="E19310" s="24"/>
      <c r="F19310" s="24"/>
      <c r="G19310" s="24"/>
      <c r="H19310" s="24"/>
      <c r="I19310" s="24"/>
      <c r="J19310" s="24"/>
      <c r="K19310" s="24"/>
      <c r="L19310" s="24"/>
      <c r="M19310" s="24"/>
      <c r="N19310" s="24"/>
      <c r="O19310" s="24"/>
      <c r="P19310" s="24"/>
      <c r="Q19310" s="24"/>
      <c r="R19310" s="24"/>
      <c r="S19310" s="24"/>
      <c r="T19310" s="24"/>
      <c r="U19310" s="24"/>
      <c r="V19310" s="24"/>
      <c r="W19310" s="24"/>
      <c r="X19310" s="24"/>
      <c r="Y19310" s="24"/>
      <c r="Z19310" s="24"/>
      <c r="AA19310" s="24"/>
    </row>
    <row r="19311">
      <c r="A19311" s="24"/>
      <c r="B19311" s="25"/>
      <c r="C19311" s="24"/>
      <c r="D19311" s="26"/>
      <c r="E19311" s="24"/>
      <c r="F19311" s="24"/>
      <c r="G19311" s="24"/>
      <c r="H19311" s="24"/>
      <c r="I19311" s="24"/>
      <c r="J19311" s="24"/>
      <c r="K19311" s="24"/>
      <c r="L19311" s="24"/>
      <c r="M19311" s="24"/>
      <c r="N19311" s="24"/>
      <c r="O19311" s="24"/>
      <c r="P19311" s="24"/>
      <c r="Q19311" s="24"/>
      <c r="R19311" s="24"/>
      <c r="S19311" s="24"/>
      <c r="T19311" s="24"/>
      <c r="U19311" s="24"/>
      <c r="V19311" s="24"/>
      <c r="W19311" s="24"/>
      <c r="X19311" s="24"/>
      <c r="Y19311" s="24"/>
      <c r="Z19311" s="24"/>
      <c r="AA19311" s="24"/>
    </row>
    <row r="19312">
      <c r="A19312" s="24"/>
      <c r="B19312" s="25"/>
      <c r="C19312" s="24"/>
      <c r="D19312" s="26"/>
      <c r="E19312" s="24"/>
      <c r="F19312" s="24"/>
      <c r="G19312" s="24"/>
      <c r="H19312" s="24"/>
      <c r="I19312" s="24"/>
      <c r="J19312" s="24"/>
      <c r="K19312" s="24"/>
      <c r="L19312" s="24"/>
      <c r="M19312" s="24"/>
      <c r="N19312" s="24"/>
      <c r="O19312" s="24"/>
      <c r="P19312" s="24"/>
      <c r="Q19312" s="24"/>
      <c r="R19312" s="24"/>
      <c r="S19312" s="24"/>
      <c r="T19312" s="24"/>
      <c r="U19312" s="24"/>
      <c r="V19312" s="24"/>
      <c r="W19312" s="24"/>
      <c r="X19312" s="24"/>
      <c r="Y19312" s="24"/>
      <c r="Z19312" s="24"/>
      <c r="AA19312" s="24"/>
    </row>
    <row r="19313">
      <c r="A19313" s="24"/>
      <c r="B19313" s="25"/>
      <c r="C19313" s="24"/>
      <c r="D19313" s="26"/>
      <c r="E19313" s="24"/>
      <c r="F19313" s="24"/>
      <c r="G19313" s="24"/>
      <c r="H19313" s="24"/>
      <c r="I19313" s="24"/>
      <c r="J19313" s="24"/>
      <c r="K19313" s="24"/>
      <c r="L19313" s="24"/>
      <c r="M19313" s="24"/>
      <c r="N19313" s="24"/>
      <c r="O19313" s="24"/>
      <c r="P19313" s="24"/>
      <c r="Q19313" s="24"/>
      <c r="R19313" s="24"/>
      <c r="S19313" s="24"/>
      <c r="T19313" s="24"/>
      <c r="U19313" s="24"/>
      <c r="V19313" s="24"/>
      <c r="W19313" s="24"/>
      <c r="X19313" s="24"/>
      <c r="Y19313" s="24"/>
      <c r="Z19313" s="24"/>
      <c r="AA19313" s="24"/>
    </row>
    <row r="19314">
      <c r="A19314" s="24"/>
      <c r="B19314" s="25"/>
      <c r="C19314" s="24"/>
      <c r="D19314" s="26"/>
      <c r="E19314" s="24"/>
      <c r="F19314" s="24"/>
      <c r="G19314" s="24"/>
      <c r="H19314" s="24"/>
      <c r="I19314" s="24"/>
      <c r="J19314" s="24"/>
      <c r="K19314" s="24"/>
      <c r="L19314" s="24"/>
      <c r="M19314" s="24"/>
      <c r="N19314" s="24"/>
      <c r="O19314" s="24"/>
      <c r="P19314" s="24"/>
      <c r="Q19314" s="24"/>
      <c r="R19314" s="24"/>
      <c r="S19314" s="24"/>
      <c r="T19314" s="24"/>
      <c r="U19314" s="24"/>
      <c r="V19314" s="24"/>
      <c r="W19314" s="24"/>
      <c r="X19314" s="24"/>
      <c r="Y19314" s="24"/>
      <c r="Z19314" s="24"/>
      <c r="AA19314" s="24"/>
    </row>
    <row r="19315">
      <c r="A19315" s="24"/>
      <c r="B19315" s="25"/>
      <c r="C19315" s="24"/>
      <c r="D19315" s="26"/>
      <c r="E19315" s="24"/>
      <c r="F19315" s="24"/>
      <c r="G19315" s="24"/>
      <c r="H19315" s="24"/>
      <c r="I19315" s="24"/>
      <c r="J19315" s="24"/>
      <c r="K19315" s="24"/>
      <c r="L19315" s="24"/>
      <c r="M19315" s="24"/>
      <c r="N19315" s="24"/>
      <c r="O19315" s="24"/>
      <c r="P19315" s="24"/>
      <c r="Q19315" s="24"/>
      <c r="R19315" s="24"/>
      <c r="S19315" s="24"/>
      <c r="T19315" s="24"/>
      <c r="U19315" s="24"/>
      <c r="V19315" s="24"/>
      <c r="W19315" s="24"/>
      <c r="X19315" s="24"/>
      <c r="Y19315" s="24"/>
      <c r="Z19315" s="24"/>
      <c r="AA19315" s="24"/>
    </row>
    <row r="19316">
      <c r="A19316" s="24"/>
      <c r="B19316" s="25"/>
      <c r="C19316" s="24"/>
      <c r="D19316" s="26"/>
      <c r="E19316" s="24"/>
      <c r="F19316" s="24"/>
      <c r="G19316" s="24"/>
      <c r="H19316" s="24"/>
      <c r="I19316" s="24"/>
      <c r="J19316" s="24"/>
      <c r="K19316" s="24"/>
      <c r="L19316" s="24"/>
      <c r="M19316" s="24"/>
      <c r="N19316" s="24"/>
      <c r="O19316" s="24"/>
      <c r="P19316" s="24"/>
      <c r="Q19316" s="24"/>
      <c r="R19316" s="24"/>
      <c r="S19316" s="24"/>
      <c r="T19316" s="24"/>
      <c r="U19316" s="24"/>
      <c r="V19316" s="24"/>
      <c r="W19316" s="24"/>
      <c r="X19316" s="24"/>
      <c r="Y19316" s="24"/>
      <c r="Z19316" s="24"/>
      <c r="AA19316" s="24"/>
    </row>
    <row r="19317">
      <c r="A19317" s="24"/>
      <c r="B19317" s="25"/>
      <c r="C19317" s="24"/>
      <c r="D19317" s="26"/>
      <c r="E19317" s="24"/>
      <c r="F19317" s="24"/>
      <c r="G19317" s="24"/>
      <c r="H19317" s="24"/>
      <c r="I19317" s="24"/>
      <c r="J19317" s="24"/>
      <c r="K19317" s="24"/>
      <c r="L19317" s="24"/>
      <c r="M19317" s="24"/>
      <c r="N19317" s="24"/>
      <c r="O19317" s="24"/>
      <c r="P19317" s="24"/>
      <c r="Q19317" s="24"/>
      <c r="R19317" s="24"/>
      <c r="S19317" s="24"/>
      <c r="T19317" s="24"/>
      <c r="U19317" s="24"/>
      <c r="V19317" s="24"/>
      <c r="W19317" s="24"/>
      <c r="X19317" s="24"/>
      <c r="Y19317" s="24"/>
      <c r="Z19317" s="24"/>
      <c r="AA19317" s="24"/>
    </row>
    <row r="19318">
      <c r="A19318" s="24"/>
      <c r="B19318" s="25"/>
      <c r="C19318" s="24"/>
      <c r="D19318" s="26"/>
      <c r="E19318" s="24"/>
      <c r="F19318" s="24"/>
      <c r="G19318" s="24"/>
      <c r="H19318" s="24"/>
      <c r="I19318" s="24"/>
      <c r="J19318" s="24"/>
      <c r="K19318" s="24"/>
      <c r="L19318" s="24"/>
      <c r="M19318" s="24"/>
      <c r="N19318" s="24"/>
      <c r="O19318" s="24"/>
      <c r="P19318" s="24"/>
      <c r="Q19318" s="24"/>
      <c r="R19318" s="24"/>
      <c r="S19318" s="24"/>
      <c r="T19318" s="24"/>
      <c r="U19318" s="24"/>
      <c r="V19318" s="24"/>
      <c r="W19318" s="24"/>
      <c r="X19318" s="24"/>
      <c r="Y19318" s="24"/>
      <c r="Z19318" s="24"/>
      <c r="AA19318" s="24"/>
    </row>
    <row r="19319">
      <c r="A19319" s="24"/>
      <c r="B19319" s="25"/>
      <c r="C19319" s="24"/>
      <c r="D19319" s="26"/>
      <c r="E19319" s="24"/>
      <c r="F19319" s="24"/>
      <c r="G19319" s="24"/>
      <c r="H19319" s="24"/>
      <c r="I19319" s="24"/>
      <c r="J19319" s="24"/>
      <c r="K19319" s="24"/>
      <c r="L19319" s="24"/>
      <c r="M19319" s="24"/>
      <c r="N19319" s="24"/>
      <c r="O19319" s="24"/>
      <c r="P19319" s="24"/>
      <c r="Q19319" s="24"/>
      <c r="R19319" s="24"/>
      <c r="S19319" s="24"/>
      <c r="T19319" s="24"/>
      <c r="U19319" s="24"/>
      <c r="V19319" s="24"/>
      <c r="W19319" s="24"/>
      <c r="X19319" s="24"/>
      <c r="Y19319" s="24"/>
      <c r="Z19319" s="24"/>
      <c r="AA19319" s="24"/>
    </row>
    <row r="19320">
      <c r="A19320" s="24"/>
      <c r="B19320" s="25"/>
      <c r="C19320" s="24"/>
      <c r="D19320" s="26"/>
      <c r="E19320" s="24"/>
      <c r="F19320" s="24"/>
      <c r="G19320" s="24"/>
      <c r="H19320" s="24"/>
      <c r="I19320" s="24"/>
      <c r="J19320" s="24"/>
      <c r="K19320" s="24"/>
      <c r="L19320" s="24"/>
      <c r="M19320" s="24"/>
      <c r="N19320" s="24"/>
      <c r="O19320" s="24"/>
      <c r="P19320" s="24"/>
      <c r="Q19320" s="24"/>
      <c r="R19320" s="24"/>
      <c r="S19320" s="24"/>
      <c r="T19320" s="24"/>
      <c r="U19320" s="24"/>
      <c r="V19320" s="24"/>
      <c r="W19320" s="24"/>
      <c r="X19320" s="24"/>
      <c r="Y19320" s="24"/>
      <c r="Z19320" s="24"/>
      <c r="AA19320" s="24"/>
    </row>
    <row r="19321">
      <c r="A19321" s="24"/>
      <c r="B19321" s="25"/>
      <c r="C19321" s="24"/>
      <c r="D19321" s="26"/>
      <c r="E19321" s="24"/>
      <c r="F19321" s="24"/>
      <c r="G19321" s="24"/>
      <c r="H19321" s="24"/>
      <c r="I19321" s="24"/>
      <c r="J19321" s="24"/>
      <c r="K19321" s="24"/>
      <c r="L19321" s="24"/>
      <c r="M19321" s="24"/>
      <c r="N19321" s="24"/>
      <c r="O19321" s="24"/>
      <c r="P19321" s="24"/>
      <c r="Q19321" s="24"/>
      <c r="R19321" s="24"/>
      <c r="S19321" s="24"/>
      <c r="T19321" s="24"/>
      <c r="U19321" s="24"/>
      <c r="V19321" s="24"/>
      <c r="W19321" s="24"/>
      <c r="X19321" s="24"/>
      <c r="Y19321" s="24"/>
      <c r="Z19321" s="24"/>
      <c r="AA19321" s="24"/>
    </row>
    <row r="19322">
      <c r="A19322" s="24"/>
      <c r="B19322" s="25"/>
      <c r="C19322" s="24"/>
      <c r="D19322" s="26"/>
      <c r="E19322" s="24"/>
      <c r="F19322" s="24"/>
      <c r="G19322" s="24"/>
      <c r="H19322" s="24"/>
      <c r="I19322" s="24"/>
      <c r="J19322" s="24"/>
      <c r="K19322" s="24"/>
      <c r="L19322" s="24"/>
      <c r="M19322" s="24"/>
      <c r="N19322" s="24"/>
      <c r="O19322" s="24"/>
      <c r="P19322" s="24"/>
      <c r="Q19322" s="24"/>
      <c r="R19322" s="24"/>
      <c r="S19322" s="24"/>
      <c r="T19322" s="24"/>
      <c r="U19322" s="24"/>
      <c r="V19322" s="24"/>
      <c r="W19322" s="24"/>
      <c r="X19322" s="24"/>
      <c r="Y19322" s="24"/>
      <c r="Z19322" s="24"/>
      <c r="AA19322" s="24"/>
    </row>
    <row r="19323">
      <c r="A19323" s="24"/>
      <c r="B19323" s="25"/>
      <c r="C19323" s="24"/>
      <c r="D19323" s="26"/>
      <c r="E19323" s="24"/>
      <c r="F19323" s="24"/>
      <c r="G19323" s="24"/>
      <c r="H19323" s="24"/>
      <c r="I19323" s="24"/>
      <c r="J19323" s="24"/>
      <c r="K19323" s="24"/>
      <c r="L19323" s="24"/>
      <c r="M19323" s="24"/>
      <c r="N19323" s="24"/>
      <c r="O19323" s="24"/>
      <c r="P19323" s="24"/>
      <c r="Q19323" s="24"/>
      <c r="R19323" s="24"/>
      <c r="S19323" s="24"/>
      <c r="T19323" s="24"/>
      <c r="U19323" s="24"/>
      <c r="V19323" s="24"/>
      <c r="W19323" s="24"/>
      <c r="X19323" s="24"/>
      <c r="Y19323" s="24"/>
      <c r="Z19323" s="24"/>
      <c r="AA19323" s="24"/>
    </row>
    <row r="19324">
      <c r="A19324" s="24"/>
      <c r="B19324" s="25"/>
      <c r="C19324" s="24"/>
      <c r="D19324" s="26"/>
      <c r="E19324" s="24"/>
      <c r="F19324" s="24"/>
      <c r="G19324" s="24"/>
      <c r="H19324" s="24"/>
      <c r="I19324" s="24"/>
      <c r="J19324" s="24"/>
      <c r="K19324" s="24"/>
      <c r="L19324" s="24"/>
      <c r="M19324" s="24"/>
      <c r="N19324" s="24"/>
      <c r="O19324" s="24"/>
      <c r="P19324" s="24"/>
      <c r="Q19324" s="24"/>
      <c r="R19324" s="24"/>
      <c r="S19324" s="24"/>
      <c r="T19324" s="24"/>
      <c r="U19324" s="24"/>
      <c r="V19324" s="24"/>
      <c r="W19324" s="24"/>
      <c r="X19324" s="24"/>
      <c r="Y19324" s="24"/>
      <c r="Z19324" s="24"/>
      <c r="AA19324" s="24"/>
    </row>
    <row r="19325">
      <c r="A19325" s="24"/>
      <c r="B19325" s="25"/>
      <c r="C19325" s="24"/>
      <c r="D19325" s="26"/>
      <c r="E19325" s="24"/>
      <c r="F19325" s="24"/>
      <c r="G19325" s="24"/>
      <c r="H19325" s="24"/>
      <c r="I19325" s="24"/>
      <c r="J19325" s="24"/>
      <c r="K19325" s="24"/>
      <c r="L19325" s="24"/>
      <c r="M19325" s="24"/>
      <c r="N19325" s="24"/>
      <c r="O19325" s="24"/>
      <c r="P19325" s="24"/>
      <c r="Q19325" s="24"/>
      <c r="R19325" s="24"/>
      <c r="S19325" s="24"/>
      <c r="T19325" s="24"/>
      <c r="U19325" s="24"/>
      <c r="V19325" s="24"/>
      <c r="W19325" s="24"/>
      <c r="X19325" s="24"/>
      <c r="Y19325" s="24"/>
      <c r="Z19325" s="24"/>
      <c r="AA19325" s="24"/>
    </row>
    <row r="19326">
      <c r="A19326" s="24"/>
      <c r="B19326" s="25"/>
      <c r="C19326" s="24"/>
      <c r="D19326" s="26"/>
      <c r="E19326" s="24"/>
      <c r="F19326" s="24"/>
      <c r="G19326" s="24"/>
      <c r="H19326" s="24"/>
      <c r="I19326" s="24"/>
      <c r="J19326" s="24"/>
      <c r="K19326" s="24"/>
      <c r="L19326" s="24"/>
      <c r="M19326" s="24"/>
      <c r="N19326" s="24"/>
      <c r="O19326" s="24"/>
      <c r="P19326" s="24"/>
      <c r="Q19326" s="24"/>
      <c r="R19326" s="24"/>
      <c r="S19326" s="24"/>
      <c r="T19326" s="24"/>
      <c r="U19326" s="24"/>
      <c r="V19326" s="24"/>
      <c r="W19326" s="24"/>
      <c r="X19326" s="24"/>
      <c r="Y19326" s="24"/>
      <c r="Z19326" s="24"/>
      <c r="AA19326" s="24"/>
    </row>
    <row r="19327">
      <c r="A19327" s="24"/>
      <c r="B19327" s="25"/>
      <c r="C19327" s="24"/>
      <c r="D19327" s="26"/>
      <c r="E19327" s="24"/>
      <c r="F19327" s="24"/>
      <c r="G19327" s="24"/>
      <c r="H19327" s="24"/>
      <c r="I19327" s="24"/>
      <c r="J19327" s="24"/>
      <c r="K19327" s="24"/>
      <c r="L19327" s="24"/>
      <c r="M19327" s="24"/>
      <c r="N19327" s="24"/>
      <c r="O19327" s="24"/>
      <c r="P19327" s="24"/>
      <c r="Q19327" s="24"/>
      <c r="R19327" s="24"/>
      <c r="S19327" s="24"/>
      <c r="T19327" s="24"/>
      <c r="U19327" s="24"/>
      <c r="V19327" s="24"/>
      <c r="W19327" s="24"/>
      <c r="X19327" s="24"/>
      <c r="Y19327" s="24"/>
      <c r="Z19327" s="24"/>
      <c r="AA19327" s="24"/>
    </row>
    <row r="19328">
      <c r="A19328" s="24"/>
      <c r="B19328" s="25"/>
      <c r="C19328" s="24"/>
      <c r="D19328" s="26"/>
      <c r="E19328" s="24"/>
      <c r="F19328" s="24"/>
      <c r="G19328" s="24"/>
      <c r="H19328" s="24"/>
      <c r="I19328" s="24"/>
      <c r="J19328" s="24"/>
      <c r="K19328" s="24"/>
      <c r="L19328" s="24"/>
      <c r="M19328" s="24"/>
      <c r="N19328" s="24"/>
      <c r="O19328" s="24"/>
      <c r="P19328" s="24"/>
      <c r="Q19328" s="24"/>
      <c r="R19328" s="24"/>
      <c r="S19328" s="24"/>
      <c r="T19328" s="24"/>
      <c r="U19328" s="24"/>
      <c r="V19328" s="24"/>
      <c r="W19328" s="24"/>
      <c r="X19328" s="24"/>
      <c r="Y19328" s="24"/>
      <c r="Z19328" s="24"/>
      <c r="AA19328" s="24"/>
    </row>
    <row r="19329">
      <c r="A19329" s="24"/>
      <c r="B19329" s="25"/>
      <c r="C19329" s="24"/>
      <c r="D19329" s="26"/>
      <c r="E19329" s="24"/>
      <c r="F19329" s="24"/>
      <c r="G19329" s="24"/>
      <c r="H19329" s="24"/>
      <c r="I19329" s="24"/>
      <c r="J19329" s="24"/>
      <c r="K19329" s="24"/>
      <c r="L19329" s="24"/>
      <c r="M19329" s="24"/>
      <c r="N19329" s="24"/>
      <c r="O19329" s="24"/>
      <c r="P19329" s="24"/>
      <c r="Q19329" s="24"/>
      <c r="R19329" s="24"/>
      <c r="S19329" s="24"/>
      <c r="T19329" s="24"/>
      <c r="U19329" s="24"/>
      <c r="V19329" s="24"/>
      <c r="W19329" s="24"/>
      <c r="X19329" s="24"/>
      <c r="Y19329" s="24"/>
      <c r="Z19329" s="24"/>
      <c r="AA19329" s="24"/>
    </row>
    <row r="19330">
      <c r="A19330" s="24"/>
      <c r="B19330" s="25"/>
      <c r="C19330" s="24"/>
      <c r="D19330" s="26"/>
      <c r="E19330" s="24"/>
      <c r="F19330" s="24"/>
      <c r="G19330" s="24"/>
      <c r="H19330" s="24"/>
      <c r="I19330" s="24"/>
      <c r="J19330" s="24"/>
      <c r="K19330" s="24"/>
      <c r="L19330" s="24"/>
      <c r="M19330" s="24"/>
      <c r="N19330" s="24"/>
      <c r="O19330" s="24"/>
      <c r="P19330" s="24"/>
      <c r="Q19330" s="24"/>
      <c r="R19330" s="24"/>
      <c r="S19330" s="24"/>
      <c r="T19330" s="24"/>
      <c r="U19330" s="24"/>
      <c r="V19330" s="24"/>
      <c r="W19330" s="24"/>
      <c r="X19330" s="24"/>
      <c r="Y19330" s="24"/>
      <c r="Z19330" s="24"/>
      <c r="AA19330" s="24"/>
    </row>
    <row r="19331">
      <c r="A19331" s="24"/>
      <c r="B19331" s="25"/>
      <c r="C19331" s="24"/>
      <c r="D19331" s="26"/>
      <c r="E19331" s="24"/>
      <c r="F19331" s="24"/>
      <c r="G19331" s="24"/>
      <c r="H19331" s="24"/>
      <c r="I19331" s="24"/>
      <c r="J19331" s="24"/>
      <c r="K19331" s="24"/>
      <c r="L19331" s="24"/>
      <c r="M19331" s="24"/>
      <c r="N19331" s="24"/>
      <c r="O19331" s="24"/>
      <c r="P19331" s="24"/>
      <c r="Q19331" s="24"/>
      <c r="R19331" s="24"/>
      <c r="S19331" s="24"/>
      <c r="T19331" s="24"/>
      <c r="U19331" s="24"/>
      <c r="V19331" s="24"/>
      <c r="W19331" s="24"/>
      <c r="X19331" s="24"/>
      <c r="Y19331" s="24"/>
      <c r="Z19331" s="24"/>
      <c r="AA19331" s="24"/>
    </row>
    <row r="19332">
      <c r="A19332" s="24"/>
      <c r="B19332" s="25"/>
      <c r="C19332" s="24"/>
      <c r="D19332" s="26"/>
      <c r="E19332" s="24"/>
      <c r="F19332" s="24"/>
      <c r="G19332" s="24"/>
      <c r="H19332" s="24"/>
      <c r="I19332" s="24"/>
      <c r="J19332" s="24"/>
      <c r="K19332" s="24"/>
      <c r="L19332" s="24"/>
      <c r="M19332" s="24"/>
      <c r="N19332" s="24"/>
      <c r="O19332" s="24"/>
      <c r="P19332" s="24"/>
      <c r="Q19332" s="24"/>
      <c r="R19332" s="24"/>
      <c r="S19332" s="24"/>
      <c r="T19332" s="24"/>
      <c r="U19332" s="24"/>
      <c r="V19332" s="24"/>
      <c r="W19332" s="24"/>
      <c r="X19332" s="24"/>
      <c r="Y19332" s="24"/>
      <c r="Z19332" s="24"/>
      <c r="AA19332" s="24"/>
    </row>
    <row r="19333">
      <c r="A19333" s="24"/>
      <c r="B19333" s="25"/>
      <c r="C19333" s="24"/>
      <c r="D19333" s="26"/>
      <c r="E19333" s="24"/>
      <c r="F19333" s="24"/>
      <c r="G19333" s="24"/>
      <c r="H19333" s="24"/>
      <c r="I19333" s="24"/>
      <c r="J19333" s="24"/>
      <c r="K19333" s="24"/>
      <c r="L19333" s="24"/>
      <c r="M19333" s="24"/>
      <c r="N19333" s="24"/>
      <c r="O19333" s="24"/>
      <c r="P19333" s="24"/>
      <c r="Q19333" s="24"/>
      <c r="R19333" s="24"/>
      <c r="S19333" s="24"/>
      <c r="T19333" s="24"/>
      <c r="U19333" s="24"/>
      <c r="V19333" s="24"/>
      <c r="W19333" s="24"/>
      <c r="X19333" s="24"/>
      <c r="Y19333" s="24"/>
      <c r="Z19333" s="24"/>
      <c r="AA19333" s="24"/>
    </row>
    <row r="19334">
      <c r="A19334" s="24"/>
      <c r="B19334" s="25"/>
      <c r="C19334" s="24"/>
      <c r="D19334" s="26"/>
      <c r="E19334" s="24"/>
      <c r="F19334" s="24"/>
      <c r="G19334" s="24"/>
      <c r="H19334" s="24"/>
      <c r="I19334" s="24"/>
      <c r="J19334" s="24"/>
      <c r="K19334" s="24"/>
      <c r="L19334" s="24"/>
      <c r="M19334" s="24"/>
      <c r="N19334" s="24"/>
      <c r="O19334" s="24"/>
      <c r="P19334" s="24"/>
      <c r="Q19334" s="24"/>
      <c r="R19334" s="24"/>
      <c r="S19334" s="24"/>
      <c r="T19334" s="24"/>
      <c r="U19334" s="24"/>
      <c r="V19334" s="24"/>
      <c r="W19334" s="24"/>
      <c r="X19334" s="24"/>
      <c r="Y19334" s="24"/>
      <c r="Z19334" s="24"/>
      <c r="AA19334" s="24"/>
    </row>
    <row r="19335">
      <c r="A19335" s="24"/>
      <c r="B19335" s="25"/>
      <c r="C19335" s="24"/>
      <c r="D19335" s="26"/>
      <c r="E19335" s="24"/>
      <c r="F19335" s="24"/>
      <c r="G19335" s="24"/>
      <c r="H19335" s="24"/>
      <c r="I19335" s="24"/>
      <c r="J19335" s="24"/>
      <c r="K19335" s="24"/>
      <c r="L19335" s="24"/>
      <c r="M19335" s="24"/>
      <c r="N19335" s="24"/>
      <c r="O19335" s="24"/>
      <c r="P19335" s="24"/>
      <c r="Q19335" s="24"/>
      <c r="R19335" s="24"/>
      <c r="S19335" s="24"/>
      <c r="T19335" s="24"/>
      <c r="U19335" s="24"/>
      <c r="V19335" s="24"/>
      <c r="W19335" s="24"/>
      <c r="X19335" s="24"/>
      <c r="Y19335" s="24"/>
      <c r="Z19335" s="24"/>
      <c r="AA19335" s="24"/>
    </row>
    <row r="19336">
      <c r="A19336" s="24"/>
      <c r="B19336" s="25"/>
      <c r="C19336" s="24"/>
      <c r="D19336" s="26"/>
      <c r="E19336" s="24"/>
      <c r="F19336" s="24"/>
      <c r="G19336" s="24"/>
      <c r="H19336" s="24"/>
      <c r="I19336" s="24"/>
      <c r="J19336" s="24"/>
      <c r="K19336" s="24"/>
      <c r="L19336" s="24"/>
      <c r="M19336" s="24"/>
      <c r="N19336" s="24"/>
      <c r="O19336" s="24"/>
      <c r="P19336" s="24"/>
      <c r="Q19336" s="24"/>
      <c r="R19336" s="24"/>
      <c r="S19336" s="24"/>
      <c r="T19336" s="24"/>
      <c r="U19336" s="24"/>
      <c r="V19336" s="24"/>
      <c r="W19336" s="24"/>
      <c r="X19336" s="24"/>
      <c r="Y19336" s="24"/>
      <c r="Z19336" s="24"/>
      <c r="AA19336" s="24"/>
    </row>
    <row r="19337">
      <c r="A19337" s="24"/>
      <c r="B19337" s="25"/>
      <c r="C19337" s="24"/>
      <c r="D19337" s="26"/>
      <c r="E19337" s="24"/>
      <c r="F19337" s="24"/>
      <c r="G19337" s="24"/>
      <c r="H19337" s="24"/>
      <c r="I19337" s="24"/>
      <c r="J19337" s="24"/>
      <c r="K19337" s="24"/>
      <c r="L19337" s="24"/>
      <c r="M19337" s="24"/>
      <c r="N19337" s="24"/>
      <c r="O19337" s="24"/>
      <c r="P19337" s="24"/>
      <c r="Q19337" s="24"/>
      <c r="R19337" s="24"/>
      <c r="S19337" s="24"/>
      <c r="T19337" s="24"/>
      <c r="U19337" s="24"/>
      <c r="V19337" s="24"/>
      <c r="W19337" s="24"/>
      <c r="X19337" s="24"/>
      <c r="Y19337" s="24"/>
      <c r="Z19337" s="24"/>
      <c r="AA19337" s="24"/>
    </row>
    <row r="19338">
      <c r="A19338" s="24"/>
      <c r="B19338" s="25"/>
      <c r="C19338" s="24"/>
      <c r="D19338" s="26"/>
      <c r="E19338" s="24"/>
      <c r="F19338" s="24"/>
      <c r="G19338" s="24"/>
      <c r="H19338" s="24"/>
      <c r="I19338" s="24"/>
      <c r="J19338" s="24"/>
      <c r="K19338" s="24"/>
      <c r="L19338" s="24"/>
      <c r="M19338" s="24"/>
      <c r="N19338" s="24"/>
      <c r="O19338" s="24"/>
      <c r="P19338" s="24"/>
      <c r="Q19338" s="24"/>
      <c r="R19338" s="24"/>
      <c r="S19338" s="24"/>
      <c r="T19338" s="24"/>
      <c r="U19338" s="24"/>
      <c r="V19338" s="24"/>
      <c r="W19338" s="24"/>
      <c r="X19338" s="24"/>
      <c r="Y19338" s="24"/>
      <c r="Z19338" s="24"/>
      <c r="AA19338" s="24"/>
    </row>
    <row r="19339">
      <c r="A19339" s="24"/>
      <c r="B19339" s="25"/>
      <c r="C19339" s="24"/>
      <c r="D19339" s="26"/>
      <c r="E19339" s="24"/>
      <c r="F19339" s="24"/>
      <c r="G19339" s="24"/>
      <c r="H19339" s="24"/>
      <c r="I19339" s="24"/>
      <c r="J19339" s="24"/>
      <c r="K19339" s="24"/>
      <c r="L19339" s="24"/>
      <c r="M19339" s="24"/>
      <c r="N19339" s="24"/>
      <c r="O19339" s="24"/>
      <c r="P19339" s="24"/>
      <c r="Q19339" s="24"/>
      <c r="R19339" s="24"/>
      <c r="S19339" s="24"/>
      <c r="T19339" s="24"/>
      <c r="U19339" s="24"/>
      <c r="V19339" s="24"/>
      <c r="W19339" s="24"/>
      <c r="X19339" s="24"/>
      <c r="Y19339" s="24"/>
      <c r="Z19339" s="24"/>
      <c r="AA19339" s="24"/>
    </row>
    <row r="19340">
      <c r="A19340" s="24"/>
      <c r="B19340" s="25"/>
      <c r="C19340" s="24"/>
      <c r="D19340" s="26"/>
      <c r="E19340" s="24"/>
      <c r="F19340" s="24"/>
      <c r="G19340" s="24"/>
      <c r="H19340" s="24"/>
      <c r="I19340" s="24"/>
      <c r="J19340" s="24"/>
      <c r="K19340" s="24"/>
      <c r="L19340" s="24"/>
      <c r="M19340" s="24"/>
      <c r="N19340" s="24"/>
      <c r="O19340" s="24"/>
      <c r="P19340" s="24"/>
      <c r="Q19340" s="24"/>
      <c r="R19340" s="24"/>
      <c r="S19340" s="24"/>
      <c r="T19340" s="24"/>
      <c r="U19340" s="24"/>
      <c r="V19340" s="24"/>
      <c r="W19340" s="24"/>
      <c r="X19340" s="24"/>
      <c r="Y19340" s="24"/>
      <c r="Z19340" s="24"/>
      <c r="AA19340" s="24"/>
    </row>
    <row r="19341">
      <c r="A19341" s="24"/>
      <c r="B19341" s="25"/>
      <c r="C19341" s="24"/>
      <c r="D19341" s="26"/>
      <c r="E19341" s="24"/>
      <c r="F19341" s="24"/>
      <c r="G19341" s="24"/>
      <c r="H19341" s="24"/>
      <c r="I19341" s="24"/>
      <c r="J19341" s="24"/>
      <c r="K19341" s="24"/>
      <c r="L19341" s="24"/>
      <c r="M19341" s="24"/>
      <c r="N19341" s="24"/>
      <c r="O19341" s="24"/>
      <c r="P19341" s="24"/>
      <c r="Q19341" s="24"/>
      <c r="R19341" s="24"/>
      <c r="S19341" s="24"/>
      <c r="T19341" s="24"/>
      <c r="U19341" s="24"/>
      <c r="V19341" s="24"/>
      <c r="W19341" s="24"/>
      <c r="X19341" s="24"/>
      <c r="Y19341" s="24"/>
      <c r="Z19341" s="24"/>
      <c r="AA19341" s="24"/>
    </row>
    <row r="19342">
      <c r="A19342" s="24"/>
      <c r="B19342" s="25"/>
      <c r="C19342" s="24"/>
      <c r="D19342" s="26"/>
      <c r="E19342" s="24"/>
      <c r="F19342" s="24"/>
      <c r="G19342" s="24"/>
      <c r="H19342" s="24"/>
      <c r="I19342" s="24"/>
      <c r="J19342" s="24"/>
      <c r="K19342" s="24"/>
      <c r="L19342" s="24"/>
      <c r="M19342" s="24"/>
      <c r="N19342" s="24"/>
      <c r="O19342" s="24"/>
      <c r="P19342" s="24"/>
      <c r="Q19342" s="24"/>
      <c r="R19342" s="24"/>
      <c r="S19342" s="24"/>
      <c r="T19342" s="24"/>
      <c r="U19342" s="24"/>
      <c r="V19342" s="24"/>
      <c r="W19342" s="24"/>
      <c r="X19342" s="24"/>
      <c r="Y19342" s="24"/>
      <c r="Z19342" s="24"/>
      <c r="AA19342" s="24"/>
    </row>
    <row r="19343">
      <c r="A19343" s="24"/>
      <c r="B19343" s="25"/>
      <c r="C19343" s="24"/>
      <c r="D19343" s="26"/>
      <c r="E19343" s="24"/>
      <c r="F19343" s="24"/>
      <c r="G19343" s="24"/>
      <c r="H19343" s="24"/>
      <c r="I19343" s="24"/>
      <c r="J19343" s="24"/>
      <c r="K19343" s="24"/>
      <c r="L19343" s="24"/>
      <c r="M19343" s="24"/>
      <c r="N19343" s="24"/>
      <c r="O19343" s="24"/>
      <c r="P19343" s="24"/>
      <c r="Q19343" s="24"/>
      <c r="R19343" s="24"/>
      <c r="S19343" s="24"/>
      <c r="T19343" s="24"/>
      <c r="U19343" s="24"/>
      <c r="V19343" s="24"/>
      <c r="W19343" s="24"/>
      <c r="X19343" s="24"/>
      <c r="Y19343" s="24"/>
      <c r="Z19343" s="24"/>
      <c r="AA19343" s="24"/>
    </row>
    <row r="19344">
      <c r="A19344" s="24"/>
      <c r="B19344" s="25"/>
      <c r="C19344" s="24"/>
      <c r="D19344" s="26"/>
      <c r="E19344" s="24"/>
      <c r="F19344" s="24"/>
      <c r="G19344" s="24"/>
      <c r="H19344" s="24"/>
      <c r="I19344" s="24"/>
      <c r="J19344" s="24"/>
      <c r="K19344" s="24"/>
      <c r="L19344" s="24"/>
      <c r="M19344" s="24"/>
      <c r="N19344" s="24"/>
      <c r="O19344" s="24"/>
      <c r="P19344" s="24"/>
      <c r="Q19344" s="24"/>
      <c r="R19344" s="24"/>
      <c r="S19344" s="24"/>
      <c r="T19344" s="24"/>
      <c r="U19344" s="24"/>
      <c r="V19344" s="24"/>
      <c r="W19344" s="24"/>
      <c r="X19344" s="24"/>
      <c r="Y19344" s="24"/>
      <c r="Z19344" s="24"/>
      <c r="AA19344" s="24"/>
    </row>
    <row r="19345">
      <c r="A19345" s="24"/>
      <c r="B19345" s="25"/>
      <c r="C19345" s="24"/>
      <c r="D19345" s="26"/>
      <c r="E19345" s="24"/>
      <c r="F19345" s="24"/>
      <c r="G19345" s="24"/>
      <c r="H19345" s="24"/>
      <c r="I19345" s="24"/>
      <c r="J19345" s="24"/>
      <c r="K19345" s="24"/>
      <c r="L19345" s="24"/>
      <c r="M19345" s="24"/>
      <c r="N19345" s="24"/>
      <c r="O19345" s="24"/>
      <c r="P19345" s="24"/>
      <c r="Q19345" s="24"/>
      <c r="R19345" s="24"/>
      <c r="S19345" s="24"/>
      <c r="T19345" s="24"/>
      <c r="U19345" s="24"/>
      <c r="V19345" s="24"/>
      <c r="W19345" s="24"/>
      <c r="X19345" s="24"/>
      <c r="Y19345" s="24"/>
      <c r="Z19345" s="24"/>
      <c r="AA19345" s="24"/>
    </row>
    <row r="19346">
      <c r="A19346" s="24"/>
      <c r="B19346" s="25"/>
      <c r="C19346" s="24"/>
      <c r="D19346" s="26"/>
      <c r="E19346" s="24"/>
      <c r="F19346" s="24"/>
      <c r="G19346" s="24"/>
      <c r="H19346" s="24"/>
      <c r="I19346" s="24"/>
      <c r="J19346" s="24"/>
      <c r="K19346" s="24"/>
      <c r="L19346" s="24"/>
      <c r="M19346" s="24"/>
      <c r="N19346" s="24"/>
      <c r="O19346" s="24"/>
      <c r="P19346" s="24"/>
      <c r="Q19346" s="24"/>
      <c r="R19346" s="24"/>
      <c r="S19346" s="24"/>
      <c r="T19346" s="24"/>
      <c r="U19346" s="24"/>
      <c r="V19346" s="24"/>
      <c r="W19346" s="24"/>
      <c r="X19346" s="24"/>
      <c r="Y19346" s="24"/>
      <c r="Z19346" s="24"/>
      <c r="AA19346" s="24"/>
    </row>
    <row r="19347">
      <c r="A19347" s="24"/>
      <c r="B19347" s="25"/>
      <c r="C19347" s="24"/>
      <c r="D19347" s="26"/>
      <c r="E19347" s="24"/>
      <c r="F19347" s="24"/>
      <c r="G19347" s="24"/>
      <c r="H19347" s="24"/>
      <c r="I19347" s="24"/>
      <c r="J19347" s="24"/>
      <c r="K19347" s="24"/>
      <c r="L19347" s="24"/>
      <c r="M19347" s="24"/>
      <c r="N19347" s="24"/>
      <c r="O19347" s="24"/>
      <c r="P19347" s="24"/>
      <c r="Q19347" s="24"/>
      <c r="R19347" s="24"/>
      <c r="S19347" s="24"/>
      <c r="T19347" s="24"/>
      <c r="U19347" s="24"/>
      <c r="V19347" s="24"/>
      <c r="W19347" s="24"/>
      <c r="X19347" s="24"/>
      <c r="Y19347" s="24"/>
      <c r="Z19347" s="24"/>
      <c r="AA19347" s="24"/>
    </row>
    <row r="19348">
      <c r="A19348" s="24"/>
      <c r="B19348" s="25"/>
      <c r="C19348" s="24"/>
      <c r="D19348" s="26"/>
      <c r="E19348" s="24"/>
      <c r="F19348" s="24"/>
      <c r="G19348" s="24"/>
      <c r="H19348" s="24"/>
      <c r="I19348" s="24"/>
      <c r="J19348" s="24"/>
      <c r="K19348" s="24"/>
      <c r="L19348" s="24"/>
      <c r="M19348" s="24"/>
      <c r="N19348" s="24"/>
      <c r="O19348" s="24"/>
      <c r="P19348" s="24"/>
      <c r="Q19348" s="24"/>
      <c r="R19348" s="24"/>
      <c r="S19348" s="24"/>
      <c r="T19348" s="24"/>
      <c r="U19348" s="24"/>
      <c r="V19348" s="24"/>
      <c r="W19348" s="24"/>
      <c r="X19348" s="24"/>
      <c r="Y19348" s="24"/>
      <c r="Z19348" s="24"/>
      <c r="AA19348" s="24"/>
    </row>
    <row r="19349">
      <c r="A19349" s="24"/>
      <c r="B19349" s="25"/>
      <c r="C19349" s="24"/>
      <c r="D19349" s="26"/>
      <c r="E19349" s="24"/>
      <c r="F19349" s="24"/>
      <c r="G19349" s="24"/>
      <c r="H19349" s="24"/>
      <c r="I19349" s="24"/>
      <c r="J19349" s="24"/>
      <c r="K19349" s="24"/>
      <c r="L19349" s="24"/>
      <c r="M19349" s="24"/>
      <c r="N19349" s="24"/>
      <c r="O19349" s="24"/>
      <c r="P19349" s="24"/>
      <c r="Q19349" s="24"/>
      <c r="R19349" s="24"/>
      <c r="S19349" s="24"/>
      <c r="T19349" s="24"/>
      <c r="U19349" s="24"/>
      <c r="V19349" s="24"/>
      <c r="W19349" s="24"/>
      <c r="X19349" s="24"/>
      <c r="Y19349" s="24"/>
      <c r="Z19349" s="24"/>
      <c r="AA19349" s="24"/>
    </row>
    <row r="19350">
      <c r="A19350" s="24"/>
      <c r="B19350" s="25"/>
      <c r="C19350" s="24"/>
      <c r="D19350" s="26"/>
      <c r="E19350" s="24"/>
      <c r="F19350" s="24"/>
      <c r="G19350" s="24"/>
      <c r="H19350" s="24"/>
      <c r="I19350" s="24"/>
      <c r="J19350" s="24"/>
      <c r="K19350" s="24"/>
      <c r="L19350" s="24"/>
      <c r="M19350" s="24"/>
      <c r="N19350" s="24"/>
      <c r="O19350" s="24"/>
      <c r="P19350" s="24"/>
      <c r="Q19350" s="24"/>
      <c r="R19350" s="24"/>
      <c r="S19350" s="24"/>
      <c r="T19350" s="24"/>
      <c r="U19350" s="24"/>
      <c r="V19350" s="24"/>
      <c r="W19350" s="24"/>
      <c r="X19350" s="24"/>
      <c r="Y19350" s="24"/>
      <c r="Z19350" s="24"/>
      <c r="AA19350" s="24"/>
    </row>
    <row r="19351">
      <c r="A19351" s="24"/>
      <c r="B19351" s="25"/>
      <c r="C19351" s="24"/>
      <c r="D19351" s="26"/>
      <c r="E19351" s="24"/>
      <c r="F19351" s="24"/>
      <c r="G19351" s="24"/>
      <c r="H19351" s="24"/>
      <c r="I19351" s="24"/>
      <c r="J19351" s="24"/>
      <c r="K19351" s="24"/>
      <c r="L19351" s="24"/>
      <c r="M19351" s="24"/>
      <c r="N19351" s="24"/>
      <c r="O19351" s="24"/>
      <c r="P19351" s="24"/>
      <c r="Q19351" s="24"/>
      <c r="R19351" s="24"/>
      <c r="S19351" s="24"/>
      <c r="T19351" s="24"/>
      <c r="U19351" s="24"/>
      <c r="V19351" s="24"/>
      <c r="W19351" s="24"/>
      <c r="X19351" s="24"/>
      <c r="Y19351" s="24"/>
      <c r="Z19351" s="24"/>
      <c r="AA19351" s="24"/>
    </row>
    <row r="19352">
      <c r="A19352" s="24"/>
      <c r="B19352" s="25"/>
      <c r="C19352" s="24"/>
      <c r="D19352" s="26"/>
      <c r="E19352" s="24"/>
      <c r="F19352" s="24"/>
      <c r="G19352" s="24"/>
      <c r="H19352" s="24"/>
      <c r="I19352" s="24"/>
      <c r="J19352" s="24"/>
      <c r="K19352" s="24"/>
      <c r="L19352" s="24"/>
      <c r="M19352" s="24"/>
      <c r="N19352" s="24"/>
      <c r="O19352" s="24"/>
      <c r="P19352" s="24"/>
      <c r="Q19352" s="24"/>
      <c r="R19352" s="24"/>
      <c r="S19352" s="24"/>
      <c r="T19352" s="24"/>
      <c r="U19352" s="24"/>
      <c r="V19352" s="24"/>
      <c r="W19352" s="24"/>
      <c r="X19352" s="24"/>
      <c r="Y19352" s="24"/>
      <c r="Z19352" s="24"/>
      <c r="AA19352" s="24"/>
    </row>
    <row r="19353">
      <c r="A19353" s="24"/>
      <c r="B19353" s="25"/>
      <c r="C19353" s="24"/>
      <c r="D19353" s="26"/>
      <c r="E19353" s="24"/>
      <c r="F19353" s="24"/>
      <c r="G19353" s="24"/>
      <c r="H19353" s="24"/>
      <c r="I19353" s="24"/>
      <c r="J19353" s="24"/>
      <c r="K19353" s="24"/>
      <c r="L19353" s="24"/>
      <c r="M19353" s="24"/>
      <c r="N19353" s="24"/>
      <c r="O19353" s="24"/>
      <c r="P19353" s="24"/>
      <c r="Q19353" s="24"/>
      <c r="R19353" s="24"/>
      <c r="S19353" s="24"/>
      <c r="T19353" s="24"/>
      <c r="U19353" s="24"/>
      <c r="V19353" s="24"/>
      <c r="W19353" s="24"/>
      <c r="X19353" s="24"/>
      <c r="Y19353" s="24"/>
      <c r="Z19353" s="24"/>
      <c r="AA19353" s="24"/>
    </row>
    <row r="19354">
      <c r="A19354" s="24"/>
      <c r="B19354" s="25"/>
      <c r="C19354" s="24"/>
      <c r="D19354" s="26"/>
      <c r="E19354" s="24"/>
      <c r="F19354" s="24"/>
      <c r="G19354" s="24"/>
      <c r="H19354" s="24"/>
      <c r="I19354" s="24"/>
      <c r="J19354" s="24"/>
      <c r="K19354" s="24"/>
      <c r="L19354" s="24"/>
      <c r="M19354" s="24"/>
      <c r="N19354" s="24"/>
      <c r="O19354" s="24"/>
      <c r="P19354" s="24"/>
      <c r="Q19354" s="24"/>
      <c r="R19354" s="24"/>
      <c r="S19354" s="24"/>
      <c r="T19354" s="24"/>
      <c r="U19354" s="24"/>
      <c r="V19354" s="24"/>
      <c r="W19354" s="24"/>
      <c r="X19354" s="24"/>
      <c r="Y19354" s="24"/>
      <c r="Z19354" s="24"/>
      <c r="AA19354" s="24"/>
    </row>
    <row r="19355">
      <c r="A19355" s="24"/>
      <c r="B19355" s="25"/>
      <c r="C19355" s="24"/>
      <c r="D19355" s="26"/>
      <c r="E19355" s="24"/>
      <c r="F19355" s="24"/>
      <c r="G19355" s="24"/>
      <c r="H19355" s="24"/>
      <c r="I19355" s="24"/>
      <c r="J19355" s="24"/>
      <c r="K19355" s="24"/>
      <c r="L19355" s="24"/>
      <c r="M19355" s="24"/>
      <c r="N19355" s="24"/>
      <c r="O19355" s="24"/>
      <c r="P19355" s="24"/>
      <c r="Q19355" s="24"/>
      <c r="R19355" s="24"/>
      <c r="S19355" s="24"/>
      <c r="T19355" s="24"/>
      <c r="U19355" s="24"/>
      <c r="V19355" s="24"/>
      <c r="W19355" s="24"/>
      <c r="X19355" s="24"/>
      <c r="Y19355" s="24"/>
      <c r="Z19355" s="24"/>
      <c r="AA19355" s="24"/>
    </row>
    <row r="19356">
      <c r="A19356" s="24"/>
      <c r="B19356" s="25"/>
      <c r="C19356" s="24"/>
      <c r="D19356" s="26"/>
      <c r="E19356" s="24"/>
      <c r="F19356" s="24"/>
      <c r="G19356" s="24"/>
      <c r="H19356" s="24"/>
      <c r="I19356" s="24"/>
      <c r="J19356" s="24"/>
      <c r="K19356" s="24"/>
      <c r="L19356" s="24"/>
      <c r="M19356" s="24"/>
      <c r="N19356" s="24"/>
      <c r="O19356" s="24"/>
      <c r="P19356" s="24"/>
      <c r="Q19356" s="24"/>
      <c r="R19356" s="24"/>
      <c r="S19356" s="24"/>
      <c r="T19356" s="24"/>
      <c r="U19356" s="24"/>
      <c r="V19356" s="24"/>
      <c r="W19356" s="24"/>
      <c r="X19356" s="24"/>
      <c r="Y19356" s="24"/>
      <c r="Z19356" s="24"/>
      <c r="AA19356" s="24"/>
    </row>
    <row r="19357">
      <c r="A19357" s="24"/>
      <c r="B19357" s="25"/>
      <c r="C19357" s="24"/>
      <c r="D19357" s="26"/>
      <c r="E19357" s="24"/>
      <c r="F19357" s="24"/>
      <c r="G19357" s="24"/>
      <c r="H19357" s="24"/>
      <c r="I19357" s="24"/>
      <c r="J19357" s="24"/>
      <c r="K19357" s="24"/>
      <c r="L19357" s="24"/>
      <c r="M19357" s="24"/>
      <c r="N19357" s="24"/>
      <c r="O19357" s="24"/>
      <c r="P19357" s="24"/>
      <c r="Q19357" s="24"/>
      <c r="R19357" s="24"/>
      <c r="S19357" s="24"/>
      <c r="T19357" s="24"/>
      <c r="U19357" s="24"/>
      <c r="V19357" s="24"/>
      <c r="W19357" s="24"/>
      <c r="X19357" s="24"/>
      <c r="Y19357" s="24"/>
      <c r="Z19357" s="24"/>
      <c r="AA19357" s="24"/>
    </row>
    <row r="19358">
      <c r="A19358" s="24"/>
      <c r="B19358" s="25"/>
      <c r="C19358" s="24"/>
      <c r="D19358" s="26"/>
      <c r="E19358" s="24"/>
      <c r="F19358" s="24"/>
      <c r="G19358" s="24"/>
      <c r="H19358" s="24"/>
      <c r="I19358" s="24"/>
      <c r="J19358" s="24"/>
      <c r="K19358" s="24"/>
      <c r="L19358" s="24"/>
      <c r="M19358" s="24"/>
      <c r="N19358" s="24"/>
      <c r="O19358" s="24"/>
      <c r="P19358" s="24"/>
      <c r="Q19358" s="24"/>
      <c r="R19358" s="24"/>
      <c r="S19358" s="24"/>
      <c r="T19358" s="24"/>
      <c r="U19358" s="24"/>
      <c r="V19358" s="24"/>
      <c r="W19358" s="24"/>
      <c r="X19358" s="24"/>
      <c r="Y19358" s="24"/>
      <c r="Z19358" s="24"/>
      <c r="AA19358" s="24"/>
    </row>
    <row r="19359">
      <c r="A19359" s="24"/>
      <c r="B19359" s="25"/>
      <c r="C19359" s="24"/>
      <c r="D19359" s="26"/>
      <c r="E19359" s="24"/>
      <c r="F19359" s="24"/>
      <c r="G19359" s="24"/>
      <c r="H19359" s="24"/>
      <c r="I19359" s="24"/>
      <c r="J19359" s="24"/>
      <c r="K19359" s="24"/>
      <c r="L19359" s="24"/>
      <c r="M19359" s="24"/>
      <c r="N19359" s="24"/>
      <c r="O19359" s="24"/>
      <c r="P19359" s="24"/>
      <c r="Q19359" s="24"/>
      <c r="R19359" s="24"/>
      <c r="S19359" s="24"/>
      <c r="T19359" s="24"/>
      <c r="U19359" s="24"/>
      <c r="V19359" s="24"/>
      <c r="W19359" s="24"/>
      <c r="X19359" s="24"/>
      <c r="Y19359" s="24"/>
      <c r="Z19359" s="24"/>
      <c r="AA19359" s="24"/>
    </row>
    <row r="19360">
      <c r="A19360" s="24"/>
      <c r="B19360" s="25"/>
      <c r="C19360" s="24"/>
      <c r="D19360" s="26"/>
      <c r="E19360" s="24"/>
      <c r="F19360" s="24"/>
      <c r="G19360" s="24"/>
      <c r="H19360" s="24"/>
      <c r="I19360" s="24"/>
      <c r="J19360" s="24"/>
      <c r="K19360" s="24"/>
      <c r="L19360" s="24"/>
      <c r="M19360" s="24"/>
      <c r="N19360" s="24"/>
      <c r="O19360" s="24"/>
      <c r="P19360" s="24"/>
      <c r="Q19360" s="24"/>
      <c r="R19360" s="24"/>
      <c r="S19360" s="24"/>
      <c r="T19360" s="24"/>
      <c r="U19360" s="24"/>
      <c r="V19360" s="24"/>
      <c r="W19360" s="24"/>
      <c r="X19360" s="24"/>
      <c r="Y19360" s="24"/>
      <c r="Z19360" s="24"/>
      <c r="AA19360" s="24"/>
    </row>
    <row r="19361">
      <c r="A19361" s="24"/>
      <c r="B19361" s="25"/>
      <c r="C19361" s="24"/>
      <c r="D19361" s="26"/>
      <c r="E19361" s="24"/>
      <c r="F19361" s="24"/>
      <c r="G19361" s="24"/>
      <c r="H19361" s="24"/>
      <c r="I19361" s="24"/>
      <c r="J19361" s="24"/>
      <c r="K19361" s="24"/>
      <c r="L19361" s="24"/>
      <c r="M19361" s="24"/>
      <c r="N19361" s="24"/>
      <c r="O19361" s="24"/>
      <c r="P19361" s="24"/>
      <c r="Q19361" s="24"/>
      <c r="R19361" s="24"/>
      <c r="S19361" s="24"/>
      <c r="T19361" s="24"/>
      <c r="U19361" s="24"/>
      <c r="V19361" s="24"/>
      <c r="W19361" s="24"/>
      <c r="X19361" s="24"/>
      <c r="Y19361" s="24"/>
      <c r="Z19361" s="24"/>
      <c r="AA19361" s="24"/>
    </row>
    <row r="19362">
      <c r="A19362" s="24"/>
      <c r="B19362" s="25"/>
      <c r="C19362" s="24"/>
      <c r="D19362" s="26"/>
      <c r="E19362" s="24"/>
      <c r="F19362" s="24"/>
      <c r="G19362" s="24"/>
      <c r="H19362" s="24"/>
      <c r="I19362" s="24"/>
      <c r="J19362" s="24"/>
      <c r="K19362" s="24"/>
      <c r="L19362" s="24"/>
      <c r="M19362" s="24"/>
      <c r="N19362" s="24"/>
      <c r="O19362" s="24"/>
      <c r="P19362" s="24"/>
      <c r="Q19362" s="24"/>
      <c r="R19362" s="24"/>
      <c r="S19362" s="24"/>
      <c r="T19362" s="24"/>
      <c r="U19362" s="24"/>
      <c r="V19362" s="24"/>
      <c r="W19362" s="24"/>
      <c r="X19362" s="24"/>
      <c r="Y19362" s="24"/>
      <c r="Z19362" s="24"/>
      <c r="AA19362" s="24"/>
    </row>
    <row r="19363">
      <c r="A19363" s="24"/>
      <c r="B19363" s="25"/>
      <c r="C19363" s="24"/>
      <c r="D19363" s="26"/>
      <c r="E19363" s="24"/>
      <c r="F19363" s="24"/>
      <c r="G19363" s="24"/>
      <c r="H19363" s="24"/>
      <c r="I19363" s="24"/>
      <c r="J19363" s="24"/>
      <c r="K19363" s="24"/>
      <c r="L19363" s="24"/>
      <c r="M19363" s="24"/>
      <c r="N19363" s="24"/>
      <c r="O19363" s="24"/>
      <c r="P19363" s="24"/>
      <c r="Q19363" s="24"/>
      <c r="R19363" s="24"/>
      <c r="S19363" s="24"/>
      <c r="T19363" s="24"/>
      <c r="U19363" s="24"/>
      <c r="V19363" s="24"/>
      <c r="W19363" s="24"/>
      <c r="X19363" s="24"/>
      <c r="Y19363" s="24"/>
      <c r="Z19363" s="24"/>
      <c r="AA19363" s="24"/>
    </row>
    <row r="19364">
      <c r="A19364" s="24"/>
      <c r="B19364" s="25"/>
      <c r="C19364" s="24"/>
      <c r="D19364" s="26"/>
      <c r="E19364" s="24"/>
      <c r="F19364" s="24"/>
      <c r="G19364" s="24"/>
      <c r="H19364" s="24"/>
      <c r="I19364" s="24"/>
      <c r="J19364" s="24"/>
      <c r="K19364" s="24"/>
      <c r="L19364" s="24"/>
      <c r="M19364" s="24"/>
      <c r="N19364" s="24"/>
      <c r="O19364" s="24"/>
      <c r="P19364" s="24"/>
      <c r="Q19364" s="24"/>
      <c r="R19364" s="24"/>
      <c r="S19364" s="24"/>
      <c r="T19364" s="24"/>
      <c r="U19364" s="24"/>
      <c r="V19364" s="24"/>
      <c r="W19364" s="24"/>
      <c r="X19364" s="24"/>
      <c r="Y19364" s="24"/>
      <c r="Z19364" s="24"/>
      <c r="AA19364" s="24"/>
    </row>
    <row r="19365">
      <c r="A19365" s="24"/>
      <c r="B19365" s="25"/>
      <c r="C19365" s="24"/>
      <c r="D19365" s="26"/>
      <c r="E19365" s="24"/>
      <c r="F19365" s="24"/>
      <c r="G19365" s="24"/>
      <c r="H19365" s="24"/>
      <c r="I19365" s="24"/>
      <c r="J19365" s="24"/>
      <c r="K19365" s="24"/>
      <c r="L19365" s="24"/>
      <c r="M19365" s="24"/>
      <c r="N19365" s="24"/>
      <c r="O19365" s="24"/>
      <c r="P19365" s="24"/>
      <c r="Q19365" s="24"/>
      <c r="R19365" s="24"/>
      <c r="S19365" s="24"/>
      <c r="T19365" s="24"/>
      <c r="U19365" s="24"/>
      <c r="V19365" s="24"/>
      <c r="W19365" s="24"/>
      <c r="X19365" s="24"/>
      <c r="Y19365" s="24"/>
      <c r="Z19365" s="24"/>
      <c r="AA19365" s="24"/>
    </row>
    <row r="19366">
      <c r="A19366" s="24"/>
      <c r="B19366" s="25"/>
      <c r="C19366" s="24"/>
      <c r="D19366" s="26"/>
      <c r="E19366" s="24"/>
      <c r="F19366" s="24"/>
      <c r="G19366" s="24"/>
      <c r="H19366" s="24"/>
      <c r="I19366" s="24"/>
      <c r="J19366" s="24"/>
      <c r="K19366" s="24"/>
      <c r="L19366" s="24"/>
      <c r="M19366" s="24"/>
      <c r="N19366" s="24"/>
      <c r="O19366" s="24"/>
      <c r="P19366" s="24"/>
      <c r="Q19366" s="24"/>
      <c r="R19366" s="24"/>
      <c r="S19366" s="24"/>
      <c r="T19366" s="24"/>
      <c r="U19366" s="24"/>
      <c r="V19366" s="24"/>
      <c r="W19366" s="24"/>
      <c r="X19366" s="24"/>
      <c r="Y19366" s="24"/>
      <c r="Z19366" s="24"/>
      <c r="AA19366" s="24"/>
    </row>
    <row r="19367">
      <c r="A19367" s="24"/>
      <c r="B19367" s="25"/>
      <c r="C19367" s="24"/>
      <c r="D19367" s="26"/>
      <c r="E19367" s="24"/>
      <c r="F19367" s="24"/>
      <c r="G19367" s="24"/>
      <c r="H19367" s="24"/>
      <c r="I19367" s="24"/>
      <c r="J19367" s="24"/>
      <c r="K19367" s="24"/>
      <c r="L19367" s="24"/>
      <c r="M19367" s="24"/>
      <c r="N19367" s="24"/>
      <c r="O19367" s="24"/>
      <c r="P19367" s="24"/>
      <c r="Q19367" s="24"/>
      <c r="R19367" s="24"/>
      <c r="S19367" s="24"/>
      <c r="T19367" s="24"/>
      <c r="U19367" s="24"/>
      <c r="V19367" s="24"/>
      <c r="W19367" s="24"/>
      <c r="X19367" s="24"/>
      <c r="Y19367" s="24"/>
      <c r="Z19367" s="24"/>
      <c r="AA19367" s="24"/>
    </row>
    <row r="19368">
      <c r="A19368" s="24"/>
      <c r="B19368" s="25"/>
      <c r="C19368" s="24"/>
      <c r="D19368" s="26"/>
      <c r="E19368" s="24"/>
      <c r="F19368" s="24"/>
      <c r="G19368" s="24"/>
      <c r="H19368" s="24"/>
      <c r="I19368" s="24"/>
      <c r="J19368" s="24"/>
      <c r="K19368" s="24"/>
      <c r="L19368" s="24"/>
      <c r="M19368" s="24"/>
      <c r="N19368" s="24"/>
      <c r="O19368" s="24"/>
      <c r="P19368" s="24"/>
      <c r="Q19368" s="24"/>
      <c r="R19368" s="24"/>
      <c r="S19368" s="24"/>
      <c r="T19368" s="24"/>
      <c r="U19368" s="24"/>
      <c r="V19368" s="24"/>
      <c r="W19368" s="24"/>
      <c r="X19368" s="24"/>
      <c r="Y19368" s="24"/>
      <c r="Z19368" s="24"/>
      <c r="AA19368" s="24"/>
    </row>
    <row r="19369">
      <c r="A19369" s="24"/>
      <c r="B19369" s="25"/>
      <c r="C19369" s="24"/>
      <c r="D19369" s="26"/>
      <c r="E19369" s="24"/>
      <c r="F19369" s="24"/>
      <c r="G19369" s="24"/>
      <c r="H19369" s="24"/>
      <c r="I19369" s="24"/>
      <c r="J19369" s="24"/>
      <c r="K19369" s="24"/>
      <c r="L19369" s="24"/>
      <c r="M19369" s="24"/>
      <c r="N19369" s="24"/>
      <c r="O19369" s="24"/>
      <c r="P19369" s="24"/>
      <c r="Q19369" s="24"/>
      <c r="R19369" s="24"/>
      <c r="S19369" s="24"/>
      <c r="T19369" s="24"/>
      <c r="U19369" s="24"/>
      <c r="V19369" s="24"/>
      <c r="W19369" s="24"/>
      <c r="X19369" s="24"/>
      <c r="Y19369" s="24"/>
      <c r="Z19369" s="24"/>
      <c r="AA19369" s="24"/>
    </row>
    <row r="19370">
      <c r="A19370" s="24"/>
      <c r="B19370" s="25"/>
      <c r="C19370" s="24"/>
      <c r="D19370" s="26"/>
      <c r="E19370" s="24"/>
      <c r="F19370" s="24"/>
      <c r="G19370" s="24"/>
      <c r="H19370" s="24"/>
      <c r="I19370" s="24"/>
      <c r="J19370" s="24"/>
      <c r="K19370" s="24"/>
      <c r="L19370" s="24"/>
      <c r="M19370" s="24"/>
      <c r="N19370" s="24"/>
      <c r="O19370" s="24"/>
      <c r="P19370" s="24"/>
      <c r="Q19370" s="24"/>
      <c r="R19370" s="24"/>
      <c r="S19370" s="24"/>
      <c r="T19370" s="24"/>
      <c r="U19370" s="24"/>
      <c r="V19370" s="24"/>
      <c r="W19370" s="24"/>
      <c r="X19370" s="24"/>
      <c r="Y19370" s="24"/>
      <c r="Z19370" s="24"/>
      <c r="AA19370" s="24"/>
    </row>
    <row r="19371">
      <c r="A19371" s="24"/>
      <c r="B19371" s="25"/>
      <c r="C19371" s="24"/>
      <c r="D19371" s="26"/>
      <c r="E19371" s="24"/>
      <c r="F19371" s="24"/>
      <c r="G19371" s="24"/>
      <c r="H19371" s="24"/>
      <c r="I19371" s="24"/>
      <c r="J19371" s="24"/>
      <c r="K19371" s="24"/>
      <c r="L19371" s="24"/>
      <c r="M19371" s="24"/>
      <c r="N19371" s="24"/>
      <c r="O19371" s="24"/>
      <c r="P19371" s="24"/>
      <c r="Q19371" s="24"/>
      <c r="R19371" s="24"/>
      <c r="S19371" s="24"/>
      <c r="T19371" s="24"/>
      <c r="U19371" s="24"/>
      <c r="V19371" s="24"/>
      <c r="W19371" s="24"/>
      <c r="X19371" s="24"/>
      <c r="Y19371" s="24"/>
      <c r="Z19371" s="24"/>
      <c r="AA19371" s="24"/>
    </row>
    <row r="19372">
      <c r="A19372" s="24"/>
      <c r="B19372" s="25"/>
      <c r="C19372" s="24"/>
      <c r="D19372" s="26"/>
      <c r="E19372" s="24"/>
      <c r="F19372" s="24"/>
      <c r="G19372" s="24"/>
      <c r="H19372" s="24"/>
      <c r="I19372" s="24"/>
      <c r="J19372" s="24"/>
      <c r="K19372" s="24"/>
      <c r="L19372" s="24"/>
      <c r="M19372" s="24"/>
      <c r="N19372" s="24"/>
      <c r="O19372" s="24"/>
      <c r="P19372" s="24"/>
      <c r="Q19372" s="24"/>
      <c r="R19372" s="24"/>
      <c r="S19372" s="24"/>
      <c r="T19372" s="24"/>
      <c r="U19372" s="24"/>
      <c r="V19372" s="24"/>
      <c r="W19372" s="24"/>
      <c r="X19372" s="24"/>
      <c r="Y19372" s="24"/>
      <c r="Z19372" s="24"/>
      <c r="AA19372" s="24"/>
    </row>
    <row r="19373">
      <c r="A19373" s="24"/>
      <c r="B19373" s="25"/>
      <c r="C19373" s="24"/>
      <c r="D19373" s="26"/>
      <c r="E19373" s="24"/>
      <c r="F19373" s="24"/>
      <c r="G19373" s="24"/>
      <c r="H19373" s="24"/>
      <c r="I19373" s="24"/>
      <c r="J19373" s="24"/>
      <c r="K19373" s="24"/>
      <c r="L19373" s="24"/>
      <c r="M19373" s="24"/>
      <c r="N19373" s="24"/>
      <c r="O19373" s="24"/>
      <c r="P19373" s="24"/>
      <c r="Q19373" s="24"/>
      <c r="R19373" s="24"/>
      <c r="S19373" s="24"/>
      <c r="T19373" s="24"/>
      <c r="U19373" s="24"/>
      <c r="V19373" s="24"/>
      <c r="W19373" s="24"/>
      <c r="X19373" s="24"/>
      <c r="Y19373" s="24"/>
      <c r="Z19373" s="24"/>
      <c r="AA19373" s="24"/>
    </row>
    <row r="19374">
      <c r="A19374" s="24"/>
      <c r="B19374" s="25"/>
      <c r="C19374" s="24"/>
      <c r="D19374" s="26"/>
      <c r="E19374" s="24"/>
      <c r="F19374" s="24"/>
      <c r="G19374" s="24"/>
      <c r="H19374" s="24"/>
      <c r="I19374" s="24"/>
      <c r="J19374" s="24"/>
      <c r="K19374" s="24"/>
      <c r="L19374" s="24"/>
      <c r="M19374" s="24"/>
      <c r="N19374" s="24"/>
      <c r="O19374" s="24"/>
      <c r="P19374" s="24"/>
      <c r="Q19374" s="24"/>
      <c r="R19374" s="24"/>
      <c r="S19374" s="24"/>
      <c r="T19374" s="24"/>
      <c r="U19374" s="24"/>
      <c r="V19374" s="24"/>
      <c r="W19374" s="24"/>
      <c r="X19374" s="24"/>
      <c r="Y19374" s="24"/>
      <c r="Z19374" s="24"/>
      <c r="AA19374" s="24"/>
    </row>
    <row r="19375">
      <c r="A19375" s="24"/>
      <c r="B19375" s="25"/>
      <c r="C19375" s="24"/>
      <c r="D19375" s="26"/>
      <c r="E19375" s="24"/>
      <c r="F19375" s="24"/>
      <c r="G19375" s="24"/>
      <c r="H19375" s="24"/>
      <c r="I19375" s="24"/>
      <c r="J19375" s="24"/>
      <c r="K19375" s="24"/>
      <c r="L19375" s="24"/>
      <c r="M19375" s="24"/>
      <c r="N19375" s="24"/>
      <c r="O19375" s="24"/>
      <c r="P19375" s="24"/>
      <c r="Q19375" s="24"/>
      <c r="R19375" s="24"/>
      <c r="S19375" s="24"/>
      <c r="T19375" s="24"/>
      <c r="U19375" s="24"/>
      <c r="V19375" s="24"/>
      <c r="W19375" s="24"/>
      <c r="X19375" s="24"/>
      <c r="Y19375" s="24"/>
      <c r="Z19375" s="24"/>
      <c r="AA19375" s="24"/>
    </row>
    <row r="19376">
      <c r="A19376" s="24"/>
      <c r="B19376" s="25"/>
      <c r="C19376" s="24"/>
      <c r="D19376" s="26"/>
      <c r="E19376" s="24"/>
      <c r="F19376" s="24"/>
      <c r="G19376" s="24"/>
      <c r="H19376" s="24"/>
      <c r="I19376" s="24"/>
      <c r="J19376" s="24"/>
      <c r="K19376" s="24"/>
      <c r="L19376" s="24"/>
      <c r="M19376" s="24"/>
      <c r="N19376" s="24"/>
      <c r="O19376" s="24"/>
      <c r="P19376" s="24"/>
      <c r="Q19376" s="24"/>
      <c r="R19376" s="24"/>
      <c r="S19376" s="24"/>
      <c r="T19376" s="24"/>
      <c r="U19376" s="24"/>
      <c r="V19376" s="24"/>
      <c r="W19376" s="24"/>
      <c r="X19376" s="24"/>
      <c r="Y19376" s="24"/>
      <c r="Z19376" s="24"/>
      <c r="AA19376" s="24"/>
    </row>
    <row r="19377">
      <c r="A19377" s="24"/>
      <c r="B19377" s="25"/>
      <c r="C19377" s="24"/>
      <c r="D19377" s="26"/>
      <c r="E19377" s="24"/>
      <c r="F19377" s="24"/>
      <c r="G19377" s="24"/>
      <c r="H19377" s="24"/>
      <c r="I19377" s="24"/>
      <c r="J19377" s="24"/>
      <c r="K19377" s="24"/>
      <c r="L19377" s="24"/>
      <c r="M19377" s="24"/>
      <c r="N19377" s="24"/>
      <c r="O19377" s="24"/>
      <c r="P19377" s="24"/>
      <c r="Q19377" s="24"/>
      <c r="R19377" s="24"/>
      <c r="S19377" s="24"/>
      <c r="T19377" s="24"/>
      <c r="U19377" s="24"/>
      <c r="V19377" s="24"/>
      <c r="W19377" s="24"/>
      <c r="X19377" s="24"/>
      <c r="Y19377" s="24"/>
      <c r="Z19377" s="24"/>
      <c r="AA19377" s="24"/>
    </row>
    <row r="19378">
      <c r="A19378" s="24"/>
      <c r="B19378" s="25"/>
      <c r="C19378" s="24"/>
      <c r="D19378" s="26"/>
      <c r="E19378" s="24"/>
      <c r="F19378" s="24"/>
      <c r="G19378" s="24"/>
      <c r="H19378" s="24"/>
      <c r="I19378" s="24"/>
      <c r="J19378" s="24"/>
      <c r="K19378" s="24"/>
      <c r="L19378" s="24"/>
      <c r="M19378" s="24"/>
      <c r="N19378" s="24"/>
      <c r="O19378" s="24"/>
      <c r="P19378" s="24"/>
      <c r="Q19378" s="24"/>
      <c r="R19378" s="24"/>
      <c r="S19378" s="24"/>
      <c r="T19378" s="24"/>
      <c r="U19378" s="24"/>
      <c r="V19378" s="24"/>
      <c r="W19378" s="24"/>
      <c r="X19378" s="24"/>
      <c r="Y19378" s="24"/>
      <c r="Z19378" s="24"/>
      <c r="AA19378" s="24"/>
    </row>
    <row r="19379">
      <c r="A19379" s="24"/>
      <c r="B19379" s="25"/>
      <c r="C19379" s="24"/>
      <c r="D19379" s="26"/>
      <c r="E19379" s="24"/>
      <c r="F19379" s="24"/>
      <c r="G19379" s="24"/>
      <c r="H19379" s="24"/>
      <c r="I19379" s="24"/>
      <c r="J19379" s="24"/>
      <c r="K19379" s="24"/>
      <c r="L19379" s="24"/>
      <c r="M19379" s="24"/>
      <c r="N19379" s="24"/>
      <c r="O19379" s="24"/>
      <c r="P19379" s="24"/>
      <c r="Q19379" s="24"/>
      <c r="R19379" s="24"/>
      <c r="S19379" s="24"/>
      <c r="T19379" s="24"/>
      <c r="U19379" s="24"/>
      <c r="V19379" s="24"/>
      <c r="W19379" s="24"/>
      <c r="X19379" s="24"/>
      <c r="Y19379" s="24"/>
      <c r="Z19379" s="24"/>
      <c r="AA19379" s="24"/>
    </row>
    <row r="19380">
      <c r="A19380" s="24"/>
      <c r="B19380" s="25"/>
      <c r="C19380" s="24"/>
      <c r="D19380" s="26"/>
      <c r="E19380" s="24"/>
      <c r="F19380" s="24"/>
      <c r="G19380" s="24"/>
      <c r="H19380" s="24"/>
      <c r="I19380" s="24"/>
      <c r="J19380" s="24"/>
      <c r="K19380" s="24"/>
      <c r="L19380" s="24"/>
      <c r="M19380" s="24"/>
      <c r="N19380" s="24"/>
      <c r="O19380" s="24"/>
      <c r="P19380" s="24"/>
      <c r="Q19380" s="24"/>
      <c r="R19380" s="24"/>
      <c r="S19380" s="24"/>
      <c r="T19380" s="24"/>
      <c r="U19380" s="24"/>
      <c r="V19380" s="24"/>
      <c r="W19380" s="24"/>
      <c r="X19380" s="24"/>
      <c r="Y19380" s="24"/>
      <c r="Z19380" s="24"/>
      <c r="AA19380" s="24"/>
    </row>
    <row r="19381">
      <c r="A19381" s="24"/>
      <c r="B19381" s="25"/>
      <c r="C19381" s="24"/>
      <c r="D19381" s="26"/>
      <c r="E19381" s="24"/>
      <c r="F19381" s="24"/>
      <c r="G19381" s="24"/>
      <c r="H19381" s="24"/>
      <c r="I19381" s="24"/>
      <c r="J19381" s="24"/>
      <c r="K19381" s="24"/>
      <c r="L19381" s="24"/>
      <c r="M19381" s="24"/>
      <c r="N19381" s="24"/>
      <c r="O19381" s="24"/>
      <c r="P19381" s="24"/>
      <c r="Q19381" s="24"/>
      <c r="R19381" s="24"/>
      <c r="S19381" s="24"/>
      <c r="T19381" s="24"/>
      <c r="U19381" s="24"/>
      <c r="V19381" s="24"/>
      <c r="W19381" s="24"/>
      <c r="X19381" s="24"/>
      <c r="Y19381" s="24"/>
      <c r="Z19381" s="24"/>
      <c r="AA19381" s="24"/>
    </row>
    <row r="19382">
      <c r="A19382" s="24"/>
      <c r="B19382" s="25"/>
      <c r="C19382" s="24"/>
      <c r="D19382" s="26"/>
      <c r="E19382" s="24"/>
      <c r="F19382" s="24"/>
      <c r="G19382" s="24"/>
      <c r="H19382" s="24"/>
      <c r="I19382" s="24"/>
      <c r="J19382" s="24"/>
      <c r="K19382" s="24"/>
      <c r="L19382" s="24"/>
      <c r="M19382" s="24"/>
      <c r="N19382" s="24"/>
      <c r="O19382" s="24"/>
      <c r="P19382" s="24"/>
      <c r="Q19382" s="24"/>
      <c r="R19382" s="24"/>
      <c r="S19382" s="24"/>
      <c r="T19382" s="24"/>
      <c r="U19382" s="24"/>
      <c r="V19382" s="24"/>
      <c r="W19382" s="24"/>
      <c r="X19382" s="24"/>
      <c r="Y19382" s="24"/>
      <c r="Z19382" s="24"/>
      <c r="AA19382" s="24"/>
    </row>
    <row r="19383">
      <c r="A19383" s="24"/>
      <c r="B19383" s="25"/>
      <c r="C19383" s="24"/>
      <c r="D19383" s="26"/>
      <c r="E19383" s="24"/>
      <c r="F19383" s="24"/>
      <c r="G19383" s="24"/>
      <c r="H19383" s="24"/>
      <c r="I19383" s="24"/>
      <c r="J19383" s="24"/>
      <c r="K19383" s="24"/>
      <c r="L19383" s="24"/>
      <c r="M19383" s="24"/>
      <c r="N19383" s="24"/>
      <c r="O19383" s="24"/>
      <c r="P19383" s="24"/>
      <c r="Q19383" s="24"/>
      <c r="R19383" s="24"/>
      <c r="S19383" s="24"/>
      <c r="T19383" s="24"/>
      <c r="U19383" s="24"/>
      <c r="V19383" s="24"/>
      <c r="W19383" s="24"/>
      <c r="X19383" s="24"/>
      <c r="Y19383" s="24"/>
      <c r="Z19383" s="24"/>
      <c r="AA19383" s="24"/>
    </row>
    <row r="19384">
      <c r="A19384" s="24"/>
      <c r="B19384" s="25"/>
      <c r="C19384" s="24"/>
      <c r="D19384" s="26"/>
      <c r="E19384" s="24"/>
      <c r="F19384" s="24"/>
      <c r="G19384" s="24"/>
      <c r="H19384" s="24"/>
      <c r="I19384" s="24"/>
      <c r="J19384" s="24"/>
      <c r="K19384" s="24"/>
      <c r="L19384" s="24"/>
      <c r="M19384" s="24"/>
      <c r="N19384" s="24"/>
      <c r="O19384" s="24"/>
      <c r="P19384" s="24"/>
      <c r="Q19384" s="24"/>
      <c r="R19384" s="24"/>
      <c r="S19384" s="24"/>
      <c r="T19384" s="24"/>
      <c r="U19384" s="24"/>
      <c r="V19384" s="24"/>
      <c r="W19384" s="24"/>
      <c r="X19384" s="24"/>
      <c r="Y19384" s="24"/>
      <c r="Z19384" s="24"/>
      <c r="AA19384" s="24"/>
    </row>
    <row r="19385">
      <c r="A19385" s="24"/>
      <c r="B19385" s="25"/>
      <c r="C19385" s="24"/>
      <c r="D19385" s="26"/>
      <c r="E19385" s="24"/>
      <c r="F19385" s="24"/>
      <c r="G19385" s="24"/>
      <c r="H19385" s="24"/>
      <c r="I19385" s="24"/>
      <c r="J19385" s="24"/>
      <c r="K19385" s="24"/>
      <c r="L19385" s="24"/>
      <c r="M19385" s="24"/>
      <c r="N19385" s="24"/>
      <c r="O19385" s="24"/>
      <c r="P19385" s="24"/>
      <c r="Q19385" s="24"/>
      <c r="R19385" s="24"/>
      <c r="S19385" s="24"/>
      <c r="T19385" s="24"/>
      <c r="U19385" s="24"/>
      <c r="V19385" s="24"/>
      <c r="W19385" s="24"/>
      <c r="X19385" s="24"/>
      <c r="Y19385" s="24"/>
      <c r="Z19385" s="24"/>
      <c r="AA19385" s="24"/>
    </row>
    <row r="19386">
      <c r="A19386" s="24"/>
      <c r="B19386" s="25"/>
      <c r="C19386" s="24"/>
      <c r="D19386" s="26"/>
      <c r="E19386" s="24"/>
      <c r="F19386" s="24"/>
      <c r="G19386" s="24"/>
      <c r="H19386" s="24"/>
      <c r="I19386" s="24"/>
      <c r="J19386" s="24"/>
      <c r="K19386" s="24"/>
      <c r="L19386" s="24"/>
      <c r="M19386" s="24"/>
      <c r="N19386" s="24"/>
      <c r="O19386" s="24"/>
      <c r="P19386" s="24"/>
      <c r="Q19386" s="24"/>
      <c r="R19386" s="24"/>
      <c r="S19386" s="24"/>
      <c r="T19386" s="24"/>
      <c r="U19386" s="24"/>
      <c r="V19386" s="24"/>
      <c r="W19386" s="24"/>
      <c r="X19386" s="24"/>
      <c r="Y19386" s="24"/>
      <c r="Z19386" s="24"/>
      <c r="AA19386" s="24"/>
    </row>
    <row r="19387">
      <c r="A19387" s="24"/>
      <c r="B19387" s="25"/>
      <c r="C19387" s="24"/>
      <c r="D19387" s="26"/>
      <c r="E19387" s="24"/>
      <c r="F19387" s="24"/>
      <c r="G19387" s="24"/>
      <c r="H19387" s="24"/>
      <c r="I19387" s="24"/>
      <c r="J19387" s="24"/>
      <c r="K19387" s="24"/>
      <c r="L19387" s="24"/>
      <c r="M19387" s="24"/>
      <c r="N19387" s="24"/>
      <c r="O19387" s="24"/>
      <c r="P19387" s="24"/>
      <c r="Q19387" s="24"/>
      <c r="R19387" s="24"/>
      <c r="S19387" s="24"/>
      <c r="T19387" s="24"/>
      <c r="U19387" s="24"/>
      <c r="V19387" s="24"/>
      <c r="W19387" s="24"/>
      <c r="X19387" s="24"/>
      <c r="Y19387" s="24"/>
      <c r="Z19387" s="24"/>
      <c r="AA19387" s="24"/>
    </row>
    <row r="19388">
      <c r="A19388" s="24"/>
      <c r="B19388" s="25"/>
      <c r="C19388" s="24"/>
      <c r="D19388" s="26"/>
      <c r="E19388" s="24"/>
      <c r="F19388" s="24"/>
      <c r="G19388" s="24"/>
      <c r="H19388" s="24"/>
      <c r="I19388" s="24"/>
      <c r="J19388" s="24"/>
      <c r="K19388" s="24"/>
      <c r="L19388" s="24"/>
      <c r="M19388" s="24"/>
      <c r="N19388" s="24"/>
      <c r="O19388" s="24"/>
      <c r="P19388" s="24"/>
      <c r="Q19388" s="24"/>
      <c r="R19388" s="24"/>
      <c r="S19388" s="24"/>
      <c r="T19388" s="24"/>
      <c r="U19388" s="24"/>
      <c r="V19388" s="24"/>
      <c r="W19388" s="24"/>
      <c r="X19388" s="24"/>
      <c r="Y19388" s="24"/>
      <c r="Z19388" s="24"/>
      <c r="AA19388" s="24"/>
    </row>
    <row r="19389">
      <c r="A19389" s="24"/>
      <c r="B19389" s="25"/>
      <c r="C19389" s="24"/>
      <c r="D19389" s="26"/>
      <c r="E19389" s="24"/>
      <c r="F19389" s="24"/>
      <c r="G19389" s="24"/>
      <c r="H19389" s="24"/>
      <c r="I19389" s="24"/>
      <c r="J19389" s="24"/>
      <c r="K19389" s="24"/>
      <c r="L19389" s="24"/>
      <c r="M19389" s="24"/>
      <c r="N19389" s="24"/>
      <c r="O19389" s="24"/>
      <c r="P19389" s="24"/>
      <c r="Q19389" s="24"/>
      <c r="R19389" s="24"/>
      <c r="S19389" s="24"/>
      <c r="T19389" s="24"/>
      <c r="U19389" s="24"/>
      <c r="V19389" s="24"/>
      <c r="W19389" s="24"/>
      <c r="X19389" s="24"/>
      <c r="Y19389" s="24"/>
      <c r="Z19389" s="24"/>
      <c r="AA19389" s="24"/>
    </row>
    <row r="19390">
      <c r="A19390" s="24"/>
      <c r="B19390" s="25"/>
      <c r="C19390" s="24"/>
      <c r="D19390" s="26"/>
      <c r="E19390" s="24"/>
      <c r="F19390" s="24"/>
      <c r="G19390" s="24"/>
      <c r="H19390" s="24"/>
      <c r="I19390" s="24"/>
      <c r="J19390" s="24"/>
      <c r="K19390" s="24"/>
      <c r="L19390" s="24"/>
      <c r="M19390" s="24"/>
      <c r="N19390" s="24"/>
      <c r="O19390" s="24"/>
      <c r="P19390" s="24"/>
      <c r="Q19390" s="24"/>
      <c r="R19390" s="24"/>
      <c r="S19390" s="24"/>
      <c r="T19390" s="24"/>
      <c r="U19390" s="24"/>
      <c r="V19390" s="24"/>
      <c r="W19390" s="24"/>
      <c r="X19390" s="24"/>
      <c r="Y19390" s="24"/>
      <c r="Z19390" s="24"/>
      <c r="AA19390" s="24"/>
    </row>
    <row r="19391">
      <c r="A19391" s="24"/>
      <c r="B19391" s="25"/>
      <c r="C19391" s="24"/>
      <c r="D19391" s="26"/>
      <c r="E19391" s="24"/>
      <c r="F19391" s="24"/>
      <c r="G19391" s="24"/>
      <c r="H19391" s="24"/>
      <c r="I19391" s="24"/>
      <c r="J19391" s="24"/>
      <c r="K19391" s="24"/>
      <c r="L19391" s="24"/>
      <c r="M19391" s="24"/>
      <c r="N19391" s="24"/>
      <c r="O19391" s="24"/>
      <c r="P19391" s="24"/>
      <c r="Q19391" s="24"/>
      <c r="R19391" s="24"/>
      <c r="S19391" s="24"/>
      <c r="T19391" s="24"/>
      <c r="U19391" s="24"/>
      <c r="V19391" s="24"/>
      <c r="W19391" s="24"/>
      <c r="X19391" s="24"/>
      <c r="Y19391" s="24"/>
      <c r="Z19391" s="24"/>
      <c r="AA19391" s="24"/>
    </row>
    <row r="19392">
      <c r="A19392" s="24"/>
      <c r="B19392" s="25"/>
      <c r="C19392" s="24"/>
      <c r="D19392" s="26"/>
      <c r="E19392" s="24"/>
      <c r="F19392" s="24"/>
      <c r="G19392" s="24"/>
      <c r="H19392" s="24"/>
      <c r="I19392" s="24"/>
      <c r="J19392" s="24"/>
      <c r="K19392" s="24"/>
      <c r="L19392" s="24"/>
      <c r="M19392" s="24"/>
      <c r="N19392" s="24"/>
      <c r="O19392" s="24"/>
      <c r="P19392" s="24"/>
      <c r="Q19392" s="24"/>
      <c r="R19392" s="24"/>
      <c r="S19392" s="24"/>
      <c r="T19392" s="24"/>
      <c r="U19392" s="24"/>
      <c r="V19392" s="24"/>
      <c r="W19392" s="24"/>
      <c r="X19392" s="24"/>
      <c r="Y19392" s="24"/>
      <c r="Z19392" s="24"/>
      <c r="AA19392" s="24"/>
    </row>
    <row r="19393">
      <c r="A19393" s="24"/>
      <c r="B19393" s="25"/>
      <c r="C19393" s="24"/>
      <c r="D19393" s="26"/>
      <c r="E19393" s="24"/>
      <c r="F19393" s="24"/>
      <c r="G19393" s="24"/>
      <c r="H19393" s="24"/>
      <c r="I19393" s="24"/>
      <c r="J19393" s="24"/>
      <c r="K19393" s="24"/>
      <c r="L19393" s="24"/>
      <c r="M19393" s="24"/>
      <c r="N19393" s="24"/>
      <c r="O19393" s="24"/>
      <c r="P19393" s="24"/>
      <c r="Q19393" s="24"/>
      <c r="R19393" s="24"/>
      <c r="S19393" s="24"/>
      <c r="T19393" s="24"/>
      <c r="U19393" s="24"/>
      <c r="V19393" s="24"/>
      <c r="W19393" s="24"/>
      <c r="X19393" s="24"/>
      <c r="Y19393" s="24"/>
      <c r="Z19393" s="24"/>
      <c r="AA19393" s="24"/>
    </row>
    <row r="19394">
      <c r="A19394" s="24"/>
      <c r="B19394" s="25"/>
      <c r="C19394" s="24"/>
      <c r="D19394" s="26"/>
      <c r="E19394" s="24"/>
      <c r="F19394" s="24"/>
      <c r="G19394" s="24"/>
      <c r="H19394" s="24"/>
      <c r="I19394" s="24"/>
      <c r="J19394" s="24"/>
      <c r="K19394" s="24"/>
      <c r="L19394" s="24"/>
      <c r="M19394" s="24"/>
      <c r="N19394" s="24"/>
      <c r="O19394" s="24"/>
      <c r="P19394" s="24"/>
      <c r="Q19394" s="24"/>
      <c r="R19394" s="24"/>
      <c r="S19394" s="24"/>
      <c r="T19394" s="24"/>
      <c r="U19394" s="24"/>
      <c r="V19394" s="24"/>
      <c r="W19394" s="24"/>
      <c r="X19394" s="24"/>
      <c r="Y19394" s="24"/>
      <c r="Z19394" s="24"/>
      <c r="AA19394" s="24"/>
    </row>
    <row r="19395">
      <c r="A19395" s="24"/>
      <c r="B19395" s="25"/>
      <c r="C19395" s="24"/>
      <c r="D19395" s="26"/>
      <c r="E19395" s="24"/>
      <c r="F19395" s="24"/>
      <c r="G19395" s="24"/>
      <c r="H19395" s="24"/>
      <c r="I19395" s="24"/>
      <c r="J19395" s="24"/>
      <c r="K19395" s="24"/>
      <c r="L19395" s="24"/>
      <c r="M19395" s="24"/>
      <c r="N19395" s="24"/>
      <c r="O19395" s="24"/>
      <c r="P19395" s="24"/>
      <c r="Q19395" s="24"/>
      <c r="R19395" s="24"/>
      <c r="S19395" s="24"/>
      <c r="T19395" s="24"/>
      <c r="U19395" s="24"/>
      <c r="V19395" s="24"/>
      <c r="W19395" s="24"/>
      <c r="X19395" s="24"/>
      <c r="Y19395" s="24"/>
      <c r="Z19395" s="24"/>
      <c r="AA19395" s="24"/>
    </row>
    <row r="19396">
      <c r="A19396" s="24"/>
      <c r="B19396" s="25"/>
      <c r="C19396" s="24"/>
      <c r="D19396" s="26"/>
      <c r="E19396" s="24"/>
      <c r="F19396" s="24"/>
      <c r="G19396" s="24"/>
      <c r="H19396" s="24"/>
      <c r="I19396" s="24"/>
      <c r="J19396" s="24"/>
      <c r="K19396" s="24"/>
      <c r="L19396" s="24"/>
      <c r="M19396" s="24"/>
      <c r="N19396" s="24"/>
      <c r="O19396" s="24"/>
      <c r="P19396" s="24"/>
      <c r="Q19396" s="24"/>
      <c r="R19396" s="24"/>
      <c r="S19396" s="24"/>
      <c r="T19396" s="24"/>
      <c r="U19396" s="24"/>
      <c r="V19396" s="24"/>
      <c r="W19396" s="24"/>
      <c r="X19396" s="24"/>
      <c r="Y19396" s="24"/>
      <c r="Z19396" s="24"/>
      <c r="AA19396" s="24"/>
    </row>
    <row r="19397">
      <c r="A19397" s="24"/>
      <c r="B19397" s="25"/>
      <c r="C19397" s="24"/>
      <c r="D19397" s="26"/>
      <c r="E19397" s="24"/>
      <c r="F19397" s="24"/>
      <c r="G19397" s="24"/>
      <c r="H19397" s="24"/>
      <c r="I19397" s="24"/>
      <c r="J19397" s="24"/>
      <c r="K19397" s="24"/>
      <c r="L19397" s="24"/>
      <c r="M19397" s="24"/>
      <c r="N19397" s="24"/>
      <c r="O19397" s="24"/>
      <c r="P19397" s="24"/>
      <c r="Q19397" s="24"/>
      <c r="R19397" s="24"/>
      <c r="S19397" s="24"/>
      <c r="T19397" s="24"/>
      <c r="U19397" s="24"/>
      <c r="V19397" s="24"/>
      <c r="W19397" s="24"/>
      <c r="X19397" s="24"/>
      <c r="Y19397" s="24"/>
      <c r="Z19397" s="24"/>
      <c r="AA19397" s="24"/>
    </row>
    <row r="19398">
      <c r="A19398" s="24"/>
      <c r="B19398" s="25"/>
      <c r="C19398" s="24"/>
      <c r="D19398" s="26"/>
      <c r="E19398" s="24"/>
      <c r="F19398" s="24"/>
      <c r="G19398" s="24"/>
      <c r="H19398" s="24"/>
      <c r="I19398" s="24"/>
      <c r="J19398" s="24"/>
      <c r="K19398" s="24"/>
      <c r="L19398" s="24"/>
      <c r="M19398" s="24"/>
      <c r="N19398" s="24"/>
      <c r="O19398" s="24"/>
      <c r="P19398" s="24"/>
      <c r="Q19398" s="24"/>
      <c r="R19398" s="24"/>
      <c r="S19398" s="24"/>
      <c r="T19398" s="24"/>
      <c r="U19398" s="24"/>
      <c r="V19398" s="24"/>
      <c r="W19398" s="24"/>
      <c r="X19398" s="24"/>
      <c r="Y19398" s="24"/>
      <c r="Z19398" s="24"/>
      <c r="AA19398" s="24"/>
    </row>
    <row r="19399">
      <c r="A19399" s="24"/>
      <c r="B19399" s="25"/>
      <c r="C19399" s="24"/>
      <c r="D19399" s="26"/>
      <c r="E19399" s="24"/>
      <c r="F19399" s="24"/>
      <c r="G19399" s="24"/>
      <c r="H19399" s="24"/>
      <c r="I19399" s="24"/>
      <c r="J19399" s="24"/>
      <c r="K19399" s="24"/>
      <c r="L19399" s="24"/>
      <c r="M19399" s="24"/>
      <c r="N19399" s="24"/>
      <c r="O19399" s="24"/>
      <c r="P19399" s="24"/>
      <c r="Q19399" s="24"/>
      <c r="R19399" s="24"/>
      <c r="S19399" s="24"/>
      <c r="T19399" s="24"/>
      <c r="U19399" s="24"/>
      <c r="V19399" s="24"/>
      <c r="W19399" s="24"/>
      <c r="X19399" s="24"/>
      <c r="Y19399" s="24"/>
      <c r="Z19399" s="24"/>
      <c r="AA19399" s="24"/>
    </row>
    <row r="19400">
      <c r="A19400" s="24"/>
      <c r="B19400" s="25"/>
      <c r="C19400" s="24"/>
      <c r="D19400" s="26"/>
      <c r="E19400" s="24"/>
      <c r="F19400" s="24"/>
      <c r="G19400" s="24"/>
      <c r="H19400" s="24"/>
      <c r="I19400" s="24"/>
      <c r="J19400" s="24"/>
      <c r="K19400" s="24"/>
      <c r="L19400" s="24"/>
      <c r="M19400" s="24"/>
      <c r="N19400" s="24"/>
      <c r="O19400" s="24"/>
      <c r="P19400" s="24"/>
      <c r="Q19400" s="24"/>
      <c r="R19400" s="24"/>
      <c r="S19400" s="24"/>
      <c r="T19400" s="24"/>
      <c r="U19400" s="24"/>
      <c r="V19400" s="24"/>
      <c r="W19400" s="24"/>
      <c r="X19400" s="24"/>
      <c r="Y19400" s="24"/>
      <c r="Z19400" s="24"/>
      <c r="AA19400" s="24"/>
    </row>
    <row r="19401">
      <c r="A19401" s="24"/>
      <c r="B19401" s="25"/>
      <c r="C19401" s="24"/>
      <c r="D19401" s="26"/>
      <c r="E19401" s="24"/>
      <c r="F19401" s="24"/>
      <c r="G19401" s="24"/>
      <c r="H19401" s="24"/>
      <c r="I19401" s="24"/>
      <c r="J19401" s="24"/>
      <c r="K19401" s="24"/>
      <c r="L19401" s="24"/>
      <c r="M19401" s="24"/>
      <c r="N19401" s="24"/>
      <c r="O19401" s="24"/>
      <c r="P19401" s="24"/>
      <c r="Q19401" s="24"/>
      <c r="R19401" s="24"/>
      <c r="S19401" s="24"/>
      <c r="T19401" s="24"/>
      <c r="U19401" s="24"/>
      <c r="V19401" s="24"/>
      <c r="W19401" s="24"/>
      <c r="X19401" s="24"/>
      <c r="Y19401" s="24"/>
      <c r="Z19401" s="24"/>
      <c r="AA19401" s="24"/>
    </row>
    <row r="19402">
      <c r="A19402" s="24"/>
      <c r="B19402" s="25"/>
      <c r="C19402" s="24"/>
      <c r="D19402" s="26"/>
      <c r="E19402" s="24"/>
      <c r="F19402" s="24"/>
      <c r="G19402" s="24"/>
      <c r="H19402" s="24"/>
      <c r="I19402" s="24"/>
      <c r="J19402" s="24"/>
      <c r="K19402" s="24"/>
      <c r="L19402" s="24"/>
      <c r="M19402" s="24"/>
      <c r="N19402" s="24"/>
      <c r="O19402" s="24"/>
      <c r="P19402" s="24"/>
      <c r="Q19402" s="24"/>
      <c r="R19402" s="24"/>
      <c r="S19402" s="24"/>
      <c r="T19402" s="24"/>
      <c r="U19402" s="24"/>
      <c r="V19402" s="24"/>
      <c r="W19402" s="24"/>
      <c r="X19402" s="24"/>
      <c r="Y19402" s="24"/>
      <c r="Z19402" s="24"/>
      <c r="AA19402" s="24"/>
    </row>
    <row r="19403">
      <c r="A19403" s="24"/>
      <c r="B19403" s="25"/>
      <c r="C19403" s="24"/>
      <c r="D19403" s="26"/>
      <c r="E19403" s="24"/>
      <c r="F19403" s="24"/>
      <c r="G19403" s="24"/>
      <c r="H19403" s="24"/>
      <c r="I19403" s="24"/>
      <c r="J19403" s="24"/>
      <c r="K19403" s="24"/>
      <c r="L19403" s="24"/>
      <c r="M19403" s="24"/>
      <c r="N19403" s="24"/>
      <c r="O19403" s="24"/>
      <c r="P19403" s="24"/>
      <c r="Q19403" s="24"/>
      <c r="R19403" s="24"/>
      <c r="S19403" s="24"/>
      <c r="T19403" s="24"/>
      <c r="U19403" s="24"/>
      <c r="V19403" s="24"/>
      <c r="W19403" s="24"/>
      <c r="X19403" s="24"/>
      <c r="Y19403" s="24"/>
      <c r="Z19403" s="24"/>
      <c r="AA19403" s="24"/>
    </row>
    <row r="19404">
      <c r="A19404" s="24"/>
      <c r="B19404" s="25"/>
      <c r="C19404" s="24"/>
      <c r="D19404" s="26"/>
      <c r="E19404" s="24"/>
      <c r="F19404" s="24"/>
      <c r="G19404" s="24"/>
      <c r="H19404" s="24"/>
      <c r="I19404" s="24"/>
      <c r="J19404" s="24"/>
      <c r="K19404" s="24"/>
      <c r="L19404" s="24"/>
      <c r="M19404" s="24"/>
      <c r="N19404" s="24"/>
      <c r="O19404" s="24"/>
      <c r="P19404" s="24"/>
      <c r="Q19404" s="24"/>
      <c r="R19404" s="24"/>
      <c r="S19404" s="24"/>
      <c r="T19404" s="24"/>
      <c r="U19404" s="24"/>
      <c r="V19404" s="24"/>
      <c r="W19404" s="24"/>
      <c r="X19404" s="24"/>
      <c r="Y19404" s="24"/>
      <c r="Z19404" s="24"/>
      <c r="AA19404" s="24"/>
    </row>
    <row r="19405">
      <c r="A19405" s="24"/>
      <c r="B19405" s="25"/>
      <c r="C19405" s="24"/>
      <c r="D19405" s="26"/>
      <c r="E19405" s="24"/>
      <c r="F19405" s="24"/>
      <c r="G19405" s="24"/>
      <c r="H19405" s="24"/>
      <c r="I19405" s="24"/>
      <c r="J19405" s="24"/>
      <c r="K19405" s="24"/>
      <c r="L19405" s="24"/>
      <c r="M19405" s="24"/>
      <c r="N19405" s="24"/>
      <c r="O19405" s="24"/>
      <c r="P19405" s="24"/>
      <c r="Q19405" s="24"/>
      <c r="R19405" s="24"/>
      <c r="S19405" s="24"/>
      <c r="T19405" s="24"/>
      <c r="U19405" s="24"/>
      <c r="V19405" s="24"/>
      <c r="W19405" s="24"/>
      <c r="X19405" s="24"/>
      <c r="Y19405" s="24"/>
      <c r="Z19405" s="24"/>
      <c r="AA19405" s="24"/>
    </row>
    <row r="19406">
      <c r="A19406" s="24"/>
      <c r="B19406" s="25"/>
      <c r="C19406" s="24"/>
      <c r="D19406" s="26"/>
      <c r="E19406" s="24"/>
      <c r="F19406" s="24"/>
      <c r="G19406" s="24"/>
      <c r="H19406" s="24"/>
      <c r="I19406" s="24"/>
      <c r="J19406" s="24"/>
      <c r="K19406" s="24"/>
      <c r="L19406" s="24"/>
      <c r="M19406" s="24"/>
      <c r="N19406" s="24"/>
      <c r="O19406" s="24"/>
      <c r="P19406" s="24"/>
      <c r="Q19406" s="24"/>
      <c r="R19406" s="24"/>
      <c r="S19406" s="24"/>
      <c r="T19406" s="24"/>
      <c r="U19406" s="24"/>
      <c r="V19406" s="24"/>
      <c r="W19406" s="24"/>
      <c r="X19406" s="24"/>
      <c r="Y19406" s="24"/>
      <c r="Z19406" s="24"/>
      <c r="AA19406" s="24"/>
    </row>
    <row r="19407">
      <c r="A19407" s="24"/>
      <c r="B19407" s="25"/>
      <c r="C19407" s="24"/>
      <c r="D19407" s="26"/>
      <c r="E19407" s="24"/>
      <c r="F19407" s="24"/>
      <c r="G19407" s="24"/>
      <c r="H19407" s="24"/>
      <c r="I19407" s="24"/>
      <c r="J19407" s="24"/>
      <c r="K19407" s="24"/>
      <c r="L19407" s="24"/>
      <c r="M19407" s="24"/>
      <c r="N19407" s="24"/>
      <c r="O19407" s="24"/>
      <c r="P19407" s="24"/>
      <c r="Q19407" s="24"/>
      <c r="R19407" s="24"/>
      <c r="S19407" s="24"/>
      <c r="T19407" s="24"/>
      <c r="U19407" s="24"/>
      <c r="V19407" s="24"/>
      <c r="W19407" s="24"/>
      <c r="X19407" s="24"/>
      <c r="Y19407" s="24"/>
      <c r="Z19407" s="24"/>
      <c r="AA19407" s="24"/>
    </row>
    <row r="19408">
      <c r="A19408" s="24"/>
      <c r="B19408" s="25"/>
      <c r="C19408" s="24"/>
      <c r="D19408" s="26"/>
      <c r="E19408" s="24"/>
      <c r="F19408" s="24"/>
      <c r="G19408" s="24"/>
      <c r="H19408" s="24"/>
      <c r="I19408" s="24"/>
      <c r="J19408" s="24"/>
      <c r="K19408" s="24"/>
      <c r="L19408" s="24"/>
      <c r="M19408" s="24"/>
      <c r="N19408" s="24"/>
      <c r="O19408" s="24"/>
      <c r="P19408" s="24"/>
      <c r="Q19408" s="24"/>
      <c r="R19408" s="24"/>
      <c r="S19408" s="24"/>
      <c r="T19408" s="24"/>
      <c r="U19408" s="24"/>
      <c r="V19408" s="24"/>
      <c r="W19408" s="24"/>
      <c r="X19408" s="24"/>
      <c r="Y19408" s="24"/>
      <c r="Z19408" s="24"/>
      <c r="AA19408" s="24"/>
    </row>
    <row r="19409">
      <c r="A19409" s="24"/>
      <c r="B19409" s="25"/>
      <c r="C19409" s="24"/>
      <c r="D19409" s="26"/>
      <c r="E19409" s="24"/>
      <c r="F19409" s="24"/>
      <c r="G19409" s="24"/>
      <c r="H19409" s="24"/>
      <c r="I19409" s="24"/>
      <c r="J19409" s="24"/>
      <c r="K19409" s="24"/>
      <c r="L19409" s="24"/>
      <c r="M19409" s="24"/>
      <c r="N19409" s="24"/>
      <c r="O19409" s="24"/>
      <c r="P19409" s="24"/>
      <c r="Q19409" s="24"/>
      <c r="R19409" s="24"/>
      <c r="S19409" s="24"/>
      <c r="T19409" s="24"/>
      <c r="U19409" s="24"/>
      <c r="V19409" s="24"/>
      <c r="W19409" s="24"/>
      <c r="X19409" s="24"/>
      <c r="Y19409" s="24"/>
      <c r="Z19409" s="24"/>
      <c r="AA19409" s="24"/>
    </row>
    <row r="19410">
      <c r="A19410" s="24"/>
      <c r="B19410" s="25"/>
      <c r="C19410" s="24"/>
      <c r="D19410" s="26"/>
      <c r="E19410" s="24"/>
      <c r="F19410" s="24"/>
      <c r="G19410" s="24"/>
      <c r="H19410" s="24"/>
      <c r="I19410" s="24"/>
      <c r="J19410" s="24"/>
      <c r="K19410" s="24"/>
      <c r="L19410" s="24"/>
      <c r="M19410" s="24"/>
      <c r="N19410" s="24"/>
      <c r="O19410" s="24"/>
      <c r="P19410" s="24"/>
      <c r="Q19410" s="24"/>
      <c r="R19410" s="24"/>
      <c r="S19410" s="24"/>
      <c r="T19410" s="24"/>
      <c r="U19410" s="24"/>
      <c r="V19410" s="24"/>
      <c r="W19410" s="24"/>
      <c r="X19410" s="24"/>
      <c r="Y19410" s="24"/>
      <c r="Z19410" s="24"/>
      <c r="AA19410" s="24"/>
    </row>
    <row r="19411">
      <c r="A19411" s="24"/>
      <c r="B19411" s="25"/>
      <c r="C19411" s="24"/>
      <c r="D19411" s="26"/>
      <c r="E19411" s="24"/>
      <c r="F19411" s="24"/>
      <c r="G19411" s="24"/>
      <c r="H19411" s="24"/>
      <c r="I19411" s="24"/>
      <c r="J19411" s="24"/>
      <c r="K19411" s="24"/>
      <c r="L19411" s="24"/>
      <c r="M19411" s="24"/>
      <c r="N19411" s="24"/>
      <c r="O19411" s="24"/>
      <c r="P19411" s="24"/>
      <c r="Q19411" s="24"/>
      <c r="R19411" s="24"/>
      <c r="S19411" s="24"/>
      <c r="T19411" s="24"/>
      <c r="U19411" s="24"/>
      <c r="V19411" s="24"/>
      <c r="W19411" s="24"/>
      <c r="X19411" s="24"/>
      <c r="Y19411" s="24"/>
      <c r="Z19411" s="24"/>
      <c r="AA19411" s="24"/>
    </row>
    <row r="19412">
      <c r="A19412" s="24"/>
      <c r="B19412" s="25"/>
      <c r="C19412" s="24"/>
      <c r="D19412" s="26"/>
      <c r="E19412" s="24"/>
      <c r="F19412" s="24"/>
      <c r="G19412" s="24"/>
      <c r="H19412" s="24"/>
      <c r="I19412" s="24"/>
      <c r="J19412" s="24"/>
      <c r="K19412" s="24"/>
      <c r="L19412" s="24"/>
      <c r="M19412" s="24"/>
      <c r="N19412" s="24"/>
      <c r="O19412" s="24"/>
      <c r="P19412" s="24"/>
      <c r="Q19412" s="24"/>
      <c r="R19412" s="24"/>
      <c r="S19412" s="24"/>
      <c r="T19412" s="24"/>
      <c r="U19412" s="24"/>
      <c r="V19412" s="24"/>
      <c r="W19412" s="24"/>
      <c r="X19412" s="24"/>
      <c r="Y19412" s="24"/>
      <c r="Z19412" s="24"/>
      <c r="AA19412" s="24"/>
    </row>
    <row r="19413">
      <c r="A19413" s="24"/>
      <c r="B19413" s="25"/>
      <c r="C19413" s="24"/>
      <c r="D19413" s="26"/>
      <c r="E19413" s="24"/>
      <c r="F19413" s="24"/>
      <c r="G19413" s="24"/>
      <c r="H19413" s="24"/>
      <c r="I19413" s="24"/>
      <c r="J19413" s="24"/>
      <c r="K19413" s="24"/>
      <c r="L19413" s="24"/>
      <c r="M19413" s="24"/>
      <c r="N19413" s="24"/>
      <c r="O19413" s="24"/>
      <c r="P19413" s="24"/>
      <c r="Q19413" s="24"/>
      <c r="R19413" s="24"/>
      <c r="S19413" s="24"/>
      <c r="T19413" s="24"/>
      <c r="U19413" s="24"/>
      <c r="V19413" s="24"/>
      <c r="W19413" s="24"/>
      <c r="X19413" s="24"/>
      <c r="Y19413" s="24"/>
      <c r="Z19413" s="24"/>
      <c r="AA19413" s="24"/>
    </row>
    <row r="19414">
      <c r="A19414" s="24"/>
      <c r="B19414" s="25"/>
      <c r="C19414" s="24"/>
      <c r="D19414" s="26"/>
      <c r="E19414" s="24"/>
      <c r="F19414" s="24"/>
      <c r="G19414" s="24"/>
      <c r="H19414" s="24"/>
      <c r="I19414" s="24"/>
      <c r="J19414" s="24"/>
      <c r="K19414" s="24"/>
      <c r="L19414" s="24"/>
      <c r="M19414" s="24"/>
      <c r="N19414" s="24"/>
      <c r="O19414" s="24"/>
      <c r="P19414" s="24"/>
      <c r="Q19414" s="24"/>
      <c r="R19414" s="24"/>
      <c r="S19414" s="24"/>
      <c r="T19414" s="24"/>
      <c r="U19414" s="24"/>
      <c r="V19414" s="24"/>
      <c r="W19414" s="24"/>
      <c r="X19414" s="24"/>
      <c r="Y19414" s="24"/>
      <c r="Z19414" s="24"/>
      <c r="AA19414" s="24"/>
    </row>
    <row r="19415">
      <c r="A19415" s="24"/>
      <c r="B19415" s="25"/>
      <c r="C19415" s="24"/>
      <c r="D19415" s="26"/>
      <c r="E19415" s="24"/>
      <c r="F19415" s="24"/>
      <c r="G19415" s="24"/>
      <c r="H19415" s="24"/>
      <c r="I19415" s="24"/>
      <c r="J19415" s="24"/>
      <c r="K19415" s="24"/>
      <c r="L19415" s="24"/>
      <c r="M19415" s="24"/>
      <c r="N19415" s="24"/>
      <c r="O19415" s="24"/>
      <c r="P19415" s="24"/>
      <c r="Q19415" s="24"/>
      <c r="R19415" s="24"/>
      <c r="S19415" s="24"/>
      <c r="T19415" s="24"/>
      <c r="U19415" s="24"/>
      <c r="V19415" s="24"/>
      <c r="W19415" s="24"/>
      <c r="X19415" s="24"/>
      <c r="Y19415" s="24"/>
      <c r="Z19415" s="24"/>
      <c r="AA19415" s="24"/>
    </row>
    <row r="19416">
      <c r="A19416" s="24"/>
      <c r="B19416" s="25"/>
      <c r="C19416" s="24"/>
      <c r="D19416" s="26"/>
      <c r="E19416" s="24"/>
      <c r="F19416" s="24"/>
      <c r="G19416" s="24"/>
      <c r="H19416" s="24"/>
      <c r="I19416" s="24"/>
      <c r="J19416" s="24"/>
      <c r="K19416" s="24"/>
      <c r="L19416" s="24"/>
      <c r="M19416" s="24"/>
      <c r="N19416" s="24"/>
      <c r="O19416" s="24"/>
      <c r="P19416" s="24"/>
      <c r="Q19416" s="24"/>
      <c r="R19416" s="24"/>
      <c r="S19416" s="24"/>
      <c r="T19416" s="24"/>
      <c r="U19416" s="24"/>
      <c r="V19416" s="24"/>
      <c r="W19416" s="24"/>
      <c r="X19416" s="24"/>
      <c r="Y19416" s="24"/>
      <c r="Z19416" s="24"/>
      <c r="AA19416" s="24"/>
    </row>
    <row r="19417">
      <c r="A19417" s="24"/>
      <c r="B19417" s="25"/>
      <c r="C19417" s="24"/>
      <c r="D19417" s="26"/>
      <c r="E19417" s="24"/>
      <c r="F19417" s="24"/>
      <c r="G19417" s="24"/>
      <c r="H19417" s="24"/>
      <c r="I19417" s="24"/>
      <c r="J19417" s="24"/>
      <c r="K19417" s="24"/>
      <c r="L19417" s="24"/>
      <c r="M19417" s="24"/>
      <c r="N19417" s="24"/>
      <c r="O19417" s="24"/>
      <c r="P19417" s="24"/>
      <c r="Q19417" s="24"/>
      <c r="R19417" s="24"/>
      <c r="S19417" s="24"/>
      <c r="T19417" s="24"/>
      <c r="U19417" s="24"/>
      <c r="V19417" s="24"/>
      <c r="W19417" s="24"/>
      <c r="X19417" s="24"/>
      <c r="Y19417" s="24"/>
      <c r="Z19417" s="24"/>
      <c r="AA19417" s="24"/>
    </row>
    <row r="19418">
      <c r="A19418" s="24"/>
      <c r="B19418" s="25"/>
      <c r="C19418" s="24"/>
      <c r="D19418" s="26"/>
      <c r="E19418" s="24"/>
      <c r="F19418" s="24"/>
      <c r="G19418" s="24"/>
      <c r="H19418" s="24"/>
      <c r="I19418" s="24"/>
      <c r="J19418" s="24"/>
      <c r="K19418" s="24"/>
      <c r="L19418" s="24"/>
      <c r="M19418" s="24"/>
      <c r="N19418" s="24"/>
      <c r="O19418" s="24"/>
      <c r="P19418" s="24"/>
      <c r="Q19418" s="24"/>
      <c r="R19418" s="24"/>
      <c r="S19418" s="24"/>
      <c r="T19418" s="24"/>
      <c r="U19418" s="24"/>
      <c r="V19418" s="24"/>
      <c r="W19418" s="24"/>
      <c r="X19418" s="24"/>
      <c r="Y19418" s="24"/>
      <c r="Z19418" s="24"/>
      <c r="AA19418" s="24"/>
    </row>
    <row r="19419">
      <c r="A19419" s="24"/>
      <c r="B19419" s="25"/>
      <c r="C19419" s="24"/>
      <c r="D19419" s="26"/>
      <c r="E19419" s="24"/>
      <c r="F19419" s="24"/>
      <c r="G19419" s="24"/>
      <c r="H19419" s="24"/>
      <c r="I19419" s="24"/>
      <c r="J19419" s="24"/>
      <c r="K19419" s="24"/>
      <c r="L19419" s="24"/>
      <c r="M19419" s="24"/>
      <c r="N19419" s="24"/>
      <c r="O19419" s="24"/>
      <c r="P19419" s="24"/>
      <c r="Q19419" s="24"/>
      <c r="R19419" s="24"/>
      <c r="S19419" s="24"/>
      <c r="T19419" s="24"/>
      <c r="U19419" s="24"/>
      <c r="V19419" s="24"/>
      <c r="W19419" s="24"/>
      <c r="X19419" s="24"/>
      <c r="Y19419" s="24"/>
      <c r="Z19419" s="24"/>
      <c r="AA19419" s="24"/>
    </row>
    <row r="19420">
      <c r="A19420" s="24"/>
      <c r="B19420" s="25"/>
      <c r="C19420" s="24"/>
      <c r="D19420" s="26"/>
      <c r="E19420" s="24"/>
      <c r="F19420" s="24"/>
      <c r="G19420" s="24"/>
      <c r="H19420" s="24"/>
      <c r="I19420" s="24"/>
      <c r="J19420" s="24"/>
      <c r="K19420" s="24"/>
      <c r="L19420" s="24"/>
      <c r="M19420" s="24"/>
      <c r="N19420" s="24"/>
      <c r="O19420" s="24"/>
      <c r="P19420" s="24"/>
      <c r="Q19420" s="24"/>
      <c r="R19420" s="24"/>
      <c r="S19420" s="24"/>
      <c r="T19420" s="24"/>
      <c r="U19420" s="24"/>
      <c r="V19420" s="24"/>
      <c r="W19420" s="24"/>
      <c r="X19420" s="24"/>
      <c r="Y19420" s="24"/>
      <c r="Z19420" s="24"/>
      <c r="AA19420" s="24"/>
    </row>
    <row r="19421">
      <c r="A19421" s="24"/>
      <c r="B19421" s="25"/>
      <c r="C19421" s="24"/>
      <c r="D19421" s="26"/>
      <c r="E19421" s="24"/>
      <c r="F19421" s="24"/>
      <c r="G19421" s="24"/>
      <c r="H19421" s="24"/>
      <c r="I19421" s="24"/>
      <c r="J19421" s="24"/>
      <c r="K19421" s="24"/>
      <c r="L19421" s="24"/>
      <c r="M19421" s="24"/>
      <c r="N19421" s="24"/>
      <c r="O19421" s="24"/>
      <c r="P19421" s="24"/>
      <c r="Q19421" s="24"/>
      <c r="R19421" s="24"/>
      <c r="S19421" s="24"/>
      <c r="T19421" s="24"/>
      <c r="U19421" s="24"/>
      <c r="V19421" s="24"/>
      <c r="W19421" s="24"/>
      <c r="X19421" s="24"/>
      <c r="Y19421" s="24"/>
      <c r="Z19421" s="24"/>
      <c r="AA19421" s="24"/>
    </row>
    <row r="19422">
      <c r="A19422" s="24"/>
      <c r="B19422" s="25"/>
      <c r="C19422" s="24"/>
      <c r="D19422" s="26"/>
      <c r="E19422" s="24"/>
      <c r="F19422" s="24"/>
      <c r="G19422" s="24"/>
      <c r="H19422" s="24"/>
      <c r="I19422" s="24"/>
      <c r="J19422" s="24"/>
      <c r="K19422" s="24"/>
      <c r="L19422" s="24"/>
      <c r="M19422" s="24"/>
      <c r="N19422" s="24"/>
      <c r="O19422" s="24"/>
      <c r="P19422" s="24"/>
      <c r="Q19422" s="24"/>
      <c r="R19422" s="24"/>
      <c r="S19422" s="24"/>
      <c r="T19422" s="24"/>
      <c r="U19422" s="24"/>
      <c r="V19422" s="24"/>
      <c r="W19422" s="24"/>
      <c r="X19422" s="24"/>
      <c r="Y19422" s="24"/>
      <c r="Z19422" s="24"/>
      <c r="AA19422" s="24"/>
    </row>
    <row r="19423">
      <c r="A19423" s="24"/>
      <c r="B19423" s="25"/>
      <c r="C19423" s="24"/>
      <c r="D19423" s="26"/>
      <c r="E19423" s="24"/>
      <c r="F19423" s="24"/>
      <c r="G19423" s="24"/>
      <c r="H19423" s="24"/>
      <c r="I19423" s="24"/>
      <c r="J19423" s="24"/>
      <c r="K19423" s="24"/>
      <c r="L19423" s="24"/>
      <c r="M19423" s="24"/>
      <c r="N19423" s="24"/>
      <c r="O19423" s="24"/>
      <c r="P19423" s="24"/>
      <c r="Q19423" s="24"/>
      <c r="R19423" s="24"/>
      <c r="S19423" s="24"/>
      <c r="T19423" s="24"/>
      <c r="U19423" s="24"/>
      <c r="V19423" s="24"/>
      <c r="W19423" s="24"/>
      <c r="X19423" s="24"/>
      <c r="Y19423" s="24"/>
      <c r="Z19423" s="24"/>
      <c r="AA19423" s="24"/>
    </row>
    <row r="19424">
      <c r="A19424" s="24"/>
      <c r="B19424" s="25"/>
      <c r="C19424" s="24"/>
      <c r="D19424" s="26"/>
      <c r="E19424" s="24"/>
      <c r="F19424" s="24"/>
      <c r="G19424" s="24"/>
      <c r="H19424" s="24"/>
      <c r="I19424" s="24"/>
      <c r="J19424" s="24"/>
      <c r="K19424" s="24"/>
      <c r="L19424" s="24"/>
      <c r="M19424" s="24"/>
      <c r="N19424" s="24"/>
      <c r="O19424" s="24"/>
      <c r="P19424" s="24"/>
      <c r="Q19424" s="24"/>
      <c r="R19424" s="24"/>
      <c r="S19424" s="24"/>
      <c r="T19424" s="24"/>
      <c r="U19424" s="24"/>
      <c r="V19424" s="24"/>
      <c r="W19424" s="24"/>
      <c r="X19424" s="24"/>
      <c r="Y19424" s="24"/>
      <c r="Z19424" s="24"/>
      <c r="AA19424" s="24"/>
    </row>
    <row r="19425">
      <c r="A19425" s="24"/>
      <c r="B19425" s="25"/>
      <c r="C19425" s="24"/>
      <c r="D19425" s="26"/>
      <c r="E19425" s="24"/>
      <c r="F19425" s="24"/>
      <c r="G19425" s="24"/>
      <c r="H19425" s="24"/>
      <c r="I19425" s="24"/>
      <c r="J19425" s="24"/>
      <c r="K19425" s="24"/>
      <c r="L19425" s="24"/>
      <c r="M19425" s="24"/>
      <c r="N19425" s="24"/>
      <c r="O19425" s="24"/>
      <c r="P19425" s="24"/>
      <c r="Q19425" s="24"/>
      <c r="R19425" s="24"/>
      <c r="S19425" s="24"/>
      <c r="T19425" s="24"/>
      <c r="U19425" s="24"/>
      <c r="V19425" s="24"/>
      <c r="W19425" s="24"/>
      <c r="X19425" s="24"/>
      <c r="Y19425" s="24"/>
      <c r="Z19425" s="24"/>
      <c r="AA19425" s="24"/>
    </row>
    <row r="19426">
      <c r="A19426" s="24"/>
      <c r="B19426" s="25"/>
      <c r="C19426" s="24"/>
      <c r="D19426" s="26"/>
      <c r="E19426" s="24"/>
      <c r="F19426" s="24"/>
      <c r="G19426" s="24"/>
      <c r="H19426" s="24"/>
      <c r="I19426" s="24"/>
      <c r="J19426" s="24"/>
      <c r="K19426" s="24"/>
      <c r="L19426" s="24"/>
      <c r="M19426" s="24"/>
      <c r="N19426" s="24"/>
      <c r="O19426" s="24"/>
      <c r="P19426" s="24"/>
      <c r="Q19426" s="24"/>
      <c r="R19426" s="24"/>
      <c r="S19426" s="24"/>
      <c r="T19426" s="24"/>
      <c r="U19426" s="24"/>
      <c r="V19426" s="24"/>
      <c r="W19426" s="24"/>
      <c r="X19426" s="24"/>
      <c r="Y19426" s="24"/>
      <c r="Z19426" s="24"/>
      <c r="AA19426" s="24"/>
    </row>
    <row r="19427">
      <c r="A19427" s="24"/>
      <c r="B19427" s="25"/>
      <c r="C19427" s="24"/>
      <c r="D19427" s="26"/>
      <c r="E19427" s="24"/>
      <c r="F19427" s="24"/>
      <c r="G19427" s="24"/>
      <c r="H19427" s="24"/>
      <c r="I19427" s="24"/>
      <c r="J19427" s="24"/>
      <c r="K19427" s="24"/>
      <c r="L19427" s="24"/>
      <c r="M19427" s="24"/>
      <c r="N19427" s="24"/>
      <c r="O19427" s="24"/>
      <c r="P19427" s="24"/>
      <c r="Q19427" s="24"/>
      <c r="R19427" s="24"/>
      <c r="S19427" s="24"/>
      <c r="T19427" s="24"/>
      <c r="U19427" s="24"/>
      <c r="V19427" s="24"/>
      <c r="W19427" s="24"/>
      <c r="X19427" s="24"/>
      <c r="Y19427" s="24"/>
      <c r="Z19427" s="24"/>
      <c r="AA19427" s="24"/>
    </row>
    <row r="19428">
      <c r="A19428" s="24"/>
      <c r="B19428" s="25"/>
      <c r="C19428" s="24"/>
      <c r="D19428" s="26"/>
      <c r="E19428" s="24"/>
      <c r="F19428" s="24"/>
      <c r="G19428" s="24"/>
      <c r="H19428" s="24"/>
      <c r="I19428" s="24"/>
      <c r="J19428" s="24"/>
      <c r="K19428" s="24"/>
      <c r="L19428" s="24"/>
      <c r="M19428" s="24"/>
      <c r="N19428" s="24"/>
      <c r="O19428" s="24"/>
      <c r="P19428" s="24"/>
      <c r="Q19428" s="24"/>
      <c r="R19428" s="24"/>
      <c r="S19428" s="24"/>
      <c r="T19428" s="24"/>
      <c r="U19428" s="24"/>
      <c r="V19428" s="24"/>
      <c r="W19428" s="24"/>
      <c r="X19428" s="24"/>
      <c r="Y19428" s="24"/>
      <c r="Z19428" s="24"/>
      <c r="AA19428" s="24"/>
    </row>
    <row r="19429">
      <c r="A19429" s="24"/>
      <c r="B19429" s="25"/>
      <c r="C19429" s="24"/>
      <c r="D19429" s="26"/>
      <c r="E19429" s="24"/>
      <c r="F19429" s="24"/>
      <c r="G19429" s="24"/>
      <c r="H19429" s="24"/>
      <c r="I19429" s="24"/>
      <c r="J19429" s="24"/>
      <c r="K19429" s="24"/>
      <c r="L19429" s="24"/>
      <c r="M19429" s="24"/>
      <c r="N19429" s="24"/>
      <c r="O19429" s="24"/>
      <c r="P19429" s="24"/>
      <c r="Q19429" s="24"/>
      <c r="R19429" s="24"/>
      <c r="S19429" s="24"/>
      <c r="T19429" s="24"/>
      <c r="U19429" s="24"/>
      <c r="V19429" s="24"/>
      <c r="W19429" s="24"/>
      <c r="X19429" s="24"/>
      <c r="Y19429" s="24"/>
      <c r="Z19429" s="24"/>
      <c r="AA19429" s="24"/>
    </row>
    <row r="19430">
      <c r="A19430" s="24"/>
      <c r="B19430" s="25"/>
      <c r="C19430" s="24"/>
      <c r="D19430" s="26"/>
      <c r="E19430" s="24"/>
      <c r="F19430" s="24"/>
      <c r="G19430" s="24"/>
      <c r="H19430" s="24"/>
      <c r="I19430" s="24"/>
      <c r="J19430" s="24"/>
      <c r="K19430" s="24"/>
      <c r="L19430" s="24"/>
      <c r="M19430" s="24"/>
      <c r="N19430" s="24"/>
      <c r="O19430" s="24"/>
      <c r="P19430" s="24"/>
      <c r="Q19430" s="24"/>
      <c r="R19430" s="24"/>
      <c r="S19430" s="24"/>
      <c r="T19430" s="24"/>
      <c r="U19430" s="24"/>
      <c r="V19430" s="24"/>
      <c r="W19430" s="24"/>
      <c r="X19430" s="24"/>
      <c r="Y19430" s="24"/>
      <c r="Z19430" s="24"/>
      <c r="AA19430" s="24"/>
    </row>
    <row r="19431">
      <c r="A19431" s="24"/>
      <c r="B19431" s="25"/>
      <c r="C19431" s="24"/>
      <c r="D19431" s="26"/>
      <c r="E19431" s="24"/>
      <c r="F19431" s="24"/>
      <c r="G19431" s="24"/>
      <c r="H19431" s="24"/>
      <c r="I19431" s="24"/>
      <c r="J19431" s="24"/>
      <c r="K19431" s="24"/>
      <c r="L19431" s="24"/>
      <c r="M19431" s="24"/>
      <c r="N19431" s="24"/>
      <c r="O19431" s="24"/>
      <c r="P19431" s="24"/>
      <c r="Q19431" s="24"/>
      <c r="R19431" s="24"/>
      <c r="S19431" s="24"/>
      <c r="T19431" s="24"/>
      <c r="U19431" s="24"/>
      <c r="V19431" s="24"/>
      <c r="W19431" s="24"/>
      <c r="X19431" s="24"/>
      <c r="Y19431" s="24"/>
      <c r="Z19431" s="24"/>
      <c r="AA19431" s="24"/>
    </row>
    <row r="19432">
      <c r="A19432" s="24"/>
      <c r="B19432" s="25"/>
      <c r="C19432" s="24"/>
      <c r="D19432" s="26"/>
      <c r="E19432" s="24"/>
      <c r="F19432" s="24"/>
      <c r="G19432" s="24"/>
      <c r="H19432" s="24"/>
      <c r="I19432" s="24"/>
      <c r="J19432" s="24"/>
      <c r="K19432" s="24"/>
      <c r="L19432" s="24"/>
      <c r="M19432" s="24"/>
      <c r="N19432" s="24"/>
      <c r="O19432" s="24"/>
      <c r="P19432" s="24"/>
      <c r="Q19432" s="24"/>
      <c r="R19432" s="24"/>
      <c r="S19432" s="24"/>
      <c r="T19432" s="24"/>
      <c r="U19432" s="24"/>
      <c r="V19432" s="24"/>
      <c r="W19432" s="24"/>
      <c r="X19432" s="24"/>
      <c r="Y19432" s="24"/>
      <c r="Z19432" s="24"/>
      <c r="AA19432" s="24"/>
    </row>
    <row r="19433">
      <c r="A19433" s="24"/>
      <c r="B19433" s="25"/>
      <c r="C19433" s="24"/>
      <c r="D19433" s="26"/>
      <c r="E19433" s="24"/>
      <c r="F19433" s="24"/>
      <c r="G19433" s="24"/>
      <c r="H19433" s="24"/>
      <c r="I19433" s="24"/>
      <c r="J19433" s="24"/>
      <c r="K19433" s="24"/>
      <c r="L19433" s="24"/>
      <c r="M19433" s="24"/>
      <c r="N19433" s="24"/>
      <c r="O19433" s="24"/>
      <c r="P19433" s="24"/>
      <c r="Q19433" s="24"/>
      <c r="R19433" s="24"/>
      <c r="S19433" s="24"/>
      <c r="T19433" s="24"/>
      <c r="U19433" s="24"/>
      <c r="V19433" s="24"/>
      <c r="W19433" s="24"/>
      <c r="X19433" s="24"/>
      <c r="Y19433" s="24"/>
      <c r="Z19433" s="24"/>
      <c r="AA19433" s="24"/>
    </row>
    <row r="19434">
      <c r="A19434" s="24"/>
      <c r="B19434" s="25"/>
      <c r="C19434" s="24"/>
      <c r="D19434" s="26"/>
      <c r="E19434" s="24"/>
      <c r="F19434" s="24"/>
      <c r="G19434" s="24"/>
      <c r="H19434" s="24"/>
      <c r="I19434" s="24"/>
      <c r="J19434" s="24"/>
      <c r="K19434" s="24"/>
      <c r="L19434" s="24"/>
      <c r="M19434" s="24"/>
      <c r="N19434" s="24"/>
      <c r="O19434" s="24"/>
      <c r="P19434" s="24"/>
      <c r="Q19434" s="24"/>
      <c r="R19434" s="24"/>
      <c r="S19434" s="24"/>
      <c r="T19434" s="24"/>
      <c r="U19434" s="24"/>
      <c r="V19434" s="24"/>
      <c r="W19434" s="24"/>
      <c r="X19434" s="24"/>
      <c r="Y19434" s="24"/>
      <c r="Z19434" s="24"/>
      <c r="AA19434" s="24"/>
    </row>
    <row r="19435">
      <c r="A19435" s="24"/>
      <c r="B19435" s="25"/>
      <c r="C19435" s="24"/>
      <c r="D19435" s="26"/>
      <c r="E19435" s="24"/>
      <c r="F19435" s="24"/>
      <c r="G19435" s="24"/>
      <c r="H19435" s="24"/>
      <c r="I19435" s="24"/>
      <c r="J19435" s="24"/>
      <c r="K19435" s="24"/>
      <c r="L19435" s="24"/>
      <c r="M19435" s="24"/>
      <c r="N19435" s="24"/>
      <c r="O19435" s="24"/>
      <c r="P19435" s="24"/>
      <c r="Q19435" s="24"/>
      <c r="R19435" s="24"/>
      <c r="S19435" s="24"/>
      <c r="T19435" s="24"/>
      <c r="U19435" s="24"/>
      <c r="V19435" s="24"/>
      <c r="W19435" s="24"/>
      <c r="X19435" s="24"/>
      <c r="Y19435" s="24"/>
      <c r="Z19435" s="24"/>
      <c r="AA19435" s="24"/>
    </row>
    <row r="19436">
      <c r="A19436" s="24"/>
      <c r="B19436" s="25"/>
      <c r="C19436" s="24"/>
      <c r="D19436" s="26"/>
      <c r="E19436" s="24"/>
      <c r="F19436" s="24"/>
      <c r="G19436" s="24"/>
      <c r="H19436" s="24"/>
      <c r="I19436" s="24"/>
      <c r="J19436" s="24"/>
      <c r="K19436" s="24"/>
      <c r="L19436" s="24"/>
      <c r="M19436" s="24"/>
      <c r="N19436" s="24"/>
      <c r="O19436" s="24"/>
      <c r="P19436" s="24"/>
      <c r="Q19436" s="24"/>
      <c r="R19436" s="24"/>
      <c r="S19436" s="24"/>
      <c r="T19436" s="24"/>
      <c r="U19436" s="24"/>
      <c r="V19436" s="24"/>
      <c r="W19436" s="24"/>
      <c r="X19436" s="24"/>
      <c r="Y19436" s="24"/>
      <c r="Z19436" s="24"/>
      <c r="AA19436" s="24"/>
    </row>
    <row r="19437">
      <c r="A19437" s="24"/>
      <c r="B19437" s="25"/>
      <c r="C19437" s="24"/>
      <c r="D19437" s="26"/>
      <c r="E19437" s="24"/>
      <c r="F19437" s="24"/>
      <c r="G19437" s="24"/>
      <c r="H19437" s="24"/>
      <c r="I19437" s="24"/>
      <c r="J19437" s="24"/>
      <c r="K19437" s="24"/>
      <c r="L19437" s="24"/>
      <c r="M19437" s="24"/>
      <c r="N19437" s="24"/>
      <c r="O19437" s="24"/>
      <c r="P19437" s="24"/>
      <c r="Q19437" s="24"/>
      <c r="R19437" s="24"/>
      <c r="S19437" s="24"/>
      <c r="T19437" s="24"/>
      <c r="U19437" s="24"/>
      <c r="V19437" s="24"/>
      <c r="W19437" s="24"/>
      <c r="X19437" s="24"/>
      <c r="Y19437" s="24"/>
      <c r="Z19437" s="24"/>
      <c r="AA19437" s="24"/>
    </row>
    <row r="19438">
      <c r="A19438" s="24"/>
      <c r="B19438" s="25"/>
      <c r="C19438" s="24"/>
      <c r="D19438" s="26"/>
      <c r="E19438" s="24"/>
      <c r="F19438" s="24"/>
      <c r="G19438" s="24"/>
      <c r="H19438" s="24"/>
      <c r="I19438" s="24"/>
      <c r="J19438" s="24"/>
      <c r="K19438" s="24"/>
      <c r="L19438" s="24"/>
      <c r="M19438" s="24"/>
      <c r="N19438" s="24"/>
      <c r="O19438" s="24"/>
      <c r="P19438" s="24"/>
      <c r="Q19438" s="24"/>
      <c r="R19438" s="24"/>
      <c r="S19438" s="24"/>
      <c r="T19438" s="24"/>
      <c r="U19438" s="24"/>
      <c r="V19438" s="24"/>
      <c r="W19438" s="24"/>
      <c r="X19438" s="24"/>
      <c r="Y19438" s="24"/>
      <c r="Z19438" s="24"/>
      <c r="AA19438" s="24"/>
    </row>
    <row r="19439">
      <c r="A19439" s="24"/>
      <c r="B19439" s="25"/>
      <c r="C19439" s="24"/>
      <c r="D19439" s="26"/>
      <c r="E19439" s="24"/>
      <c r="F19439" s="24"/>
      <c r="G19439" s="24"/>
      <c r="H19439" s="24"/>
      <c r="I19439" s="24"/>
      <c r="J19439" s="24"/>
      <c r="K19439" s="24"/>
      <c r="L19439" s="24"/>
      <c r="M19439" s="24"/>
      <c r="N19439" s="24"/>
      <c r="O19439" s="24"/>
      <c r="P19439" s="24"/>
      <c r="Q19439" s="24"/>
      <c r="R19439" s="24"/>
      <c r="S19439" s="24"/>
      <c r="T19439" s="24"/>
      <c r="U19439" s="24"/>
      <c r="V19439" s="24"/>
      <c r="W19439" s="24"/>
      <c r="X19439" s="24"/>
      <c r="Y19439" s="24"/>
      <c r="Z19439" s="24"/>
      <c r="AA19439" s="24"/>
    </row>
    <row r="19440">
      <c r="A19440" s="24"/>
      <c r="B19440" s="25"/>
      <c r="C19440" s="24"/>
      <c r="D19440" s="26"/>
      <c r="E19440" s="24"/>
      <c r="F19440" s="24"/>
      <c r="G19440" s="24"/>
      <c r="H19440" s="24"/>
      <c r="I19440" s="24"/>
      <c r="J19440" s="24"/>
      <c r="K19440" s="24"/>
      <c r="L19440" s="24"/>
      <c r="M19440" s="24"/>
      <c r="N19440" s="24"/>
      <c r="O19440" s="24"/>
      <c r="P19440" s="24"/>
      <c r="Q19440" s="24"/>
      <c r="R19440" s="24"/>
      <c r="S19440" s="24"/>
      <c r="T19440" s="24"/>
      <c r="U19440" s="24"/>
      <c r="V19440" s="24"/>
      <c r="W19440" s="24"/>
      <c r="X19440" s="24"/>
      <c r="Y19440" s="24"/>
      <c r="Z19440" s="24"/>
      <c r="AA19440" s="24"/>
    </row>
    <row r="19441">
      <c r="A19441" s="24"/>
      <c r="B19441" s="25"/>
      <c r="C19441" s="24"/>
      <c r="D19441" s="26"/>
      <c r="E19441" s="24"/>
      <c r="F19441" s="24"/>
      <c r="G19441" s="24"/>
      <c r="H19441" s="24"/>
      <c r="I19441" s="24"/>
      <c r="J19441" s="24"/>
      <c r="K19441" s="24"/>
      <c r="L19441" s="24"/>
      <c r="M19441" s="24"/>
      <c r="N19441" s="24"/>
      <c r="O19441" s="24"/>
      <c r="P19441" s="24"/>
      <c r="Q19441" s="24"/>
      <c r="R19441" s="24"/>
      <c r="S19441" s="24"/>
      <c r="T19441" s="24"/>
      <c r="U19441" s="24"/>
      <c r="V19441" s="24"/>
      <c r="W19441" s="24"/>
      <c r="X19441" s="24"/>
      <c r="Y19441" s="24"/>
      <c r="Z19441" s="24"/>
      <c r="AA19441" s="24"/>
    </row>
    <row r="19442">
      <c r="A19442" s="24"/>
      <c r="B19442" s="25"/>
      <c r="C19442" s="24"/>
      <c r="D19442" s="26"/>
      <c r="E19442" s="24"/>
      <c r="F19442" s="24"/>
      <c r="G19442" s="24"/>
      <c r="H19442" s="24"/>
      <c r="I19442" s="24"/>
      <c r="J19442" s="24"/>
      <c r="K19442" s="24"/>
      <c r="L19442" s="24"/>
      <c r="M19442" s="24"/>
      <c r="N19442" s="24"/>
      <c r="O19442" s="24"/>
      <c r="P19442" s="24"/>
      <c r="Q19442" s="24"/>
      <c r="R19442" s="24"/>
      <c r="S19442" s="24"/>
      <c r="T19442" s="24"/>
      <c r="U19442" s="24"/>
      <c r="V19442" s="24"/>
      <c r="W19442" s="24"/>
      <c r="X19442" s="24"/>
      <c r="Y19442" s="24"/>
      <c r="Z19442" s="24"/>
      <c r="AA19442" s="24"/>
    </row>
    <row r="19443">
      <c r="A19443" s="24"/>
      <c r="B19443" s="25"/>
      <c r="C19443" s="24"/>
      <c r="D19443" s="26"/>
      <c r="E19443" s="24"/>
      <c r="F19443" s="24"/>
      <c r="G19443" s="24"/>
      <c r="H19443" s="24"/>
      <c r="I19443" s="24"/>
      <c r="J19443" s="24"/>
      <c r="K19443" s="24"/>
      <c r="L19443" s="24"/>
      <c r="M19443" s="24"/>
      <c r="N19443" s="24"/>
      <c r="O19443" s="24"/>
      <c r="P19443" s="24"/>
      <c r="Q19443" s="24"/>
      <c r="R19443" s="24"/>
      <c r="S19443" s="24"/>
      <c r="T19443" s="24"/>
      <c r="U19443" s="24"/>
      <c r="V19443" s="24"/>
      <c r="W19443" s="24"/>
      <c r="X19443" s="24"/>
      <c r="Y19443" s="24"/>
      <c r="Z19443" s="24"/>
      <c r="AA19443" s="24"/>
    </row>
    <row r="19444">
      <c r="A19444" s="24"/>
      <c r="B19444" s="25"/>
      <c r="C19444" s="24"/>
      <c r="D19444" s="26"/>
      <c r="E19444" s="24"/>
      <c r="F19444" s="24"/>
      <c r="G19444" s="24"/>
      <c r="H19444" s="24"/>
      <c r="I19444" s="24"/>
      <c r="J19444" s="24"/>
      <c r="K19444" s="24"/>
      <c r="L19444" s="24"/>
      <c r="M19444" s="24"/>
      <c r="N19444" s="24"/>
      <c r="O19444" s="24"/>
      <c r="P19444" s="24"/>
      <c r="Q19444" s="24"/>
      <c r="R19444" s="24"/>
      <c r="S19444" s="24"/>
      <c r="T19444" s="24"/>
      <c r="U19444" s="24"/>
      <c r="V19444" s="24"/>
      <c r="W19444" s="24"/>
      <c r="X19444" s="24"/>
      <c r="Y19444" s="24"/>
      <c r="Z19444" s="24"/>
      <c r="AA19444" s="24"/>
    </row>
    <row r="19445">
      <c r="A19445" s="24"/>
      <c r="B19445" s="25"/>
      <c r="C19445" s="24"/>
      <c r="D19445" s="26"/>
      <c r="E19445" s="24"/>
      <c r="F19445" s="24"/>
      <c r="G19445" s="24"/>
      <c r="H19445" s="24"/>
      <c r="I19445" s="24"/>
      <c r="J19445" s="24"/>
      <c r="K19445" s="24"/>
      <c r="L19445" s="24"/>
      <c r="M19445" s="24"/>
      <c r="N19445" s="24"/>
      <c r="O19445" s="24"/>
      <c r="P19445" s="24"/>
      <c r="Q19445" s="24"/>
      <c r="R19445" s="24"/>
      <c r="S19445" s="24"/>
      <c r="T19445" s="24"/>
      <c r="U19445" s="24"/>
      <c r="V19445" s="24"/>
      <c r="W19445" s="24"/>
      <c r="X19445" s="24"/>
      <c r="Y19445" s="24"/>
      <c r="Z19445" s="24"/>
      <c r="AA19445" s="24"/>
    </row>
    <row r="19446">
      <c r="A19446" s="24"/>
      <c r="B19446" s="25"/>
      <c r="C19446" s="24"/>
      <c r="D19446" s="26"/>
      <c r="E19446" s="24"/>
      <c r="F19446" s="24"/>
      <c r="G19446" s="24"/>
      <c r="H19446" s="24"/>
      <c r="I19446" s="24"/>
      <c r="J19446" s="24"/>
      <c r="K19446" s="24"/>
      <c r="L19446" s="24"/>
      <c r="M19446" s="24"/>
      <c r="N19446" s="24"/>
      <c r="O19446" s="24"/>
      <c r="P19446" s="24"/>
      <c r="Q19446" s="24"/>
      <c r="R19446" s="24"/>
      <c r="S19446" s="24"/>
      <c r="T19446" s="24"/>
      <c r="U19446" s="24"/>
      <c r="V19446" s="24"/>
      <c r="W19446" s="24"/>
      <c r="X19446" s="24"/>
      <c r="Y19446" s="24"/>
      <c r="Z19446" s="24"/>
      <c r="AA19446" s="24"/>
    </row>
    <row r="19447">
      <c r="A19447" s="24"/>
      <c r="B19447" s="25"/>
      <c r="C19447" s="24"/>
      <c r="D19447" s="26"/>
      <c r="E19447" s="24"/>
      <c r="F19447" s="24"/>
      <c r="G19447" s="24"/>
      <c r="H19447" s="24"/>
      <c r="I19447" s="24"/>
      <c r="J19447" s="24"/>
      <c r="K19447" s="24"/>
      <c r="L19447" s="24"/>
      <c r="M19447" s="24"/>
      <c r="N19447" s="24"/>
      <c r="O19447" s="24"/>
      <c r="P19447" s="24"/>
      <c r="Q19447" s="24"/>
      <c r="R19447" s="24"/>
      <c r="S19447" s="24"/>
      <c r="T19447" s="24"/>
      <c r="U19447" s="24"/>
      <c r="V19447" s="24"/>
      <c r="W19447" s="24"/>
      <c r="X19447" s="24"/>
      <c r="Y19447" s="24"/>
      <c r="Z19447" s="24"/>
      <c r="AA19447" s="24"/>
    </row>
    <row r="19448">
      <c r="A19448" s="24"/>
      <c r="B19448" s="25"/>
      <c r="C19448" s="24"/>
      <c r="D19448" s="26"/>
      <c r="E19448" s="24"/>
      <c r="F19448" s="24"/>
      <c r="G19448" s="24"/>
      <c r="H19448" s="24"/>
      <c r="I19448" s="24"/>
      <c r="J19448" s="24"/>
      <c r="K19448" s="24"/>
      <c r="L19448" s="24"/>
      <c r="M19448" s="24"/>
      <c r="N19448" s="24"/>
      <c r="O19448" s="24"/>
      <c r="P19448" s="24"/>
      <c r="Q19448" s="24"/>
      <c r="R19448" s="24"/>
      <c r="S19448" s="24"/>
      <c r="T19448" s="24"/>
      <c r="U19448" s="24"/>
      <c r="V19448" s="24"/>
      <c r="W19448" s="24"/>
      <c r="X19448" s="24"/>
      <c r="Y19448" s="24"/>
      <c r="Z19448" s="24"/>
      <c r="AA19448" s="24"/>
    </row>
    <row r="19449">
      <c r="A19449" s="24"/>
      <c r="B19449" s="25"/>
      <c r="C19449" s="24"/>
      <c r="D19449" s="26"/>
      <c r="E19449" s="24"/>
      <c r="F19449" s="24"/>
      <c r="G19449" s="24"/>
      <c r="H19449" s="24"/>
      <c r="I19449" s="24"/>
      <c r="J19449" s="24"/>
      <c r="K19449" s="24"/>
      <c r="L19449" s="24"/>
      <c r="M19449" s="24"/>
      <c r="N19449" s="24"/>
      <c r="O19449" s="24"/>
      <c r="P19449" s="24"/>
      <c r="Q19449" s="24"/>
      <c r="R19449" s="24"/>
      <c r="S19449" s="24"/>
      <c r="T19449" s="24"/>
      <c r="U19449" s="24"/>
      <c r="V19449" s="24"/>
      <c r="W19449" s="24"/>
      <c r="X19449" s="24"/>
      <c r="Y19449" s="24"/>
      <c r="Z19449" s="24"/>
      <c r="AA19449" s="24"/>
    </row>
    <row r="19450">
      <c r="A19450" s="24"/>
      <c r="B19450" s="25"/>
      <c r="C19450" s="24"/>
      <c r="D19450" s="26"/>
      <c r="E19450" s="24"/>
      <c r="F19450" s="24"/>
      <c r="G19450" s="24"/>
      <c r="H19450" s="24"/>
      <c r="I19450" s="24"/>
      <c r="J19450" s="24"/>
      <c r="K19450" s="24"/>
      <c r="L19450" s="24"/>
      <c r="M19450" s="24"/>
      <c r="N19450" s="24"/>
      <c r="O19450" s="24"/>
      <c r="P19450" s="24"/>
      <c r="Q19450" s="24"/>
      <c r="R19450" s="24"/>
      <c r="S19450" s="24"/>
      <c r="T19450" s="24"/>
      <c r="U19450" s="24"/>
      <c r="V19450" s="24"/>
      <c r="W19450" s="24"/>
      <c r="X19450" s="24"/>
      <c r="Y19450" s="24"/>
      <c r="Z19450" s="24"/>
      <c r="AA19450" s="24"/>
    </row>
    <row r="19451">
      <c r="A19451" s="24"/>
      <c r="B19451" s="25"/>
      <c r="C19451" s="24"/>
      <c r="D19451" s="26"/>
      <c r="E19451" s="24"/>
      <c r="F19451" s="24"/>
      <c r="G19451" s="24"/>
      <c r="H19451" s="24"/>
      <c r="I19451" s="24"/>
      <c r="J19451" s="24"/>
      <c r="K19451" s="24"/>
      <c r="L19451" s="24"/>
      <c r="M19451" s="24"/>
      <c r="N19451" s="24"/>
      <c r="O19451" s="24"/>
      <c r="P19451" s="24"/>
      <c r="Q19451" s="24"/>
      <c r="R19451" s="24"/>
      <c r="S19451" s="24"/>
      <c r="T19451" s="24"/>
      <c r="U19451" s="24"/>
      <c r="V19451" s="24"/>
      <c r="W19451" s="24"/>
      <c r="X19451" s="24"/>
      <c r="Y19451" s="24"/>
      <c r="Z19451" s="24"/>
      <c r="AA19451" s="24"/>
    </row>
    <row r="19452">
      <c r="A19452" s="24"/>
      <c r="B19452" s="25"/>
      <c r="C19452" s="24"/>
      <c r="D19452" s="26"/>
      <c r="E19452" s="24"/>
      <c r="F19452" s="24"/>
      <c r="G19452" s="24"/>
      <c r="H19452" s="24"/>
      <c r="I19452" s="24"/>
      <c r="J19452" s="24"/>
      <c r="K19452" s="24"/>
      <c r="L19452" s="24"/>
      <c r="M19452" s="24"/>
      <c r="N19452" s="24"/>
      <c r="O19452" s="24"/>
      <c r="P19452" s="24"/>
      <c r="Q19452" s="24"/>
      <c r="R19452" s="24"/>
      <c r="S19452" s="24"/>
      <c r="T19452" s="24"/>
      <c r="U19452" s="24"/>
      <c r="V19452" s="24"/>
      <c r="W19452" s="24"/>
      <c r="X19452" s="24"/>
      <c r="Y19452" s="24"/>
      <c r="Z19452" s="24"/>
      <c r="AA19452" s="24"/>
    </row>
    <row r="19453">
      <c r="A19453" s="24"/>
      <c r="B19453" s="25"/>
      <c r="C19453" s="24"/>
      <c r="D19453" s="26"/>
      <c r="E19453" s="24"/>
      <c r="F19453" s="24"/>
      <c r="G19453" s="24"/>
      <c r="H19453" s="24"/>
      <c r="I19453" s="24"/>
      <c r="J19453" s="24"/>
      <c r="K19453" s="24"/>
      <c r="L19453" s="24"/>
      <c r="M19453" s="24"/>
      <c r="N19453" s="24"/>
      <c r="O19453" s="24"/>
      <c r="P19453" s="24"/>
      <c r="Q19453" s="24"/>
      <c r="R19453" s="24"/>
      <c r="S19453" s="24"/>
      <c r="T19453" s="24"/>
      <c r="U19453" s="24"/>
      <c r="V19453" s="24"/>
      <c r="W19453" s="24"/>
      <c r="X19453" s="24"/>
      <c r="Y19453" s="24"/>
      <c r="Z19453" s="24"/>
      <c r="AA19453" s="24"/>
    </row>
    <row r="19454">
      <c r="A19454" s="24"/>
      <c r="B19454" s="25"/>
      <c r="C19454" s="24"/>
      <c r="D19454" s="26"/>
      <c r="E19454" s="24"/>
      <c r="F19454" s="24"/>
      <c r="G19454" s="24"/>
      <c r="H19454" s="24"/>
      <c r="I19454" s="24"/>
      <c r="J19454" s="24"/>
      <c r="K19454" s="24"/>
      <c r="L19454" s="24"/>
      <c r="M19454" s="24"/>
      <c r="N19454" s="24"/>
      <c r="O19454" s="24"/>
      <c r="P19454" s="24"/>
      <c r="Q19454" s="24"/>
      <c r="R19454" s="24"/>
      <c r="S19454" s="24"/>
      <c r="T19454" s="24"/>
      <c r="U19454" s="24"/>
      <c r="V19454" s="24"/>
      <c r="W19454" s="24"/>
      <c r="X19454" s="24"/>
      <c r="Y19454" s="24"/>
      <c r="Z19454" s="24"/>
      <c r="AA19454" s="24"/>
    </row>
    <row r="19455">
      <c r="A19455" s="24"/>
      <c r="B19455" s="25"/>
      <c r="C19455" s="24"/>
      <c r="D19455" s="26"/>
      <c r="E19455" s="24"/>
      <c r="F19455" s="24"/>
      <c r="G19455" s="24"/>
      <c r="H19455" s="24"/>
      <c r="I19455" s="24"/>
      <c r="J19455" s="24"/>
      <c r="K19455" s="24"/>
      <c r="L19455" s="24"/>
      <c r="M19455" s="24"/>
      <c r="N19455" s="24"/>
      <c r="O19455" s="24"/>
      <c r="P19455" s="24"/>
      <c r="Q19455" s="24"/>
      <c r="R19455" s="24"/>
      <c r="S19455" s="24"/>
      <c r="T19455" s="24"/>
      <c r="U19455" s="24"/>
      <c r="V19455" s="24"/>
      <c r="W19455" s="24"/>
      <c r="X19455" s="24"/>
      <c r="Y19455" s="24"/>
      <c r="Z19455" s="24"/>
      <c r="AA19455" s="24"/>
    </row>
    <row r="19456">
      <c r="A19456" s="24"/>
      <c r="B19456" s="25"/>
      <c r="C19456" s="24"/>
      <c r="D19456" s="26"/>
      <c r="E19456" s="24"/>
      <c r="F19456" s="24"/>
      <c r="G19456" s="24"/>
      <c r="H19456" s="24"/>
      <c r="I19456" s="24"/>
      <c r="J19456" s="24"/>
      <c r="K19456" s="24"/>
      <c r="L19456" s="24"/>
      <c r="M19456" s="24"/>
      <c r="N19456" s="24"/>
      <c r="O19456" s="24"/>
      <c r="P19456" s="24"/>
      <c r="Q19456" s="24"/>
      <c r="R19456" s="24"/>
      <c r="S19456" s="24"/>
      <c r="T19456" s="24"/>
      <c r="U19456" s="24"/>
      <c r="V19456" s="24"/>
      <c r="W19456" s="24"/>
      <c r="X19456" s="24"/>
      <c r="Y19456" s="24"/>
      <c r="Z19456" s="24"/>
      <c r="AA19456" s="24"/>
    </row>
    <row r="19457">
      <c r="A19457" s="24"/>
      <c r="B19457" s="25"/>
      <c r="C19457" s="24"/>
      <c r="D19457" s="26"/>
      <c r="E19457" s="24"/>
      <c r="F19457" s="24"/>
      <c r="G19457" s="24"/>
      <c r="H19457" s="24"/>
      <c r="I19457" s="24"/>
      <c r="J19457" s="24"/>
      <c r="K19457" s="24"/>
      <c r="L19457" s="24"/>
      <c r="M19457" s="24"/>
      <c r="N19457" s="24"/>
      <c r="O19457" s="24"/>
      <c r="P19457" s="24"/>
      <c r="Q19457" s="24"/>
      <c r="R19457" s="24"/>
      <c r="S19457" s="24"/>
      <c r="T19457" s="24"/>
      <c r="U19457" s="24"/>
      <c r="V19457" s="24"/>
      <c r="W19457" s="24"/>
      <c r="X19457" s="24"/>
      <c r="Y19457" s="24"/>
      <c r="Z19457" s="24"/>
      <c r="AA19457" s="24"/>
    </row>
    <row r="19458">
      <c r="A19458" s="24"/>
      <c r="B19458" s="25"/>
      <c r="C19458" s="24"/>
      <c r="D19458" s="26"/>
      <c r="E19458" s="24"/>
      <c r="F19458" s="24"/>
      <c r="G19458" s="24"/>
      <c r="H19458" s="24"/>
      <c r="I19458" s="24"/>
      <c r="J19458" s="24"/>
      <c r="K19458" s="24"/>
      <c r="L19458" s="24"/>
      <c r="M19458" s="24"/>
      <c r="N19458" s="24"/>
      <c r="O19458" s="24"/>
      <c r="P19458" s="24"/>
      <c r="Q19458" s="24"/>
      <c r="R19458" s="24"/>
      <c r="S19458" s="24"/>
      <c r="T19458" s="24"/>
      <c r="U19458" s="24"/>
      <c r="V19458" s="24"/>
      <c r="W19458" s="24"/>
      <c r="X19458" s="24"/>
      <c r="Y19458" s="24"/>
      <c r="Z19458" s="24"/>
      <c r="AA19458" s="24"/>
    </row>
    <row r="19459">
      <c r="A19459" s="24"/>
      <c r="B19459" s="25"/>
      <c r="C19459" s="24"/>
      <c r="D19459" s="26"/>
      <c r="E19459" s="24"/>
      <c r="F19459" s="24"/>
      <c r="G19459" s="24"/>
      <c r="H19459" s="24"/>
      <c r="I19459" s="24"/>
      <c r="J19459" s="24"/>
      <c r="K19459" s="24"/>
      <c r="L19459" s="24"/>
      <c r="M19459" s="24"/>
      <c r="N19459" s="24"/>
      <c r="O19459" s="24"/>
      <c r="P19459" s="24"/>
      <c r="Q19459" s="24"/>
      <c r="R19459" s="24"/>
      <c r="S19459" s="24"/>
      <c r="T19459" s="24"/>
      <c r="U19459" s="24"/>
      <c r="V19459" s="24"/>
      <c r="W19459" s="24"/>
      <c r="X19459" s="24"/>
      <c r="Y19459" s="24"/>
      <c r="Z19459" s="24"/>
      <c r="AA19459" s="24"/>
    </row>
    <row r="19460">
      <c r="A19460" s="24"/>
      <c r="B19460" s="25"/>
      <c r="C19460" s="24"/>
      <c r="D19460" s="26"/>
      <c r="E19460" s="24"/>
      <c r="F19460" s="24"/>
      <c r="G19460" s="24"/>
      <c r="H19460" s="24"/>
      <c r="I19460" s="24"/>
      <c r="J19460" s="24"/>
      <c r="K19460" s="24"/>
      <c r="L19460" s="24"/>
      <c r="M19460" s="24"/>
      <c r="N19460" s="24"/>
      <c r="O19460" s="24"/>
      <c r="P19460" s="24"/>
      <c r="Q19460" s="24"/>
      <c r="R19460" s="24"/>
      <c r="S19460" s="24"/>
      <c r="T19460" s="24"/>
      <c r="U19460" s="24"/>
      <c r="V19460" s="24"/>
      <c r="W19460" s="24"/>
      <c r="X19460" s="24"/>
      <c r="Y19460" s="24"/>
      <c r="Z19460" s="24"/>
      <c r="AA19460" s="24"/>
    </row>
    <row r="19461">
      <c r="A19461" s="24"/>
      <c r="B19461" s="25"/>
      <c r="C19461" s="24"/>
      <c r="D19461" s="26"/>
      <c r="E19461" s="24"/>
      <c r="F19461" s="24"/>
      <c r="G19461" s="24"/>
      <c r="H19461" s="24"/>
      <c r="I19461" s="24"/>
      <c r="J19461" s="24"/>
      <c r="K19461" s="24"/>
      <c r="L19461" s="24"/>
      <c r="M19461" s="24"/>
      <c r="N19461" s="24"/>
      <c r="O19461" s="24"/>
      <c r="P19461" s="24"/>
      <c r="Q19461" s="24"/>
      <c r="R19461" s="24"/>
      <c r="S19461" s="24"/>
      <c r="T19461" s="24"/>
      <c r="U19461" s="24"/>
      <c r="V19461" s="24"/>
      <c r="W19461" s="24"/>
      <c r="X19461" s="24"/>
      <c r="Y19461" s="24"/>
      <c r="Z19461" s="24"/>
      <c r="AA19461" s="24"/>
    </row>
    <row r="19462">
      <c r="A19462" s="24"/>
      <c r="B19462" s="25"/>
      <c r="C19462" s="24"/>
      <c r="D19462" s="26"/>
      <c r="E19462" s="24"/>
      <c r="F19462" s="24"/>
      <c r="G19462" s="24"/>
      <c r="H19462" s="24"/>
      <c r="I19462" s="24"/>
      <c r="J19462" s="24"/>
      <c r="K19462" s="24"/>
      <c r="L19462" s="24"/>
      <c r="M19462" s="24"/>
      <c r="N19462" s="24"/>
      <c r="O19462" s="24"/>
      <c r="P19462" s="24"/>
      <c r="Q19462" s="24"/>
      <c r="R19462" s="24"/>
      <c r="S19462" s="24"/>
      <c r="T19462" s="24"/>
      <c r="U19462" s="24"/>
      <c r="V19462" s="24"/>
      <c r="W19462" s="24"/>
      <c r="X19462" s="24"/>
      <c r="Y19462" s="24"/>
      <c r="Z19462" s="24"/>
      <c r="AA19462" s="24"/>
    </row>
    <row r="19463">
      <c r="A19463" s="24"/>
      <c r="B19463" s="25"/>
      <c r="C19463" s="24"/>
      <c r="D19463" s="26"/>
      <c r="E19463" s="24"/>
      <c r="F19463" s="24"/>
      <c r="G19463" s="24"/>
      <c r="H19463" s="24"/>
      <c r="I19463" s="24"/>
      <c r="J19463" s="24"/>
      <c r="K19463" s="24"/>
      <c r="L19463" s="24"/>
      <c r="M19463" s="24"/>
      <c r="N19463" s="24"/>
      <c r="O19463" s="24"/>
      <c r="P19463" s="24"/>
      <c r="Q19463" s="24"/>
      <c r="R19463" s="24"/>
      <c r="S19463" s="24"/>
      <c r="T19463" s="24"/>
      <c r="U19463" s="24"/>
      <c r="V19463" s="24"/>
      <c r="W19463" s="24"/>
      <c r="X19463" s="24"/>
      <c r="Y19463" s="24"/>
      <c r="Z19463" s="24"/>
      <c r="AA19463" s="24"/>
    </row>
    <row r="19464">
      <c r="A19464" s="24"/>
      <c r="B19464" s="25"/>
      <c r="C19464" s="24"/>
      <c r="D19464" s="26"/>
      <c r="E19464" s="24"/>
      <c r="F19464" s="24"/>
      <c r="G19464" s="24"/>
      <c r="H19464" s="24"/>
      <c r="I19464" s="24"/>
      <c r="J19464" s="24"/>
      <c r="K19464" s="24"/>
      <c r="L19464" s="24"/>
      <c r="M19464" s="24"/>
      <c r="N19464" s="24"/>
      <c r="O19464" s="24"/>
      <c r="P19464" s="24"/>
      <c r="Q19464" s="24"/>
      <c r="R19464" s="24"/>
      <c r="S19464" s="24"/>
      <c r="T19464" s="24"/>
      <c r="U19464" s="24"/>
      <c r="V19464" s="24"/>
      <c r="W19464" s="24"/>
      <c r="X19464" s="24"/>
      <c r="Y19464" s="24"/>
      <c r="Z19464" s="24"/>
      <c r="AA19464" s="24"/>
    </row>
    <row r="19465">
      <c r="A19465" s="24"/>
      <c r="B19465" s="25"/>
      <c r="C19465" s="24"/>
      <c r="D19465" s="26"/>
      <c r="E19465" s="24"/>
      <c r="F19465" s="24"/>
      <c r="G19465" s="24"/>
      <c r="H19465" s="24"/>
      <c r="I19465" s="24"/>
      <c r="J19465" s="24"/>
      <c r="K19465" s="24"/>
      <c r="L19465" s="24"/>
      <c r="M19465" s="24"/>
      <c r="N19465" s="24"/>
      <c r="O19465" s="24"/>
      <c r="P19465" s="24"/>
      <c r="Q19465" s="24"/>
      <c r="R19465" s="24"/>
      <c r="S19465" s="24"/>
      <c r="T19465" s="24"/>
      <c r="U19465" s="24"/>
      <c r="V19465" s="24"/>
      <c r="W19465" s="24"/>
      <c r="X19465" s="24"/>
      <c r="Y19465" s="24"/>
      <c r="Z19465" s="24"/>
      <c r="AA19465" s="24"/>
    </row>
    <row r="19466">
      <c r="A19466" s="24"/>
      <c r="B19466" s="25"/>
      <c r="C19466" s="24"/>
      <c r="D19466" s="26"/>
      <c r="E19466" s="24"/>
      <c r="F19466" s="24"/>
      <c r="G19466" s="24"/>
      <c r="H19466" s="24"/>
      <c r="I19466" s="24"/>
      <c r="J19466" s="24"/>
      <c r="K19466" s="24"/>
      <c r="L19466" s="24"/>
      <c r="M19466" s="24"/>
      <c r="N19466" s="24"/>
      <c r="O19466" s="24"/>
      <c r="P19466" s="24"/>
      <c r="Q19466" s="24"/>
      <c r="R19466" s="24"/>
      <c r="S19466" s="24"/>
      <c r="T19466" s="24"/>
      <c r="U19466" s="24"/>
      <c r="V19466" s="24"/>
      <c r="W19466" s="24"/>
      <c r="X19466" s="24"/>
      <c r="Y19466" s="24"/>
      <c r="Z19466" s="24"/>
      <c r="AA19466" s="24"/>
    </row>
    <row r="19467">
      <c r="A19467" s="24"/>
      <c r="B19467" s="25"/>
      <c r="C19467" s="24"/>
      <c r="D19467" s="26"/>
      <c r="E19467" s="24"/>
      <c r="F19467" s="24"/>
      <c r="G19467" s="24"/>
      <c r="H19467" s="24"/>
      <c r="I19467" s="24"/>
      <c r="J19467" s="24"/>
      <c r="K19467" s="24"/>
      <c r="L19467" s="24"/>
      <c r="M19467" s="24"/>
      <c r="N19467" s="24"/>
      <c r="O19467" s="24"/>
      <c r="P19467" s="24"/>
      <c r="Q19467" s="24"/>
      <c r="R19467" s="24"/>
      <c r="S19467" s="24"/>
      <c r="T19467" s="24"/>
      <c r="U19467" s="24"/>
      <c r="V19467" s="24"/>
      <c r="W19467" s="24"/>
      <c r="X19467" s="24"/>
      <c r="Y19467" s="24"/>
      <c r="Z19467" s="24"/>
      <c r="AA19467" s="24"/>
    </row>
    <row r="19468">
      <c r="A19468" s="24"/>
      <c r="B19468" s="25"/>
      <c r="C19468" s="24"/>
      <c r="D19468" s="26"/>
      <c r="E19468" s="24"/>
      <c r="F19468" s="24"/>
      <c r="G19468" s="24"/>
      <c r="H19468" s="24"/>
      <c r="I19468" s="24"/>
      <c r="J19468" s="24"/>
      <c r="K19468" s="24"/>
      <c r="L19468" s="24"/>
      <c r="M19468" s="24"/>
      <c r="N19468" s="24"/>
      <c r="O19468" s="24"/>
      <c r="P19468" s="24"/>
      <c r="Q19468" s="24"/>
      <c r="R19468" s="24"/>
      <c r="S19468" s="24"/>
      <c r="T19468" s="24"/>
      <c r="U19468" s="24"/>
      <c r="V19468" s="24"/>
      <c r="W19468" s="24"/>
      <c r="X19468" s="24"/>
      <c r="Y19468" s="24"/>
      <c r="Z19468" s="24"/>
      <c r="AA19468" s="24"/>
    </row>
    <row r="19469">
      <c r="A19469" s="24"/>
      <c r="B19469" s="25"/>
      <c r="C19469" s="24"/>
      <c r="D19469" s="26"/>
      <c r="E19469" s="24"/>
      <c r="F19469" s="24"/>
      <c r="G19469" s="24"/>
      <c r="H19469" s="24"/>
      <c r="I19469" s="24"/>
      <c r="J19469" s="24"/>
      <c r="K19469" s="24"/>
      <c r="L19469" s="24"/>
      <c r="M19469" s="24"/>
      <c r="N19469" s="24"/>
      <c r="O19469" s="24"/>
      <c r="P19469" s="24"/>
      <c r="Q19469" s="24"/>
      <c r="R19469" s="24"/>
      <c r="S19469" s="24"/>
      <c r="T19469" s="24"/>
      <c r="U19469" s="24"/>
      <c r="V19469" s="24"/>
      <c r="W19469" s="24"/>
      <c r="X19469" s="24"/>
      <c r="Y19469" s="24"/>
      <c r="Z19469" s="24"/>
      <c r="AA19469" s="24"/>
    </row>
    <row r="19470">
      <c r="A19470" s="24"/>
      <c r="B19470" s="25"/>
      <c r="C19470" s="24"/>
      <c r="D19470" s="26"/>
      <c r="E19470" s="24"/>
      <c r="F19470" s="24"/>
      <c r="G19470" s="24"/>
      <c r="H19470" s="24"/>
      <c r="I19470" s="24"/>
      <c r="J19470" s="24"/>
      <c r="K19470" s="24"/>
      <c r="L19470" s="24"/>
      <c r="M19470" s="24"/>
      <c r="N19470" s="24"/>
      <c r="O19470" s="24"/>
      <c r="P19470" s="24"/>
      <c r="Q19470" s="24"/>
      <c r="R19470" s="24"/>
      <c r="S19470" s="24"/>
      <c r="T19470" s="24"/>
      <c r="U19470" s="24"/>
      <c r="V19470" s="24"/>
      <c r="W19470" s="24"/>
      <c r="X19470" s="24"/>
      <c r="Y19470" s="24"/>
      <c r="Z19470" s="24"/>
      <c r="AA19470" s="24"/>
    </row>
    <row r="19471">
      <c r="A19471" s="24"/>
      <c r="B19471" s="25"/>
      <c r="C19471" s="24"/>
      <c r="D19471" s="26"/>
      <c r="E19471" s="24"/>
      <c r="F19471" s="24"/>
      <c r="G19471" s="24"/>
      <c r="H19471" s="24"/>
      <c r="I19471" s="24"/>
      <c r="J19471" s="24"/>
      <c r="K19471" s="24"/>
      <c r="L19471" s="24"/>
      <c r="M19471" s="24"/>
      <c r="N19471" s="24"/>
      <c r="O19471" s="24"/>
      <c r="P19471" s="24"/>
      <c r="Q19471" s="24"/>
      <c r="R19471" s="24"/>
      <c r="S19471" s="24"/>
      <c r="T19471" s="24"/>
      <c r="U19471" s="24"/>
      <c r="V19471" s="24"/>
      <c r="W19471" s="24"/>
      <c r="X19471" s="24"/>
      <c r="Y19471" s="24"/>
      <c r="Z19471" s="24"/>
      <c r="AA19471" s="24"/>
    </row>
    <row r="19472">
      <c r="A19472" s="24"/>
      <c r="B19472" s="25"/>
      <c r="C19472" s="24"/>
      <c r="D19472" s="26"/>
      <c r="E19472" s="24"/>
      <c r="F19472" s="24"/>
      <c r="G19472" s="24"/>
      <c r="H19472" s="24"/>
      <c r="I19472" s="24"/>
      <c r="J19472" s="24"/>
      <c r="K19472" s="24"/>
      <c r="L19472" s="24"/>
      <c r="M19472" s="24"/>
      <c r="N19472" s="24"/>
      <c r="O19472" s="24"/>
      <c r="P19472" s="24"/>
      <c r="Q19472" s="24"/>
      <c r="R19472" s="24"/>
      <c r="S19472" s="24"/>
      <c r="T19472" s="24"/>
      <c r="U19472" s="24"/>
      <c r="V19472" s="24"/>
      <c r="W19472" s="24"/>
      <c r="X19472" s="24"/>
      <c r="Y19472" s="24"/>
      <c r="Z19472" s="24"/>
      <c r="AA19472" s="24"/>
    </row>
    <row r="19473">
      <c r="A19473" s="24"/>
      <c r="B19473" s="25"/>
      <c r="C19473" s="24"/>
      <c r="D19473" s="26"/>
      <c r="E19473" s="24"/>
      <c r="F19473" s="24"/>
      <c r="G19473" s="24"/>
      <c r="H19473" s="24"/>
      <c r="I19473" s="24"/>
      <c r="J19473" s="24"/>
      <c r="K19473" s="24"/>
      <c r="L19473" s="24"/>
      <c r="M19473" s="24"/>
      <c r="N19473" s="24"/>
      <c r="O19473" s="24"/>
      <c r="P19473" s="24"/>
      <c r="Q19473" s="24"/>
      <c r="R19473" s="24"/>
      <c r="S19473" s="24"/>
      <c r="T19473" s="24"/>
      <c r="U19473" s="24"/>
      <c r="V19473" s="24"/>
      <c r="W19473" s="24"/>
      <c r="X19473" s="24"/>
      <c r="Y19473" s="24"/>
      <c r="Z19473" s="24"/>
      <c r="AA19473" s="24"/>
    </row>
    <row r="19474">
      <c r="A19474" s="24"/>
      <c r="B19474" s="25"/>
      <c r="C19474" s="24"/>
      <c r="D19474" s="26"/>
      <c r="E19474" s="24"/>
      <c r="F19474" s="24"/>
      <c r="G19474" s="24"/>
      <c r="H19474" s="24"/>
      <c r="I19474" s="24"/>
      <c r="J19474" s="24"/>
      <c r="K19474" s="24"/>
      <c r="L19474" s="24"/>
      <c r="M19474" s="24"/>
      <c r="N19474" s="24"/>
      <c r="O19474" s="24"/>
      <c r="P19474" s="24"/>
      <c r="Q19474" s="24"/>
      <c r="R19474" s="24"/>
      <c r="S19474" s="24"/>
      <c r="T19474" s="24"/>
      <c r="U19474" s="24"/>
      <c r="V19474" s="24"/>
      <c r="W19474" s="24"/>
      <c r="X19474" s="24"/>
      <c r="Y19474" s="24"/>
      <c r="Z19474" s="24"/>
      <c r="AA19474" s="24"/>
    </row>
    <row r="19475">
      <c r="A19475" s="24"/>
      <c r="B19475" s="25"/>
      <c r="C19475" s="24"/>
      <c r="D19475" s="26"/>
      <c r="E19475" s="24"/>
      <c r="F19475" s="24"/>
      <c r="G19475" s="24"/>
      <c r="H19475" s="24"/>
      <c r="I19475" s="24"/>
      <c r="J19475" s="24"/>
      <c r="K19475" s="24"/>
      <c r="L19475" s="24"/>
      <c r="M19475" s="24"/>
      <c r="N19475" s="24"/>
      <c r="O19475" s="24"/>
      <c r="P19475" s="24"/>
      <c r="Q19475" s="24"/>
      <c r="R19475" s="24"/>
      <c r="S19475" s="24"/>
      <c r="T19475" s="24"/>
      <c r="U19475" s="24"/>
      <c r="V19475" s="24"/>
      <c r="W19475" s="24"/>
      <c r="X19475" s="24"/>
      <c r="Y19475" s="24"/>
      <c r="Z19475" s="24"/>
      <c r="AA19475" s="24"/>
    </row>
    <row r="19476">
      <c r="A19476" s="24"/>
      <c r="B19476" s="25"/>
      <c r="C19476" s="24"/>
      <c r="D19476" s="26"/>
      <c r="E19476" s="24"/>
      <c r="F19476" s="24"/>
      <c r="G19476" s="24"/>
      <c r="H19476" s="24"/>
      <c r="I19476" s="24"/>
      <c r="J19476" s="24"/>
      <c r="K19476" s="24"/>
      <c r="L19476" s="24"/>
      <c r="M19476" s="24"/>
      <c r="N19476" s="24"/>
      <c r="O19476" s="24"/>
      <c r="P19476" s="24"/>
      <c r="Q19476" s="24"/>
      <c r="R19476" s="24"/>
      <c r="S19476" s="24"/>
      <c r="T19476" s="24"/>
      <c r="U19476" s="24"/>
      <c r="V19476" s="24"/>
      <c r="W19476" s="24"/>
      <c r="X19476" s="24"/>
      <c r="Y19476" s="24"/>
      <c r="Z19476" s="24"/>
      <c r="AA19476" s="24"/>
    </row>
    <row r="19477">
      <c r="A19477" s="24"/>
      <c r="B19477" s="25"/>
      <c r="C19477" s="24"/>
      <c r="D19477" s="26"/>
      <c r="E19477" s="24"/>
      <c r="F19477" s="24"/>
      <c r="G19477" s="24"/>
      <c r="H19477" s="24"/>
      <c r="I19477" s="24"/>
      <c r="J19477" s="24"/>
      <c r="K19477" s="24"/>
      <c r="L19477" s="24"/>
      <c r="M19477" s="24"/>
      <c r="N19477" s="24"/>
      <c r="O19477" s="24"/>
      <c r="P19477" s="24"/>
      <c r="Q19477" s="24"/>
      <c r="R19477" s="24"/>
      <c r="S19477" s="24"/>
      <c r="T19477" s="24"/>
      <c r="U19477" s="24"/>
      <c r="V19477" s="24"/>
      <c r="W19477" s="24"/>
      <c r="X19477" s="24"/>
      <c r="Y19477" s="24"/>
      <c r="Z19477" s="24"/>
      <c r="AA19477" s="24"/>
    </row>
    <row r="19478">
      <c r="A19478" s="24"/>
      <c r="B19478" s="25"/>
      <c r="C19478" s="24"/>
      <c r="D19478" s="26"/>
      <c r="E19478" s="24"/>
      <c r="F19478" s="24"/>
      <c r="G19478" s="24"/>
      <c r="H19478" s="24"/>
      <c r="I19478" s="24"/>
      <c r="J19478" s="24"/>
      <c r="K19478" s="24"/>
      <c r="L19478" s="24"/>
      <c r="M19478" s="24"/>
      <c r="N19478" s="24"/>
      <c r="O19478" s="24"/>
      <c r="P19478" s="24"/>
      <c r="Q19478" s="24"/>
      <c r="R19478" s="24"/>
      <c r="S19478" s="24"/>
      <c r="T19478" s="24"/>
      <c r="U19478" s="24"/>
      <c r="V19478" s="24"/>
      <c r="W19478" s="24"/>
      <c r="X19478" s="24"/>
      <c r="Y19478" s="24"/>
      <c r="Z19478" s="24"/>
      <c r="AA19478" s="24"/>
    </row>
    <row r="19479">
      <c r="A19479" s="24"/>
      <c r="B19479" s="25"/>
      <c r="C19479" s="24"/>
      <c r="D19479" s="26"/>
      <c r="E19479" s="24"/>
      <c r="F19479" s="24"/>
      <c r="G19479" s="24"/>
      <c r="H19479" s="24"/>
      <c r="I19479" s="24"/>
      <c r="J19479" s="24"/>
      <c r="K19479" s="24"/>
      <c r="L19479" s="24"/>
      <c r="M19479" s="24"/>
      <c r="N19479" s="24"/>
      <c r="O19479" s="24"/>
      <c r="P19479" s="24"/>
      <c r="Q19479" s="24"/>
      <c r="R19479" s="24"/>
      <c r="S19479" s="24"/>
      <c r="T19479" s="24"/>
      <c r="U19479" s="24"/>
      <c r="V19479" s="24"/>
      <c r="W19479" s="24"/>
      <c r="X19479" s="24"/>
      <c r="Y19479" s="24"/>
      <c r="Z19479" s="24"/>
      <c r="AA19479" s="24"/>
    </row>
    <row r="19480">
      <c r="A19480" s="24"/>
      <c r="B19480" s="25"/>
      <c r="C19480" s="24"/>
      <c r="D19480" s="26"/>
      <c r="E19480" s="24"/>
      <c r="F19480" s="24"/>
      <c r="G19480" s="24"/>
      <c r="H19480" s="24"/>
      <c r="I19480" s="24"/>
      <c r="J19480" s="24"/>
      <c r="K19480" s="24"/>
      <c r="L19480" s="24"/>
      <c r="M19480" s="24"/>
      <c r="N19480" s="24"/>
      <c r="O19480" s="24"/>
      <c r="P19480" s="24"/>
      <c r="Q19480" s="24"/>
      <c r="R19480" s="24"/>
      <c r="S19480" s="24"/>
      <c r="T19480" s="24"/>
      <c r="U19480" s="24"/>
      <c r="V19480" s="24"/>
      <c r="W19480" s="24"/>
      <c r="X19480" s="24"/>
      <c r="Y19480" s="24"/>
      <c r="Z19480" s="24"/>
      <c r="AA19480" s="24"/>
    </row>
    <row r="19481">
      <c r="A19481" s="24"/>
      <c r="B19481" s="25"/>
      <c r="C19481" s="24"/>
      <c r="D19481" s="26"/>
      <c r="E19481" s="24"/>
      <c r="F19481" s="24"/>
      <c r="G19481" s="24"/>
      <c r="H19481" s="24"/>
      <c r="I19481" s="24"/>
      <c r="J19481" s="24"/>
      <c r="K19481" s="24"/>
      <c r="L19481" s="24"/>
      <c r="M19481" s="24"/>
      <c r="N19481" s="24"/>
      <c r="O19481" s="24"/>
      <c r="P19481" s="24"/>
      <c r="Q19481" s="24"/>
      <c r="R19481" s="24"/>
      <c r="S19481" s="24"/>
      <c r="T19481" s="24"/>
      <c r="U19481" s="24"/>
      <c r="V19481" s="24"/>
      <c r="W19481" s="24"/>
      <c r="X19481" s="24"/>
      <c r="Y19481" s="24"/>
      <c r="Z19481" s="24"/>
      <c r="AA19481" s="24"/>
    </row>
    <row r="19482">
      <c r="A19482" s="24"/>
      <c r="B19482" s="25"/>
      <c r="C19482" s="24"/>
      <c r="D19482" s="26"/>
      <c r="E19482" s="24"/>
      <c r="F19482" s="24"/>
      <c r="G19482" s="24"/>
      <c r="H19482" s="24"/>
      <c r="I19482" s="24"/>
      <c r="J19482" s="24"/>
      <c r="K19482" s="24"/>
      <c r="L19482" s="24"/>
      <c r="M19482" s="24"/>
      <c r="N19482" s="24"/>
      <c r="O19482" s="24"/>
      <c r="P19482" s="24"/>
      <c r="Q19482" s="24"/>
      <c r="R19482" s="24"/>
      <c r="S19482" s="24"/>
      <c r="T19482" s="24"/>
      <c r="U19482" s="24"/>
      <c r="V19482" s="24"/>
      <c r="W19482" s="24"/>
      <c r="X19482" s="24"/>
      <c r="Y19482" s="24"/>
      <c r="Z19482" s="24"/>
      <c r="AA19482" s="24"/>
    </row>
    <row r="19483">
      <c r="A19483" s="24"/>
      <c r="B19483" s="25"/>
      <c r="C19483" s="24"/>
      <c r="D19483" s="26"/>
      <c r="E19483" s="24"/>
      <c r="F19483" s="24"/>
      <c r="G19483" s="24"/>
      <c r="H19483" s="24"/>
      <c r="I19483" s="24"/>
      <c r="J19483" s="24"/>
      <c r="K19483" s="24"/>
      <c r="L19483" s="24"/>
      <c r="M19483" s="24"/>
      <c r="N19483" s="24"/>
      <c r="O19483" s="24"/>
      <c r="P19483" s="24"/>
      <c r="Q19483" s="24"/>
      <c r="R19483" s="24"/>
      <c r="S19483" s="24"/>
      <c r="T19483" s="24"/>
      <c r="U19483" s="24"/>
      <c r="V19483" s="24"/>
      <c r="W19483" s="24"/>
      <c r="X19483" s="24"/>
      <c r="Y19483" s="24"/>
      <c r="Z19483" s="24"/>
      <c r="AA19483" s="24"/>
    </row>
    <row r="19484">
      <c r="A19484" s="24"/>
      <c r="B19484" s="25"/>
      <c r="C19484" s="24"/>
      <c r="D19484" s="26"/>
      <c r="E19484" s="24"/>
      <c r="F19484" s="24"/>
      <c r="G19484" s="24"/>
      <c r="H19484" s="24"/>
      <c r="I19484" s="24"/>
      <c r="J19484" s="24"/>
      <c r="K19484" s="24"/>
      <c r="L19484" s="24"/>
      <c r="M19484" s="24"/>
      <c r="N19484" s="24"/>
      <c r="O19484" s="24"/>
      <c r="P19484" s="24"/>
      <c r="Q19484" s="24"/>
      <c r="R19484" s="24"/>
      <c r="S19484" s="24"/>
      <c r="T19484" s="24"/>
      <c r="U19484" s="24"/>
      <c r="V19484" s="24"/>
      <c r="W19484" s="24"/>
      <c r="X19484" s="24"/>
      <c r="Y19484" s="24"/>
      <c r="Z19484" s="24"/>
      <c r="AA19484" s="24"/>
    </row>
    <row r="19485">
      <c r="A19485" s="24"/>
      <c r="B19485" s="25"/>
      <c r="C19485" s="24"/>
      <c r="D19485" s="26"/>
      <c r="E19485" s="24"/>
      <c r="F19485" s="24"/>
      <c r="G19485" s="24"/>
      <c r="H19485" s="24"/>
      <c r="I19485" s="24"/>
      <c r="J19485" s="24"/>
      <c r="K19485" s="24"/>
      <c r="L19485" s="24"/>
      <c r="M19485" s="24"/>
      <c r="N19485" s="24"/>
      <c r="O19485" s="24"/>
      <c r="P19485" s="24"/>
      <c r="Q19485" s="24"/>
      <c r="R19485" s="24"/>
      <c r="S19485" s="24"/>
      <c r="T19485" s="24"/>
      <c r="U19485" s="24"/>
      <c r="V19485" s="24"/>
      <c r="W19485" s="24"/>
      <c r="X19485" s="24"/>
      <c r="Y19485" s="24"/>
      <c r="Z19485" s="24"/>
      <c r="AA19485" s="24"/>
    </row>
    <row r="19486">
      <c r="A19486" s="24"/>
      <c r="B19486" s="25"/>
      <c r="C19486" s="24"/>
      <c r="D19486" s="26"/>
      <c r="E19486" s="24"/>
      <c r="F19486" s="24"/>
      <c r="G19486" s="24"/>
      <c r="H19486" s="24"/>
      <c r="I19486" s="24"/>
      <c r="J19486" s="24"/>
      <c r="K19486" s="24"/>
      <c r="L19486" s="24"/>
      <c r="M19486" s="24"/>
      <c r="N19486" s="24"/>
      <c r="O19486" s="24"/>
      <c r="P19486" s="24"/>
      <c r="Q19486" s="24"/>
      <c r="R19486" s="24"/>
      <c r="S19486" s="24"/>
      <c r="T19486" s="24"/>
      <c r="U19486" s="24"/>
      <c r="V19486" s="24"/>
      <c r="W19486" s="24"/>
      <c r="X19486" s="24"/>
      <c r="Y19486" s="24"/>
      <c r="Z19486" s="24"/>
      <c r="AA19486" s="24"/>
    </row>
    <row r="19487">
      <c r="A19487" s="24"/>
      <c r="B19487" s="25"/>
      <c r="C19487" s="24"/>
      <c r="D19487" s="26"/>
      <c r="E19487" s="24"/>
      <c r="F19487" s="24"/>
      <c r="G19487" s="24"/>
      <c r="H19487" s="24"/>
      <c r="I19487" s="24"/>
      <c r="J19487" s="24"/>
      <c r="K19487" s="24"/>
      <c r="L19487" s="24"/>
      <c r="M19487" s="24"/>
      <c r="N19487" s="24"/>
      <c r="O19487" s="24"/>
      <c r="P19487" s="24"/>
      <c r="Q19487" s="24"/>
      <c r="R19487" s="24"/>
      <c r="S19487" s="24"/>
      <c r="T19487" s="24"/>
      <c r="U19487" s="24"/>
      <c r="V19487" s="24"/>
      <c r="W19487" s="24"/>
      <c r="X19487" s="24"/>
      <c r="Y19487" s="24"/>
      <c r="Z19487" s="24"/>
      <c r="AA19487" s="24"/>
    </row>
    <row r="19488">
      <c r="A19488" s="24"/>
      <c r="B19488" s="25"/>
      <c r="C19488" s="24"/>
      <c r="D19488" s="26"/>
      <c r="E19488" s="24"/>
      <c r="F19488" s="24"/>
      <c r="G19488" s="24"/>
      <c r="H19488" s="24"/>
      <c r="I19488" s="24"/>
      <c r="J19488" s="24"/>
      <c r="K19488" s="24"/>
      <c r="L19488" s="24"/>
      <c r="M19488" s="24"/>
      <c r="N19488" s="24"/>
      <c r="O19488" s="24"/>
      <c r="P19488" s="24"/>
      <c r="Q19488" s="24"/>
      <c r="R19488" s="24"/>
      <c r="S19488" s="24"/>
      <c r="T19488" s="24"/>
      <c r="U19488" s="24"/>
      <c r="V19488" s="24"/>
      <c r="W19488" s="24"/>
      <c r="X19488" s="24"/>
      <c r="Y19488" s="24"/>
      <c r="Z19488" s="24"/>
      <c r="AA19488" s="24"/>
    </row>
    <row r="19489">
      <c r="A19489" s="24"/>
      <c r="B19489" s="25"/>
      <c r="C19489" s="24"/>
      <c r="D19489" s="26"/>
      <c r="E19489" s="24"/>
      <c r="F19489" s="24"/>
      <c r="G19489" s="24"/>
      <c r="H19489" s="24"/>
      <c r="I19489" s="24"/>
      <c r="J19489" s="24"/>
      <c r="K19489" s="24"/>
      <c r="L19489" s="24"/>
      <c r="M19489" s="24"/>
      <c r="N19489" s="24"/>
      <c r="O19489" s="24"/>
      <c r="P19489" s="24"/>
      <c r="Q19489" s="24"/>
      <c r="R19489" s="24"/>
      <c r="S19489" s="24"/>
      <c r="T19489" s="24"/>
      <c r="U19489" s="24"/>
      <c r="V19489" s="24"/>
      <c r="W19489" s="24"/>
      <c r="X19489" s="24"/>
      <c r="Y19489" s="24"/>
      <c r="Z19489" s="24"/>
      <c r="AA19489" s="24"/>
    </row>
    <row r="19490">
      <c r="A19490" s="24"/>
      <c r="B19490" s="25"/>
      <c r="C19490" s="24"/>
      <c r="D19490" s="26"/>
      <c r="E19490" s="24"/>
      <c r="F19490" s="24"/>
      <c r="G19490" s="24"/>
      <c r="H19490" s="24"/>
      <c r="I19490" s="24"/>
      <c r="J19490" s="24"/>
      <c r="K19490" s="24"/>
      <c r="L19490" s="24"/>
      <c r="M19490" s="24"/>
      <c r="N19490" s="24"/>
      <c r="O19490" s="24"/>
      <c r="P19490" s="24"/>
      <c r="Q19490" s="24"/>
      <c r="R19490" s="24"/>
      <c r="S19490" s="24"/>
      <c r="T19490" s="24"/>
      <c r="U19490" s="24"/>
      <c r="V19490" s="24"/>
      <c r="W19490" s="24"/>
      <c r="X19490" s="24"/>
      <c r="Y19490" s="24"/>
      <c r="Z19490" s="24"/>
      <c r="AA19490" s="24"/>
    </row>
    <row r="19491">
      <c r="A19491" s="24"/>
      <c r="B19491" s="25"/>
      <c r="C19491" s="24"/>
      <c r="D19491" s="26"/>
      <c r="E19491" s="24"/>
      <c r="F19491" s="24"/>
      <c r="G19491" s="24"/>
      <c r="H19491" s="24"/>
      <c r="I19491" s="24"/>
      <c r="J19491" s="24"/>
      <c r="K19491" s="24"/>
      <c r="L19491" s="24"/>
      <c r="M19491" s="24"/>
      <c r="N19491" s="24"/>
      <c r="O19491" s="24"/>
      <c r="P19491" s="24"/>
      <c r="Q19491" s="24"/>
      <c r="R19491" s="24"/>
      <c r="S19491" s="24"/>
      <c r="T19491" s="24"/>
      <c r="U19491" s="24"/>
      <c r="V19491" s="24"/>
      <c r="W19491" s="24"/>
      <c r="X19491" s="24"/>
      <c r="Y19491" s="24"/>
      <c r="Z19491" s="24"/>
      <c r="AA19491" s="24"/>
    </row>
    <row r="19492">
      <c r="A19492" s="24"/>
      <c r="B19492" s="25"/>
      <c r="C19492" s="24"/>
      <c r="D19492" s="26"/>
      <c r="E19492" s="24"/>
      <c r="F19492" s="24"/>
      <c r="G19492" s="24"/>
      <c r="H19492" s="24"/>
      <c r="I19492" s="24"/>
      <c r="J19492" s="24"/>
      <c r="K19492" s="24"/>
      <c r="L19492" s="24"/>
      <c r="M19492" s="24"/>
      <c r="N19492" s="24"/>
      <c r="O19492" s="24"/>
      <c r="P19492" s="24"/>
      <c r="Q19492" s="24"/>
      <c r="R19492" s="24"/>
      <c r="S19492" s="24"/>
      <c r="T19492" s="24"/>
      <c r="U19492" s="24"/>
      <c r="V19492" s="24"/>
      <c r="W19492" s="24"/>
      <c r="X19492" s="24"/>
      <c r="Y19492" s="24"/>
      <c r="Z19492" s="24"/>
      <c r="AA19492" s="24"/>
    </row>
    <row r="19493">
      <c r="A19493" s="24"/>
      <c r="B19493" s="25"/>
      <c r="C19493" s="24"/>
      <c r="D19493" s="26"/>
      <c r="E19493" s="24"/>
      <c r="F19493" s="24"/>
      <c r="G19493" s="24"/>
      <c r="H19493" s="24"/>
      <c r="I19493" s="24"/>
      <c r="J19493" s="24"/>
      <c r="K19493" s="24"/>
      <c r="L19493" s="24"/>
      <c r="M19493" s="24"/>
      <c r="N19493" s="24"/>
      <c r="O19493" s="24"/>
      <c r="P19493" s="24"/>
      <c r="Q19493" s="24"/>
      <c r="R19493" s="24"/>
      <c r="S19493" s="24"/>
      <c r="T19493" s="24"/>
      <c r="U19493" s="24"/>
      <c r="V19493" s="24"/>
      <c r="W19493" s="24"/>
      <c r="X19493" s="24"/>
      <c r="Y19493" s="24"/>
      <c r="Z19493" s="24"/>
      <c r="AA19493" s="24"/>
    </row>
    <row r="19494">
      <c r="A19494" s="24"/>
      <c r="B19494" s="25"/>
      <c r="C19494" s="24"/>
      <c r="D19494" s="26"/>
      <c r="E19494" s="24"/>
      <c r="F19494" s="24"/>
      <c r="G19494" s="24"/>
      <c r="H19494" s="24"/>
      <c r="I19494" s="24"/>
      <c r="J19494" s="24"/>
      <c r="K19494" s="24"/>
      <c r="L19494" s="24"/>
      <c r="M19494" s="24"/>
      <c r="N19494" s="24"/>
      <c r="O19494" s="24"/>
      <c r="P19494" s="24"/>
      <c r="Q19494" s="24"/>
      <c r="R19494" s="24"/>
      <c r="S19494" s="24"/>
      <c r="T19494" s="24"/>
      <c r="U19494" s="24"/>
      <c r="V19494" s="24"/>
      <c r="W19494" s="24"/>
      <c r="X19494" s="24"/>
      <c r="Y19494" s="24"/>
      <c r="Z19494" s="24"/>
      <c r="AA19494" s="24"/>
    </row>
    <row r="19495">
      <c r="A19495" s="24"/>
      <c r="B19495" s="25"/>
      <c r="C19495" s="24"/>
      <c r="D19495" s="26"/>
      <c r="E19495" s="24"/>
      <c r="F19495" s="24"/>
      <c r="G19495" s="24"/>
      <c r="H19495" s="24"/>
      <c r="I19495" s="24"/>
      <c r="J19495" s="24"/>
      <c r="K19495" s="24"/>
      <c r="L19495" s="24"/>
      <c r="M19495" s="24"/>
      <c r="N19495" s="24"/>
      <c r="O19495" s="24"/>
      <c r="P19495" s="24"/>
      <c r="Q19495" s="24"/>
      <c r="R19495" s="24"/>
      <c r="S19495" s="24"/>
      <c r="T19495" s="24"/>
      <c r="U19495" s="24"/>
      <c r="V19495" s="24"/>
      <c r="W19495" s="24"/>
      <c r="X19495" s="24"/>
      <c r="Y19495" s="24"/>
      <c r="Z19495" s="24"/>
      <c r="AA19495" s="24"/>
    </row>
    <row r="19496">
      <c r="A19496" s="24"/>
      <c r="B19496" s="25"/>
      <c r="C19496" s="24"/>
      <c r="D19496" s="26"/>
      <c r="E19496" s="24"/>
      <c r="F19496" s="24"/>
      <c r="G19496" s="24"/>
      <c r="H19496" s="24"/>
      <c r="I19496" s="24"/>
      <c r="J19496" s="24"/>
      <c r="K19496" s="24"/>
      <c r="L19496" s="24"/>
      <c r="M19496" s="24"/>
      <c r="N19496" s="24"/>
      <c r="O19496" s="24"/>
      <c r="P19496" s="24"/>
      <c r="Q19496" s="24"/>
      <c r="R19496" s="24"/>
      <c r="S19496" s="24"/>
      <c r="T19496" s="24"/>
      <c r="U19496" s="24"/>
      <c r="V19496" s="24"/>
      <c r="W19496" s="24"/>
      <c r="X19496" s="24"/>
      <c r="Y19496" s="24"/>
      <c r="Z19496" s="24"/>
      <c r="AA19496" s="24"/>
    </row>
    <row r="19497">
      <c r="A19497" s="24"/>
      <c r="B19497" s="25"/>
      <c r="C19497" s="24"/>
      <c r="D19497" s="26"/>
      <c r="E19497" s="24"/>
      <c r="F19497" s="24"/>
      <c r="G19497" s="24"/>
      <c r="H19497" s="24"/>
      <c r="I19497" s="24"/>
      <c r="J19497" s="24"/>
      <c r="K19497" s="24"/>
      <c r="L19497" s="24"/>
      <c r="M19497" s="24"/>
      <c r="N19497" s="24"/>
      <c r="O19497" s="24"/>
      <c r="P19497" s="24"/>
      <c r="Q19497" s="24"/>
      <c r="R19497" s="24"/>
      <c r="S19497" s="24"/>
      <c r="T19497" s="24"/>
      <c r="U19497" s="24"/>
      <c r="V19497" s="24"/>
      <c r="W19497" s="24"/>
      <c r="X19497" s="24"/>
      <c r="Y19497" s="24"/>
      <c r="Z19497" s="24"/>
      <c r="AA19497" s="24"/>
    </row>
    <row r="19498">
      <c r="A19498" s="24"/>
      <c r="B19498" s="25"/>
      <c r="C19498" s="24"/>
      <c r="D19498" s="26"/>
      <c r="E19498" s="24"/>
      <c r="F19498" s="24"/>
      <c r="G19498" s="24"/>
      <c r="H19498" s="24"/>
      <c r="I19498" s="24"/>
      <c r="J19498" s="24"/>
      <c r="K19498" s="24"/>
      <c r="L19498" s="24"/>
      <c r="M19498" s="24"/>
      <c r="N19498" s="24"/>
      <c r="O19498" s="24"/>
      <c r="P19498" s="24"/>
      <c r="Q19498" s="24"/>
      <c r="R19498" s="24"/>
      <c r="S19498" s="24"/>
      <c r="T19498" s="24"/>
      <c r="U19498" s="24"/>
      <c r="V19498" s="24"/>
      <c r="W19498" s="24"/>
      <c r="X19498" s="24"/>
      <c r="Y19498" s="24"/>
      <c r="Z19498" s="24"/>
      <c r="AA19498" s="24"/>
    </row>
    <row r="19499">
      <c r="A19499" s="24"/>
      <c r="B19499" s="25"/>
      <c r="C19499" s="24"/>
      <c r="D19499" s="26"/>
      <c r="E19499" s="24"/>
      <c r="F19499" s="24"/>
      <c r="G19499" s="24"/>
      <c r="H19499" s="24"/>
      <c r="I19499" s="24"/>
      <c r="J19499" s="24"/>
      <c r="K19499" s="24"/>
      <c r="L19499" s="24"/>
      <c r="M19499" s="24"/>
      <c r="N19499" s="24"/>
      <c r="O19499" s="24"/>
      <c r="P19499" s="24"/>
      <c r="Q19499" s="24"/>
      <c r="R19499" s="24"/>
      <c r="S19499" s="24"/>
      <c r="T19499" s="24"/>
      <c r="U19499" s="24"/>
      <c r="V19499" s="24"/>
      <c r="W19499" s="24"/>
      <c r="X19499" s="24"/>
      <c r="Y19499" s="24"/>
      <c r="Z19499" s="24"/>
      <c r="AA19499" s="24"/>
    </row>
    <row r="19500">
      <c r="A19500" s="24"/>
      <c r="B19500" s="25"/>
      <c r="C19500" s="24"/>
      <c r="D19500" s="26"/>
      <c r="E19500" s="24"/>
      <c r="F19500" s="24"/>
      <c r="G19500" s="24"/>
      <c r="H19500" s="24"/>
      <c r="I19500" s="24"/>
      <c r="J19500" s="24"/>
      <c r="K19500" s="24"/>
      <c r="L19500" s="24"/>
      <c r="M19500" s="24"/>
      <c r="N19500" s="24"/>
      <c r="O19500" s="24"/>
      <c r="P19500" s="24"/>
      <c r="Q19500" s="24"/>
      <c r="R19500" s="24"/>
      <c r="S19500" s="24"/>
      <c r="T19500" s="24"/>
      <c r="U19500" s="24"/>
      <c r="V19500" s="24"/>
      <c r="W19500" s="24"/>
      <c r="X19500" s="24"/>
      <c r="Y19500" s="24"/>
      <c r="Z19500" s="24"/>
      <c r="AA19500" s="24"/>
    </row>
    <row r="19501">
      <c r="A19501" s="24"/>
      <c r="B19501" s="25"/>
      <c r="C19501" s="24"/>
      <c r="D19501" s="26"/>
      <c r="E19501" s="24"/>
      <c r="F19501" s="24"/>
      <c r="G19501" s="24"/>
      <c r="H19501" s="24"/>
      <c r="I19501" s="24"/>
      <c r="J19501" s="24"/>
      <c r="K19501" s="24"/>
      <c r="L19501" s="24"/>
      <c r="M19501" s="24"/>
      <c r="N19501" s="24"/>
      <c r="O19501" s="24"/>
      <c r="P19501" s="24"/>
      <c r="Q19501" s="24"/>
      <c r="R19501" s="24"/>
      <c r="S19501" s="24"/>
      <c r="T19501" s="24"/>
      <c r="U19501" s="24"/>
      <c r="V19501" s="24"/>
      <c r="W19501" s="24"/>
      <c r="X19501" s="24"/>
      <c r="Y19501" s="24"/>
      <c r="Z19501" s="24"/>
      <c r="AA19501" s="24"/>
    </row>
    <row r="19502">
      <c r="A19502" s="24"/>
      <c r="B19502" s="25"/>
      <c r="C19502" s="24"/>
      <c r="D19502" s="26"/>
      <c r="E19502" s="24"/>
      <c r="F19502" s="24"/>
      <c r="G19502" s="24"/>
      <c r="H19502" s="24"/>
      <c r="I19502" s="24"/>
      <c r="J19502" s="24"/>
      <c r="K19502" s="24"/>
      <c r="L19502" s="24"/>
      <c r="M19502" s="24"/>
      <c r="N19502" s="24"/>
      <c r="O19502" s="24"/>
      <c r="P19502" s="24"/>
      <c r="Q19502" s="24"/>
      <c r="R19502" s="24"/>
      <c r="S19502" s="24"/>
      <c r="T19502" s="24"/>
      <c r="U19502" s="24"/>
      <c r="V19502" s="24"/>
      <c r="W19502" s="24"/>
      <c r="X19502" s="24"/>
      <c r="Y19502" s="24"/>
      <c r="Z19502" s="24"/>
      <c r="AA19502" s="24"/>
    </row>
    <row r="19503">
      <c r="A19503" s="24"/>
      <c r="B19503" s="25"/>
      <c r="C19503" s="24"/>
      <c r="D19503" s="26"/>
      <c r="E19503" s="24"/>
      <c r="F19503" s="24"/>
      <c r="G19503" s="24"/>
      <c r="H19503" s="24"/>
      <c r="I19503" s="24"/>
      <c r="J19503" s="24"/>
      <c r="K19503" s="24"/>
      <c r="L19503" s="24"/>
      <c r="M19503" s="24"/>
      <c r="N19503" s="24"/>
      <c r="O19503" s="24"/>
      <c r="P19503" s="24"/>
      <c r="Q19503" s="24"/>
      <c r="R19503" s="24"/>
      <c r="S19503" s="24"/>
      <c r="T19503" s="24"/>
      <c r="U19503" s="24"/>
      <c r="V19503" s="24"/>
      <c r="W19503" s="24"/>
      <c r="X19503" s="24"/>
      <c r="Y19503" s="24"/>
      <c r="Z19503" s="24"/>
      <c r="AA19503" s="24"/>
    </row>
    <row r="19504">
      <c r="A19504" s="24"/>
      <c r="B19504" s="25"/>
      <c r="C19504" s="24"/>
      <c r="D19504" s="26"/>
      <c r="E19504" s="24"/>
      <c r="F19504" s="24"/>
      <c r="G19504" s="24"/>
      <c r="H19504" s="24"/>
      <c r="I19504" s="24"/>
      <c r="J19504" s="24"/>
      <c r="K19504" s="24"/>
      <c r="L19504" s="24"/>
      <c r="M19504" s="24"/>
      <c r="N19504" s="24"/>
      <c r="O19504" s="24"/>
      <c r="P19504" s="24"/>
      <c r="Q19504" s="24"/>
      <c r="R19504" s="24"/>
      <c r="S19504" s="24"/>
      <c r="T19504" s="24"/>
      <c r="U19504" s="24"/>
      <c r="V19504" s="24"/>
      <c r="W19504" s="24"/>
      <c r="X19504" s="24"/>
      <c r="Y19504" s="24"/>
      <c r="Z19504" s="24"/>
      <c r="AA19504" s="24"/>
    </row>
    <row r="19505">
      <c r="A19505" s="24"/>
      <c r="B19505" s="25"/>
      <c r="C19505" s="24"/>
      <c r="D19505" s="26"/>
      <c r="E19505" s="24"/>
      <c r="F19505" s="24"/>
      <c r="G19505" s="24"/>
      <c r="H19505" s="24"/>
      <c r="I19505" s="24"/>
      <c r="J19505" s="24"/>
      <c r="K19505" s="24"/>
      <c r="L19505" s="24"/>
      <c r="M19505" s="24"/>
      <c r="N19505" s="24"/>
      <c r="O19505" s="24"/>
      <c r="P19505" s="24"/>
      <c r="Q19505" s="24"/>
      <c r="R19505" s="24"/>
      <c r="S19505" s="24"/>
      <c r="T19505" s="24"/>
      <c r="U19505" s="24"/>
      <c r="V19505" s="24"/>
      <c r="W19505" s="24"/>
      <c r="X19505" s="24"/>
      <c r="Y19505" s="24"/>
      <c r="Z19505" s="24"/>
      <c r="AA19505" s="24"/>
    </row>
    <row r="19506">
      <c r="A19506" s="24"/>
      <c r="B19506" s="25"/>
      <c r="C19506" s="24"/>
      <c r="D19506" s="26"/>
      <c r="E19506" s="24"/>
      <c r="F19506" s="24"/>
      <c r="G19506" s="24"/>
      <c r="H19506" s="24"/>
      <c r="I19506" s="24"/>
      <c r="J19506" s="24"/>
      <c r="K19506" s="24"/>
      <c r="L19506" s="24"/>
      <c r="M19506" s="24"/>
      <c r="N19506" s="24"/>
      <c r="O19506" s="24"/>
      <c r="P19506" s="24"/>
      <c r="Q19506" s="24"/>
      <c r="R19506" s="24"/>
      <c r="S19506" s="24"/>
      <c r="T19506" s="24"/>
      <c r="U19506" s="24"/>
      <c r="V19506" s="24"/>
      <c r="W19506" s="24"/>
      <c r="X19506" s="24"/>
      <c r="Y19506" s="24"/>
      <c r="Z19506" s="24"/>
      <c r="AA19506" s="24"/>
    </row>
    <row r="19507">
      <c r="A19507" s="24"/>
      <c r="B19507" s="25"/>
      <c r="C19507" s="24"/>
      <c r="D19507" s="26"/>
      <c r="E19507" s="24"/>
      <c r="F19507" s="24"/>
      <c r="G19507" s="24"/>
      <c r="H19507" s="24"/>
      <c r="I19507" s="24"/>
      <c r="J19507" s="24"/>
      <c r="K19507" s="24"/>
      <c r="L19507" s="24"/>
      <c r="M19507" s="24"/>
      <c r="N19507" s="24"/>
      <c r="O19507" s="24"/>
      <c r="P19507" s="24"/>
      <c r="Q19507" s="24"/>
      <c r="R19507" s="24"/>
      <c r="S19507" s="24"/>
      <c r="T19507" s="24"/>
      <c r="U19507" s="24"/>
      <c r="V19507" s="24"/>
      <c r="W19507" s="24"/>
      <c r="X19507" s="24"/>
      <c r="Y19507" s="24"/>
      <c r="Z19507" s="24"/>
      <c r="AA19507" s="24"/>
    </row>
    <row r="19508">
      <c r="A19508" s="24"/>
      <c r="B19508" s="25"/>
      <c r="C19508" s="24"/>
      <c r="D19508" s="26"/>
      <c r="E19508" s="24"/>
      <c r="F19508" s="24"/>
      <c r="G19508" s="24"/>
      <c r="H19508" s="24"/>
      <c r="I19508" s="24"/>
      <c r="J19508" s="24"/>
      <c r="K19508" s="24"/>
      <c r="L19508" s="24"/>
      <c r="M19508" s="24"/>
      <c r="N19508" s="24"/>
      <c r="O19508" s="24"/>
      <c r="P19508" s="24"/>
      <c r="Q19508" s="24"/>
      <c r="R19508" s="24"/>
      <c r="S19508" s="24"/>
      <c r="T19508" s="24"/>
      <c r="U19508" s="24"/>
      <c r="V19508" s="24"/>
      <c r="W19508" s="24"/>
      <c r="X19508" s="24"/>
      <c r="Y19508" s="24"/>
      <c r="Z19508" s="24"/>
      <c r="AA19508" s="24"/>
    </row>
    <row r="19509">
      <c r="A19509" s="24"/>
      <c r="B19509" s="25"/>
      <c r="C19509" s="24"/>
      <c r="D19509" s="26"/>
      <c r="E19509" s="24"/>
      <c r="F19509" s="24"/>
      <c r="G19509" s="24"/>
      <c r="H19509" s="24"/>
      <c r="I19509" s="24"/>
      <c r="J19509" s="24"/>
      <c r="K19509" s="24"/>
      <c r="L19509" s="24"/>
      <c r="M19509" s="24"/>
      <c r="N19509" s="24"/>
      <c r="O19509" s="24"/>
      <c r="P19509" s="24"/>
      <c r="Q19509" s="24"/>
      <c r="R19509" s="24"/>
      <c r="S19509" s="24"/>
      <c r="T19509" s="24"/>
      <c r="U19509" s="24"/>
      <c r="V19509" s="24"/>
      <c r="W19509" s="24"/>
      <c r="X19509" s="24"/>
      <c r="Y19509" s="24"/>
      <c r="Z19509" s="24"/>
      <c r="AA19509" s="24"/>
    </row>
    <row r="19510">
      <c r="A19510" s="24"/>
      <c r="B19510" s="25"/>
      <c r="C19510" s="24"/>
      <c r="D19510" s="26"/>
      <c r="E19510" s="24"/>
      <c r="F19510" s="24"/>
      <c r="G19510" s="24"/>
      <c r="H19510" s="24"/>
      <c r="I19510" s="24"/>
      <c r="J19510" s="24"/>
      <c r="K19510" s="24"/>
      <c r="L19510" s="24"/>
      <c r="M19510" s="24"/>
      <c r="N19510" s="24"/>
      <c r="O19510" s="24"/>
      <c r="P19510" s="24"/>
      <c r="Q19510" s="24"/>
      <c r="R19510" s="24"/>
      <c r="S19510" s="24"/>
      <c r="T19510" s="24"/>
      <c r="U19510" s="24"/>
      <c r="V19510" s="24"/>
      <c r="W19510" s="24"/>
      <c r="X19510" s="24"/>
      <c r="Y19510" s="24"/>
      <c r="Z19510" s="24"/>
      <c r="AA19510" s="24"/>
    </row>
    <row r="19511">
      <c r="A19511" s="24"/>
      <c r="B19511" s="25"/>
      <c r="C19511" s="24"/>
      <c r="D19511" s="26"/>
      <c r="E19511" s="24"/>
      <c r="F19511" s="24"/>
      <c r="G19511" s="24"/>
      <c r="H19511" s="24"/>
      <c r="I19511" s="24"/>
      <c r="J19511" s="24"/>
      <c r="K19511" s="24"/>
      <c r="L19511" s="24"/>
      <c r="M19511" s="24"/>
      <c r="N19511" s="24"/>
      <c r="O19511" s="24"/>
      <c r="P19511" s="24"/>
      <c r="Q19511" s="24"/>
      <c r="R19511" s="24"/>
      <c r="S19511" s="24"/>
      <c r="T19511" s="24"/>
      <c r="U19511" s="24"/>
      <c r="V19511" s="24"/>
      <c r="W19511" s="24"/>
      <c r="X19511" s="24"/>
      <c r="Y19511" s="24"/>
      <c r="Z19511" s="24"/>
      <c r="AA19511" s="24"/>
    </row>
    <row r="19512">
      <c r="A19512" s="24"/>
      <c r="B19512" s="25"/>
      <c r="C19512" s="24"/>
      <c r="D19512" s="26"/>
      <c r="E19512" s="24"/>
      <c r="F19512" s="24"/>
      <c r="G19512" s="24"/>
      <c r="H19512" s="24"/>
      <c r="I19512" s="24"/>
      <c r="J19512" s="24"/>
      <c r="K19512" s="24"/>
      <c r="L19512" s="24"/>
      <c r="M19512" s="24"/>
      <c r="N19512" s="24"/>
      <c r="O19512" s="24"/>
      <c r="P19512" s="24"/>
      <c r="Q19512" s="24"/>
      <c r="R19512" s="24"/>
      <c r="S19512" s="24"/>
      <c r="T19512" s="24"/>
      <c r="U19512" s="24"/>
      <c r="V19512" s="24"/>
      <c r="W19512" s="24"/>
      <c r="X19512" s="24"/>
      <c r="Y19512" s="24"/>
      <c r="Z19512" s="24"/>
      <c r="AA19512" s="24"/>
    </row>
    <row r="19513">
      <c r="A19513" s="24"/>
      <c r="B19513" s="25"/>
      <c r="C19513" s="24"/>
      <c r="D19513" s="26"/>
      <c r="E19513" s="24"/>
      <c r="F19513" s="24"/>
      <c r="G19513" s="24"/>
      <c r="H19513" s="24"/>
      <c r="I19513" s="24"/>
      <c r="J19513" s="24"/>
      <c r="K19513" s="24"/>
      <c r="L19513" s="24"/>
      <c r="M19513" s="24"/>
      <c r="N19513" s="24"/>
      <c r="O19513" s="24"/>
      <c r="P19513" s="24"/>
      <c r="Q19513" s="24"/>
      <c r="R19513" s="24"/>
      <c r="S19513" s="24"/>
      <c r="T19513" s="24"/>
      <c r="U19513" s="24"/>
      <c r="V19513" s="24"/>
      <c r="W19513" s="24"/>
      <c r="X19513" s="24"/>
      <c r="Y19513" s="24"/>
      <c r="Z19513" s="24"/>
      <c r="AA19513" s="24"/>
    </row>
    <row r="19514">
      <c r="A19514" s="24"/>
      <c r="B19514" s="25"/>
      <c r="C19514" s="24"/>
      <c r="D19514" s="26"/>
      <c r="E19514" s="24"/>
      <c r="F19514" s="24"/>
      <c r="G19514" s="24"/>
      <c r="H19514" s="24"/>
      <c r="I19514" s="24"/>
      <c r="J19514" s="24"/>
      <c r="K19514" s="24"/>
      <c r="L19514" s="24"/>
      <c r="M19514" s="24"/>
      <c r="N19514" s="24"/>
      <c r="O19514" s="24"/>
      <c r="P19514" s="24"/>
      <c r="Q19514" s="24"/>
      <c r="R19514" s="24"/>
      <c r="S19514" s="24"/>
      <c r="T19514" s="24"/>
      <c r="U19514" s="24"/>
      <c r="V19514" s="24"/>
      <c r="W19514" s="24"/>
      <c r="X19514" s="24"/>
      <c r="Y19514" s="24"/>
      <c r="Z19514" s="24"/>
      <c r="AA19514" s="24"/>
    </row>
    <row r="19515">
      <c r="A19515" s="24"/>
      <c r="B19515" s="25"/>
      <c r="C19515" s="24"/>
      <c r="D19515" s="26"/>
      <c r="E19515" s="24"/>
      <c r="F19515" s="24"/>
      <c r="G19515" s="24"/>
      <c r="H19515" s="24"/>
      <c r="I19515" s="24"/>
      <c r="J19515" s="24"/>
      <c r="K19515" s="24"/>
      <c r="L19515" s="24"/>
      <c r="M19515" s="24"/>
      <c r="N19515" s="24"/>
      <c r="O19515" s="24"/>
      <c r="P19515" s="24"/>
      <c r="Q19515" s="24"/>
      <c r="R19515" s="24"/>
      <c r="S19515" s="24"/>
      <c r="T19515" s="24"/>
      <c r="U19515" s="24"/>
      <c r="V19515" s="24"/>
      <c r="W19515" s="24"/>
      <c r="X19515" s="24"/>
      <c r="Y19515" s="24"/>
      <c r="Z19515" s="24"/>
      <c r="AA19515" s="24"/>
    </row>
    <row r="19516">
      <c r="A19516" s="24"/>
      <c r="B19516" s="25"/>
      <c r="C19516" s="24"/>
      <c r="D19516" s="26"/>
      <c r="E19516" s="24"/>
      <c r="F19516" s="24"/>
      <c r="G19516" s="24"/>
      <c r="H19516" s="24"/>
      <c r="I19516" s="24"/>
      <c r="J19516" s="24"/>
      <c r="K19516" s="24"/>
      <c r="L19516" s="24"/>
      <c r="M19516" s="24"/>
      <c r="N19516" s="24"/>
      <c r="O19516" s="24"/>
      <c r="P19516" s="24"/>
      <c r="Q19516" s="24"/>
      <c r="R19516" s="24"/>
      <c r="S19516" s="24"/>
      <c r="T19516" s="24"/>
      <c r="U19516" s="24"/>
      <c r="V19516" s="24"/>
      <c r="W19516" s="24"/>
      <c r="X19516" s="24"/>
      <c r="Y19516" s="24"/>
      <c r="Z19516" s="24"/>
      <c r="AA19516" s="24"/>
    </row>
    <row r="19517">
      <c r="A19517" s="24"/>
      <c r="B19517" s="25"/>
      <c r="C19517" s="24"/>
      <c r="D19517" s="26"/>
      <c r="E19517" s="24"/>
      <c r="F19517" s="24"/>
      <c r="G19517" s="24"/>
      <c r="H19517" s="24"/>
      <c r="I19517" s="24"/>
      <c r="J19517" s="24"/>
      <c r="K19517" s="24"/>
      <c r="L19517" s="24"/>
      <c r="M19517" s="24"/>
      <c r="N19517" s="24"/>
      <c r="O19517" s="24"/>
      <c r="P19517" s="24"/>
      <c r="Q19517" s="24"/>
      <c r="R19517" s="24"/>
      <c r="S19517" s="24"/>
      <c r="T19517" s="24"/>
      <c r="U19517" s="24"/>
      <c r="V19517" s="24"/>
      <c r="W19517" s="24"/>
      <c r="X19517" s="24"/>
      <c r="Y19517" s="24"/>
      <c r="Z19517" s="24"/>
      <c r="AA19517" s="24"/>
    </row>
    <row r="19518">
      <c r="A19518" s="24"/>
      <c r="B19518" s="25"/>
      <c r="C19518" s="24"/>
      <c r="D19518" s="26"/>
      <c r="E19518" s="24"/>
      <c r="F19518" s="24"/>
      <c r="G19518" s="24"/>
      <c r="H19518" s="24"/>
      <c r="I19518" s="24"/>
      <c r="J19518" s="24"/>
      <c r="K19518" s="24"/>
      <c r="L19518" s="24"/>
      <c r="M19518" s="24"/>
      <c r="N19518" s="24"/>
      <c r="O19518" s="24"/>
      <c r="P19518" s="24"/>
      <c r="Q19518" s="24"/>
      <c r="R19518" s="24"/>
      <c r="S19518" s="24"/>
      <c r="T19518" s="24"/>
      <c r="U19518" s="24"/>
      <c r="V19518" s="24"/>
      <c r="W19518" s="24"/>
      <c r="X19518" s="24"/>
      <c r="Y19518" s="24"/>
      <c r="Z19518" s="24"/>
      <c r="AA19518" s="24"/>
    </row>
    <row r="19519">
      <c r="A19519" s="24"/>
      <c r="B19519" s="25"/>
      <c r="C19519" s="24"/>
      <c r="D19519" s="26"/>
      <c r="E19519" s="24"/>
      <c r="F19519" s="24"/>
      <c r="G19519" s="24"/>
      <c r="H19519" s="24"/>
      <c r="I19519" s="24"/>
      <c r="J19519" s="24"/>
      <c r="K19519" s="24"/>
      <c r="L19519" s="24"/>
      <c r="M19519" s="24"/>
      <c r="N19519" s="24"/>
      <c r="O19519" s="24"/>
      <c r="P19519" s="24"/>
      <c r="Q19519" s="24"/>
      <c r="R19519" s="24"/>
      <c r="S19519" s="24"/>
      <c r="T19519" s="24"/>
      <c r="U19519" s="24"/>
      <c r="V19519" s="24"/>
      <c r="W19519" s="24"/>
      <c r="X19519" s="24"/>
      <c r="Y19519" s="24"/>
      <c r="Z19519" s="24"/>
      <c r="AA19519" s="24"/>
    </row>
    <row r="19520">
      <c r="A19520" s="24"/>
      <c r="B19520" s="25"/>
      <c r="C19520" s="24"/>
      <c r="D19520" s="26"/>
      <c r="E19520" s="24"/>
      <c r="F19520" s="24"/>
      <c r="G19520" s="24"/>
      <c r="H19520" s="24"/>
      <c r="I19520" s="24"/>
      <c r="J19520" s="24"/>
      <c r="K19520" s="24"/>
      <c r="L19520" s="24"/>
      <c r="M19520" s="24"/>
      <c r="N19520" s="24"/>
      <c r="O19520" s="24"/>
      <c r="P19520" s="24"/>
      <c r="Q19520" s="24"/>
      <c r="R19520" s="24"/>
      <c r="S19520" s="24"/>
      <c r="T19520" s="24"/>
      <c r="U19520" s="24"/>
      <c r="V19520" s="24"/>
      <c r="W19520" s="24"/>
      <c r="X19520" s="24"/>
      <c r="Y19520" s="24"/>
      <c r="Z19520" s="24"/>
      <c r="AA19520" s="24"/>
    </row>
    <row r="19521">
      <c r="A19521" s="24"/>
      <c r="B19521" s="25"/>
      <c r="C19521" s="24"/>
      <c r="D19521" s="26"/>
      <c r="E19521" s="24"/>
      <c r="F19521" s="24"/>
      <c r="G19521" s="24"/>
      <c r="H19521" s="24"/>
      <c r="I19521" s="24"/>
      <c r="J19521" s="24"/>
      <c r="K19521" s="24"/>
      <c r="L19521" s="24"/>
      <c r="M19521" s="24"/>
      <c r="N19521" s="24"/>
      <c r="O19521" s="24"/>
      <c r="P19521" s="24"/>
      <c r="Q19521" s="24"/>
      <c r="R19521" s="24"/>
      <c r="S19521" s="24"/>
      <c r="T19521" s="24"/>
      <c r="U19521" s="24"/>
      <c r="V19521" s="24"/>
      <c r="W19521" s="24"/>
      <c r="X19521" s="24"/>
      <c r="Y19521" s="24"/>
      <c r="Z19521" s="24"/>
      <c r="AA19521" s="24"/>
    </row>
    <row r="19522">
      <c r="A19522" s="24"/>
      <c r="B19522" s="25"/>
      <c r="C19522" s="24"/>
      <c r="D19522" s="26"/>
      <c r="E19522" s="24"/>
      <c r="F19522" s="24"/>
      <c r="G19522" s="24"/>
      <c r="H19522" s="24"/>
      <c r="I19522" s="24"/>
      <c r="J19522" s="24"/>
      <c r="K19522" s="24"/>
      <c r="L19522" s="24"/>
      <c r="M19522" s="24"/>
      <c r="N19522" s="24"/>
      <c r="O19522" s="24"/>
      <c r="P19522" s="24"/>
      <c r="Q19522" s="24"/>
      <c r="R19522" s="24"/>
      <c r="S19522" s="24"/>
      <c r="T19522" s="24"/>
      <c r="U19522" s="24"/>
      <c r="V19522" s="24"/>
      <c r="W19522" s="24"/>
      <c r="X19522" s="24"/>
      <c r="Y19522" s="24"/>
      <c r="Z19522" s="24"/>
      <c r="AA19522" s="24"/>
    </row>
    <row r="19523">
      <c r="A19523" s="24"/>
      <c r="B19523" s="25"/>
      <c r="C19523" s="24"/>
      <c r="D19523" s="26"/>
      <c r="E19523" s="24"/>
      <c r="F19523" s="24"/>
      <c r="G19523" s="24"/>
      <c r="H19523" s="24"/>
      <c r="I19523" s="24"/>
      <c r="J19523" s="24"/>
      <c r="K19523" s="24"/>
      <c r="L19523" s="24"/>
      <c r="M19523" s="24"/>
      <c r="N19523" s="24"/>
      <c r="O19523" s="24"/>
      <c r="P19523" s="24"/>
      <c r="Q19523" s="24"/>
      <c r="R19523" s="24"/>
      <c r="S19523" s="24"/>
      <c r="T19523" s="24"/>
      <c r="U19523" s="24"/>
      <c r="V19523" s="24"/>
      <c r="W19523" s="24"/>
      <c r="X19523" s="24"/>
      <c r="Y19523" s="24"/>
      <c r="Z19523" s="24"/>
      <c r="AA19523" s="24"/>
    </row>
    <row r="19524">
      <c r="A19524" s="24"/>
      <c r="B19524" s="25"/>
      <c r="C19524" s="24"/>
      <c r="D19524" s="26"/>
      <c r="E19524" s="24"/>
      <c r="F19524" s="24"/>
      <c r="G19524" s="24"/>
      <c r="H19524" s="24"/>
      <c r="I19524" s="24"/>
      <c r="J19524" s="24"/>
      <c r="K19524" s="24"/>
      <c r="L19524" s="24"/>
      <c r="M19524" s="24"/>
      <c r="N19524" s="24"/>
      <c r="O19524" s="24"/>
      <c r="P19524" s="24"/>
      <c r="Q19524" s="24"/>
      <c r="R19524" s="24"/>
      <c r="S19524" s="24"/>
      <c r="T19524" s="24"/>
      <c r="U19524" s="24"/>
      <c r="V19524" s="24"/>
      <c r="W19524" s="24"/>
      <c r="X19524" s="24"/>
      <c r="Y19524" s="24"/>
      <c r="Z19524" s="24"/>
      <c r="AA19524" s="24"/>
    </row>
    <row r="19525">
      <c r="A19525" s="24"/>
      <c r="B19525" s="25"/>
      <c r="C19525" s="24"/>
      <c r="D19525" s="26"/>
      <c r="E19525" s="24"/>
      <c r="F19525" s="24"/>
      <c r="G19525" s="24"/>
      <c r="H19525" s="24"/>
      <c r="I19525" s="24"/>
      <c r="J19525" s="24"/>
      <c r="K19525" s="24"/>
      <c r="L19525" s="24"/>
      <c r="M19525" s="24"/>
      <c r="N19525" s="24"/>
      <c r="O19525" s="24"/>
      <c r="P19525" s="24"/>
      <c r="Q19525" s="24"/>
      <c r="R19525" s="24"/>
      <c r="S19525" s="24"/>
      <c r="T19525" s="24"/>
      <c r="U19525" s="24"/>
      <c r="V19525" s="24"/>
      <c r="W19525" s="24"/>
      <c r="X19525" s="24"/>
      <c r="Y19525" s="24"/>
      <c r="Z19525" s="24"/>
      <c r="AA19525" s="24"/>
    </row>
    <row r="19526">
      <c r="A19526" s="24"/>
      <c r="B19526" s="25"/>
      <c r="C19526" s="24"/>
      <c r="D19526" s="26"/>
      <c r="E19526" s="24"/>
      <c r="F19526" s="24"/>
      <c r="G19526" s="24"/>
      <c r="H19526" s="24"/>
      <c r="I19526" s="24"/>
      <c r="J19526" s="24"/>
      <c r="K19526" s="24"/>
      <c r="L19526" s="24"/>
      <c r="M19526" s="24"/>
      <c r="N19526" s="24"/>
      <c r="O19526" s="24"/>
      <c r="P19526" s="24"/>
      <c r="Q19526" s="24"/>
      <c r="R19526" s="24"/>
      <c r="S19526" s="24"/>
      <c r="T19526" s="24"/>
      <c r="U19526" s="24"/>
      <c r="V19526" s="24"/>
      <c r="W19526" s="24"/>
      <c r="X19526" s="24"/>
      <c r="Y19526" s="24"/>
      <c r="Z19526" s="24"/>
      <c r="AA19526" s="24"/>
    </row>
    <row r="19527">
      <c r="A19527" s="24"/>
      <c r="B19527" s="25"/>
      <c r="C19527" s="24"/>
      <c r="D19527" s="26"/>
      <c r="E19527" s="24"/>
      <c r="F19527" s="24"/>
      <c r="G19527" s="24"/>
      <c r="H19527" s="24"/>
      <c r="I19527" s="24"/>
      <c r="J19527" s="24"/>
      <c r="K19527" s="24"/>
      <c r="L19527" s="24"/>
      <c r="M19527" s="24"/>
      <c r="N19527" s="24"/>
      <c r="O19527" s="24"/>
      <c r="P19527" s="24"/>
      <c r="Q19527" s="24"/>
      <c r="R19527" s="24"/>
      <c r="S19527" s="24"/>
      <c r="T19527" s="24"/>
      <c r="U19527" s="24"/>
      <c r="V19527" s="24"/>
      <c r="W19527" s="24"/>
      <c r="X19527" s="24"/>
      <c r="Y19527" s="24"/>
      <c r="Z19527" s="24"/>
      <c r="AA19527" s="24"/>
    </row>
    <row r="19528">
      <c r="A19528" s="24"/>
      <c r="B19528" s="25"/>
      <c r="C19528" s="24"/>
      <c r="D19528" s="26"/>
      <c r="E19528" s="24"/>
      <c r="F19528" s="24"/>
      <c r="G19528" s="24"/>
      <c r="H19528" s="24"/>
      <c r="I19528" s="24"/>
      <c r="J19528" s="24"/>
      <c r="K19528" s="24"/>
      <c r="L19528" s="24"/>
      <c r="M19528" s="24"/>
      <c r="N19528" s="24"/>
      <c r="O19528" s="24"/>
      <c r="P19528" s="24"/>
      <c r="Q19528" s="24"/>
      <c r="R19528" s="24"/>
      <c r="S19528" s="24"/>
      <c r="T19528" s="24"/>
      <c r="U19528" s="24"/>
      <c r="V19528" s="24"/>
      <c r="W19528" s="24"/>
      <c r="X19528" s="24"/>
      <c r="Y19528" s="24"/>
      <c r="Z19528" s="24"/>
      <c r="AA19528" s="24"/>
    </row>
    <row r="19529">
      <c r="A19529" s="24"/>
      <c r="B19529" s="25"/>
      <c r="C19529" s="24"/>
      <c r="D19529" s="26"/>
      <c r="E19529" s="24"/>
      <c r="F19529" s="24"/>
      <c r="G19529" s="24"/>
      <c r="H19529" s="24"/>
      <c r="I19529" s="24"/>
      <c r="J19529" s="24"/>
      <c r="K19529" s="24"/>
      <c r="L19529" s="24"/>
      <c r="M19529" s="24"/>
      <c r="N19529" s="24"/>
      <c r="O19529" s="24"/>
      <c r="P19529" s="24"/>
      <c r="Q19529" s="24"/>
      <c r="R19529" s="24"/>
      <c r="S19529" s="24"/>
      <c r="T19529" s="24"/>
      <c r="U19529" s="24"/>
      <c r="V19529" s="24"/>
      <c r="W19529" s="24"/>
      <c r="X19529" s="24"/>
      <c r="Y19529" s="24"/>
      <c r="Z19529" s="24"/>
      <c r="AA19529" s="24"/>
    </row>
    <row r="19530">
      <c r="A19530" s="24"/>
      <c r="B19530" s="25"/>
      <c r="C19530" s="24"/>
      <c r="D19530" s="26"/>
      <c r="E19530" s="24"/>
      <c r="F19530" s="24"/>
      <c r="G19530" s="24"/>
      <c r="H19530" s="24"/>
      <c r="I19530" s="24"/>
      <c r="J19530" s="24"/>
      <c r="K19530" s="24"/>
      <c r="L19530" s="24"/>
      <c r="M19530" s="24"/>
      <c r="N19530" s="24"/>
      <c r="O19530" s="24"/>
      <c r="P19530" s="24"/>
      <c r="Q19530" s="24"/>
      <c r="R19530" s="24"/>
      <c r="S19530" s="24"/>
      <c r="T19530" s="24"/>
      <c r="U19530" s="24"/>
      <c r="V19530" s="24"/>
      <c r="W19530" s="24"/>
      <c r="X19530" s="24"/>
      <c r="Y19530" s="24"/>
      <c r="Z19530" s="24"/>
      <c r="AA19530" s="24"/>
    </row>
    <row r="19531">
      <c r="A19531" s="24"/>
      <c r="B19531" s="25"/>
      <c r="C19531" s="24"/>
      <c r="D19531" s="26"/>
      <c r="E19531" s="24"/>
      <c r="F19531" s="24"/>
      <c r="G19531" s="24"/>
      <c r="H19531" s="24"/>
      <c r="I19531" s="24"/>
      <c r="J19531" s="24"/>
      <c r="K19531" s="24"/>
      <c r="L19531" s="24"/>
      <c r="M19531" s="24"/>
      <c r="N19531" s="24"/>
      <c r="O19531" s="24"/>
      <c r="P19531" s="24"/>
      <c r="Q19531" s="24"/>
      <c r="R19531" s="24"/>
      <c r="S19531" s="24"/>
      <c r="T19531" s="24"/>
      <c r="U19531" s="24"/>
      <c r="V19531" s="24"/>
      <c r="W19531" s="24"/>
      <c r="X19531" s="24"/>
      <c r="Y19531" s="24"/>
      <c r="Z19531" s="24"/>
      <c r="AA19531" s="24"/>
    </row>
    <row r="19532">
      <c r="A19532" s="24"/>
      <c r="B19532" s="25"/>
      <c r="C19532" s="24"/>
      <c r="D19532" s="26"/>
      <c r="E19532" s="24"/>
      <c r="F19532" s="24"/>
      <c r="G19532" s="24"/>
      <c r="H19532" s="24"/>
      <c r="I19532" s="24"/>
      <c r="J19532" s="24"/>
      <c r="K19532" s="24"/>
      <c r="L19532" s="24"/>
      <c r="M19532" s="24"/>
      <c r="N19532" s="24"/>
      <c r="O19532" s="24"/>
      <c r="P19532" s="24"/>
      <c r="Q19532" s="24"/>
      <c r="R19532" s="24"/>
      <c r="S19532" s="24"/>
      <c r="T19532" s="24"/>
      <c r="U19532" s="24"/>
      <c r="V19532" s="24"/>
      <c r="W19532" s="24"/>
      <c r="X19532" s="24"/>
      <c r="Y19532" s="24"/>
      <c r="Z19532" s="24"/>
      <c r="AA19532" s="24"/>
    </row>
    <row r="19533">
      <c r="A19533" s="24"/>
      <c r="B19533" s="25"/>
      <c r="C19533" s="24"/>
      <c r="D19533" s="26"/>
      <c r="E19533" s="24"/>
      <c r="F19533" s="24"/>
      <c r="G19533" s="24"/>
      <c r="H19533" s="24"/>
      <c r="I19533" s="24"/>
      <c r="J19533" s="24"/>
      <c r="K19533" s="24"/>
      <c r="L19533" s="24"/>
      <c r="M19533" s="24"/>
      <c r="N19533" s="24"/>
      <c r="O19533" s="24"/>
      <c r="P19533" s="24"/>
      <c r="Q19533" s="24"/>
      <c r="R19533" s="24"/>
      <c r="S19533" s="24"/>
      <c r="T19533" s="24"/>
      <c r="U19533" s="24"/>
      <c r="V19533" s="24"/>
      <c r="W19533" s="24"/>
      <c r="X19533" s="24"/>
      <c r="Y19533" s="24"/>
      <c r="Z19533" s="24"/>
      <c r="AA19533" s="24"/>
    </row>
    <row r="19534">
      <c r="A19534" s="24"/>
      <c r="B19534" s="25"/>
      <c r="C19534" s="24"/>
      <c r="D19534" s="26"/>
      <c r="E19534" s="24"/>
      <c r="F19534" s="24"/>
      <c r="G19534" s="24"/>
      <c r="H19534" s="24"/>
      <c r="I19534" s="24"/>
      <c r="J19534" s="24"/>
      <c r="K19534" s="24"/>
      <c r="L19534" s="24"/>
      <c r="M19534" s="24"/>
      <c r="N19534" s="24"/>
      <c r="O19534" s="24"/>
      <c r="P19534" s="24"/>
      <c r="Q19534" s="24"/>
      <c r="R19534" s="24"/>
      <c r="S19534" s="24"/>
      <c r="T19534" s="24"/>
      <c r="U19534" s="24"/>
      <c r="V19534" s="24"/>
      <c r="W19534" s="24"/>
      <c r="X19534" s="24"/>
      <c r="Y19534" s="24"/>
      <c r="Z19534" s="24"/>
      <c r="AA19534" s="24"/>
    </row>
    <row r="19535">
      <c r="A19535" s="24"/>
      <c r="B19535" s="25"/>
      <c r="C19535" s="24"/>
      <c r="D19535" s="26"/>
      <c r="E19535" s="24"/>
      <c r="F19535" s="24"/>
      <c r="G19535" s="24"/>
      <c r="H19535" s="24"/>
      <c r="I19535" s="24"/>
      <c r="J19535" s="24"/>
      <c r="K19535" s="24"/>
      <c r="L19535" s="24"/>
      <c r="M19535" s="24"/>
      <c r="N19535" s="24"/>
      <c r="O19535" s="24"/>
      <c r="P19535" s="24"/>
      <c r="Q19535" s="24"/>
      <c r="R19535" s="24"/>
      <c r="S19535" s="24"/>
      <c r="T19535" s="24"/>
      <c r="U19535" s="24"/>
      <c r="V19535" s="24"/>
      <c r="W19535" s="24"/>
      <c r="X19535" s="24"/>
      <c r="Y19535" s="24"/>
      <c r="Z19535" s="24"/>
      <c r="AA19535" s="24"/>
    </row>
    <row r="19536">
      <c r="A19536" s="24"/>
      <c r="B19536" s="25"/>
      <c r="C19536" s="24"/>
      <c r="D19536" s="26"/>
      <c r="E19536" s="24"/>
      <c r="F19536" s="24"/>
      <c r="G19536" s="24"/>
      <c r="H19536" s="24"/>
      <c r="I19536" s="24"/>
      <c r="J19536" s="24"/>
      <c r="K19536" s="24"/>
      <c r="L19536" s="24"/>
      <c r="M19536" s="24"/>
      <c r="N19536" s="24"/>
      <c r="O19536" s="24"/>
      <c r="P19536" s="24"/>
      <c r="Q19536" s="24"/>
      <c r="R19536" s="24"/>
      <c r="S19536" s="24"/>
      <c r="T19536" s="24"/>
      <c r="U19536" s="24"/>
      <c r="V19536" s="24"/>
      <c r="W19536" s="24"/>
      <c r="X19536" s="24"/>
      <c r="Y19536" s="24"/>
      <c r="Z19536" s="24"/>
      <c r="AA19536" s="24"/>
    </row>
    <row r="19537">
      <c r="A19537" s="24"/>
      <c r="B19537" s="25"/>
      <c r="C19537" s="24"/>
      <c r="D19537" s="26"/>
      <c r="E19537" s="24"/>
      <c r="F19537" s="24"/>
      <c r="G19537" s="24"/>
      <c r="H19537" s="24"/>
      <c r="I19537" s="24"/>
      <c r="J19537" s="24"/>
      <c r="K19537" s="24"/>
      <c r="L19537" s="24"/>
      <c r="M19537" s="24"/>
      <c r="N19537" s="24"/>
      <c r="O19537" s="24"/>
      <c r="P19537" s="24"/>
      <c r="Q19537" s="24"/>
      <c r="R19537" s="24"/>
      <c r="S19537" s="24"/>
      <c r="T19537" s="24"/>
      <c r="U19537" s="24"/>
      <c r="V19537" s="24"/>
      <c r="W19537" s="24"/>
      <c r="X19537" s="24"/>
      <c r="Y19537" s="24"/>
      <c r="Z19537" s="24"/>
      <c r="AA19537" s="24"/>
    </row>
    <row r="19538">
      <c r="A19538" s="24"/>
      <c r="B19538" s="25"/>
      <c r="C19538" s="24"/>
      <c r="D19538" s="26"/>
      <c r="E19538" s="24"/>
      <c r="F19538" s="24"/>
      <c r="G19538" s="24"/>
      <c r="H19538" s="24"/>
      <c r="I19538" s="24"/>
      <c r="J19538" s="24"/>
      <c r="K19538" s="24"/>
      <c r="L19538" s="24"/>
      <c r="M19538" s="24"/>
      <c r="N19538" s="24"/>
      <c r="O19538" s="24"/>
      <c r="P19538" s="24"/>
      <c r="Q19538" s="24"/>
      <c r="R19538" s="24"/>
      <c r="S19538" s="24"/>
      <c r="T19538" s="24"/>
      <c r="U19538" s="24"/>
      <c r="V19538" s="24"/>
      <c r="W19538" s="24"/>
      <c r="X19538" s="24"/>
      <c r="Y19538" s="24"/>
      <c r="Z19538" s="24"/>
      <c r="AA19538" s="24"/>
    </row>
    <row r="19539">
      <c r="A19539" s="24"/>
      <c r="B19539" s="25"/>
      <c r="C19539" s="24"/>
      <c r="D19539" s="26"/>
      <c r="E19539" s="24"/>
      <c r="F19539" s="24"/>
      <c r="G19539" s="24"/>
      <c r="H19539" s="24"/>
      <c r="I19539" s="24"/>
      <c r="J19539" s="24"/>
      <c r="K19539" s="24"/>
      <c r="L19539" s="24"/>
      <c r="M19539" s="24"/>
      <c r="N19539" s="24"/>
      <c r="O19539" s="24"/>
      <c r="P19539" s="24"/>
      <c r="Q19539" s="24"/>
      <c r="R19539" s="24"/>
      <c r="S19539" s="24"/>
      <c r="T19539" s="24"/>
      <c r="U19539" s="24"/>
      <c r="V19539" s="24"/>
      <c r="W19539" s="24"/>
      <c r="X19539" s="24"/>
      <c r="Y19539" s="24"/>
      <c r="Z19539" s="24"/>
      <c r="AA19539" s="24"/>
    </row>
    <row r="19540">
      <c r="A19540" s="24"/>
      <c r="B19540" s="25"/>
      <c r="C19540" s="24"/>
      <c r="D19540" s="26"/>
      <c r="E19540" s="24"/>
      <c r="F19540" s="24"/>
      <c r="G19540" s="24"/>
      <c r="H19540" s="24"/>
      <c r="I19540" s="24"/>
      <c r="J19540" s="24"/>
      <c r="K19540" s="24"/>
      <c r="L19540" s="24"/>
      <c r="M19540" s="24"/>
      <c r="N19540" s="24"/>
      <c r="O19540" s="24"/>
      <c r="P19540" s="24"/>
      <c r="Q19540" s="24"/>
      <c r="R19540" s="24"/>
      <c r="S19540" s="24"/>
      <c r="T19540" s="24"/>
      <c r="U19540" s="24"/>
      <c r="V19540" s="24"/>
      <c r="W19540" s="24"/>
      <c r="X19540" s="24"/>
      <c r="Y19540" s="24"/>
      <c r="Z19540" s="24"/>
      <c r="AA19540" s="24"/>
    </row>
    <row r="19541">
      <c r="A19541" s="24"/>
      <c r="B19541" s="25"/>
      <c r="C19541" s="24"/>
      <c r="D19541" s="26"/>
      <c r="E19541" s="24"/>
      <c r="F19541" s="24"/>
      <c r="G19541" s="24"/>
      <c r="H19541" s="24"/>
      <c r="I19541" s="24"/>
      <c r="J19541" s="24"/>
      <c r="K19541" s="24"/>
      <c r="L19541" s="24"/>
      <c r="M19541" s="24"/>
      <c r="N19541" s="24"/>
      <c r="O19541" s="24"/>
      <c r="P19541" s="24"/>
      <c r="Q19541" s="24"/>
      <c r="R19541" s="24"/>
      <c r="S19541" s="24"/>
      <c r="T19541" s="24"/>
      <c r="U19541" s="24"/>
      <c r="V19541" s="24"/>
      <c r="W19541" s="24"/>
      <c r="X19541" s="24"/>
      <c r="Y19541" s="24"/>
      <c r="Z19541" s="24"/>
      <c r="AA19541" s="24"/>
    </row>
    <row r="19542">
      <c r="A19542" s="24"/>
      <c r="B19542" s="25"/>
      <c r="C19542" s="24"/>
      <c r="D19542" s="26"/>
      <c r="E19542" s="24"/>
      <c r="F19542" s="24"/>
      <c r="G19542" s="24"/>
      <c r="H19542" s="24"/>
      <c r="I19542" s="24"/>
      <c r="J19542" s="24"/>
      <c r="K19542" s="24"/>
      <c r="L19542" s="24"/>
      <c r="M19542" s="24"/>
      <c r="N19542" s="24"/>
      <c r="O19542" s="24"/>
      <c r="P19542" s="24"/>
      <c r="Q19542" s="24"/>
      <c r="R19542" s="24"/>
      <c r="S19542" s="24"/>
      <c r="T19542" s="24"/>
      <c r="U19542" s="24"/>
      <c r="V19542" s="24"/>
      <c r="W19542" s="24"/>
      <c r="X19542" s="24"/>
      <c r="Y19542" s="24"/>
      <c r="Z19542" s="24"/>
      <c r="AA19542" s="24"/>
    </row>
    <row r="19543">
      <c r="A19543" s="24"/>
      <c r="B19543" s="25"/>
      <c r="C19543" s="24"/>
      <c r="D19543" s="26"/>
      <c r="E19543" s="24"/>
      <c r="F19543" s="24"/>
      <c r="G19543" s="24"/>
      <c r="H19543" s="24"/>
      <c r="I19543" s="24"/>
      <c r="J19543" s="24"/>
      <c r="K19543" s="24"/>
      <c r="L19543" s="24"/>
      <c r="M19543" s="24"/>
      <c r="N19543" s="24"/>
      <c r="O19543" s="24"/>
      <c r="P19543" s="24"/>
      <c r="Q19543" s="24"/>
      <c r="R19543" s="24"/>
      <c r="S19543" s="24"/>
      <c r="T19543" s="24"/>
      <c r="U19543" s="24"/>
      <c r="V19543" s="24"/>
      <c r="W19543" s="24"/>
      <c r="X19543" s="24"/>
      <c r="Y19543" s="24"/>
      <c r="Z19543" s="24"/>
      <c r="AA19543" s="24"/>
    </row>
    <row r="19544">
      <c r="A19544" s="24"/>
      <c r="B19544" s="25"/>
      <c r="C19544" s="24"/>
      <c r="D19544" s="26"/>
      <c r="E19544" s="24"/>
      <c r="F19544" s="24"/>
      <c r="G19544" s="24"/>
      <c r="H19544" s="24"/>
      <c r="I19544" s="24"/>
      <c r="J19544" s="24"/>
      <c r="K19544" s="24"/>
      <c r="L19544" s="24"/>
      <c r="M19544" s="24"/>
      <c r="N19544" s="24"/>
      <c r="O19544" s="24"/>
      <c r="P19544" s="24"/>
      <c r="Q19544" s="24"/>
      <c r="R19544" s="24"/>
      <c r="S19544" s="24"/>
      <c r="T19544" s="24"/>
      <c r="U19544" s="24"/>
      <c r="V19544" s="24"/>
      <c r="W19544" s="24"/>
      <c r="X19544" s="24"/>
      <c r="Y19544" s="24"/>
      <c r="Z19544" s="24"/>
      <c r="AA19544" s="24"/>
    </row>
    <row r="19545">
      <c r="A19545" s="24"/>
      <c r="B19545" s="25"/>
      <c r="C19545" s="24"/>
      <c r="D19545" s="26"/>
      <c r="E19545" s="24"/>
      <c r="F19545" s="24"/>
      <c r="G19545" s="24"/>
      <c r="H19545" s="24"/>
      <c r="I19545" s="24"/>
      <c r="J19545" s="24"/>
      <c r="K19545" s="24"/>
      <c r="L19545" s="24"/>
      <c r="M19545" s="24"/>
      <c r="N19545" s="24"/>
      <c r="O19545" s="24"/>
      <c r="P19545" s="24"/>
      <c r="Q19545" s="24"/>
      <c r="R19545" s="24"/>
      <c r="S19545" s="24"/>
      <c r="T19545" s="24"/>
      <c r="U19545" s="24"/>
      <c r="V19545" s="24"/>
      <c r="W19545" s="24"/>
      <c r="X19545" s="24"/>
      <c r="Y19545" s="24"/>
      <c r="Z19545" s="24"/>
      <c r="AA19545" s="24"/>
    </row>
    <row r="19546">
      <c r="A19546" s="24"/>
      <c r="B19546" s="25"/>
      <c r="C19546" s="24"/>
      <c r="D19546" s="26"/>
      <c r="E19546" s="24"/>
      <c r="F19546" s="24"/>
      <c r="G19546" s="24"/>
      <c r="H19546" s="24"/>
      <c r="I19546" s="24"/>
      <c r="J19546" s="24"/>
      <c r="K19546" s="24"/>
      <c r="L19546" s="24"/>
      <c r="M19546" s="24"/>
      <c r="N19546" s="24"/>
      <c r="O19546" s="24"/>
      <c r="P19546" s="24"/>
      <c r="Q19546" s="24"/>
      <c r="R19546" s="24"/>
      <c r="S19546" s="24"/>
      <c r="T19546" s="24"/>
      <c r="U19546" s="24"/>
      <c r="V19546" s="24"/>
      <c r="W19546" s="24"/>
      <c r="X19546" s="24"/>
      <c r="Y19546" s="24"/>
      <c r="Z19546" s="24"/>
      <c r="AA19546" s="24"/>
    </row>
    <row r="19547">
      <c r="A19547" s="24"/>
      <c r="B19547" s="25"/>
      <c r="C19547" s="24"/>
      <c r="D19547" s="26"/>
      <c r="E19547" s="24"/>
      <c r="F19547" s="24"/>
      <c r="G19547" s="24"/>
      <c r="H19547" s="24"/>
      <c r="I19547" s="24"/>
      <c r="J19547" s="24"/>
      <c r="K19547" s="24"/>
      <c r="L19547" s="24"/>
      <c r="M19547" s="24"/>
      <c r="N19547" s="24"/>
      <c r="O19547" s="24"/>
      <c r="P19547" s="24"/>
      <c r="Q19547" s="24"/>
      <c r="R19547" s="24"/>
      <c r="S19547" s="24"/>
      <c r="T19547" s="24"/>
      <c r="U19547" s="24"/>
      <c r="V19547" s="24"/>
      <c r="W19547" s="24"/>
      <c r="X19547" s="24"/>
      <c r="Y19547" s="24"/>
      <c r="Z19547" s="24"/>
      <c r="AA19547" s="24"/>
    </row>
    <row r="19548">
      <c r="A19548" s="24"/>
      <c r="B19548" s="25"/>
      <c r="C19548" s="24"/>
      <c r="D19548" s="26"/>
      <c r="E19548" s="24"/>
      <c r="F19548" s="24"/>
      <c r="G19548" s="24"/>
      <c r="H19548" s="24"/>
      <c r="I19548" s="24"/>
      <c r="J19548" s="24"/>
      <c r="K19548" s="24"/>
      <c r="L19548" s="24"/>
      <c r="M19548" s="24"/>
      <c r="N19548" s="24"/>
      <c r="O19548" s="24"/>
      <c r="P19548" s="24"/>
      <c r="Q19548" s="24"/>
      <c r="R19548" s="24"/>
      <c r="S19548" s="24"/>
      <c r="T19548" s="24"/>
      <c r="U19548" s="24"/>
      <c r="V19548" s="24"/>
      <c r="W19548" s="24"/>
      <c r="X19548" s="24"/>
      <c r="Y19548" s="24"/>
      <c r="Z19548" s="24"/>
      <c r="AA19548" s="24"/>
    </row>
    <row r="19549">
      <c r="A19549" s="24"/>
      <c r="B19549" s="25"/>
      <c r="C19549" s="24"/>
      <c r="D19549" s="26"/>
      <c r="E19549" s="24"/>
      <c r="F19549" s="24"/>
      <c r="G19549" s="24"/>
      <c r="H19549" s="24"/>
      <c r="I19549" s="24"/>
      <c r="J19549" s="24"/>
      <c r="K19549" s="24"/>
      <c r="L19549" s="24"/>
      <c r="M19549" s="24"/>
      <c r="N19549" s="24"/>
      <c r="O19549" s="24"/>
      <c r="P19549" s="24"/>
      <c r="Q19549" s="24"/>
      <c r="R19549" s="24"/>
      <c r="S19549" s="24"/>
      <c r="T19549" s="24"/>
      <c r="U19549" s="24"/>
      <c r="V19549" s="24"/>
      <c r="W19549" s="24"/>
      <c r="X19549" s="24"/>
      <c r="Y19549" s="24"/>
      <c r="Z19549" s="24"/>
      <c r="AA19549" s="24"/>
    </row>
    <row r="19550">
      <c r="A19550" s="24"/>
      <c r="B19550" s="25"/>
      <c r="C19550" s="24"/>
      <c r="D19550" s="26"/>
      <c r="E19550" s="24"/>
      <c r="F19550" s="24"/>
      <c r="G19550" s="24"/>
      <c r="H19550" s="24"/>
      <c r="I19550" s="24"/>
      <c r="J19550" s="24"/>
      <c r="K19550" s="24"/>
      <c r="L19550" s="24"/>
      <c r="M19550" s="24"/>
      <c r="N19550" s="24"/>
      <c r="O19550" s="24"/>
      <c r="P19550" s="24"/>
      <c r="Q19550" s="24"/>
      <c r="R19550" s="24"/>
      <c r="S19550" s="24"/>
      <c r="T19550" s="24"/>
      <c r="U19550" s="24"/>
      <c r="V19550" s="24"/>
      <c r="W19550" s="24"/>
      <c r="X19550" s="24"/>
      <c r="Y19550" s="24"/>
      <c r="Z19550" s="24"/>
      <c r="AA19550" s="24"/>
    </row>
    <row r="19551">
      <c r="A19551" s="24"/>
      <c r="B19551" s="25"/>
      <c r="C19551" s="24"/>
      <c r="D19551" s="26"/>
      <c r="E19551" s="24"/>
      <c r="F19551" s="24"/>
      <c r="G19551" s="24"/>
      <c r="H19551" s="24"/>
      <c r="I19551" s="24"/>
      <c r="J19551" s="24"/>
      <c r="K19551" s="24"/>
      <c r="L19551" s="24"/>
      <c r="M19551" s="24"/>
      <c r="N19551" s="24"/>
      <c r="O19551" s="24"/>
      <c r="P19551" s="24"/>
      <c r="Q19551" s="24"/>
      <c r="R19551" s="24"/>
      <c r="S19551" s="24"/>
      <c r="T19551" s="24"/>
      <c r="U19551" s="24"/>
      <c r="V19551" s="24"/>
      <c r="W19551" s="24"/>
      <c r="X19551" s="24"/>
      <c r="Y19551" s="24"/>
      <c r="Z19551" s="24"/>
      <c r="AA19551" s="24"/>
    </row>
    <row r="19552">
      <c r="A19552" s="24"/>
      <c r="B19552" s="25"/>
      <c r="C19552" s="24"/>
      <c r="D19552" s="26"/>
      <c r="E19552" s="24"/>
      <c r="F19552" s="24"/>
      <c r="G19552" s="24"/>
      <c r="H19552" s="24"/>
      <c r="I19552" s="24"/>
      <c r="J19552" s="24"/>
      <c r="K19552" s="24"/>
      <c r="L19552" s="24"/>
      <c r="M19552" s="24"/>
      <c r="N19552" s="24"/>
      <c r="O19552" s="24"/>
      <c r="P19552" s="24"/>
      <c r="Q19552" s="24"/>
      <c r="R19552" s="24"/>
      <c r="S19552" s="24"/>
      <c r="T19552" s="24"/>
      <c r="U19552" s="24"/>
      <c r="V19552" s="24"/>
      <c r="W19552" s="24"/>
      <c r="X19552" s="24"/>
      <c r="Y19552" s="24"/>
      <c r="Z19552" s="24"/>
      <c r="AA19552" s="24"/>
    </row>
    <row r="19553">
      <c r="A19553" s="24"/>
      <c r="B19553" s="25"/>
      <c r="C19553" s="24"/>
      <c r="D19553" s="26"/>
      <c r="E19553" s="24"/>
      <c r="F19553" s="24"/>
      <c r="G19553" s="24"/>
      <c r="H19553" s="24"/>
      <c r="I19553" s="24"/>
      <c r="J19553" s="24"/>
      <c r="K19553" s="24"/>
      <c r="L19553" s="24"/>
      <c r="M19553" s="24"/>
      <c r="N19553" s="24"/>
      <c r="O19553" s="24"/>
      <c r="P19553" s="24"/>
      <c r="Q19553" s="24"/>
      <c r="R19553" s="24"/>
      <c r="S19553" s="24"/>
      <c r="T19553" s="24"/>
      <c r="U19553" s="24"/>
      <c r="V19553" s="24"/>
      <c r="W19553" s="24"/>
      <c r="X19553" s="24"/>
      <c r="Y19553" s="24"/>
      <c r="Z19553" s="24"/>
      <c r="AA19553" s="24"/>
    </row>
    <row r="19554">
      <c r="A19554" s="24"/>
      <c r="B19554" s="25"/>
      <c r="C19554" s="24"/>
      <c r="D19554" s="26"/>
      <c r="E19554" s="24"/>
      <c r="F19554" s="24"/>
      <c r="G19554" s="24"/>
      <c r="H19554" s="24"/>
      <c r="I19554" s="24"/>
      <c r="J19554" s="24"/>
      <c r="K19554" s="24"/>
      <c r="L19554" s="24"/>
      <c r="M19554" s="24"/>
      <c r="N19554" s="24"/>
      <c r="O19554" s="24"/>
      <c r="P19554" s="24"/>
      <c r="Q19554" s="24"/>
      <c r="R19554" s="24"/>
      <c r="S19554" s="24"/>
      <c r="T19554" s="24"/>
      <c r="U19554" s="24"/>
      <c r="V19554" s="24"/>
      <c r="W19554" s="24"/>
      <c r="X19554" s="24"/>
      <c r="Y19554" s="24"/>
      <c r="Z19554" s="24"/>
      <c r="AA19554" s="24"/>
    </row>
    <row r="19555">
      <c r="A19555" s="24"/>
      <c r="B19555" s="25"/>
      <c r="C19555" s="24"/>
      <c r="D19555" s="26"/>
      <c r="E19555" s="24"/>
      <c r="F19555" s="24"/>
      <c r="G19555" s="24"/>
      <c r="H19555" s="24"/>
      <c r="I19555" s="24"/>
      <c r="J19555" s="24"/>
      <c r="K19555" s="24"/>
      <c r="L19555" s="24"/>
      <c r="M19555" s="24"/>
      <c r="N19555" s="24"/>
      <c r="O19555" s="24"/>
      <c r="P19555" s="24"/>
      <c r="Q19555" s="24"/>
      <c r="R19555" s="24"/>
      <c r="S19555" s="24"/>
      <c r="T19555" s="24"/>
      <c r="U19555" s="24"/>
      <c r="V19555" s="24"/>
      <c r="W19555" s="24"/>
      <c r="X19555" s="24"/>
      <c r="Y19555" s="24"/>
      <c r="Z19555" s="24"/>
      <c r="AA19555" s="24"/>
    </row>
    <row r="19556">
      <c r="A19556" s="24"/>
      <c r="B19556" s="25"/>
      <c r="C19556" s="24"/>
      <c r="D19556" s="26"/>
      <c r="E19556" s="24"/>
      <c r="F19556" s="24"/>
      <c r="G19556" s="24"/>
      <c r="H19556" s="24"/>
      <c r="I19556" s="24"/>
      <c r="J19556" s="24"/>
      <c r="K19556" s="24"/>
      <c r="L19556" s="24"/>
      <c r="M19556" s="24"/>
      <c r="N19556" s="24"/>
      <c r="O19556" s="24"/>
      <c r="P19556" s="24"/>
      <c r="Q19556" s="24"/>
      <c r="R19556" s="24"/>
      <c r="S19556" s="24"/>
      <c r="T19556" s="24"/>
      <c r="U19556" s="24"/>
      <c r="V19556" s="24"/>
      <c r="W19556" s="24"/>
      <c r="X19556" s="24"/>
      <c r="Y19556" s="24"/>
      <c r="Z19556" s="24"/>
      <c r="AA19556" s="24"/>
    </row>
    <row r="19557">
      <c r="A19557" s="24"/>
      <c r="B19557" s="25"/>
      <c r="C19557" s="24"/>
      <c r="D19557" s="26"/>
      <c r="E19557" s="24"/>
      <c r="F19557" s="24"/>
      <c r="G19557" s="24"/>
      <c r="H19557" s="24"/>
      <c r="I19557" s="24"/>
      <c r="J19557" s="24"/>
      <c r="K19557" s="24"/>
      <c r="L19557" s="24"/>
      <c r="M19557" s="24"/>
      <c r="N19557" s="24"/>
      <c r="O19557" s="24"/>
      <c r="P19557" s="24"/>
      <c r="Q19557" s="24"/>
      <c r="R19557" s="24"/>
      <c r="S19557" s="24"/>
      <c r="T19557" s="24"/>
      <c r="U19557" s="24"/>
      <c r="V19557" s="24"/>
      <c r="W19557" s="24"/>
      <c r="X19557" s="24"/>
      <c r="Y19557" s="24"/>
      <c r="Z19557" s="24"/>
      <c r="AA19557" s="24"/>
    </row>
    <row r="19558">
      <c r="A19558" s="24"/>
      <c r="B19558" s="25"/>
      <c r="C19558" s="24"/>
      <c r="D19558" s="26"/>
      <c r="E19558" s="24"/>
      <c r="F19558" s="24"/>
      <c r="G19558" s="24"/>
      <c r="H19558" s="24"/>
      <c r="I19558" s="24"/>
      <c r="J19558" s="24"/>
      <c r="K19558" s="24"/>
      <c r="L19558" s="24"/>
      <c r="M19558" s="24"/>
      <c r="N19558" s="24"/>
      <c r="O19558" s="24"/>
      <c r="P19558" s="24"/>
      <c r="Q19558" s="24"/>
      <c r="R19558" s="24"/>
      <c r="S19558" s="24"/>
      <c r="T19558" s="24"/>
      <c r="U19558" s="24"/>
      <c r="V19558" s="24"/>
      <c r="W19558" s="24"/>
      <c r="X19558" s="24"/>
      <c r="Y19558" s="24"/>
      <c r="Z19558" s="24"/>
      <c r="AA19558" s="24"/>
    </row>
    <row r="19559">
      <c r="A19559" s="24"/>
      <c r="B19559" s="25"/>
      <c r="C19559" s="24"/>
      <c r="D19559" s="26"/>
      <c r="E19559" s="24"/>
      <c r="F19559" s="24"/>
      <c r="G19559" s="24"/>
      <c r="H19559" s="24"/>
      <c r="I19559" s="24"/>
      <c r="J19559" s="24"/>
      <c r="K19559" s="24"/>
      <c r="L19559" s="24"/>
      <c r="M19559" s="24"/>
      <c r="N19559" s="24"/>
      <c r="O19559" s="24"/>
      <c r="P19559" s="24"/>
      <c r="Q19559" s="24"/>
      <c r="R19559" s="24"/>
      <c r="S19559" s="24"/>
      <c r="T19559" s="24"/>
      <c r="U19559" s="24"/>
      <c r="V19559" s="24"/>
      <c r="W19559" s="24"/>
      <c r="X19559" s="24"/>
      <c r="Y19559" s="24"/>
      <c r="Z19559" s="24"/>
      <c r="AA19559" s="24"/>
    </row>
    <row r="19560">
      <c r="A19560" s="24"/>
      <c r="B19560" s="25"/>
      <c r="C19560" s="24"/>
      <c r="D19560" s="26"/>
      <c r="E19560" s="24"/>
      <c r="F19560" s="24"/>
      <c r="G19560" s="24"/>
      <c r="H19560" s="24"/>
      <c r="I19560" s="24"/>
      <c r="J19560" s="24"/>
      <c r="K19560" s="24"/>
      <c r="L19560" s="24"/>
      <c r="M19560" s="24"/>
      <c r="N19560" s="24"/>
      <c r="O19560" s="24"/>
      <c r="P19560" s="24"/>
      <c r="Q19560" s="24"/>
      <c r="R19560" s="24"/>
      <c r="S19560" s="24"/>
      <c r="T19560" s="24"/>
      <c r="U19560" s="24"/>
      <c r="V19560" s="24"/>
      <c r="W19560" s="24"/>
      <c r="X19560" s="24"/>
      <c r="Y19560" s="24"/>
      <c r="Z19560" s="24"/>
      <c r="AA19560" s="24"/>
    </row>
    <row r="19561">
      <c r="A19561" s="24"/>
      <c r="B19561" s="25"/>
      <c r="C19561" s="24"/>
      <c r="D19561" s="26"/>
      <c r="E19561" s="24"/>
      <c r="F19561" s="24"/>
      <c r="G19561" s="24"/>
      <c r="H19561" s="24"/>
      <c r="I19561" s="24"/>
      <c r="J19561" s="24"/>
      <c r="K19561" s="24"/>
      <c r="L19561" s="24"/>
      <c r="M19561" s="24"/>
      <c r="N19561" s="24"/>
      <c r="O19561" s="24"/>
      <c r="P19561" s="24"/>
      <c r="Q19561" s="24"/>
      <c r="R19561" s="24"/>
      <c r="S19561" s="24"/>
      <c r="T19561" s="24"/>
      <c r="U19561" s="24"/>
      <c r="V19561" s="24"/>
      <c r="W19561" s="24"/>
      <c r="X19561" s="24"/>
      <c r="Y19561" s="24"/>
      <c r="Z19561" s="24"/>
      <c r="AA19561" s="24"/>
    </row>
    <row r="19562">
      <c r="A19562" s="24"/>
      <c r="B19562" s="25"/>
      <c r="C19562" s="24"/>
      <c r="D19562" s="26"/>
      <c r="E19562" s="24"/>
      <c r="F19562" s="24"/>
      <c r="G19562" s="24"/>
      <c r="H19562" s="24"/>
      <c r="I19562" s="24"/>
      <c r="J19562" s="24"/>
      <c r="K19562" s="24"/>
      <c r="L19562" s="24"/>
      <c r="M19562" s="24"/>
      <c r="N19562" s="24"/>
      <c r="O19562" s="24"/>
      <c r="P19562" s="24"/>
      <c r="Q19562" s="24"/>
      <c r="R19562" s="24"/>
      <c r="S19562" s="24"/>
      <c r="T19562" s="24"/>
      <c r="U19562" s="24"/>
      <c r="V19562" s="24"/>
      <c r="W19562" s="24"/>
      <c r="X19562" s="24"/>
      <c r="Y19562" s="24"/>
      <c r="Z19562" s="24"/>
      <c r="AA19562" s="24"/>
    </row>
    <row r="19563">
      <c r="A19563" s="24"/>
      <c r="B19563" s="25"/>
      <c r="C19563" s="24"/>
      <c r="D19563" s="26"/>
      <c r="E19563" s="24"/>
      <c r="F19563" s="24"/>
      <c r="G19563" s="24"/>
      <c r="H19563" s="24"/>
      <c r="I19563" s="24"/>
      <c r="J19563" s="24"/>
      <c r="K19563" s="24"/>
      <c r="L19563" s="24"/>
      <c r="M19563" s="24"/>
      <c r="N19563" s="24"/>
      <c r="O19563" s="24"/>
      <c r="P19563" s="24"/>
      <c r="Q19563" s="24"/>
      <c r="R19563" s="24"/>
      <c r="S19563" s="24"/>
      <c r="T19563" s="24"/>
      <c r="U19563" s="24"/>
      <c r="V19563" s="24"/>
      <c r="W19563" s="24"/>
      <c r="X19563" s="24"/>
      <c r="Y19563" s="24"/>
      <c r="Z19563" s="24"/>
      <c r="AA19563" s="24"/>
    </row>
    <row r="19564">
      <c r="A19564" s="24"/>
      <c r="B19564" s="25"/>
      <c r="C19564" s="24"/>
      <c r="D19564" s="26"/>
      <c r="E19564" s="24"/>
      <c r="F19564" s="24"/>
      <c r="G19564" s="24"/>
      <c r="H19564" s="24"/>
      <c r="I19564" s="24"/>
      <c r="J19564" s="24"/>
      <c r="K19564" s="24"/>
      <c r="L19564" s="24"/>
      <c r="M19564" s="24"/>
      <c r="N19564" s="24"/>
      <c r="O19564" s="24"/>
      <c r="P19564" s="24"/>
      <c r="Q19564" s="24"/>
      <c r="R19564" s="24"/>
      <c r="S19564" s="24"/>
      <c r="T19564" s="24"/>
      <c r="U19564" s="24"/>
      <c r="V19564" s="24"/>
      <c r="W19564" s="24"/>
      <c r="X19564" s="24"/>
      <c r="Y19564" s="24"/>
      <c r="Z19564" s="24"/>
      <c r="AA19564" s="24"/>
    </row>
    <row r="19565">
      <c r="A19565" s="24"/>
      <c r="B19565" s="25"/>
      <c r="C19565" s="24"/>
      <c r="D19565" s="26"/>
      <c r="E19565" s="24"/>
      <c r="F19565" s="24"/>
      <c r="G19565" s="24"/>
      <c r="H19565" s="24"/>
      <c r="I19565" s="24"/>
      <c r="J19565" s="24"/>
      <c r="K19565" s="24"/>
      <c r="L19565" s="24"/>
      <c r="M19565" s="24"/>
      <c r="N19565" s="24"/>
      <c r="O19565" s="24"/>
      <c r="P19565" s="24"/>
      <c r="Q19565" s="24"/>
      <c r="R19565" s="24"/>
      <c r="S19565" s="24"/>
      <c r="T19565" s="24"/>
      <c r="U19565" s="24"/>
      <c r="V19565" s="24"/>
      <c r="W19565" s="24"/>
      <c r="X19565" s="24"/>
      <c r="Y19565" s="24"/>
      <c r="Z19565" s="24"/>
      <c r="AA19565" s="24"/>
    </row>
    <row r="19566">
      <c r="A19566" s="24"/>
      <c r="B19566" s="25"/>
      <c r="C19566" s="24"/>
      <c r="D19566" s="26"/>
      <c r="E19566" s="24"/>
      <c r="F19566" s="24"/>
      <c r="G19566" s="24"/>
      <c r="H19566" s="24"/>
      <c r="I19566" s="24"/>
      <c r="J19566" s="24"/>
      <c r="K19566" s="24"/>
      <c r="L19566" s="24"/>
      <c r="M19566" s="24"/>
      <c r="N19566" s="24"/>
      <c r="O19566" s="24"/>
      <c r="P19566" s="24"/>
      <c r="Q19566" s="24"/>
      <c r="R19566" s="24"/>
      <c r="S19566" s="24"/>
      <c r="T19566" s="24"/>
      <c r="U19566" s="24"/>
      <c r="V19566" s="24"/>
      <c r="W19566" s="24"/>
      <c r="X19566" s="24"/>
      <c r="Y19566" s="24"/>
      <c r="Z19566" s="24"/>
      <c r="AA19566" s="24"/>
    </row>
    <row r="19567">
      <c r="A19567" s="24"/>
      <c r="B19567" s="25"/>
      <c r="C19567" s="24"/>
      <c r="D19567" s="26"/>
      <c r="E19567" s="24"/>
      <c r="F19567" s="24"/>
      <c r="G19567" s="24"/>
      <c r="H19567" s="24"/>
      <c r="I19567" s="24"/>
      <c r="J19567" s="24"/>
      <c r="K19567" s="24"/>
      <c r="L19567" s="24"/>
      <c r="M19567" s="24"/>
      <c r="N19567" s="24"/>
      <c r="O19567" s="24"/>
      <c r="P19567" s="24"/>
      <c r="Q19567" s="24"/>
      <c r="R19567" s="24"/>
      <c r="S19567" s="24"/>
      <c r="T19567" s="24"/>
      <c r="U19567" s="24"/>
      <c r="V19567" s="24"/>
      <c r="W19567" s="24"/>
      <c r="X19567" s="24"/>
      <c r="Y19567" s="24"/>
      <c r="Z19567" s="24"/>
      <c r="AA19567" s="24"/>
    </row>
    <row r="19568">
      <c r="A19568" s="24"/>
      <c r="B19568" s="25"/>
      <c r="C19568" s="24"/>
      <c r="D19568" s="26"/>
      <c r="E19568" s="24"/>
      <c r="F19568" s="24"/>
      <c r="G19568" s="24"/>
      <c r="H19568" s="24"/>
      <c r="I19568" s="24"/>
      <c r="J19568" s="24"/>
      <c r="K19568" s="24"/>
      <c r="L19568" s="24"/>
      <c r="M19568" s="24"/>
      <c r="N19568" s="24"/>
      <c r="O19568" s="24"/>
      <c r="P19568" s="24"/>
      <c r="Q19568" s="24"/>
      <c r="R19568" s="24"/>
      <c r="S19568" s="24"/>
      <c r="T19568" s="24"/>
      <c r="U19568" s="24"/>
      <c r="V19568" s="24"/>
      <c r="W19568" s="24"/>
      <c r="X19568" s="24"/>
      <c r="Y19568" s="24"/>
      <c r="Z19568" s="24"/>
      <c r="AA19568" s="24"/>
    </row>
    <row r="19569">
      <c r="A19569" s="24"/>
      <c r="B19569" s="25"/>
      <c r="C19569" s="24"/>
      <c r="D19569" s="26"/>
      <c r="E19569" s="24"/>
      <c r="F19569" s="24"/>
      <c r="G19569" s="24"/>
      <c r="H19569" s="24"/>
      <c r="I19569" s="24"/>
      <c r="J19569" s="24"/>
      <c r="K19569" s="24"/>
      <c r="L19569" s="24"/>
      <c r="M19569" s="24"/>
      <c r="N19569" s="24"/>
      <c r="O19569" s="24"/>
      <c r="P19569" s="24"/>
      <c r="Q19569" s="24"/>
      <c r="R19569" s="24"/>
      <c r="S19569" s="24"/>
      <c r="T19569" s="24"/>
      <c r="U19569" s="24"/>
      <c r="V19569" s="24"/>
      <c r="W19569" s="24"/>
      <c r="X19569" s="24"/>
      <c r="Y19569" s="24"/>
      <c r="Z19569" s="24"/>
      <c r="AA19569" s="24"/>
    </row>
    <row r="19570">
      <c r="A19570" s="24"/>
      <c r="B19570" s="25"/>
      <c r="C19570" s="24"/>
      <c r="D19570" s="26"/>
      <c r="E19570" s="24"/>
      <c r="F19570" s="24"/>
      <c r="G19570" s="24"/>
      <c r="H19570" s="24"/>
      <c r="I19570" s="24"/>
      <c r="J19570" s="24"/>
      <c r="K19570" s="24"/>
      <c r="L19570" s="24"/>
      <c r="M19570" s="24"/>
      <c r="N19570" s="24"/>
      <c r="O19570" s="24"/>
      <c r="P19570" s="24"/>
      <c r="Q19570" s="24"/>
      <c r="R19570" s="24"/>
      <c r="S19570" s="24"/>
      <c r="T19570" s="24"/>
      <c r="U19570" s="24"/>
      <c r="V19570" s="24"/>
      <c r="W19570" s="24"/>
      <c r="X19570" s="24"/>
      <c r="Y19570" s="24"/>
      <c r="Z19570" s="24"/>
      <c r="AA19570" s="24"/>
    </row>
    <row r="19571">
      <c r="A19571" s="24"/>
      <c r="B19571" s="25"/>
      <c r="C19571" s="24"/>
      <c r="D19571" s="26"/>
      <c r="E19571" s="24"/>
      <c r="F19571" s="24"/>
      <c r="G19571" s="24"/>
      <c r="H19571" s="24"/>
      <c r="I19571" s="24"/>
      <c r="J19571" s="24"/>
      <c r="K19571" s="24"/>
      <c r="L19571" s="24"/>
      <c r="M19571" s="24"/>
      <c r="N19571" s="24"/>
      <c r="O19571" s="24"/>
      <c r="P19571" s="24"/>
      <c r="Q19571" s="24"/>
      <c r="R19571" s="24"/>
      <c r="S19571" s="24"/>
      <c r="T19571" s="24"/>
      <c r="U19571" s="24"/>
      <c r="V19571" s="24"/>
      <c r="W19571" s="24"/>
      <c r="X19571" s="24"/>
      <c r="Y19571" s="24"/>
      <c r="Z19571" s="24"/>
      <c r="AA19571" s="24"/>
    </row>
    <row r="19572">
      <c r="A19572" s="24"/>
      <c r="B19572" s="25"/>
      <c r="C19572" s="24"/>
      <c r="D19572" s="26"/>
      <c r="E19572" s="24"/>
      <c r="F19572" s="24"/>
      <c r="G19572" s="24"/>
      <c r="H19572" s="24"/>
      <c r="I19572" s="24"/>
      <c r="J19572" s="24"/>
      <c r="K19572" s="24"/>
      <c r="L19572" s="24"/>
      <c r="M19572" s="24"/>
      <c r="N19572" s="24"/>
      <c r="O19572" s="24"/>
      <c r="P19572" s="24"/>
      <c r="Q19572" s="24"/>
      <c r="R19572" s="24"/>
      <c r="S19572" s="24"/>
      <c r="T19572" s="24"/>
      <c r="U19572" s="24"/>
      <c r="V19572" s="24"/>
      <c r="W19572" s="24"/>
      <c r="X19572" s="24"/>
      <c r="Y19572" s="24"/>
      <c r="Z19572" s="24"/>
      <c r="AA19572" s="24"/>
    </row>
    <row r="19573">
      <c r="A19573" s="24"/>
      <c r="B19573" s="25"/>
      <c r="C19573" s="24"/>
      <c r="D19573" s="26"/>
      <c r="E19573" s="24"/>
      <c r="F19573" s="24"/>
      <c r="G19573" s="24"/>
      <c r="H19573" s="24"/>
      <c r="I19573" s="24"/>
      <c r="J19573" s="24"/>
      <c r="K19573" s="24"/>
      <c r="L19573" s="24"/>
      <c r="M19573" s="24"/>
      <c r="N19573" s="24"/>
      <c r="O19573" s="24"/>
      <c r="P19573" s="24"/>
      <c r="Q19573" s="24"/>
      <c r="R19573" s="24"/>
      <c r="S19573" s="24"/>
      <c r="T19573" s="24"/>
      <c r="U19573" s="24"/>
      <c r="V19573" s="24"/>
      <c r="W19573" s="24"/>
      <c r="X19573" s="24"/>
      <c r="Y19573" s="24"/>
      <c r="Z19573" s="24"/>
      <c r="AA19573" s="24"/>
    </row>
    <row r="19574">
      <c r="A19574" s="24"/>
      <c r="B19574" s="25"/>
      <c r="C19574" s="24"/>
      <c r="D19574" s="26"/>
      <c r="E19574" s="24"/>
      <c r="F19574" s="24"/>
      <c r="G19574" s="24"/>
      <c r="H19574" s="24"/>
      <c r="I19574" s="24"/>
      <c r="J19574" s="24"/>
      <c r="K19574" s="24"/>
      <c r="L19574" s="24"/>
      <c r="M19574" s="24"/>
      <c r="N19574" s="24"/>
      <c r="O19574" s="24"/>
      <c r="P19574" s="24"/>
      <c r="Q19574" s="24"/>
      <c r="R19574" s="24"/>
      <c r="S19574" s="24"/>
      <c r="T19574" s="24"/>
      <c r="U19574" s="24"/>
      <c r="V19574" s="24"/>
      <c r="W19574" s="24"/>
      <c r="X19574" s="24"/>
      <c r="Y19574" s="24"/>
      <c r="Z19574" s="24"/>
      <c r="AA19574" s="24"/>
    </row>
    <row r="19575">
      <c r="A19575" s="24"/>
      <c r="B19575" s="25"/>
      <c r="C19575" s="24"/>
      <c r="D19575" s="26"/>
      <c r="E19575" s="24"/>
      <c r="F19575" s="24"/>
      <c r="G19575" s="24"/>
      <c r="H19575" s="24"/>
      <c r="I19575" s="24"/>
      <c r="J19575" s="24"/>
      <c r="K19575" s="24"/>
      <c r="L19575" s="24"/>
      <c r="M19575" s="24"/>
      <c r="N19575" s="24"/>
      <c r="O19575" s="24"/>
      <c r="P19575" s="24"/>
      <c r="Q19575" s="24"/>
      <c r="R19575" s="24"/>
      <c r="S19575" s="24"/>
      <c r="T19575" s="24"/>
      <c r="U19575" s="24"/>
      <c r="V19575" s="24"/>
      <c r="W19575" s="24"/>
      <c r="X19575" s="24"/>
      <c r="Y19575" s="24"/>
      <c r="Z19575" s="24"/>
      <c r="AA19575" s="24"/>
    </row>
    <row r="19576">
      <c r="A19576" s="24"/>
      <c r="B19576" s="25"/>
      <c r="C19576" s="24"/>
      <c r="D19576" s="26"/>
      <c r="E19576" s="24"/>
      <c r="F19576" s="24"/>
      <c r="G19576" s="24"/>
      <c r="H19576" s="24"/>
      <c r="I19576" s="24"/>
      <c r="J19576" s="24"/>
      <c r="K19576" s="24"/>
      <c r="L19576" s="24"/>
      <c r="M19576" s="24"/>
      <c r="N19576" s="24"/>
      <c r="O19576" s="24"/>
      <c r="P19576" s="24"/>
      <c r="Q19576" s="24"/>
      <c r="R19576" s="24"/>
      <c r="S19576" s="24"/>
      <c r="T19576" s="24"/>
      <c r="U19576" s="24"/>
      <c r="V19576" s="24"/>
      <c r="W19576" s="24"/>
      <c r="X19576" s="24"/>
      <c r="Y19576" s="24"/>
      <c r="Z19576" s="24"/>
      <c r="AA19576" s="24"/>
    </row>
    <row r="19577">
      <c r="A19577" s="24"/>
      <c r="B19577" s="25"/>
      <c r="C19577" s="24"/>
      <c r="D19577" s="26"/>
      <c r="E19577" s="24"/>
      <c r="F19577" s="24"/>
      <c r="G19577" s="24"/>
      <c r="H19577" s="24"/>
      <c r="I19577" s="24"/>
      <c r="J19577" s="24"/>
      <c r="K19577" s="24"/>
      <c r="L19577" s="24"/>
      <c r="M19577" s="24"/>
      <c r="N19577" s="24"/>
      <c r="O19577" s="24"/>
      <c r="P19577" s="24"/>
      <c r="Q19577" s="24"/>
      <c r="R19577" s="24"/>
      <c r="S19577" s="24"/>
      <c r="T19577" s="24"/>
      <c r="U19577" s="24"/>
      <c r="V19577" s="24"/>
      <c r="W19577" s="24"/>
      <c r="X19577" s="24"/>
      <c r="Y19577" s="24"/>
      <c r="Z19577" s="24"/>
      <c r="AA19577" s="24"/>
    </row>
    <row r="19578">
      <c r="A19578" s="24"/>
      <c r="B19578" s="25"/>
      <c r="C19578" s="24"/>
      <c r="D19578" s="26"/>
      <c r="E19578" s="24"/>
      <c r="F19578" s="24"/>
      <c r="G19578" s="24"/>
      <c r="H19578" s="24"/>
      <c r="I19578" s="24"/>
      <c r="J19578" s="24"/>
      <c r="K19578" s="24"/>
      <c r="L19578" s="24"/>
      <c r="M19578" s="24"/>
      <c r="N19578" s="24"/>
      <c r="O19578" s="24"/>
      <c r="P19578" s="24"/>
      <c r="Q19578" s="24"/>
      <c r="R19578" s="24"/>
      <c r="S19578" s="24"/>
      <c r="T19578" s="24"/>
      <c r="U19578" s="24"/>
      <c r="V19578" s="24"/>
      <c r="W19578" s="24"/>
      <c r="X19578" s="24"/>
      <c r="Y19578" s="24"/>
      <c r="Z19578" s="24"/>
      <c r="AA19578" s="24"/>
    </row>
    <row r="19579">
      <c r="A19579" s="24"/>
      <c r="B19579" s="25"/>
      <c r="C19579" s="24"/>
      <c r="D19579" s="26"/>
      <c r="E19579" s="24"/>
      <c r="F19579" s="24"/>
      <c r="G19579" s="24"/>
      <c r="H19579" s="24"/>
      <c r="I19579" s="24"/>
      <c r="J19579" s="24"/>
      <c r="K19579" s="24"/>
      <c r="L19579" s="24"/>
      <c r="M19579" s="24"/>
      <c r="N19579" s="24"/>
      <c r="O19579" s="24"/>
      <c r="P19579" s="24"/>
      <c r="Q19579" s="24"/>
      <c r="R19579" s="24"/>
      <c r="S19579" s="24"/>
      <c r="T19579" s="24"/>
      <c r="U19579" s="24"/>
      <c r="V19579" s="24"/>
      <c r="W19579" s="24"/>
      <c r="X19579" s="24"/>
      <c r="Y19579" s="24"/>
      <c r="Z19579" s="24"/>
      <c r="AA19579" s="24"/>
    </row>
    <row r="19580">
      <c r="A19580" s="24"/>
      <c r="B19580" s="25"/>
      <c r="C19580" s="24"/>
      <c r="D19580" s="26"/>
      <c r="E19580" s="24"/>
      <c r="F19580" s="24"/>
      <c r="G19580" s="24"/>
      <c r="H19580" s="24"/>
      <c r="I19580" s="24"/>
      <c r="J19580" s="24"/>
      <c r="K19580" s="24"/>
      <c r="L19580" s="24"/>
      <c r="M19580" s="24"/>
      <c r="N19580" s="24"/>
      <c r="O19580" s="24"/>
      <c r="P19580" s="24"/>
      <c r="Q19580" s="24"/>
      <c r="R19580" s="24"/>
      <c r="S19580" s="24"/>
      <c r="T19580" s="24"/>
      <c r="U19580" s="24"/>
      <c r="V19580" s="24"/>
      <c r="W19580" s="24"/>
      <c r="X19580" s="24"/>
      <c r="Y19580" s="24"/>
      <c r="Z19580" s="24"/>
      <c r="AA19580" s="24"/>
    </row>
    <row r="19581">
      <c r="A19581" s="24"/>
      <c r="B19581" s="25"/>
      <c r="C19581" s="24"/>
      <c r="D19581" s="26"/>
      <c r="E19581" s="24"/>
      <c r="F19581" s="24"/>
      <c r="G19581" s="24"/>
      <c r="H19581" s="24"/>
      <c r="I19581" s="24"/>
      <c r="J19581" s="24"/>
      <c r="K19581" s="24"/>
      <c r="L19581" s="24"/>
      <c r="M19581" s="24"/>
      <c r="N19581" s="24"/>
      <c r="O19581" s="24"/>
      <c r="P19581" s="24"/>
      <c r="Q19581" s="24"/>
      <c r="R19581" s="24"/>
      <c r="S19581" s="24"/>
      <c r="T19581" s="24"/>
      <c r="U19581" s="24"/>
      <c r="V19581" s="24"/>
      <c r="W19581" s="24"/>
      <c r="X19581" s="24"/>
      <c r="Y19581" s="24"/>
      <c r="Z19581" s="24"/>
      <c r="AA19581" s="24"/>
    </row>
    <row r="19582">
      <c r="A19582" s="24"/>
      <c r="B19582" s="25"/>
      <c r="C19582" s="24"/>
      <c r="D19582" s="26"/>
      <c r="E19582" s="24"/>
      <c r="F19582" s="24"/>
      <c r="G19582" s="24"/>
      <c r="H19582" s="24"/>
      <c r="I19582" s="24"/>
      <c r="J19582" s="24"/>
      <c r="K19582" s="24"/>
      <c r="L19582" s="24"/>
      <c r="M19582" s="24"/>
      <c r="N19582" s="24"/>
      <c r="O19582" s="24"/>
      <c r="P19582" s="24"/>
      <c r="Q19582" s="24"/>
      <c r="R19582" s="24"/>
      <c r="S19582" s="24"/>
      <c r="T19582" s="24"/>
      <c r="U19582" s="24"/>
      <c r="V19582" s="24"/>
      <c r="W19582" s="24"/>
      <c r="X19582" s="24"/>
      <c r="Y19582" s="24"/>
      <c r="Z19582" s="24"/>
      <c r="AA19582" s="24"/>
    </row>
    <row r="19583">
      <c r="A19583" s="24"/>
      <c r="B19583" s="25"/>
      <c r="C19583" s="24"/>
      <c r="D19583" s="26"/>
      <c r="E19583" s="24"/>
      <c r="F19583" s="24"/>
      <c r="G19583" s="24"/>
      <c r="H19583" s="24"/>
      <c r="I19583" s="24"/>
      <c r="J19583" s="24"/>
      <c r="K19583" s="24"/>
      <c r="L19583" s="24"/>
      <c r="M19583" s="24"/>
      <c r="N19583" s="24"/>
      <c r="O19583" s="24"/>
      <c r="P19583" s="24"/>
      <c r="Q19583" s="24"/>
      <c r="R19583" s="24"/>
      <c r="S19583" s="24"/>
      <c r="T19583" s="24"/>
      <c r="U19583" s="24"/>
      <c r="V19583" s="24"/>
      <c r="W19583" s="24"/>
      <c r="X19583" s="24"/>
      <c r="Y19583" s="24"/>
      <c r="Z19583" s="24"/>
      <c r="AA19583" s="24"/>
    </row>
    <row r="19584">
      <c r="A19584" s="24"/>
      <c r="B19584" s="25"/>
      <c r="C19584" s="24"/>
      <c r="D19584" s="26"/>
      <c r="E19584" s="24"/>
      <c r="F19584" s="24"/>
      <c r="G19584" s="24"/>
      <c r="H19584" s="24"/>
      <c r="I19584" s="24"/>
      <c r="J19584" s="24"/>
      <c r="K19584" s="24"/>
      <c r="L19584" s="24"/>
      <c r="M19584" s="24"/>
      <c r="N19584" s="24"/>
      <c r="O19584" s="24"/>
      <c r="P19584" s="24"/>
      <c r="Q19584" s="24"/>
      <c r="R19584" s="24"/>
      <c r="S19584" s="24"/>
      <c r="T19584" s="24"/>
      <c r="U19584" s="24"/>
      <c r="V19584" s="24"/>
      <c r="W19584" s="24"/>
      <c r="X19584" s="24"/>
      <c r="Y19584" s="24"/>
      <c r="Z19584" s="24"/>
      <c r="AA19584" s="24"/>
    </row>
    <row r="19585">
      <c r="A19585" s="24"/>
      <c r="B19585" s="25"/>
      <c r="C19585" s="24"/>
      <c r="D19585" s="26"/>
      <c r="E19585" s="24"/>
      <c r="F19585" s="24"/>
      <c r="G19585" s="24"/>
      <c r="H19585" s="24"/>
      <c r="I19585" s="24"/>
      <c r="J19585" s="24"/>
      <c r="K19585" s="24"/>
      <c r="L19585" s="24"/>
      <c r="M19585" s="24"/>
      <c r="N19585" s="24"/>
      <c r="O19585" s="24"/>
      <c r="P19585" s="24"/>
      <c r="Q19585" s="24"/>
      <c r="R19585" s="24"/>
      <c r="S19585" s="24"/>
      <c r="T19585" s="24"/>
      <c r="U19585" s="24"/>
      <c r="V19585" s="24"/>
      <c r="W19585" s="24"/>
      <c r="X19585" s="24"/>
      <c r="Y19585" s="24"/>
      <c r="Z19585" s="24"/>
      <c r="AA19585" s="24"/>
    </row>
    <row r="19586">
      <c r="A19586" s="24"/>
      <c r="B19586" s="25"/>
      <c r="C19586" s="24"/>
      <c r="D19586" s="26"/>
      <c r="E19586" s="24"/>
      <c r="F19586" s="24"/>
      <c r="G19586" s="24"/>
      <c r="H19586" s="24"/>
      <c r="I19586" s="24"/>
      <c r="J19586" s="24"/>
      <c r="K19586" s="24"/>
      <c r="L19586" s="24"/>
      <c r="M19586" s="24"/>
      <c r="N19586" s="24"/>
      <c r="O19586" s="24"/>
      <c r="P19586" s="24"/>
      <c r="Q19586" s="24"/>
      <c r="R19586" s="24"/>
      <c r="S19586" s="24"/>
      <c r="T19586" s="24"/>
      <c r="U19586" s="24"/>
      <c r="V19586" s="24"/>
      <c r="W19586" s="24"/>
      <c r="X19586" s="24"/>
      <c r="Y19586" s="24"/>
      <c r="Z19586" s="24"/>
      <c r="AA19586" s="24"/>
    </row>
    <row r="19587">
      <c r="A19587" s="24"/>
      <c r="B19587" s="25"/>
      <c r="C19587" s="24"/>
      <c r="D19587" s="26"/>
      <c r="E19587" s="24"/>
      <c r="F19587" s="24"/>
      <c r="G19587" s="24"/>
      <c r="H19587" s="24"/>
      <c r="I19587" s="24"/>
      <c r="J19587" s="24"/>
      <c r="K19587" s="24"/>
      <c r="L19587" s="24"/>
      <c r="M19587" s="24"/>
      <c r="N19587" s="24"/>
      <c r="O19587" s="24"/>
      <c r="P19587" s="24"/>
      <c r="Q19587" s="24"/>
      <c r="R19587" s="24"/>
      <c r="S19587" s="24"/>
      <c r="T19587" s="24"/>
      <c r="U19587" s="24"/>
      <c r="V19587" s="24"/>
      <c r="W19587" s="24"/>
      <c r="X19587" s="24"/>
      <c r="Y19587" s="24"/>
      <c r="Z19587" s="24"/>
      <c r="AA19587" s="24"/>
    </row>
    <row r="19588">
      <c r="A19588" s="24"/>
      <c r="B19588" s="25"/>
      <c r="C19588" s="24"/>
      <c r="D19588" s="26"/>
      <c r="E19588" s="24"/>
      <c r="F19588" s="24"/>
      <c r="G19588" s="24"/>
      <c r="H19588" s="24"/>
      <c r="I19588" s="24"/>
      <c r="J19588" s="24"/>
      <c r="K19588" s="24"/>
      <c r="L19588" s="24"/>
      <c r="M19588" s="24"/>
      <c r="N19588" s="24"/>
      <c r="O19588" s="24"/>
      <c r="P19588" s="24"/>
      <c r="Q19588" s="24"/>
      <c r="R19588" s="24"/>
      <c r="S19588" s="24"/>
      <c r="T19588" s="24"/>
      <c r="U19588" s="24"/>
      <c r="V19588" s="24"/>
      <c r="W19588" s="24"/>
      <c r="X19588" s="24"/>
      <c r="Y19588" s="24"/>
      <c r="Z19588" s="24"/>
      <c r="AA19588" s="24"/>
    </row>
    <row r="19589">
      <c r="A19589" s="24"/>
      <c r="B19589" s="25"/>
      <c r="C19589" s="24"/>
      <c r="D19589" s="26"/>
      <c r="E19589" s="24"/>
      <c r="F19589" s="24"/>
      <c r="G19589" s="24"/>
      <c r="H19589" s="24"/>
      <c r="I19589" s="24"/>
      <c r="J19589" s="24"/>
      <c r="K19589" s="24"/>
      <c r="L19589" s="24"/>
      <c r="M19589" s="24"/>
      <c r="N19589" s="24"/>
      <c r="O19589" s="24"/>
      <c r="P19589" s="24"/>
      <c r="Q19589" s="24"/>
      <c r="R19589" s="24"/>
      <c r="S19589" s="24"/>
      <c r="T19589" s="24"/>
      <c r="U19589" s="24"/>
      <c r="V19589" s="24"/>
      <c r="W19589" s="24"/>
      <c r="X19589" s="24"/>
      <c r="Y19589" s="24"/>
      <c r="Z19589" s="24"/>
      <c r="AA19589" s="24"/>
    </row>
    <row r="19590">
      <c r="A19590" s="24"/>
      <c r="B19590" s="25"/>
      <c r="C19590" s="24"/>
      <c r="D19590" s="26"/>
      <c r="E19590" s="24"/>
      <c r="F19590" s="24"/>
      <c r="G19590" s="24"/>
      <c r="H19590" s="24"/>
      <c r="I19590" s="24"/>
      <c r="J19590" s="24"/>
      <c r="K19590" s="24"/>
      <c r="L19590" s="24"/>
      <c r="M19590" s="24"/>
      <c r="N19590" s="24"/>
      <c r="O19590" s="24"/>
      <c r="P19590" s="24"/>
      <c r="Q19590" s="24"/>
      <c r="R19590" s="24"/>
      <c r="S19590" s="24"/>
      <c r="T19590" s="24"/>
      <c r="U19590" s="24"/>
      <c r="V19590" s="24"/>
      <c r="W19590" s="24"/>
      <c r="X19590" s="24"/>
      <c r="Y19590" s="24"/>
      <c r="Z19590" s="24"/>
      <c r="AA19590" s="24"/>
    </row>
    <row r="19591">
      <c r="A19591" s="24"/>
      <c r="B19591" s="25"/>
      <c r="C19591" s="24"/>
      <c r="D19591" s="26"/>
      <c r="E19591" s="24"/>
      <c r="F19591" s="24"/>
      <c r="G19591" s="24"/>
      <c r="H19591" s="24"/>
      <c r="I19591" s="24"/>
      <c r="J19591" s="24"/>
      <c r="K19591" s="24"/>
      <c r="L19591" s="24"/>
      <c r="M19591" s="24"/>
      <c r="N19591" s="24"/>
      <c r="O19591" s="24"/>
      <c r="P19591" s="24"/>
      <c r="Q19591" s="24"/>
      <c r="R19591" s="24"/>
      <c r="S19591" s="24"/>
      <c r="T19591" s="24"/>
      <c r="U19591" s="24"/>
      <c r="V19591" s="24"/>
      <c r="W19591" s="24"/>
      <c r="X19591" s="24"/>
      <c r="Y19591" s="24"/>
      <c r="Z19591" s="24"/>
      <c r="AA19591" s="24"/>
    </row>
    <row r="19592">
      <c r="A19592" s="24"/>
      <c r="B19592" s="25"/>
      <c r="C19592" s="24"/>
      <c r="D19592" s="26"/>
      <c r="E19592" s="24"/>
      <c r="F19592" s="24"/>
      <c r="G19592" s="24"/>
      <c r="H19592" s="24"/>
      <c r="I19592" s="24"/>
      <c r="J19592" s="24"/>
      <c r="K19592" s="24"/>
      <c r="L19592" s="24"/>
      <c r="M19592" s="24"/>
      <c r="N19592" s="24"/>
      <c r="O19592" s="24"/>
      <c r="P19592" s="24"/>
      <c r="Q19592" s="24"/>
      <c r="R19592" s="24"/>
      <c r="S19592" s="24"/>
      <c r="T19592" s="24"/>
      <c r="U19592" s="24"/>
      <c r="V19592" s="24"/>
      <c r="W19592" s="24"/>
      <c r="X19592" s="24"/>
      <c r="Y19592" s="24"/>
      <c r="Z19592" s="24"/>
      <c r="AA19592" s="24"/>
    </row>
    <row r="19593">
      <c r="A19593" s="24"/>
      <c r="B19593" s="25"/>
      <c r="C19593" s="24"/>
      <c r="D19593" s="26"/>
      <c r="E19593" s="24"/>
      <c r="F19593" s="24"/>
      <c r="G19593" s="24"/>
      <c r="H19593" s="24"/>
      <c r="I19593" s="24"/>
      <c r="J19593" s="24"/>
      <c r="K19593" s="24"/>
      <c r="L19593" s="24"/>
      <c r="M19593" s="24"/>
      <c r="N19593" s="24"/>
      <c r="O19593" s="24"/>
      <c r="P19593" s="24"/>
      <c r="Q19593" s="24"/>
      <c r="R19593" s="24"/>
      <c r="S19593" s="24"/>
      <c r="T19593" s="24"/>
      <c r="U19593" s="24"/>
      <c r="V19593" s="24"/>
      <c r="W19593" s="24"/>
      <c r="X19593" s="24"/>
      <c r="Y19593" s="24"/>
      <c r="Z19593" s="24"/>
      <c r="AA19593" s="24"/>
    </row>
    <row r="19594">
      <c r="A19594" s="24"/>
      <c r="B19594" s="25"/>
      <c r="C19594" s="24"/>
      <c r="D19594" s="26"/>
      <c r="E19594" s="24"/>
      <c r="F19594" s="24"/>
      <c r="G19594" s="24"/>
      <c r="H19594" s="24"/>
      <c r="I19594" s="24"/>
      <c r="J19594" s="24"/>
      <c r="K19594" s="24"/>
      <c r="L19594" s="24"/>
      <c r="M19594" s="24"/>
      <c r="N19594" s="24"/>
      <c r="O19594" s="24"/>
      <c r="P19594" s="24"/>
      <c r="Q19594" s="24"/>
      <c r="R19594" s="24"/>
      <c r="S19594" s="24"/>
      <c r="T19594" s="24"/>
      <c r="U19594" s="24"/>
      <c r="V19594" s="24"/>
      <c r="W19594" s="24"/>
      <c r="X19594" s="24"/>
      <c r="Y19594" s="24"/>
      <c r="Z19594" s="24"/>
      <c r="AA19594" s="24"/>
    </row>
    <row r="19595">
      <c r="A19595" s="24"/>
      <c r="B19595" s="25"/>
      <c r="C19595" s="24"/>
      <c r="D19595" s="26"/>
      <c r="E19595" s="24"/>
      <c r="F19595" s="24"/>
      <c r="G19595" s="24"/>
      <c r="H19595" s="24"/>
      <c r="I19595" s="24"/>
      <c r="J19595" s="24"/>
      <c r="K19595" s="24"/>
      <c r="L19595" s="24"/>
      <c r="M19595" s="24"/>
      <c r="N19595" s="24"/>
      <c r="O19595" s="24"/>
      <c r="P19595" s="24"/>
      <c r="Q19595" s="24"/>
      <c r="R19595" s="24"/>
      <c r="S19595" s="24"/>
      <c r="T19595" s="24"/>
      <c r="U19595" s="24"/>
      <c r="V19595" s="24"/>
      <c r="W19595" s="24"/>
      <c r="X19595" s="24"/>
      <c r="Y19595" s="24"/>
      <c r="Z19595" s="24"/>
      <c r="AA19595" s="24"/>
    </row>
    <row r="19596">
      <c r="A19596" s="24"/>
      <c r="B19596" s="25"/>
      <c r="C19596" s="24"/>
      <c r="D19596" s="26"/>
      <c r="E19596" s="24"/>
      <c r="F19596" s="24"/>
      <c r="G19596" s="24"/>
      <c r="H19596" s="24"/>
      <c r="I19596" s="24"/>
      <c r="J19596" s="24"/>
      <c r="K19596" s="24"/>
      <c r="L19596" s="24"/>
      <c r="M19596" s="24"/>
      <c r="N19596" s="24"/>
      <c r="O19596" s="24"/>
      <c r="P19596" s="24"/>
      <c r="Q19596" s="24"/>
      <c r="R19596" s="24"/>
      <c r="S19596" s="24"/>
      <c r="T19596" s="24"/>
      <c r="U19596" s="24"/>
      <c r="V19596" s="24"/>
      <c r="W19596" s="24"/>
      <c r="X19596" s="24"/>
      <c r="Y19596" s="24"/>
      <c r="Z19596" s="24"/>
      <c r="AA19596" s="24"/>
    </row>
    <row r="19597">
      <c r="A19597" s="24"/>
      <c r="B19597" s="25"/>
      <c r="C19597" s="24"/>
      <c r="D19597" s="26"/>
      <c r="E19597" s="24"/>
      <c r="F19597" s="24"/>
      <c r="G19597" s="24"/>
      <c r="H19597" s="24"/>
      <c r="I19597" s="24"/>
      <c r="J19597" s="24"/>
      <c r="K19597" s="24"/>
      <c r="L19597" s="24"/>
      <c r="M19597" s="24"/>
      <c r="N19597" s="24"/>
      <c r="O19597" s="24"/>
      <c r="P19597" s="24"/>
      <c r="Q19597" s="24"/>
      <c r="R19597" s="24"/>
      <c r="S19597" s="24"/>
      <c r="T19597" s="24"/>
      <c r="U19597" s="24"/>
      <c r="V19597" s="24"/>
      <c r="W19597" s="24"/>
      <c r="X19597" s="24"/>
      <c r="Y19597" s="24"/>
      <c r="Z19597" s="24"/>
      <c r="AA19597" s="24"/>
    </row>
    <row r="19598">
      <c r="A19598" s="24"/>
      <c r="B19598" s="25"/>
      <c r="C19598" s="24"/>
      <c r="D19598" s="26"/>
      <c r="E19598" s="24"/>
      <c r="F19598" s="24"/>
      <c r="G19598" s="24"/>
      <c r="H19598" s="24"/>
      <c r="I19598" s="24"/>
      <c r="J19598" s="24"/>
      <c r="K19598" s="24"/>
      <c r="L19598" s="24"/>
      <c r="M19598" s="24"/>
      <c r="N19598" s="24"/>
      <c r="O19598" s="24"/>
      <c r="P19598" s="24"/>
      <c r="Q19598" s="24"/>
      <c r="R19598" s="24"/>
      <c r="S19598" s="24"/>
      <c r="T19598" s="24"/>
      <c r="U19598" s="24"/>
      <c r="V19598" s="24"/>
      <c r="W19598" s="24"/>
      <c r="X19598" s="24"/>
      <c r="Y19598" s="24"/>
      <c r="Z19598" s="24"/>
      <c r="AA19598" s="24"/>
    </row>
    <row r="19599">
      <c r="A19599" s="24"/>
      <c r="B19599" s="25"/>
      <c r="C19599" s="24"/>
      <c r="D19599" s="26"/>
      <c r="E19599" s="24"/>
      <c r="F19599" s="24"/>
      <c r="G19599" s="24"/>
      <c r="H19599" s="24"/>
      <c r="I19599" s="24"/>
      <c r="J19599" s="24"/>
      <c r="K19599" s="24"/>
      <c r="L19599" s="24"/>
      <c r="M19599" s="24"/>
      <c r="N19599" s="24"/>
      <c r="O19599" s="24"/>
      <c r="P19599" s="24"/>
      <c r="Q19599" s="24"/>
      <c r="R19599" s="24"/>
      <c r="S19599" s="24"/>
      <c r="T19599" s="24"/>
      <c r="U19599" s="24"/>
      <c r="V19599" s="24"/>
      <c r="W19599" s="24"/>
      <c r="X19599" s="24"/>
      <c r="Y19599" s="24"/>
      <c r="Z19599" s="24"/>
      <c r="AA19599" s="24"/>
    </row>
    <row r="19600">
      <c r="A19600" s="24"/>
      <c r="B19600" s="25"/>
      <c r="C19600" s="24"/>
      <c r="D19600" s="26"/>
      <c r="E19600" s="24"/>
      <c r="F19600" s="24"/>
      <c r="G19600" s="24"/>
      <c r="H19600" s="24"/>
      <c r="I19600" s="24"/>
      <c r="J19600" s="24"/>
      <c r="K19600" s="24"/>
      <c r="L19600" s="24"/>
      <c r="M19600" s="24"/>
      <c r="N19600" s="24"/>
      <c r="O19600" s="24"/>
      <c r="P19600" s="24"/>
      <c r="Q19600" s="24"/>
      <c r="R19600" s="24"/>
      <c r="S19600" s="24"/>
      <c r="T19600" s="24"/>
      <c r="U19600" s="24"/>
      <c r="V19600" s="24"/>
      <c r="W19600" s="24"/>
      <c r="X19600" s="24"/>
      <c r="Y19600" s="24"/>
      <c r="Z19600" s="24"/>
      <c r="AA19600" s="24"/>
    </row>
    <row r="19601">
      <c r="A19601" s="24"/>
      <c r="B19601" s="25"/>
      <c r="C19601" s="24"/>
      <c r="D19601" s="26"/>
      <c r="E19601" s="24"/>
      <c r="F19601" s="24"/>
      <c r="G19601" s="24"/>
      <c r="H19601" s="24"/>
      <c r="I19601" s="24"/>
      <c r="J19601" s="24"/>
      <c r="K19601" s="24"/>
      <c r="L19601" s="24"/>
      <c r="M19601" s="24"/>
      <c r="N19601" s="24"/>
      <c r="O19601" s="24"/>
      <c r="P19601" s="24"/>
      <c r="Q19601" s="24"/>
      <c r="R19601" s="24"/>
      <c r="S19601" s="24"/>
      <c r="T19601" s="24"/>
      <c r="U19601" s="24"/>
      <c r="V19601" s="24"/>
      <c r="W19601" s="24"/>
      <c r="X19601" s="24"/>
      <c r="Y19601" s="24"/>
      <c r="Z19601" s="24"/>
      <c r="AA19601" s="24"/>
    </row>
    <row r="19602">
      <c r="A19602" s="24"/>
      <c r="B19602" s="25"/>
      <c r="C19602" s="24"/>
      <c r="D19602" s="26"/>
      <c r="E19602" s="24"/>
      <c r="F19602" s="24"/>
      <c r="G19602" s="24"/>
      <c r="H19602" s="24"/>
      <c r="I19602" s="24"/>
      <c r="J19602" s="24"/>
      <c r="K19602" s="24"/>
      <c r="L19602" s="24"/>
      <c r="M19602" s="24"/>
      <c r="N19602" s="24"/>
      <c r="O19602" s="24"/>
      <c r="P19602" s="24"/>
      <c r="Q19602" s="24"/>
      <c r="R19602" s="24"/>
      <c r="S19602" s="24"/>
      <c r="T19602" s="24"/>
      <c r="U19602" s="24"/>
      <c r="V19602" s="24"/>
      <c r="W19602" s="24"/>
      <c r="X19602" s="24"/>
      <c r="Y19602" s="24"/>
      <c r="Z19602" s="24"/>
      <c r="AA19602" s="24"/>
    </row>
    <row r="19603">
      <c r="A19603" s="24"/>
      <c r="B19603" s="25"/>
      <c r="C19603" s="24"/>
      <c r="D19603" s="26"/>
      <c r="E19603" s="24"/>
      <c r="F19603" s="24"/>
      <c r="G19603" s="24"/>
      <c r="H19603" s="24"/>
      <c r="I19603" s="24"/>
      <c r="J19603" s="24"/>
      <c r="K19603" s="24"/>
      <c r="L19603" s="24"/>
      <c r="M19603" s="24"/>
      <c r="N19603" s="24"/>
      <c r="O19603" s="24"/>
      <c r="P19603" s="24"/>
      <c r="Q19603" s="24"/>
      <c r="R19603" s="24"/>
      <c r="S19603" s="24"/>
      <c r="T19603" s="24"/>
      <c r="U19603" s="24"/>
      <c r="V19603" s="24"/>
      <c r="W19603" s="24"/>
      <c r="X19603" s="24"/>
      <c r="Y19603" s="24"/>
      <c r="Z19603" s="24"/>
      <c r="AA19603" s="24"/>
    </row>
    <row r="19604">
      <c r="A19604" s="24"/>
      <c r="B19604" s="25"/>
      <c r="C19604" s="24"/>
      <c r="D19604" s="26"/>
      <c r="E19604" s="24"/>
      <c r="F19604" s="24"/>
      <c r="G19604" s="24"/>
      <c r="H19604" s="24"/>
      <c r="I19604" s="24"/>
      <c r="J19604" s="24"/>
      <c r="K19604" s="24"/>
      <c r="L19604" s="24"/>
      <c r="M19604" s="24"/>
      <c r="N19604" s="24"/>
      <c r="O19604" s="24"/>
      <c r="P19604" s="24"/>
      <c r="Q19604" s="24"/>
      <c r="R19604" s="24"/>
      <c r="S19604" s="24"/>
      <c r="T19604" s="24"/>
      <c r="U19604" s="24"/>
      <c r="V19604" s="24"/>
      <c r="W19604" s="24"/>
      <c r="X19604" s="24"/>
      <c r="Y19604" s="24"/>
      <c r="Z19604" s="24"/>
      <c r="AA19604" s="24"/>
    </row>
    <row r="19605">
      <c r="A19605" s="24"/>
      <c r="B19605" s="25"/>
      <c r="C19605" s="24"/>
      <c r="D19605" s="26"/>
      <c r="E19605" s="24"/>
      <c r="F19605" s="24"/>
      <c r="G19605" s="24"/>
      <c r="H19605" s="24"/>
      <c r="I19605" s="24"/>
      <c r="J19605" s="24"/>
      <c r="K19605" s="24"/>
      <c r="L19605" s="24"/>
      <c r="M19605" s="24"/>
      <c r="N19605" s="24"/>
      <c r="O19605" s="24"/>
      <c r="P19605" s="24"/>
      <c r="Q19605" s="24"/>
      <c r="R19605" s="24"/>
      <c r="S19605" s="24"/>
      <c r="T19605" s="24"/>
      <c r="U19605" s="24"/>
      <c r="V19605" s="24"/>
      <c r="W19605" s="24"/>
      <c r="X19605" s="24"/>
      <c r="Y19605" s="24"/>
      <c r="Z19605" s="24"/>
      <c r="AA19605" s="24"/>
    </row>
    <row r="19606">
      <c r="A19606" s="24"/>
      <c r="B19606" s="25"/>
      <c r="C19606" s="24"/>
      <c r="D19606" s="26"/>
      <c r="E19606" s="24"/>
      <c r="F19606" s="24"/>
      <c r="G19606" s="24"/>
      <c r="H19606" s="24"/>
      <c r="I19606" s="24"/>
      <c r="J19606" s="24"/>
      <c r="K19606" s="24"/>
      <c r="L19606" s="24"/>
      <c r="M19606" s="24"/>
      <c r="N19606" s="24"/>
      <c r="O19606" s="24"/>
      <c r="P19606" s="24"/>
      <c r="Q19606" s="24"/>
      <c r="R19606" s="24"/>
      <c r="S19606" s="24"/>
      <c r="T19606" s="24"/>
      <c r="U19606" s="24"/>
      <c r="V19606" s="24"/>
      <c r="W19606" s="24"/>
      <c r="X19606" s="24"/>
      <c r="Y19606" s="24"/>
      <c r="Z19606" s="24"/>
      <c r="AA19606" s="24"/>
    </row>
    <row r="19607">
      <c r="A19607" s="24"/>
      <c r="B19607" s="25"/>
      <c r="C19607" s="24"/>
      <c r="D19607" s="26"/>
      <c r="E19607" s="24"/>
      <c r="F19607" s="24"/>
      <c r="G19607" s="24"/>
      <c r="H19607" s="24"/>
      <c r="I19607" s="24"/>
      <c r="J19607" s="24"/>
      <c r="K19607" s="24"/>
      <c r="L19607" s="24"/>
      <c r="M19607" s="24"/>
      <c r="N19607" s="24"/>
      <c r="O19607" s="24"/>
      <c r="P19607" s="24"/>
      <c r="Q19607" s="24"/>
      <c r="R19607" s="24"/>
      <c r="S19607" s="24"/>
      <c r="T19607" s="24"/>
      <c r="U19607" s="24"/>
      <c r="V19607" s="24"/>
      <c r="W19607" s="24"/>
      <c r="X19607" s="24"/>
      <c r="Y19607" s="24"/>
      <c r="Z19607" s="24"/>
      <c r="AA19607" s="24"/>
    </row>
    <row r="19608">
      <c r="A19608" s="24"/>
      <c r="B19608" s="25"/>
      <c r="C19608" s="24"/>
      <c r="D19608" s="26"/>
      <c r="E19608" s="24"/>
      <c r="F19608" s="24"/>
      <c r="G19608" s="24"/>
      <c r="H19608" s="24"/>
      <c r="I19608" s="24"/>
      <c r="J19608" s="24"/>
      <c r="K19608" s="24"/>
      <c r="L19608" s="24"/>
      <c r="M19608" s="24"/>
      <c r="N19608" s="24"/>
      <c r="O19608" s="24"/>
      <c r="P19608" s="24"/>
      <c r="Q19608" s="24"/>
      <c r="R19608" s="24"/>
      <c r="S19608" s="24"/>
      <c r="T19608" s="24"/>
      <c r="U19608" s="24"/>
      <c r="V19608" s="24"/>
      <c r="W19608" s="24"/>
      <c r="X19608" s="24"/>
      <c r="Y19608" s="24"/>
      <c r="Z19608" s="24"/>
      <c r="AA19608" s="24"/>
    </row>
    <row r="19609">
      <c r="A19609" s="24"/>
      <c r="B19609" s="25"/>
      <c r="C19609" s="24"/>
      <c r="D19609" s="26"/>
      <c r="E19609" s="24"/>
      <c r="F19609" s="24"/>
      <c r="G19609" s="24"/>
      <c r="H19609" s="24"/>
      <c r="I19609" s="24"/>
      <c r="J19609" s="24"/>
      <c r="K19609" s="24"/>
      <c r="L19609" s="24"/>
      <c r="M19609" s="24"/>
      <c r="N19609" s="24"/>
      <c r="O19609" s="24"/>
      <c r="P19609" s="24"/>
      <c r="Q19609" s="24"/>
      <c r="R19609" s="24"/>
      <c r="S19609" s="24"/>
      <c r="T19609" s="24"/>
      <c r="U19609" s="24"/>
      <c r="V19609" s="24"/>
      <c r="W19609" s="24"/>
      <c r="X19609" s="24"/>
      <c r="Y19609" s="24"/>
      <c r="Z19609" s="24"/>
      <c r="AA19609" s="24"/>
    </row>
    <row r="19610">
      <c r="A19610" s="24"/>
      <c r="B19610" s="25"/>
      <c r="C19610" s="24"/>
      <c r="D19610" s="26"/>
      <c r="E19610" s="24"/>
      <c r="F19610" s="24"/>
      <c r="G19610" s="24"/>
      <c r="H19610" s="24"/>
      <c r="I19610" s="24"/>
      <c r="J19610" s="24"/>
      <c r="K19610" s="24"/>
      <c r="L19610" s="24"/>
      <c r="M19610" s="24"/>
      <c r="N19610" s="24"/>
      <c r="O19610" s="24"/>
      <c r="P19610" s="24"/>
      <c r="Q19610" s="24"/>
      <c r="R19610" s="24"/>
      <c r="S19610" s="24"/>
      <c r="T19610" s="24"/>
      <c r="U19610" s="24"/>
      <c r="V19610" s="24"/>
      <c r="W19610" s="24"/>
      <c r="X19610" s="24"/>
      <c r="Y19610" s="24"/>
      <c r="Z19610" s="24"/>
      <c r="AA19610" s="24"/>
    </row>
    <row r="19611">
      <c r="A19611" s="24"/>
      <c r="B19611" s="25"/>
      <c r="C19611" s="24"/>
      <c r="D19611" s="26"/>
      <c r="E19611" s="24"/>
      <c r="F19611" s="24"/>
      <c r="G19611" s="24"/>
      <c r="H19611" s="24"/>
      <c r="I19611" s="24"/>
      <c r="J19611" s="24"/>
      <c r="K19611" s="24"/>
      <c r="L19611" s="24"/>
      <c r="M19611" s="24"/>
      <c r="N19611" s="24"/>
      <c r="O19611" s="24"/>
      <c r="P19611" s="24"/>
      <c r="Q19611" s="24"/>
      <c r="R19611" s="24"/>
      <c r="S19611" s="24"/>
      <c r="T19611" s="24"/>
      <c r="U19611" s="24"/>
      <c r="V19611" s="24"/>
      <c r="W19611" s="24"/>
      <c r="X19611" s="24"/>
      <c r="Y19611" s="24"/>
      <c r="Z19611" s="24"/>
      <c r="AA19611" s="24"/>
    </row>
    <row r="19612">
      <c r="A19612" s="24"/>
      <c r="B19612" s="25"/>
      <c r="C19612" s="24"/>
      <c r="D19612" s="26"/>
      <c r="E19612" s="24"/>
      <c r="F19612" s="24"/>
      <c r="G19612" s="24"/>
      <c r="H19612" s="24"/>
      <c r="I19612" s="24"/>
      <c r="J19612" s="24"/>
      <c r="K19612" s="24"/>
      <c r="L19612" s="24"/>
      <c r="M19612" s="24"/>
      <c r="N19612" s="24"/>
      <c r="O19612" s="24"/>
      <c r="P19612" s="24"/>
      <c r="Q19612" s="24"/>
      <c r="R19612" s="24"/>
      <c r="S19612" s="24"/>
      <c r="T19612" s="24"/>
      <c r="U19612" s="24"/>
      <c r="V19612" s="24"/>
      <c r="W19612" s="24"/>
      <c r="X19612" s="24"/>
      <c r="Y19612" s="24"/>
      <c r="Z19612" s="24"/>
      <c r="AA19612" s="24"/>
    </row>
    <row r="19613">
      <c r="A19613" s="24"/>
      <c r="B19613" s="25"/>
      <c r="C19613" s="24"/>
      <c r="D19613" s="26"/>
      <c r="E19613" s="24"/>
      <c r="F19613" s="24"/>
      <c r="G19613" s="24"/>
      <c r="H19613" s="24"/>
      <c r="I19613" s="24"/>
      <c r="J19613" s="24"/>
      <c r="K19613" s="24"/>
      <c r="L19613" s="24"/>
      <c r="M19613" s="24"/>
      <c r="N19613" s="24"/>
      <c r="O19613" s="24"/>
      <c r="P19613" s="24"/>
      <c r="Q19613" s="24"/>
      <c r="R19613" s="24"/>
      <c r="S19613" s="24"/>
      <c r="T19613" s="24"/>
      <c r="U19613" s="24"/>
      <c r="V19613" s="24"/>
      <c r="W19613" s="24"/>
      <c r="X19613" s="24"/>
      <c r="Y19613" s="24"/>
      <c r="Z19613" s="24"/>
      <c r="AA19613" s="24"/>
    </row>
    <row r="19614">
      <c r="A19614" s="24"/>
      <c r="B19614" s="25"/>
      <c r="C19614" s="24"/>
      <c r="D19614" s="26"/>
      <c r="E19614" s="24"/>
      <c r="F19614" s="24"/>
      <c r="G19614" s="24"/>
      <c r="H19614" s="24"/>
      <c r="I19614" s="24"/>
      <c r="J19614" s="24"/>
      <c r="K19614" s="24"/>
      <c r="L19614" s="24"/>
      <c r="M19614" s="24"/>
      <c r="N19614" s="24"/>
      <c r="O19614" s="24"/>
      <c r="P19614" s="24"/>
      <c r="Q19614" s="24"/>
      <c r="R19614" s="24"/>
      <c r="S19614" s="24"/>
      <c r="T19614" s="24"/>
      <c r="U19614" s="24"/>
      <c r="V19614" s="24"/>
      <c r="W19614" s="24"/>
      <c r="X19614" s="24"/>
      <c r="Y19614" s="24"/>
      <c r="Z19614" s="24"/>
      <c r="AA19614" s="24"/>
    </row>
    <row r="19615">
      <c r="A19615" s="24"/>
      <c r="B19615" s="25"/>
      <c r="C19615" s="24"/>
      <c r="D19615" s="26"/>
      <c r="E19615" s="24"/>
      <c r="F19615" s="24"/>
      <c r="G19615" s="24"/>
      <c r="H19615" s="24"/>
      <c r="I19615" s="24"/>
      <c r="J19615" s="24"/>
      <c r="K19615" s="24"/>
      <c r="L19615" s="24"/>
      <c r="M19615" s="24"/>
      <c r="N19615" s="24"/>
      <c r="O19615" s="24"/>
      <c r="P19615" s="24"/>
      <c r="Q19615" s="24"/>
      <c r="R19615" s="24"/>
      <c r="S19615" s="24"/>
      <c r="T19615" s="24"/>
      <c r="U19615" s="24"/>
      <c r="V19615" s="24"/>
      <c r="W19615" s="24"/>
      <c r="X19615" s="24"/>
      <c r="Y19615" s="24"/>
      <c r="Z19615" s="24"/>
      <c r="AA19615" s="24"/>
    </row>
    <row r="19616">
      <c r="A19616" s="24"/>
      <c r="B19616" s="25"/>
      <c r="C19616" s="24"/>
      <c r="D19616" s="26"/>
      <c r="E19616" s="24"/>
      <c r="F19616" s="24"/>
      <c r="G19616" s="24"/>
      <c r="H19616" s="24"/>
      <c r="I19616" s="24"/>
      <c r="J19616" s="24"/>
      <c r="K19616" s="24"/>
      <c r="L19616" s="24"/>
      <c r="M19616" s="24"/>
      <c r="N19616" s="24"/>
      <c r="O19616" s="24"/>
      <c r="P19616" s="24"/>
      <c r="Q19616" s="24"/>
      <c r="R19616" s="24"/>
      <c r="S19616" s="24"/>
      <c r="T19616" s="24"/>
      <c r="U19616" s="24"/>
      <c r="V19616" s="24"/>
      <c r="W19616" s="24"/>
      <c r="X19616" s="24"/>
      <c r="Y19616" s="24"/>
      <c r="Z19616" s="24"/>
      <c r="AA19616" s="24"/>
    </row>
    <row r="19617">
      <c r="A19617" s="24"/>
      <c r="B19617" s="25"/>
      <c r="C19617" s="24"/>
      <c r="D19617" s="26"/>
      <c r="E19617" s="24"/>
      <c r="F19617" s="24"/>
      <c r="G19617" s="24"/>
      <c r="H19617" s="24"/>
      <c r="I19617" s="24"/>
      <c r="J19617" s="24"/>
      <c r="K19617" s="24"/>
      <c r="L19617" s="24"/>
      <c r="M19617" s="24"/>
      <c r="N19617" s="24"/>
      <c r="O19617" s="24"/>
      <c r="P19617" s="24"/>
      <c r="Q19617" s="24"/>
      <c r="R19617" s="24"/>
      <c r="S19617" s="24"/>
      <c r="T19617" s="24"/>
      <c r="U19617" s="24"/>
      <c r="V19617" s="24"/>
      <c r="W19617" s="24"/>
      <c r="X19617" s="24"/>
      <c r="Y19617" s="24"/>
      <c r="Z19617" s="24"/>
      <c r="AA19617" s="24"/>
    </row>
    <row r="19618">
      <c r="A19618" s="24"/>
      <c r="B19618" s="25"/>
      <c r="C19618" s="24"/>
      <c r="D19618" s="26"/>
      <c r="E19618" s="24"/>
      <c r="F19618" s="24"/>
      <c r="G19618" s="24"/>
      <c r="H19618" s="24"/>
      <c r="I19618" s="24"/>
      <c r="J19618" s="24"/>
      <c r="K19618" s="24"/>
      <c r="L19618" s="24"/>
      <c r="M19618" s="24"/>
      <c r="N19618" s="24"/>
      <c r="O19618" s="24"/>
      <c r="P19618" s="24"/>
      <c r="Q19618" s="24"/>
      <c r="R19618" s="24"/>
      <c r="S19618" s="24"/>
      <c r="T19618" s="24"/>
      <c r="U19618" s="24"/>
      <c r="V19618" s="24"/>
      <c r="W19618" s="24"/>
      <c r="X19618" s="24"/>
      <c r="Y19618" s="24"/>
      <c r="Z19618" s="24"/>
      <c r="AA19618" s="24"/>
    </row>
    <row r="19619">
      <c r="A19619" s="24"/>
      <c r="B19619" s="25"/>
      <c r="C19619" s="24"/>
      <c r="D19619" s="26"/>
      <c r="E19619" s="24"/>
      <c r="F19619" s="24"/>
      <c r="G19619" s="24"/>
      <c r="H19619" s="24"/>
      <c r="I19619" s="24"/>
      <c r="J19619" s="24"/>
      <c r="K19619" s="24"/>
      <c r="L19619" s="24"/>
      <c r="M19619" s="24"/>
      <c r="N19619" s="24"/>
      <c r="O19619" s="24"/>
      <c r="P19619" s="24"/>
      <c r="Q19619" s="24"/>
      <c r="R19619" s="24"/>
      <c r="S19619" s="24"/>
      <c r="T19619" s="24"/>
      <c r="U19619" s="24"/>
      <c r="V19619" s="24"/>
      <c r="W19619" s="24"/>
      <c r="X19619" s="24"/>
      <c r="Y19619" s="24"/>
      <c r="Z19619" s="24"/>
      <c r="AA19619" s="24"/>
    </row>
    <row r="19620">
      <c r="A19620" s="24"/>
      <c r="B19620" s="25"/>
      <c r="C19620" s="24"/>
      <c r="D19620" s="26"/>
      <c r="E19620" s="24"/>
      <c r="F19620" s="24"/>
      <c r="G19620" s="24"/>
      <c r="H19620" s="24"/>
      <c r="I19620" s="24"/>
      <c r="J19620" s="24"/>
      <c r="K19620" s="24"/>
      <c r="L19620" s="24"/>
      <c r="M19620" s="24"/>
      <c r="N19620" s="24"/>
      <c r="O19620" s="24"/>
      <c r="P19620" s="24"/>
      <c r="Q19620" s="24"/>
      <c r="R19620" s="24"/>
      <c r="S19620" s="24"/>
      <c r="T19620" s="24"/>
      <c r="U19620" s="24"/>
      <c r="V19620" s="24"/>
      <c r="W19620" s="24"/>
      <c r="X19620" s="24"/>
      <c r="Y19620" s="24"/>
      <c r="Z19620" s="24"/>
      <c r="AA19620" s="24"/>
    </row>
    <row r="19621">
      <c r="A19621" s="24"/>
      <c r="B19621" s="25"/>
      <c r="C19621" s="24"/>
      <c r="D19621" s="26"/>
      <c r="E19621" s="24"/>
      <c r="F19621" s="24"/>
      <c r="G19621" s="24"/>
      <c r="H19621" s="24"/>
      <c r="I19621" s="24"/>
      <c r="J19621" s="24"/>
      <c r="K19621" s="24"/>
      <c r="L19621" s="24"/>
      <c r="M19621" s="24"/>
      <c r="N19621" s="24"/>
      <c r="O19621" s="24"/>
      <c r="P19621" s="24"/>
      <c r="Q19621" s="24"/>
      <c r="R19621" s="24"/>
      <c r="S19621" s="24"/>
      <c r="T19621" s="24"/>
      <c r="U19621" s="24"/>
      <c r="V19621" s="24"/>
      <c r="W19621" s="24"/>
      <c r="X19621" s="24"/>
      <c r="Y19621" s="24"/>
      <c r="Z19621" s="24"/>
      <c r="AA19621" s="24"/>
    </row>
    <row r="19622">
      <c r="A19622" s="24"/>
      <c r="B19622" s="25"/>
      <c r="C19622" s="24"/>
      <c r="D19622" s="26"/>
      <c r="E19622" s="24"/>
      <c r="F19622" s="24"/>
      <c r="G19622" s="24"/>
      <c r="H19622" s="24"/>
      <c r="I19622" s="24"/>
      <c r="J19622" s="24"/>
      <c r="K19622" s="24"/>
      <c r="L19622" s="24"/>
      <c r="M19622" s="24"/>
      <c r="N19622" s="24"/>
      <c r="O19622" s="24"/>
      <c r="P19622" s="24"/>
      <c r="Q19622" s="24"/>
      <c r="R19622" s="24"/>
      <c r="S19622" s="24"/>
      <c r="T19622" s="24"/>
      <c r="U19622" s="24"/>
      <c r="V19622" s="24"/>
      <c r="W19622" s="24"/>
      <c r="X19622" s="24"/>
      <c r="Y19622" s="24"/>
      <c r="Z19622" s="24"/>
      <c r="AA19622" s="24"/>
    </row>
    <row r="19623">
      <c r="A19623" s="24"/>
      <c r="B19623" s="25"/>
      <c r="C19623" s="24"/>
      <c r="D19623" s="26"/>
      <c r="E19623" s="24"/>
      <c r="F19623" s="24"/>
      <c r="G19623" s="24"/>
      <c r="H19623" s="24"/>
      <c r="I19623" s="24"/>
      <c r="J19623" s="24"/>
      <c r="K19623" s="24"/>
      <c r="L19623" s="24"/>
      <c r="M19623" s="24"/>
      <c r="N19623" s="24"/>
      <c r="O19623" s="24"/>
      <c r="P19623" s="24"/>
      <c r="Q19623" s="24"/>
      <c r="R19623" s="24"/>
      <c r="S19623" s="24"/>
      <c r="T19623" s="24"/>
      <c r="U19623" s="24"/>
      <c r="V19623" s="24"/>
      <c r="W19623" s="24"/>
      <c r="X19623" s="24"/>
      <c r="Y19623" s="24"/>
      <c r="Z19623" s="24"/>
      <c r="AA19623" s="24"/>
    </row>
    <row r="19624">
      <c r="A19624" s="24"/>
      <c r="B19624" s="25"/>
      <c r="C19624" s="24"/>
      <c r="D19624" s="26"/>
      <c r="E19624" s="24"/>
      <c r="F19624" s="24"/>
      <c r="G19624" s="24"/>
      <c r="H19624" s="24"/>
      <c r="I19624" s="24"/>
      <c r="J19624" s="24"/>
      <c r="K19624" s="24"/>
      <c r="L19624" s="24"/>
      <c r="M19624" s="24"/>
      <c r="N19624" s="24"/>
      <c r="O19624" s="24"/>
      <c r="P19624" s="24"/>
      <c r="Q19624" s="24"/>
      <c r="R19624" s="24"/>
      <c r="S19624" s="24"/>
      <c r="T19624" s="24"/>
      <c r="U19624" s="24"/>
      <c r="V19624" s="24"/>
      <c r="W19624" s="24"/>
      <c r="X19624" s="24"/>
      <c r="Y19624" s="24"/>
      <c r="Z19624" s="24"/>
      <c r="AA19624" s="24"/>
    </row>
    <row r="19625">
      <c r="A19625" s="24"/>
      <c r="B19625" s="25"/>
      <c r="C19625" s="24"/>
      <c r="D19625" s="26"/>
      <c r="E19625" s="24"/>
      <c r="F19625" s="24"/>
      <c r="G19625" s="24"/>
      <c r="H19625" s="24"/>
      <c r="I19625" s="24"/>
      <c r="J19625" s="24"/>
      <c r="K19625" s="24"/>
      <c r="L19625" s="24"/>
      <c r="M19625" s="24"/>
      <c r="N19625" s="24"/>
      <c r="O19625" s="24"/>
      <c r="P19625" s="24"/>
      <c r="Q19625" s="24"/>
      <c r="R19625" s="24"/>
      <c r="S19625" s="24"/>
      <c r="T19625" s="24"/>
      <c r="U19625" s="24"/>
      <c r="V19625" s="24"/>
      <c r="W19625" s="24"/>
      <c r="X19625" s="24"/>
      <c r="Y19625" s="24"/>
      <c r="Z19625" s="24"/>
      <c r="AA19625" s="24"/>
    </row>
    <row r="19626">
      <c r="A19626" s="24"/>
      <c r="B19626" s="25"/>
      <c r="C19626" s="24"/>
      <c r="D19626" s="26"/>
      <c r="E19626" s="24"/>
      <c r="F19626" s="24"/>
      <c r="G19626" s="24"/>
      <c r="H19626" s="24"/>
      <c r="I19626" s="24"/>
      <c r="J19626" s="24"/>
      <c r="K19626" s="24"/>
      <c r="L19626" s="24"/>
      <c r="M19626" s="24"/>
      <c r="N19626" s="24"/>
      <c r="O19626" s="24"/>
      <c r="P19626" s="24"/>
      <c r="Q19626" s="24"/>
      <c r="R19626" s="24"/>
      <c r="S19626" s="24"/>
      <c r="T19626" s="24"/>
      <c r="U19626" s="24"/>
      <c r="V19626" s="24"/>
      <c r="W19626" s="24"/>
      <c r="X19626" s="24"/>
      <c r="Y19626" s="24"/>
      <c r="Z19626" s="24"/>
      <c r="AA19626" s="24"/>
    </row>
    <row r="19627">
      <c r="A19627" s="24"/>
      <c r="B19627" s="25"/>
      <c r="C19627" s="24"/>
      <c r="D19627" s="26"/>
      <c r="E19627" s="24"/>
      <c r="F19627" s="24"/>
      <c r="G19627" s="24"/>
      <c r="H19627" s="24"/>
      <c r="I19627" s="24"/>
      <c r="J19627" s="24"/>
      <c r="K19627" s="24"/>
      <c r="L19627" s="24"/>
      <c r="M19627" s="24"/>
      <c r="N19627" s="24"/>
      <c r="O19627" s="24"/>
      <c r="P19627" s="24"/>
      <c r="Q19627" s="24"/>
      <c r="R19627" s="24"/>
      <c r="S19627" s="24"/>
      <c r="T19627" s="24"/>
      <c r="U19627" s="24"/>
      <c r="V19627" s="24"/>
      <c r="W19627" s="24"/>
      <c r="X19627" s="24"/>
      <c r="Y19627" s="24"/>
      <c r="Z19627" s="24"/>
      <c r="AA19627" s="24"/>
    </row>
    <row r="19628">
      <c r="A19628" s="24"/>
      <c r="B19628" s="25"/>
      <c r="C19628" s="24"/>
      <c r="D19628" s="26"/>
      <c r="E19628" s="24"/>
      <c r="F19628" s="24"/>
      <c r="G19628" s="24"/>
      <c r="H19628" s="24"/>
      <c r="I19628" s="24"/>
      <c r="J19628" s="24"/>
      <c r="K19628" s="24"/>
      <c r="L19628" s="24"/>
      <c r="M19628" s="24"/>
      <c r="N19628" s="24"/>
      <c r="O19628" s="24"/>
      <c r="P19628" s="24"/>
      <c r="Q19628" s="24"/>
      <c r="R19628" s="24"/>
      <c r="S19628" s="24"/>
      <c r="T19628" s="24"/>
      <c r="U19628" s="24"/>
      <c r="V19628" s="24"/>
      <c r="W19628" s="24"/>
      <c r="X19628" s="24"/>
      <c r="Y19628" s="24"/>
      <c r="Z19628" s="24"/>
      <c r="AA19628" s="24"/>
    </row>
    <row r="19629">
      <c r="A19629" s="24"/>
      <c r="B19629" s="25"/>
      <c r="C19629" s="24"/>
      <c r="D19629" s="26"/>
      <c r="E19629" s="24"/>
      <c r="F19629" s="24"/>
      <c r="G19629" s="24"/>
      <c r="H19629" s="24"/>
      <c r="I19629" s="24"/>
      <c r="J19629" s="24"/>
      <c r="K19629" s="24"/>
      <c r="L19629" s="24"/>
      <c r="M19629" s="24"/>
      <c r="N19629" s="24"/>
      <c r="O19629" s="24"/>
      <c r="P19629" s="24"/>
      <c r="Q19629" s="24"/>
      <c r="R19629" s="24"/>
      <c r="S19629" s="24"/>
      <c r="T19629" s="24"/>
      <c r="U19629" s="24"/>
      <c r="V19629" s="24"/>
      <c r="W19629" s="24"/>
      <c r="X19629" s="24"/>
      <c r="Y19629" s="24"/>
      <c r="Z19629" s="24"/>
      <c r="AA19629" s="24"/>
    </row>
    <row r="19630">
      <c r="A19630" s="24"/>
      <c r="B19630" s="25"/>
      <c r="C19630" s="24"/>
      <c r="D19630" s="26"/>
      <c r="E19630" s="24"/>
      <c r="F19630" s="24"/>
      <c r="G19630" s="24"/>
      <c r="H19630" s="24"/>
      <c r="I19630" s="24"/>
      <c r="J19630" s="24"/>
      <c r="K19630" s="24"/>
      <c r="L19630" s="24"/>
      <c r="M19630" s="24"/>
      <c r="N19630" s="24"/>
      <c r="O19630" s="24"/>
      <c r="P19630" s="24"/>
      <c r="Q19630" s="24"/>
      <c r="R19630" s="24"/>
      <c r="S19630" s="24"/>
      <c r="T19630" s="24"/>
      <c r="U19630" s="24"/>
      <c r="V19630" s="24"/>
      <c r="W19630" s="24"/>
      <c r="X19630" s="24"/>
      <c r="Y19630" s="24"/>
      <c r="Z19630" s="24"/>
      <c r="AA19630" s="24"/>
    </row>
    <row r="19631">
      <c r="A19631" s="24"/>
      <c r="B19631" s="25"/>
      <c r="C19631" s="24"/>
      <c r="D19631" s="26"/>
      <c r="E19631" s="24"/>
      <c r="F19631" s="24"/>
      <c r="G19631" s="24"/>
      <c r="H19631" s="24"/>
      <c r="I19631" s="24"/>
      <c r="J19631" s="24"/>
      <c r="K19631" s="24"/>
      <c r="L19631" s="24"/>
      <c r="M19631" s="24"/>
      <c r="N19631" s="24"/>
      <c r="O19631" s="24"/>
      <c r="P19631" s="24"/>
      <c r="Q19631" s="24"/>
      <c r="R19631" s="24"/>
      <c r="S19631" s="24"/>
      <c r="T19631" s="24"/>
      <c r="U19631" s="24"/>
      <c r="V19631" s="24"/>
      <c r="W19631" s="24"/>
      <c r="X19631" s="24"/>
      <c r="Y19631" s="24"/>
      <c r="Z19631" s="24"/>
      <c r="AA19631" s="24"/>
    </row>
    <row r="19632">
      <c r="A19632" s="24"/>
      <c r="B19632" s="25"/>
      <c r="C19632" s="24"/>
      <c r="D19632" s="26"/>
      <c r="E19632" s="24"/>
      <c r="F19632" s="24"/>
      <c r="G19632" s="24"/>
      <c r="H19632" s="24"/>
      <c r="I19632" s="24"/>
      <c r="J19632" s="24"/>
      <c r="K19632" s="24"/>
      <c r="L19632" s="24"/>
      <c r="M19632" s="24"/>
      <c r="N19632" s="24"/>
      <c r="O19632" s="24"/>
      <c r="P19632" s="24"/>
      <c r="Q19632" s="24"/>
      <c r="R19632" s="24"/>
      <c r="S19632" s="24"/>
      <c r="T19632" s="24"/>
      <c r="U19632" s="24"/>
      <c r="V19632" s="24"/>
      <c r="W19632" s="24"/>
      <c r="X19632" s="24"/>
      <c r="Y19632" s="24"/>
      <c r="Z19632" s="24"/>
      <c r="AA19632" s="24"/>
    </row>
    <row r="19633">
      <c r="A19633" s="24"/>
      <c r="B19633" s="25"/>
      <c r="C19633" s="24"/>
      <c r="D19633" s="26"/>
      <c r="E19633" s="24"/>
      <c r="F19633" s="24"/>
      <c r="G19633" s="24"/>
      <c r="H19633" s="24"/>
      <c r="I19633" s="24"/>
      <c r="J19633" s="24"/>
      <c r="K19633" s="24"/>
      <c r="L19633" s="24"/>
      <c r="M19633" s="24"/>
      <c r="N19633" s="24"/>
      <c r="O19633" s="24"/>
      <c r="P19633" s="24"/>
      <c r="Q19633" s="24"/>
      <c r="R19633" s="24"/>
      <c r="S19633" s="24"/>
      <c r="T19633" s="24"/>
      <c r="U19633" s="24"/>
      <c r="V19633" s="24"/>
      <c r="W19633" s="24"/>
      <c r="X19633" s="24"/>
      <c r="Y19633" s="24"/>
      <c r="Z19633" s="24"/>
      <c r="AA19633" s="24"/>
    </row>
    <row r="19634">
      <c r="A19634" s="24"/>
      <c r="B19634" s="25"/>
      <c r="C19634" s="24"/>
      <c r="D19634" s="26"/>
      <c r="E19634" s="24"/>
      <c r="F19634" s="24"/>
      <c r="G19634" s="24"/>
      <c r="H19634" s="24"/>
      <c r="I19634" s="24"/>
      <c r="J19634" s="24"/>
      <c r="K19634" s="24"/>
      <c r="L19634" s="24"/>
      <c r="M19634" s="24"/>
      <c r="N19634" s="24"/>
      <c r="O19634" s="24"/>
      <c r="P19634" s="24"/>
      <c r="Q19634" s="24"/>
      <c r="R19634" s="24"/>
      <c r="S19634" s="24"/>
      <c r="T19634" s="24"/>
      <c r="U19634" s="24"/>
      <c r="V19634" s="24"/>
      <c r="W19634" s="24"/>
      <c r="X19634" s="24"/>
      <c r="Y19634" s="24"/>
      <c r="Z19634" s="24"/>
      <c r="AA19634" s="24"/>
    </row>
    <row r="19635">
      <c r="A19635" s="24"/>
      <c r="B19635" s="25"/>
      <c r="C19635" s="24"/>
      <c r="D19635" s="26"/>
      <c r="E19635" s="24"/>
      <c r="F19635" s="24"/>
      <c r="G19635" s="24"/>
      <c r="H19635" s="24"/>
      <c r="I19635" s="24"/>
      <c r="J19635" s="24"/>
      <c r="K19635" s="24"/>
      <c r="L19635" s="24"/>
      <c r="M19635" s="24"/>
      <c r="N19635" s="24"/>
      <c r="O19635" s="24"/>
      <c r="P19635" s="24"/>
      <c r="Q19635" s="24"/>
      <c r="R19635" s="24"/>
      <c r="S19635" s="24"/>
      <c r="T19635" s="24"/>
      <c r="U19635" s="24"/>
      <c r="V19635" s="24"/>
      <c r="W19635" s="24"/>
      <c r="X19635" s="24"/>
      <c r="Y19635" s="24"/>
      <c r="Z19635" s="24"/>
      <c r="AA19635" s="24"/>
    </row>
    <row r="19636">
      <c r="A19636" s="24"/>
      <c r="B19636" s="25"/>
      <c r="C19636" s="24"/>
      <c r="D19636" s="26"/>
      <c r="E19636" s="24"/>
      <c r="F19636" s="24"/>
      <c r="G19636" s="24"/>
      <c r="H19636" s="24"/>
      <c r="I19636" s="24"/>
      <c r="J19636" s="24"/>
      <c r="K19636" s="24"/>
      <c r="L19636" s="24"/>
      <c r="M19636" s="24"/>
      <c r="N19636" s="24"/>
      <c r="O19636" s="24"/>
      <c r="P19636" s="24"/>
      <c r="Q19636" s="24"/>
      <c r="R19636" s="24"/>
      <c r="S19636" s="24"/>
      <c r="T19636" s="24"/>
      <c r="U19636" s="24"/>
      <c r="V19636" s="24"/>
      <c r="W19636" s="24"/>
      <c r="X19636" s="24"/>
      <c r="Y19636" s="24"/>
      <c r="Z19636" s="24"/>
      <c r="AA19636" s="24"/>
    </row>
    <row r="19637">
      <c r="A19637" s="24"/>
      <c r="B19637" s="25"/>
      <c r="C19637" s="24"/>
      <c r="D19637" s="26"/>
      <c r="E19637" s="24"/>
      <c r="F19637" s="24"/>
      <c r="G19637" s="24"/>
      <c r="H19637" s="24"/>
      <c r="I19637" s="24"/>
      <c r="J19637" s="24"/>
      <c r="K19637" s="24"/>
      <c r="L19637" s="24"/>
      <c r="M19637" s="24"/>
      <c r="N19637" s="24"/>
      <c r="O19637" s="24"/>
      <c r="P19637" s="24"/>
      <c r="Q19637" s="24"/>
      <c r="R19637" s="24"/>
      <c r="S19637" s="24"/>
      <c r="T19637" s="24"/>
      <c r="U19637" s="24"/>
      <c r="V19637" s="24"/>
      <c r="W19637" s="24"/>
      <c r="X19637" s="24"/>
      <c r="Y19637" s="24"/>
      <c r="Z19637" s="24"/>
      <c r="AA19637" s="24"/>
    </row>
    <row r="19638">
      <c r="A19638" s="24"/>
      <c r="B19638" s="25"/>
      <c r="C19638" s="24"/>
      <c r="D19638" s="26"/>
      <c r="E19638" s="24"/>
      <c r="F19638" s="24"/>
      <c r="G19638" s="24"/>
      <c r="H19638" s="24"/>
      <c r="I19638" s="24"/>
      <c r="J19638" s="24"/>
      <c r="K19638" s="24"/>
      <c r="L19638" s="24"/>
      <c r="M19638" s="24"/>
      <c r="N19638" s="24"/>
      <c r="O19638" s="24"/>
      <c r="P19638" s="24"/>
      <c r="Q19638" s="24"/>
      <c r="R19638" s="24"/>
      <c r="S19638" s="24"/>
      <c r="T19638" s="24"/>
      <c r="U19638" s="24"/>
      <c r="V19638" s="24"/>
      <c r="W19638" s="24"/>
      <c r="X19638" s="24"/>
      <c r="Y19638" s="24"/>
      <c r="Z19638" s="24"/>
      <c r="AA19638" s="24"/>
    </row>
    <row r="19639">
      <c r="A19639" s="24"/>
      <c r="B19639" s="25"/>
      <c r="C19639" s="24"/>
      <c r="D19639" s="26"/>
      <c r="E19639" s="24"/>
      <c r="F19639" s="24"/>
      <c r="G19639" s="24"/>
      <c r="H19639" s="24"/>
      <c r="I19639" s="24"/>
      <c r="J19639" s="24"/>
      <c r="K19639" s="24"/>
      <c r="L19639" s="24"/>
      <c r="M19639" s="24"/>
      <c r="N19639" s="24"/>
      <c r="O19639" s="24"/>
      <c r="P19639" s="24"/>
      <c r="Q19639" s="24"/>
      <c r="R19639" s="24"/>
      <c r="S19639" s="24"/>
      <c r="T19639" s="24"/>
      <c r="U19639" s="24"/>
      <c r="V19639" s="24"/>
      <c r="W19639" s="24"/>
      <c r="X19639" s="24"/>
      <c r="Y19639" s="24"/>
      <c r="Z19639" s="24"/>
      <c r="AA19639" s="24"/>
    </row>
    <row r="19640">
      <c r="A19640" s="24"/>
      <c r="B19640" s="25"/>
      <c r="C19640" s="24"/>
      <c r="D19640" s="26"/>
      <c r="E19640" s="24"/>
      <c r="F19640" s="24"/>
      <c r="G19640" s="24"/>
      <c r="H19640" s="24"/>
      <c r="I19640" s="24"/>
      <c r="J19640" s="24"/>
      <c r="K19640" s="24"/>
      <c r="L19640" s="24"/>
      <c r="M19640" s="24"/>
      <c r="N19640" s="24"/>
      <c r="O19640" s="24"/>
      <c r="P19640" s="24"/>
      <c r="Q19640" s="24"/>
      <c r="R19640" s="24"/>
      <c r="S19640" s="24"/>
      <c r="T19640" s="24"/>
      <c r="U19640" s="24"/>
      <c r="V19640" s="24"/>
      <c r="W19640" s="24"/>
      <c r="X19640" s="24"/>
      <c r="Y19640" s="24"/>
      <c r="Z19640" s="24"/>
      <c r="AA19640" s="24"/>
    </row>
    <row r="19641">
      <c r="A19641" s="24"/>
      <c r="B19641" s="25"/>
      <c r="C19641" s="24"/>
      <c r="D19641" s="26"/>
      <c r="E19641" s="24"/>
      <c r="F19641" s="24"/>
      <c r="G19641" s="24"/>
      <c r="H19641" s="24"/>
      <c r="I19641" s="24"/>
      <c r="J19641" s="24"/>
      <c r="K19641" s="24"/>
      <c r="L19641" s="24"/>
      <c r="M19641" s="24"/>
      <c r="N19641" s="24"/>
      <c r="O19641" s="24"/>
      <c r="P19641" s="24"/>
      <c r="Q19641" s="24"/>
      <c r="R19641" s="24"/>
      <c r="S19641" s="24"/>
      <c r="T19641" s="24"/>
      <c r="U19641" s="24"/>
      <c r="V19641" s="24"/>
      <c r="W19641" s="24"/>
      <c r="X19641" s="24"/>
      <c r="Y19641" s="24"/>
      <c r="Z19641" s="24"/>
      <c r="AA19641" s="24"/>
    </row>
    <row r="19642">
      <c r="A19642" s="24"/>
      <c r="B19642" s="25"/>
      <c r="C19642" s="24"/>
      <c r="D19642" s="26"/>
      <c r="E19642" s="24"/>
      <c r="F19642" s="24"/>
      <c r="G19642" s="24"/>
      <c r="H19642" s="24"/>
      <c r="I19642" s="24"/>
      <c r="J19642" s="24"/>
      <c r="K19642" s="24"/>
      <c r="L19642" s="24"/>
      <c r="M19642" s="24"/>
      <c r="N19642" s="24"/>
      <c r="O19642" s="24"/>
      <c r="P19642" s="24"/>
      <c r="Q19642" s="24"/>
      <c r="R19642" s="24"/>
      <c r="S19642" s="24"/>
      <c r="T19642" s="24"/>
      <c r="U19642" s="24"/>
      <c r="V19642" s="24"/>
      <c r="W19642" s="24"/>
      <c r="X19642" s="24"/>
      <c r="Y19642" s="24"/>
      <c r="Z19642" s="24"/>
      <c r="AA19642" s="24"/>
    </row>
    <row r="19643">
      <c r="A19643" s="24"/>
      <c r="B19643" s="25"/>
      <c r="C19643" s="24"/>
      <c r="D19643" s="26"/>
      <c r="E19643" s="24"/>
      <c r="F19643" s="24"/>
      <c r="G19643" s="24"/>
      <c r="H19643" s="24"/>
      <c r="I19643" s="24"/>
      <c r="J19643" s="24"/>
      <c r="K19643" s="24"/>
      <c r="L19643" s="24"/>
      <c r="M19643" s="24"/>
      <c r="N19643" s="24"/>
      <c r="O19643" s="24"/>
      <c r="P19643" s="24"/>
      <c r="Q19643" s="24"/>
      <c r="R19643" s="24"/>
      <c r="S19643" s="24"/>
      <c r="T19643" s="24"/>
      <c r="U19643" s="24"/>
      <c r="V19643" s="24"/>
      <c r="W19643" s="24"/>
      <c r="X19643" s="24"/>
      <c r="Y19643" s="24"/>
      <c r="Z19643" s="24"/>
      <c r="AA19643" s="24"/>
    </row>
    <row r="19644">
      <c r="A19644" s="24"/>
      <c r="B19644" s="25"/>
      <c r="C19644" s="24"/>
      <c r="D19644" s="26"/>
      <c r="E19644" s="24"/>
      <c r="F19644" s="24"/>
      <c r="G19644" s="24"/>
      <c r="H19644" s="24"/>
      <c r="I19644" s="24"/>
      <c r="J19644" s="24"/>
      <c r="K19644" s="24"/>
      <c r="L19644" s="24"/>
      <c r="M19644" s="24"/>
      <c r="N19644" s="24"/>
      <c r="O19644" s="24"/>
      <c r="P19644" s="24"/>
      <c r="Q19644" s="24"/>
      <c r="R19644" s="24"/>
      <c r="S19644" s="24"/>
      <c r="T19644" s="24"/>
      <c r="U19644" s="24"/>
      <c r="V19644" s="24"/>
      <c r="W19644" s="24"/>
      <c r="X19644" s="24"/>
      <c r="Y19644" s="24"/>
      <c r="Z19644" s="24"/>
      <c r="AA19644" s="24"/>
    </row>
    <row r="19645">
      <c r="A19645" s="24"/>
      <c r="B19645" s="25"/>
      <c r="C19645" s="24"/>
      <c r="D19645" s="26"/>
      <c r="E19645" s="24"/>
      <c r="F19645" s="24"/>
      <c r="G19645" s="24"/>
      <c r="H19645" s="24"/>
      <c r="I19645" s="24"/>
      <c r="J19645" s="24"/>
      <c r="K19645" s="24"/>
      <c r="L19645" s="24"/>
      <c r="M19645" s="24"/>
      <c r="N19645" s="24"/>
      <c r="O19645" s="24"/>
      <c r="P19645" s="24"/>
      <c r="Q19645" s="24"/>
      <c r="R19645" s="24"/>
      <c r="S19645" s="24"/>
      <c r="T19645" s="24"/>
      <c r="U19645" s="24"/>
      <c r="V19645" s="24"/>
      <c r="W19645" s="24"/>
      <c r="X19645" s="24"/>
      <c r="Y19645" s="24"/>
      <c r="Z19645" s="24"/>
      <c r="AA19645" s="24"/>
    </row>
    <row r="19646">
      <c r="A19646" s="24"/>
      <c r="B19646" s="25"/>
      <c r="C19646" s="24"/>
      <c r="D19646" s="26"/>
      <c r="E19646" s="24"/>
      <c r="F19646" s="24"/>
      <c r="G19646" s="24"/>
      <c r="H19646" s="24"/>
      <c r="I19646" s="24"/>
      <c r="J19646" s="24"/>
      <c r="K19646" s="24"/>
      <c r="L19646" s="24"/>
      <c r="M19646" s="24"/>
      <c r="N19646" s="24"/>
      <c r="O19646" s="24"/>
      <c r="P19646" s="24"/>
      <c r="Q19646" s="24"/>
      <c r="R19646" s="24"/>
      <c r="S19646" s="24"/>
      <c r="T19646" s="24"/>
      <c r="U19646" s="24"/>
      <c r="V19646" s="24"/>
      <c r="W19646" s="24"/>
      <c r="X19646" s="24"/>
      <c r="Y19646" s="24"/>
      <c r="Z19646" s="24"/>
      <c r="AA19646" s="24"/>
    </row>
    <row r="19647">
      <c r="A19647" s="24"/>
      <c r="B19647" s="25"/>
      <c r="C19647" s="24"/>
      <c r="D19647" s="26"/>
      <c r="E19647" s="24"/>
      <c r="F19647" s="24"/>
      <c r="G19647" s="24"/>
      <c r="H19647" s="24"/>
      <c r="I19647" s="24"/>
      <c r="J19647" s="24"/>
      <c r="K19647" s="24"/>
      <c r="L19647" s="24"/>
      <c r="M19647" s="24"/>
      <c r="N19647" s="24"/>
      <c r="O19647" s="24"/>
      <c r="P19647" s="24"/>
      <c r="Q19647" s="24"/>
      <c r="R19647" s="24"/>
      <c r="S19647" s="24"/>
      <c r="T19647" s="24"/>
      <c r="U19647" s="24"/>
      <c r="V19647" s="24"/>
      <c r="W19647" s="24"/>
      <c r="X19647" s="24"/>
      <c r="Y19647" s="24"/>
      <c r="Z19647" s="24"/>
      <c r="AA19647" s="24"/>
    </row>
    <row r="19648">
      <c r="A19648" s="24"/>
      <c r="B19648" s="25"/>
      <c r="C19648" s="24"/>
      <c r="D19648" s="26"/>
      <c r="E19648" s="24"/>
      <c r="F19648" s="24"/>
      <c r="G19648" s="24"/>
      <c r="H19648" s="24"/>
      <c r="I19648" s="24"/>
      <c r="J19648" s="24"/>
      <c r="K19648" s="24"/>
      <c r="L19648" s="24"/>
      <c r="M19648" s="24"/>
      <c r="N19648" s="24"/>
      <c r="O19648" s="24"/>
      <c r="P19648" s="24"/>
      <c r="Q19648" s="24"/>
      <c r="R19648" s="24"/>
      <c r="S19648" s="24"/>
      <c r="T19648" s="24"/>
      <c r="U19648" s="24"/>
      <c r="V19648" s="24"/>
      <c r="W19648" s="24"/>
      <c r="X19648" s="24"/>
      <c r="Y19648" s="24"/>
      <c r="Z19648" s="24"/>
      <c r="AA19648" s="24"/>
    </row>
    <row r="19649">
      <c r="A19649" s="24"/>
      <c r="B19649" s="25"/>
      <c r="C19649" s="24"/>
      <c r="D19649" s="26"/>
      <c r="E19649" s="24"/>
      <c r="F19649" s="24"/>
      <c r="G19649" s="24"/>
      <c r="H19649" s="24"/>
      <c r="I19649" s="24"/>
      <c r="J19649" s="24"/>
      <c r="K19649" s="24"/>
      <c r="L19649" s="24"/>
      <c r="M19649" s="24"/>
      <c r="N19649" s="24"/>
      <c r="O19649" s="24"/>
      <c r="P19649" s="24"/>
      <c r="Q19649" s="24"/>
      <c r="R19649" s="24"/>
      <c r="S19649" s="24"/>
      <c r="T19649" s="24"/>
      <c r="U19649" s="24"/>
      <c r="V19649" s="24"/>
      <c r="W19649" s="24"/>
      <c r="X19649" s="24"/>
      <c r="Y19649" s="24"/>
      <c r="Z19649" s="24"/>
      <c r="AA19649" s="24"/>
    </row>
    <row r="19650">
      <c r="A19650" s="24"/>
      <c r="B19650" s="25"/>
      <c r="C19650" s="24"/>
      <c r="D19650" s="26"/>
      <c r="E19650" s="24"/>
      <c r="F19650" s="24"/>
      <c r="G19650" s="24"/>
      <c r="H19650" s="24"/>
      <c r="I19650" s="24"/>
      <c r="J19650" s="24"/>
      <c r="K19650" s="24"/>
      <c r="L19650" s="24"/>
      <c r="M19650" s="24"/>
      <c r="N19650" s="24"/>
      <c r="O19650" s="24"/>
      <c r="P19650" s="24"/>
      <c r="Q19650" s="24"/>
      <c r="R19650" s="24"/>
      <c r="S19650" s="24"/>
      <c r="T19650" s="24"/>
      <c r="U19650" s="24"/>
      <c r="V19650" s="24"/>
      <c r="W19650" s="24"/>
      <c r="X19650" s="24"/>
      <c r="Y19650" s="24"/>
      <c r="Z19650" s="24"/>
      <c r="AA19650" s="24"/>
    </row>
    <row r="19651">
      <c r="A19651" s="24"/>
      <c r="B19651" s="25"/>
      <c r="C19651" s="24"/>
      <c r="D19651" s="26"/>
      <c r="E19651" s="24"/>
      <c r="F19651" s="24"/>
      <c r="G19651" s="24"/>
      <c r="H19651" s="24"/>
      <c r="I19651" s="24"/>
      <c r="J19651" s="24"/>
      <c r="K19651" s="24"/>
      <c r="L19651" s="24"/>
      <c r="M19651" s="24"/>
      <c r="N19651" s="24"/>
      <c r="O19651" s="24"/>
      <c r="P19651" s="24"/>
      <c r="Q19651" s="24"/>
      <c r="R19651" s="24"/>
      <c r="S19651" s="24"/>
      <c r="T19651" s="24"/>
      <c r="U19651" s="24"/>
      <c r="V19651" s="24"/>
      <c r="W19651" s="24"/>
      <c r="X19651" s="24"/>
      <c r="Y19651" s="24"/>
      <c r="Z19651" s="24"/>
      <c r="AA19651" s="24"/>
    </row>
    <row r="19652">
      <c r="A19652" s="24"/>
      <c r="B19652" s="25"/>
      <c r="C19652" s="24"/>
      <c r="D19652" s="26"/>
      <c r="E19652" s="24"/>
      <c r="F19652" s="24"/>
      <c r="G19652" s="24"/>
      <c r="H19652" s="24"/>
      <c r="I19652" s="24"/>
      <c r="J19652" s="24"/>
      <c r="K19652" s="24"/>
      <c r="L19652" s="24"/>
      <c r="M19652" s="24"/>
      <c r="N19652" s="24"/>
      <c r="O19652" s="24"/>
      <c r="P19652" s="24"/>
      <c r="Q19652" s="24"/>
      <c r="R19652" s="24"/>
      <c r="S19652" s="24"/>
      <c r="T19652" s="24"/>
      <c r="U19652" s="24"/>
      <c r="V19652" s="24"/>
      <c r="W19652" s="24"/>
      <c r="X19652" s="24"/>
      <c r="Y19652" s="24"/>
      <c r="Z19652" s="24"/>
      <c r="AA19652" s="24"/>
    </row>
    <row r="19653">
      <c r="A19653" s="24"/>
      <c r="B19653" s="25"/>
      <c r="C19653" s="24"/>
      <c r="D19653" s="26"/>
      <c r="E19653" s="24"/>
      <c r="F19653" s="24"/>
      <c r="G19653" s="24"/>
      <c r="H19653" s="24"/>
      <c r="I19653" s="24"/>
      <c r="J19653" s="24"/>
      <c r="K19653" s="24"/>
      <c r="L19653" s="24"/>
      <c r="M19653" s="24"/>
      <c r="N19653" s="24"/>
      <c r="O19653" s="24"/>
      <c r="P19653" s="24"/>
      <c r="Q19653" s="24"/>
      <c r="R19653" s="24"/>
      <c r="S19653" s="24"/>
      <c r="T19653" s="24"/>
      <c r="U19653" s="24"/>
      <c r="V19653" s="24"/>
      <c r="W19653" s="24"/>
      <c r="X19653" s="24"/>
      <c r="Y19653" s="24"/>
      <c r="Z19653" s="24"/>
      <c r="AA19653" s="24"/>
    </row>
    <row r="19654">
      <c r="A19654" s="24"/>
      <c r="B19654" s="25"/>
      <c r="C19654" s="24"/>
      <c r="D19654" s="26"/>
      <c r="E19654" s="24"/>
      <c r="F19654" s="24"/>
      <c r="G19654" s="24"/>
      <c r="H19654" s="24"/>
      <c r="I19654" s="24"/>
      <c r="J19654" s="24"/>
      <c r="K19654" s="24"/>
      <c r="L19654" s="24"/>
      <c r="M19654" s="24"/>
      <c r="N19654" s="24"/>
      <c r="O19654" s="24"/>
      <c r="P19654" s="24"/>
      <c r="Q19654" s="24"/>
      <c r="R19654" s="24"/>
      <c r="S19654" s="24"/>
      <c r="T19654" s="24"/>
      <c r="U19654" s="24"/>
      <c r="V19654" s="24"/>
      <c r="W19654" s="24"/>
      <c r="X19654" s="24"/>
      <c r="Y19654" s="24"/>
      <c r="Z19654" s="24"/>
      <c r="AA19654" s="24"/>
    </row>
    <row r="19655">
      <c r="A19655" s="24"/>
      <c r="B19655" s="25"/>
      <c r="C19655" s="24"/>
      <c r="D19655" s="26"/>
      <c r="E19655" s="24"/>
      <c r="F19655" s="24"/>
      <c r="G19655" s="24"/>
      <c r="H19655" s="24"/>
      <c r="I19655" s="24"/>
      <c r="J19655" s="24"/>
      <c r="K19655" s="24"/>
      <c r="L19655" s="24"/>
      <c r="M19655" s="24"/>
      <c r="N19655" s="24"/>
      <c r="O19655" s="24"/>
      <c r="P19655" s="24"/>
      <c r="Q19655" s="24"/>
      <c r="R19655" s="24"/>
      <c r="S19655" s="24"/>
      <c r="T19655" s="24"/>
      <c r="U19655" s="24"/>
      <c r="V19655" s="24"/>
      <c r="W19655" s="24"/>
      <c r="X19655" s="24"/>
      <c r="Y19655" s="24"/>
      <c r="Z19655" s="24"/>
      <c r="AA19655" s="24"/>
    </row>
    <row r="19656">
      <c r="A19656" s="24"/>
      <c r="B19656" s="25"/>
      <c r="C19656" s="24"/>
      <c r="D19656" s="26"/>
      <c r="E19656" s="24"/>
      <c r="F19656" s="24"/>
      <c r="G19656" s="24"/>
      <c r="H19656" s="24"/>
      <c r="I19656" s="24"/>
      <c r="J19656" s="24"/>
      <c r="K19656" s="24"/>
      <c r="L19656" s="24"/>
      <c r="M19656" s="24"/>
      <c r="N19656" s="24"/>
      <c r="O19656" s="24"/>
      <c r="P19656" s="24"/>
      <c r="Q19656" s="24"/>
      <c r="R19656" s="24"/>
      <c r="S19656" s="24"/>
      <c r="T19656" s="24"/>
      <c r="U19656" s="24"/>
      <c r="V19656" s="24"/>
      <c r="W19656" s="24"/>
      <c r="X19656" s="24"/>
      <c r="Y19656" s="24"/>
      <c r="Z19656" s="24"/>
      <c r="AA19656" s="24"/>
    </row>
    <row r="19657">
      <c r="A19657" s="24"/>
      <c r="B19657" s="25"/>
      <c r="C19657" s="24"/>
      <c r="D19657" s="26"/>
      <c r="E19657" s="24"/>
      <c r="F19657" s="24"/>
      <c r="G19657" s="24"/>
      <c r="H19657" s="24"/>
      <c r="I19657" s="24"/>
      <c r="J19657" s="24"/>
      <c r="K19657" s="24"/>
      <c r="L19657" s="24"/>
      <c r="M19657" s="24"/>
      <c r="N19657" s="24"/>
      <c r="O19657" s="24"/>
      <c r="P19657" s="24"/>
      <c r="Q19657" s="24"/>
      <c r="R19657" s="24"/>
      <c r="S19657" s="24"/>
      <c r="T19657" s="24"/>
      <c r="U19657" s="24"/>
      <c r="V19657" s="24"/>
      <c r="W19657" s="24"/>
      <c r="X19657" s="24"/>
      <c r="Y19657" s="24"/>
      <c r="Z19657" s="24"/>
      <c r="AA19657" s="24"/>
    </row>
    <row r="19658">
      <c r="A19658" s="24"/>
      <c r="B19658" s="25"/>
      <c r="C19658" s="24"/>
      <c r="D19658" s="26"/>
      <c r="E19658" s="24"/>
      <c r="F19658" s="24"/>
      <c r="G19658" s="24"/>
      <c r="H19658" s="24"/>
      <c r="I19658" s="24"/>
      <c r="J19658" s="24"/>
      <c r="K19658" s="24"/>
      <c r="L19658" s="24"/>
      <c r="M19658" s="24"/>
      <c r="N19658" s="24"/>
      <c r="O19658" s="24"/>
      <c r="P19658" s="24"/>
      <c r="Q19658" s="24"/>
      <c r="R19658" s="24"/>
      <c r="S19658" s="24"/>
      <c r="T19658" s="24"/>
      <c r="U19658" s="24"/>
      <c r="V19658" s="24"/>
      <c r="W19658" s="24"/>
      <c r="X19658" s="24"/>
      <c r="Y19658" s="24"/>
      <c r="Z19658" s="24"/>
      <c r="AA19658" s="24"/>
    </row>
    <row r="19659">
      <c r="A19659" s="24"/>
      <c r="B19659" s="25"/>
      <c r="C19659" s="24"/>
      <c r="D19659" s="26"/>
      <c r="E19659" s="24"/>
      <c r="F19659" s="24"/>
      <c r="G19659" s="24"/>
      <c r="H19659" s="24"/>
      <c r="I19659" s="24"/>
      <c r="J19659" s="24"/>
      <c r="K19659" s="24"/>
      <c r="L19659" s="24"/>
      <c r="M19659" s="24"/>
      <c r="N19659" s="24"/>
      <c r="O19659" s="24"/>
      <c r="P19659" s="24"/>
      <c r="Q19659" s="24"/>
      <c r="R19659" s="24"/>
      <c r="S19659" s="24"/>
      <c r="T19659" s="24"/>
      <c r="U19659" s="24"/>
      <c r="V19659" s="24"/>
      <c r="W19659" s="24"/>
      <c r="X19659" s="24"/>
      <c r="Y19659" s="24"/>
      <c r="Z19659" s="24"/>
      <c r="AA19659" s="24"/>
    </row>
    <row r="19660">
      <c r="A19660" s="24"/>
      <c r="B19660" s="25"/>
      <c r="C19660" s="24"/>
      <c r="D19660" s="26"/>
      <c r="E19660" s="24"/>
      <c r="F19660" s="24"/>
      <c r="G19660" s="24"/>
      <c r="H19660" s="24"/>
      <c r="I19660" s="24"/>
      <c r="J19660" s="24"/>
      <c r="K19660" s="24"/>
      <c r="L19660" s="24"/>
      <c r="M19660" s="24"/>
      <c r="N19660" s="24"/>
      <c r="O19660" s="24"/>
      <c r="P19660" s="24"/>
      <c r="Q19660" s="24"/>
      <c r="R19660" s="24"/>
      <c r="S19660" s="24"/>
      <c r="T19660" s="24"/>
      <c r="U19660" s="24"/>
      <c r="V19660" s="24"/>
      <c r="W19660" s="24"/>
      <c r="X19660" s="24"/>
      <c r="Y19660" s="24"/>
      <c r="Z19660" s="24"/>
      <c r="AA19660" s="24"/>
    </row>
    <row r="19661">
      <c r="A19661" s="24"/>
      <c r="B19661" s="25"/>
      <c r="C19661" s="24"/>
      <c r="D19661" s="26"/>
      <c r="E19661" s="24"/>
      <c r="F19661" s="24"/>
      <c r="G19661" s="24"/>
      <c r="H19661" s="24"/>
      <c r="I19661" s="24"/>
      <c r="J19661" s="24"/>
      <c r="K19661" s="24"/>
      <c r="L19661" s="24"/>
      <c r="M19661" s="24"/>
      <c r="N19661" s="24"/>
      <c r="O19661" s="24"/>
      <c r="P19661" s="24"/>
      <c r="Q19661" s="24"/>
      <c r="R19661" s="24"/>
      <c r="S19661" s="24"/>
      <c r="T19661" s="24"/>
      <c r="U19661" s="24"/>
      <c r="V19661" s="24"/>
      <c r="W19661" s="24"/>
      <c r="X19661" s="24"/>
      <c r="Y19661" s="24"/>
      <c r="Z19661" s="24"/>
      <c r="AA19661" s="24"/>
    </row>
    <row r="19662">
      <c r="A19662" s="24"/>
      <c r="B19662" s="25"/>
      <c r="C19662" s="24"/>
      <c r="D19662" s="26"/>
      <c r="E19662" s="24"/>
      <c r="F19662" s="24"/>
      <c r="G19662" s="24"/>
      <c r="H19662" s="24"/>
      <c r="I19662" s="24"/>
      <c r="J19662" s="24"/>
      <c r="K19662" s="24"/>
      <c r="L19662" s="24"/>
      <c r="M19662" s="24"/>
      <c r="N19662" s="24"/>
      <c r="O19662" s="24"/>
      <c r="P19662" s="24"/>
      <c r="Q19662" s="24"/>
      <c r="R19662" s="24"/>
      <c r="S19662" s="24"/>
      <c r="T19662" s="24"/>
      <c r="U19662" s="24"/>
      <c r="V19662" s="24"/>
      <c r="W19662" s="24"/>
      <c r="X19662" s="24"/>
      <c r="Y19662" s="24"/>
      <c r="Z19662" s="24"/>
      <c r="AA19662" s="24"/>
    </row>
    <row r="19663">
      <c r="A19663" s="24"/>
      <c r="B19663" s="25"/>
      <c r="C19663" s="24"/>
      <c r="D19663" s="26"/>
      <c r="E19663" s="24"/>
      <c r="F19663" s="24"/>
      <c r="G19663" s="24"/>
      <c r="H19663" s="24"/>
      <c r="I19663" s="24"/>
      <c r="J19663" s="24"/>
      <c r="K19663" s="24"/>
      <c r="L19663" s="24"/>
      <c r="M19663" s="24"/>
      <c r="N19663" s="24"/>
      <c r="O19663" s="24"/>
      <c r="P19663" s="24"/>
      <c r="Q19663" s="24"/>
      <c r="R19663" s="24"/>
      <c r="S19663" s="24"/>
      <c r="T19663" s="24"/>
      <c r="U19663" s="24"/>
      <c r="V19663" s="24"/>
      <c r="W19663" s="24"/>
      <c r="X19663" s="24"/>
      <c r="Y19663" s="24"/>
      <c r="Z19663" s="24"/>
      <c r="AA19663" s="24"/>
    </row>
    <row r="19664">
      <c r="A19664" s="24"/>
      <c r="B19664" s="25"/>
      <c r="C19664" s="24"/>
      <c r="D19664" s="26"/>
      <c r="E19664" s="24"/>
      <c r="F19664" s="24"/>
      <c r="G19664" s="24"/>
      <c r="H19664" s="24"/>
      <c r="I19664" s="24"/>
      <c r="J19664" s="24"/>
      <c r="K19664" s="24"/>
      <c r="L19664" s="24"/>
      <c r="M19664" s="24"/>
      <c r="N19664" s="24"/>
      <c r="O19664" s="24"/>
      <c r="P19664" s="24"/>
      <c r="Q19664" s="24"/>
      <c r="R19664" s="24"/>
      <c r="S19664" s="24"/>
      <c r="T19664" s="24"/>
      <c r="U19664" s="24"/>
      <c r="V19664" s="24"/>
      <c r="W19664" s="24"/>
      <c r="X19664" s="24"/>
      <c r="Y19664" s="24"/>
      <c r="Z19664" s="24"/>
      <c r="AA19664" s="24"/>
    </row>
    <row r="19665">
      <c r="A19665" s="24"/>
      <c r="B19665" s="25"/>
      <c r="C19665" s="24"/>
      <c r="D19665" s="26"/>
      <c r="E19665" s="24"/>
      <c r="F19665" s="24"/>
      <c r="G19665" s="24"/>
      <c r="H19665" s="24"/>
      <c r="I19665" s="24"/>
      <c r="J19665" s="24"/>
      <c r="K19665" s="24"/>
      <c r="L19665" s="24"/>
      <c r="M19665" s="24"/>
      <c r="N19665" s="24"/>
      <c r="O19665" s="24"/>
      <c r="P19665" s="24"/>
      <c r="Q19665" s="24"/>
      <c r="R19665" s="24"/>
      <c r="S19665" s="24"/>
      <c r="T19665" s="24"/>
      <c r="U19665" s="24"/>
      <c r="V19665" s="24"/>
      <c r="W19665" s="24"/>
      <c r="X19665" s="24"/>
      <c r="Y19665" s="24"/>
      <c r="Z19665" s="24"/>
      <c r="AA19665" s="24"/>
    </row>
    <row r="19666">
      <c r="A19666" s="24"/>
      <c r="B19666" s="25"/>
      <c r="C19666" s="24"/>
      <c r="D19666" s="26"/>
      <c r="E19666" s="24"/>
      <c r="F19666" s="24"/>
      <c r="G19666" s="24"/>
      <c r="H19666" s="24"/>
      <c r="I19666" s="24"/>
      <c r="J19666" s="24"/>
      <c r="K19666" s="24"/>
      <c r="L19666" s="24"/>
      <c r="M19666" s="24"/>
      <c r="N19666" s="24"/>
      <c r="O19666" s="24"/>
      <c r="P19666" s="24"/>
      <c r="Q19666" s="24"/>
      <c r="R19666" s="24"/>
      <c r="S19666" s="24"/>
      <c r="T19666" s="24"/>
      <c r="U19666" s="24"/>
      <c r="V19666" s="24"/>
      <c r="W19666" s="24"/>
      <c r="X19666" s="24"/>
      <c r="Y19666" s="24"/>
      <c r="Z19666" s="24"/>
      <c r="AA19666" s="24"/>
    </row>
    <row r="19667">
      <c r="A19667" s="24"/>
      <c r="B19667" s="25"/>
      <c r="C19667" s="24"/>
      <c r="D19667" s="26"/>
      <c r="E19667" s="24"/>
      <c r="F19667" s="24"/>
      <c r="G19667" s="24"/>
      <c r="H19667" s="24"/>
      <c r="I19667" s="24"/>
      <c r="J19667" s="24"/>
      <c r="K19667" s="24"/>
      <c r="L19667" s="24"/>
      <c r="M19667" s="24"/>
      <c r="N19667" s="24"/>
      <c r="O19667" s="24"/>
      <c r="P19667" s="24"/>
      <c r="Q19667" s="24"/>
      <c r="R19667" s="24"/>
      <c r="S19667" s="24"/>
      <c r="T19667" s="24"/>
      <c r="U19667" s="24"/>
      <c r="V19667" s="24"/>
      <c r="W19667" s="24"/>
      <c r="X19667" s="24"/>
      <c r="Y19667" s="24"/>
      <c r="Z19667" s="24"/>
      <c r="AA19667" s="24"/>
    </row>
    <row r="19668">
      <c r="A19668" s="24"/>
      <c r="B19668" s="25"/>
      <c r="C19668" s="24"/>
      <c r="D19668" s="26"/>
      <c r="E19668" s="24"/>
      <c r="F19668" s="24"/>
      <c r="G19668" s="24"/>
      <c r="H19668" s="24"/>
      <c r="I19668" s="24"/>
      <c r="J19668" s="24"/>
      <c r="K19668" s="24"/>
      <c r="L19668" s="24"/>
      <c r="M19668" s="24"/>
      <c r="N19668" s="24"/>
      <c r="O19668" s="24"/>
      <c r="P19668" s="24"/>
      <c r="Q19668" s="24"/>
      <c r="R19668" s="24"/>
      <c r="S19668" s="24"/>
      <c r="T19668" s="24"/>
      <c r="U19668" s="24"/>
      <c r="V19668" s="24"/>
      <c r="W19668" s="24"/>
      <c r="X19668" s="24"/>
      <c r="Y19668" s="24"/>
      <c r="Z19668" s="24"/>
      <c r="AA19668" s="24"/>
    </row>
    <row r="19669">
      <c r="A19669" s="24"/>
      <c r="B19669" s="25"/>
      <c r="C19669" s="24"/>
      <c r="D19669" s="26"/>
      <c r="E19669" s="24"/>
      <c r="F19669" s="24"/>
      <c r="G19669" s="24"/>
      <c r="H19669" s="24"/>
      <c r="I19669" s="24"/>
      <c r="J19669" s="24"/>
      <c r="K19669" s="24"/>
      <c r="L19669" s="24"/>
      <c r="M19669" s="24"/>
      <c r="N19669" s="24"/>
      <c r="O19669" s="24"/>
      <c r="P19669" s="24"/>
      <c r="Q19669" s="24"/>
      <c r="R19669" s="24"/>
      <c r="S19669" s="24"/>
      <c r="T19669" s="24"/>
      <c r="U19669" s="24"/>
      <c r="V19669" s="24"/>
      <c r="W19669" s="24"/>
      <c r="X19669" s="24"/>
      <c r="Y19669" s="24"/>
      <c r="Z19669" s="24"/>
      <c r="AA19669" s="24"/>
    </row>
    <row r="19670">
      <c r="A19670" s="24"/>
      <c r="B19670" s="25"/>
      <c r="C19670" s="24"/>
      <c r="D19670" s="26"/>
      <c r="E19670" s="24"/>
      <c r="F19670" s="24"/>
      <c r="G19670" s="24"/>
      <c r="H19670" s="24"/>
      <c r="I19670" s="24"/>
      <c r="J19670" s="24"/>
      <c r="K19670" s="24"/>
      <c r="L19670" s="24"/>
      <c r="M19670" s="24"/>
      <c r="N19670" s="24"/>
      <c r="O19670" s="24"/>
      <c r="P19670" s="24"/>
      <c r="Q19670" s="24"/>
      <c r="R19670" s="24"/>
      <c r="S19670" s="24"/>
      <c r="T19670" s="24"/>
      <c r="U19670" s="24"/>
      <c r="V19670" s="24"/>
      <c r="W19670" s="24"/>
      <c r="X19670" s="24"/>
      <c r="Y19670" s="24"/>
      <c r="Z19670" s="24"/>
      <c r="AA19670" s="24"/>
    </row>
    <row r="19671">
      <c r="A19671" s="24"/>
      <c r="B19671" s="25"/>
      <c r="C19671" s="24"/>
      <c r="D19671" s="26"/>
      <c r="E19671" s="24"/>
      <c r="F19671" s="24"/>
      <c r="G19671" s="24"/>
      <c r="H19671" s="24"/>
      <c r="I19671" s="24"/>
      <c r="J19671" s="24"/>
      <c r="K19671" s="24"/>
      <c r="L19671" s="24"/>
      <c r="M19671" s="24"/>
      <c r="N19671" s="24"/>
      <c r="O19671" s="24"/>
      <c r="P19671" s="24"/>
      <c r="Q19671" s="24"/>
      <c r="R19671" s="24"/>
      <c r="S19671" s="24"/>
      <c r="T19671" s="24"/>
      <c r="U19671" s="24"/>
      <c r="V19671" s="24"/>
      <c r="W19671" s="24"/>
      <c r="X19671" s="24"/>
      <c r="Y19671" s="24"/>
      <c r="Z19671" s="24"/>
      <c r="AA19671" s="24"/>
    </row>
    <row r="19672">
      <c r="A19672" s="24"/>
      <c r="B19672" s="25"/>
      <c r="C19672" s="24"/>
      <c r="D19672" s="26"/>
      <c r="E19672" s="24"/>
      <c r="F19672" s="24"/>
      <c r="G19672" s="24"/>
      <c r="H19672" s="24"/>
      <c r="I19672" s="24"/>
      <c r="J19672" s="24"/>
      <c r="K19672" s="24"/>
      <c r="L19672" s="24"/>
      <c r="M19672" s="24"/>
      <c r="N19672" s="24"/>
      <c r="O19672" s="24"/>
      <c r="P19672" s="24"/>
      <c r="Q19672" s="24"/>
      <c r="R19672" s="24"/>
      <c r="S19672" s="24"/>
      <c r="T19672" s="24"/>
      <c r="U19672" s="24"/>
      <c r="V19672" s="24"/>
      <c r="W19672" s="24"/>
      <c r="X19672" s="24"/>
      <c r="Y19672" s="24"/>
      <c r="Z19672" s="24"/>
      <c r="AA19672" s="24"/>
    </row>
    <row r="19673">
      <c r="A19673" s="24"/>
      <c r="B19673" s="25"/>
      <c r="C19673" s="24"/>
      <c r="D19673" s="26"/>
      <c r="E19673" s="24"/>
      <c r="F19673" s="24"/>
      <c r="G19673" s="24"/>
      <c r="H19673" s="24"/>
      <c r="I19673" s="24"/>
      <c r="J19673" s="24"/>
      <c r="K19673" s="24"/>
      <c r="L19673" s="24"/>
      <c r="M19673" s="24"/>
      <c r="N19673" s="24"/>
      <c r="O19673" s="24"/>
      <c r="P19673" s="24"/>
      <c r="Q19673" s="24"/>
      <c r="R19673" s="24"/>
      <c r="S19673" s="24"/>
      <c r="T19673" s="24"/>
      <c r="U19673" s="24"/>
      <c r="V19673" s="24"/>
      <c r="W19673" s="24"/>
      <c r="X19673" s="24"/>
      <c r="Y19673" s="24"/>
      <c r="Z19673" s="24"/>
      <c r="AA19673" s="24"/>
    </row>
    <row r="19674">
      <c r="A19674" s="24"/>
      <c r="B19674" s="25"/>
      <c r="C19674" s="24"/>
      <c r="D19674" s="26"/>
      <c r="E19674" s="24"/>
      <c r="F19674" s="24"/>
      <c r="G19674" s="24"/>
      <c r="H19674" s="24"/>
      <c r="I19674" s="24"/>
      <c r="J19674" s="24"/>
      <c r="K19674" s="24"/>
      <c r="L19674" s="24"/>
      <c r="M19674" s="24"/>
      <c r="N19674" s="24"/>
      <c r="O19674" s="24"/>
      <c r="P19674" s="24"/>
      <c r="Q19674" s="24"/>
      <c r="R19674" s="24"/>
      <c r="S19674" s="24"/>
      <c r="T19674" s="24"/>
      <c r="U19674" s="24"/>
      <c r="V19674" s="24"/>
      <c r="W19674" s="24"/>
      <c r="X19674" s="24"/>
      <c r="Y19674" s="24"/>
      <c r="Z19674" s="24"/>
      <c r="AA19674" s="24"/>
    </row>
    <row r="19675">
      <c r="A19675" s="24"/>
      <c r="B19675" s="25"/>
      <c r="C19675" s="24"/>
      <c r="D19675" s="26"/>
      <c r="E19675" s="24"/>
      <c r="F19675" s="24"/>
      <c r="G19675" s="24"/>
      <c r="H19675" s="24"/>
      <c r="I19675" s="24"/>
      <c r="J19675" s="24"/>
      <c r="K19675" s="24"/>
      <c r="L19675" s="24"/>
      <c r="M19675" s="24"/>
      <c r="N19675" s="24"/>
      <c r="O19675" s="24"/>
      <c r="P19675" s="24"/>
      <c r="Q19675" s="24"/>
      <c r="R19675" s="24"/>
      <c r="S19675" s="24"/>
      <c r="T19675" s="24"/>
      <c r="U19675" s="24"/>
      <c r="V19675" s="24"/>
      <c r="W19675" s="24"/>
      <c r="X19675" s="24"/>
      <c r="Y19675" s="24"/>
      <c r="Z19675" s="24"/>
      <c r="AA19675" s="24"/>
    </row>
    <row r="19676">
      <c r="A19676" s="24"/>
      <c r="B19676" s="25"/>
      <c r="C19676" s="24"/>
      <c r="D19676" s="26"/>
      <c r="E19676" s="24"/>
      <c r="F19676" s="24"/>
      <c r="G19676" s="24"/>
      <c r="H19676" s="24"/>
      <c r="I19676" s="24"/>
      <c r="J19676" s="24"/>
      <c r="K19676" s="24"/>
      <c r="L19676" s="24"/>
      <c r="M19676" s="24"/>
      <c r="N19676" s="24"/>
      <c r="O19676" s="24"/>
      <c r="P19676" s="24"/>
      <c r="Q19676" s="24"/>
      <c r="R19676" s="24"/>
      <c r="S19676" s="24"/>
      <c r="T19676" s="24"/>
      <c r="U19676" s="24"/>
      <c r="V19676" s="24"/>
      <c r="W19676" s="24"/>
      <c r="X19676" s="24"/>
      <c r="Y19676" s="24"/>
      <c r="Z19676" s="24"/>
      <c r="AA19676" s="24"/>
    </row>
    <row r="19677">
      <c r="A19677" s="24"/>
      <c r="B19677" s="25"/>
      <c r="C19677" s="24"/>
      <c r="D19677" s="26"/>
      <c r="E19677" s="24"/>
      <c r="F19677" s="24"/>
      <c r="G19677" s="24"/>
      <c r="H19677" s="24"/>
      <c r="I19677" s="24"/>
      <c r="J19677" s="24"/>
      <c r="K19677" s="24"/>
      <c r="L19677" s="24"/>
      <c r="M19677" s="24"/>
      <c r="N19677" s="24"/>
      <c r="O19677" s="24"/>
      <c r="P19677" s="24"/>
      <c r="Q19677" s="24"/>
      <c r="R19677" s="24"/>
      <c r="S19677" s="24"/>
      <c r="T19677" s="24"/>
      <c r="U19677" s="24"/>
      <c r="V19677" s="24"/>
      <c r="W19677" s="24"/>
      <c r="X19677" s="24"/>
      <c r="Y19677" s="24"/>
      <c r="Z19677" s="24"/>
      <c r="AA19677" s="24"/>
    </row>
    <row r="19678">
      <c r="A19678" s="24"/>
      <c r="B19678" s="25"/>
      <c r="C19678" s="24"/>
      <c r="D19678" s="26"/>
      <c r="E19678" s="24"/>
      <c r="F19678" s="24"/>
      <c r="G19678" s="24"/>
      <c r="H19678" s="24"/>
      <c r="I19678" s="24"/>
      <c r="J19678" s="24"/>
      <c r="K19678" s="24"/>
      <c r="L19678" s="24"/>
      <c r="M19678" s="24"/>
      <c r="N19678" s="24"/>
      <c r="O19678" s="24"/>
      <c r="P19678" s="24"/>
      <c r="Q19678" s="24"/>
      <c r="R19678" s="24"/>
      <c r="S19678" s="24"/>
      <c r="T19678" s="24"/>
      <c r="U19678" s="24"/>
      <c r="V19678" s="24"/>
      <c r="W19678" s="24"/>
      <c r="X19678" s="24"/>
      <c r="Y19678" s="24"/>
      <c r="Z19678" s="24"/>
      <c r="AA19678" s="24"/>
    </row>
    <row r="19679">
      <c r="A19679" s="24"/>
      <c r="B19679" s="25"/>
      <c r="C19679" s="24"/>
      <c r="D19679" s="26"/>
      <c r="E19679" s="24"/>
      <c r="F19679" s="24"/>
      <c r="G19679" s="24"/>
      <c r="H19679" s="24"/>
      <c r="I19679" s="24"/>
      <c r="J19679" s="24"/>
      <c r="K19679" s="24"/>
      <c r="L19679" s="24"/>
      <c r="M19679" s="24"/>
      <c r="N19679" s="24"/>
      <c r="O19679" s="24"/>
      <c r="P19679" s="24"/>
      <c r="Q19679" s="24"/>
      <c r="R19679" s="24"/>
      <c r="S19679" s="24"/>
      <c r="T19679" s="24"/>
      <c r="U19679" s="24"/>
      <c r="V19679" s="24"/>
      <c r="W19679" s="24"/>
      <c r="X19679" s="24"/>
      <c r="Y19679" s="24"/>
      <c r="Z19679" s="24"/>
      <c r="AA19679" s="24"/>
    </row>
    <row r="19680">
      <c r="A19680" s="24"/>
      <c r="B19680" s="25"/>
      <c r="C19680" s="24"/>
      <c r="D19680" s="26"/>
      <c r="E19680" s="24"/>
      <c r="F19680" s="24"/>
      <c r="G19680" s="24"/>
      <c r="H19680" s="24"/>
      <c r="I19680" s="24"/>
      <c r="J19680" s="24"/>
      <c r="K19680" s="24"/>
      <c r="L19680" s="24"/>
      <c r="M19680" s="24"/>
      <c r="N19680" s="24"/>
      <c r="O19680" s="24"/>
      <c r="P19680" s="24"/>
      <c r="Q19680" s="24"/>
      <c r="R19680" s="24"/>
      <c r="S19680" s="24"/>
      <c r="T19680" s="24"/>
      <c r="U19680" s="24"/>
      <c r="V19680" s="24"/>
      <c r="W19680" s="24"/>
      <c r="X19680" s="24"/>
      <c r="Y19680" s="24"/>
      <c r="Z19680" s="24"/>
      <c r="AA19680" s="24"/>
    </row>
    <row r="19681">
      <c r="A19681" s="24"/>
      <c r="B19681" s="25"/>
      <c r="C19681" s="24"/>
      <c r="D19681" s="26"/>
      <c r="E19681" s="24"/>
      <c r="F19681" s="24"/>
      <c r="G19681" s="24"/>
      <c r="H19681" s="24"/>
      <c r="I19681" s="24"/>
      <c r="J19681" s="24"/>
      <c r="K19681" s="24"/>
      <c r="L19681" s="24"/>
      <c r="M19681" s="24"/>
      <c r="N19681" s="24"/>
      <c r="O19681" s="24"/>
      <c r="P19681" s="24"/>
      <c r="Q19681" s="24"/>
      <c r="R19681" s="24"/>
      <c r="S19681" s="24"/>
      <c r="T19681" s="24"/>
      <c r="U19681" s="24"/>
      <c r="V19681" s="24"/>
      <c r="W19681" s="24"/>
      <c r="X19681" s="24"/>
      <c r="Y19681" s="24"/>
      <c r="Z19681" s="24"/>
      <c r="AA19681" s="24"/>
    </row>
    <row r="19682">
      <c r="A19682" s="24"/>
      <c r="B19682" s="25"/>
      <c r="C19682" s="24"/>
      <c r="D19682" s="26"/>
      <c r="E19682" s="24"/>
      <c r="F19682" s="24"/>
      <c r="G19682" s="24"/>
      <c r="H19682" s="24"/>
      <c r="I19682" s="24"/>
      <c r="J19682" s="24"/>
      <c r="K19682" s="24"/>
      <c r="L19682" s="24"/>
      <c r="M19682" s="24"/>
      <c r="N19682" s="24"/>
      <c r="O19682" s="24"/>
      <c r="P19682" s="24"/>
      <c r="Q19682" s="24"/>
      <c r="R19682" s="24"/>
      <c r="S19682" s="24"/>
      <c r="T19682" s="24"/>
      <c r="U19682" s="24"/>
      <c r="V19682" s="24"/>
      <c r="W19682" s="24"/>
      <c r="X19682" s="24"/>
      <c r="Y19682" s="24"/>
      <c r="Z19682" s="24"/>
      <c r="AA19682" s="24"/>
    </row>
    <row r="19683">
      <c r="A19683" s="24"/>
      <c r="B19683" s="25"/>
      <c r="C19683" s="24"/>
      <c r="D19683" s="26"/>
      <c r="E19683" s="24"/>
      <c r="F19683" s="24"/>
      <c r="G19683" s="24"/>
      <c r="H19683" s="24"/>
      <c r="I19683" s="24"/>
      <c r="J19683" s="24"/>
      <c r="K19683" s="24"/>
      <c r="L19683" s="24"/>
      <c r="M19683" s="24"/>
      <c r="N19683" s="24"/>
      <c r="O19683" s="24"/>
      <c r="P19683" s="24"/>
      <c r="Q19683" s="24"/>
      <c r="R19683" s="24"/>
      <c r="S19683" s="24"/>
      <c r="T19683" s="24"/>
      <c r="U19683" s="24"/>
      <c r="V19683" s="24"/>
      <c r="W19683" s="24"/>
      <c r="X19683" s="24"/>
      <c r="Y19683" s="24"/>
      <c r="Z19683" s="24"/>
      <c r="AA19683" s="24"/>
    </row>
    <row r="19684">
      <c r="A19684" s="24"/>
      <c r="B19684" s="25"/>
      <c r="C19684" s="24"/>
      <c r="D19684" s="26"/>
      <c r="E19684" s="24"/>
      <c r="F19684" s="24"/>
      <c r="G19684" s="24"/>
      <c r="H19684" s="24"/>
      <c r="I19684" s="24"/>
      <c r="J19684" s="24"/>
      <c r="K19684" s="24"/>
      <c r="L19684" s="24"/>
      <c r="M19684" s="24"/>
      <c r="N19684" s="24"/>
      <c r="O19684" s="24"/>
      <c r="P19684" s="24"/>
      <c r="Q19684" s="24"/>
      <c r="R19684" s="24"/>
      <c r="S19684" s="24"/>
      <c r="T19684" s="24"/>
      <c r="U19684" s="24"/>
      <c r="V19684" s="24"/>
      <c r="W19684" s="24"/>
      <c r="X19684" s="24"/>
      <c r="Y19684" s="24"/>
      <c r="Z19684" s="24"/>
      <c r="AA19684" s="24"/>
    </row>
    <row r="19685">
      <c r="A19685" s="24"/>
      <c r="B19685" s="25"/>
      <c r="C19685" s="24"/>
      <c r="D19685" s="26"/>
      <c r="E19685" s="24"/>
      <c r="F19685" s="24"/>
      <c r="G19685" s="24"/>
      <c r="H19685" s="24"/>
      <c r="I19685" s="24"/>
      <c r="J19685" s="24"/>
      <c r="K19685" s="24"/>
      <c r="L19685" s="24"/>
      <c r="M19685" s="24"/>
      <c r="N19685" s="24"/>
      <c r="O19685" s="24"/>
      <c r="P19685" s="24"/>
      <c r="Q19685" s="24"/>
      <c r="R19685" s="24"/>
      <c r="S19685" s="24"/>
      <c r="T19685" s="24"/>
      <c r="U19685" s="24"/>
      <c r="V19685" s="24"/>
      <c r="W19685" s="24"/>
      <c r="X19685" s="24"/>
      <c r="Y19685" s="24"/>
      <c r="Z19685" s="24"/>
      <c r="AA19685" s="24"/>
    </row>
    <row r="19686">
      <c r="A19686" s="24"/>
      <c r="B19686" s="25"/>
      <c r="C19686" s="24"/>
      <c r="D19686" s="26"/>
      <c r="E19686" s="24"/>
      <c r="F19686" s="24"/>
      <c r="G19686" s="24"/>
      <c r="H19686" s="24"/>
      <c r="I19686" s="24"/>
      <c r="J19686" s="24"/>
      <c r="K19686" s="24"/>
      <c r="L19686" s="24"/>
      <c r="M19686" s="24"/>
      <c r="N19686" s="24"/>
      <c r="O19686" s="24"/>
      <c r="P19686" s="24"/>
      <c r="Q19686" s="24"/>
      <c r="R19686" s="24"/>
      <c r="S19686" s="24"/>
      <c r="T19686" s="24"/>
      <c r="U19686" s="24"/>
      <c r="V19686" s="24"/>
      <c r="W19686" s="24"/>
      <c r="X19686" s="24"/>
      <c r="Y19686" s="24"/>
      <c r="Z19686" s="24"/>
      <c r="AA19686" s="24"/>
    </row>
    <row r="19687">
      <c r="A19687" s="24"/>
      <c r="B19687" s="25"/>
      <c r="C19687" s="24"/>
      <c r="D19687" s="26"/>
      <c r="E19687" s="24"/>
      <c r="F19687" s="24"/>
      <c r="G19687" s="24"/>
      <c r="H19687" s="24"/>
      <c r="I19687" s="24"/>
      <c r="J19687" s="24"/>
      <c r="K19687" s="24"/>
      <c r="L19687" s="24"/>
      <c r="M19687" s="24"/>
      <c r="N19687" s="24"/>
      <c r="O19687" s="24"/>
      <c r="P19687" s="24"/>
      <c r="Q19687" s="24"/>
      <c r="R19687" s="24"/>
      <c r="S19687" s="24"/>
      <c r="T19687" s="24"/>
      <c r="U19687" s="24"/>
      <c r="V19687" s="24"/>
      <c r="W19687" s="24"/>
      <c r="X19687" s="24"/>
      <c r="Y19687" s="24"/>
      <c r="Z19687" s="24"/>
      <c r="AA19687" s="24"/>
    </row>
    <row r="19688">
      <c r="A19688" s="24"/>
      <c r="B19688" s="25"/>
      <c r="C19688" s="24"/>
      <c r="D19688" s="26"/>
      <c r="E19688" s="24"/>
      <c r="F19688" s="24"/>
      <c r="G19688" s="24"/>
      <c r="H19688" s="24"/>
      <c r="I19688" s="24"/>
      <c r="J19688" s="24"/>
      <c r="K19688" s="24"/>
      <c r="L19688" s="24"/>
      <c r="M19688" s="24"/>
      <c r="N19688" s="24"/>
      <c r="O19688" s="24"/>
      <c r="P19688" s="24"/>
      <c r="Q19688" s="24"/>
      <c r="R19688" s="24"/>
      <c r="S19688" s="24"/>
      <c r="T19688" s="24"/>
      <c r="U19688" s="24"/>
      <c r="V19688" s="24"/>
      <c r="W19688" s="24"/>
      <c r="X19688" s="24"/>
      <c r="Y19688" s="24"/>
      <c r="Z19688" s="24"/>
      <c r="AA19688" s="24"/>
    </row>
    <row r="19689">
      <c r="A19689" s="24"/>
      <c r="B19689" s="25"/>
      <c r="C19689" s="24"/>
      <c r="D19689" s="26"/>
      <c r="E19689" s="24"/>
      <c r="F19689" s="24"/>
      <c r="G19689" s="24"/>
      <c r="H19689" s="24"/>
      <c r="I19689" s="24"/>
      <c r="J19689" s="24"/>
      <c r="K19689" s="24"/>
      <c r="L19689" s="24"/>
      <c r="M19689" s="24"/>
      <c r="N19689" s="24"/>
      <c r="O19689" s="24"/>
      <c r="P19689" s="24"/>
      <c r="Q19689" s="24"/>
      <c r="R19689" s="24"/>
      <c r="S19689" s="24"/>
      <c r="T19689" s="24"/>
      <c r="U19689" s="24"/>
      <c r="V19689" s="24"/>
      <c r="W19689" s="24"/>
      <c r="X19689" s="24"/>
      <c r="Y19689" s="24"/>
      <c r="Z19689" s="24"/>
      <c r="AA19689" s="24"/>
    </row>
    <row r="19690">
      <c r="A19690" s="24"/>
      <c r="B19690" s="25"/>
      <c r="C19690" s="24"/>
      <c r="D19690" s="26"/>
      <c r="E19690" s="24"/>
      <c r="F19690" s="24"/>
      <c r="G19690" s="24"/>
      <c r="H19690" s="24"/>
      <c r="I19690" s="24"/>
      <c r="J19690" s="24"/>
      <c r="K19690" s="24"/>
      <c r="L19690" s="24"/>
      <c r="M19690" s="24"/>
      <c r="N19690" s="24"/>
      <c r="O19690" s="24"/>
      <c r="P19690" s="24"/>
      <c r="Q19690" s="24"/>
      <c r="R19690" s="24"/>
      <c r="S19690" s="24"/>
      <c r="T19690" s="24"/>
      <c r="U19690" s="24"/>
      <c r="V19690" s="24"/>
      <c r="W19690" s="24"/>
      <c r="X19690" s="24"/>
      <c r="Y19690" s="24"/>
      <c r="Z19690" s="24"/>
      <c r="AA19690" s="24"/>
    </row>
    <row r="19691">
      <c r="A19691" s="24"/>
      <c r="B19691" s="25"/>
      <c r="C19691" s="24"/>
      <c r="D19691" s="26"/>
      <c r="E19691" s="24"/>
      <c r="F19691" s="24"/>
      <c r="G19691" s="24"/>
      <c r="H19691" s="24"/>
      <c r="I19691" s="24"/>
      <c r="J19691" s="24"/>
      <c r="K19691" s="24"/>
      <c r="L19691" s="24"/>
      <c r="M19691" s="24"/>
      <c r="N19691" s="24"/>
      <c r="O19691" s="24"/>
      <c r="P19691" s="24"/>
      <c r="Q19691" s="24"/>
      <c r="R19691" s="24"/>
      <c r="S19691" s="24"/>
      <c r="T19691" s="24"/>
      <c r="U19691" s="24"/>
      <c r="V19691" s="24"/>
      <c r="W19691" s="24"/>
      <c r="X19691" s="24"/>
      <c r="Y19691" s="24"/>
      <c r="Z19691" s="24"/>
      <c r="AA19691" s="24"/>
    </row>
    <row r="19692">
      <c r="A19692" s="24"/>
      <c r="B19692" s="25"/>
      <c r="C19692" s="24"/>
      <c r="D19692" s="26"/>
      <c r="E19692" s="24"/>
      <c r="F19692" s="24"/>
      <c r="G19692" s="24"/>
      <c r="H19692" s="24"/>
      <c r="I19692" s="24"/>
      <c r="J19692" s="24"/>
      <c r="K19692" s="24"/>
      <c r="L19692" s="24"/>
      <c r="M19692" s="24"/>
      <c r="N19692" s="24"/>
      <c r="O19692" s="24"/>
      <c r="P19692" s="24"/>
      <c r="Q19692" s="24"/>
      <c r="R19692" s="24"/>
      <c r="S19692" s="24"/>
      <c r="T19692" s="24"/>
      <c r="U19692" s="24"/>
      <c r="V19692" s="24"/>
      <c r="W19692" s="24"/>
      <c r="X19692" s="24"/>
      <c r="Y19692" s="24"/>
      <c r="Z19692" s="24"/>
      <c r="AA19692" s="24"/>
    </row>
    <row r="19693">
      <c r="A19693" s="24"/>
      <c r="B19693" s="25"/>
      <c r="C19693" s="24"/>
      <c r="D19693" s="26"/>
      <c r="E19693" s="24"/>
      <c r="F19693" s="24"/>
      <c r="G19693" s="24"/>
      <c r="H19693" s="24"/>
      <c r="I19693" s="24"/>
      <c r="J19693" s="24"/>
      <c r="K19693" s="24"/>
      <c r="L19693" s="24"/>
      <c r="M19693" s="24"/>
      <c r="N19693" s="24"/>
      <c r="O19693" s="24"/>
      <c r="P19693" s="24"/>
      <c r="Q19693" s="24"/>
      <c r="R19693" s="24"/>
      <c r="S19693" s="24"/>
      <c r="T19693" s="24"/>
      <c r="U19693" s="24"/>
      <c r="V19693" s="24"/>
      <c r="W19693" s="24"/>
      <c r="X19693" s="24"/>
      <c r="Y19693" s="24"/>
      <c r="Z19693" s="24"/>
      <c r="AA19693" s="24"/>
    </row>
    <row r="19694">
      <c r="A19694" s="24"/>
      <c r="B19694" s="25"/>
      <c r="C19694" s="24"/>
      <c r="D19694" s="26"/>
      <c r="E19694" s="24"/>
      <c r="F19694" s="24"/>
      <c r="G19694" s="24"/>
      <c r="H19694" s="24"/>
      <c r="I19694" s="24"/>
      <c r="J19694" s="24"/>
      <c r="K19694" s="24"/>
      <c r="L19694" s="24"/>
      <c r="M19694" s="24"/>
      <c r="N19694" s="24"/>
      <c r="O19694" s="24"/>
      <c r="P19694" s="24"/>
      <c r="Q19694" s="24"/>
      <c r="R19694" s="24"/>
      <c r="S19694" s="24"/>
      <c r="T19694" s="24"/>
      <c r="U19694" s="24"/>
      <c r="V19694" s="24"/>
      <c r="W19694" s="24"/>
      <c r="X19694" s="24"/>
      <c r="Y19694" s="24"/>
      <c r="Z19694" s="24"/>
      <c r="AA19694" s="24"/>
    </row>
    <row r="19695">
      <c r="A19695" s="24"/>
      <c r="B19695" s="25"/>
      <c r="C19695" s="24"/>
      <c r="D19695" s="26"/>
      <c r="E19695" s="24"/>
      <c r="F19695" s="24"/>
      <c r="G19695" s="24"/>
      <c r="H19695" s="24"/>
      <c r="I19695" s="24"/>
      <c r="J19695" s="24"/>
      <c r="K19695" s="24"/>
      <c r="L19695" s="24"/>
      <c r="M19695" s="24"/>
      <c r="N19695" s="24"/>
      <c r="O19695" s="24"/>
      <c r="P19695" s="24"/>
      <c r="Q19695" s="24"/>
      <c r="R19695" s="24"/>
      <c r="S19695" s="24"/>
      <c r="T19695" s="24"/>
      <c r="U19695" s="24"/>
      <c r="V19695" s="24"/>
      <c r="W19695" s="24"/>
      <c r="X19695" s="24"/>
      <c r="Y19695" s="24"/>
      <c r="Z19695" s="24"/>
      <c r="AA19695" s="24"/>
    </row>
    <row r="19696">
      <c r="A19696" s="24"/>
      <c r="B19696" s="25"/>
      <c r="C19696" s="24"/>
      <c r="D19696" s="26"/>
      <c r="E19696" s="24"/>
      <c r="F19696" s="24"/>
      <c r="G19696" s="24"/>
      <c r="H19696" s="24"/>
      <c r="I19696" s="24"/>
      <c r="J19696" s="24"/>
      <c r="K19696" s="24"/>
      <c r="L19696" s="24"/>
      <c r="M19696" s="24"/>
      <c r="N19696" s="24"/>
      <c r="O19696" s="24"/>
      <c r="P19696" s="24"/>
      <c r="Q19696" s="24"/>
      <c r="R19696" s="24"/>
      <c r="S19696" s="24"/>
      <c r="T19696" s="24"/>
      <c r="U19696" s="24"/>
      <c r="V19696" s="24"/>
      <c r="W19696" s="24"/>
      <c r="X19696" s="24"/>
      <c r="Y19696" s="24"/>
      <c r="Z19696" s="24"/>
      <c r="AA19696" s="24"/>
    </row>
    <row r="19697">
      <c r="A19697" s="24"/>
      <c r="B19697" s="25"/>
      <c r="C19697" s="24"/>
      <c r="D19697" s="26"/>
      <c r="E19697" s="24"/>
      <c r="F19697" s="24"/>
      <c r="G19697" s="24"/>
      <c r="H19697" s="24"/>
      <c r="I19697" s="24"/>
      <c r="J19697" s="24"/>
      <c r="K19697" s="24"/>
      <c r="L19697" s="24"/>
      <c r="M19697" s="24"/>
      <c r="N19697" s="24"/>
      <c r="O19697" s="24"/>
      <c r="P19697" s="24"/>
      <c r="Q19697" s="24"/>
      <c r="R19697" s="24"/>
      <c r="S19697" s="24"/>
      <c r="T19697" s="24"/>
      <c r="U19697" s="24"/>
      <c r="V19697" s="24"/>
      <c r="W19697" s="24"/>
      <c r="X19697" s="24"/>
      <c r="Y19697" s="24"/>
      <c r="Z19697" s="24"/>
      <c r="AA19697" s="24"/>
    </row>
    <row r="19698">
      <c r="A19698" s="24"/>
      <c r="B19698" s="25"/>
      <c r="C19698" s="24"/>
      <c r="D19698" s="26"/>
      <c r="E19698" s="24"/>
      <c r="F19698" s="24"/>
      <c r="G19698" s="24"/>
      <c r="H19698" s="24"/>
      <c r="I19698" s="24"/>
      <c r="J19698" s="24"/>
      <c r="K19698" s="24"/>
      <c r="L19698" s="24"/>
      <c r="M19698" s="24"/>
      <c r="N19698" s="24"/>
      <c r="O19698" s="24"/>
      <c r="P19698" s="24"/>
      <c r="Q19698" s="24"/>
      <c r="R19698" s="24"/>
      <c r="S19698" s="24"/>
      <c r="T19698" s="24"/>
      <c r="U19698" s="24"/>
      <c r="V19698" s="24"/>
      <c r="W19698" s="24"/>
      <c r="X19698" s="24"/>
      <c r="Y19698" s="24"/>
      <c r="Z19698" s="24"/>
      <c r="AA19698" s="24"/>
    </row>
    <row r="19699">
      <c r="A19699" s="24"/>
      <c r="B19699" s="25"/>
      <c r="C19699" s="24"/>
      <c r="D19699" s="26"/>
      <c r="E19699" s="24"/>
      <c r="F19699" s="24"/>
      <c r="G19699" s="24"/>
      <c r="H19699" s="24"/>
      <c r="I19699" s="24"/>
      <c r="J19699" s="24"/>
      <c r="K19699" s="24"/>
      <c r="L19699" s="24"/>
      <c r="M19699" s="24"/>
      <c r="N19699" s="24"/>
      <c r="O19699" s="24"/>
      <c r="P19699" s="24"/>
      <c r="Q19699" s="24"/>
      <c r="R19699" s="24"/>
      <c r="S19699" s="24"/>
      <c r="T19699" s="24"/>
      <c r="U19699" s="24"/>
      <c r="V19699" s="24"/>
      <c r="W19699" s="24"/>
      <c r="X19699" s="24"/>
      <c r="Y19699" s="24"/>
      <c r="Z19699" s="24"/>
      <c r="AA19699" s="24"/>
    </row>
    <row r="19700">
      <c r="A19700" s="24"/>
      <c r="B19700" s="25"/>
      <c r="C19700" s="24"/>
      <c r="D19700" s="26"/>
      <c r="E19700" s="24"/>
      <c r="F19700" s="24"/>
      <c r="G19700" s="24"/>
      <c r="H19700" s="24"/>
      <c r="I19700" s="24"/>
      <c r="J19700" s="24"/>
      <c r="K19700" s="24"/>
      <c r="L19700" s="24"/>
      <c r="M19700" s="24"/>
      <c r="N19700" s="24"/>
      <c r="O19700" s="24"/>
      <c r="P19700" s="24"/>
      <c r="Q19700" s="24"/>
      <c r="R19700" s="24"/>
      <c r="S19700" s="24"/>
      <c r="T19700" s="24"/>
      <c r="U19700" s="24"/>
      <c r="V19700" s="24"/>
      <c r="W19700" s="24"/>
      <c r="X19700" s="24"/>
      <c r="Y19700" s="24"/>
      <c r="Z19700" s="24"/>
      <c r="AA19700" s="24"/>
    </row>
    <row r="19701">
      <c r="A19701" s="24"/>
      <c r="B19701" s="25"/>
      <c r="C19701" s="24"/>
      <c r="D19701" s="26"/>
      <c r="E19701" s="24"/>
      <c r="F19701" s="24"/>
      <c r="G19701" s="24"/>
      <c r="H19701" s="24"/>
      <c r="I19701" s="24"/>
      <c r="J19701" s="24"/>
      <c r="K19701" s="24"/>
      <c r="L19701" s="24"/>
      <c r="M19701" s="24"/>
      <c r="N19701" s="24"/>
      <c r="O19701" s="24"/>
      <c r="P19701" s="24"/>
      <c r="Q19701" s="24"/>
      <c r="R19701" s="24"/>
      <c r="S19701" s="24"/>
      <c r="T19701" s="24"/>
      <c r="U19701" s="24"/>
      <c r="V19701" s="24"/>
      <c r="W19701" s="24"/>
      <c r="X19701" s="24"/>
      <c r="Y19701" s="24"/>
      <c r="Z19701" s="24"/>
      <c r="AA19701" s="24"/>
    </row>
    <row r="19702">
      <c r="A19702" s="24"/>
      <c r="B19702" s="25"/>
      <c r="C19702" s="24"/>
      <c r="D19702" s="26"/>
      <c r="E19702" s="24"/>
      <c r="F19702" s="24"/>
      <c r="G19702" s="24"/>
      <c r="H19702" s="24"/>
      <c r="I19702" s="24"/>
      <c r="J19702" s="24"/>
      <c r="K19702" s="24"/>
      <c r="L19702" s="24"/>
      <c r="M19702" s="24"/>
      <c r="N19702" s="24"/>
      <c r="O19702" s="24"/>
      <c r="P19702" s="24"/>
      <c r="Q19702" s="24"/>
      <c r="R19702" s="24"/>
      <c r="S19702" s="24"/>
      <c r="T19702" s="24"/>
      <c r="U19702" s="24"/>
      <c r="V19702" s="24"/>
      <c r="W19702" s="24"/>
      <c r="X19702" s="24"/>
      <c r="Y19702" s="24"/>
      <c r="Z19702" s="24"/>
      <c r="AA19702" s="24"/>
    </row>
    <row r="19703">
      <c r="A19703" s="24"/>
      <c r="B19703" s="25"/>
      <c r="C19703" s="24"/>
      <c r="D19703" s="26"/>
      <c r="E19703" s="24"/>
      <c r="F19703" s="24"/>
      <c r="G19703" s="24"/>
      <c r="H19703" s="24"/>
      <c r="I19703" s="24"/>
      <c r="J19703" s="24"/>
      <c r="K19703" s="24"/>
      <c r="L19703" s="24"/>
      <c r="M19703" s="24"/>
      <c r="N19703" s="24"/>
      <c r="O19703" s="24"/>
      <c r="P19703" s="24"/>
      <c r="Q19703" s="24"/>
      <c r="R19703" s="24"/>
      <c r="S19703" s="24"/>
      <c r="T19703" s="24"/>
      <c r="U19703" s="24"/>
      <c r="V19703" s="24"/>
      <c r="W19703" s="24"/>
      <c r="X19703" s="24"/>
      <c r="Y19703" s="24"/>
      <c r="Z19703" s="24"/>
      <c r="AA19703" s="24"/>
    </row>
    <row r="19704">
      <c r="A19704" s="24"/>
      <c r="B19704" s="25"/>
      <c r="C19704" s="24"/>
      <c r="D19704" s="26"/>
      <c r="E19704" s="24"/>
      <c r="F19704" s="24"/>
      <c r="G19704" s="24"/>
      <c r="H19704" s="24"/>
      <c r="I19704" s="24"/>
      <c r="J19704" s="24"/>
      <c r="K19704" s="24"/>
      <c r="L19704" s="24"/>
      <c r="M19704" s="24"/>
      <c r="N19704" s="24"/>
      <c r="O19704" s="24"/>
      <c r="P19704" s="24"/>
      <c r="Q19704" s="24"/>
      <c r="R19704" s="24"/>
      <c r="S19704" s="24"/>
      <c r="T19704" s="24"/>
      <c r="U19704" s="24"/>
      <c r="V19704" s="24"/>
      <c r="W19704" s="24"/>
      <c r="X19704" s="24"/>
      <c r="Y19704" s="24"/>
      <c r="Z19704" s="24"/>
      <c r="AA19704" s="24"/>
    </row>
    <row r="19705">
      <c r="A19705" s="24"/>
      <c r="B19705" s="25"/>
      <c r="C19705" s="24"/>
      <c r="D19705" s="26"/>
      <c r="E19705" s="24"/>
      <c r="F19705" s="24"/>
      <c r="G19705" s="24"/>
      <c r="H19705" s="24"/>
      <c r="I19705" s="24"/>
      <c r="J19705" s="24"/>
      <c r="K19705" s="24"/>
      <c r="L19705" s="24"/>
      <c r="M19705" s="24"/>
      <c r="N19705" s="24"/>
      <c r="O19705" s="24"/>
      <c r="P19705" s="24"/>
      <c r="Q19705" s="24"/>
      <c r="R19705" s="24"/>
      <c r="S19705" s="24"/>
      <c r="T19705" s="24"/>
      <c r="U19705" s="24"/>
      <c r="V19705" s="24"/>
      <c r="W19705" s="24"/>
      <c r="X19705" s="24"/>
      <c r="Y19705" s="24"/>
      <c r="Z19705" s="24"/>
      <c r="AA19705" s="24"/>
    </row>
    <row r="19706">
      <c r="A19706" s="24"/>
      <c r="B19706" s="25"/>
      <c r="C19706" s="24"/>
      <c r="D19706" s="26"/>
      <c r="E19706" s="24"/>
      <c r="F19706" s="24"/>
      <c r="G19706" s="24"/>
      <c r="H19706" s="24"/>
      <c r="I19706" s="24"/>
      <c r="J19706" s="24"/>
      <c r="K19706" s="24"/>
      <c r="L19706" s="24"/>
      <c r="M19706" s="24"/>
      <c r="N19706" s="24"/>
      <c r="O19706" s="24"/>
      <c r="P19706" s="24"/>
      <c r="Q19706" s="24"/>
      <c r="R19706" s="24"/>
      <c r="S19706" s="24"/>
      <c r="T19706" s="24"/>
      <c r="U19706" s="24"/>
      <c r="V19706" s="24"/>
      <c r="W19706" s="24"/>
      <c r="X19706" s="24"/>
      <c r="Y19706" s="24"/>
      <c r="Z19706" s="24"/>
      <c r="AA19706" s="24"/>
    </row>
    <row r="19707">
      <c r="A19707" s="24"/>
      <c r="B19707" s="25"/>
      <c r="C19707" s="24"/>
      <c r="D19707" s="26"/>
      <c r="E19707" s="24"/>
      <c r="F19707" s="24"/>
      <c r="G19707" s="24"/>
      <c r="H19707" s="24"/>
      <c r="I19707" s="24"/>
      <c r="J19707" s="24"/>
      <c r="K19707" s="24"/>
      <c r="L19707" s="24"/>
      <c r="M19707" s="24"/>
      <c r="N19707" s="24"/>
      <c r="O19707" s="24"/>
      <c r="P19707" s="24"/>
      <c r="Q19707" s="24"/>
      <c r="R19707" s="24"/>
      <c r="S19707" s="24"/>
      <c r="T19707" s="24"/>
      <c r="U19707" s="24"/>
      <c r="V19707" s="24"/>
      <c r="W19707" s="24"/>
      <c r="X19707" s="24"/>
      <c r="Y19707" s="24"/>
      <c r="Z19707" s="24"/>
      <c r="AA19707" s="24"/>
    </row>
    <row r="19708">
      <c r="A19708" s="24"/>
      <c r="B19708" s="25"/>
      <c r="C19708" s="24"/>
      <c r="D19708" s="26"/>
      <c r="E19708" s="24"/>
      <c r="F19708" s="24"/>
      <c r="G19708" s="24"/>
      <c r="H19708" s="24"/>
      <c r="I19708" s="24"/>
      <c r="J19708" s="24"/>
      <c r="K19708" s="24"/>
      <c r="L19708" s="24"/>
      <c r="M19708" s="24"/>
      <c r="N19708" s="24"/>
      <c r="O19708" s="24"/>
      <c r="P19708" s="24"/>
      <c r="Q19708" s="24"/>
      <c r="R19708" s="24"/>
      <c r="S19708" s="24"/>
      <c r="T19708" s="24"/>
      <c r="U19708" s="24"/>
      <c r="V19708" s="24"/>
      <c r="W19708" s="24"/>
      <c r="X19708" s="24"/>
      <c r="Y19708" s="24"/>
      <c r="Z19708" s="24"/>
      <c r="AA19708" s="24"/>
    </row>
    <row r="19709">
      <c r="A19709" s="24"/>
      <c r="B19709" s="25"/>
      <c r="C19709" s="24"/>
      <c r="D19709" s="26"/>
      <c r="E19709" s="24"/>
      <c r="F19709" s="24"/>
      <c r="G19709" s="24"/>
      <c r="H19709" s="24"/>
      <c r="I19709" s="24"/>
      <c r="J19709" s="24"/>
      <c r="K19709" s="24"/>
      <c r="L19709" s="24"/>
      <c r="M19709" s="24"/>
      <c r="N19709" s="24"/>
      <c r="O19709" s="24"/>
      <c r="P19709" s="24"/>
      <c r="Q19709" s="24"/>
      <c r="R19709" s="24"/>
      <c r="S19709" s="24"/>
      <c r="T19709" s="24"/>
      <c r="U19709" s="24"/>
      <c r="V19709" s="24"/>
      <c r="W19709" s="24"/>
      <c r="X19709" s="24"/>
      <c r="Y19709" s="24"/>
      <c r="Z19709" s="24"/>
      <c r="AA19709" s="24"/>
    </row>
    <row r="19710">
      <c r="A19710" s="24"/>
      <c r="B19710" s="25"/>
      <c r="C19710" s="24"/>
      <c r="D19710" s="26"/>
      <c r="E19710" s="24"/>
      <c r="F19710" s="24"/>
      <c r="G19710" s="24"/>
      <c r="H19710" s="24"/>
      <c r="I19710" s="24"/>
      <c r="J19710" s="24"/>
      <c r="K19710" s="24"/>
      <c r="L19710" s="24"/>
      <c r="M19710" s="24"/>
      <c r="N19710" s="24"/>
      <c r="O19710" s="24"/>
      <c r="P19710" s="24"/>
      <c r="Q19710" s="24"/>
      <c r="R19710" s="24"/>
      <c r="S19710" s="24"/>
      <c r="T19710" s="24"/>
      <c r="U19710" s="24"/>
      <c r="V19710" s="24"/>
      <c r="W19710" s="24"/>
      <c r="X19710" s="24"/>
      <c r="Y19710" s="24"/>
      <c r="Z19710" s="24"/>
      <c r="AA19710" s="24"/>
    </row>
    <row r="19711">
      <c r="A19711" s="24"/>
      <c r="B19711" s="25"/>
      <c r="C19711" s="24"/>
      <c r="D19711" s="26"/>
      <c r="E19711" s="24"/>
      <c r="F19711" s="24"/>
      <c r="G19711" s="24"/>
      <c r="H19711" s="24"/>
      <c r="I19711" s="24"/>
      <c r="J19711" s="24"/>
      <c r="K19711" s="24"/>
      <c r="L19711" s="24"/>
      <c r="M19711" s="24"/>
      <c r="N19711" s="24"/>
      <c r="O19711" s="24"/>
      <c r="P19711" s="24"/>
      <c r="Q19711" s="24"/>
      <c r="R19711" s="24"/>
      <c r="S19711" s="24"/>
      <c r="T19711" s="24"/>
      <c r="U19711" s="24"/>
      <c r="V19711" s="24"/>
      <c r="W19711" s="24"/>
      <c r="X19711" s="24"/>
      <c r="Y19711" s="24"/>
      <c r="Z19711" s="24"/>
      <c r="AA19711" s="24"/>
    </row>
    <row r="19712">
      <c r="A19712" s="24"/>
      <c r="B19712" s="25"/>
      <c r="C19712" s="24"/>
      <c r="D19712" s="26"/>
      <c r="E19712" s="24"/>
      <c r="F19712" s="24"/>
      <c r="G19712" s="24"/>
      <c r="H19712" s="24"/>
      <c r="I19712" s="24"/>
      <c r="J19712" s="24"/>
      <c r="K19712" s="24"/>
      <c r="L19712" s="24"/>
      <c r="M19712" s="24"/>
      <c r="N19712" s="24"/>
      <c r="O19712" s="24"/>
      <c r="P19712" s="24"/>
      <c r="Q19712" s="24"/>
      <c r="R19712" s="24"/>
      <c r="S19712" s="24"/>
      <c r="T19712" s="24"/>
      <c r="U19712" s="24"/>
      <c r="V19712" s="24"/>
      <c r="W19712" s="24"/>
      <c r="X19712" s="24"/>
      <c r="Y19712" s="24"/>
      <c r="Z19712" s="24"/>
      <c r="AA19712" s="24"/>
    </row>
    <row r="19713">
      <c r="A19713" s="24"/>
      <c r="B19713" s="25"/>
      <c r="C19713" s="24"/>
      <c r="D19713" s="26"/>
      <c r="E19713" s="24"/>
      <c r="F19713" s="24"/>
      <c r="G19713" s="24"/>
      <c r="H19713" s="24"/>
      <c r="I19713" s="24"/>
      <c r="J19713" s="24"/>
      <c r="K19713" s="24"/>
      <c r="L19713" s="24"/>
      <c r="M19713" s="24"/>
      <c r="N19713" s="24"/>
      <c r="O19713" s="24"/>
      <c r="P19713" s="24"/>
      <c r="Q19713" s="24"/>
      <c r="R19713" s="24"/>
      <c r="S19713" s="24"/>
      <c r="T19713" s="24"/>
      <c r="U19713" s="24"/>
      <c r="V19713" s="24"/>
      <c r="W19713" s="24"/>
      <c r="X19713" s="24"/>
      <c r="Y19713" s="24"/>
      <c r="Z19713" s="24"/>
      <c r="AA19713" s="24"/>
    </row>
    <row r="19714">
      <c r="A19714" s="24"/>
      <c r="B19714" s="25"/>
      <c r="C19714" s="24"/>
      <c r="D19714" s="26"/>
      <c r="E19714" s="24"/>
      <c r="F19714" s="24"/>
      <c r="G19714" s="24"/>
      <c r="H19714" s="24"/>
      <c r="I19714" s="24"/>
      <c r="J19714" s="24"/>
      <c r="K19714" s="24"/>
      <c r="L19714" s="24"/>
      <c r="M19714" s="24"/>
      <c r="N19714" s="24"/>
      <c r="O19714" s="24"/>
      <c r="P19714" s="24"/>
      <c r="Q19714" s="24"/>
      <c r="R19714" s="24"/>
      <c r="S19714" s="24"/>
      <c r="T19714" s="24"/>
      <c r="U19714" s="24"/>
      <c r="V19714" s="24"/>
      <c r="W19714" s="24"/>
      <c r="X19714" s="24"/>
      <c r="Y19714" s="24"/>
      <c r="Z19714" s="24"/>
      <c r="AA19714" s="24"/>
    </row>
    <row r="19715">
      <c r="A19715" s="24"/>
      <c r="B19715" s="25"/>
      <c r="C19715" s="24"/>
      <c r="D19715" s="26"/>
      <c r="E19715" s="24"/>
      <c r="F19715" s="24"/>
      <c r="G19715" s="24"/>
      <c r="H19715" s="24"/>
      <c r="I19715" s="24"/>
      <c r="J19715" s="24"/>
      <c r="K19715" s="24"/>
      <c r="L19715" s="24"/>
      <c r="M19715" s="24"/>
      <c r="N19715" s="24"/>
      <c r="O19715" s="24"/>
      <c r="P19715" s="24"/>
      <c r="Q19715" s="24"/>
      <c r="R19715" s="24"/>
      <c r="S19715" s="24"/>
      <c r="T19715" s="24"/>
      <c r="U19715" s="24"/>
      <c r="V19715" s="24"/>
      <c r="W19715" s="24"/>
      <c r="X19715" s="24"/>
      <c r="Y19715" s="24"/>
      <c r="Z19715" s="24"/>
      <c r="AA19715" s="24"/>
    </row>
    <row r="19716">
      <c r="A19716" s="24"/>
      <c r="B19716" s="25"/>
      <c r="C19716" s="24"/>
      <c r="D19716" s="26"/>
      <c r="E19716" s="24"/>
      <c r="F19716" s="24"/>
      <c r="G19716" s="24"/>
      <c r="H19716" s="24"/>
      <c r="I19716" s="24"/>
      <c r="J19716" s="24"/>
      <c r="K19716" s="24"/>
      <c r="L19716" s="24"/>
      <c r="M19716" s="24"/>
      <c r="N19716" s="24"/>
      <c r="O19716" s="24"/>
      <c r="P19716" s="24"/>
      <c r="Q19716" s="24"/>
      <c r="R19716" s="24"/>
      <c r="S19716" s="24"/>
      <c r="T19716" s="24"/>
      <c r="U19716" s="24"/>
      <c r="V19716" s="24"/>
      <c r="W19716" s="24"/>
      <c r="X19716" s="24"/>
      <c r="Y19716" s="24"/>
      <c r="Z19716" s="24"/>
      <c r="AA19716" s="24"/>
    </row>
    <row r="19717">
      <c r="A19717" s="24"/>
      <c r="B19717" s="25"/>
      <c r="C19717" s="24"/>
      <c r="D19717" s="26"/>
      <c r="E19717" s="24"/>
      <c r="F19717" s="24"/>
      <c r="G19717" s="24"/>
      <c r="H19717" s="24"/>
      <c r="I19717" s="24"/>
      <c r="J19717" s="24"/>
      <c r="K19717" s="24"/>
      <c r="L19717" s="24"/>
      <c r="M19717" s="24"/>
      <c r="N19717" s="24"/>
      <c r="O19717" s="24"/>
      <c r="P19717" s="24"/>
      <c r="Q19717" s="24"/>
      <c r="R19717" s="24"/>
      <c r="S19717" s="24"/>
      <c r="T19717" s="24"/>
      <c r="U19717" s="24"/>
      <c r="V19717" s="24"/>
      <c r="W19717" s="24"/>
      <c r="X19717" s="24"/>
      <c r="Y19717" s="24"/>
      <c r="Z19717" s="24"/>
      <c r="AA19717" s="24"/>
    </row>
    <row r="19718">
      <c r="A19718" s="24"/>
      <c r="B19718" s="25"/>
      <c r="C19718" s="24"/>
      <c r="D19718" s="26"/>
      <c r="E19718" s="24"/>
      <c r="F19718" s="24"/>
      <c r="G19718" s="24"/>
      <c r="H19718" s="24"/>
      <c r="I19718" s="24"/>
      <c r="J19718" s="24"/>
      <c r="K19718" s="24"/>
      <c r="L19718" s="24"/>
      <c r="M19718" s="24"/>
      <c r="N19718" s="24"/>
      <c r="O19718" s="24"/>
      <c r="P19718" s="24"/>
      <c r="Q19718" s="24"/>
      <c r="R19718" s="24"/>
      <c r="S19718" s="24"/>
      <c r="T19718" s="24"/>
      <c r="U19718" s="24"/>
      <c r="V19718" s="24"/>
      <c r="W19718" s="24"/>
      <c r="X19718" s="24"/>
      <c r="Y19718" s="24"/>
      <c r="Z19718" s="24"/>
      <c r="AA19718" s="24"/>
    </row>
    <row r="19719">
      <c r="A19719" s="24"/>
      <c r="B19719" s="25"/>
      <c r="C19719" s="24"/>
      <c r="D19719" s="26"/>
      <c r="E19719" s="24"/>
      <c r="F19719" s="24"/>
      <c r="G19719" s="24"/>
      <c r="H19719" s="24"/>
      <c r="I19719" s="24"/>
      <c r="J19719" s="24"/>
      <c r="K19719" s="24"/>
      <c r="L19719" s="24"/>
      <c r="M19719" s="24"/>
      <c r="N19719" s="24"/>
      <c r="O19719" s="24"/>
      <c r="P19719" s="24"/>
      <c r="Q19719" s="24"/>
      <c r="R19719" s="24"/>
      <c r="S19719" s="24"/>
      <c r="T19719" s="24"/>
      <c r="U19719" s="24"/>
      <c r="V19719" s="24"/>
      <c r="W19719" s="24"/>
      <c r="X19719" s="24"/>
      <c r="Y19719" s="24"/>
      <c r="Z19719" s="24"/>
      <c r="AA19719" s="24"/>
    </row>
    <row r="19720">
      <c r="A19720" s="24"/>
      <c r="B19720" s="25"/>
      <c r="C19720" s="24"/>
      <c r="D19720" s="26"/>
      <c r="E19720" s="24"/>
      <c r="F19720" s="24"/>
      <c r="G19720" s="24"/>
      <c r="H19720" s="24"/>
      <c r="I19720" s="24"/>
      <c r="J19720" s="24"/>
      <c r="K19720" s="24"/>
      <c r="L19720" s="24"/>
      <c r="M19720" s="24"/>
      <c r="N19720" s="24"/>
      <c r="O19720" s="24"/>
      <c r="P19720" s="24"/>
      <c r="Q19720" s="24"/>
      <c r="R19720" s="24"/>
      <c r="S19720" s="24"/>
      <c r="T19720" s="24"/>
      <c r="U19720" s="24"/>
      <c r="V19720" s="24"/>
      <c r="W19720" s="24"/>
      <c r="X19720" s="24"/>
      <c r="Y19720" s="24"/>
      <c r="Z19720" s="24"/>
      <c r="AA19720" s="24"/>
    </row>
    <row r="19721">
      <c r="A19721" s="24"/>
      <c r="B19721" s="25"/>
      <c r="C19721" s="24"/>
      <c r="D19721" s="26"/>
      <c r="E19721" s="24"/>
      <c r="F19721" s="24"/>
      <c r="G19721" s="24"/>
      <c r="H19721" s="24"/>
      <c r="I19721" s="24"/>
      <c r="J19721" s="24"/>
      <c r="K19721" s="24"/>
      <c r="L19721" s="24"/>
      <c r="M19721" s="24"/>
      <c r="N19721" s="24"/>
      <c r="O19721" s="24"/>
      <c r="P19721" s="24"/>
      <c r="Q19721" s="24"/>
      <c r="R19721" s="24"/>
      <c r="S19721" s="24"/>
      <c r="T19721" s="24"/>
      <c r="U19721" s="24"/>
      <c r="V19721" s="24"/>
      <c r="W19721" s="24"/>
      <c r="X19721" s="24"/>
      <c r="Y19721" s="24"/>
      <c r="Z19721" s="24"/>
      <c r="AA19721" s="24"/>
    </row>
    <row r="19722">
      <c r="A19722" s="24"/>
      <c r="B19722" s="25"/>
      <c r="C19722" s="24"/>
      <c r="D19722" s="26"/>
      <c r="E19722" s="24"/>
      <c r="F19722" s="24"/>
      <c r="G19722" s="24"/>
      <c r="H19722" s="24"/>
      <c r="I19722" s="24"/>
      <c r="J19722" s="24"/>
      <c r="K19722" s="24"/>
      <c r="L19722" s="24"/>
      <c r="M19722" s="24"/>
      <c r="N19722" s="24"/>
      <c r="O19722" s="24"/>
      <c r="P19722" s="24"/>
      <c r="Q19722" s="24"/>
      <c r="R19722" s="24"/>
      <c r="S19722" s="24"/>
      <c r="T19722" s="24"/>
      <c r="U19722" s="24"/>
      <c r="V19722" s="24"/>
      <c r="W19722" s="24"/>
      <c r="X19722" s="24"/>
      <c r="Y19722" s="24"/>
      <c r="Z19722" s="24"/>
      <c r="AA19722" s="24"/>
    </row>
    <row r="19723">
      <c r="A19723" s="24"/>
      <c r="B19723" s="25"/>
      <c r="C19723" s="24"/>
      <c r="D19723" s="26"/>
      <c r="E19723" s="24"/>
      <c r="F19723" s="24"/>
      <c r="G19723" s="24"/>
      <c r="H19723" s="24"/>
      <c r="I19723" s="24"/>
      <c r="J19723" s="24"/>
      <c r="K19723" s="24"/>
      <c r="L19723" s="24"/>
      <c r="M19723" s="24"/>
      <c r="N19723" s="24"/>
      <c r="O19723" s="24"/>
      <c r="P19723" s="24"/>
      <c r="Q19723" s="24"/>
      <c r="R19723" s="24"/>
      <c r="S19723" s="24"/>
      <c r="T19723" s="24"/>
      <c r="U19723" s="24"/>
      <c r="V19723" s="24"/>
      <c r="W19723" s="24"/>
      <c r="X19723" s="24"/>
      <c r="Y19723" s="24"/>
      <c r="Z19723" s="24"/>
      <c r="AA19723" s="24"/>
    </row>
    <row r="19724">
      <c r="A19724" s="24"/>
      <c r="B19724" s="25"/>
      <c r="C19724" s="24"/>
      <c r="D19724" s="26"/>
      <c r="E19724" s="24"/>
      <c r="F19724" s="24"/>
      <c r="G19724" s="24"/>
      <c r="H19724" s="24"/>
      <c r="I19724" s="24"/>
      <c r="J19724" s="24"/>
      <c r="K19724" s="24"/>
      <c r="L19724" s="24"/>
      <c r="M19724" s="24"/>
      <c r="N19724" s="24"/>
      <c r="O19724" s="24"/>
      <c r="P19724" s="24"/>
      <c r="Q19724" s="24"/>
      <c r="R19724" s="24"/>
      <c r="S19724" s="24"/>
      <c r="T19724" s="24"/>
      <c r="U19724" s="24"/>
      <c r="V19724" s="24"/>
      <c r="W19724" s="24"/>
      <c r="X19724" s="24"/>
      <c r="Y19724" s="24"/>
      <c r="Z19724" s="24"/>
      <c r="AA19724" s="24"/>
    </row>
    <row r="19725">
      <c r="A19725" s="24"/>
      <c r="B19725" s="25"/>
      <c r="C19725" s="24"/>
      <c r="D19725" s="26"/>
      <c r="E19725" s="24"/>
      <c r="F19725" s="24"/>
      <c r="G19725" s="24"/>
      <c r="H19725" s="24"/>
      <c r="I19725" s="24"/>
      <c r="J19725" s="24"/>
      <c r="K19725" s="24"/>
      <c r="L19725" s="24"/>
      <c r="M19725" s="24"/>
      <c r="N19725" s="24"/>
      <c r="O19725" s="24"/>
      <c r="P19725" s="24"/>
      <c r="Q19725" s="24"/>
      <c r="R19725" s="24"/>
      <c r="S19725" s="24"/>
      <c r="T19725" s="24"/>
      <c r="U19725" s="24"/>
      <c r="V19725" s="24"/>
      <c r="W19725" s="24"/>
      <c r="X19725" s="24"/>
      <c r="Y19725" s="24"/>
      <c r="Z19725" s="24"/>
      <c r="AA19725" s="24"/>
    </row>
    <row r="19726">
      <c r="A19726" s="24"/>
      <c r="B19726" s="25"/>
      <c r="C19726" s="24"/>
      <c r="D19726" s="26"/>
      <c r="E19726" s="24"/>
      <c r="F19726" s="24"/>
      <c r="G19726" s="24"/>
      <c r="H19726" s="24"/>
      <c r="I19726" s="24"/>
      <c r="J19726" s="24"/>
      <c r="K19726" s="24"/>
      <c r="L19726" s="24"/>
      <c r="M19726" s="24"/>
      <c r="N19726" s="24"/>
      <c r="O19726" s="24"/>
      <c r="P19726" s="24"/>
      <c r="Q19726" s="24"/>
      <c r="R19726" s="24"/>
      <c r="S19726" s="24"/>
      <c r="T19726" s="24"/>
      <c r="U19726" s="24"/>
      <c r="V19726" s="24"/>
      <c r="W19726" s="24"/>
      <c r="X19726" s="24"/>
      <c r="Y19726" s="24"/>
      <c r="Z19726" s="24"/>
      <c r="AA19726" s="24"/>
    </row>
    <row r="19727">
      <c r="A19727" s="24"/>
      <c r="B19727" s="25"/>
      <c r="C19727" s="24"/>
      <c r="D19727" s="26"/>
      <c r="E19727" s="24"/>
      <c r="F19727" s="24"/>
      <c r="G19727" s="24"/>
      <c r="H19727" s="24"/>
      <c r="I19727" s="24"/>
      <c r="J19727" s="24"/>
      <c r="K19727" s="24"/>
      <c r="L19727" s="24"/>
      <c r="M19727" s="24"/>
      <c r="N19727" s="24"/>
      <c r="O19727" s="24"/>
      <c r="P19727" s="24"/>
      <c r="Q19727" s="24"/>
      <c r="R19727" s="24"/>
      <c r="S19727" s="24"/>
      <c r="T19727" s="24"/>
      <c r="U19727" s="24"/>
      <c r="V19727" s="24"/>
      <c r="W19727" s="24"/>
      <c r="X19727" s="24"/>
      <c r="Y19727" s="24"/>
      <c r="Z19727" s="24"/>
      <c r="AA19727" s="24"/>
    </row>
    <row r="19728">
      <c r="A19728" s="24"/>
      <c r="B19728" s="25"/>
      <c r="C19728" s="24"/>
      <c r="D19728" s="26"/>
      <c r="E19728" s="24"/>
      <c r="F19728" s="24"/>
      <c r="G19728" s="24"/>
      <c r="H19728" s="24"/>
      <c r="I19728" s="24"/>
      <c r="J19728" s="24"/>
      <c r="K19728" s="24"/>
      <c r="L19728" s="24"/>
      <c r="M19728" s="24"/>
      <c r="N19728" s="24"/>
      <c r="O19728" s="24"/>
      <c r="P19728" s="24"/>
      <c r="Q19728" s="24"/>
      <c r="R19728" s="24"/>
      <c r="S19728" s="24"/>
      <c r="T19728" s="24"/>
      <c r="U19728" s="24"/>
      <c r="V19728" s="24"/>
      <c r="W19728" s="24"/>
      <c r="X19728" s="24"/>
      <c r="Y19728" s="24"/>
      <c r="Z19728" s="24"/>
      <c r="AA19728" s="24"/>
    </row>
    <row r="19729">
      <c r="A19729" s="24"/>
      <c r="B19729" s="25"/>
      <c r="C19729" s="24"/>
      <c r="D19729" s="26"/>
      <c r="E19729" s="24"/>
      <c r="F19729" s="24"/>
      <c r="G19729" s="24"/>
      <c r="H19729" s="24"/>
      <c r="I19729" s="24"/>
      <c r="J19729" s="24"/>
      <c r="K19729" s="24"/>
      <c r="L19729" s="24"/>
      <c r="M19729" s="24"/>
      <c r="N19729" s="24"/>
      <c r="O19729" s="24"/>
      <c r="P19729" s="24"/>
      <c r="Q19729" s="24"/>
      <c r="R19729" s="24"/>
      <c r="S19729" s="24"/>
      <c r="T19729" s="24"/>
      <c r="U19729" s="24"/>
      <c r="V19729" s="24"/>
      <c r="W19729" s="24"/>
      <c r="X19729" s="24"/>
      <c r="Y19729" s="24"/>
      <c r="Z19729" s="24"/>
      <c r="AA19729" s="24"/>
    </row>
    <row r="19730">
      <c r="A19730" s="24"/>
      <c r="B19730" s="25"/>
      <c r="C19730" s="24"/>
      <c r="D19730" s="26"/>
      <c r="E19730" s="24"/>
      <c r="F19730" s="24"/>
      <c r="G19730" s="24"/>
      <c r="H19730" s="24"/>
      <c r="I19730" s="24"/>
      <c r="J19730" s="24"/>
      <c r="K19730" s="24"/>
      <c r="L19730" s="24"/>
      <c r="M19730" s="24"/>
      <c r="N19730" s="24"/>
      <c r="O19730" s="24"/>
      <c r="P19730" s="24"/>
      <c r="Q19730" s="24"/>
      <c r="R19730" s="24"/>
      <c r="S19730" s="24"/>
      <c r="T19730" s="24"/>
      <c r="U19730" s="24"/>
      <c r="V19730" s="24"/>
      <c r="W19730" s="24"/>
      <c r="X19730" s="24"/>
      <c r="Y19730" s="24"/>
      <c r="Z19730" s="24"/>
      <c r="AA19730" s="24"/>
    </row>
    <row r="19731">
      <c r="A19731" s="24"/>
      <c r="B19731" s="25"/>
      <c r="C19731" s="24"/>
      <c r="D19731" s="26"/>
      <c r="E19731" s="24"/>
      <c r="F19731" s="24"/>
      <c r="G19731" s="24"/>
      <c r="H19731" s="24"/>
      <c r="I19731" s="24"/>
      <c r="J19731" s="24"/>
      <c r="K19731" s="24"/>
      <c r="L19731" s="24"/>
      <c r="M19731" s="24"/>
      <c r="N19731" s="24"/>
      <c r="O19731" s="24"/>
      <c r="P19731" s="24"/>
      <c r="Q19731" s="24"/>
      <c r="R19731" s="24"/>
      <c r="S19731" s="24"/>
      <c r="T19731" s="24"/>
      <c r="U19731" s="24"/>
      <c r="V19731" s="24"/>
      <c r="W19731" s="24"/>
      <c r="X19731" s="24"/>
      <c r="Y19731" s="24"/>
      <c r="Z19731" s="24"/>
      <c r="AA19731" s="24"/>
    </row>
    <row r="19732">
      <c r="A19732" s="24"/>
      <c r="B19732" s="25"/>
      <c r="C19732" s="24"/>
      <c r="D19732" s="26"/>
      <c r="E19732" s="24"/>
      <c r="F19732" s="24"/>
      <c r="G19732" s="24"/>
      <c r="H19732" s="24"/>
      <c r="I19732" s="24"/>
      <c r="J19732" s="24"/>
      <c r="K19732" s="24"/>
      <c r="L19732" s="24"/>
      <c r="M19732" s="24"/>
      <c r="N19732" s="24"/>
      <c r="O19732" s="24"/>
      <c r="P19732" s="24"/>
      <c r="Q19732" s="24"/>
      <c r="R19732" s="24"/>
      <c r="S19732" s="24"/>
      <c r="T19732" s="24"/>
      <c r="U19732" s="24"/>
      <c r="V19732" s="24"/>
      <c r="W19732" s="24"/>
      <c r="X19732" s="24"/>
      <c r="Y19732" s="24"/>
      <c r="Z19732" s="24"/>
      <c r="AA19732" s="24"/>
    </row>
    <row r="19733">
      <c r="A19733" s="24"/>
      <c r="B19733" s="25"/>
      <c r="C19733" s="24"/>
      <c r="D19733" s="26"/>
      <c r="E19733" s="24"/>
      <c r="F19733" s="24"/>
      <c r="G19733" s="24"/>
      <c r="H19733" s="24"/>
      <c r="I19733" s="24"/>
      <c r="J19733" s="24"/>
      <c r="K19733" s="24"/>
      <c r="L19733" s="24"/>
      <c r="M19733" s="24"/>
      <c r="N19733" s="24"/>
      <c r="O19733" s="24"/>
      <c r="P19733" s="24"/>
      <c r="Q19733" s="24"/>
      <c r="R19733" s="24"/>
      <c r="S19733" s="24"/>
      <c r="T19733" s="24"/>
      <c r="U19733" s="24"/>
      <c r="V19733" s="24"/>
      <c r="W19733" s="24"/>
      <c r="X19733" s="24"/>
      <c r="Y19733" s="24"/>
      <c r="Z19733" s="24"/>
      <c r="AA19733" s="24"/>
    </row>
    <row r="19734">
      <c r="A19734" s="24"/>
      <c r="B19734" s="25"/>
      <c r="C19734" s="24"/>
      <c r="D19734" s="26"/>
      <c r="E19734" s="24"/>
      <c r="F19734" s="24"/>
      <c r="G19734" s="24"/>
      <c r="H19734" s="24"/>
      <c r="I19734" s="24"/>
      <c r="J19734" s="24"/>
      <c r="K19734" s="24"/>
      <c r="L19734" s="24"/>
      <c r="M19734" s="24"/>
      <c r="N19734" s="24"/>
      <c r="O19734" s="24"/>
      <c r="P19734" s="24"/>
      <c r="Q19734" s="24"/>
      <c r="R19734" s="24"/>
      <c r="S19734" s="24"/>
      <c r="T19734" s="24"/>
      <c r="U19734" s="24"/>
      <c r="V19734" s="24"/>
      <c r="W19734" s="24"/>
      <c r="X19734" s="24"/>
      <c r="Y19734" s="24"/>
      <c r="Z19734" s="24"/>
      <c r="AA19734" s="24"/>
    </row>
    <row r="19735">
      <c r="A19735" s="24"/>
      <c r="B19735" s="25"/>
      <c r="C19735" s="24"/>
      <c r="D19735" s="26"/>
      <c r="E19735" s="24"/>
      <c r="F19735" s="24"/>
      <c r="G19735" s="24"/>
      <c r="H19735" s="24"/>
      <c r="I19735" s="24"/>
      <c r="J19735" s="24"/>
      <c r="K19735" s="24"/>
      <c r="L19735" s="24"/>
      <c r="M19735" s="24"/>
      <c r="N19735" s="24"/>
      <c r="O19735" s="24"/>
      <c r="P19735" s="24"/>
      <c r="Q19735" s="24"/>
      <c r="R19735" s="24"/>
      <c r="S19735" s="24"/>
      <c r="T19735" s="24"/>
      <c r="U19735" s="24"/>
      <c r="V19735" s="24"/>
      <c r="W19735" s="24"/>
      <c r="X19735" s="24"/>
      <c r="Y19735" s="24"/>
      <c r="Z19735" s="24"/>
      <c r="AA19735" s="24"/>
    </row>
    <row r="19736">
      <c r="A19736" s="24"/>
      <c r="B19736" s="25"/>
      <c r="C19736" s="24"/>
      <c r="D19736" s="26"/>
      <c r="E19736" s="24"/>
      <c r="F19736" s="24"/>
      <c r="G19736" s="24"/>
      <c r="H19736" s="24"/>
      <c r="I19736" s="24"/>
      <c r="J19736" s="24"/>
      <c r="K19736" s="24"/>
      <c r="L19736" s="24"/>
      <c r="M19736" s="24"/>
      <c r="N19736" s="24"/>
      <c r="O19736" s="24"/>
      <c r="P19736" s="24"/>
      <c r="Q19736" s="24"/>
      <c r="R19736" s="24"/>
      <c r="S19736" s="24"/>
      <c r="T19736" s="24"/>
      <c r="U19736" s="24"/>
      <c r="V19736" s="24"/>
      <c r="W19736" s="24"/>
      <c r="X19736" s="24"/>
      <c r="Y19736" s="24"/>
      <c r="Z19736" s="24"/>
      <c r="AA19736" s="24"/>
    </row>
    <row r="19737">
      <c r="A19737" s="24"/>
      <c r="B19737" s="25"/>
      <c r="C19737" s="24"/>
      <c r="D19737" s="26"/>
      <c r="E19737" s="24"/>
      <c r="F19737" s="24"/>
      <c r="G19737" s="24"/>
      <c r="H19737" s="24"/>
      <c r="I19737" s="24"/>
      <c r="J19737" s="24"/>
      <c r="K19737" s="24"/>
      <c r="L19737" s="24"/>
      <c r="M19737" s="24"/>
      <c r="N19737" s="24"/>
      <c r="O19737" s="24"/>
      <c r="P19737" s="24"/>
      <c r="Q19737" s="24"/>
      <c r="R19737" s="24"/>
      <c r="S19737" s="24"/>
      <c r="T19737" s="24"/>
      <c r="U19737" s="24"/>
      <c r="V19737" s="24"/>
      <c r="W19737" s="24"/>
      <c r="X19737" s="24"/>
      <c r="Y19737" s="24"/>
      <c r="Z19737" s="24"/>
      <c r="AA19737" s="24"/>
    </row>
    <row r="19738">
      <c r="A19738" s="24"/>
      <c r="B19738" s="25"/>
      <c r="C19738" s="24"/>
      <c r="D19738" s="26"/>
      <c r="E19738" s="24"/>
      <c r="F19738" s="24"/>
      <c r="G19738" s="24"/>
      <c r="H19738" s="24"/>
      <c r="I19738" s="24"/>
      <c r="J19738" s="24"/>
      <c r="K19738" s="24"/>
      <c r="L19738" s="24"/>
      <c r="M19738" s="24"/>
      <c r="N19738" s="24"/>
      <c r="O19738" s="24"/>
      <c r="P19738" s="24"/>
      <c r="Q19738" s="24"/>
      <c r="R19738" s="24"/>
      <c r="S19738" s="24"/>
      <c r="T19738" s="24"/>
      <c r="U19738" s="24"/>
      <c r="V19738" s="24"/>
      <c r="W19738" s="24"/>
      <c r="X19738" s="24"/>
      <c r="Y19738" s="24"/>
      <c r="Z19738" s="24"/>
      <c r="AA19738" s="24"/>
    </row>
    <row r="19739">
      <c r="A19739" s="24"/>
      <c r="B19739" s="25"/>
      <c r="C19739" s="24"/>
      <c r="D19739" s="26"/>
      <c r="E19739" s="24"/>
      <c r="F19739" s="24"/>
      <c r="G19739" s="24"/>
      <c r="H19739" s="24"/>
      <c r="I19739" s="24"/>
      <c r="J19739" s="24"/>
      <c r="K19739" s="24"/>
      <c r="L19739" s="24"/>
      <c r="M19739" s="24"/>
      <c r="N19739" s="24"/>
      <c r="O19739" s="24"/>
      <c r="P19739" s="24"/>
      <c r="Q19739" s="24"/>
      <c r="R19739" s="24"/>
      <c r="S19739" s="24"/>
      <c r="T19739" s="24"/>
      <c r="U19739" s="24"/>
      <c r="V19739" s="24"/>
      <c r="W19739" s="24"/>
      <c r="X19739" s="24"/>
      <c r="Y19739" s="24"/>
      <c r="Z19739" s="24"/>
      <c r="AA19739" s="24"/>
    </row>
    <row r="19740">
      <c r="A19740" s="24"/>
      <c r="B19740" s="25"/>
      <c r="C19740" s="24"/>
      <c r="D19740" s="26"/>
      <c r="E19740" s="24"/>
      <c r="F19740" s="24"/>
      <c r="G19740" s="24"/>
      <c r="H19740" s="24"/>
      <c r="I19740" s="24"/>
      <c r="J19740" s="24"/>
      <c r="K19740" s="24"/>
      <c r="L19740" s="24"/>
      <c r="M19740" s="24"/>
      <c r="N19740" s="24"/>
      <c r="O19740" s="24"/>
      <c r="P19740" s="24"/>
      <c r="Q19740" s="24"/>
      <c r="R19740" s="24"/>
      <c r="S19740" s="24"/>
      <c r="T19740" s="24"/>
      <c r="U19740" s="24"/>
      <c r="V19740" s="24"/>
      <c r="W19740" s="24"/>
      <c r="X19740" s="24"/>
      <c r="Y19740" s="24"/>
      <c r="Z19740" s="24"/>
      <c r="AA19740" s="24"/>
    </row>
    <row r="19741">
      <c r="A19741" s="24"/>
      <c r="B19741" s="25"/>
      <c r="C19741" s="24"/>
      <c r="D19741" s="26"/>
      <c r="E19741" s="24"/>
      <c r="F19741" s="24"/>
      <c r="G19741" s="24"/>
      <c r="H19741" s="24"/>
      <c r="I19741" s="24"/>
      <c r="J19741" s="24"/>
      <c r="K19741" s="24"/>
      <c r="L19741" s="24"/>
      <c r="M19741" s="24"/>
      <c r="N19741" s="24"/>
      <c r="O19741" s="24"/>
      <c r="P19741" s="24"/>
      <c r="Q19741" s="24"/>
      <c r="R19741" s="24"/>
      <c r="S19741" s="24"/>
      <c r="T19741" s="24"/>
      <c r="U19741" s="24"/>
      <c r="V19741" s="24"/>
      <c r="W19741" s="24"/>
      <c r="X19741" s="24"/>
      <c r="Y19741" s="24"/>
      <c r="Z19741" s="24"/>
      <c r="AA19741" s="24"/>
    </row>
    <row r="19742">
      <c r="A19742" s="24"/>
      <c r="B19742" s="25"/>
      <c r="C19742" s="24"/>
      <c r="D19742" s="26"/>
      <c r="E19742" s="24"/>
      <c r="F19742" s="24"/>
      <c r="G19742" s="24"/>
      <c r="H19742" s="24"/>
      <c r="I19742" s="24"/>
      <c r="J19742" s="24"/>
      <c r="K19742" s="24"/>
      <c r="L19742" s="24"/>
      <c r="M19742" s="24"/>
      <c r="N19742" s="24"/>
      <c r="O19742" s="24"/>
      <c r="P19742" s="24"/>
      <c r="Q19742" s="24"/>
      <c r="R19742" s="24"/>
      <c r="S19742" s="24"/>
      <c r="T19742" s="24"/>
      <c r="U19742" s="24"/>
      <c r="V19742" s="24"/>
      <c r="W19742" s="24"/>
      <c r="X19742" s="24"/>
      <c r="Y19742" s="24"/>
      <c r="Z19742" s="24"/>
      <c r="AA19742" s="24"/>
    </row>
    <row r="19743">
      <c r="A19743" s="24"/>
      <c r="B19743" s="25"/>
      <c r="C19743" s="24"/>
      <c r="D19743" s="26"/>
      <c r="E19743" s="24"/>
      <c r="F19743" s="24"/>
      <c r="G19743" s="24"/>
      <c r="H19743" s="24"/>
      <c r="I19743" s="24"/>
      <c r="J19743" s="24"/>
      <c r="K19743" s="24"/>
      <c r="L19743" s="24"/>
      <c r="M19743" s="24"/>
      <c r="N19743" s="24"/>
      <c r="O19743" s="24"/>
      <c r="P19743" s="24"/>
      <c r="Q19743" s="24"/>
      <c r="R19743" s="24"/>
      <c r="S19743" s="24"/>
      <c r="T19743" s="24"/>
      <c r="U19743" s="24"/>
      <c r="V19743" s="24"/>
      <c r="W19743" s="24"/>
      <c r="X19743" s="24"/>
      <c r="Y19743" s="24"/>
      <c r="Z19743" s="24"/>
      <c r="AA19743" s="24"/>
    </row>
    <row r="19744">
      <c r="A19744" s="24"/>
      <c r="B19744" s="25"/>
      <c r="C19744" s="24"/>
      <c r="D19744" s="26"/>
      <c r="E19744" s="24"/>
      <c r="F19744" s="24"/>
      <c r="G19744" s="24"/>
      <c r="H19744" s="24"/>
      <c r="I19744" s="24"/>
      <c r="J19744" s="24"/>
      <c r="K19744" s="24"/>
      <c r="L19744" s="24"/>
      <c r="M19744" s="24"/>
      <c r="N19744" s="24"/>
      <c r="O19744" s="24"/>
      <c r="P19744" s="24"/>
      <c r="Q19744" s="24"/>
      <c r="R19744" s="24"/>
      <c r="S19744" s="24"/>
      <c r="T19744" s="24"/>
      <c r="U19744" s="24"/>
      <c r="V19744" s="24"/>
      <c r="W19744" s="24"/>
      <c r="X19744" s="24"/>
      <c r="Y19744" s="24"/>
      <c r="Z19744" s="24"/>
      <c r="AA19744" s="24"/>
    </row>
    <row r="19745">
      <c r="A19745" s="24"/>
      <c r="B19745" s="25"/>
      <c r="C19745" s="24"/>
      <c r="D19745" s="26"/>
      <c r="E19745" s="24"/>
      <c r="F19745" s="24"/>
      <c r="G19745" s="24"/>
      <c r="H19745" s="24"/>
      <c r="I19745" s="24"/>
      <c r="J19745" s="24"/>
      <c r="K19745" s="24"/>
      <c r="L19745" s="24"/>
      <c r="M19745" s="24"/>
      <c r="N19745" s="24"/>
      <c r="O19745" s="24"/>
      <c r="P19745" s="24"/>
      <c r="Q19745" s="24"/>
      <c r="R19745" s="24"/>
      <c r="S19745" s="24"/>
      <c r="T19745" s="24"/>
      <c r="U19745" s="24"/>
      <c r="V19745" s="24"/>
      <c r="W19745" s="24"/>
      <c r="X19745" s="24"/>
      <c r="Y19745" s="24"/>
      <c r="Z19745" s="24"/>
      <c r="AA19745" s="24"/>
    </row>
    <row r="19746">
      <c r="A19746" s="24"/>
      <c r="B19746" s="25"/>
      <c r="C19746" s="24"/>
      <c r="D19746" s="26"/>
      <c r="E19746" s="24"/>
      <c r="F19746" s="24"/>
      <c r="G19746" s="24"/>
      <c r="H19746" s="24"/>
      <c r="I19746" s="24"/>
      <c r="J19746" s="24"/>
      <c r="K19746" s="24"/>
      <c r="L19746" s="24"/>
      <c r="M19746" s="24"/>
      <c r="N19746" s="24"/>
      <c r="O19746" s="24"/>
      <c r="P19746" s="24"/>
      <c r="Q19746" s="24"/>
      <c r="R19746" s="24"/>
      <c r="S19746" s="24"/>
      <c r="T19746" s="24"/>
      <c r="U19746" s="24"/>
      <c r="V19746" s="24"/>
      <c r="W19746" s="24"/>
      <c r="X19746" s="24"/>
      <c r="Y19746" s="24"/>
      <c r="Z19746" s="24"/>
      <c r="AA19746" s="24"/>
    </row>
    <row r="19747">
      <c r="A19747" s="24"/>
      <c r="B19747" s="25"/>
      <c r="C19747" s="24"/>
      <c r="D19747" s="26"/>
      <c r="E19747" s="24"/>
      <c r="F19747" s="24"/>
      <c r="G19747" s="24"/>
      <c r="H19747" s="24"/>
      <c r="I19747" s="24"/>
      <c r="J19747" s="24"/>
      <c r="K19747" s="24"/>
      <c r="L19747" s="24"/>
      <c r="M19747" s="24"/>
      <c r="N19747" s="24"/>
      <c r="O19747" s="24"/>
      <c r="P19747" s="24"/>
      <c r="Q19747" s="24"/>
      <c r="R19747" s="24"/>
      <c r="S19747" s="24"/>
      <c r="T19747" s="24"/>
      <c r="U19747" s="24"/>
      <c r="V19747" s="24"/>
      <c r="W19747" s="24"/>
      <c r="X19747" s="24"/>
      <c r="Y19747" s="24"/>
      <c r="Z19747" s="24"/>
      <c r="AA19747" s="24"/>
    </row>
    <row r="19748">
      <c r="A19748" s="24"/>
      <c r="B19748" s="25"/>
      <c r="C19748" s="24"/>
      <c r="D19748" s="26"/>
      <c r="E19748" s="24"/>
      <c r="F19748" s="24"/>
      <c r="G19748" s="24"/>
      <c r="H19748" s="24"/>
      <c r="I19748" s="24"/>
      <c r="J19748" s="24"/>
      <c r="K19748" s="24"/>
      <c r="L19748" s="24"/>
      <c r="M19748" s="24"/>
      <c r="N19748" s="24"/>
      <c r="O19748" s="24"/>
      <c r="P19748" s="24"/>
      <c r="Q19748" s="24"/>
      <c r="R19748" s="24"/>
      <c r="S19748" s="24"/>
      <c r="T19748" s="24"/>
      <c r="U19748" s="24"/>
      <c r="V19748" s="24"/>
      <c r="W19748" s="24"/>
      <c r="X19748" s="24"/>
      <c r="Y19748" s="24"/>
      <c r="Z19748" s="24"/>
      <c r="AA19748" s="24"/>
    </row>
    <row r="19749">
      <c r="A19749" s="24"/>
      <c r="B19749" s="25"/>
      <c r="C19749" s="24"/>
      <c r="D19749" s="26"/>
      <c r="E19749" s="24"/>
      <c r="F19749" s="24"/>
      <c r="G19749" s="24"/>
      <c r="H19749" s="24"/>
      <c r="I19749" s="24"/>
      <c r="J19749" s="24"/>
      <c r="K19749" s="24"/>
      <c r="L19749" s="24"/>
      <c r="M19749" s="24"/>
      <c r="N19749" s="24"/>
      <c r="O19749" s="24"/>
      <c r="P19749" s="24"/>
      <c r="Q19749" s="24"/>
      <c r="R19749" s="24"/>
      <c r="S19749" s="24"/>
      <c r="T19749" s="24"/>
      <c r="U19749" s="24"/>
      <c r="V19749" s="24"/>
      <c r="W19749" s="24"/>
      <c r="X19749" s="24"/>
      <c r="Y19749" s="24"/>
      <c r="Z19749" s="24"/>
      <c r="AA19749" s="24"/>
    </row>
    <row r="19750">
      <c r="A19750" s="24"/>
      <c r="B19750" s="25"/>
      <c r="C19750" s="24"/>
      <c r="D19750" s="26"/>
      <c r="E19750" s="24"/>
      <c r="F19750" s="24"/>
      <c r="G19750" s="24"/>
      <c r="H19750" s="24"/>
      <c r="I19750" s="24"/>
      <c r="J19750" s="24"/>
      <c r="K19750" s="24"/>
      <c r="L19750" s="24"/>
      <c r="M19750" s="24"/>
      <c r="N19750" s="24"/>
      <c r="O19750" s="24"/>
      <c r="P19750" s="24"/>
      <c r="Q19750" s="24"/>
      <c r="R19750" s="24"/>
      <c r="S19750" s="24"/>
      <c r="T19750" s="24"/>
      <c r="U19750" s="24"/>
      <c r="V19750" s="24"/>
      <c r="W19750" s="24"/>
      <c r="X19750" s="24"/>
      <c r="Y19750" s="24"/>
      <c r="Z19750" s="24"/>
      <c r="AA19750" s="24"/>
    </row>
    <row r="19751">
      <c r="A19751" s="24"/>
      <c r="B19751" s="25"/>
      <c r="C19751" s="24"/>
      <c r="D19751" s="26"/>
      <c r="E19751" s="24"/>
      <c r="F19751" s="24"/>
      <c r="G19751" s="24"/>
      <c r="H19751" s="24"/>
      <c r="I19751" s="24"/>
      <c r="J19751" s="24"/>
      <c r="K19751" s="24"/>
      <c r="L19751" s="24"/>
      <c r="M19751" s="24"/>
      <c r="N19751" s="24"/>
      <c r="O19751" s="24"/>
      <c r="P19751" s="24"/>
      <c r="Q19751" s="24"/>
      <c r="R19751" s="24"/>
      <c r="S19751" s="24"/>
      <c r="T19751" s="24"/>
      <c r="U19751" s="24"/>
      <c r="V19751" s="24"/>
      <c r="W19751" s="24"/>
      <c r="X19751" s="24"/>
      <c r="Y19751" s="24"/>
      <c r="Z19751" s="24"/>
      <c r="AA19751" s="24"/>
    </row>
    <row r="19752">
      <c r="A19752" s="24"/>
      <c r="B19752" s="25"/>
      <c r="C19752" s="24"/>
      <c r="D19752" s="26"/>
      <c r="E19752" s="24"/>
      <c r="F19752" s="24"/>
      <c r="G19752" s="24"/>
      <c r="H19752" s="24"/>
      <c r="I19752" s="24"/>
      <c r="J19752" s="24"/>
      <c r="K19752" s="24"/>
      <c r="L19752" s="24"/>
      <c r="M19752" s="24"/>
      <c r="N19752" s="24"/>
      <c r="O19752" s="24"/>
      <c r="P19752" s="24"/>
      <c r="Q19752" s="24"/>
      <c r="R19752" s="24"/>
      <c r="S19752" s="24"/>
      <c r="T19752" s="24"/>
      <c r="U19752" s="24"/>
      <c r="V19752" s="24"/>
      <c r="W19752" s="24"/>
      <c r="X19752" s="24"/>
      <c r="Y19752" s="24"/>
      <c r="Z19752" s="24"/>
      <c r="AA19752" s="24"/>
    </row>
    <row r="19753">
      <c r="A19753" s="24"/>
      <c r="B19753" s="25"/>
      <c r="C19753" s="24"/>
      <c r="D19753" s="26"/>
      <c r="E19753" s="24"/>
      <c r="F19753" s="24"/>
      <c r="G19753" s="24"/>
      <c r="H19753" s="24"/>
      <c r="I19753" s="24"/>
      <c r="J19753" s="24"/>
      <c r="K19753" s="24"/>
      <c r="L19753" s="24"/>
      <c r="M19753" s="24"/>
      <c r="N19753" s="24"/>
      <c r="O19753" s="24"/>
      <c r="P19753" s="24"/>
      <c r="Q19753" s="24"/>
      <c r="R19753" s="24"/>
      <c r="S19753" s="24"/>
      <c r="T19753" s="24"/>
      <c r="U19753" s="24"/>
      <c r="V19753" s="24"/>
      <c r="W19753" s="24"/>
      <c r="X19753" s="24"/>
      <c r="Y19753" s="24"/>
      <c r="Z19753" s="24"/>
      <c r="AA19753" s="24"/>
    </row>
    <row r="19754">
      <c r="A19754" s="24"/>
      <c r="B19754" s="25"/>
      <c r="C19754" s="24"/>
      <c r="D19754" s="26"/>
      <c r="E19754" s="24"/>
      <c r="F19754" s="24"/>
      <c r="G19754" s="24"/>
      <c r="H19754" s="24"/>
      <c r="I19754" s="24"/>
      <c r="J19754" s="24"/>
      <c r="K19754" s="24"/>
      <c r="L19754" s="24"/>
      <c r="M19754" s="24"/>
      <c r="N19754" s="24"/>
      <c r="O19754" s="24"/>
      <c r="P19754" s="24"/>
      <c r="Q19754" s="24"/>
      <c r="R19754" s="24"/>
      <c r="S19754" s="24"/>
      <c r="T19754" s="24"/>
      <c r="U19754" s="24"/>
      <c r="V19754" s="24"/>
      <c r="W19754" s="24"/>
      <c r="X19754" s="24"/>
      <c r="Y19754" s="24"/>
      <c r="Z19754" s="24"/>
      <c r="AA19754" s="24"/>
    </row>
    <row r="19755">
      <c r="A19755" s="24"/>
      <c r="B19755" s="25"/>
      <c r="C19755" s="24"/>
      <c r="D19755" s="26"/>
      <c r="E19755" s="24"/>
      <c r="F19755" s="24"/>
      <c r="G19755" s="24"/>
      <c r="H19755" s="24"/>
      <c r="I19755" s="24"/>
      <c r="J19755" s="24"/>
      <c r="K19755" s="24"/>
      <c r="L19755" s="24"/>
      <c r="M19755" s="24"/>
      <c r="N19755" s="24"/>
      <c r="O19755" s="24"/>
      <c r="P19755" s="24"/>
      <c r="Q19755" s="24"/>
      <c r="R19755" s="24"/>
      <c r="S19755" s="24"/>
      <c r="T19755" s="24"/>
      <c r="U19755" s="24"/>
      <c r="V19755" s="24"/>
      <c r="W19755" s="24"/>
      <c r="X19755" s="24"/>
      <c r="Y19755" s="24"/>
      <c r="Z19755" s="24"/>
      <c r="AA19755" s="24"/>
    </row>
    <row r="19756">
      <c r="A19756" s="24"/>
      <c r="B19756" s="25"/>
      <c r="C19756" s="24"/>
      <c r="D19756" s="26"/>
      <c r="E19756" s="24"/>
      <c r="F19756" s="24"/>
      <c r="G19756" s="24"/>
      <c r="H19756" s="24"/>
      <c r="I19756" s="24"/>
      <c r="J19756" s="24"/>
      <c r="K19756" s="24"/>
      <c r="L19756" s="24"/>
      <c r="M19756" s="24"/>
      <c r="N19756" s="24"/>
      <c r="O19756" s="24"/>
      <c r="P19756" s="24"/>
      <c r="Q19756" s="24"/>
      <c r="R19756" s="24"/>
      <c r="S19756" s="24"/>
      <c r="T19756" s="24"/>
      <c r="U19756" s="24"/>
      <c r="V19756" s="24"/>
      <c r="W19756" s="24"/>
      <c r="X19756" s="24"/>
      <c r="Y19756" s="24"/>
      <c r="Z19756" s="24"/>
      <c r="AA19756" s="24"/>
    </row>
    <row r="19757">
      <c r="A19757" s="24"/>
      <c r="B19757" s="25"/>
      <c r="C19757" s="24"/>
      <c r="D19757" s="26"/>
      <c r="E19757" s="24"/>
      <c r="F19757" s="24"/>
      <c r="G19757" s="24"/>
      <c r="H19757" s="24"/>
      <c r="I19757" s="24"/>
      <c r="J19757" s="24"/>
      <c r="K19757" s="24"/>
      <c r="L19757" s="24"/>
      <c r="M19757" s="24"/>
      <c r="N19757" s="24"/>
      <c r="O19757" s="24"/>
      <c r="P19757" s="24"/>
      <c r="Q19757" s="24"/>
      <c r="R19757" s="24"/>
      <c r="S19757" s="24"/>
      <c r="T19757" s="24"/>
      <c r="U19757" s="24"/>
      <c r="V19757" s="24"/>
      <c r="W19757" s="24"/>
      <c r="X19757" s="24"/>
      <c r="Y19757" s="24"/>
      <c r="Z19757" s="24"/>
      <c r="AA19757" s="24"/>
    </row>
    <row r="19758">
      <c r="A19758" s="24"/>
      <c r="B19758" s="25"/>
      <c r="C19758" s="24"/>
      <c r="D19758" s="26"/>
      <c r="E19758" s="24"/>
      <c r="F19758" s="24"/>
      <c r="G19758" s="24"/>
      <c r="H19758" s="24"/>
      <c r="I19758" s="24"/>
      <c r="J19758" s="24"/>
      <c r="K19758" s="24"/>
      <c r="L19758" s="24"/>
      <c r="M19758" s="24"/>
      <c r="N19758" s="24"/>
      <c r="O19758" s="24"/>
      <c r="P19758" s="24"/>
      <c r="Q19758" s="24"/>
      <c r="R19758" s="24"/>
      <c r="S19758" s="24"/>
      <c r="T19758" s="24"/>
      <c r="U19758" s="24"/>
      <c r="V19758" s="24"/>
      <c r="W19758" s="24"/>
      <c r="X19758" s="24"/>
      <c r="Y19758" s="24"/>
      <c r="Z19758" s="24"/>
      <c r="AA19758" s="24"/>
    </row>
    <row r="19759">
      <c r="A19759" s="24"/>
      <c r="B19759" s="25"/>
      <c r="C19759" s="24"/>
      <c r="D19759" s="26"/>
      <c r="E19759" s="24"/>
      <c r="F19759" s="24"/>
      <c r="G19759" s="24"/>
      <c r="H19759" s="24"/>
      <c r="I19759" s="24"/>
      <c r="J19759" s="24"/>
      <c r="K19759" s="24"/>
      <c r="L19759" s="24"/>
      <c r="M19759" s="24"/>
      <c r="N19759" s="24"/>
      <c r="O19759" s="24"/>
      <c r="P19759" s="24"/>
      <c r="Q19759" s="24"/>
      <c r="R19759" s="24"/>
      <c r="S19759" s="24"/>
      <c r="T19759" s="24"/>
      <c r="U19759" s="24"/>
      <c r="V19759" s="24"/>
      <c r="W19759" s="24"/>
      <c r="X19759" s="24"/>
      <c r="Y19759" s="24"/>
      <c r="Z19759" s="24"/>
      <c r="AA19759" s="24"/>
    </row>
    <row r="19760">
      <c r="A19760" s="24"/>
      <c r="B19760" s="25"/>
      <c r="C19760" s="24"/>
      <c r="D19760" s="26"/>
      <c r="E19760" s="24"/>
      <c r="F19760" s="24"/>
      <c r="G19760" s="24"/>
      <c r="H19760" s="24"/>
      <c r="I19760" s="24"/>
      <c r="J19760" s="24"/>
      <c r="K19760" s="24"/>
      <c r="L19760" s="24"/>
      <c r="M19760" s="24"/>
      <c r="N19760" s="24"/>
      <c r="O19760" s="24"/>
      <c r="P19760" s="24"/>
      <c r="Q19760" s="24"/>
      <c r="R19760" s="24"/>
      <c r="S19760" s="24"/>
      <c r="T19760" s="24"/>
      <c r="U19760" s="24"/>
      <c r="V19760" s="24"/>
      <c r="W19760" s="24"/>
      <c r="X19760" s="24"/>
      <c r="Y19760" s="24"/>
      <c r="Z19760" s="24"/>
      <c r="AA19760" s="24"/>
    </row>
    <row r="19761">
      <c r="A19761" s="24"/>
      <c r="B19761" s="25"/>
      <c r="C19761" s="24"/>
      <c r="D19761" s="26"/>
      <c r="E19761" s="24"/>
      <c r="F19761" s="24"/>
      <c r="G19761" s="24"/>
      <c r="H19761" s="24"/>
      <c r="I19761" s="24"/>
      <c r="J19761" s="24"/>
      <c r="K19761" s="24"/>
      <c r="L19761" s="24"/>
      <c r="M19761" s="24"/>
      <c r="N19761" s="24"/>
      <c r="O19761" s="24"/>
      <c r="P19761" s="24"/>
      <c r="Q19761" s="24"/>
      <c r="R19761" s="24"/>
      <c r="S19761" s="24"/>
      <c r="T19761" s="24"/>
      <c r="U19761" s="24"/>
      <c r="V19761" s="24"/>
      <c r="W19761" s="24"/>
      <c r="X19761" s="24"/>
      <c r="Y19761" s="24"/>
      <c r="Z19761" s="24"/>
      <c r="AA19761" s="24"/>
    </row>
    <row r="19762">
      <c r="A19762" s="24"/>
      <c r="B19762" s="25"/>
      <c r="C19762" s="24"/>
      <c r="D19762" s="26"/>
      <c r="E19762" s="24"/>
      <c r="F19762" s="24"/>
      <c r="G19762" s="24"/>
      <c r="H19762" s="24"/>
      <c r="I19762" s="24"/>
      <c r="J19762" s="24"/>
      <c r="K19762" s="24"/>
      <c r="L19762" s="24"/>
      <c r="M19762" s="24"/>
      <c r="N19762" s="24"/>
      <c r="O19762" s="24"/>
      <c r="P19762" s="24"/>
      <c r="Q19762" s="24"/>
      <c r="R19762" s="24"/>
      <c r="S19762" s="24"/>
      <c r="T19762" s="24"/>
      <c r="U19762" s="24"/>
      <c r="V19762" s="24"/>
      <c r="W19762" s="24"/>
      <c r="X19762" s="24"/>
      <c r="Y19762" s="24"/>
      <c r="Z19762" s="24"/>
      <c r="AA19762" s="24"/>
    </row>
    <row r="19763">
      <c r="A19763" s="24"/>
      <c r="B19763" s="25"/>
      <c r="C19763" s="24"/>
      <c r="D19763" s="26"/>
      <c r="E19763" s="24"/>
      <c r="F19763" s="24"/>
      <c r="G19763" s="24"/>
      <c r="H19763" s="24"/>
      <c r="I19763" s="24"/>
      <c r="J19763" s="24"/>
      <c r="K19763" s="24"/>
      <c r="L19763" s="24"/>
      <c r="M19763" s="24"/>
      <c r="N19763" s="24"/>
      <c r="O19763" s="24"/>
      <c r="P19763" s="24"/>
      <c r="Q19763" s="24"/>
      <c r="R19763" s="24"/>
      <c r="S19763" s="24"/>
      <c r="T19763" s="24"/>
      <c r="U19763" s="24"/>
      <c r="V19763" s="24"/>
      <c r="W19763" s="24"/>
      <c r="X19763" s="24"/>
      <c r="Y19763" s="24"/>
      <c r="Z19763" s="24"/>
      <c r="AA19763" s="24"/>
    </row>
    <row r="19764">
      <c r="A19764" s="24"/>
      <c r="B19764" s="25"/>
      <c r="C19764" s="24"/>
      <c r="D19764" s="26"/>
      <c r="E19764" s="24"/>
      <c r="F19764" s="24"/>
      <c r="G19764" s="24"/>
      <c r="H19764" s="24"/>
      <c r="I19764" s="24"/>
      <c r="J19764" s="24"/>
      <c r="K19764" s="24"/>
      <c r="L19764" s="24"/>
      <c r="M19764" s="24"/>
      <c r="N19764" s="24"/>
      <c r="O19764" s="24"/>
      <c r="P19764" s="24"/>
      <c r="Q19764" s="24"/>
      <c r="R19764" s="24"/>
      <c r="S19764" s="24"/>
      <c r="T19764" s="24"/>
      <c r="U19764" s="24"/>
      <c r="V19764" s="24"/>
      <c r="W19764" s="24"/>
      <c r="X19764" s="24"/>
      <c r="Y19764" s="24"/>
      <c r="Z19764" s="24"/>
      <c r="AA19764" s="24"/>
    </row>
    <row r="19765">
      <c r="A19765" s="24"/>
      <c r="B19765" s="25"/>
      <c r="C19765" s="24"/>
      <c r="D19765" s="26"/>
      <c r="E19765" s="24"/>
      <c r="F19765" s="24"/>
      <c r="G19765" s="24"/>
      <c r="H19765" s="24"/>
      <c r="I19765" s="24"/>
      <c r="J19765" s="24"/>
      <c r="K19765" s="24"/>
      <c r="L19765" s="24"/>
      <c r="M19765" s="24"/>
      <c r="N19765" s="24"/>
      <c r="O19765" s="24"/>
      <c r="P19765" s="24"/>
      <c r="Q19765" s="24"/>
      <c r="R19765" s="24"/>
      <c r="S19765" s="24"/>
      <c r="T19765" s="24"/>
      <c r="U19765" s="24"/>
      <c r="V19765" s="24"/>
      <c r="W19765" s="24"/>
      <c r="X19765" s="24"/>
      <c r="Y19765" s="24"/>
      <c r="Z19765" s="24"/>
      <c r="AA19765" s="24"/>
    </row>
    <row r="19766">
      <c r="A19766" s="24"/>
      <c r="B19766" s="25"/>
      <c r="C19766" s="24"/>
      <c r="D19766" s="26"/>
      <c r="E19766" s="24"/>
      <c r="F19766" s="24"/>
      <c r="G19766" s="24"/>
      <c r="H19766" s="24"/>
      <c r="I19766" s="24"/>
      <c r="J19766" s="24"/>
      <c r="K19766" s="24"/>
      <c r="L19766" s="24"/>
      <c r="M19766" s="24"/>
      <c r="N19766" s="24"/>
      <c r="O19766" s="24"/>
      <c r="P19766" s="24"/>
      <c r="Q19766" s="24"/>
      <c r="R19766" s="24"/>
      <c r="S19766" s="24"/>
      <c r="T19766" s="24"/>
      <c r="U19766" s="24"/>
      <c r="V19766" s="24"/>
      <c r="W19766" s="24"/>
      <c r="X19766" s="24"/>
      <c r="Y19766" s="24"/>
      <c r="Z19766" s="24"/>
      <c r="AA19766" s="24"/>
    </row>
    <row r="19767">
      <c r="A19767" s="24"/>
      <c r="B19767" s="25"/>
      <c r="C19767" s="24"/>
      <c r="D19767" s="26"/>
      <c r="E19767" s="24"/>
      <c r="F19767" s="24"/>
      <c r="G19767" s="24"/>
      <c r="H19767" s="24"/>
      <c r="I19767" s="24"/>
      <c r="J19767" s="24"/>
      <c r="K19767" s="24"/>
      <c r="L19767" s="24"/>
      <c r="M19767" s="24"/>
      <c r="N19767" s="24"/>
      <c r="O19767" s="24"/>
      <c r="P19767" s="24"/>
      <c r="Q19767" s="24"/>
      <c r="R19767" s="24"/>
      <c r="S19767" s="24"/>
      <c r="T19767" s="24"/>
      <c r="U19767" s="24"/>
      <c r="V19767" s="24"/>
      <c r="W19767" s="24"/>
      <c r="X19767" s="24"/>
      <c r="Y19767" s="24"/>
      <c r="Z19767" s="24"/>
      <c r="AA19767" s="24"/>
    </row>
    <row r="19768">
      <c r="A19768" s="24"/>
      <c r="B19768" s="25"/>
      <c r="C19768" s="24"/>
      <c r="D19768" s="26"/>
      <c r="E19768" s="24"/>
      <c r="F19768" s="24"/>
      <c r="G19768" s="24"/>
      <c r="H19768" s="24"/>
      <c r="I19768" s="24"/>
      <c r="J19768" s="24"/>
      <c r="K19768" s="24"/>
      <c r="L19768" s="24"/>
      <c r="M19768" s="24"/>
      <c r="N19768" s="24"/>
      <c r="O19768" s="24"/>
      <c r="P19768" s="24"/>
      <c r="Q19768" s="24"/>
      <c r="R19768" s="24"/>
      <c r="S19768" s="24"/>
      <c r="T19768" s="24"/>
      <c r="U19768" s="24"/>
      <c r="V19768" s="24"/>
      <c r="W19768" s="24"/>
      <c r="X19768" s="24"/>
      <c r="Y19768" s="24"/>
      <c r="Z19768" s="24"/>
      <c r="AA19768" s="24"/>
    </row>
    <row r="19769">
      <c r="A19769" s="24"/>
      <c r="B19769" s="25"/>
      <c r="C19769" s="24"/>
      <c r="D19769" s="26"/>
      <c r="E19769" s="24"/>
      <c r="F19769" s="24"/>
      <c r="G19769" s="24"/>
      <c r="H19769" s="24"/>
      <c r="I19769" s="24"/>
      <c r="J19769" s="24"/>
      <c r="K19769" s="24"/>
      <c r="L19769" s="24"/>
      <c r="M19769" s="24"/>
      <c r="N19769" s="24"/>
      <c r="O19769" s="24"/>
      <c r="P19769" s="24"/>
      <c r="Q19769" s="24"/>
      <c r="R19769" s="24"/>
      <c r="S19769" s="24"/>
      <c r="T19769" s="24"/>
      <c r="U19769" s="24"/>
      <c r="V19769" s="24"/>
      <c r="W19769" s="24"/>
      <c r="X19769" s="24"/>
      <c r="Y19769" s="24"/>
      <c r="Z19769" s="24"/>
      <c r="AA19769" s="24"/>
    </row>
    <row r="19770">
      <c r="A19770" s="24"/>
      <c r="B19770" s="25"/>
      <c r="C19770" s="24"/>
      <c r="D19770" s="26"/>
      <c r="E19770" s="24"/>
      <c r="F19770" s="24"/>
      <c r="G19770" s="24"/>
      <c r="H19770" s="24"/>
      <c r="I19770" s="24"/>
      <c r="J19770" s="24"/>
      <c r="K19770" s="24"/>
      <c r="L19770" s="24"/>
      <c r="M19770" s="24"/>
      <c r="N19770" s="24"/>
      <c r="O19770" s="24"/>
      <c r="P19770" s="24"/>
      <c r="Q19770" s="24"/>
      <c r="R19770" s="24"/>
      <c r="S19770" s="24"/>
      <c r="T19770" s="24"/>
      <c r="U19770" s="24"/>
      <c r="V19770" s="24"/>
      <c r="W19770" s="24"/>
      <c r="X19770" s="24"/>
      <c r="Y19770" s="24"/>
      <c r="Z19770" s="24"/>
      <c r="AA19770" s="24"/>
    </row>
    <row r="19771">
      <c r="A19771" s="24"/>
      <c r="B19771" s="25"/>
      <c r="C19771" s="24"/>
      <c r="D19771" s="26"/>
      <c r="E19771" s="24"/>
      <c r="F19771" s="24"/>
      <c r="G19771" s="24"/>
      <c r="H19771" s="24"/>
      <c r="I19771" s="24"/>
      <c r="J19771" s="24"/>
      <c r="K19771" s="24"/>
      <c r="L19771" s="24"/>
      <c r="M19771" s="24"/>
      <c r="N19771" s="24"/>
      <c r="O19771" s="24"/>
      <c r="P19771" s="24"/>
      <c r="Q19771" s="24"/>
      <c r="R19771" s="24"/>
      <c r="S19771" s="24"/>
      <c r="T19771" s="24"/>
      <c r="U19771" s="24"/>
      <c r="V19771" s="24"/>
      <c r="W19771" s="24"/>
      <c r="X19771" s="24"/>
      <c r="Y19771" s="24"/>
      <c r="Z19771" s="24"/>
      <c r="AA19771" s="24"/>
    </row>
    <row r="19772">
      <c r="A19772" s="24"/>
      <c r="B19772" s="25"/>
      <c r="C19772" s="24"/>
      <c r="D19772" s="26"/>
      <c r="E19772" s="24"/>
      <c r="F19772" s="24"/>
      <c r="G19772" s="24"/>
      <c r="H19772" s="24"/>
      <c r="I19772" s="24"/>
      <c r="J19772" s="24"/>
      <c r="K19772" s="24"/>
      <c r="L19772" s="24"/>
      <c r="M19772" s="24"/>
      <c r="N19772" s="24"/>
      <c r="O19772" s="24"/>
      <c r="P19772" s="24"/>
      <c r="Q19772" s="24"/>
      <c r="R19772" s="24"/>
      <c r="S19772" s="24"/>
      <c r="T19772" s="24"/>
      <c r="U19772" s="24"/>
      <c r="V19772" s="24"/>
      <c r="W19772" s="24"/>
      <c r="X19772" s="24"/>
      <c r="Y19772" s="24"/>
      <c r="Z19772" s="24"/>
      <c r="AA19772" s="24"/>
    </row>
    <row r="19773">
      <c r="A19773" s="24"/>
      <c r="B19773" s="25"/>
      <c r="C19773" s="24"/>
      <c r="D19773" s="26"/>
      <c r="E19773" s="24"/>
      <c r="F19773" s="24"/>
      <c r="G19773" s="24"/>
      <c r="H19773" s="24"/>
      <c r="I19773" s="24"/>
      <c r="J19773" s="24"/>
      <c r="K19773" s="24"/>
      <c r="L19773" s="24"/>
      <c r="M19773" s="24"/>
      <c r="N19773" s="24"/>
      <c r="O19773" s="24"/>
      <c r="P19773" s="24"/>
      <c r="Q19773" s="24"/>
      <c r="R19773" s="24"/>
      <c r="S19773" s="24"/>
      <c r="T19773" s="24"/>
      <c r="U19773" s="24"/>
      <c r="V19773" s="24"/>
      <c r="W19773" s="24"/>
      <c r="X19773" s="24"/>
      <c r="Y19773" s="24"/>
      <c r="Z19773" s="24"/>
      <c r="AA19773" s="24"/>
    </row>
    <row r="19774">
      <c r="A19774" s="24"/>
      <c r="B19774" s="25"/>
      <c r="C19774" s="24"/>
      <c r="D19774" s="26"/>
      <c r="E19774" s="24"/>
      <c r="F19774" s="24"/>
      <c r="G19774" s="24"/>
      <c r="H19774" s="24"/>
      <c r="I19774" s="24"/>
      <c r="J19774" s="24"/>
      <c r="K19774" s="24"/>
      <c r="L19774" s="24"/>
      <c r="M19774" s="24"/>
      <c r="N19774" s="24"/>
      <c r="O19774" s="24"/>
      <c r="P19774" s="24"/>
      <c r="Q19774" s="24"/>
      <c r="R19774" s="24"/>
      <c r="S19774" s="24"/>
      <c r="T19774" s="24"/>
      <c r="U19774" s="24"/>
      <c r="V19774" s="24"/>
      <c r="W19774" s="24"/>
      <c r="X19774" s="24"/>
      <c r="Y19774" s="24"/>
      <c r="Z19774" s="24"/>
      <c r="AA19774" s="24"/>
    </row>
    <row r="19775">
      <c r="A19775" s="24"/>
      <c r="B19775" s="25"/>
      <c r="C19775" s="24"/>
      <c r="D19775" s="26"/>
      <c r="E19775" s="24"/>
      <c r="F19775" s="24"/>
      <c r="G19775" s="24"/>
      <c r="H19775" s="24"/>
      <c r="I19775" s="24"/>
      <c r="J19775" s="24"/>
      <c r="K19775" s="24"/>
      <c r="L19775" s="24"/>
      <c r="M19775" s="24"/>
      <c r="N19775" s="24"/>
      <c r="O19775" s="24"/>
      <c r="P19775" s="24"/>
      <c r="Q19775" s="24"/>
      <c r="R19775" s="24"/>
      <c r="S19775" s="24"/>
      <c r="T19775" s="24"/>
      <c r="U19775" s="24"/>
      <c r="V19775" s="24"/>
      <c r="W19775" s="24"/>
      <c r="X19775" s="24"/>
      <c r="Y19775" s="24"/>
      <c r="Z19775" s="24"/>
      <c r="AA19775" s="24"/>
    </row>
    <row r="19776">
      <c r="A19776" s="24"/>
      <c r="B19776" s="25"/>
      <c r="C19776" s="24"/>
      <c r="D19776" s="26"/>
      <c r="E19776" s="24"/>
      <c r="F19776" s="24"/>
      <c r="G19776" s="24"/>
      <c r="H19776" s="24"/>
      <c r="I19776" s="24"/>
      <c r="J19776" s="24"/>
      <c r="K19776" s="24"/>
      <c r="L19776" s="24"/>
      <c r="M19776" s="24"/>
      <c r="N19776" s="24"/>
      <c r="O19776" s="24"/>
      <c r="P19776" s="24"/>
      <c r="Q19776" s="24"/>
      <c r="R19776" s="24"/>
      <c r="S19776" s="24"/>
      <c r="T19776" s="24"/>
      <c r="U19776" s="24"/>
      <c r="V19776" s="24"/>
      <c r="W19776" s="24"/>
      <c r="X19776" s="24"/>
      <c r="Y19776" s="24"/>
      <c r="Z19776" s="24"/>
      <c r="AA19776" s="24"/>
    </row>
    <row r="19777">
      <c r="A19777" s="24"/>
      <c r="B19777" s="25"/>
      <c r="C19777" s="24"/>
      <c r="D19777" s="26"/>
      <c r="E19777" s="24"/>
      <c r="F19777" s="24"/>
      <c r="G19777" s="24"/>
      <c r="H19777" s="24"/>
      <c r="I19777" s="24"/>
      <c r="J19777" s="24"/>
      <c r="K19777" s="24"/>
      <c r="L19777" s="24"/>
      <c r="M19777" s="24"/>
      <c r="N19777" s="24"/>
      <c r="O19777" s="24"/>
      <c r="P19777" s="24"/>
      <c r="Q19777" s="24"/>
      <c r="R19777" s="24"/>
      <c r="S19777" s="24"/>
      <c r="T19777" s="24"/>
      <c r="U19777" s="24"/>
      <c r="V19777" s="24"/>
      <c r="W19777" s="24"/>
      <c r="X19777" s="24"/>
      <c r="Y19777" s="24"/>
      <c r="Z19777" s="24"/>
      <c r="AA19777" s="24"/>
    </row>
    <row r="19778">
      <c r="A19778" s="24"/>
      <c r="B19778" s="25"/>
      <c r="C19778" s="24"/>
      <c r="D19778" s="26"/>
      <c r="E19778" s="24"/>
      <c r="F19778" s="24"/>
      <c r="G19778" s="24"/>
      <c r="H19778" s="24"/>
      <c r="I19778" s="24"/>
      <c r="J19778" s="24"/>
      <c r="K19778" s="24"/>
      <c r="L19778" s="24"/>
      <c r="M19778" s="24"/>
      <c r="N19778" s="24"/>
      <c r="O19778" s="24"/>
      <c r="P19778" s="24"/>
      <c r="Q19778" s="24"/>
      <c r="R19778" s="24"/>
      <c r="S19778" s="24"/>
      <c r="T19778" s="24"/>
      <c r="U19778" s="24"/>
      <c r="V19778" s="24"/>
      <c r="W19778" s="24"/>
      <c r="X19778" s="24"/>
      <c r="Y19778" s="24"/>
      <c r="Z19778" s="24"/>
      <c r="AA19778" s="24"/>
    </row>
    <row r="19779">
      <c r="A19779" s="24"/>
      <c r="B19779" s="25"/>
      <c r="C19779" s="24"/>
      <c r="D19779" s="26"/>
      <c r="E19779" s="24"/>
      <c r="F19779" s="24"/>
      <c r="G19779" s="24"/>
      <c r="H19779" s="24"/>
      <c r="I19779" s="24"/>
      <c r="J19779" s="24"/>
      <c r="K19779" s="24"/>
      <c r="L19779" s="24"/>
      <c r="M19779" s="24"/>
      <c r="N19779" s="24"/>
      <c r="O19779" s="24"/>
      <c r="P19779" s="24"/>
      <c r="Q19779" s="24"/>
      <c r="R19779" s="24"/>
      <c r="S19779" s="24"/>
      <c r="T19779" s="24"/>
      <c r="U19779" s="24"/>
      <c r="V19779" s="24"/>
      <c r="W19779" s="24"/>
      <c r="X19779" s="24"/>
      <c r="Y19779" s="24"/>
      <c r="Z19779" s="24"/>
      <c r="AA19779" s="24"/>
    </row>
    <row r="19780">
      <c r="A19780" s="24"/>
      <c r="B19780" s="25"/>
      <c r="C19780" s="24"/>
      <c r="D19780" s="26"/>
      <c r="E19780" s="24"/>
      <c r="F19780" s="24"/>
      <c r="G19780" s="24"/>
      <c r="H19780" s="24"/>
      <c r="I19780" s="24"/>
      <c r="J19780" s="24"/>
      <c r="K19780" s="24"/>
      <c r="L19780" s="24"/>
      <c r="M19780" s="24"/>
      <c r="N19780" s="24"/>
      <c r="O19780" s="24"/>
      <c r="P19780" s="24"/>
      <c r="Q19780" s="24"/>
      <c r="R19780" s="24"/>
      <c r="S19780" s="24"/>
      <c r="T19780" s="24"/>
      <c r="U19780" s="24"/>
      <c r="V19780" s="24"/>
      <c r="W19780" s="24"/>
      <c r="X19780" s="24"/>
      <c r="Y19780" s="24"/>
      <c r="Z19780" s="24"/>
      <c r="AA19780" s="24"/>
    </row>
    <row r="19781">
      <c r="A19781" s="24"/>
      <c r="B19781" s="25"/>
      <c r="C19781" s="24"/>
      <c r="D19781" s="26"/>
      <c r="E19781" s="24"/>
      <c r="F19781" s="24"/>
      <c r="G19781" s="24"/>
      <c r="H19781" s="24"/>
      <c r="I19781" s="24"/>
      <c r="J19781" s="24"/>
      <c r="K19781" s="24"/>
      <c r="L19781" s="24"/>
      <c r="M19781" s="24"/>
      <c r="N19781" s="24"/>
      <c r="O19781" s="24"/>
      <c r="P19781" s="24"/>
      <c r="Q19781" s="24"/>
      <c r="R19781" s="24"/>
      <c r="S19781" s="24"/>
      <c r="T19781" s="24"/>
      <c r="U19781" s="24"/>
      <c r="V19781" s="24"/>
      <c r="W19781" s="24"/>
      <c r="X19781" s="24"/>
      <c r="Y19781" s="24"/>
      <c r="Z19781" s="24"/>
      <c r="AA19781" s="24"/>
    </row>
    <row r="19782">
      <c r="A19782" s="24"/>
      <c r="B19782" s="25"/>
      <c r="C19782" s="24"/>
      <c r="D19782" s="26"/>
      <c r="E19782" s="24"/>
      <c r="F19782" s="24"/>
      <c r="G19782" s="24"/>
      <c r="H19782" s="24"/>
      <c r="I19782" s="24"/>
      <c r="J19782" s="24"/>
      <c r="K19782" s="24"/>
      <c r="L19782" s="24"/>
      <c r="M19782" s="24"/>
      <c r="N19782" s="24"/>
      <c r="O19782" s="24"/>
      <c r="P19782" s="24"/>
      <c r="Q19782" s="24"/>
      <c r="R19782" s="24"/>
      <c r="S19782" s="24"/>
      <c r="T19782" s="24"/>
      <c r="U19782" s="24"/>
      <c r="V19782" s="24"/>
      <c r="W19782" s="24"/>
      <c r="X19782" s="24"/>
      <c r="Y19782" s="24"/>
      <c r="Z19782" s="24"/>
      <c r="AA19782" s="24"/>
    </row>
    <row r="19783">
      <c r="A19783" s="24"/>
      <c r="B19783" s="25"/>
      <c r="C19783" s="24"/>
      <c r="D19783" s="26"/>
      <c r="E19783" s="24"/>
      <c r="F19783" s="24"/>
      <c r="G19783" s="24"/>
      <c r="H19783" s="24"/>
      <c r="I19783" s="24"/>
      <c r="J19783" s="24"/>
      <c r="K19783" s="24"/>
      <c r="L19783" s="24"/>
      <c r="M19783" s="24"/>
      <c r="N19783" s="24"/>
      <c r="O19783" s="24"/>
      <c r="P19783" s="24"/>
      <c r="Q19783" s="24"/>
      <c r="R19783" s="24"/>
      <c r="S19783" s="24"/>
      <c r="T19783" s="24"/>
      <c r="U19783" s="24"/>
      <c r="V19783" s="24"/>
      <c r="W19783" s="24"/>
      <c r="X19783" s="24"/>
      <c r="Y19783" s="24"/>
      <c r="Z19783" s="24"/>
      <c r="AA19783" s="24"/>
    </row>
    <row r="19784">
      <c r="A19784" s="24"/>
      <c r="B19784" s="25"/>
      <c r="C19784" s="24"/>
      <c r="D19784" s="26"/>
      <c r="E19784" s="24"/>
      <c r="F19784" s="24"/>
      <c r="G19784" s="24"/>
      <c r="H19784" s="24"/>
      <c r="I19784" s="24"/>
      <c r="J19784" s="24"/>
      <c r="K19784" s="24"/>
      <c r="L19784" s="24"/>
      <c r="M19784" s="24"/>
      <c r="N19784" s="24"/>
      <c r="O19784" s="24"/>
      <c r="P19784" s="24"/>
      <c r="Q19784" s="24"/>
      <c r="R19784" s="24"/>
      <c r="S19784" s="24"/>
      <c r="T19784" s="24"/>
      <c r="U19784" s="24"/>
      <c r="V19784" s="24"/>
      <c r="W19784" s="24"/>
      <c r="X19784" s="24"/>
      <c r="Y19784" s="24"/>
      <c r="Z19784" s="24"/>
      <c r="AA19784" s="24"/>
    </row>
    <row r="19785">
      <c r="A19785" s="24"/>
      <c r="B19785" s="25"/>
      <c r="C19785" s="24"/>
      <c r="D19785" s="26"/>
      <c r="E19785" s="24"/>
      <c r="F19785" s="24"/>
      <c r="G19785" s="24"/>
      <c r="H19785" s="24"/>
      <c r="I19785" s="24"/>
      <c r="J19785" s="24"/>
      <c r="K19785" s="24"/>
      <c r="L19785" s="24"/>
      <c r="M19785" s="24"/>
      <c r="N19785" s="24"/>
      <c r="O19785" s="24"/>
      <c r="P19785" s="24"/>
      <c r="Q19785" s="24"/>
      <c r="R19785" s="24"/>
      <c r="S19785" s="24"/>
      <c r="T19785" s="24"/>
      <c r="U19785" s="24"/>
      <c r="V19785" s="24"/>
      <c r="W19785" s="24"/>
      <c r="X19785" s="24"/>
      <c r="Y19785" s="24"/>
      <c r="Z19785" s="24"/>
      <c r="AA19785" s="24"/>
    </row>
    <row r="19786">
      <c r="A19786" s="24"/>
      <c r="B19786" s="25"/>
      <c r="C19786" s="24"/>
      <c r="D19786" s="26"/>
      <c r="E19786" s="24"/>
      <c r="F19786" s="24"/>
      <c r="G19786" s="24"/>
      <c r="H19786" s="24"/>
      <c r="I19786" s="24"/>
      <c r="J19786" s="24"/>
      <c r="K19786" s="24"/>
      <c r="L19786" s="24"/>
      <c r="M19786" s="24"/>
      <c r="N19786" s="24"/>
      <c r="O19786" s="24"/>
      <c r="P19786" s="24"/>
      <c r="Q19786" s="24"/>
      <c r="R19786" s="24"/>
      <c r="S19786" s="24"/>
      <c r="T19786" s="24"/>
      <c r="U19786" s="24"/>
      <c r="V19786" s="24"/>
      <c r="W19786" s="24"/>
      <c r="X19786" s="24"/>
      <c r="Y19786" s="24"/>
      <c r="Z19786" s="24"/>
      <c r="AA19786" s="24"/>
    </row>
    <row r="19787">
      <c r="A19787" s="24"/>
      <c r="B19787" s="25"/>
      <c r="C19787" s="24"/>
      <c r="D19787" s="26"/>
      <c r="E19787" s="24"/>
      <c r="F19787" s="24"/>
      <c r="G19787" s="24"/>
      <c r="H19787" s="24"/>
      <c r="I19787" s="24"/>
      <c r="J19787" s="24"/>
      <c r="K19787" s="24"/>
      <c r="L19787" s="24"/>
      <c r="M19787" s="24"/>
      <c r="N19787" s="24"/>
      <c r="O19787" s="24"/>
      <c r="P19787" s="24"/>
      <c r="Q19787" s="24"/>
      <c r="R19787" s="24"/>
      <c r="S19787" s="24"/>
      <c r="T19787" s="24"/>
      <c r="U19787" s="24"/>
      <c r="V19787" s="24"/>
      <c r="W19787" s="24"/>
      <c r="X19787" s="24"/>
      <c r="Y19787" s="24"/>
      <c r="Z19787" s="24"/>
      <c r="AA19787" s="24"/>
    </row>
    <row r="19788">
      <c r="A19788" s="24"/>
      <c r="B19788" s="25"/>
      <c r="C19788" s="24"/>
      <c r="D19788" s="26"/>
      <c r="E19788" s="24"/>
      <c r="F19788" s="24"/>
      <c r="G19788" s="24"/>
      <c r="H19788" s="24"/>
      <c r="I19788" s="24"/>
      <c r="J19788" s="24"/>
      <c r="K19788" s="24"/>
      <c r="L19788" s="24"/>
      <c r="M19788" s="24"/>
      <c r="N19788" s="24"/>
      <c r="O19788" s="24"/>
      <c r="P19788" s="24"/>
      <c r="Q19788" s="24"/>
      <c r="R19788" s="24"/>
      <c r="S19788" s="24"/>
      <c r="T19788" s="24"/>
      <c r="U19788" s="24"/>
      <c r="V19788" s="24"/>
      <c r="W19788" s="24"/>
      <c r="X19788" s="24"/>
      <c r="Y19788" s="24"/>
      <c r="Z19788" s="24"/>
      <c r="AA19788" s="24"/>
    </row>
    <row r="19789">
      <c r="A19789" s="24"/>
      <c r="B19789" s="25"/>
      <c r="C19789" s="24"/>
      <c r="D19789" s="26"/>
      <c r="E19789" s="24"/>
      <c r="F19789" s="24"/>
      <c r="G19789" s="24"/>
      <c r="H19789" s="24"/>
      <c r="I19789" s="24"/>
      <c r="J19789" s="24"/>
      <c r="K19789" s="24"/>
      <c r="L19789" s="24"/>
      <c r="M19789" s="24"/>
      <c r="N19789" s="24"/>
      <c r="O19789" s="24"/>
      <c r="P19789" s="24"/>
      <c r="Q19789" s="24"/>
      <c r="R19789" s="24"/>
      <c r="S19789" s="24"/>
      <c r="T19789" s="24"/>
      <c r="U19789" s="24"/>
      <c r="V19789" s="24"/>
      <c r="W19789" s="24"/>
      <c r="X19789" s="24"/>
      <c r="Y19789" s="24"/>
      <c r="Z19789" s="24"/>
      <c r="AA19789" s="24"/>
    </row>
    <row r="19790">
      <c r="A19790" s="24"/>
      <c r="B19790" s="25"/>
      <c r="C19790" s="24"/>
      <c r="D19790" s="26"/>
      <c r="E19790" s="24"/>
      <c r="F19790" s="24"/>
      <c r="G19790" s="24"/>
      <c r="H19790" s="24"/>
      <c r="I19790" s="24"/>
      <c r="J19790" s="24"/>
      <c r="K19790" s="24"/>
      <c r="L19790" s="24"/>
      <c r="M19790" s="24"/>
      <c r="N19790" s="24"/>
      <c r="O19790" s="24"/>
      <c r="P19790" s="24"/>
      <c r="Q19790" s="24"/>
      <c r="R19790" s="24"/>
      <c r="S19790" s="24"/>
      <c r="T19790" s="24"/>
      <c r="U19790" s="24"/>
      <c r="V19790" s="24"/>
      <c r="W19790" s="24"/>
      <c r="X19790" s="24"/>
      <c r="Y19790" s="24"/>
      <c r="Z19790" s="24"/>
      <c r="AA19790" s="24"/>
    </row>
    <row r="19791">
      <c r="A19791" s="24"/>
      <c r="B19791" s="25"/>
      <c r="C19791" s="24"/>
      <c r="D19791" s="26"/>
      <c r="E19791" s="24"/>
      <c r="F19791" s="24"/>
      <c r="G19791" s="24"/>
      <c r="H19791" s="24"/>
      <c r="I19791" s="24"/>
      <c r="J19791" s="24"/>
      <c r="K19791" s="24"/>
      <c r="L19791" s="24"/>
      <c r="M19791" s="24"/>
      <c r="N19791" s="24"/>
      <c r="O19791" s="24"/>
      <c r="P19791" s="24"/>
      <c r="Q19791" s="24"/>
      <c r="R19791" s="24"/>
      <c r="S19791" s="24"/>
      <c r="T19791" s="24"/>
      <c r="U19791" s="24"/>
      <c r="V19791" s="24"/>
      <c r="W19791" s="24"/>
      <c r="X19791" s="24"/>
      <c r="Y19791" s="24"/>
      <c r="Z19791" s="24"/>
      <c r="AA19791" s="24"/>
    </row>
    <row r="19792">
      <c r="A19792" s="24"/>
      <c r="B19792" s="25"/>
      <c r="C19792" s="24"/>
      <c r="D19792" s="26"/>
      <c r="E19792" s="24"/>
      <c r="F19792" s="24"/>
      <c r="G19792" s="24"/>
      <c r="H19792" s="24"/>
      <c r="I19792" s="24"/>
      <c r="J19792" s="24"/>
      <c r="K19792" s="24"/>
      <c r="L19792" s="24"/>
      <c r="M19792" s="24"/>
      <c r="N19792" s="24"/>
      <c r="O19792" s="24"/>
      <c r="P19792" s="24"/>
      <c r="Q19792" s="24"/>
      <c r="R19792" s="24"/>
      <c r="S19792" s="24"/>
      <c r="T19792" s="24"/>
      <c r="U19792" s="24"/>
      <c r="V19792" s="24"/>
      <c r="W19792" s="24"/>
      <c r="X19792" s="24"/>
      <c r="Y19792" s="24"/>
      <c r="Z19792" s="24"/>
      <c r="AA19792" s="24"/>
    </row>
    <row r="19793">
      <c r="A19793" s="24"/>
      <c r="B19793" s="25"/>
      <c r="C19793" s="24"/>
      <c r="D19793" s="26"/>
      <c r="E19793" s="24"/>
      <c r="F19793" s="24"/>
      <c r="G19793" s="24"/>
      <c r="H19793" s="24"/>
      <c r="I19793" s="24"/>
      <c r="J19793" s="24"/>
      <c r="K19793" s="24"/>
      <c r="L19793" s="24"/>
      <c r="M19793" s="24"/>
      <c r="N19793" s="24"/>
      <c r="O19793" s="24"/>
      <c r="P19793" s="24"/>
      <c r="Q19793" s="24"/>
      <c r="R19793" s="24"/>
      <c r="S19793" s="24"/>
      <c r="T19793" s="24"/>
      <c r="U19793" s="24"/>
      <c r="V19793" s="24"/>
      <c r="W19793" s="24"/>
      <c r="X19793" s="24"/>
      <c r="Y19793" s="24"/>
      <c r="Z19793" s="24"/>
      <c r="AA19793" s="24"/>
    </row>
    <row r="19794">
      <c r="A19794" s="24"/>
      <c r="B19794" s="25"/>
      <c r="C19794" s="24"/>
      <c r="D19794" s="26"/>
      <c r="E19794" s="24"/>
      <c r="F19794" s="24"/>
      <c r="G19794" s="24"/>
      <c r="H19794" s="24"/>
      <c r="I19794" s="24"/>
      <c r="J19794" s="24"/>
      <c r="K19794" s="24"/>
      <c r="L19794" s="24"/>
      <c r="M19794" s="24"/>
      <c r="N19794" s="24"/>
      <c r="O19794" s="24"/>
      <c r="P19794" s="24"/>
      <c r="Q19794" s="24"/>
      <c r="R19794" s="24"/>
      <c r="S19794" s="24"/>
      <c r="T19794" s="24"/>
      <c r="U19794" s="24"/>
      <c r="V19794" s="24"/>
      <c r="W19794" s="24"/>
      <c r="X19794" s="24"/>
      <c r="Y19794" s="24"/>
      <c r="Z19794" s="24"/>
      <c r="AA19794" s="24"/>
    </row>
    <row r="19795">
      <c r="A19795" s="24"/>
      <c r="B19795" s="25"/>
      <c r="C19795" s="24"/>
      <c r="D19795" s="26"/>
      <c r="E19795" s="24"/>
      <c r="F19795" s="24"/>
      <c r="G19795" s="24"/>
      <c r="H19795" s="24"/>
      <c r="I19795" s="24"/>
      <c r="J19795" s="24"/>
      <c r="K19795" s="24"/>
      <c r="L19795" s="24"/>
      <c r="M19795" s="24"/>
      <c r="N19795" s="24"/>
      <c r="O19795" s="24"/>
      <c r="P19795" s="24"/>
      <c r="Q19795" s="24"/>
      <c r="R19795" s="24"/>
      <c r="S19795" s="24"/>
      <c r="T19795" s="24"/>
      <c r="U19795" s="24"/>
      <c r="V19795" s="24"/>
      <c r="W19795" s="24"/>
      <c r="X19795" s="24"/>
      <c r="Y19795" s="24"/>
      <c r="Z19795" s="24"/>
      <c r="AA19795" s="24"/>
    </row>
    <row r="19796">
      <c r="A19796" s="24"/>
      <c r="B19796" s="25"/>
      <c r="C19796" s="24"/>
      <c r="D19796" s="26"/>
      <c r="E19796" s="24"/>
      <c r="F19796" s="24"/>
      <c r="G19796" s="24"/>
      <c r="H19796" s="24"/>
      <c r="I19796" s="24"/>
      <c r="J19796" s="24"/>
      <c r="K19796" s="24"/>
      <c r="L19796" s="24"/>
      <c r="M19796" s="24"/>
      <c r="N19796" s="24"/>
      <c r="O19796" s="24"/>
      <c r="P19796" s="24"/>
      <c r="Q19796" s="24"/>
      <c r="R19796" s="24"/>
      <c r="S19796" s="24"/>
      <c r="T19796" s="24"/>
      <c r="U19796" s="24"/>
      <c r="V19796" s="24"/>
      <c r="W19796" s="24"/>
      <c r="X19796" s="24"/>
      <c r="Y19796" s="24"/>
      <c r="Z19796" s="24"/>
      <c r="AA19796" s="24"/>
    </row>
    <row r="19797">
      <c r="A19797" s="24"/>
      <c r="B19797" s="25"/>
      <c r="C19797" s="24"/>
      <c r="D19797" s="26"/>
      <c r="E19797" s="24"/>
      <c r="F19797" s="24"/>
      <c r="G19797" s="24"/>
      <c r="H19797" s="24"/>
      <c r="I19797" s="24"/>
      <c r="J19797" s="24"/>
      <c r="K19797" s="24"/>
      <c r="L19797" s="24"/>
      <c r="M19797" s="24"/>
      <c r="N19797" s="24"/>
      <c r="O19797" s="24"/>
      <c r="P19797" s="24"/>
      <c r="Q19797" s="24"/>
      <c r="R19797" s="24"/>
      <c r="S19797" s="24"/>
      <c r="T19797" s="24"/>
      <c r="U19797" s="24"/>
      <c r="V19797" s="24"/>
      <c r="W19797" s="24"/>
      <c r="X19797" s="24"/>
      <c r="Y19797" s="24"/>
      <c r="Z19797" s="24"/>
      <c r="AA19797" s="24"/>
    </row>
    <row r="19798">
      <c r="A19798" s="24"/>
      <c r="B19798" s="25"/>
      <c r="C19798" s="24"/>
      <c r="D19798" s="26"/>
      <c r="E19798" s="24"/>
      <c r="F19798" s="24"/>
      <c r="G19798" s="24"/>
      <c r="H19798" s="24"/>
      <c r="I19798" s="24"/>
      <c r="J19798" s="24"/>
      <c r="K19798" s="24"/>
      <c r="L19798" s="24"/>
      <c r="M19798" s="24"/>
      <c r="N19798" s="24"/>
      <c r="O19798" s="24"/>
      <c r="P19798" s="24"/>
      <c r="Q19798" s="24"/>
      <c r="R19798" s="24"/>
      <c r="S19798" s="24"/>
      <c r="T19798" s="24"/>
      <c r="U19798" s="24"/>
      <c r="V19798" s="24"/>
      <c r="W19798" s="24"/>
      <c r="X19798" s="24"/>
      <c r="Y19798" s="24"/>
      <c r="Z19798" s="24"/>
      <c r="AA19798" s="24"/>
    </row>
    <row r="19799">
      <c r="A19799" s="24"/>
      <c r="B19799" s="25"/>
      <c r="C19799" s="24"/>
      <c r="D19799" s="26"/>
      <c r="E19799" s="24"/>
      <c r="F19799" s="24"/>
      <c r="G19799" s="24"/>
      <c r="H19799" s="24"/>
      <c r="I19799" s="24"/>
      <c r="J19799" s="24"/>
      <c r="K19799" s="24"/>
      <c r="L19799" s="24"/>
      <c r="M19799" s="24"/>
      <c r="N19799" s="24"/>
      <c r="O19799" s="24"/>
      <c r="P19799" s="24"/>
      <c r="Q19799" s="24"/>
      <c r="R19799" s="24"/>
      <c r="S19799" s="24"/>
      <c r="T19799" s="24"/>
      <c r="U19799" s="24"/>
      <c r="V19799" s="24"/>
      <c r="W19799" s="24"/>
      <c r="X19799" s="24"/>
      <c r="Y19799" s="24"/>
      <c r="Z19799" s="24"/>
      <c r="AA19799" s="24"/>
    </row>
    <row r="19800">
      <c r="A19800" s="24"/>
      <c r="B19800" s="25"/>
      <c r="C19800" s="24"/>
      <c r="D19800" s="26"/>
      <c r="E19800" s="24"/>
      <c r="F19800" s="24"/>
      <c r="G19800" s="24"/>
      <c r="H19800" s="24"/>
      <c r="I19800" s="24"/>
      <c r="J19800" s="24"/>
      <c r="K19800" s="24"/>
      <c r="L19800" s="24"/>
      <c r="M19800" s="24"/>
      <c r="N19800" s="24"/>
      <c r="O19800" s="24"/>
      <c r="P19800" s="24"/>
      <c r="Q19800" s="24"/>
      <c r="R19800" s="24"/>
      <c r="S19800" s="24"/>
      <c r="T19800" s="24"/>
      <c r="U19800" s="24"/>
      <c r="V19800" s="24"/>
      <c r="W19800" s="24"/>
      <c r="X19800" s="24"/>
      <c r="Y19800" s="24"/>
      <c r="Z19800" s="24"/>
      <c r="AA19800" s="24"/>
    </row>
    <row r="19801">
      <c r="A19801" s="24"/>
      <c r="B19801" s="25"/>
      <c r="C19801" s="24"/>
      <c r="D19801" s="26"/>
      <c r="E19801" s="24"/>
      <c r="F19801" s="24"/>
      <c r="G19801" s="24"/>
      <c r="H19801" s="24"/>
      <c r="I19801" s="24"/>
      <c r="J19801" s="24"/>
      <c r="K19801" s="24"/>
      <c r="L19801" s="24"/>
      <c r="M19801" s="24"/>
      <c r="N19801" s="24"/>
      <c r="O19801" s="24"/>
      <c r="P19801" s="24"/>
      <c r="Q19801" s="24"/>
      <c r="R19801" s="24"/>
      <c r="S19801" s="24"/>
      <c r="T19801" s="24"/>
      <c r="U19801" s="24"/>
      <c r="V19801" s="24"/>
      <c r="W19801" s="24"/>
      <c r="X19801" s="24"/>
      <c r="Y19801" s="24"/>
      <c r="Z19801" s="24"/>
      <c r="AA19801" s="24"/>
    </row>
    <row r="19802">
      <c r="A19802" s="24"/>
      <c r="B19802" s="25"/>
      <c r="C19802" s="24"/>
      <c r="D19802" s="26"/>
      <c r="E19802" s="24"/>
      <c r="F19802" s="24"/>
      <c r="G19802" s="24"/>
      <c r="H19802" s="24"/>
      <c r="I19802" s="24"/>
      <c r="J19802" s="24"/>
      <c r="K19802" s="24"/>
      <c r="L19802" s="24"/>
      <c r="M19802" s="24"/>
      <c r="N19802" s="24"/>
      <c r="O19802" s="24"/>
      <c r="P19802" s="24"/>
      <c r="Q19802" s="24"/>
      <c r="R19802" s="24"/>
      <c r="S19802" s="24"/>
      <c r="T19802" s="24"/>
      <c r="U19802" s="24"/>
      <c r="V19802" s="24"/>
      <c r="W19802" s="24"/>
      <c r="X19802" s="24"/>
      <c r="Y19802" s="24"/>
      <c r="Z19802" s="24"/>
      <c r="AA19802" s="24"/>
    </row>
    <row r="19803">
      <c r="A19803" s="24"/>
      <c r="B19803" s="25"/>
      <c r="C19803" s="24"/>
      <c r="D19803" s="26"/>
      <c r="E19803" s="24"/>
      <c r="F19803" s="24"/>
      <c r="G19803" s="24"/>
      <c r="H19803" s="24"/>
      <c r="I19803" s="24"/>
      <c r="J19803" s="24"/>
      <c r="K19803" s="24"/>
      <c r="L19803" s="24"/>
      <c r="M19803" s="24"/>
      <c r="N19803" s="24"/>
      <c r="O19803" s="24"/>
      <c r="P19803" s="24"/>
      <c r="Q19803" s="24"/>
      <c r="R19803" s="24"/>
      <c r="S19803" s="24"/>
      <c r="T19803" s="24"/>
      <c r="U19803" s="24"/>
      <c r="V19803" s="24"/>
      <c r="W19803" s="24"/>
      <c r="X19803" s="24"/>
      <c r="Y19803" s="24"/>
      <c r="Z19803" s="24"/>
      <c r="AA19803" s="24"/>
    </row>
    <row r="19804">
      <c r="A19804" s="24"/>
      <c r="B19804" s="25"/>
      <c r="C19804" s="24"/>
      <c r="D19804" s="26"/>
      <c r="E19804" s="24"/>
      <c r="F19804" s="24"/>
      <c r="G19804" s="24"/>
      <c r="H19804" s="24"/>
      <c r="I19804" s="24"/>
      <c r="J19804" s="24"/>
      <c r="K19804" s="24"/>
      <c r="L19804" s="24"/>
      <c r="M19804" s="24"/>
      <c r="N19804" s="24"/>
      <c r="O19804" s="24"/>
      <c r="P19804" s="24"/>
      <c r="Q19804" s="24"/>
      <c r="R19804" s="24"/>
      <c r="S19804" s="24"/>
      <c r="T19804" s="24"/>
      <c r="U19804" s="24"/>
      <c r="V19804" s="24"/>
      <c r="W19804" s="24"/>
      <c r="X19804" s="24"/>
      <c r="Y19804" s="24"/>
      <c r="Z19804" s="24"/>
      <c r="AA19804" s="24"/>
    </row>
    <row r="19805">
      <c r="A19805" s="24"/>
      <c r="B19805" s="25"/>
      <c r="C19805" s="24"/>
      <c r="D19805" s="26"/>
      <c r="E19805" s="24"/>
      <c r="F19805" s="24"/>
      <c r="G19805" s="24"/>
      <c r="H19805" s="24"/>
      <c r="I19805" s="24"/>
      <c r="J19805" s="24"/>
      <c r="K19805" s="24"/>
      <c r="L19805" s="24"/>
      <c r="M19805" s="24"/>
      <c r="N19805" s="24"/>
      <c r="O19805" s="24"/>
      <c r="P19805" s="24"/>
      <c r="Q19805" s="24"/>
      <c r="R19805" s="24"/>
      <c r="S19805" s="24"/>
      <c r="T19805" s="24"/>
      <c r="U19805" s="24"/>
      <c r="V19805" s="24"/>
      <c r="W19805" s="24"/>
      <c r="X19805" s="24"/>
      <c r="Y19805" s="24"/>
      <c r="Z19805" s="24"/>
      <c r="AA19805" s="24"/>
    </row>
    <row r="19806">
      <c r="A19806" s="24"/>
      <c r="B19806" s="25"/>
      <c r="C19806" s="24"/>
      <c r="D19806" s="26"/>
      <c r="E19806" s="24"/>
      <c r="F19806" s="24"/>
      <c r="G19806" s="24"/>
      <c r="H19806" s="24"/>
      <c r="I19806" s="24"/>
      <c r="J19806" s="24"/>
      <c r="K19806" s="24"/>
      <c r="L19806" s="24"/>
      <c r="M19806" s="24"/>
      <c r="N19806" s="24"/>
      <c r="O19806" s="24"/>
      <c r="P19806" s="24"/>
      <c r="Q19806" s="24"/>
      <c r="R19806" s="24"/>
      <c r="S19806" s="24"/>
      <c r="T19806" s="24"/>
      <c r="U19806" s="24"/>
      <c r="V19806" s="24"/>
      <c r="W19806" s="24"/>
      <c r="X19806" s="24"/>
      <c r="Y19806" s="24"/>
      <c r="Z19806" s="24"/>
      <c r="AA19806" s="24"/>
    </row>
    <row r="19807">
      <c r="A19807" s="24"/>
      <c r="B19807" s="25"/>
      <c r="C19807" s="24"/>
      <c r="D19807" s="26"/>
      <c r="E19807" s="24"/>
      <c r="F19807" s="24"/>
      <c r="G19807" s="24"/>
      <c r="H19807" s="24"/>
      <c r="I19807" s="24"/>
      <c r="J19807" s="24"/>
      <c r="K19807" s="24"/>
      <c r="L19807" s="24"/>
      <c r="M19807" s="24"/>
      <c r="N19807" s="24"/>
      <c r="O19807" s="24"/>
      <c r="P19807" s="24"/>
      <c r="Q19807" s="24"/>
      <c r="R19807" s="24"/>
      <c r="S19807" s="24"/>
      <c r="T19807" s="24"/>
      <c r="U19807" s="24"/>
      <c r="V19807" s="24"/>
      <c r="W19807" s="24"/>
      <c r="X19807" s="24"/>
      <c r="Y19807" s="24"/>
      <c r="Z19807" s="24"/>
      <c r="AA19807" s="24"/>
    </row>
    <row r="19808">
      <c r="A19808" s="24"/>
      <c r="B19808" s="25"/>
      <c r="C19808" s="24"/>
      <c r="D19808" s="26"/>
      <c r="E19808" s="24"/>
      <c r="F19808" s="24"/>
      <c r="G19808" s="24"/>
      <c r="H19808" s="24"/>
      <c r="I19808" s="24"/>
      <c r="J19808" s="24"/>
      <c r="K19808" s="24"/>
      <c r="L19808" s="24"/>
      <c r="M19808" s="24"/>
      <c r="N19808" s="24"/>
      <c r="O19808" s="24"/>
      <c r="P19808" s="24"/>
      <c r="Q19808" s="24"/>
      <c r="R19808" s="24"/>
      <c r="S19808" s="24"/>
      <c r="T19808" s="24"/>
      <c r="U19808" s="24"/>
      <c r="V19808" s="24"/>
      <c r="W19808" s="24"/>
      <c r="X19808" s="24"/>
      <c r="Y19808" s="24"/>
      <c r="Z19808" s="24"/>
      <c r="AA19808" s="24"/>
    </row>
    <row r="19809">
      <c r="A19809" s="24"/>
      <c r="B19809" s="25"/>
      <c r="C19809" s="24"/>
      <c r="D19809" s="26"/>
      <c r="E19809" s="24"/>
      <c r="F19809" s="24"/>
      <c r="G19809" s="24"/>
      <c r="H19809" s="24"/>
      <c r="I19809" s="24"/>
      <c r="J19809" s="24"/>
      <c r="K19809" s="24"/>
      <c r="L19809" s="24"/>
      <c r="M19809" s="24"/>
      <c r="N19809" s="24"/>
      <c r="O19809" s="24"/>
      <c r="P19809" s="24"/>
      <c r="Q19809" s="24"/>
      <c r="R19809" s="24"/>
      <c r="S19809" s="24"/>
      <c r="T19809" s="24"/>
      <c r="U19809" s="24"/>
      <c r="V19809" s="24"/>
      <c r="W19809" s="24"/>
      <c r="X19809" s="24"/>
      <c r="Y19809" s="24"/>
      <c r="Z19809" s="24"/>
      <c r="AA19809" s="24"/>
    </row>
    <row r="19810">
      <c r="A19810" s="24"/>
      <c r="B19810" s="25"/>
      <c r="C19810" s="24"/>
      <c r="D19810" s="26"/>
      <c r="E19810" s="24"/>
      <c r="F19810" s="24"/>
      <c r="G19810" s="24"/>
      <c r="H19810" s="24"/>
      <c r="I19810" s="24"/>
      <c r="J19810" s="24"/>
      <c r="K19810" s="24"/>
      <c r="L19810" s="24"/>
      <c r="M19810" s="24"/>
      <c r="N19810" s="24"/>
      <c r="O19810" s="24"/>
      <c r="P19810" s="24"/>
      <c r="Q19810" s="24"/>
      <c r="R19810" s="24"/>
      <c r="S19810" s="24"/>
      <c r="T19810" s="24"/>
      <c r="U19810" s="24"/>
      <c r="V19810" s="24"/>
      <c r="W19810" s="24"/>
      <c r="X19810" s="24"/>
      <c r="Y19810" s="24"/>
      <c r="Z19810" s="24"/>
      <c r="AA19810" s="24"/>
    </row>
    <row r="19811">
      <c r="A19811" s="24"/>
      <c r="B19811" s="25"/>
      <c r="C19811" s="24"/>
      <c r="D19811" s="26"/>
      <c r="E19811" s="24"/>
      <c r="F19811" s="24"/>
      <c r="G19811" s="24"/>
      <c r="H19811" s="24"/>
      <c r="I19811" s="24"/>
      <c r="J19811" s="24"/>
      <c r="K19811" s="24"/>
      <c r="L19811" s="24"/>
      <c r="M19811" s="24"/>
      <c r="N19811" s="24"/>
      <c r="O19811" s="24"/>
      <c r="P19811" s="24"/>
      <c r="Q19811" s="24"/>
      <c r="R19811" s="24"/>
      <c r="S19811" s="24"/>
      <c r="T19811" s="24"/>
      <c r="U19811" s="24"/>
      <c r="V19811" s="24"/>
      <c r="W19811" s="24"/>
      <c r="X19811" s="24"/>
      <c r="Y19811" s="24"/>
      <c r="Z19811" s="24"/>
      <c r="AA19811" s="24"/>
    </row>
    <row r="19812">
      <c r="A19812" s="24"/>
      <c r="B19812" s="25"/>
      <c r="C19812" s="24"/>
      <c r="D19812" s="26"/>
      <c r="E19812" s="24"/>
      <c r="F19812" s="24"/>
      <c r="G19812" s="24"/>
      <c r="H19812" s="24"/>
      <c r="I19812" s="24"/>
      <c r="J19812" s="24"/>
      <c r="K19812" s="24"/>
      <c r="L19812" s="24"/>
      <c r="M19812" s="24"/>
      <c r="N19812" s="24"/>
      <c r="O19812" s="24"/>
      <c r="P19812" s="24"/>
      <c r="Q19812" s="24"/>
      <c r="R19812" s="24"/>
      <c r="S19812" s="24"/>
      <c r="T19812" s="24"/>
      <c r="U19812" s="24"/>
      <c r="V19812" s="24"/>
      <c r="W19812" s="24"/>
      <c r="X19812" s="24"/>
      <c r="Y19812" s="24"/>
      <c r="Z19812" s="24"/>
      <c r="AA19812" s="24"/>
    </row>
    <row r="19813">
      <c r="A19813" s="24"/>
      <c r="B19813" s="25"/>
      <c r="C19813" s="24"/>
      <c r="D19813" s="26"/>
      <c r="E19813" s="24"/>
      <c r="F19813" s="24"/>
      <c r="G19813" s="24"/>
      <c r="H19813" s="24"/>
      <c r="I19813" s="24"/>
      <c r="J19813" s="24"/>
      <c r="K19813" s="24"/>
      <c r="L19813" s="24"/>
      <c r="M19813" s="24"/>
      <c r="N19813" s="24"/>
      <c r="O19813" s="24"/>
      <c r="P19813" s="24"/>
      <c r="Q19813" s="24"/>
      <c r="R19813" s="24"/>
      <c r="S19813" s="24"/>
      <c r="T19813" s="24"/>
      <c r="U19813" s="24"/>
      <c r="V19813" s="24"/>
      <c r="W19813" s="24"/>
      <c r="X19813" s="24"/>
      <c r="Y19813" s="24"/>
      <c r="Z19813" s="24"/>
      <c r="AA19813" s="24"/>
    </row>
    <row r="19814">
      <c r="A19814" s="24"/>
      <c r="B19814" s="25"/>
      <c r="C19814" s="24"/>
      <c r="D19814" s="26"/>
      <c r="E19814" s="24"/>
      <c r="F19814" s="24"/>
      <c r="G19814" s="24"/>
      <c r="H19814" s="24"/>
      <c r="I19814" s="24"/>
      <c r="J19814" s="24"/>
      <c r="K19814" s="24"/>
      <c r="L19814" s="24"/>
      <c r="M19814" s="24"/>
      <c r="N19814" s="24"/>
      <c r="O19814" s="24"/>
      <c r="P19814" s="24"/>
      <c r="Q19814" s="24"/>
      <c r="R19814" s="24"/>
      <c r="S19814" s="24"/>
      <c r="T19814" s="24"/>
      <c r="U19814" s="24"/>
      <c r="V19814" s="24"/>
      <c r="W19814" s="24"/>
      <c r="X19814" s="24"/>
      <c r="Y19814" s="24"/>
      <c r="Z19814" s="24"/>
      <c r="AA19814" s="24"/>
    </row>
    <row r="19815">
      <c r="A19815" s="24"/>
      <c r="B19815" s="25"/>
      <c r="C19815" s="24"/>
      <c r="D19815" s="26"/>
      <c r="E19815" s="24"/>
      <c r="F19815" s="24"/>
      <c r="G19815" s="24"/>
      <c r="H19815" s="24"/>
      <c r="I19815" s="24"/>
      <c r="J19815" s="24"/>
      <c r="K19815" s="24"/>
      <c r="L19815" s="24"/>
      <c r="M19815" s="24"/>
      <c r="N19815" s="24"/>
      <c r="O19815" s="24"/>
      <c r="P19815" s="24"/>
      <c r="Q19815" s="24"/>
      <c r="R19815" s="24"/>
      <c r="S19815" s="24"/>
      <c r="T19815" s="24"/>
      <c r="U19815" s="24"/>
      <c r="V19815" s="24"/>
      <c r="W19815" s="24"/>
      <c r="X19815" s="24"/>
      <c r="Y19815" s="24"/>
      <c r="Z19815" s="24"/>
      <c r="AA19815" s="24"/>
    </row>
    <row r="19816">
      <c r="A19816" s="24"/>
      <c r="B19816" s="25"/>
      <c r="C19816" s="24"/>
      <c r="D19816" s="26"/>
      <c r="E19816" s="24"/>
      <c r="F19816" s="24"/>
      <c r="G19816" s="24"/>
      <c r="H19816" s="24"/>
      <c r="I19816" s="24"/>
      <c r="J19816" s="24"/>
      <c r="K19816" s="24"/>
      <c r="L19816" s="24"/>
      <c r="M19816" s="24"/>
      <c r="N19816" s="24"/>
      <c r="O19816" s="24"/>
      <c r="P19816" s="24"/>
      <c r="Q19816" s="24"/>
      <c r="R19816" s="24"/>
      <c r="S19816" s="24"/>
      <c r="T19816" s="24"/>
      <c r="U19816" s="24"/>
      <c r="V19816" s="24"/>
      <c r="W19816" s="24"/>
      <c r="X19816" s="24"/>
      <c r="Y19816" s="24"/>
      <c r="Z19816" s="24"/>
      <c r="AA19816" s="24"/>
    </row>
    <row r="19817">
      <c r="A19817" s="24"/>
      <c r="B19817" s="25"/>
      <c r="C19817" s="24"/>
      <c r="D19817" s="26"/>
      <c r="E19817" s="24"/>
      <c r="F19817" s="24"/>
      <c r="G19817" s="24"/>
      <c r="H19817" s="24"/>
      <c r="I19817" s="24"/>
      <c r="J19817" s="24"/>
      <c r="K19817" s="24"/>
      <c r="L19817" s="24"/>
      <c r="M19817" s="24"/>
      <c r="N19817" s="24"/>
      <c r="O19817" s="24"/>
      <c r="P19817" s="24"/>
      <c r="Q19817" s="24"/>
      <c r="R19817" s="24"/>
      <c r="S19817" s="24"/>
      <c r="T19817" s="24"/>
      <c r="U19817" s="24"/>
      <c r="V19817" s="24"/>
      <c r="W19817" s="24"/>
      <c r="X19817" s="24"/>
      <c r="Y19817" s="24"/>
      <c r="Z19817" s="24"/>
      <c r="AA19817" s="24"/>
    </row>
    <row r="19818">
      <c r="A19818" s="24"/>
      <c r="B19818" s="25"/>
      <c r="C19818" s="24"/>
      <c r="D19818" s="26"/>
      <c r="E19818" s="24"/>
      <c r="F19818" s="24"/>
      <c r="G19818" s="24"/>
      <c r="H19818" s="24"/>
      <c r="I19818" s="24"/>
      <c r="J19818" s="24"/>
      <c r="K19818" s="24"/>
      <c r="L19818" s="24"/>
      <c r="M19818" s="24"/>
      <c r="N19818" s="24"/>
      <c r="O19818" s="24"/>
      <c r="P19818" s="24"/>
      <c r="Q19818" s="24"/>
      <c r="R19818" s="24"/>
      <c r="S19818" s="24"/>
      <c r="T19818" s="24"/>
      <c r="U19818" s="24"/>
      <c r="V19818" s="24"/>
      <c r="W19818" s="24"/>
      <c r="X19818" s="24"/>
      <c r="Y19818" s="24"/>
      <c r="Z19818" s="24"/>
      <c r="AA19818" s="24"/>
    </row>
    <row r="19819">
      <c r="A19819" s="24"/>
      <c r="B19819" s="25"/>
      <c r="C19819" s="24"/>
      <c r="D19819" s="26"/>
      <c r="E19819" s="24"/>
      <c r="F19819" s="24"/>
      <c r="G19819" s="24"/>
      <c r="H19819" s="24"/>
      <c r="I19819" s="24"/>
      <c r="J19819" s="24"/>
      <c r="K19819" s="24"/>
      <c r="L19819" s="24"/>
      <c r="M19819" s="24"/>
      <c r="N19819" s="24"/>
      <c r="O19819" s="24"/>
      <c r="P19819" s="24"/>
      <c r="Q19819" s="24"/>
      <c r="R19819" s="24"/>
      <c r="S19819" s="24"/>
      <c r="T19819" s="24"/>
      <c r="U19819" s="24"/>
      <c r="V19819" s="24"/>
      <c r="W19819" s="24"/>
      <c r="X19819" s="24"/>
      <c r="Y19819" s="24"/>
      <c r="Z19819" s="24"/>
      <c r="AA19819" s="24"/>
    </row>
    <row r="19820">
      <c r="A19820" s="24"/>
      <c r="B19820" s="25"/>
      <c r="C19820" s="24"/>
      <c r="D19820" s="26"/>
      <c r="E19820" s="24"/>
      <c r="F19820" s="24"/>
      <c r="G19820" s="24"/>
      <c r="H19820" s="24"/>
      <c r="I19820" s="24"/>
      <c r="J19820" s="24"/>
      <c r="K19820" s="24"/>
      <c r="L19820" s="24"/>
      <c r="M19820" s="24"/>
      <c r="N19820" s="24"/>
      <c r="O19820" s="24"/>
      <c r="P19820" s="24"/>
      <c r="Q19820" s="24"/>
      <c r="R19820" s="24"/>
      <c r="S19820" s="24"/>
      <c r="T19820" s="24"/>
      <c r="U19820" s="24"/>
      <c r="V19820" s="24"/>
      <c r="W19820" s="24"/>
      <c r="X19820" s="24"/>
      <c r="Y19820" s="24"/>
      <c r="Z19820" s="24"/>
      <c r="AA19820" s="24"/>
    </row>
    <row r="19821">
      <c r="A19821" s="24"/>
      <c r="B19821" s="25"/>
      <c r="C19821" s="24"/>
      <c r="D19821" s="26"/>
      <c r="E19821" s="24"/>
      <c r="F19821" s="24"/>
      <c r="G19821" s="24"/>
      <c r="H19821" s="24"/>
      <c r="I19821" s="24"/>
      <c r="J19821" s="24"/>
      <c r="K19821" s="24"/>
      <c r="L19821" s="24"/>
      <c r="M19821" s="24"/>
      <c r="N19821" s="24"/>
      <c r="O19821" s="24"/>
      <c r="P19821" s="24"/>
      <c r="Q19821" s="24"/>
      <c r="R19821" s="24"/>
      <c r="S19821" s="24"/>
      <c r="T19821" s="24"/>
      <c r="U19821" s="24"/>
      <c r="V19821" s="24"/>
      <c r="W19821" s="24"/>
      <c r="X19821" s="24"/>
      <c r="Y19821" s="24"/>
      <c r="Z19821" s="24"/>
      <c r="AA19821" s="24"/>
    </row>
    <row r="19822">
      <c r="A19822" s="24"/>
      <c r="B19822" s="25"/>
      <c r="C19822" s="24"/>
      <c r="D19822" s="26"/>
      <c r="E19822" s="24"/>
      <c r="F19822" s="24"/>
      <c r="G19822" s="24"/>
      <c r="H19822" s="24"/>
      <c r="I19822" s="24"/>
      <c r="J19822" s="24"/>
      <c r="K19822" s="24"/>
      <c r="L19822" s="24"/>
      <c r="M19822" s="24"/>
      <c r="N19822" s="24"/>
      <c r="O19822" s="24"/>
      <c r="P19822" s="24"/>
      <c r="Q19822" s="24"/>
      <c r="R19822" s="24"/>
      <c r="S19822" s="24"/>
      <c r="T19822" s="24"/>
      <c r="U19822" s="24"/>
      <c r="V19822" s="24"/>
      <c r="W19822" s="24"/>
      <c r="X19822" s="24"/>
      <c r="Y19822" s="24"/>
      <c r="Z19822" s="24"/>
      <c r="AA19822" s="24"/>
    </row>
    <row r="19823">
      <c r="A19823" s="24"/>
      <c r="B19823" s="25"/>
      <c r="C19823" s="24"/>
      <c r="D19823" s="26"/>
      <c r="E19823" s="24"/>
      <c r="F19823" s="24"/>
      <c r="G19823" s="24"/>
      <c r="H19823" s="24"/>
      <c r="I19823" s="24"/>
      <c r="J19823" s="24"/>
      <c r="K19823" s="24"/>
      <c r="L19823" s="24"/>
      <c r="M19823" s="24"/>
      <c r="N19823" s="24"/>
      <c r="O19823" s="24"/>
      <c r="P19823" s="24"/>
      <c r="Q19823" s="24"/>
      <c r="R19823" s="24"/>
      <c r="S19823" s="24"/>
      <c r="T19823" s="24"/>
      <c r="U19823" s="24"/>
      <c r="V19823" s="24"/>
      <c r="W19823" s="24"/>
      <c r="X19823" s="24"/>
      <c r="Y19823" s="24"/>
      <c r="Z19823" s="24"/>
      <c r="AA19823" s="24"/>
    </row>
    <row r="19824">
      <c r="A19824" s="24"/>
      <c r="B19824" s="25"/>
      <c r="C19824" s="24"/>
      <c r="D19824" s="26"/>
      <c r="E19824" s="24"/>
      <c r="F19824" s="24"/>
      <c r="G19824" s="24"/>
      <c r="H19824" s="24"/>
      <c r="I19824" s="24"/>
      <c r="J19824" s="24"/>
      <c r="K19824" s="24"/>
      <c r="L19824" s="24"/>
      <c r="M19824" s="24"/>
      <c r="N19824" s="24"/>
      <c r="O19824" s="24"/>
      <c r="P19824" s="24"/>
      <c r="Q19824" s="24"/>
      <c r="R19824" s="24"/>
      <c r="S19824" s="24"/>
      <c r="T19824" s="24"/>
      <c r="U19824" s="24"/>
      <c r="V19824" s="24"/>
      <c r="W19824" s="24"/>
      <c r="X19824" s="24"/>
      <c r="Y19824" s="24"/>
      <c r="Z19824" s="24"/>
      <c r="AA19824" s="24"/>
    </row>
    <row r="19825">
      <c r="A19825" s="24"/>
      <c r="B19825" s="25"/>
      <c r="C19825" s="24"/>
      <c r="D19825" s="26"/>
      <c r="E19825" s="24"/>
      <c r="F19825" s="24"/>
      <c r="G19825" s="24"/>
      <c r="H19825" s="24"/>
      <c r="I19825" s="24"/>
      <c r="J19825" s="24"/>
      <c r="K19825" s="24"/>
      <c r="L19825" s="24"/>
      <c r="M19825" s="24"/>
      <c r="N19825" s="24"/>
      <c r="O19825" s="24"/>
      <c r="P19825" s="24"/>
      <c r="Q19825" s="24"/>
      <c r="R19825" s="24"/>
      <c r="S19825" s="24"/>
      <c r="T19825" s="24"/>
      <c r="U19825" s="24"/>
      <c r="V19825" s="24"/>
      <c r="W19825" s="24"/>
      <c r="X19825" s="24"/>
      <c r="Y19825" s="24"/>
      <c r="Z19825" s="24"/>
      <c r="AA19825" s="24"/>
    </row>
    <row r="19826">
      <c r="A19826" s="24"/>
      <c r="B19826" s="25"/>
      <c r="C19826" s="24"/>
      <c r="D19826" s="26"/>
      <c r="E19826" s="24"/>
      <c r="F19826" s="24"/>
      <c r="G19826" s="24"/>
      <c r="H19826" s="24"/>
      <c r="I19826" s="24"/>
      <c r="J19826" s="24"/>
      <c r="K19826" s="24"/>
      <c r="L19826" s="24"/>
      <c r="M19826" s="24"/>
      <c r="N19826" s="24"/>
      <c r="O19826" s="24"/>
      <c r="P19826" s="24"/>
      <c r="Q19826" s="24"/>
      <c r="R19826" s="24"/>
      <c r="S19826" s="24"/>
      <c r="T19826" s="24"/>
      <c r="U19826" s="24"/>
      <c r="V19826" s="24"/>
      <c r="W19826" s="24"/>
      <c r="X19826" s="24"/>
      <c r="Y19826" s="24"/>
      <c r="Z19826" s="24"/>
      <c r="AA19826" s="24"/>
    </row>
    <row r="19827">
      <c r="A19827" s="24"/>
      <c r="B19827" s="25"/>
      <c r="C19827" s="24"/>
      <c r="D19827" s="26"/>
      <c r="E19827" s="24"/>
      <c r="F19827" s="24"/>
      <c r="G19827" s="24"/>
      <c r="H19827" s="24"/>
      <c r="I19827" s="24"/>
      <c r="J19827" s="24"/>
      <c r="K19827" s="24"/>
      <c r="L19827" s="24"/>
      <c r="M19827" s="24"/>
      <c r="N19827" s="24"/>
      <c r="O19827" s="24"/>
      <c r="P19827" s="24"/>
      <c r="Q19827" s="24"/>
      <c r="R19827" s="24"/>
      <c r="S19827" s="24"/>
      <c r="T19827" s="24"/>
      <c r="U19827" s="24"/>
      <c r="V19827" s="24"/>
      <c r="W19827" s="24"/>
      <c r="X19827" s="24"/>
      <c r="Y19827" s="24"/>
      <c r="Z19827" s="24"/>
      <c r="AA19827" s="24"/>
    </row>
    <row r="19828">
      <c r="A19828" s="24"/>
      <c r="B19828" s="25"/>
      <c r="C19828" s="24"/>
      <c r="D19828" s="26"/>
      <c r="E19828" s="24"/>
      <c r="F19828" s="24"/>
      <c r="G19828" s="24"/>
      <c r="H19828" s="24"/>
      <c r="I19828" s="24"/>
      <c r="J19828" s="24"/>
      <c r="K19828" s="24"/>
      <c r="L19828" s="24"/>
      <c r="M19828" s="24"/>
      <c r="N19828" s="24"/>
      <c r="O19828" s="24"/>
      <c r="P19828" s="24"/>
      <c r="Q19828" s="24"/>
      <c r="R19828" s="24"/>
      <c r="S19828" s="24"/>
      <c r="T19828" s="24"/>
      <c r="U19828" s="24"/>
      <c r="V19828" s="24"/>
      <c r="W19828" s="24"/>
      <c r="X19828" s="24"/>
      <c r="Y19828" s="24"/>
      <c r="Z19828" s="24"/>
      <c r="AA19828" s="24"/>
    </row>
    <row r="19829">
      <c r="A19829" s="24"/>
      <c r="B19829" s="25"/>
      <c r="C19829" s="24"/>
      <c r="D19829" s="26"/>
      <c r="E19829" s="24"/>
      <c r="F19829" s="24"/>
      <c r="G19829" s="24"/>
      <c r="H19829" s="24"/>
      <c r="I19829" s="24"/>
      <c r="J19829" s="24"/>
      <c r="K19829" s="24"/>
      <c r="L19829" s="24"/>
      <c r="M19829" s="24"/>
      <c r="N19829" s="24"/>
      <c r="O19829" s="24"/>
      <c r="P19829" s="24"/>
      <c r="Q19829" s="24"/>
      <c r="R19829" s="24"/>
      <c r="S19829" s="24"/>
      <c r="T19829" s="24"/>
      <c r="U19829" s="24"/>
      <c r="V19829" s="24"/>
      <c r="W19829" s="24"/>
      <c r="X19829" s="24"/>
      <c r="Y19829" s="24"/>
      <c r="Z19829" s="24"/>
      <c r="AA19829" s="24"/>
    </row>
    <row r="19830">
      <c r="A19830" s="24"/>
      <c r="B19830" s="25"/>
      <c r="C19830" s="24"/>
      <c r="D19830" s="26"/>
      <c r="E19830" s="24"/>
      <c r="F19830" s="24"/>
      <c r="G19830" s="24"/>
      <c r="H19830" s="24"/>
      <c r="I19830" s="24"/>
      <c r="J19830" s="24"/>
      <c r="K19830" s="24"/>
      <c r="L19830" s="24"/>
      <c r="M19830" s="24"/>
      <c r="N19830" s="24"/>
      <c r="O19830" s="24"/>
      <c r="P19830" s="24"/>
      <c r="Q19830" s="24"/>
      <c r="R19830" s="24"/>
      <c r="S19830" s="24"/>
      <c r="T19830" s="24"/>
      <c r="U19830" s="24"/>
      <c r="V19830" s="24"/>
      <c r="W19830" s="24"/>
      <c r="X19830" s="24"/>
      <c r="Y19830" s="24"/>
      <c r="Z19830" s="24"/>
      <c r="AA19830" s="24"/>
    </row>
    <row r="19831">
      <c r="A19831" s="24"/>
      <c r="B19831" s="25"/>
      <c r="C19831" s="24"/>
      <c r="D19831" s="26"/>
      <c r="E19831" s="24"/>
      <c r="F19831" s="24"/>
      <c r="G19831" s="24"/>
      <c r="H19831" s="24"/>
      <c r="I19831" s="24"/>
      <c r="J19831" s="24"/>
      <c r="K19831" s="24"/>
      <c r="L19831" s="24"/>
      <c r="M19831" s="24"/>
      <c r="N19831" s="24"/>
      <c r="O19831" s="24"/>
      <c r="P19831" s="24"/>
      <c r="Q19831" s="24"/>
      <c r="R19831" s="24"/>
      <c r="S19831" s="24"/>
      <c r="T19831" s="24"/>
      <c r="U19831" s="24"/>
      <c r="V19831" s="24"/>
      <c r="W19831" s="24"/>
      <c r="X19831" s="24"/>
      <c r="Y19831" s="24"/>
      <c r="Z19831" s="24"/>
      <c r="AA19831" s="24"/>
    </row>
    <row r="19832">
      <c r="A19832" s="24"/>
      <c r="B19832" s="25"/>
      <c r="C19832" s="24"/>
      <c r="D19832" s="26"/>
      <c r="E19832" s="24"/>
      <c r="F19832" s="24"/>
      <c r="G19832" s="24"/>
      <c r="H19832" s="24"/>
      <c r="I19832" s="24"/>
      <c r="J19832" s="24"/>
      <c r="K19832" s="24"/>
      <c r="L19832" s="24"/>
      <c r="M19832" s="24"/>
      <c r="N19832" s="24"/>
      <c r="O19832" s="24"/>
      <c r="P19832" s="24"/>
      <c r="Q19832" s="24"/>
      <c r="R19832" s="24"/>
      <c r="S19832" s="24"/>
      <c r="T19832" s="24"/>
      <c r="U19832" s="24"/>
      <c r="V19832" s="24"/>
      <c r="W19832" s="24"/>
      <c r="X19832" s="24"/>
      <c r="Y19832" s="24"/>
      <c r="Z19832" s="24"/>
      <c r="AA19832" s="24"/>
    </row>
    <row r="19833">
      <c r="A19833" s="24"/>
      <c r="B19833" s="25"/>
      <c r="C19833" s="24"/>
      <c r="D19833" s="26"/>
      <c r="E19833" s="24"/>
      <c r="F19833" s="24"/>
      <c r="G19833" s="24"/>
      <c r="H19833" s="24"/>
      <c r="I19833" s="24"/>
      <c r="J19833" s="24"/>
      <c r="K19833" s="24"/>
      <c r="L19833" s="24"/>
      <c r="M19833" s="24"/>
      <c r="N19833" s="24"/>
      <c r="O19833" s="24"/>
      <c r="P19833" s="24"/>
      <c r="Q19833" s="24"/>
      <c r="R19833" s="24"/>
      <c r="S19833" s="24"/>
      <c r="T19833" s="24"/>
      <c r="U19833" s="24"/>
      <c r="V19833" s="24"/>
      <c r="W19833" s="24"/>
      <c r="X19833" s="24"/>
      <c r="Y19833" s="24"/>
      <c r="Z19833" s="24"/>
      <c r="AA19833" s="24"/>
    </row>
    <row r="19834">
      <c r="A19834" s="24"/>
      <c r="B19834" s="25"/>
      <c r="C19834" s="24"/>
      <c r="D19834" s="26"/>
      <c r="E19834" s="24"/>
      <c r="F19834" s="24"/>
      <c r="G19834" s="24"/>
      <c r="H19834" s="24"/>
      <c r="I19834" s="24"/>
      <c r="J19834" s="24"/>
      <c r="K19834" s="24"/>
      <c r="L19834" s="24"/>
      <c r="M19834" s="24"/>
      <c r="N19834" s="24"/>
      <c r="O19834" s="24"/>
      <c r="P19834" s="24"/>
      <c r="Q19834" s="24"/>
      <c r="R19834" s="24"/>
      <c r="S19834" s="24"/>
      <c r="T19834" s="24"/>
      <c r="U19834" s="24"/>
      <c r="V19834" s="24"/>
      <c r="W19834" s="24"/>
      <c r="X19834" s="24"/>
      <c r="Y19834" s="24"/>
      <c r="Z19834" s="24"/>
      <c r="AA19834" s="24"/>
    </row>
    <row r="19835">
      <c r="A19835" s="24"/>
      <c r="B19835" s="25"/>
      <c r="C19835" s="24"/>
      <c r="D19835" s="26"/>
      <c r="E19835" s="24"/>
      <c r="F19835" s="24"/>
      <c r="G19835" s="24"/>
      <c r="H19835" s="24"/>
      <c r="I19835" s="24"/>
      <c r="J19835" s="24"/>
      <c r="K19835" s="24"/>
      <c r="L19835" s="24"/>
      <c r="M19835" s="24"/>
      <c r="N19835" s="24"/>
      <c r="O19835" s="24"/>
      <c r="P19835" s="24"/>
      <c r="Q19835" s="24"/>
      <c r="R19835" s="24"/>
      <c r="S19835" s="24"/>
      <c r="T19835" s="24"/>
      <c r="U19835" s="24"/>
      <c r="V19835" s="24"/>
      <c r="W19835" s="24"/>
      <c r="X19835" s="24"/>
      <c r="Y19835" s="24"/>
      <c r="Z19835" s="24"/>
      <c r="AA19835" s="24"/>
    </row>
    <row r="19836">
      <c r="A19836" s="24"/>
      <c r="B19836" s="25"/>
      <c r="C19836" s="24"/>
      <c r="D19836" s="26"/>
      <c r="E19836" s="24"/>
      <c r="F19836" s="24"/>
      <c r="G19836" s="24"/>
      <c r="H19836" s="24"/>
      <c r="I19836" s="24"/>
      <c r="J19836" s="24"/>
      <c r="K19836" s="24"/>
      <c r="L19836" s="24"/>
      <c r="M19836" s="24"/>
      <c r="N19836" s="24"/>
      <c r="O19836" s="24"/>
      <c r="P19836" s="24"/>
      <c r="Q19836" s="24"/>
      <c r="R19836" s="24"/>
      <c r="S19836" s="24"/>
      <c r="T19836" s="24"/>
      <c r="U19836" s="24"/>
      <c r="V19836" s="24"/>
      <c r="W19836" s="24"/>
      <c r="X19836" s="24"/>
      <c r="Y19836" s="24"/>
      <c r="Z19836" s="24"/>
      <c r="AA19836" s="24"/>
    </row>
    <row r="19837">
      <c r="A19837" s="24"/>
      <c r="B19837" s="25"/>
      <c r="C19837" s="24"/>
      <c r="D19837" s="26"/>
      <c r="E19837" s="24"/>
      <c r="F19837" s="24"/>
      <c r="G19837" s="24"/>
      <c r="H19837" s="24"/>
      <c r="I19837" s="24"/>
      <c r="J19837" s="24"/>
      <c r="K19837" s="24"/>
      <c r="L19837" s="24"/>
      <c r="M19837" s="24"/>
      <c r="N19837" s="24"/>
      <c r="O19837" s="24"/>
      <c r="P19837" s="24"/>
      <c r="Q19837" s="24"/>
      <c r="R19837" s="24"/>
      <c r="S19837" s="24"/>
      <c r="T19837" s="24"/>
      <c r="U19837" s="24"/>
      <c r="V19837" s="24"/>
      <c r="W19837" s="24"/>
      <c r="X19837" s="24"/>
      <c r="Y19837" s="24"/>
      <c r="Z19837" s="24"/>
      <c r="AA19837" s="24"/>
    </row>
    <row r="19838">
      <c r="A19838" s="24"/>
      <c r="B19838" s="25"/>
      <c r="C19838" s="24"/>
      <c r="D19838" s="26"/>
      <c r="E19838" s="24"/>
      <c r="F19838" s="24"/>
      <c r="G19838" s="24"/>
      <c r="H19838" s="24"/>
      <c r="I19838" s="24"/>
      <c r="J19838" s="24"/>
      <c r="K19838" s="24"/>
      <c r="L19838" s="24"/>
      <c r="M19838" s="24"/>
      <c r="N19838" s="24"/>
      <c r="O19838" s="24"/>
      <c r="P19838" s="24"/>
      <c r="Q19838" s="24"/>
      <c r="R19838" s="24"/>
      <c r="S19838" s="24"/>
      <c r="T19838" s="24"/>
      <c r="U19838" s="24"/>
      <c r="V19838" s="24"/>
      <c r="W19838" s="24"/>
      <c r="X19838" s="24"/>
      <c r="Y19838" s="24"/>
      <c r="Z19838" s="24"/>
      <c r="AA19838" s="24"/>
    </row>
    <row r="19839">
      <c r="A19839" s="24"/>
      <c r="B19839" s="25"/>
      <c r="C19839" s="24"/>
      <c r="D19839" s="26"/>
      <c r="E19839" s="24"/>
      <c r="F19839" s="24"/>
      <c r="G19839" s="24"/>
      <c r="H19839" s="24"/>
      <c r="I19839" s="24"/>
      <c r="J19839" s="24"/>
      <c r="K19839" s="24"/>
      <c r="L19839" s="24"/>
      <c r="M19839" s="24"/>
      <c r="N19839" s="24"/>
      <c r="O19839" s="24"/>
      <c r="P19839" s="24"/>
      <c r="Q19839" s="24"/>
      <c r="R19839" s="24"/>
      <c r="S19839" s="24"/>
      <c r="T19839" s="24"/>
      <c r="U19839" s="24"/>
      <c r="V19839" s="24"/>
      <c r="W19839" s="24"/>
      <c r="X19839" s="24"/>
      <c r="Y19839" s="24"/>
      <c r="Z19839" s="24"/>
      <c r="AA19839" s="24"/>
    </row>
    <row r="19840">
      <c r="A19840" s="24"/>
      <c r="B19840" s="25"/>
      <c r="C19840" s="24"/>
      <c r="D19840" s="26"/>
      <c r="E19840" s="24"/>
      <c r="F19840" s="24"/>
      <c r="G19840" s="24"/>
      <c r="H19840" s="24"/>
      <c r="I19840" s="24"/>
      <c r="J19840" s="24"/>
      <c r="K19840" s="24"/>
      <c r="L19840" s="24"/>
      <c r="M19840" s="24"/>
      <c r="N19840" s="24"/>
      <c r="O19840" s="24"/>
      <c r="P19840" s="24"/>
      <c r="Q19840" s="24"/>
      <c r="R19840" s="24"/>
      <c r="S19840" s="24"/>
      <c r="T19840" s="24"/>
      <c r="U19840" s="24"/>
      <c r="V19840" s="24"/>
      <c r="W19840" s="24"/>
      <c r="X19840" s="24"/>
      <c r="Y19840" s="24"/>
      <c r="Z19840" s="24"/>
      <c r="AA19840" s="24"/>
    </row>
    <row r="19841">
      <c r="A19841" s="24"/>
      <c r="B19841" s="25"/>
      <c r="C19841" s="24"/>
      <c r="D19841" s="26"/>
      <c r="E19841" s="24"/>
      <c r="F19841" s="24"/>
      <c r="G19841" s="24"/>
      <c r="H19841" s="24"/>
      <c r="I19841" s="24"/>
      <c r="J19841" s="24"/>
      <c r="K19841" s="24"/>
      <c r="L19841" s="24"/>
      <c r="M19841" s="24"/>
      <c r="N19841" s="24"/>
      <c r="O19841" s="24"/>
      <c r="P19841" s="24"/>
      <c r="Q19841" s="24"/>
      <c r="R19841" s="24"/>
      <c r="S19841" s="24"/>
      <c r="T19841" s="24"/>
      <c r="U19841" s="24"/>
      <c r="V19841" s="24"/>
      <c r="W19841" s="24"/>
      <c r="X19841" s="24"/>
      <c r="Y19841" s="24"/>
      <c r="Z19841" s="24"/>
      <c r="AA19841" s="24"/>
    </row>
    <row r="19842">
      <c r="A19842" s="24"/>
      <c r="B19842" s="25"/>
      <c r="C19842" s="24"/>
      <c r="D19842" s="26"/>
      <c r="E19842" s="24"/>
      <c r="F19842" s="24"/>
      <c r="G19842" s="24"/>
      <c r="H19842" s="24"/>
      <c r="I19842" s="24"/>
      <c r="J19842" s="24"/>
      <c r="K19842" s="24"/>
      <c r="L19842" s="24"/>
      <c r="M19842" s="24"/>
      <c r="N19842" s="24"/>
      <c r="O19842" s="24"/>
      <c r="P19842" s="24"/>
      <c r="Q19842" s="24"/>
      <c r="R19842" s="24"/>
      <c r="S19842" s="24"/>
      <c r="T19842" s="24"/>
      <c r="U19842" s="24"/>
      <c r="V19842" s="24"/>
      <c r="W19842" s="24"/>
      <c r="X19842" s="24"/>
      <c r="Y19842" s="24"/>
      <c r="Z19842" s="24"/>
      <c r="AA19842" s="24"/>
    </row>
    <row r="19843">
      <c r="A19843" s="24"/>
      <c r="B19843" s="25"/>
      <c r="C19843" s="24"/>
      <c r="D19843" s="26"/>
      <c r="E19843" s="24"/>
      <c r="F19843" s="24"/>
      <c r="G19843" s="24"/>
      <c r="H19843" s="24"/>
      <c r="I19843" s="24"/>
      <c r="J19843" s="24"/>
      <c r="K19843" s="24"/>
      <c r="L19843" s="24"/>
      <c r="M19843" s="24"/>
      <c r="N19843" s="24"/>
      <c r="O19843" s="24"/>
      <c r="P19843" s="24"/>
      <c r="Q19843" s="24"/>
      <c r="R19843" s="24"/>
      <c r="S19843" s="24"/>
      <c r="T19843" s="24"/>
      <c r="U19843" s="24"/>
      <c r="V19843" s="24"/>
      <c r="W19843" s="24"/>
      <c r="X19843" s="24"/>
      <c r="Y19843" s="24"/>
      <c r="Z19843" s="24"/>
      <c r="AA19843" s="24"/>
    </row>
    <row r="19844">
      <c r="A19844" s="24"/>
      <c r="B19844" s="25"/>
      <c r="C19844" s="24"/>
      <c r="D19844" s="26"/>
      <c r="E19844" s="24"/>
      <c r="F19844" s="24"/>
      <c r="G19844" s="24"/>
      <c r="H19844" s="24"/>
      <c r="I19844" s="24"/>
      <c r="J19844" s="24"/>
      <c r="K19844" s="24"/>
      <c r="L19844" s="24"/>
      <c r="M19844" s="24"/>
      <c r="N19844" s="24"/>
      <c r="O19844" s="24"/>
      <c r="P19844" s="24"/>
      <c r="Q19844" s="24"/>
      <c r="R19844" s="24"/>
      <c r="S19844" s="24"/>
      <c r="T19844" s="24"/>
      <c r="U19844" s="24"/>
      <c r="V19844" s="24"/>
      <c r="W19844" s="24"/>
      <c r="X19844" s="24"/>
      <c r="Y19844" s="24"/>
      <c r="Z19844" s="24"/>
      <c r="AA19844" s="24"/>
    </row>
    <row r="19845">
      <c r="A19845" s="24"/>
      <c r="B19845" s="25"/>
      <c r="C19845" s="24"/>
      <c r="D19845" s="26"/>
      <c r="E19845" s="24"/>
      <c r="F19845" s="24"/>
      <c r="G19845" s="24"/>
      <c r="H19845" s="24"/>
      <c r="I19845" s="24"/>
      <c r="J19845" s="24"/>
      <c r="K19845" s="24"/>
      <c r="L19845" s="24"/>
      <c r="M19845" s="24"/>
      <c r="N19845" s="24"/>
      <c r="O19845" s="24"/>
      <c r="P19845" s="24"/>
      <c r="Q19845" s="24"/>
      <c r="R19845" s="24"/>
      <c r="S19845" s="24"/>
      <c r="T19845" s="24"/>
      <c r="U19845" s="24"/>
      <c r="V19845" s="24"/>
      <c r="W19845" s="24"/>
      <c r="X19845" s="24"/>
      <c r="Y19845" s="24"/>
      <c r="Z19845" s="24"/>
      <c r="AA19845" s="24"/>
    </row>
    <row r="19846">
      <c r="A19846" s="24"/>
      <c r="B19846" s="25"/>
      <c r="C19846" s="24"/>
      <c r="D19846" s="26"/>
      <c r="E19846" s="24"/>
      <c r="F19846" s="24"/>
      <c r="G19846" s="24"/>
      <c r="H19846" s="24"/>
      <c r="I19846" s="24"/>
      <c r="J19846" s="24"/>
      <c r="K19846" s="24"/>
      <c r="L19846" s="24"/>
      <c r="M19846" s="24"/>
      <c r="N19846" s="24"/>
      <c r="O19846" s="24"/>
      <c r="P19846" s="24"/>
      <c r="Q19846" s="24"/>
      <c r="R19846" s="24"/>
      <c r="S19846" s="24"/>
      <c r="T19846" s="24"/>
      <c r="U19846" s="24"/>
      <c r="V19846" s="24"/>
      <c r="W19846" s="24"/>
      <c r="X19846" s="24"/>
      <c r="Y19846" s="24"/>
      <c r="Z19846" s="24"/>
      <c r="AA19846" s="24"/>
    </row>
    <row r="19847">
      <c r="A19847" s="24"/>
      <c r="B19847" s="25"/>
      <c r="C19847" s="24"/>
      <c r="D19847" s="26"/>
      <c r="E19847" s="24"/>
      <c r="F19847" s="24"/>
      <c r="G19847" s="24"/>
      <c r="H19847" s="24"/>
      <c r="I19847" s="24"/>
      <c r="J19847" s="24"/>
      <c r="K19847" s="24"/>
      <c r="L19847" s="24"/>
      <c r="M19847" s="24"/>
      <c r="N19847" s="24"/>
      <c r="O19847" s="24"/>
      <c r="P19847" s="24"/>
      <c r="Q19847" s="24"/>
      <c r="R19847" s="24"/>
      <c r="S19847" s="24"/>
      <c r="T19847" s="24"/>
      <c r="U19847" s="24"/>
      <c r="V19847" s="24"/>
      <c r="W19847" s="24"/>
      <c r="X19847" s="24"/>
      <c r="Y19847" s="24"/>
      <c r="Z19847" s="24"/>
      <c r="AA19847" s="24"/>
    </row>
    <row r="19848">
      <c r="A19848" s="24"/>
      <c r="B19848" s="25"/>
      <c r="C19848" s="24"/>
      <c r="D19848" s="26"/>
      <c r="E19848" s="24"/>
      <c r="F19848" s="24"/>
      <c r="G19848" s="24"/>
      <c r="H19848" s="24"/>
      <c r="I19848" s="24"/>
      <c r="J19848" s="24"/>
      <c r="K19848" s="24"/>
      <c r="L19848" s="24"/>
      <c r="M19848" s="24"/>
      <c r="N19848" s="24"/>
      <c r="O19848" s="24"/>
      <c r="P19848" s="24"/>
      <c r="Q19848" s="24"/>
      <c r="R19848" s="24"/>
      <c r="S19848" s="24"/>
      <c r="T19848" s="24"/>
      <c r="U19848" s="24"/>
      <c r="V19848" s="24"/>
      <c r="W19848" s="24"/>
      <c r="X19848" s="24"/>
      <c r="Y19848" s="24"/>
      <c r="Z19848" s="24"/>
      <c r="AA19848" s="24"/>
    </row>
    <row r="19849">
      <c r="A19849" s="24"/>
      <c r="B19849" s="25"/>
      <c r="C19849" s="24"/>
      <c r="D19849" s="26"/>
      <c r="E19849" s="24"/>
      <c r="F19849" s="24"/>
      <c r="G19849" s="24"/>
      <c r="H19849" s="24"/>
      <c r="I19849" s="24"/>
      <c r="J19849" s="24"/>
      <c r="K19849" s="24"/>
      <c r="L19849" s="24"/>
      <c r="M19849" s="24"/>
      <c r="N19849" s="24"/>
      <c r="O19849" s="24"/>
      <c r="P19849" s="24"/>
      <c r="Q19849" s="24"/>
      <c r="R19849" s="24"/>
      <c r="S19849" s="24"/>
      <c r="T19849" s="24"/>
      <c r="U19849" s="24"/>
      <c r="V19849" s="24"/>
      <c r="W19849" s="24"/>
      <c r="X19849" s="24"/>
      <c r="Y19849" s="24"/>
      <c r="Z19849" s="24"/>
      <c r="AA19849" s="24"/>
    </row>
    <row r="19850">
      <c r="A19850" s="24"/>
      <c r="B19850" s="25"/>
      <c r="C19850" s="24"/>
      <c r="D19850" s="26"/>
      <c r="E19850" s="24"/>
      <c r="F19850" s="24"/>
      <c r="G19850" s="24"/>
      <c r="H19850" s="24"/>
      <c r="I19850" s="24"/>
      <c r="J19850" s="24"/>
      <c r="K19850" s="24"/>
      <c r="L19850" s="24"/>
      <c r="M19850" s="24"/>
      <c r="N19850" s="24"/>
      <c r="O19850" s="24"/>
      <c r="P19850" s="24"/>
      <c r="Q19850" s="24"/>
      <c r="R19850" s="24"/>
      <c r="S19850" s="24"/>
      <c r="T19850" s="24"/>
      <c r="U19850" s="24"/>
      <c r="V19850" s="24"/>
      <c r="W19850" s="24"/>
      <c r="X19850" s="24"/>
      <c r="Y19850" s="24"/>
      <c r="Z19850" s="24"/>
      <c r="AA19850" s="24"/>
    </row>
    <row r="19851">
      <c r="A19851" s="24"/>
      <c r="B19851" s="25"/>
      <c r="C19851" s="24"/>
      <c r="D19851" s="26"/>
      <c r="E19851" s="24"/>
      <c r="F19851" s="24"/>
      <c r="G19851" s="24"/>
      <c r="H19851" s="24"/>
      <c r="I19851" s="24"/>
      <c r="J19851" s="24"/>
      <c r="K19851" s="24"/>
      <c r="L19851" s="24"/>
      <c r="M19851" s="24"/>
      <c r="N19851" s="24"/>
      <c r="O19851" s="24"/>
      <c r="P19851" s="24"/>
      <c r="Q19851" s="24"/>
      <c r="R19851" s="24"/>
      <c r="S19851" s="24"/>
      <c r="T19851" s="24"/>
      <c r="U19851" s="24"/>
      <c r="V19851" s="24"/>
      <c r="W19851" s="24"/>
      <c r="X19851" s="24"/>
      <c r="Y19851" s="24"/>
      <c r="Z19851" s="24"/>
      <c r="AA19851" s="24"/>
    </row>
    <row r="19852">
      <c r="A19852" s="24"/>
      <c r="B19852" s="25"/>
      <c r="C19852" s="24"/>
      <c r="D19852" s="26"/>
      <c r="E19852" s="24"/>
      <c r="F19852" s="24"/>
      <c r="G19852" s="24"/>
      <c r="H19852" s="24"/>
      <c r="I19852" s="24"/>
      <c r="J19852" s="24"/>
      <c r="K19852" s="24"/>
      <c r="L19852" s="24"/>
      <c r="M19852" s="24"/>
      <c r="N19852" s="24"/>
      <c r="O19852" s="24"/>
      <c r="P19852" s="24"/>
      <c r="Q19852" s="24"/>
      <c r="R19852" s="24"/>
      <c r="S19852" s="24"/>
      <c r="T19852" s="24"/>
      <c r="U19852" s="24"/>
      <c r="V19852" s="24"/>
      <c r="W19852" s="24"/>
      <c r="X19852" s="24"/>
      <c r="Y19852" s="24"/>
      <c r="Z19852" s="24"/>
      <c r="AA19852" s="24"/>
    </row>
    <row r="19853">
      <c r="A19853" s="24"/>
      <c r="B19853" s="25"/>
      <c r="C19853" s="24"/>
      <c r="D19853" s="26"/>
      <c r="E19853" s="24"/>
      <c r="F19853" s="24"/>
      <c r="G19853" s="24"/>
      <c r="H19853" s="24"/>
      <c r="I19853" s="24"/>
      <c r="J19853" s="24"/>
      <c r="K19853" s="24"/>
      <c r="L19853" s="24"/>
      <c r="M19853" s="24"/>
      <c r="N19853" s="24"/>
      <c r="O19853" s="24"/>
      <c r="P19853" s="24"/>
      <c r="Q19853" s="24"/>
      <c r="R19853" s="24"/>
      <c r="S19853" s="24"/>
      <c r="T19853" s="24"/>
      <c r="U19853" s="24"/>
      <c r="V19853" s="24"/>
      <c r="W19853" s="24"/>
      <c r="X19853" s="24"/>
      <c r="Y19853" s="24"/>
      <c r="Z19853" s="24"/>
      <c r="AA19853" s="24"/>
    </row>
    <row r="19854">
      <c r="A19854" s="24"/>
      <c r="B19854" s="25"/>
      <c r="C19854" s="24"/>
      <c r="D19854" s="26"/>
      <c r="E19854" s="24"/>
      <c r="F19854" s="24"/>
      <c r="G19854" s="24"/>
      <c r="H19854" s="24"/>
      <c r="I19854" s="24"/>
      <c r="J19854" s="24"/>
      <c r="K19854" s="24"/>
      <c r="L19854" s="24"/>
      <c r="M19854" s="24"/>
      <c r="N19854" s="24"/>
      <c r="O19854" s="24"/>
      <c r="P19854" s="24"/>
      <c r="Q19854" s="24"/>
      <c r="R19854" s="24"/>
      <c r="S19854" s="24"/>
      <c r="T19854" s="24"/>
      <c r="U19854" s="24"/>
      <c r="V19854" s="24"/>
      <c r="W19854" s="24"/>
      <c r="X19854" s="24"/>
      <c r="Y19854" s="24"/>
      <c r="Z19854" s="24"/>
      <c r="AA19854" s="24"/>
    </row>
    <row r="19855">
      <c r="A19855" s="24"/>
      <c r="B19855" s="25"/>
      <c r="C19855" s="24"/>
      <c r="D19855" s="26"/>
      <c r="E19855" s="24"/>
      <c r="F19855" s="24"/>
      <c r="G19855" s="24"/>
      <c r="H19855" s="24"/>
      <c r="I19855" s="24"/>
      <c r="J19855" s="24"/>
      <c r="K19855" s="24"/>
      <c r="L19855" s="24"/>
      <c r="M19855" s="24"/>
      <c r="N19855" s="24"/>
      <c r="O19855" s="24"/>
      <c r="P19855" s="24"/>
      <c r="Q19855" s="24"/>
      <c r="R19855" s="24"/>
      <c r="S19855" s="24"/>
      <c r="T19855" s="24"/>
      <c r="U19855" s="24"/>
      <c r="V19855" s="24"/>
      <c r="W19855" s="24"/>
      <c r="X19855" s="24"/>
      <c r="Y19855" s="24"/>
      <c r="Z19855" s="24"/>
      <c r="AA19855" s="24"/>
    </row>
    <row r="19856">
      <c r="A19856" s="24"/>
      <c r="B19856" s="25"/>
      <c r="C19856" s="24"/>
      <c r="D19856" s="26"/>
      <c r="E19856" s="24"/>
      <c r="F19856" s="24"/>
      <c r="G19856" s="24"/>
      <c r="H19856" s="24"/>
      <c r="I19856" s="24"/>
      <c r="J19856" s="24"/>
      <c r="K19856" s="24"/>
      <c r="L19856" s="24"/>
      <c r="M19856" s="24"/>
      <c r="N19856" s="24"/>
      <c r="O19856" s="24"/>
      <c r="P19856" s="24"/>
      <c r="Q19856" s="24"/>
      <c r="R19856" s="24"/>
      <c r="S19856" s="24"/>
      <c r="T19856" s="24"/>
      <c r="U19856" s="24"/>
      <c r="V19856" s="24"/>
      <c r="W19856" s="24"/>
      <c r="X19856" s="24"/>
      <c r="Y19856" s="24"/>
      <c r="Z19856" s="24"/>
      <c r="AA19856" s="24"/>
    </row>
    <row r="19857">
      <c r="A19857" s="24"/>
      <c r="B19857" s="25"/>
      <c r="C19857" s="24"/>
      <c r="D19857" s="26"/>
      <c r="E19857" s="24"/>
      <c r="F19857" s="24"/>
      <c r="G19857" s="24"/>
      <c r="H19857" s="24"/>
      <c r="I19857" s="24"/>
      <c r="J19857" s="24"/>
      <c r="K19857" s="24"/>
      <c r="L19857" s="24"/>
      <c r="M19857" s="24"/>
      <c r="N19857" s="24"/>
      <c r="O19857" s="24"/>
      <c r="P19857" s="24"/>
      <c r="Q19857" s="24"/>
      <c r="R19857" s="24"/>
      <c r="S19857" s="24"/>
      <c r="T19857" s="24"/>
      <c r="U19857" s="24"/>
      <c r="V19857" s="24"/>
      <c r="W19857" s="24"/>
      <c r="X19857" s="24"/>
      <c r="Y19857" s="24"/>
      <c r="Z19857" s="24"/>
      <c r="AA19857" s="24"/>
    </row>
    <row r="19858">
      <c r="A19858" s="24"/>
      <c r="B19858" s="25"/>
      <c r="C19858" s="24"/>
      <c r="D19858" s="26"/>
      <c r="E19858" s="24"/>
      <c r="F19858" s="24"/>
      <c r="G19858" s="24"/>
      <c r="H19858" s="24"/>
      <c r="I19858" s="24"/>
      <c r="J19858" s="24"/>
      <c r="K19858" s="24"/>
      <c r="L19858" s="24"/>
      <c r="M19858" s="24"/>
      <c r="N19858" s="24"/>
      <c r="O19858" s="24"/>
      <c r="P19858" s="24"/>
      <c r="Q19858" s="24"/>
      <c r="R19858" s="24"/>
      <c r="S19858" s="24"/>
      <c r="T19858" s="24"/>
      <c r="U19858" s="24"/>
      <c r="V19858" s="24"/>
      <c r="W19858" s="24"/>
      <c r="X19858" s="24"/>
      <c r="Y19858" s="24"/>
      <c r="Z19858" s="24"/>
      <c r="AA19858" s="24"/>
    </row>
    <row r="19859">
      <c r="A19859" s="24"/>
      <c r="B19859" s="25"/>
      <c r="C19859" s="24"/>
      <c r="D19859" s="26"/>
      <c r="E19859" s="24"/>
      <c r="F19859" s="24"/>
      <c r="G19859" s="24"/>
      <c r="H19859" s="24"/>
      <c r="I19859" s="24"/>
      <c r="J19859" s="24"/>
      <c r="K19859" s="24"/>
      <c r="L19859" s="24"/>
      <c r="M19859" s="24"/>
      <c r="N19859" s="24"/>
      <c r="O19859" s="24"/>
      <c r="P19859" s="24"/>
      <c r="Q19859" s="24"/>
      <c r="R19859" s="24"/>
      <c r="S19859" s="24"/>
      <c r="T19859" s="24"/>
      <c r="U19859" s="24"/>
      <c r="V19859" s="24"/>
      <c r="W19859" s="24"/>
      <c r="X19859" s="24"/>
      <c r="Y19859" s="24"/>
      <c r="Z19859" s="24"/>
      <c r="AA19859" s="24"/>
    </row>
    <row r="19860">
      <c r="A19860" s="24"/>
      <c r="B19860" s="25"/>
      <c r="C19860" s="24"/>
      <c r="D19860" s="26"/>
      <c r="E19860" s="24"/>
      <c r="F19860" s="24"/>
      <c r="G19860" s="24"/>
      <c r="H19860" s="24"/>
      <c r="I19860" s="24"/>
      <c r="J19860" s="24"/>
      <c r="K19860" s="24"/>
      <c r="L19860" s="24"/>
      <c r="M19860" s="24"/>
      <c r="N19860" s="24"/>
      <c r="O19860" s="24"/>
      <c r="P19860" s="24"/>
      <c r="Q19860" s="24"/>
      <c r="R19860" s="24"/>
      <c r="S19860" s="24"/>
      <c r="T19860" s="24"/>
      <c r="U19860" s="24"/>
      <c r="V19860" s="24"/>
      <c r="W19860" s="24"/>
      <c r="X19860" s="24"/>
      <c r="Y19860" s="24"/>
      <c r="Z19860" s="24"/>
      <c r="AA19860" s="24"/>
    </row>
    <row r="19861">
      <c r="A19861" s="24"/>
      <c r="B19861" s="25"/>
      <c r="C19861" s="24"/>
      <c r="D19861" s="26"/>
      <c r="E19861" s="24"/>
      <c r="F19861" s="24"/>
      <c r="G19861" s="24"/>
      <c r="H19861" s="24"/>
      <c r="I19861" s="24"/>
      <c r="J19861" s="24"/>
      <c r="K19861" s="24"/>
      <c r="L19861" s="24"/>
      <c r="M19861" s="24"/>
      <c r="N19861" s="24"/>
      <c r="O19861" s="24"/>
      <c r="P19861" s="24"/>
      <c r="Q19861" s="24"/>
      <c r="R19861" s="24"/>
      <c r="S19861" s="24"/>
      <c r="T19861" s="24"/>
      <c r="U19861" s="24"/>
      <c r="V19861" s="24"/>
      <c r="W19861" s="24"/>
      <c r="X19861" s="24"/>
      <c r="Y19861" s="24"/>
      <c r="Z19861" s="24"/>
      <c r="AA19861" s="24"/>
    </row>
    <row r="19862">
      <c r="A19862" s="24"/>
      <c r="B19862" s="25"/>
      <c r="C19862" s="24"/>
      <c r="D19862" s="26"/>
      <c r="E19862" s="24"/>
      <c r="F19862" s="24"/>
      <c r="G19862" s="24"/>
      <c r="H19862" s="24"/>
      <c r="I19862" s="24"/>
      <c r="J19862" s="24"/>
      <c r="K19862" s="24"/>
      <c r="L19862" s="24"/>
      <c r="M19862" s="24"/>
      <c r="N19862" s="24"/>
      <c r="O19862" s="24"/>
      <c r="P19862" s="24"/>
      <c r="Q19862" s="24"/>
      <c r="R19862" s="24"/>
      <c r="S19862" s="24"/>
      <c r="T19862" s="24"/>
      <c r="U19862" s="24"/>
      <c r="V19862" s="24"/>
      <c r="W19862" s="24"/>
      <c r="X19862" s="24"/>
      <c r="Y19862" s="24"/>
      <c r="Z19862" s="24"/>
      <c r="AA19862" s="24"/>
    </row>
    <row r="19863">
      <c r="A19863" s="24"/>
      <c r="B19863" s="25"/>
      <c r="C19863" s="24"/>
      <c r="D19863" s="26"/>
      <c r="E19863" s="24"/>
      <c r="F19863" s="24"/>
      <c r="G19863" s="24"/>
      <c r="H19863" s="24"/>
      <c r="I19863" s="24"/>
      <c r="J19863" s="24"/>
      <c r="K19863" s="24"/>
      <c r="L19863" s="24"/>
      <c r="M19863" s="24"/>
      <c r="N19863" s="24"/>
      <c r="O19863" s="24"/>
      <c r="P19863" s="24"/>
      <c r="Q19863" s="24"/>
      <c r="R19863" s="24"/>
      <c r="S19863" s="24"/>
      <c r="T19863" s="24"/>
      <c r="U19863" s="24"/>
      <c r="V19863" s="24"/>
      <c r="W19863" s="24"/>
      <c r="X19863" s="24"/>
      <c r="Y19863" s="24"/>
      <c r="Z19863" s="24"/>
      <c r="AA19863" s="24"/>
    </row>
    <row r="19864">
      <c r="A19864" s="24"/>
      <c r="B19864" s="25"/>
      <c r="C19864" s="24"/>
      <c r="D19864" s="26"/>
      <c r="E19864" s="24"/>
      <c r="F19864" s="24"/>
      <c r="G19864" s="24"/>
      <c r="H19864" s="24"/>
      <c r="I19864" s="24"/>
      <c r="J19864" s="24"/>
      <c r="K19864" s="24"/>
      <c r="L19864" s="24"/>
      <c r="M19864" s="24"/>
      <c r="N19864" s="24"/>
      <c r="O19864" s="24"/>
      <c r="P19864" s="24"/>
      <c r="Q19864" s="24"/>
      <c r="R19864" s="24"/>
      <c r="S19864" s="24"/>
      <c r="T19864" s="24"/>
      <c r="U19864" s="24"/>
      <c r="V19864" s="24"/>
      <c r="W19864" s="24"/>
      <c r="X19864" s="24"/>
      <c r="Y19864" s="24"/>
      <c r="Z19864" s="24"/>
      <c r="AA19864" s="24"/>
    </row>
    <row r="19865">
      <c r="A19865" s="24"/>
      <c r="B19865" s="25"/>
      <c r="C19865" s="24"/>
      <c r="D19865" s="26"/>
      <c r="E19865" s="24"/>
      <c r="F19865" s="24"/>
      <c r="G19865" s="24"/>
      <c r="H19865" s="24"/>
      <c r="I19865" s="24"/>
      <c r="J19865" s="24"/>
      <c r="K19865" s="24"/>
      <c r="L19865" s="24"/>
      <c r="M19865" s="24"/>
      <c r="N19865" s="24"/>
      <c r="O19865" s="24"/>
      <c r="P19865" s="24"/>
      <c r="Q19865" s="24"/>
      <c r="R19865" s="24"/>
      <c r="S19865" s="24"/>
      <c r="T19865" s="24"/>
      <c r="U19865" s="24"/>
      <c r="V19865" s="24"/>
      <c r="W19865" s="24"/>
      <c r="X19865" s="24"/>
      <c r="Y19865" s="24"/>
      <c r="Z19865" s="24"/>
      <c r="AA19865" s="24"/>
    </row>
    <row r="19866">
      <c r="A19866" s="24"/>
      <c r="B19866" s="25"/>
      <c r="C19866" s="24"/>
      <c r="D19866" s="26"/>
      <c r="E19866" s="24"/>
      <c r="F19866" s="24"/>
      <c r="G19866" s="24"/>
      <c r="H19866" s="24"/>
      <c r="I19866" s="24"/>
      <c r="J19866" s="24"/>
      <c r="K19866" s="24"/>
      <c r="L19866" s="24"/>
      <c r="M19866" s="24"/>
      <c r="N19866" s="24"/>
      <c r="O19866" s="24"/>
      <c r="P19866" s="24"/>
      <c r="Q19866" s="24"/>
      <c r="R19866" s="24"/>
      <c r="S19866" s="24"/>
      <c r="T19866" s="24"/>
      <c r="U19866" s="24"/>
      <c r="V19866" s="24"/>
      <c r="W19866" s="24"/>
      <c r="X19866" s="24"/>
      <c r="Y19866" s="24"/>
      <c r="Z19866" s="24"/>
      <c r="AA19866" s="24"/>
    </row>
    <row r="19867">
      <c r="A19867" s="24"/>
      <c r="B19867" s="25"/>
      <c r="C19867" s="24"/>
      <c r="D19867" s="26"/>
      <c r="E19867" s="24"/>
      <c r="F19867" s="24"/>
      <c r="G19867" s="24"/>
      <c r="H19867" s="24"/>
      <c r="I19867" s="24"/>
      <c r="J19867" s="24"/>
      <c r="K19867" s="24"/>
      <c r="L19867" s="24"/>
      <c r="M19867" s="24"/>
      <c r="N19867" s="24"/>
      <c r="O19867" s="24"/>
      <c r="P19867" s="24"/>
      <c r="Q19867" s="24"/>
      <c r="R19867" s="24"/>
      <c r="S19867" s="24"/>
      <c r="T19867" s="24"/>
      <c r="U19867" s="24"/>
      <c r="V19867" s="24"/>
      <c r="W19867" s="24"/>
      <c r="X19867" s="24"/>
      <c r="Y19867" s="24"/>
      <c r="Z19867" s="24"/>
      <c r="AA19867" s="24"/>
    </row>
    <row r="19868">
      <c r="A19868" s="24"/>
      <c r="B19868" s="25"/>
      <c r="C19868" s="24"/>
      <c r="D19868" s="26"/>
      <c r="E19868" s="24"/>
      <c r="F19868" s="24"/>
      <c r="G19868" s="24"/>
      <c r="H19868" s="24"/>
      <c r="I19868" s="24"/>
      <c r="J19868" s="24"/>
      <c r="K19868" s="24"/>
      <c r="L19868" s="24"/>
      <c r="M19868" s="24"/>
      <c r="N19868" s="24"/>
      <c r="O19868" s="24"/>
      <c r="P19868" s="24"/>
      <c r="Q19868" s="24"/>
      <c r="R19868" s="24"/>
      <c r="S19868" s="24"/>
      <c r="T19868" s="24"/>
      <c r="U19868" s="24"/>
      <c r="V19868" s="24"/>
      <c r="W19868" s="24"/>
      <c r="X19868" s="24"/>
      <c r="Y19868" s="24"/>
      <c r="Z19868" s="24"/>
      <c r="AA19868" s="24"/>
    </row>
    <row r="19869">
      <c r="A19869" s="24"/>
      <c r="B19869" s="25"/>
      <c r="C19869" s="24"/>
      <c r="D19869" s="26"/>
      <c r="E19869" s="24"/>
      <c r="F19869" s="24"/>
      <c r="G19869" s="24"/>
      <c r="H19869" s="24"/>
      <c r="I19869" s="24"/>
      <c r="J19869" s="24"/>
      <c r="K19869" s="24"/>
      <c r="L19869" s="24"/>
      <c r="M19869" s="24"/>
      <c r="N19869" s="24"/>
      <c r="O19869" s="24"/>
      <c r="P19869" s="24"/>
      <c r="Q19869" s="24"/>
      <c r="R19869" s="24"/>
      <c r="S19869" s="24"/>
      <c r="T19869" s="24"/>
      <c r="U19869" s="24"/>
      <c r="V19869" s="24"/>
      <c r="W19869" s="24"/>
      <c r="X19869" s="24"/>
      <c r="Y19869" s="24"/>
      <c r="Z19869" s="24"/>
      <c r="AA19869" s="24"/>
    </row>
    <row r="19870">
      <c r="A19870" s="24"/>
      <c r="B19870" s="25"/>
      <c r="C19870" s="24"/>
      <c r="D19870" s="26"/>
      <c r="E19870" s="24"/>
      <c r="F19870" s="24"/>
      <c r="G19870" s="24"/>
      <c r="H19870" s="24"/>
      <c r="I19870" s="24"/>
      <c r="J19870" s="24"/>
      <c r="K19870" s="24"/>
      <c r="L19870" s="24"/>
      <c r="M19870" s="24"/>
      <c r="N19870" s="24"/>
      <c r="O19870" s="24"/>
      <c r="P19870" s="24"/>
      <c r="Q19870" s="24"/>
      <c r="R19870" s="24"/>
      <c r="S19870" s="24"/>
      <c r="T19870" s="24"/>
      <c r="U19870" s="24"/>
      <c r="V19870" s="24"/>
      <c r="W19870" s="24"/>
      <c r="X19870" s="24"/>
      <c r="Y19870" s="24"/>
      <c r="Z19870" s="24"/>
      <c r="AA19870" s="24"/>
    </row>
    <row r="19871">
      <c r="A19871" s="24"/>
      <c r="B19871" s="25"/>
      <c r="C19871" s="24"/>
      <c r="D19871" s="26"/>
      <c r="E19871" s="24"/>
      <c r="F19871" s="24"/>
      <c r="G19871" s="24"/>
      <c r="H19871" s="24"/>
      <c r="I19871" s="24"/>
      <c r="J19871" s="24"/>
      <c r="K19871" s="24"/>
      <c r="L19871" s="24"/>
      <c r="M19871" s="24"/>
      <c r="N19871" s="24"/>
      <c r="O19871" s="24"/>
      <c r="P19871" s="24"/>
      <c r="Q19871" s="24"/>
      <c r="R19871" s="24"/>
      <c r="S19871" s="24"/>
      <c r="T19871" s="24"/>
      <c r="U19871" s="24"/>
      <c r="V19871" s="24"/>
      <c r="W19871" s="24"/>
      <c r="X19871" s="24"/>
      <c r="Y19871" s="24"/>
      <c r="Z19871" s="24"/>
      <c r="AA19871" s="24"/>
    </row>
    <row r="19872">
      <c r="A19872" s="24"/>
      <c r="B19872" s="25"/>
      <c r="C19872" s="24"/>
      <c r="D19872" s="26"/>
      <c r="E19872" s="24"/>
      <c r="F19872" s="24"/>
      <c r="G19872" s="24"/>
      <c r="H19872" s="24"/>
      <c r="I19872" s="24"/>
      <c r="J19872" s="24"/>
      <c r="K19872" s="24"/>
      <c r="L19872" s="24"/>
      <c r="M19872" s="24"/>
      <c r="N19872" s="24"/>
      <c r="O19872" s="24"/>
      <c r="P19872" s="24"/>
      <c r="Q19872" s="24"/>
      <c r="R19872" s="24"/>
      <c r="S19872" s="24"/>
      <c r="T19872" s="24"/>
      <c r="U19872" s="24"/>
      <c r="V19872" s="24"/>
      <c r="W19872" s="24"/>
      <c r="X19872" s="24"/>
      <c r="Y19872" s="24"/>
      <c r="Z19872" s="24"/>
      <c r="AA19872" s="24"/>
    </row>
    <row r="19873">
      <c r="A19873" s="24"/>
      <c r="B19873" s="25"/>
      <c r="C19873" s="24"/>
      <c r="D19873" s="26"/>
      <c r="E19873" s="24"/>
      <c r="F19873" s="24"/>
      <c r="G19873" s="24"/>
      <c r="H19873" s="24"/>
      <c r="I19873" s="24"/>
      <c r="J19873" s="24"/>
      <c r="K19873" s="24"/>
      <c r="L19873" s="24"/>
      <c r="M19873" s="24"/>
      <c r="N19873" s="24"/>
      <c r="O19873" s="24"/>
      <c r="P19873" s="24"/>
      <c r="Q19873" s="24"/>
      <c r="R19873" s="24"/>
      <c r="S19873" s="24"/>
      <c r="T19873" s="24"/>
      <c r="U19873" s="24"/>
      <c r="V19873" s="24"/>
      <c r="W19873" s="24"/>
      <c r="X19873" s="24"/>
      <c r="Y19873" s="24"/>
      <c r="Z19873" s="24"/>
      <c r="AA19873" s="24"/>
    </row>
    <row r="19874">
      <c r="A19874" s="24"/>
      <c r="B19874" s="25"/>
      <c r="C19874" s="24"/>
      <c r="D19874" s="26"/>
      <c r="E19874" s="24"/>
      <c r="F19874" s="24"/>
      <c r="G19874" s="24"/>
      <c r="H19874" s="24"/>
      <c r="I19874" s="24"/>
      <c r="J19874" s="24"/>
      <c r="K19874" s="24"/>
      <c r="L19874" s="24"/>
      <c r="M19874" s="24"/>
      <c r="N19874" s="24"/>
      <c r="O19874" s="24"/>
      <c r="P19874" s="24"/>
      <c r="Q19874" s="24"/>
      <c r="R19874" s="24"/>
      <c r="S19874" s="24"/>
      <c r="T19874" s="24"/>
      <c r="U19874" s="24"/>
      <c r="V19874" s="24"/>
      <c r="W19874" s="24"/>
      <c r="X19874" s="24"/>
      <c r="Y19874" s="24"/>
      <c r="Z19874" s="24"/>
      <c r="AA19874" s="24"/>
    </row>
    <row r="19875">
      <c r="A19875" s="24"/>
      <c r="B19875" s="25"/>
      <c r="C19875" s="24"/>
      <c r="D19875" s="26"/>
      <c r="E19875" s="24"/>
      <c r="F19875" s="24"/>
      <c r="G19875" s="24"/>
      <c r="H19875" s="24"/>
      <c r="I19875" s="24"/>
      <c r="J19875" s="24"/>
      <c r="K19875" s="24"/>
      <c r="L19875" s="24"/>
      <c r="M19875" s="24"/>
      <c r="N19875" s="24"/>
      <c r="O19875" s="24"/>
      <c r="P19875" s="24"/>
      <c r="Q19875" s="24"/>
      <c r="R19875" s="24"/>
      <c r="S19875" s="24"/>
      <c r="T19875" s="24"/>
      <c r="U19875" s="24"/>
      <c r="V19875" s="24"/>
      <c r="W19875" s="24"/>
      <c r="X19875" s="24"/>
      <c r="Y19875" s="24"/>
      <c r="Z19875" s="24"/>
      <c r="AA19875" s="24"/>
    </row>
    <row r="19876">
      <c r="A19876" s="24"/>
      <c r="B19876" s="25"/>
      <c r="C19876" s="24"/>
      <c r="D19876" s="26"/>
      <c r="E19876" s="24"/>
      <c r="F19876" s="24"/>
      <c r="G19876" s="24"/>
      <c r="H19876" s="24"/>
      <c r="I19876" s="24"/>
      <c r="J19876" s="24"/>
      <c r="K19876" s="24"/>
      <c r="L19876" s="24"/>
      <c r="M19876" s="24"/>
      <c r="N19876" s="24"/>
      <c r="O19876" s="24"/>
      <c r="P19876" s="24"/>
      <c r="Q19876" s="24"/>
      <c r="R19876" s="24"/>
      <c r="S19876" s="24"/>
      <c r="T19876" s="24"/>
      <c r="U19876" s="24"/>
      <c r="V19876" s="24"/>
      <c r="W19876" s="24"/>
      <c r="X19876" s="24"/>
      <c r="Y19876" s="24"/>
      <c r="Z19876" s="24"/>
      <c r="AA19876" s="24"/>
    </row>
    <row r="19877">
      <c r="A19877" s="24"/>
      <c r="B19877" s="25"/>
      <c r="C19877" s="24"/>
      <c r="D19877" s="26"/>
      <c r="E19877" s="24"/>
      <c r="F19877" s="24"/>
      <c r="G19877" s="24"/>
      <c r="H19877" s="24"/>
      <c r="I19877" s="24"/>
      <c r="J19877" s="24"/>
      <c r="K19877" s="24"/>
      <c r="L19877" s="24"/>
      <c r="M19877" s="24"/>
      <c r="N19877" s="24"/>
      <c r="O19877" s="24"/>
      <c r="P19877" s="24"/>
      <c r="Q19877" s="24"/>
      <c r="R19877" s="24"/>
      <c r="S19877" s="24"/>
      <c r="T19877" s="24"/>
      <c r="U19877" s="24"/>
      <c r="V19877" s="24"/>
      <c r="W19877" s="24"/>
      <c r="X19877" s="24"/>
      <c r="Y19877" s="24"/>
      <c r="Z19877" s="24"/>
      <c r="AA19877" s="24"/>
    </row>
    <row r="19878">
      <c r="A19878" s="24"/>
      <c r="B19878" s="25"/>
      <c r="C19878" s="24"/>
      <c r="D19878" s="26"/>
      <c r="E19878" s="24"/>
      <c r="F19878" s="24"/>
      <c r="G19878" s="24"/>
      <c r="H19878" s="24"/>
      <c r="I19878" s="24"/>
      <c r="J19878" s="24"/>
      <c r="K19878" s="24"/>
      <c r="L19878" s="24"/>
      <c r="M19878" s="24"/>
      <c r="N19878" s="24"/>
      <c r="O19878" s="24"/>
      <c r="P19878" s="24"/>
      <c r="Q19878" s="24"/>
      <c r="R19878" s="24"/>
      <c r="S19878" s="24"/>
      <c r="T19878" s="24"/>
      <c r="U19878" s="24"/>
      <c r="V19878" s="24"/>
      <c r="W19878" s="24"/>
      <c r="X19878" s="24"/>
      <c r="Y19878" s="24"/>
      <c r="Z19878" s="24"/>
      <c r="AA19878" s="24"/>
    </row>
    <row r="19879">
      <c r="A19879" s="24"/>
      <c r="B19879" s="25"/>
      <c r="C19879" s="24"/>
      <c r="D19879" s="26"/>
      <c r="E19879" s="24"/>
      <c r="F19879" s="24"/>
      <c r="G19879" s="24"/>
      <c r="H19879" s="24"/>
      <c r="I19879" s="24"/>
      <c r="J19879" s="24"/>
      <c r="K19879" s="24"/>
      <c r="L19879" s="24"/>
      <c r="M19879" s="24"/>
      <c r="N19879" s="24"/>
      <c r="O19879" s="24"/>
      <c r="P19879" s="24"/>
      <c r="Q19879" s="24"/>
      <c r="R19879" s="24"/>
      <c r="S19879" s="24"/>
      <c r="T19879" s="24"/>
      <c r="U19879" s="24"/>
      <c r="V19879" s="24"/>
      <c r="W19879" s="24"/>
      <c r="X19879" s="24"/>
      <c r="Y19879" s="24"/>
      <c r="Z19879" s="24"/>
      <c r="AA19879" s="24"/>
    </row>
    <row r="19880">
      <c r="A19880" s="24"/>
      <c r="B19880" s="25"/>
      <c r="C19880" s="24"/>
      <c r="D19880" s="26"/>
      <c r="E19880" s="24"/>
      <c r="F19880" s="24"/>
      <c r="G19880" s="24"/>
      <c r="H19880" s="24"/>
      <c r="I19880" s="24"/>
      <c r="J19880" s="24"/>
      <c r="K19880" s="24"/>
      <c r="L19880" s="24"/>
      <c r="M19880" s="24"/>
      <c r="N19880" s="24"/>
      <c r="O19880" s="24"/>
      <c r="P19880" s="24"/>
      <c r="Q19880" s="24"/>
      <c r="R19880" s="24"/>
      <c r="S19880" s="24"/>
      <c r="T19880" s="24"/>
      <c r="U19880" s="24"/>
      <c r="V19880" s="24"/>
      <c r="W19880" s="24"/>
      <c r="X19880" s="24"/>
      <c r="Y19880" s="24"/>
      <c r="Z19880" s="24"/>
      <c r="AA19880" s="24"/>
    </row>
    <row r="19881">
      <c r="A19881" s="24"/>
      <c r="B19881" s="25"/>
      <c r="C19881" s="24"/>
      <c r="D19881" s="26"/>
      <c r="E19881" s="24"/>
      <c r="F19881" s="24"/>
      <c r="G19881" s="24"/>
      <c r="H19881" s="24"/>
      <c r="I19881" s="24"/>
      <c r="J19881" s="24"/>
      <c r="K19881" s="24"/>
      <c r="L19881" s="24"/>
      <c r="M19881" s="24"/>
      <c r="N19881" s="24"/>
      <c r="O19881" s="24"/>
      <c r="P19881" s="24"/>
      <c r="Q19881" s="24"/>
      <c r="R19881" s="24"/>
      <c r="S19881" s="24"/>
      <c r="T19881" s="24"/>
      <c r="U19881" s="24"/>
      <c r="V19881" s="24"/>
      <c r="W19881" s="24"/>
      <c r="X19881" s="24"/>
      <c r="Y19881" s="24"/>
      <c r="Z19881" s="24"/>
      <c r="AA19881" s="24"/>
    </row>
    <row r="19882">
      <c r="A19882" s="24"/>
      <c r="B19882" s="25"/>
      <c r="C19882" s="24"/>
      <c r="D19882" s="26"/>
      <c r="E19882" s="24"/>
      <c r="F19882" s="24"/>
      <c r="G19882" s="24"/>
      <c r="H19882" s="24"/>
      <c r="I19882" s="24"/>
      <c r="J19882" s="24"/>
      <c r="K19882" s="24"/>
      <c r="L19882" s="24"/>
      <c r="M19882" s="24"/>
      <c r="N19882" s="24"/>
      <c r="O19882" s="24"/>
      <c r="P19882" s="24"/>
      <c r="Q19882" s="24"/>
      <c r="R19882" s="24"/>
      <c r="S19882" s="24"/>
      <c r="T19882" s="24"/>
      <c r="U19882" s="24"/>
      <c r="V19882" s="24"/>
      <c r="W19882" s="24"/>
      <c r="X19882" s="24"/>
      <c r="Y19882" s="24"/>
      <c r="Z19882" s="24"/>
      <c r="AA19882" s="24"/>
    </row>
    <row r="19883">
      <c r="A19883" s="24"/>
      <c r="B19883" s="25"/>
      <c r="C19883" s="24"/>
      <c r="D19883" s="26"/>
      <c r="E19883" s="24"/>
      <c r="F19883" s="24"/>
      <c r="G19883" s="24"/>
      <c r="H19883" s="24"/>
      <c r="I19883" s="24"/>
      <c r="J19883" s="24"/>
      <c r="K19883" s="24"/>
      <c r="L19883" s="24"/>
      <c r="M19883" s="24"/>
      <c r="N19883" s="24"/>
      <c r="O19883" s="24"/>
      <c r="P19883" s="24"/>
      <c r="Q19883" s="24"/>
      <c r="R19883" s="24"/>
      <c r="S19883" s="24"/>
      <c r="T19883" s="24"/>
      <c r="U19883" s="24"/>
      <c r="V19883" s="24"/>
      <c r="W19883" s="24"/>
      <c r="X19883" s="24"/>
      <c r="Y19883" s="24"/>
      <c r="Z19883" s="24"/>
      <c r="AA19883" s="24"/>
    </row>
    <row r="19884">
      <c r="A19884" s="24"/>
      <c r="B19884" s="25"/>
      <c r="C19884" s="24"/>
      <c r="D19884" s="26"/>
      <c r="E19884" s="24"/>
      <c r="F19884" s="24"/>
      <c r="G19884" s="24"/>
      <c r="H19884" s="24"/>
      <c r="I19884" s="24"/>
      <c r="J19884" s="24"/>
      <c r="K19884" s="24"/>
      <c r="L19884" s="24"/>
      <c r="M19884" s="24"/>
      <c r="N19884" s="24"/>
      <c r="O19884" s="24"/>
      <c r="P19884" s="24"/>
      <c r="Q19884" s="24"/>
      <c r="R19884" s="24"/>
      <c r="S19884" s="24"/>
      <c r="T19884" s="24"/>
      <c r="U19884" s="24"/>
      <c r="V19884" s="24"/>
      <c r="W19884" s="24"/>
      <c r="X19884" s="24"/>
      <c r="Y19884" s="24"/>
      <c r="Z19884" s="24"/>
      <c r="AA19884" s="24"/>
    </row>
    <row r="19885">
      <c r="A19885" s="24"/>
      <c r="B19885" s="25"/>
      <c r="C19885" s="24"/>
      <c r="D19885" s="26"/>
      <c r="E19885" s="24"/>
      <c r="F19885" s="24"/>
      <c r="G19885" s="24"/>
      <c r="H19885" s="24"/>
      <c r="I19885" s="24"/>
      <c r="J19885" s="24"/>
      <c r="K19885" s="24"/>
      <c r="L19885" s="24"/>
      <c r="M19885" s="24"/>
      <c r="N19885" s="24"/>
      <c r="O19885" s="24"/>
      <c r="P19885" s="24"/>
      <c r="Q19885" s="24"/>
      <c r="R19885" s="24"/>
      <c r="S19885" s="24"/>
      <c r="T19885" s="24"/>
      <c r="U19885" s="24"/>
      <c r="V19885" s="24"/>
      <c r="W19885" s="24"/>
      <c r="X19885" s="24"/>
      <c r="Y19885" s="24"/>
      <c r="Z19885" s="24"/>
      <c r="AA19885" s="24"/>
    </row>
    <row r="19886">
      <c r="A19886" s="24"/>
      <c r="B19886" s="25"/>
      <c r="C19886" s="24"/>
      <c r="D19886" s="26"/>
      <c r="E19886" s="24"/>
      <c r="F19886" s="24"/>
      <c r="G19886" s="24"/>
      <c r="H19886" s="24"/>
      <c r="I19886" s="24"/>
      <c r="J19886" s="24"/>
      <c r="K19886" s="24"/>
      <c r="L19886" s="24"/>
      <c r="M19886" s="24"/>
      <c r="N19886" s="24"/>
      <c r="O19886" s="24"/>
      <c r="P19886" s="24"/>
      <c r="Q19886" s="24"/>
      <c r="R19886" s="24"/>
      <c r="S19886" s="24"/>
      <c r="T19886" s="24"/>
      <c r="U19886" s="24"/>
      <c r="V19886" s="24"/>
      <c r="W19886" s="24"/>
      <c r="X19886" s="24"/>
      <c r="Y19886" s="24"/>
      <c r="Z19886" s="24"/>
      <c r="AA19886" s="24"/>
    </row>
    <row r="19887">
      <c r="A19887" s="24"/>
      <c r="B19887" s="25"/>
      <c r="C19887" s="24"/>
      <c r="D19887" s="26"/>
      <c r="E19887" s="24"/>
      <c r="F19887" s="24"/>
      <c r="G19887" s="24"/>
      <c r="H19887" s="24"/>
      <c r="I19887" s="24"/>
      <c r="J19887" s="24"/>
      <c r="K19887" s="24"/>
      <c r="L19887" s="24"/>
      <c r="M19887" s="24"/>
      <c r="N19887" s="24"/>
      <c r="O19887" s="24"/>
      <c r="P19887" s="24"/>
      <c r="Q19887" s="24"/>
      <c r="R19887" s="24"/>
      <c r="S19887" s="24"/>
      <c r="T19887" s="24"/>
      <c r="U19887" s="24"/>
      <c r="V19887" s="24"/>
      <c r="W19887" s="24"/>
      <c r="X19887" s="24"/>
      <c r="Y19887" s="24"/>
      <c r="Z19887" s="24"/>
      <c r="AA19887" s="24"/>
    </row>
    <row r="19888">
      <c r="A19888" s="24"/>
      <c r="B19888" s="25"/>
      <c r="C19888" s="24"/>
      <c r="D19888" s="26"/>
      <c r="E19888" s="24"/>
      <c r="F19888" s="24"/>
      <c r="G19888" s="24"/>
      <c r="H19888" s="24"/>
      <c r="I19888" s="24"/>
      <c r="J19888" s="24"/>
      <c r="K19888" s="24"/>
      <c r="L19888" s="24"/>
      <c r="M19888" s="24"/>
      <c r="N19888" s="24"/>
      <c r="O19888" s="24"/>
      <c r="P19888" s="24"/>
      <c r="Q19888" s="24"/>
      <c r="R19888" s="24"/>
      <c r="S19888" s="24"/>
      <c r="T19888" s="24"/>
      <c r="U19888" s="24"/>
      <c r="V19888" s="24"/>
      <c r="W19888" s="24"/>
      <c r="X19888" s="24"/>
      <c r="Y19888" s="24"/>
      <c r="Z19888" s="24"/>
      <c r="AA19888" s="24"/>
    </row>
    <row r="19889">
      <c r="A19889" s="24"/>
      <c r="B19889" s="25"/>
      <c r="C19889" s="24"/>
      <c r="D19889" s="26"/>
      <c r="E19889" s="24"/>
      <c r="F19889" s="24"/>
      <c r="G19889" s="24"/>
      <c r="H19889" s="24"/>
      <c r="I19889" s="24"/>
      <c r="J19889" s="24"/>
      <c r="K19889" s="24"/>
      <c r="L19889" s="24"/>
      <c r="M19889" s="24"/>
      <c r="N19889" s="24"/>
      <c r="O19889" s="24"/>
      <c r="P19889" s="24"/>
      <c r="Q19889" s="24"/>
      <c r="R19889" s="24"/>
      <c r="S19889" s="24"/>
      <c r="T19889" s="24"/>
      <c r="U19889" s="24"/>
      <c r="V19889" s="24"/>
      <c r="W19889" s="24"/>
      <c r="X19889" s="24"/>
      <c r="Y19889" s="24"/>
      <c r="Z19889" s="24"/>
      <c r="AA19889" s="24"/>
    </row>
    <row r="19890">
      <c r="A19890" s="24"/>
      <c r="B19890" s="25"/>
      <c r="C19890" s="24"/>
      <c r="D19890" s="26"/>
      <c r="E19890" s="24"/>
      <c r="F19890" s="24"/>
      <c r="G19890" s="24"/>
      <c r="H19890" s="24"/>
      <c r="I19890" s="24"/>
      <c r="J19890" s="24"/>
      <c r="K19890" s="24"/>
      <c r="L19890" s="24"/>
      <c r="M19890" s="24"/>
      <c r="N19890" s="24"/>
      <c r="O19890" s="24"/>
      <c r="P19890" s="24"/>
      <c r="Q19890" s="24"/>
      <c r="R19890" s="24"/>
      <c r="S19890" s="24"/>
      <c r="T19890" s="24"/>
      <c r="U19890" s="24"/>
      <c r="V19890" s="24"/>
      <c r="W19890" s="24"/>
      <c r="X19890" s="24"/>
      <c r="Y19890" s="24"/>
      <c r="Z19890" s="24"/>
      <c r="AA19890" s="24"/>
    </row>
    <row r="19891">
      <c r="A19891" s="24"/>
      <c r="B19891" s="25"/>
      <c r="C19891" s="24"/>
      <c r="D19891" s="26"/>
      <c r="E19891" s="24"/>
      <c r="F19891" s="24"/>
      <c r="G19891" s="24"/>
      <c r="H19891" s="24"/>
      <c r="I19891" s="24"/>
      <c r="J19891" s="24"/>
      <c r="K19891" s="24"/>
      <c r="L19891" s="24"/>
      <c r="M19891" s="24"/>
      <c r="N19891" s="24"/>
      <c r="O19891" s="24"/>
      <c r="P19891" s="24"/>
      <c r="Q19891" s="24"/>
      <c r="R19891" s="24"/>
      <c r="S19891" s="24"/>
      <c r="T19891" s="24"/>
      <c r="U19891" s="24"/>
      <c r="V19891" s="24"/>
      <c r="W19891" s="24"/>
      <c r="X19891" s="24"/>
      <c r="Y19891" s="24"/>
      <c r="Z19891" s="24"/>
      <c r="AA19891" s="24"/>
    </row>
    <row r="19892">
      <c r="A19892" s="24"/>
      <c r="B19892" s="25"/>
      <c r="C19892" s="24"/>
      <c r="D19892" s="26"/>
      <c r="E19892" s="24"/>
      <c r="F19892" s="24"/>
      <c r="G19892" s="24"/>
      <c r="H19892" s="24"/>
      <c r="I19892" s="24"/>
      <c r="J19892" s="24"/>
      <c r="K19892" s="24"/>
      <c r="L19892" s="24"/>
      <c r="M19892" s="24"/>
      <c r="N19892" s="24"/>
      <c r="O19892" s="24"/>
      <c r="P19892" s="24"/>
      <c r="Q19892" s="24"/>
      <c r="R19892" s="24"/>
      <c r="S19892" s="24"/>
      <c r="T19892" s="24"/>
      <c r="U19892" s="24"/>
      <c r="V19892" s="24"/>
      <c r="W19892" s="24"/>
      <c r="X19892" s="24"/>
      <c r="Y19892" s="24"/>
      <c r="Z19892" s="24"/>
      <c r="AA19892" s="24"/>
    </row>
    <row r="19893">
      <c r="A19893" s="24"/>
      <c r="B19893" s="25"/>
      <c r="C19893" s="24"/>
      <c r="D19893" s="26"/>
      <c r="E19893" s="24"/>
      <c r="F19893" s="24"/>
      <c r="G19893" s="24"/>
      <c r="H19893" s="24"/>
      <c r="I19893" s="24"/>
      <c r="J19893" s="24"/>
      <c r="K19893" s="24"/>
      <c r="L19893" s="24"/>
      <c r="M19893" s="24"/>
      <c r="N19893" s="24"/>
      <c r="O19893" s="24"/>
      <c r="P19893" s="24"/>
      <c r="Q19893" s="24"/>
      <c r="R19893" s="24"/>
      <c r="S19893" s="24"/>
      <c r="T19893" s="24"/>
      <c r="U19893" s="24"/>
      <c r="V19893" s="24"/>
      <c r="W19893" s="24"/>
      <c r="X19893" s="24"/>
      <c r="Y19893" s="24"/>
      <c r="Z19893" s="24"/>
      <c r="AA19893" s="24"/>
    </row>
    <row r="19894">
      <c r="A19894" s="24"/>
      <c r="B19894" s="25"/>
      <c r="C19894" s="24"/>
      <c r="D19894" s="26"/>
      <c r="E19894" s="24"/>
      <c r="F19894" s="24"/>
      <c r="G19894" s="24"/>
      <c r="H19894" s="24"/>
      <c r="I19894" s="24"/>
      <c r="J19894" s="24"/>
      <c r="K19894" s="24"/>
      <c r="L19894" s="24"/>
      <c r="M19894" s="24"/>
      <c r="N19894" s="24"/>
      <c r="O19894" s="24"/>
      <c r="P19894" s="24"/>
      <c r="Q19894" s="24"/>
      <c r="R19894" s="24"/>
      <c r="S19894" s="24"/>
      <c r="T19894" s="24"/>
      <c r="U19894" s="24"/>
      <c r="V19894" s="24"/>
      <c r="W19894" s="24"/>
      <c r="X19894" s="24"/>
      <c r="Y19894" s="24"/>
      <c r="Z19894" s="24"/>
      <c r="AA19894" s="24"/>
    </row>
    <row r="19895">
      <c r="A19895" s="24"/>
      <c r="B19895" s="25"/>
      <c r="C19895" s="24"/>
      <c r="D19895" s="26"/>
      <c r="E19895" s="24"/>
      <c r="F19895" s="24"/>
      <c r="G19895" s="24"/>
      <c r="H19895" s="24"/>
      <c r="I19895" s="24"/>
      <c r="J19895" s="24"/>
      <c r="K19895" s="24"/>
      <c r="L19895" s="24"/>
      <c r="M19895" s="24"/>
      <c r="N19895" s="24"/>
      <c r="O19895" s="24"/>
      <c r="P19895" s="24"/>
      <c r="Q19895" s="24"/>
      <c r="R19895" s="24"/>
      <c r="S19895" s="24"/>
      <c r="T19895" s="24"/>
      <c r="U19895" s="24"/>
      <c r="V19895" s="24"/>
      <c r="W19895" s="24"/>
      <c r="X19895" s="24"/>
      <c r="Y19895" s="24"/>
      <c r="Z19895" s="24"/>
      <c r="AA19895" s="24"/>
    </row>
    <row r="19896">
      <c r="A19896" s="24"/>
      <c r="B19896" s="25"/>
      <c r="C19896" s="24"/>
      <c r="D19896" s="26"/>
      <c r="E19896" s="24"/>
      <c r="F19896" s="24"/>
      <c r="G19896" s="24"/>
      <c r="H19896" s="24"/>
      <c r="I19896" s="24"/>
      <c r="J19896" s="24"/>
      <c r="K19896" s="24"/>
      <c r="L19896" s="24"/>
      <c r="M19896" s="24"/>
      <c r="N19896" s="24"/>
      <c r="O19896" s="24"/>
      <c r="P19896" s="24"/>
      <c r="Q19896" s="24"/>
      <c r="R19896" s="24"/>
      <c r="S19896" s="24"/>
      <c r="T19896" s="24"/>
      <c r="U19896" s="24"/>
      <c r="V19896" s="24"/>
      <c r="W19896" s="24"/>
      <c r="X19896" s="24"/>
      <c r="Y19896" s="24"/>
      <c r="Z19896" s="24"/>
      <c r="AA19896" s="24"/>
    </row>
    <row r="19897">
      <c r="A19897" s="24"/>
      <c r="B19897" s="25"/>
      <c r="C19897" s="24"/>
      <c r="D19897" s="26"/>
      <c r="E19897" s="24"/>
      <c r="F19897" s="24"/>
      <c r="G19897" s="24"/>
      <c r="H19897" s="24"/>
      <c r="I19897" s="24"/>
      <c r="J19897" s="24"/>
      <c r="K19897" s="24"/>
      <c r="L19897" s="24"/>
      <c r="M19897" s="24"/>
      <c r="N19897" s="24"/>
      <c r="O19897" s="24"/>
      <c r="P19897" s="24"/>
      <c r="Q19897" s="24"/>
      <c r="R19897" s="24"/>
      <c r="S19897" s="24"/>
      <c r="T19897" s="24"/>
      <c r="U19897" s="24"/>
      <c r="V19897" s="24"/>
      <c r="W19897" s="24"/>
      <c r="X19897" s="24"/>
      <c r="Y19897" s="24"/>
      <c r="Z19897" s="24"/>
      <c r="AA19897" s="24"/>
    </row>
    <row r="19898">
      <c r="A19898" s="24"/>
      <c r="B19898" s="25"/>
      <c r="C19898" s="24"/>
      <c r="D19898" s="26"/>
      <c r="E19898" s="24"/>
      <c r="F19898" s="24"/>
      <c r="G19898" s="24"/>
      <c r="H19898" s="24"/>
      <c r="I19898" s="24"/>
      <c r="J19898" s="24"/>
      <c r="K19898" s="24"/>
      <c r="L19898" s="24"/>
      <c r="M19898" s="24"/>
      <c r="N19898" s="24"/>
      <c r="O19898" s="24"/>
      <c r="P19898" s="24"/>
      <c r="Q19898" s="24"/>
      <c r="R19898" s="24"/>
      <c r="S19898" s="24"/>
      <c r="T19898" s="24"/>
      <c r="U19898" s="24"/>
      <c r="V19898" s="24"/>
      <c r="W19898" s="24"/>
      <c r="X19898" s="24"/>
      <c r="Y19898" s="24"/>
      <c r="Z19898" s="24"/>
      <c r="AA19898" s="24"/>
    </row>
    <row r="19899">
      <c r="A19899" s="24"/>
      <c r="B19899" s="25"/>
      <c r="C19899" s="24"/>
      <c r="D19899" s="26"/>
      <c r="E19899" s="24"/>
      <c r="F19899" s="24"/>
      <c r="G19899" s="24"/>
      <c r="H19899" s="24"/>
      <c r="I19899" s="24"/>
      <c r="J19899" s="24"/>
      <c r="K19899" s="24"/>
      <c r="L19899" s="24"/>
      <c r="M19899" s="24"/>
      <c r="N19899" s="24"/>
      <c r="O19899" s="24"/>
      <c r="P19899" s="24"/>
      <c r="Q19899" s="24"/>
      <c r="R19899" s="24"/>
      <c r="S19899" s="24"/>
      <c r="T19899" s="24"/>
      <c r="U19899" s="24"/>
      <c r="V19899" s="24"/>
      <c r="W19899" s="24"/>
      <c r="X19899" s="24"/>
      <c r="Y19899" s="24"/>
      <c r="Z19899" s="24"/>
      <c r="AA19899" s="24"/>
    </row>
    <row r="19900">
      <c r="A19900" s="24"/>
      <c r="B19900" s="25"/>
      <c r="C19900" s="24"/>
      <c r="D19900" s="26"/>
      <c r="E19900" s="24"/>
      <c r="F19900" s="24"/>
      <c r="G19900" s="24"/>
      <c r="H19900" s="24"/>
      <c r="I19900" s="24"/>
      <c r="J19900" s="24"/>
      <c r="K19900" s="24"/>
      <c r="L19900" s="24"/>
      <c r="M19900" s="24"/>
      <c r="N19900" s="24"/>
      <c r="O19900" s="24"/>
      <c r="P19900" s="24"/>
      <c r="Q19900" s="24"/>
      <c r="R19900" s="24"/>
      <c r="S19900" s="24"/>
      <c r="T19900" s="24"/>
      <c r="U19900" s="24"/>
      <c r="V19900" s="24"/>
      <c r="W19900" s="24"/>
      <c r="X19900" s="24"/>
      <c r="Y19900" s="24"/>
      <c r="Z19900" s="24"/>
      <c r="AA19900" s="24"/>
    </row>
    <row r="19901">
      <c r="A19901" s="24"/>
      <c r="B19901" s="25"/>
      <c r="C19901" s="24"/>
      <c r="D19901" s="26"/>
      <c r="E19901" s="24"/>
      <c r="F19901" s="24"/>
      <c r="G19901" s="24"/>
      <c r="H19901" s="24"/>
      <c r="I19901" s="24"/>
      <c r="J19901" s="24"/>
      <c r="K19901" s="24"/>
      <c r="L19901" s="24"/>
      <c r="M19901" s="24"/>
      <c r="N19901" s="24"/>
      <c r="O19901" s="24"/>
      <c r="P19901" s="24"/>
      <c r="Q19901" s="24"/>
      <c r="R19901" s="24"/>
      <c r="S19901" s="24"/>
      <c r="T19901" s="24"/>
      <c r="U19901" s="24"/>
      <c r="V19901" s="24"/>
      <c r="W19901" s="24"/>
      <c r="X19901" s="24"/>
      <c r="Y19901" s="24"/>
      <c r="Z19901" s="24"/>
      <c r="AA19901" s="24"/>
    </row>
    <row r="19902">
      <c r="A19902" s="24"/>
      <c r="B19902" s="25"/>
      <c r="C19902" s="24"/>
      <c r="D19902" s="26"/>
      <c r="E19902" s="24"/>
      <c r="F19902" s="24"/>
      <c r="G19902" s="24"/>
      <c r="H19902" s="24"/>
      <c r="I19902" s="24"/>
      <c r="J19902" s="24"/>
      <c r="K19902" s="24"/>
      <c r="L19902" s="24"/>
      <c r="M19902" s="24"/>
      <c r="N19902" s="24"/>
      <c r="O19902" s="24"/>
      <c r="P19902" s="24"/>
      <c r="Q19902" s="24"/>
      <c r="R19902" s="24"/>
      <c r="S19902" s="24"/>
      <c r="T19902" s="24"/>
      <c r="U19902" s="24"/>
      <c r="V19902" s="24"/>
      <c r="W19902" s="24"/>
      <c r="X19902" s="24"/>
      <c r="Y19902" s="24"/>
      <c r="Z19902" s="24"/>
      <c r="AA19902" s="24"/>
    </row>
    <row r="19903">
      <c r="A19903" s="24"/>
      <c r="B19903" s="25"/>
      <c r="C19903" s="24"/>
      <c r="D19903" s="26"/>
      <c r="E19903" s="24"/>
      <c r="F19903" s="24"/>
      <c r="G19903" s="24"/>
      <c r="H19903" s="24"/>
      <c r="I19903" s="24"/>
      <c r="J19903" s="24"/>
      <c r="K19903" s="24"/>
      <c r="L19903" s="24"/>
      <c r="M19903" s="24"/>
      <c r="N19903" s="24"/>
      <c r="O19903" s="24"/>
      <c r="P19903" s="24"/>
      <c r="Q19903" s="24"/>
      <c r="R19903" s="24"/>
      <c r="S19903" s="24"/>
      <c r="T19903" s="24"/>
      <c r="U19903" s="24"/>
      <c r="V19903" s="24"/>
      <c r="W19903" s="24"/>
      <c r="X19903" s="24"/>
      <c r="Y19903" s="24"/>
      <c r="Z19903" s="24"/>
      <c r="AA19903" s="24"/>
    </row>
    <row r="19904">
      <c r="A19904" s="24"/>
      <c r="B19904" s="25"/>
      <c r="C19904" s="24"/>
      <c r="D19904" s="26"/>
      <c r="E19904" s="24"/>
      <c r="F19904" s="24"/>
      <c r="G19904" s="24"/>
      <c r="H19904" s="24"/>
      <c r="I19904" s="24"/>
      <c r="J19904" s="24"/>
      <c r="K19904" s="24"/>
      <c r="L19904" s="24"/>
      <c r="M19904" s="24"/>
      <c r="N19904" s="24"/>
      <c r="O19904" s="24"/>
      <c r="P19904" s="24"/>
      <c r="Q19904" s="24"/>
      <c r="R19904" s="24"/>
      <c r="S19904" s="24"/>
      <c r="T19904" s="24"/>
      <c r="U19904" s="24"/>
      <c r="V19904" s="24"/>
      <c r="W19904" s="24"/>
      <c r="X19904" s="24"/>
      <c r="Y19904" s="24"/>
      <c r="Z19904" s="24"/>
      <c r="AA19904" s="24"/>
    </row>
    <row r="19905">
      <c r="A19905" s="24"/>
      <c r="B19905" s="25"/>
      <c r="C19905" s="24"/>
      <c r="D19905" s="26"/>
      <c r="E19905" s="24"/>
      <c r="F19905" s="24"/>
      <c r="G19905" s="24"/>
      <c r="H19905" s="24"/>
      <c r="I19905" s="24"/>
      <c r="J19905" s="24"/>
      <c r="K19905" s="24"/>
      <c r="L19905" s="24"/>
      <c r="M19905" s="24"/>
      <c r="N19905" s="24"/>
      <c r="O19905" s="24"/>
      <c r="P19905" s="24"/>
      <c r="Q19905" s="24"/>
      <c r="R19905" s="24"/>
      <c r="S19905" s="24"/>
      <c r="T19905" s="24"/>
      <c r="U19905" s="24"/>
      <c r="V19905" s="24"/>
      <c r="W19905" s="24"/>
      <c r="X19905" s="24"/>
      <c r="Y19905" s="24"/>
      <c r="Z19905" s="24"/>
      <c r="AA19905" s="24"/>
    </row>
    <row r="19906">
      <c r="A19906" s="24"/>
      <c r="B19906" s="25"/>
      <c r="C19906" s="24"/>
      <c r="D19906" s="26"/>
      <c r="E19906" s="24"/>
      <c r="F19906" s="24"/>
      <c r="G19906" s="24"/>
      <c r="H19906" s="24"/>
      <c r="I19906" s="24"/>
      <c r="J19906" s="24"/>
      <c r="K19906" s="24"/>
      <c r="L19906" s="24"/>
      <c r="M19906" s="24"/>
      <c r="N19906" s="24"/>
      <c r="O19906" s="24"/>
      <c r="P19906" s="24"/>
      <c r="Q19906" s="24"/>
      <c r="R19906" s="24"/>
      <c r="S19906" s="24"/>
      <c r="T19906" s="24"/>
      <c r="U19906" s="24"/>
      <c r="V19906" s="24"/>
      <c r="W19906" s="24"/>
      <c r="X19906" s="24"/>
      <c r="Y19906" s="24"/>
      <c r="Z19906" s="24"/>
      <c r="AA19906" s="24"/>
    </row>
    <row r="19907">
      <c r="A19907" s="24"/>
      <c r="B19907" s="25"/>
      <c r="C19907" s="24"/>
      <c r="D19907" s="26"/>
      <c r="E19907" s="24"/>
      <c r="F19907" s="24"/>
      <c r="G19907" s="24"/>
      <c r="H19907" s="24"/>
      <c r="I19907" s="24"/>
      <c r="J19907" s="24"/>
      <c r="K19907" s="24"/>
      <c r="L19907" s="24"/>
      <c r="M19907" s="24"/>
      <c r="N19907" s="24"/>
      <c r="O19907" s="24"/>
      <c r="P19907" s="24"/>
      <c r="Q19907" s="24"/>
      <c r="R19907" s="24"/>
      <c r="S19907" s="24"/>
      <c r="T19907" s="24"/>
      <c r="U19907" s="24"/>
      <c r="V19907" s="24"/>
      <c r="W19907" s="24"/>
      <c r="X19907" s="24"/>
      <c r="Y19907" s="24"/>
      <c r="Z19907" s="24"/>
      <c r="AA19907" s="24"/>
    </row>
    <row r="19908">
      <c r="A19908" s="24"/>
      <c r="B19908" s="25"/>
      <c r="C19908" s="24"/>
      <c r="D19908" s="26"/>
      <c r="E19908" s="24"/>
      <c r="F19908" s="24"/>
      <c r="G19908" s="24"/>
      <c r="H19908" s="24"/>
      <c r="I19908" s="24"/>
      <c r="J19908" s="24"/>
      <c r="K19908" s="24"/>
      <c r="L19908" s="24"/>
      <c r="M19908" s="24"/>
      <c r="N19908" s="24"/>
      <c r="O19908" s="24"/>
      <c r="P19908" s="24"/>
      <c r="Q19908" s="24"/>
      <c r="R19908" s="24"/>
      <c r="S19908" s="24"/>
      <c r="T19908" s="24"/>
      <c r="U19908" s="24"/>
      <c r="V19908" s="24"/>
      <c r="W19908" s="24"/>
      <c r="X19908" s="24"/>
      <c r="Y19908" s="24"/>
      <c r="Z19908" s="24"/>
      <c r="AA19908" s="24"/>
    </row>
    <row r="19909">
      <c r="A19909" s="24"/>
      <c r="B19909" s="25"/>
      <c r="C19909" s="24"/>
      <c r="D19909" s="26"/>
      <c r="E19909" s="24"/>
      <c r="F19909" s="24"/>
      <c r="G19909" s="24"/>
      <c r="H19909" s="24"/>
      <c r="I19909" s="24"/>
      <c r="J19909" s="24"/>
      <c r="K19909" s="24"/>
      <c r="L19909" s="24"/>
      <c r="M19909" s="24"/>
      <c r="N19909" s="24"/>
      <c r="O19909" s="24"/>
      <c r="P19909" s="24"/>
      <c r="Q19909" s="24"/>
      <c r="R19909" s="24"/>
      <c r="S19909" s="24"/>
      <c r="T19909" s="24"/>
      <c r="U19909" s="24"/>
      <c r="V19909" s="24"/>
      <c r="W19909" s="24"/>
      <c r="X19909" s="24"/>
      <c r="Y19909" s="24"/>
      <c r="Z19909" s="24"/>
      <c r="AA19909" s="24"/>
    </row>
    <row r="19910">
      <c r="A19910" s="24"/>
      <c r="B19910" s="25"/>
      <c r="C19910" s="24"/>
      <c r="D19910" s="26"/>
      <c r="E19910" s="24"/>
      <c r="F19910" s="24"/>
      <c r="G19910" s="24"/>
      <c r="H19910" s="24"/>
      <c r="I19910" s="24"/>
      <c r="J19910" s="24"/>
      <c r="K19910" s="24"/>
      <c r="L19910" s="24"/>
      <c r="M19910" s="24"/>
      <c r="N19910" s="24"/>
      <c r="O19910" s="24"/>
      <c r="P19910" s="24"/>
      <c r="Q19910" s="24"/>
      <c r="R19910" s="24"/>
      <c r="S19910" s="24"/>
      <c r="T19910" s="24"/>
      <c r="U19910" s="24"/>
      <c r="V19910" s="24"/>
      <c r="W19910" s="24"/>
      <c r="X19910" s="24"/>
      <c r="Y19910" s="24"/>
      <c r="Z19910" s="24"/>
      <c r="AA19910" s="24"/>
    </row>
    <row r="19911">
      <c r="A19911" s="24"/>
      <c r="B19911" s="25"/>
      <c r="C19911" s="24"/>
      <c r="D19911" s="26"/>
      <c r="E19911" s="24"/>
      <c r="F19911" s="24"/>
      <c r="G19911" s="24"/>
      <c r="H19911" s="24"/>
      <c r="I19911" s="24"/>
      <c r="J19911" s="24"/>
      <c r="K19911" s="24"/>
      <c r="L19911" s="24"/>
      <c r="M19911" s="24"/>
      <c r="N19911" s="24"/>
      <c r="O19911" s="24"/>
      <c r="P19911" s="24"/>
      <c r="Q19911" s="24"/>
      <c r="R19911" s="24"/>
      <c r="S19911" s="24"/>
      <c r="T19911" s="24"/>
      <c r="U19911" s="24"/>
      <c r="V19911" s="24"/>
      <c r="W19911" s="24"/>
      <c r="X19911" s="24"/>
      <c r="Y19911" s="24"/>
      <c r="Z19911" s="24"/>
      <c r="AA19911" s="24"/>
    </row>
    <row r="19912">
      <c r="A19912" s="24"/>
      <c r="B19912" s="25"/>
      <c r="C19912" s="24"/>
      <c r="D19912" s="26"/>
      <c r="E19912" s="24"/>
      <c r="F19912" s="24"/>
      <c r="G19912" s="24"/>
      <c r="H19912" s="24"/>
      <c r="I19912" s="24"/>
      <c r="J19912" s="24"/>
      <c r="K19912" s="24"/>
      <c r="L19912" s="24"/>
      <c r="M19912" s="24"/>
      <c r="N19912" s="24"/>
      <c r="O19912" s="24"/>
      <c r="P19912" s="24"/>
      <c r="Q19912" s="24"/>
      <c r="R19912" s="24"/>
      <c r="S19912" s="24"/>
      <c r="T19912" s="24"/>
      <c r="U19912" s="24"/>
      <c r="V19912" s="24"/>
      <c r="W19912" s="24"/>
      <c r="X19912" s="24"/>
      <c r="Y19912" s="24"/>
      <c r="Z19912" s="24"/>
      <c r="AA19912" s="24"/>
    </row>
    <row r="19913">
      <c r="A19913" s="24"/>
      <c r="B19913" s="25"/>
      <c r="C19913" s="24"/>
      <c r="D19913" s="26"/>
      <c r="E19913" s="24"/>
      <c r="F19913" s="24"/>
      <c r="G19913" s="24"/>
      <c r="H19913" s="24"/>
      <c r="I19913" s="24"/>
      <c r="J19913" s="24"/>
      <c r="K19913" s="24"/>
      <c r="L19913" s="24"/>
      <c r="M19913" s="24"/>
      <c r="N19913" s="24"/>
      <c r="O19913" s="24"/>
      <c r="P19913" s="24"/>
      <c r="Q19913" s="24"/>
      <c r="R19913" s="24"/>
      <c r="S19913" s="24"/>
      <c r="T19913" s="24"/>
      <c r="U19913" s="24"/>
      <c r="V19913" s="24"/>
      <c r="W19913" s="24"/>
      <c r="X19913" s="24"/>
      <c r="Y19913" s="24"/>
      <c r="Z19913" s="24"/>
      <c r="AA19913" s="24"/>
    </row>
    <row r="19914">
      <c r="A19914" s="24"/>
      <c r="B19914" s="25"/>
      <c r="C19914" s="24"/>
      <c r="D19914" s="26"/>
      <c r="E19914" s="24"/>
      <c r="F19914" s="24"/>
      <c r="G19914" s="24"/>
      <c r="H19914" s="24"/>
      <c r="I19914" s="24"/>
      <c r="J19914" s="24"/>
      <c r="K19914" s="24"/>
      <c r="L19914" s="24"/>
      <c r="M19914" s="24"/>
      <c r="N19914" s="24"/>
      <c r="O19914" s="24"/>
      <c r="P19914" s="24"/>
      <c r="Q19914" s="24"/>
      <c r="R19914" s="24"/>
      <c r="S19914" s="24"/>
      <c r="T19914" s="24"/>
      <c r="U19914" s="24"/>
      <c r="V19914" s="24"/>
      <c r="W19914" s="24"/>
      <c r="X19914" s="24"/>
      <c r="Y19914" s="24"/>
      <c r="Z19914" s="24"/>
      <c r="AA19914" s="24"/>
    </row>
    <row r="19915">
      <c r="A19915" s="24"/>
      <c r="B19915" s="25"/>
      <c r="C19915" s="24"/>
      <c r="D19915" s="26"/>
      <c r="E19915" s="24"/>
      <c r="F19915" s="24"/>
      <c r="G19915" s="24"/>
      <c r="H19915" s="24"/>
      <c r="I19915" s="24"/>
      <c r="J19915" s="24"/>
      <c r="K19915" s="24"/>
      <c r="L19915" s="24"/>
      <c r="M19915" s="24"/>
      <c r="N19915" s="24"/>
      <c r="O19915" s="24"/>
      <c r="P19915" s="24"/>
      <c r="Q19915" s="24"/>
      <c r="R19915" s="24"/>
      <c r="S19915" s="24"/>
      <c r="T19915" s="24"/>
      <c r="U19915" s="24"/>
      <c r="V19915" s="24"/>
      <c r="W19915" s="24"/>
      <c r="X19915" s="24"/>
      <c r="Y19915" s="24"/>
      <c r="Z19915" s="24"/>
      <c r="AA19915" s="24"/>
    </row>
    <row r="19916">
      <c r="A19916" s="24"/>
      <c r="B19916" s="25"/>
      <c r="C19916" s="24"/>
      <c r="D19916" s="26"/>
      <c r="E19916" s="24"/>
      <c r="F19916" s="24"/>
      <c r="G19916" s="24"/>
      <c r="H19916" s="24"/>
      <c r="I19916" s="24"/>
      <c r="J19916" s="24"/>
      <c r="K19916" s="24"/>
      <c r="L19916" s="24"/>
      <c r="M19916" s="24"/>
      <c r="N19916" s="24"/>
      <c r="O19916" s="24"/>
      <c r="P19916" s="24"/>
      <c r="Q19916" s="24"/>
      <c r="R19916" s="24"/>
      <c r="S19916" s="24"/>
      <c r="T19916" s="24"/>
      <c r="U19916" s="24"/>
      <c r="V19916" s="24"/>
      <c r="W19916" s="24"/>
      <c r="X19916" s="24"/>
      <c r="Y19916" s="24"/>
      <c r="Z19916" s="24"/>
      <c r="AA19916" s="24"/>
    </row>
    <row r="19917">
      <c r="A19917" s="24"/>
      <c r="B19917" s="25"/>
      <c r="C19917" s="24"/>
      <c r="D19917" s="26"/>
      <c r="E19917" s="24"/>
      <c r="F19917" s="24"/>
      <c r="G19917" s="24"/>
      <c r="H19917" s="24"/>
      <c r="I19917" s="24"/>
      <c r="J19917" s="24"/>
      <c r="K19917" s="24"/>
      <c r="L19917" s="24"/>
      <c r="M19917" s="24"/>
      <c r="N19917" s="24"/>
      <c r="O19917" s="24"/>
      <c r="P19917" s="24"/>
      <c r="Q19917" s="24"/>
      <c r="R19917" s="24"/>
      <c r="S19917" s="24"/>
      <c r="T19917" s="24"/>
      <c r="U19917" s="24"/>
      <c r="V19917" s="24"/>
      <c r="W19917" s="24"/>
      <c r="X19917" s="24"/>
      <c r="Y19917" s="24"/>
      <c r="Z19917" s="24"/>
      <c r="AA19917" s="24"/>
    </row>
    <row r="19918">
      <c r="A19918" s="24"/>
      <c r="B19918" s="25"/>
      <c r="C19918" s="24"/>
      <c r="D19918" s="26"/>
      <c r="E19918" s="24"/>
      <c r="F19918" s="24"/>
      <c r="G19918" s="24"/>
      <c r="H19918" s="24"/>
      <c r="I19918" s="24"/>
      <c r="J19918" s="24"/>
      <c r="K19918" s="24"/>
      <c r="L19918" s="24"/>
      <c r="M19918" s="24"/>
      <c r="N19918" s="24"/>
      <c r="O19918" s="24"/>
      <c r="P19918" s="24"/>
      <c r="Q19918" s="24"/>
      <c r="R19918" s="24"/>
      <c r="S19918" s="24"/>
      <c r="T19918" s="24"/>
      <c r="U19918" s="24"/>
      <c r="V19918" s="24"/>
      <c r="W19918" s="24"/>
      <c r="X19918" s="24"/>
      <c r="Y19918" s="24"/>
      <c r="Z19918" s="24"/>
      <c r="AA19918" s="24"/>
    </row>
    <row r="19919">
      <c r="A19919" s="24"/>
      <c r="B19919" s="25"/>
      <c r="C19919" s="24"/>
      <c r="D19919" s="26"/>
      <c r="E19919" s="24"/>
      <c r="F19919" s="24"/>
      <c r="G19919" s="24"/>
      <c r="H19919" s="24"/>
      <c r="I19919" s="24"/>
      <c r="J19919" s="24"/>
      <c r="K19919" s="24"/>
      <c r="L19919" s="24"/>
      <c r="M19919" s="24"/>
      <c r="N19919" s="24"/>
      <c r="O19919" s="24"/>
      <c r="P19919" s="24"/>
      <c r="Q19919" s="24"/>
      <c r="R19919" s="24"/>
      <c r="S19919" s="24"/>
      <c r="T19919" s="24"/>
      <c r="U19919" s="24"/>
      <c r="V19919" s="24"/>
      <c r="W19919" s="24"/>
      <c r="X19919" s="24"/>
      <c r="Y19919" s="24"/>
      <c r="Z19919" s="24"/>
      <c r="AA19919" s="24"/>
    </row>
    <row r="19920">
      <c r="A19920" s="24"/>
      <c r="B19920" s="25"/>
      <c r="C19920" s="24"/>
      <c r="D19920" s="26"/>
      <c r="E19920" s="24"/>
      <c r="F19920" s="24"/>
      <c r="G19920" s="24"/>
      <c r="H19920" s="24"/>
      <c r="I19920" s="24"/>
      <c r="J19920" s="24"/>
      <c r="K19920" s="24"/>
      <c r="L19920" s="24"/>
      <c r="M19920" s="24"/>
      <c r="N19920" s="24"/>
      <c r="O19920" s="24"/>
      <c r="P19920" s="24"/>
      <c r="Q19920" s="24"/>
      <c r="R19920" s="24"/>
      <c r="S19920" s="24"/>
      <c r="T19920" s="24"/>
      <c r="U19920" s="24"/>
      <c r="V19920" s="24"/>
      <c r="W19920" s="24"/>
      <c r="X19920" s="24"/>
      <c r="Y19920" s="24"/>
      <c r="Z19920" s="24"/>
      <c r="AA19920" s="24"/>
    </row>
    <row r="19921">
      <c r="A19921" s="24"/>
      <c r="B19921" s="25"/>
      <c r="C19921" s="24"/>
      <c r="D19921" s="26"/>
      <c r="E19921" s="24"/>
      <c r="F19921" s="24"/>
      <c r="G19921" s="24"/>
      <c r="H19921" s="24"/>
      <c r="I19921" s="24"/>
      <c r="J19921" s="24"/>
      <c r="K19921" s="24"/>
      <c r="L19921" s="24"/>
      <c r="M19921" s="24"/>
      <c r="N19921" s="24"/>
      <c r="O19921" s="24"/>
      <c r="P19921" s="24"/>
      <c r="Q19921" s="24"/>
      <c r="R19921" s="24"/>
      <c r="S19921" s="24"/>
      <c r="T19921" s="24"/>
      <c r="U19921" s="24"/>
      <c r="V19921" s="24"/>
      <c r="W19921" s="24"/>
      <c r="X19921" s="24"/>
      <c r="Y19921" s="24"/>
      <c r="Z19921" s="24"/>
      <c r="AA19921" s="24"/>
    </row>
    <row r="19922">
      <c r="A19922" s="24"/>
      <c r="B19922" s="25"/>
      <c r="C19922" s="24"/>
      <c r="D19922" s="26"/>
      <c r="E19922" s="24"/>
      <c r="F19922" s="24"/>
      <c r="G19922" s="24"/>
      <c r="H19922" s="24"/>
      <c r="I19922" s="24"/>
      <c r="J19922" s="24"/>
      <c r="K19922" s="24"/>
      <c r="L19922" s="24"/>
      <c r="M19922" s="24"/>
      <c r="N19922" s="24"/>
      <c r="O19922" s="24"/>
      <c r="P19922" s="24"/>
      <c r="Q19922" s="24"/>
      <c r="R19922" s="24"/>
      <c r="S19922" s="24"/>
      <c r="T19922" s="24"/>
      <c r="U19922" s="24"/>
      <c r="V19922" s="24"/>
      <c r="W19922" s="24"/>
      <c r="X19922" s="24"/>
      <c r="Y19922" s="24"/>
      <c r="Z19922" s="24"/>
      <c r="AA19922" s="24"/>
    </row>
    <row r="19923">
      <c r="A19923" s="24"/>
      <c r="B19923" s="25"/>
      <c r="C19923" s="24"/>
      <c r="D19923" s="26"/>
      <c r="E19923" s="24"/>
      <c r="F19923" s="24"/>
      <c r="G19923" s="24"/>
      <c r="H19923" s="24"/>
      <c r="I19923" s="24"/>
      <c r="J19923" s="24"/>
      <c r="K19923" s="24"/>
      <c r="L19923" s="24"/>
      <c r="M19923" s="24"/>
      <c r="N19923" s="24"/>
      <c r="O19923" s="24"/>
      <c r="P19923" s="24"/>
      <c r="Q19923" s="24"/>
      <c r="R19923" s="24"/>
      <c r="S19923" s="24"/>
      <c r="T19923" s="24"/>
      <c r="U19923" s="24"/>
      <c r="V19923" s="24"/>
      <c r="W19923" s="24"/>
      <c r="X19923" s="24"/>
      <c r="Y19923" s="24"/>
      <c r="Z19923" s="24"/>
      <c r="AA19923" s="24"/>
    </row>
    <row r="19924">
      <c r="A19924" s="24"/>
      <c r="B19924" s="25"/>
      <c r="C19924" s="24"/>
      <c r="D19924" s="26"/>
      <c r="E19924" s="24"/>
      <c r="F19924" s="24"/>
      <c r="G19924" s="24"/>
      <c r="H19924" s="24"/>
      <c r="I19924" s="24"/>
      <c r="J19924" s="24"/>
      <c r="K19924" s="24"/>
      <c r="L19924" s="24"/>
      <c r="M19924" s="24"/>
      <c r="N19924" s="24"/>
      <c r="O19924" s="24"/>
      <c r="P19924" s="24"/>
      <c r="Q19924" s="24"/>
      <c r="R19924" s="24"/>
      <c r="S19924" s="24"/>
      <c r="T19924" s="24"/>
      <c r="U19924" s="24"/>
      <c r="V19924" s="24"/>
      <c r="W19924" s="24"/>
      <c r="X19924" s="24"/>
      <c r="Y19924" s="24"/>
      <c r="Z19924" s="24"/>
      <c r="AA19924" s="24"/>
    </row>
    <row r="19925">
      <c r="A19925" s="24"/>
      <c r="B19925" s="25"/>
      <c r="C19925" s="24"/>
      <c r="D19925" s="26"/>
      <c r="E19925" s="24"/>
      <c r="F19925" s="24"/>
      <c r="G19925" s="24"/>
      <c r="H19925" s="24"/>
      <c r="I19925" s="24"/>
      <c r="J19925" s="24"/>
      <c r="K19925" s="24"/>
      <c r="L19925" s="24"/>
      <c r="M19925" s="24"/>
      <c r="N19925" s="24"/>
      <c r="O19925" s="24"/>
      <c r="P19925" s="24"/>
      <c r="Q19925" s="24"/>
      <c r="R19925" s="24"/>
      <c r="S19925" s="24"/>
      <c r="T19925" s="24"/>
      <c r="U19925" s="24"/>
      <c r="V19925" s="24"/>
      <c r="W19925" s="24"/>
      <c r="X19925" s="24"/>
      <c r="Y19925" s="24"/>
      <c r="Z19925" s="24"/>
      <c r="AA19925" s="24"/>
    </row>
    <row r="19926">
      <c r="A19926" s="24"/>
      <c r="B19926" s="25"/>
      <c r="C19926" s="24"/>
      <c r="D19926" s="26"/>
      <c r="E19926" s="24"/>
      <c r="F19926" s="24"/>
      <c r="G19926" s="24"/>
      <c r="H19926" s="24"/>
      <c r="I19926" s="24"/>
      <c r="J19926" s="24"/>
      <c r="K19926" s="24"/>
      <c r="L19926" s="24"/>
      <c r="M19926" s="24"/>
      <c r="N19926" s="24"/>
      <c r="O19926" s="24"/>
      <c r="P19926" s="24"/>
      <c r="Q19926" s="24"/>
      <c r="R19926" s="24"/>
      <c r="S19926" s="24"/>
      <c r="T19926" s="24"/>
      <c r="U19926" s="24"/>
      <c r="V19926" s="24"/>
      <c r="W19926" s="24"/>
      <c r="X19926" s="24"/>
      <c r="Y19926" s="24"/>
      <c r="Z19926" s="24"/>
      <c r="AA19926" s="24"/>
    </row>
    <row r="19927">
      <c r="A19927" s="24"/>
      <c r="B19927" s="25"/>
      <c r="C19927" s="24"/>
      <c r="D19927" s="26"/>
      <c r="E19927" s="24"/>
      <c r="F19927" s="24"/>
      <c r="G19927" s="24"/>
      <c r="H19927" s="24"/>
      <c r="I19927" s="24"/>
      <c r="J19927" s="24"/>
      <c r="K19927" s="24"/>
      <c r="L19927" s="24"/>
      <c r="M19927" s="24"/>
      <c r="N19927" s="24"/>
      <c r="O19927" s="24"/>
      <c r="P19927" s="24"/>
      <c r="Q19927" s="24"/>
      <c r="R19927" s="24"/>
      <c r="S19927" s="24"/>
      <c r="T19927" s="24"/>
      <c r="U19927" s="24"/>
      <c r="V19927" s="24"/>
      <c r="W19927" s="24"/>
      <c r="X19927" s="24"/>
      <c r="Y19927" s="24"/>
      <c r="Z19927" s="24"/>
      <c r="AA19927" s="24"/>
    </row>
    <row r="19928">
      <c r="A19928" s="24"/>
      <c r="B19928" s="25"/>
      <c r="C19928" s="24"/>
      <c r="D19928" s="26"/>
      <c r="E19928" s="24"/>
      <c r="F19928" s="24"/>
      <c r="G19928" s="24"/>
      <c r="H19928" s="24"/>
      <c r="I19928" s="24"/>
      <c r="J19928" s="24"/>
      <c r="K19928" s="24"/>
      <c r="L19928" s="24"/>
      <c r="M19928" s="24"/>
      <c r="N19928" s="24"/>
      <c r="O19928" s="24"/>
      <c r="P19928" s="24"/>
      <c r="Q19928" s="24"/>
      <c r="R19928" s="24"/>
      <c r="S19928" s="24"/>
      <c r="T19928" s="24"/>
      <c r="U19928" s="24"/>
      <c r="V19928" s="24"/>
      <c r="W19928" s="24"/>
      <c r="X19928" s="24"/>
      <c r="Y19928" s="24"/>
      <c r="Z19928" s="24"/>
      <c r="AA19928" s="24"/>
    </row>
    <row r="19929">
      <c r="A19929" s="24"/>
      <c r="B19929" s="25"/>
      <c r="C19929" s="24"/>
      <c r="D19929" s="26"/>
      <c r="E19929" s="24"/>
      <c r="F19929" s="24"/>
      <c r="G19929" s="24"/>
      <c r="H19929" s="24"/>
      <c r="I19929" s="24"/>
      <c r="J19929" s="24"/>
      <c r="K19929" s="24"/>
      <c r="L19929" s="24"/>
      <c r="M19929" s="24"/>
      <c r="N19929" s="24"/>
      <c r="O19929" s="24"/>
      <c r="P19929" s="24"/>
      <c r="Q19929" s="24"/>
      <c r="R19929" s="24"/>
      <c r="S19929" s="24"/>
      <c r="T19929" s="24"/>
      <c r="U19929" s="24"/>
      <c r="V19929" s="24"/>
      <c r="W19929" s="24"/>
      <c r="X19929" s="24"/>
      <c r="Y19929" s="24"/>
      <c r="Z19929" s="24"/>
      <c r="AA19929" s="24"/>
    </row>
    <row r="19930">
      <c r="A19930" s="24"/>
      <c r="B19930" s="25"/>
      <c r="C19930" s="24"/>
      <c r="D19930" s="26"/>
      <c r="E19930" s="24"/>
      <c r="F19930" s="24"/>
      <c r="G19930" s="24"/>
      <c r="H19930" s="24"/>
      <c r="I19930" s="24"/>
      <c r="J19930" s="24"/>
      <c r="K19930" s="24"/>
      <c r="L19930" s="24"/>
      <c r="M19930" s="24"/>
      <c r="N19930" s="24"/>
      <c r="O19930" s="24"/>
      <c r="P19930" s="24"/>
      <c r="Q19930" s="24"/>
      <c r="R19930" s="24"/>
      <c r="S19930" s="24"/>
      <c r="T19930" s="24"/>
      <c r="U19930" s="24"/>
      <c r="V19930" s="24"/>
      <c r="W19930" s="24"/>
      <c r="X19930" s="24"/>
      <c r="Y19930" s="24"/>
      <c r="Z19930" s="24"/>
      <c r="AA19930" s="24"/>
    </row>
    <row r="19931">
      <c r="A19931" s="24"/>
      <c r="B19931" s="25"/>
      <c r="C19931" s="24"/>
      <c r="D19931" s="26"/>
      <c r="E19931" s="24"/>
      <c r="F19931" s="24"/>
      <c r="G19931" s="24"/>
      <c r="H19931" s="24"/>
      <c r="I19931" s="24"/>
      <c r="J19931" s="24"/>
      <c r="K19931" s="24"/>
      <c r="L19931" s="24"/>
      <c r="M19931" s="24"/>
      <c r="N19931" s="24"/>
      <c r="O19931" s="24"/>
      <c r="P19931" s="24"/>
      <c r="Q19931" s="24"/>
      <c r="R19931" s="24"/>
      <c r="S19931" s="24"/>
      <c r="T19931" s="24"/>
      <c r="U19931" s="24"/>
      <c r="V19931" s="24"/>
      <c r="W19931" s="24"/>
      <c r="X19931" s="24"/>
      <c r="Y19931" s="24"/>
      <c r="Z19931" s="24"/>
      <c r="AA19931" s="24"/>
    </row>
    <row r="19932">
      <c r="A19932" s="24"/>
      <c r="B19932" s="25"/>
      <c r="C19932" s="24"/>
      <c r="D19932" s="26"/>
      <c r="E19932" s="24"/>
      <c r="F19932" s="24"/>
      <c r="G19932" s="24"/>
      <c r="H19932" s="24"/>
      <c r="I19932" s="24"/>
      <c r="J19932" s="24"/>
      <c r="K19932" s="24"/>
      <c r="L19932" s="24"/>
      <c r="M19932" s="24"/>
      <c r="N19932" s="24"/>
      <c r="O19932" s="24"/>
      <c r="P19932" s="24"/>
      <c r="Q19932" s="24"/>
      <c r="R19932" s="24"/>
      <c r="S19932" s="24"/>
      <c r="T19932" s="24"/>
      <c r="U19932" s="24"/>
      <c r="V19932" s="24"/>
      <c r="W19932" s="24"/>
      <c r="X19932" s="24"/>
      <c r="Y19932" s="24"/>
      <c r="Z19932" s="24"/>
      <c r="AA19932" s="24"/>
    </row>
    <row r="19933">
      <c r="A19933" s="24"/>
      <c r="B19933" s="25"/>
      <c r="C19933" s="24"/>
      <c r="D19933" s="26"/>
      <c r="E19933" s="24"/>
      <c r="F19933" s="24"/>
      <c r="G19933" s="24"/>
      <c r="H19933" s="24"/>
      <c r="I19933" s="24"/>
      <c r="J19933" s="24"/>
      <c r="K19933" s="24"/>
      <c r="L19933" s="24"/>
      <c r="M19933" s="24"/>
      <c r="N19933" s="24"/>
      <c r="O19933" s="24"/>
      <c r="P19933" s="24"/>
      <c r="Q19933" s="24"/>
      <c r="R19933" s="24"/>
      <c r="S19933" s="24"/>
      <c r="T19933" s="24"/>
      <c r="U19933" s="24"/>
      <c r="V19933" s="24"/>
      <c r="W19933" s="24"/>
      <c r="X19933" s="24"/>
      <c r="Y19933" s="24"/>
      <c r="Z19933" s="24"/>
      <c r="AA19933" s="24"/>
    </row>
    <row r="19934">
      <c r="A19934" s="24"/>
      <c r="B19934" s="25"/>
      <c r="C19934" s="24"/>
      <c r="D19934" s="26"/>
      <c r="E19934" s="24"/>
      <c r="F19934" s="24"/>
      <c r="G19934" s="24"/>
      <c r="H19934" s="24"/>
      <c r="I19934" s="24"/>
      <c r="J19934" s="24"/>
      <c r="K19934" s="24"/>
      <c r="L19934" s="24"/>
      <c r="M19934" s="24"/>
      <c r="N19934" s="24"/>
      <c r="O19934" s="24"/>
      <c r="P19934" s="24"/>
      <c r="Q19934" s="24"/>
      <c r="R19934" s="24"/>
      <c r="S19934" s="24"/>
      <c r="T19934" s="24"/>
      <c r="U19934" s="24"/>
      <c r="V19934" s="24"/>
      <c r="W19934" s="24"/>
      <c r="X19934" s="24"/>
      <c r="Y19934" s="24"/>
      <c r="Z19934" s="24"/>
      <c r="AA19934" s="24"/>
    </row>
    <row r="19935">
      <c r="A19935" s="24"/>
      <c r="B19935" s="25"/>
      <c r="C19935" s="24"/>
      <c r="D19935" s="26"/>
      <c r="E19935" s="24"/>
      <c r="F19935" s="24"/>
      <c r="G19935" s="24"/>
      <c r="H19935" s="24"/>
      <c r="I19935" s="24"/>
      <c r="J19935" s="24"/>
      <c r="K19935" s="24"/>
      <c r="L19935" s="24"/>
      <c r="M19935" s="24"/>
      <c r="N19935" s="24"/>
      <c r="O19935" s="24"/>
      <c r="P19935" s="24"/>
      <c r="Q19935" s="24"/>
      <c r="R19935" s="24"/>
      <c r="S19935" s="24"/>
      <c r="T19935" s="24"/>
      <c r="U19935" s="24"/>
      <c r="V19935" s="24"/>
      <c r="W19935" s="24"/>
      <c r="X19935" s="24"/>
      <c r="Y19935" s="24"/>
      <c r="Z19935" s="24"/>
      <c r="AA19935" s="24"/>
    </row>
    <row r="19936">
      <c r="A19936" s="24"/>
      <c r="B19936" s="25"/>
      <c r="C19936" s="24"/>
      <c r="D19936" s="26"/>
      <c r="E19936" s="24"/>
      <c r="F19936" s="24"/>
      <c r="G19936" s="24"/>
      <c r="H19936" s="24"/>
      <c r="I19936" s="24"/>
      <c r="J19936" s="24"/>
      <c r="K19936" s="24"/>
      <c r="L19936" s="24"/>
      <c r="M19936" s="24"/>
      <c r="N19936" s="24"/>
      <c r="O19936" s="24"/>
      <c r="P19936" s="24"/>
      <c r="Q19936" s="24"/>
      <c r="R19936" s="24"/>
      <c r="S19936" s="24"/>
      <c r="T19936" s="24"/>
      <c r="U19936" s="24"/>
      <c r="V19936" s="24"/>
      <c r="W19936" s="24"/>
      <c r="X19936" s="24"/>
      <c r="Y19936" s="24"/>
      <c r="Z19936" s="24"/>
      <c r="AA19936" s="24"/>
    </row>
    <row r="19937">
      <c r="A19937" s="24"/>
      <c r="B19937" s="25"/>
      <c r="C19937" s="24"/>
      <c r="D19937" s="26"/>
      <c r="E19937" s="24"/>
      <c r="F19937" s="24"/>
      <c r="G19937" s="24"/>
      <c r="H19937" s="24"/>
      <c r="I19937" s="24"/>
      <c r="J19937" s="24"/>
      <c r="K19937" s="24"/>
      <c r="L19937" s="24"/>
      <c r="M19937" s="24"/>
      <c r="N19937" s="24"/>
      <c r="O19937" s="24"/>
      <c r="P19937" s="24"/>
      <c r="Q19937" s="24"/>
      <c r="R19937" s="24"/>
      <c r="S19937" s="24"/>
      <c r="T19937" s="24"/>
      <c r="U19937" s="24"/>
      <c r="V19937" s="24"/>
      <c r="W19937" s="24"/>
      <c r="X19937" s="24"/>
      <c r="Y19937" s="24"/>
      <c r="Z19937" s="24"/>
      <c r="AA19937" s="24"/>
    </row>
    <row r="19938">
      <c r="A19938" s="24"/>
      <c r="B19938" s="25"/>
      <c r="C19938" s="24"/>
      <c r="D19938" s="26"/>
      <c r="E19938" s="24"/>
      <c r="F19938" s="24"/>
      <c r="G19938" s="24"/>
      <c r="H19938" s="24"/>
      <c r="I19938" s="24"/>
      <c r="J19938" s="24"/>
      <c r="K19938" s="24"/>
      <c r="L19938" s="24"/>
      <c r="M19938" s="24"/>
      <c r="N19938" s="24"/>
      <c r="O19938" s="24"/>
      <c r="P19938" s="24"/>
      <c r="Q19938" s="24"/>
      <c r="R19938" s="24"/>
      <c r="S19938" s="24"/>
      <c r="T19938" s="24"/>
      <c r="U19938" s="24"/>
      <c r="V19938" s="24"/>
      <c r="W19938" s="24"/>
      <c r="X19938" s="24"/>
      <c r="Y19938" s="24"/>
      <c r="Z19938" s="24"/>
      <c r="AA19938" s="24"/>
    </row>
    <row r="19939">
      <c r="A19939" s="24"/>
      <c r="B19939" s="25"/>
      <c r="C19939" s="24"/>
      <c r="D19939" s="26"/>
      <c r="E19939" s="24"/>
      <c r="F19939" s="24"/>
      <c r="G19939" s="24"/>
      <c r="H19939" s="24"/>
      <c r="I19939" s="24"/>
      <c r="J19939" s="24"/>
      <c r="K19939" s="24"/>
      <c r="L19939" s="24"/>
      <c r="M19939" s="24"/>
      <c r="N19939" s="24"/>
      <c r="O19939" s="24"/>
      <c r="P19939" s="24"/>
      <c r="Q19939" s="24"/>
      <c r="R19939" s="24"/>
      <c r="S19939" s="24"/>
      <c r="T19939" s="24"/>
      <c r="U19939" s="24"/>
      <c r="V19939" s="24"/>
      <c r="W19939" s="24"/>
      <c r="X19939" s="24"/>
      <c r="Y19939" s="24"/>
      <c r="Z19939" s="24"/>
      <c r="AA19939" s="24"/>
    </row>
    <row r="19940">
      <c r="A19940" s="24"/>
      <c r="B19940" s="25"/>
      <c r="C19940" s="24"/>
      <c r="D19940" s="26"/>
      <c r="E19940" s="24"/>
      <c r="F19940" s="24"/>
      <c r="G19940" s="24"/>
      <c r="H19940" s="24"/>
      <c r="I19940" s="24"/>
      <c r="J19940" s="24"/>
      <c r="K19940" s="24"/>
      <c r="L19940" s="24"/>
      <c r="M19940" s="24"/>
      <c r="N19940" s="24"/>
      <c r="O19940" s="24"/>
      <c r="P19940" s="24"/>
      <c r="Q19940" s="24"/>
      <c r="R19940" s="24"/>
      <c r="S19940" s="24"/>
      <c r="T19940" s="24"/>
      <c r="U19940" s="24"/>
      <c r="V19940" s="24"/>
      <c r="W19940" s="24"/>
      <c r="X19940" s="24"/>
      <c r="Y19940" s="24"/>
      <c r="Z19940" s="24"/>
      <c r="AA19940" s="24"/>
    </row>
    <row r="19941">
      <c r="A19941" s="24"/>
      <c r="B19941" s="25"/>
      <c r="C19941" s="24"/>
      <c r="D19941" s="26"/>
      <c r="E19941" s="24"/>
      <c r="F19941" s="24"/>
      <c r="G19941" s="24"/>
      <c r="H19941" s="24"/>
      <c r="I19941" s="24"/>
      <c r="J19941" s="24"/>
      <c r="K19941" s="24"/>
      <c r="L19941" s="24"/>
      <c r="M19941" s="24"/>
      <c r="N19941" s="24"/>
      <c r="O19941" s="24"/>
      <c r="P19941" s="24"/>
      <c r="Q19941" s="24"/>
      <c r="R19941" s="24"/>
      <c r="S19941" s="24"/>
      <c r="T19941" s="24"/>
      <c r="U19941" s="24"/>
      <c r="V19941" s="24"/>
      <c r="W19941" s="24"/>
      <c r="X19941" s="24"/>
      <c r="Y19941" s="24"/>
      <c r="Z19941" s="24"/>
      <c r="AA19941" s="24"/>
    </row>
    <row r="19942">
      <c r="A19942" s="24"/>
      <c r="B19942" s="25"/>
      <c r="C19942" s="24"/>
      <c r="D19942" s="26"/>
      <c r="E19942" s="24"/>
      <c r="F19942" s="24"/>
      <c r="G19942" s="24"/>
      <c r="H19942" s="24"/>
      <c r="I19942" s="24"/>
      <c r="J19942" s="24"/>
      <c r="K19942" s="24"/>
      <c r="L19942" s="24"/>
      <c r="M19942" s="24"/>
      <c r="N19942" s="24"/>
      <c r="O19942" s="24"/>
      <c r="P19942" s="24"/>
      <c r="Q19942" s="24"/>
      <c r="R19942" s="24"/>
      <c r="S19942" s="24"/>
      <c r="T19942" s="24"/>
      <c r="U19942" s="24"/>
      <c r="V19942" s="24"/>
      <c r="W19942" s="24"/>
      <c r="X19942" s="24"/>
      <c r="Y19942" s="24"/>
      <c r="Z19942" s="24"/>
      <c r="AA19942" s="24"/>
    </row>
    <row r="19943">
      <c r="A19943" s="24"/>
      <c r="B19943" s="25"/>
      <c r="C19943" s="24"/>
      <c r="D19943" s="26"/>
      <c r="E19943" s="24"/>
      <c r="F19943" s="24"/>
      <c r="G19943" s="24"/>
      <c r="H19943" s="24"/>
      <c r="I19943" s="24"/>
      <c r="J19943" s="24"/>
      <c r="K19943" s="24"/>
      <c r="L19943" s="24"/>
      <c r="M19943" s="24"/>
      <c r="N19943" s="24"/>
      <c r="O19943" s="24"/>
      <c r="P19943" s="24"/>
      <c r="Q19943" s="24"/>
      <c r="R19943" s="24"/>
      <c r="S19943" s="24"/>
      <c r="T19943" s="24"/>
      <c r="U19943" s="24"/>
      <c r="V19943" s="24"/>
      <c r="W19943" s="24"/>
      <c r="X19943" s="24"/>
      <c r="Y19943" s="24"/>
      <c r="Z19943" s="24"/>
      <c r="AA19943" s="24"/>
    </row>
    <row r="19944">
      <c r="A19944" s="24"/>
      <c r="B19944" s="25"/>
      <c r="C19944" s="24"/>
      <c r="D19944" s="26"/>
      <c r="E19944" s="24"/>
      <c r="F19944" s="24"/>
      <c r="G19944" s="24"/>
      <c r="H19944" s="24"/>
      <c r="I19944" s="24"/>
      <c r="J19944" s="24"/>
      <c r="K19944" s="24"/>
      <c r="L19944" s="24"/>
      <c r="M19944" s="24"/>
      <c r="N19944" s="24"/>
      <c r="O19944" s="24"/>
      <c r="P19944" s="24"/>
      <c r="Q19944" s="24"/>
      <c r="R19944" s="24"/>
      <c r="S19944" s="24"/>
      <c r="T19944" s="24"/>
      <c r="U19944" s="24"/>
      <c r="V19944" s="24"/>
      <c r="W19944" s="24"/>
      <c r="X19944" s="24"/>
      <c r="Y19944" s="24"/>
      <c r="Z19944" s="24"/>
      <c r="AA19944" s="24"/>
    </row>
    <row r="19945">
      <c r="A19945" s="24"/>
      <c r="B19945" s="25"/>
      <c r="C19945" s="24"/>
      <c r="D19945" s="26"/>
      <c r="E19945" s="24"/>
      <c r="F19945" s="24"/>
      <c r="G19945" s="24"/>
      <c r="H19945" s="24"/>
      <c r="I19945" s="24"/>
      <c r="J19945" s="24"/>
      <c r="K19945" s="24"/>
      <c r="L19945" s="24"/>
      <c r="M19945" s="24"/>
      <c r="N19945" s="24"/>
      <c r="O19945" s="24"/>
      <c r="P19945" s="24"/>
      <c r="Q19945" s="24"/>
      <c r="R19945" s="24"/>
      <c r="S19945" s="24"/>
      <c r="T19945" s="24"/>
      <c r="U19945" s="24"/>
      <c r="V19945" s="24"/>
      <c r="W19945" s="24"/>
      <c r="X19945" s="24"/>
      <c r="Y19945" s="24"/>
      <c r="Z19945" s="24"/>
      <c r="AA19945" s="24"/>
    </row>
    <row r="19946">
      <c r="A19946" s="24"/>
      <c r="B19946" s="25"/>
      <c r="C19946" s="24"/>
      <c r="D19946" s="26"/>
      <c r="E19946" s="24"/>
      <c r="F19946" s="24"/>
      <c r="G19946" s="24"/>
      <c r="H19946" s="24"/>
      <c r="I19946" s="24"/>
      <c r="J19946" s="24"/>
      <c r="K19946" s="24"/>
      <c r="L19946" s="24"/>
      <c r="M19946" s="24"/>
      <c r="N19946" s="24"/>
      <c r="O19946" s="24"/>
      <c r="P19946" s="24"/>
      <c r="Q19946" s="24"/>
      <c r="R19946" s="24"/>
      <c r="S19946" s="24"/>
      <c r="T19946" s="24"/>
      <c r="U19946" s="24"/>
      <c r="V19946" s="24"/>
      <c r="W19946" s="24"/>
      <c r="X19946" s="24"/>
      <c r="Y19946" s="24"/>
      <c r="Z19946" s="24"/>
      <c r="AA19946" s="24"/>
    </row>
    <row r="19947">
      <c r="A19947" s="24"/>
      <c r="B19947" s="25"/>
      <c r="C19947" s="24"/>
      <c r="D19947" s="26"/>
      <c r="E19947" s="24"/>
      <c r="F19947" s="24"/>
      <c r="G19947" s="24"/>
      <c r="H19947" s="24"/>
      <c r="I19947" s="24"/>
      <c r="J19947" s="24"/>
      <c r="K19947" s="24"/>
      <c r="L19947" s="24"/>
      <c r="M19947" s="24"/>
      <c r="N19947" s="24"/>
      <c r="O19947" s="24"/>
      <c r="P19947" s="24"/>
      <c r="Q19947" s="24"/>
      <c r="R19947" s="24"/>
      <c r="S19947" s="24"/>
      <c r="T19947" s="24"/>
      <c r="U19947" s="24"/>
      <c r="V19947" s="24"/>
      <c r="W19947" s="24"/>
      <c r="X19947" s="24"/>
      <c r="Y19947" s="24"/>
      <c r="Z19947" s="24"/>
      <c r="AA19947" s="24"/>
    </row>
    <row r="19948">
      <c r="A19948" s="24"/>
      <c r="B19948" s="25"/>
      <c r="C19948" s="24"/>
      <c r="D19948" s="26"/>
      <c r="E19948" s="24"/>
      <c r="F19948" s="24"/>
      <c r="G19948" s="24"/>
      <c r="H19948" s="24"/>
      <c r="I19948" s="24"/>
      <c r="J19948" s="24"/>
      <c r="K19948" s="24"/>
      <c r="L19948" s="24"/>
      <c r="M19948" s="24"/>
      <c r="N19948" s="24"/>
      <c r="O19948" s="24"/>
      <c r="P19948" s="24"/>
      <c r="Q19948" s="24"/>
      <c r="R19948" s="24"/>
      <c r="S19948" s="24"/>
      <c r="T19948" s="24"/>
      <c r="U19948" s="24"/>
      <c r="V19948" s="24"/>
      <c r="W19948" s="24"/>
      <c r="X19948" s="24"/>
      <c r="Y19948" s="24"/>
      <c r="Z19948" s="24"/>
      <c r="AA19948" s="24"/>
    </row>
    <row r="19949">
      <c r="A19949" s="24"/>
      <c r="B19949" s="25"/>
      <c r="C19949" s="24"/>
      <c r="D19949" s="26"/>
      <c r="E19949" s="24"/>
      <c r="F19949" s="24"/>
      <c r="G19949" s="24"/>
      <c r="H19949" s="24"/>
      <c r="I19949" s="24"/>
      <c r="J19949" s="24"/>
      <c r="K19949" s="24"/>
      <c r="L19949" s="24"/>
      <c r="M19949" s="24"/>
      <c r="N19949" s="24"/>
      <c r="O19949" s="24"/>
      <c r="P19949" s="24"/>
      <c r="Q19949" s="24"/>
      <c r="R19949" s="24"/>
      <c r="S19949" s="24"/>
      <c r="T19949" s="24"/>
      <c r="U19949" s="24"/>
      <c r="V19949" s="24"/>
      <c r="W19949" s="24"/>
      <c r="X19949" s="24"/>
      <c r="Y19949" s="24"/>
      <c r="Z19949" s="24"/>
      <c r="AA19949" s="24"/>
    </row>
    <row r="19950">
      <c r="A19950" s="24"/>
      <c r="B19950" s="25"/>
      <c r="C19950" s="24"/>
      <c r="D19950" s="26"/>
      <c r="E19950" s="24"/>
      <c r="F19950" s="24"/>
      <c r="G19950" s="24"/>
      <c r="H19950" s="24"/>
      <c r="I19950" s="24"/>
      <c r="J19950" s="24"/>
      <c r="K19950" s="24"/>
      <c r="L19950" s="24"/>
      <c r="M19950" s="24"/>
      <c r="N19950" s="24"/>
      <c r="O19950" s="24"/>
      <c r="P19950" s="24"/>
      <c r="Q19950" s="24"/>
      <c r="R19950" s="24"/>
      <c r="S19950" s="24"/>
      <c r="T19950" s="24"/>
      <c r="U19950" s="24"/>
      <c r="V19950" s="24"/>
      <c r="W19950" s="24"/>
      <c r="X19950" s="24"/>
      <c r="Y19950" s="24"/>
      <c r="Z19950" s="24"/>
      <c r="AA19950" s="24"/>
    </row>
    <row r="19951">
      <c r="A19951" s="24"/>
      <c r="B19951" s="25"/>
      <c r="C19951" s="24"/>
      <c r="D19951" s="26"/>
      <c r="E19951" s="24"/>
      <c r="F19951" s="24"/>
      <c r="G19951" s="24"/>
      <c r="H19951" s="24"/>
      <c r="I19951" s="24"/>
      <c r="J19951" s="24"/>
      <c r="K19951" s="24"/>
      <c r="L19951" s="24"/>
      <c r="M19951" s="24"/>
      <c r="N19951" s="24"/>
      <c r="O19951" s="24"/>
      <c r="P19951" s="24"/>
      <c r="Q19951" s="24"/>
      <c r="R19951" s="24"/>
      <c r="S19951" s="24"/>
      <c r="T19951" s="24"/>
      <c r="U19951" s="24"/>
      <c r="V19951" s="24"/>
      <c r="W19951" s="24"/>
      <c r="X19951" s="24"/>
      <c r="Y19951" s="24"/>
      <c r="Z19951" s="24"/>
      <c r="AA19951" s="24"/>
    </row>
    <row r="19952">
      <c r="A19952" s="24"/>
      <c r="B19952" s="25"/>
      <c r="C19952" s="24"/>
      <c r="D19952" s="26"/>
      <c r="E19952" s="24"/>
      <c r="F19952" s="24"/>
      <c r="G19952" s="24"/>
      <c r="H19952" s="24"/>
      <c r="I19952" s="24"/>
      <c r="J19952" s="24"/>
      <c r="K19952" s="24"/>
      <c r="L19952" s="24"/>
      <c r="M19952" s="24"/>
      <c r="N19952" s="24"/>
      <c r="O19952" s="24"/>
      <c r="P19952" s="24"/>
      <c r="Q19952" s="24"/>
      <c r="R19952" s="24"/>
      <c r="S19952" s="24"/>
      <c r="T19952" s="24"/>
      <c r="U19952" s="24"/>
      <c r="V19952" s="24"/>
      <c r="W19952" s="24"/>
      <c r="X19952" s="24"/>
      <c r="Y19952" s="24"/>
      <c r="Z19952" s="24"/>
      <c r="AA19952" s="24"/>
    </row>
    <row r="19953">
      <c r="A19953" s="24"/>
      <c r="B19953" s="25"/>
      <c r="C19953" s="24"/>
      <c r="D19953" s="26"/>
      <c r="E19953" s="24"/>
      <c r="F19953" s="24"/>
      <c r="G19953" s="24"/>
      <c r="H19953" s="24"/>
      <c r="I19953" s="24"/>
      <c r="J19953" s="24"/>
      <c r="K19953" s="24"/>
      <c r="L19953" s="24"/>
      <c r="M19953" s="24"/>
      <c r="N19953" s="24"/>
      <c r="O19953" s="24"/>
      <c r="P19953" s="24"/>
      <c r="Q19953" s="24"/>
      <c r="R19953" s="24"/>
      <c r="S19953" s="24"/>
      <c r="T19953" s="24"/>
      <c r="U19953" s="24"/>
      <c r="V19953" s="24"/>
      <c r="W19953" s="24"/>
      <c r="X19953" s="24"/>
      <c r="Y19953" s="24"/>
      <c r="Z19953" s="24"/>
      <c r="AA19953" s="24"/>
    </row>
    <row r="19954">
      <c r="A19954" s="24"/>
      <c r="B19954" s="25"/>
      <c r="C19954" s="24"/>
      <c r="D19954" s="26"/>
      <c r="E19954" s="24"/>
      <c r="F19954" s="24"/>
      <c r="G19954" s="24"/>
      <c r="H19954" s="24"/>
      <c r="I19954" s="24"/>
      <c r="J19954" s="24"/>
      <c r="K19954" s="24"/>
      <c r="L19954" s="24"/>
      <c r="M19954" s="24"/>
      <c r="N19954" s="24"/>
      <c r="O19954" s="24"/>
      <c r="P19954" s="24"/>
      <c r="Q19954" s="24"/>
      <c r="R19954" s="24"/>
      <c r="S19954" s="24"/>
      <c r="T19954" s="24"/>
      <c r="U19954" s="24"/>
      <c r="V19954" s="24"/>
      <c r="W19954" s="24"/>
      <c r="X19954" s="24"/>
      <c r="Y19954" s="24"/>
      <c r="Z19954" s="24"/>
      <c r="AA19954" s="24"/>
    </row>
    <row r="19955">
      <c r="A19955" s="24"/>
      <c r="B19955" s="25"/>
      <c r="C19955" s="24"/>
      <c r="D19955" s="26"/>
      <c r="E19955" s="24"/>
      <c r="F19955" s="24"/>
      <c r="G19955" s="24"/>
      <c r="H19955" s="24"/>
      <c r="I19955" s="24"/>
      <c r="J19955" s="24"/>
      <c r="K19955" s="24"/>
      <c r="L19955" s="24"/>
      <c r="M19955" s="24"/>
      <c r="N19955" s="24"/>
      <c r="O19955" s="24"/>
      <c r="P19955" s="24"/>
      <c r="Q19955" s="24"/>
      <c r="R19955" s="24"/>
      <c r="S19955" s="24"/>
      <c r="T19955" s="24"/>
      <c r="U19955" s="24"/>
      <c r="V19955" s="24"/>
      <c r="W19955" s="24"/>
      <c r="X19955" s="24"/>
      <c r="Y19955" s="24"/>
      <c r="Z19955" s="24"/>
      <c r="AA19955" s="24"/>
    </row>
    <row r="19956">
      <c r="A19956" s="24"/>
      <c r="B19956" s="25"/>
      <c r="C19956" s="24"/>
      <c r="D19956" s="26"/>
      <c r="E19956" s="24"/>
      <c r="F19956" s="24"/>
      <c r="G19956" s="24"/>
      <c r="H19956" s="24"/>
      <c r="I19956" s="24"/>
      <c r="J19956" s="24"/>
      <c r="K19956" s="24"/>
      <c r="L19956" s="24"/>
      <c r="M19956" s="24"/>
      <c r="N19956" s="24"/>
      <c r="O19956" s="24"/>
      <c r="P19956" s="24"/>
      <c r="Q19956" s="24"/>
      <c r="R19956" s="24"/>
      <c r="S19956" s="24"/>
      <c r="T19956" s="24"/>
      <c r="U19956" s="24"/>
      <c r="V19956" s="24"/>
      <c r="W19956" s="24"/>
      <c r="X19956" s="24"/>
      <c r="Y19956" s="24"/>
      <c r="Z19956" s="24"/>
      <c r="AA19956" s="24"/>
    </row>
    <row r="19957">
      <c r="A19957" s="24"/>
      <c r="B19957" s="25"/>
      <c r="C19957" s="24"/>
      <c r="D19957" s="26"/>
      <c r="E19957" s="24"/>
      <c r="F19957" s="24"/>
      <c r="G19957" s="24"/>
      <c r="H19957" s="24"/>
      <c r="I19957" s="24"/>
      <c r="J19957" s="24"/>
      <c r="K19957" s="24"/>
      <c r="L19957" s="24"/>
      <c r="M19957" s="24"/>
      <c r="N19957" s="24"/>
      <c r="O19957" s="24"/>
      <c r="P19957" s="24"/>
      <c r="Q19957" s="24"/>
      <c r="R19957" s="24"/>
      <c r="S19957" s="24"/>
      <c r="T19957" s="24"/>
      <c r="U19957" s="24"/>
      <c r="V19957" s="24"/>
      <c r="W19957" s="24"/>
      <c r="X19957" s="24"/>
      <c r="Y19957" s="24"/>
      <c r="Z19957" s="24"/>
      <c r="AA19957" s="24"/>
    </row>
    <row r="19958">
      <c r="A19958" s="24"/>
      <c r="B19958" s="25"/>
      <c r="C19958" s="24"/>
      <c r="D19958" s="26"/>
      <c r="E19958" s="24"/>
      <c r="F19958" s="24"/>
      <c r="G19958" s="24"/>
      <c r="H19958" s="24"/>
      <c r="I19958" s="24"/>
      <c r="J19958" s="24"/>
      <c r="K19958" s="24"/>
      <c r="L19958" s="24"/>
      <c r="M19958" s="24"/>
      <c r="N19958" s="24"/>
      <c r="O19958" s="24"/>
      <c r="P19958" s="24"/>
      <c r="Q19958" s="24"/>
      <c r="R19958" s="24"/>
      <c r="S19958" s="24"/>
      <c r="T19958" s="24"/>
      <c r="U19958" s="24"/>
      <c r="V19958" s="24"/>
      <c r="W19958" s="24"/>
      <c r="X19958" s="24"/>
      <c r="Y19958" s="24"/>
      <c r="Z19958" s="24"/>
      <c r="AA19958" s="24"/>
    </row>
    <row r="19959">
      <c r="A19959" s="24"/>
      <c r="B19959" s="25"/>
      <c r="C19959" s="24"/>
      <c r="D19959" s="26"/>
      <c r="E19959" s="24"/>
      <c r="F19959" s="24"/>
      <c r="G19959" s="24"/>
      <c r="H19959" s="24"/>
      <c r="I19959" s="24"/>
      <c r="J19959" s="24"/>
      <c r="K19959" s="24"/>
      <c r="L19959" s="24"/>
      <c r="M19959" s="24"/>
      <c r="N19959" s="24"/>
      <c r="O19959" s="24"/>
      <c r="P19959" s="24"/>
      <c r="Q19959" s="24"/>
      <c r="R19959" s="24"/>
      <c r="S19959" s="24"/>
      <c r="T19959" s="24"/>
      <c r="U19959" s="24"/>
      <c r="V19959" s="24"/>
      <c r="W19959" s="24"/>
      <c r="X19959" s="24"/>
      <c r="Y19959" s="24"/>
      <c r="Z19959" s="24"/>
      <c r="AA19959" s="24"/>
    </row>
    <row r="19960">
      <c r="A19960" s="24"/>
      <c r="B19960" s="25"/>
      <c r="C19960" s="24"/>
      <c r="D19960" s="26"/>
      <c r="E19960" s="24"/>
      <c r="F19960" s="24"/>
      <c r="G19960" s="24"/>
      <c r="H19960" s="24"/>
      <c r="I19960" s="24"/>
      <c r="J19960" s="24"/>
      <c r="K19960" s="24"/>
      <c r="L19960" s="24"/>
      <c r="M19960" s="24"/>
      <c r="N19960" s="24"/>
      <c r="O19960" s="24"/>
      <c r="P19960" s="24"/>
      <c r="Q19960" s="24"/>
      <c r="R19960" s="24"/>
      <c r="S19960" s="24"/>
      <c r="T19960" s="24"/>
      <c r="U19960" s="24"/>
      <c r="V19960" s="24"/>
      <c r="W19960" s="24"/>
      <c r="X19960" s="24"/>
      <c r="Y19960" s="24"/>
      <c r="Z19960" s="24"/>
      <c r="AA19960" s="24"/>
    </row>
    <row r="19961">
      <c r="A19961" s="24"/>
      <c r="B19961" s="25"/>
      <c r="C19961" s="24"/>
      <c r="D19961" s="26"/>
      <c r="E19961" s="24"/>
      <c r="F19961" s="24"/>
      <c r="G19961" s="24"/>
      <c r="H19961" s="24"/>
      <c r="I19961" s="24"/>
      <c r="J19961" s="24"/>
      <c r="K19961" s="24"/>
      <c r="L19961" s="24"/>
      <c r="M19961" s="24"/>
      <c r="N19961" s="24"/>
      <c r="O19961" s="24"/>
      <c r="P19961" s="24"/>
      <c r="Q19961" s="24"/>
      <c r="R19961" s="24"/>
      <c r="S19961" s="24"/>
      <c r="T19961" s="24"/>
      <c r="U19961" s="24"/>
      <c r="V19961" s="24"/>
      <c r="W19961" s="24"/>
      <c r="X19961" s="24"/>
      <c r="Y19961" s="24"/>
      <c r="Z19961" s="24"/>
      <c r="AA19961" s="24"/>
    </row>
    <row r="19962">
      <c r="A19962" s="24"/>
      <c r="B19962" s="25"/>
      <c r="C19962" s="24"/>
      <c r="D19962" s="26"/>
      <c r="E19962" s="24"/>
      <c r="F19962" s="24"/>
      <c r="G19962" s="24"/>
      <c r="H19962" s="24"/>
      <c r="I19962" s="24"/>
      <c r="J19962" s="24"/>
      <c r="K19962" s="24"/>
      <c r="L19962" s="24"/>
      <c r="M19962" s="24"/>
      <c r="N19962" s="24"/>
      <c r="O19962" s="24"/>
      <c r="P19962" s="24"/>
      <c r="Q19962" s="24"/>
      <c r="R19962" s="24"/>
      <c r="S19962" s="24"/>
      <c r="T19962" s="24"/>
      <c r="U19962" s="24"/>
      <c r="V19962" s="24"/>
      <c r="W19962" s="24"/>
      <c r="X19962" s="24"/>
      <c r="Y19962" s="24"/>
      <c r="Z19962" s="24"/>
      <c r="AA19962" s="24"/>
    </row>
    <row r="19963">
      <c r="A19963" s="24"/>
      <c r="B19963" s="25"/>
      <c r="C19963" s="24"/>
      <c r="D19963" s="26"/>
      <c r="E19963" s="24"/>
      <c r="F19963" s="24"/>
      <c r="G19963" s="24"/>
      <c r="H19963" s="24"/>
      <c r="I19963" s="24"/>
      <c r="J19963" s="24"/>
      <c r="K19963" s="24"/>
      <c r="L19963" s="24"/>
      <c r="M19963" s="24"/>
      <c r="N19963" s="24"/>
      <c r="O19963" s="24"/>
      <c r="P19963" s="24"/>
      <c r="Q19963" s="24"/>
      <c r="R19963" s="24"/>
      <c r="S19963" s="24"/>
      <c r="T19963" s="24"/>
      <c r="U19963" s="24"/>
      <c r="V19963" s="24"/>
      <c r="W19963" s="24"/>
      <c r="X19963" s="24"/>
      <c r="Y19963" s="24"/>
      <c r="Z19963" s="24"/>
      <c r="AA19963" s="24"/>
    </row>
    <row r="19964">
      <c r="A19964" s="24"/>
      <c r="B19964" s="25"/>
      <c r="C19964" s="24"/>
      <c r="D19964" s="26"/>
      <c r="E19964" s="24"/>
      <c r="F19964" s="24"/>
      <c r="G19964" s="24"/>
      <c r="H19964" s="24"/>
      <c r="I19964" s="24"/>
      <c r="J19964" s="24"/>
      <c r="K19964" s="24"/>
      <c r="L19964" s="24"/>
      <c r="M19964" s="24"/>
      <c r="N19964" s="24"/>
      <c r="O19964" s="24"/>
      <c r="P19964" s="24"/>
      <c r="Q19964" s="24"/>
      <c r="R19964" s="24"/>
      <c r="S19964" s="24"/>
      <c r="T19964" s="24"/>
      <c r="U19964" s="24"/>
      <c r="V19964" s="24"/>
      <c r="W19964" s="24"/>
      <c r="X19964" s="24"/>
      <c r="Y19964" s="24"/>
      <c r="Z19964" s="24"/>
      <c r="AA19964" s="24"/>
    </row>
    <row r="19965">
      <c r="A19965" s="24"/>
      <c r="B19965" s="25"/>
      <c r="C19965" s="24"/>
      <c r="D19965" s="26"/>
      <c r="E19965" s="24"/>
      <c r="F19965" s="24"/>
      <c r="G19965" s="24"/>
      <c r="H19965" s="24"/>
      <c r="I19965" s="24"/>
      <c r="J19965" s="24"/>
      <c r="K19965" s="24"/>
      <c r="L19965" s="24"/>
      <c r="M19965" s="24"/>
      <c r="N19965" s="24"/>
      <c r="O19965" s="24"/>
      <c r="P19965" s="24"/>
      <c r="Q19965" s="24"/>
      <c r="R19965" s="24"/>
      <c r="S19965" s="24"/>
      <c r="T19965" s="24"/>
      <c r="U19965" s="24"/>
      <c r="V19965" s="24"/>
      <c r="W19965" s="24"/>
      <c r="X19965" s="24"/>
      <c r="Y19965" s="24"/>
      <c r="Z19965" s="24"/>
      <c r="AA19965" s="24"/>
    </row>
    <row r="19966">
      <c r="A19966" s="24"/>
      <c r="B19966" s="25"/>
      <c r="C19966" s="24"/>
      <c r="D19966" s="26"/>
      <c r="E19966" s="24"/>
      <c r="F19966" s="24"/>
      <c r="G19966" s="24"/>
      <c r="H19966" s="24"/>
      <c r="I19966" s="24"/>
      <c r="J19966" s="24"/>
      <c r="K19966" s="24"/>
      <c r="L19966" s="24"/>
      <c r="M19966" s="24"/>
      <c r="N19966" s="24"/>
      <c r="O19966" s="24"/>
      <c r="P19966" s="24"/>
      <c r="Q19966" s="24"/>
      <c r="R19966" s="24"/>
      <c r="S19966" s="24"/>
      <c r="T19966" s="24"/>
      <c r="U19966" s="24"/>
      <c r="V19966" s="24"/>
      <c r="W19966" s="24"/>
      <c r="X19966" s="24"/>
      <c r="Y19966" s="24"/>
      <c r="Z19966" s="24"/>
      <c r="AA19966" s="24"/>
    </row>
    <row r="19967">
      <c r="A19967" s="24"/>
      <c r="B19967" s="25"/>
      <c r="C19967" s="24"/>
      <c r="D19967" s="26"/>
      <c r="E19967" s="24"/>
      <c r="F19967" s="24"/>
      <c r="G19967" s="24"/>
      <c r="H19967" s="24"/>
      <c r="I19967" s="24"/>
      <c r="J19967" s="24"/>
      <c r="K19967" s="24"/>
      <c r="L19967" s="24"/>
      <c r="M19967" s="24"/>
      <c r="N19967" s="24"/>
      <c r="O19967" s="24"/>
      <c r="P19967" s="24"/>
      <c r="Q19967" s="24"/>
      <c r="R19967" s="24"/>
      <c r="S19967" s="24"/>
      <c r="T19967" s="24"/>
      <c r="U19967" s="24"/>
      <c r="V19967" s="24"/>
      <c r="W19967" s="24"/>
      <c r="X19967" s="24"/>
      <c r="Y19967" s="24"/>
      <c r="Z19967" s="24"/>
      <c r="AA19967" s="24"/>
    </row>
    <row r="19968">
      <c r="A19968" s="24"/>
      <c r="B19968" s="25"/>
      <c r="C19968" s="24"/>
      <c r="D19968" s="26"/>
      <c r="E19968" s="24"/>
      <c r="F19968" s="24"/>
      <c r="G19968" s="24"/>
      <c r="H19968" s="24"/>
      <c r="I19968" s="24"/>
      <c r="J19968" s="24"/>
      <c r="K19968" s="24"/>
      <c r="L19968" s="24"/>
      <c r="M19968" s="24"/>
      <c r="N19968" s="24"/>
      <c r="O19968" s="24"/>
      <c r="P19968" s="24"/>
      <c r="Q19968" s="24"/>
      <c r="R19968" s="24"/>
      <c r="S19968" s="24"/>
      <c r="T19968" s="24"/>
      <c r="U19968" s="24"/>
      <c r="V19968" s="24"/>
      <c r="W19968" s="24"/>
      <c r="X19968" s="24"/>
      <c r="Y19968" s="24"/>
      <c r="Z19968" s="24"/>
      <c r="AA19968" s="24"/>
    </row>
    <row r="19969">
      <c r="A19969" s="24"/>
      <c r="B19969" s="25"/>
      <c r="C19969" s="24"/>
      <c r="D19969" s="26"/>
      <c r="E19969" s="24"/>
      <c r="F19969" s="24"/>
      <c r="G19969" s="24"/>
      <c r="H19969" s="24"/>
      <c r="I19969" s="24"/>
      <c r="J19969" s="24"/>
      <c r="K19969" s="24"/>
      <c r="L19969" s="24"/>
      <c r="M19969" s="24"/>
      <c r="N19969" s="24"/>
      <c r="O19969" s="24"/>
      <c r="P19969" s="24"/>
      <c r="Q19969" s="24"/>
      <c r="R19969" s="24"/>
      <c r="S19969" s="24"/>
      <c r="T19969" s="24"/>
      <c r="U19969" s="24"/>
      <c r="V19969" s="24"/>
      <c r="W19969" s="24"/>
      <c r="X19969" s="24"/>
      <c r="Y19969" s="24"/>
      <c r="Z19969" s="24"/>
      <c r="AA19969" s="24"/>
    </row>
    <row r="19970">
      <c r="A19970" s="24"/>
      <c r="B19970" s="25"/>
      <c r="C19970" s="24"/>
      <c r="D19970" s="26"/>
      <c r="E19970" s="24"/>
      <c r="F19970" s="24"/>
      <c r="G19970" s="24"/>
      <c r="H19970" s="24"/>
      <c r="I19970" s="24"/>
      <c r="J19970" s="24"/>
      <c r="K19970" s="24"/>
      <c r="L19970" s="24"/>
      <c r="M19970" s="24"/>
      <c r="N19970" s="24"/>
      <c r="O19970" s="24"/>
      <c r="P19970" s="24"/>
      <c r="Q19970" s="24"/>
      <c r="R19970" s="24"/>
      <c r="S19970" s="24"/>
      <c r="T19970" s="24"/>
      <c r="U19970" s="24"/>
      <c r="V19970" s="24"/>
      <c r="W19970" s="24"/>
      <c r="X19970" s="24"/>
      <c r="Y19970" s="24"/>
      <c r="Z19970" s="24"/>
      <c r="AA19970" s="24"/>
    </row>
    <row r="19971">
      <c r="A19971" s="24"/>
      <c r="B19971" s="25"/>
      <c r="C19971" s="24"/>
      <c r="D19971" s="26"/>
      <c r="E19971" s="24"/>
      <c r="F19971" s="24"/>
      <c r="G19971" s="24"/>
      <c r="H19971" s="24"/>
      <c r="I19971" s="24"/>
      <c r="J19971" s="24"/>
      <c r="K19971" s="24"/>
      <c r="L19971" s="24"/>
      <c r="M19971" s="24"/>
      <c r="N19971" s="24"/>
      <c r="O19971" s="24"/>
      <c r="P19971" s="24"/>
      <c r="Q19971" s="24"/>
      <c r="R19971" s="24"/>
      <c r="S19971" s="24"/>
      <c r="T19971" s="24"/>
      <c r="U19971" s="24"/>
      <c r="V19971" s="24"/>
      <c r="W19971" s="24"/>
      <c r="X19971" s="24"/>
      <c r="Y19971" s="24"/>
      <c r="Z19971" s="24"/>
      <c r="AA19971" s="24"/>
    </row>
    <row r="19972">
      <c r="A19972" s="24"/>
      <c r="B19972" s="25"/>
      <c r="C19972" s="24"/>
      <c r="D19972" s="26"/>
      <c r="E19972" s="24"/>
      <c r="F19972" s="24"/>
      <c r="G19972" s="24"/>
      <c r="H19972" s="24"/>
      <c r="I19972" s="24"/>
      <c r="J19972" s="24"/>
      <c r="K19972" s="24"/>
      <c r="L19972" s="24"/>
      <c r="M19972" s="24"/>
      <c r="N19972" s="24"/>
      <c r="O19972" s="24"/>
      <c r="P19972" s="24"/>
      <c r="Q19972" s="24"/>
      <c r="R19972" s="24"/>
      <c r="S19972" s="24"/>
      <c r="T19972" s="24"/>
      <c r="U19972" s="24"/>
      <c r="V19972" s="24"/>
      <c r="W19972" s="24"/>
      <c r="X19972" s="24"/>
      <c r="Y19972" s="24"/>
      <c r="Z19972" s="24"/>
      <c r="AA19972" s="24"/>
    </row>
    <row r="19973">
      <c r="A19973" s="24"/>
      <c r="B19973" s="25"/>
      <c r="C19973" s="24"/>
      <c r="D19973" s="26"/>
      <c r="E19973" s="24"/>
      <c r="F19973" s="24"/>
      <c r="G19973" s="24"/>
      <c r="H19973" s="24"/>
      <c r="I19973" s="24"/>
      <c r="J19973" s="24"/>
      <c r="K19973" s="24"/>
      <c r="L19973" s="24"/>
      <c r="M19973" s="24"/>
      <c r="N19973" s="24"/>
      <c r="O19973" s="24"/>
      <c r="P19973" s="24"/>
      <c r="Q19973" s="24"/>
      <c r="R19973" s="24"/>
      <c r="S19973" s="24"/>
      <c r="T19973" s="24"/>
      <c r="U19973" s="24"/>
      <c r="V19973" s="24"/>
      <c r="W19973" s="24"/>
      <c r="X19973" s="24"/>
      <c r="Y19973" s="24"/>
      <c r="Z19973" s="24"/>
      <c r="AA19973" s="24"/>
    </row>
    <row r="19974">
      <c r="A19974" s="24"/>
      <c r="B19974" s="25"/>
      <c r="C19974" s="24"/>
      <c r="D19974" s="26"/>
      <c r="E19974" s="24"/>
      <c r="F19974" s="24"/>
      <c r="G19974" s="24"/>
      <c r="H19974" s="24"/>
      <c r="I19974" s="24"/>
      <c r="J19974" s="24"/>
      <c r="K19974" s="24"/>
      <c r="L19974" s="24"/>
      <c r="M19974" s="24"/>
      <c r="N19974" s="24"/>
      <c r="O19974" s="24"/>
      <c r="P19974" s="24"/>
      <c r="Q19974" s="24"/>
      <c r="R19974" s="24"/>
      <c r="S19974" s="24"/>
      <c r="T19974" s="24"/>
      <c r="U19974" s="24"/>
      <c r="V19974" s="24"/>
      <c r="W19974" s="24"/>
      <c r="X19974" s="24"/>
      <c r="Y19974" s="24"/>
      <c r="Z19974" s="24"/>
      <c r="AA19974" s="24"/>
    </row>
    <row r="19975">
      <c r="A19975" s="24"/>
      <c r="B19975" s="25"/>
      <c r="C19975" s="24"/>
      <c r="D19975" s="26"/>
      <c r="E19975" s="24"/>
      <c r="F19975" s="24"/>
      <c r="G19975" s="24"/>
      <c r="H19975" s="24"/>
      <c r="I19975" s="24"/>
      <c r="J19975" s="24"/>
      <c r="K19975" s="24"/>
      <c r="L19975" s="24"/>
      <c r="M19975" s="24"/>
      <c r="N19975" s="24"/>
      <c r="O19975" s="24"/>
      <c r="P19975" s="24"/>
      <c r="Q19975" s="24"/>
      <c r="R19975" s="24"/>
      <c r="S19975" s="24"/>
      <c r="T19975" s="24"/>
      <c r="U19975" s="24"/>
      <c r="V19975" s="24"/>
      <c r="W19975" s="24"/>
      <c r="X19975" s="24"/>
      <c r="Y19975" s="24"/>
      <c r="Z19975" s="24"/>
      <c r="AA19975" s="24"/>
    </row>
    <row r="19976">
      <c r="A19976" s="24"/>
      <c r="B19976" s="25"/>
      <c r="C19976" s="24"/>
      <c r="D19976" s="26"/>
      <c r="E19976" s="24"/>
      <c r="F19976" s="24"/>
      <c r="G19976" s="24"/>
      <c r="H19976" s="24"/>
      <c r="I19976" s="24"/>
      <c r="J19976" s="24"/>
      <c r="K19976" s="24"/>
      <c r="L19976" s="24"/>
      <c r="M19976" s="24"/>
      <c r="N19976" s="24"/>
      <c r="O19976" s="24"/>
      <c r="P19976" s="24"/>
      <c r="Q19976" s="24"/>
      <c r="R19976" s="24"/>
      <c r="S19976" s="24"/>
      <c r="T19976" s="24"/>
      <c r="U19976" s="24"/>
      <c r="V19976" s="24"/>
      <c r="W19976" s="24"/>
      <c r="X19976" s="24"/>
      <c r="Y19976" s="24"/>
      <c r="Z19976" s="24"/>
      <c r="AA19976" s="24"/>
    </row>
    <row r="19977">
      <c r="A19977" s="24"/>
      <c r="B19977" s="25"/>
      <c r="C19977" s="24"/>
      <c r="D19977" s="26"/>
      <c r="E19977" s="24"/>
      <c r="F19977" s="24"/>
      <c r="G19977" s="24"/>
      <c r="H19977" s="24"/>
      <c r="I19977" s="24"/>
      <c r="J19977" s="24"/>
      <c r="K19977" s="24"/>
      <c r="L19977" s="24"/>
      <c r="M19977" s="24"/>
      <c r="N19977" s="24"/>
      <c r="O19977" s="24"/>
      <c r="P19977" s="24"/>
      <c r="Q19977" s="24"/>
      <c r="R19977" s="24"/>
      <c r="S19977" s="24"/>
      <c r="T19977" s="24"/>
      <c r="U19977" s="24"/>
      <c r="V19977" s="24"/>
      <c r="W19977" s="24"/>
      <c r="X19977" s="24"/>
      <c r="Y19977" s="24"/>
      <c r="Z19977" s="24"/>
      <c r="AA19977" s="24"/>
    </row>
    <row r="19978">
      <c r="A19978" s="24"/>
      <c r="B19978" s="25"/>
      <c r="C19978" s="24"/>
      <c r="D19978" s="26"/>
      <c r="E19978" s="24"/>
      <c r="F19978" s="24"/>
      <c r="G19978" s="24"/>
      <c r="H19978" s="24"/>
      <c r="I19978" s="24"/>
      <c r="J19978" s="24"/>
      <c r="K19978" s="24"/>
      <c r="L19978" s="24"/>
      <c r="M19978" s="24"/>
      <c r="N19978" s="24"/>
      <c r="O19978" s="24"/>
      <c r="P19978" s="24"/>
      <c r="Q19978" s="24"/>
      <c r="R19978" s="24"/>
      <c r="S19978" s="24"/>
      <c r="T19978" s="24"/>
      <c r="U19978" s="24"/>
      <c r="V19978" s="24"/>
      <c r="W19978" s="24"/>
      <c r="X19978" s="24"/>
      <c r="Y19978" s="24"/>
      <c r="Z19978" s="24"/>
      <c r="AA19978" s="24"/>
    </row>
    <row r="19979">
      <c r="A19979" s="24"/>
      <c r="B19979" s="25"/>
      <c r="C19979" s="24"/>
      <c r="D19979" s="26"/>
      <c r="E19979" s="24"/>
      <c r="F19979" s="24"/>
      <c r="G19979" s="24"/>
      <c r="H19979" s="24"/>
      <c r="I19979" s="24"/>
      <c r="J19979" s="24"/>
      <c r="K19979" s="24"/>
      <c r="L19979" s="24"/>
      <c r="M19979" s="24"/>
      <c r="N19979" s="24"/>
      <c r="O19979" s="24"/>
      <c r="P19979" s="24"/>
      <c r="Q19979" s="24"/>
      <c r="R19979" s="24"/>
      <c r="S19979" s="24"/>
      <c r="T19979" s="24"/>
      <c r="U19979" s="24"/>
      <c r="V19979" s="24"/>
      <c r="W19979" s="24"/>
      <c r="X19979" s="24"/>
      <c r="Y19979" s="24"/>
      <c r="Z19979" s="24"/>
      <c r="AA19979" s="24"/>
    </row>
    <row r="19980">
      <c r="A19980" s="24"/>
      <c r="B19980" s="25"/>
      <c r="C19980" s="24"/>
      <c r="D19980" s="26"/>
      <c r="E19980" s="24"/>
      <c r="F19980" s="24"/>
      <c r="G19980" s="24"/>
      <c r="H19980" s="24"/>
      <c r="I19980" s="24"/>
      <c r="J19980" s="24"/>
      <c r="K19980" s="24"/>
      <c r="L19980" s="24"/>
      <c r="M19980" s="24"/>
      <c r="N19980" s="24"/>
      <c r="O19980" s="24"/>
      <c r="P19980" s="24"/>
      <c r="Q19980" s="24"/>
      <c r="R19980" s="24"/>
      <c r="S19980" s="24"/>
      <c r="T19980" s="24"/>
      <c r="U19980" s="24"/>
      <c r="V19980" s="24"/>
      <c r="W19980" s="24"/>
      <c r="X19980" s="24"/>
      <c r="Y19980" s="24"/>
      <c r="Z19980" s="24"/>
      <c r="AA19980" s="24"/>
    </row>
    <row r="19981">
      <c r="A19981" s="24"/>
      <c r="B19981" s="25"/>
      <c r="C19981" s="24"/>
      <c r="D19981" s="26"/>
      <c r="E19981" s="24"/>
      <c r="F19981" s="24"/>
      <c r="G19981" s="24"/>
      <c r="H19981" s="24"/>
      <c r="I19981" s="24"/>
      <c r="J19981" s="24"/>
      <c r="K19981" s="24"/>
      <c r="L19981" s="24"/>
      <c r="M19981" s="24"/>
      <c r="N19981" s="24"/>
      <c r="O19981" s="24"/>
      <c r="P19981" s="24"/>
      <c r="Q19981" s="24"/>
      <c r="R19981" s="24"/>
      <c r="S19981" s="24"/>
      <c r="T19981" s="24"/>
      <c r="U19981" s="24"/>
      <c r="V19981" s="24"/>
      <c r="W19981" s="24"/>
      <c r="X19981" s="24"/>
      <c r="Y19981" s="24"/>
      <c r="Z19981" s="24"/>
      <c r="AA19981" s="24"/>
    </row>
    <row r="19982">
      <c r="A19982" s="24"/>
      <c r="B19982" s="25"/>
      <c r="C19982" s="24"/>
      <c r="D19982" s="26"/>
      <c r="E19982" s="24"/>
      <c r="F19982" s="24"/>
      <c r="G19982" s="24"/>
      <c r="H19982" s="24"/>
      <c r="I19982" s="24"/>
      <c r="J19982" s="24"/>
      <c r="K19982" s="24"/>
      <c r="L19982" s="24"/>
      <c r="M19982" s="24"/>
      <c r="N19982" s="24"/>
      <c r="O19982" s="24"/>
      <c r="P19982" s="24"/>
      <c r="Q19982" s="24"/>
      <c r="R19982" s="24"/>
      <c r="S19982" s="24"/>
      <c r="T19982" s="24"/>
      <c r="U19982" s="24"/>
      <c r="V19982" s="24"/>
      <c r="W19982" s="24"/>
      <c r="X19982" s="24"/>
      <c r="Y19982" s="24"/>
      <c r="Z19982" s="24"/>
      <c r="AA19982" s="24"/>
    </row>
    <row r="19983">
      <c r="A19983" s="24"/>
      <c r="B19983" s="25"/>
      <c r="C19983" s="24"/>
      <c r="D19983" s="26"/>
      <c r="E19983" s="24"/>
      <c r="F19983" s="24"/>
      <c r="G19983" s="24"/>
      <c r="H19983" s="24"/>
      <c r="I19983" s="24"/>
      <c r="J19983" s="24"/>
      <c r="K19983" s="24"/>
      <c r="L19983" s="24"/>
      <c r="M19983" s="24"/>
      <c r="N19983" s="24"/>
      <c r="O19983" s="24"/>
      <c r="P19983" s="24"/>
      <c r="Q19983" s="24"/>
      <c r="R19983" s="24"/>
      <c r="S19983" s="24"/>
      <c r="T19983" s="24"/>
      <c r="U19983" s="24"/>
      <c r="V19983" s="24"/>
      <c r="W19983" s="24"/>
      <c r="X19983" s="24"/>
      <c r="Y19983" s="24"/>
      <c r="Z19983" s="24"/>
      <c r="AA19983" s="24"/>
    </row>
    <row r="19984">
      <c r="A19984" s="24"/>
      <c r="B19984" s="25"/>
      <c r="C19984" s="24"/>
      <c r="D19984" s="26"/>
      <c r="E19984" s="24"/>
      <c r="F19984" s="24"/>
      <c r="G19984" s="24"/>
      <c r="H19984" s="24"/>
      <c r="I19984" s="24"/>
      <c r="J19984" s="24"/>
      <c r="K19984" s="24"/>
      <c r="L19984" s="24"/>
      <c r="M19984" s="24"/>
      <c r="N19984" s="24"/>
      <c r="O19984" s="24"/>
      <c r="P19984" s="24"/>
      <c r="Q19984" s="24"/>
      <c r="R19984" s="24"/>
      <c r="S19984" s="24"/>
      <c r="T19984" s="24"/>
      <c r="U19984" s="24"/>
      <c r="V19984" s="24"/>
      <c r="W19984" s="24"/>
      <c r="X19984" s="24"/>
      <c r="Y19984" s="24"/>
      <c r="Z19984" s="24"/>
      <c r="AA19984" s="24"/>
    </row>
    <row r="19985">
      <c r="A19985" s="24"/>
      <c r="B19985" s="25"/>
      <c r="C19985" s="24"/>
      <c r="D19985" s="26"/>
      <c r="E19985" s="24"/>
      <c r="F19985" s="24"/>
      <c r="G19985" s="24"/>
      <c r="H19985" s="24"/>
      <c r="I19985" s="24"/>
      <c r="J19985" s="24"/>
      <c r="K19985" s="24"/>
      <c r="L19985" s="24"/>
      <c r="M19985" s="24"/>
      <c r="N19985" s="24"/>
      <c r="O19985" s="24"/>
      <c r="P19985" s="24"/>
      <c r="Q19985" s="24"/>
      <c r="R19985" s="24"/>
      <c r="S19985" s="24"/>
      <c r="T19985" s="24"/>
      <c r="U19985" s="24"/>
      <c r="V19985" s="24"/>
      <c r="W19985" s="24"/>
      <c r="X19985" s="24"/>
      <c r="Y19985" s="24"/>
      <c r="Z19985" s="24"/>
      <c r="AA19985" s="24"/>
    </row>
    <row r="19986">
      <c r="A19986" s="24"/>
      <c r="B19986" s="25"/>
      <c r="C19986" s="24"/>
      <c r="D19986" s="26"/>
      <c r="E19986" s="24"/>
      <c r="F19986" s="24"/>
      <c r="G19986" s="24"/>
      <c r="H19986" s="24"/>
      <c r="I19986" s="24"/>
      <c r="J19986" s="24"/>
      <c r="K19986" s="24"/>
      <c r="L19986" s="24"/>
      <c r="M19986" s="24"/>
      <c r="N19986" s="24"/>
      <c r="O19986" s="24"/>
      <c r="P19986" s="24"/>
      <c r="Q19986" s="24"/>
      <c r="R19986" s="24"/>
      <c r="S19986" s="24"/>
      <c r="T19986" s="24"/>
      <c r="U19986" s="24"/>
      <c r="V19986" s="24"/>
      <c r="W19986" s="24"/>
      <c r="X19986" s="24"/>
      <c r="Y19986" s="24"/>
      <c r="Z19986" s="24"/>
      <c r="AA19986" s="24"/>
    </row>
    <row r="19987">
      <c r="A19987" s="24"/>
      <c r="B19987" s="25"/>
      <c r="C19987" s="24"/>
      <c r="D19987" s="26"/>
      <c r="E19987" s="24"/>
      <c r="F19987" s="24"/>
      <c r="G19987" s="24"/>
      <c r="H19987" s="24"/>
      <c r="I19987" s="24"/>
      <c r="J19987" s="24"/>
      <c r="K19987" s="24"/>
      <c r="L19987" s="24"/>
      <c r="M19987" s="24"/>
      <c r="N19987" s="24"/>
      <c r="O19987" s="24"/>
      <c r="P19987" s="24"/>
      <c r="Q19987" s="24"/>
      <c r="R19987" s="24"/>
      <c r="S19987" s="24"/>
      <c r="T19987" s="24"/>
      <c r="U19987" s="24"/>
      <c r="V19987" s="24"/>
      <c r="W19987" s="24"/>
      <c r="X19987" s="24"/>
      <c r="Y19987" s="24"/>
      <c r="Z19987" s="24"/>
      <c r="AA19987" s="24"/>
    </row>
    <row r="19988">
      <c r="A19988" s="24"/>
      <c r="B19988" s="25"/>
      <c r="C19988" s="24"/>
      <c r="D19988" s="26"/>
      <c r="E19988" s="24"/>
      <c r="F19988" s="24"/>
      <c r="G19988" s="24"/>
      <c r="H19988" s="24"/>
      <c r="I19988" s="24"/>
      <c r="J19988" s="24"/>
      <c r="K19988" s="24"/>
      <c r="L19988" s="24"/>
      <c r="M19988" s="24"/>
      <c r="N19988" s="24"/>
      <c r="O19988" s="24"/>
      <c r="P19988" s="24"/>
      <c r="Q19988" s="24"/>
      <c r="R19988" s="24"/>
      <c r="S19988" s="24"/>
      <c r="T19988" s="24"/>
      <c r="U19988" s="24"/>
      <c r="V19988" s="24"/>
      <c r="W19988" s="24"/>
      <c r="X19988" s="24"/>
      <c r="Y19988" s="24"/>
      <c r="Z19988" s="24"/>
      <c r="AA19988" s="24"/>
    </row>
    <row r="19989">
      <c r="A19989" s="24"/>
      <c r="B19989" s="25"/>
      <c r="C19989" s="24"/>
      <c r="D19989" s="26"/>
      <c r="E19989" s="24"/>
      <c r="F19989" s="24"/>
      <c r="G19989" s="24"/>
      <c r="H19989" s="24"/>
      <c r="I19989" s="24"/>
      <c r="J19989" s="24"/>
      <c r="K19989" s="24"/>
      <c r="L19989" s="24"/>
      <c r="M19989" s="24"/>
      <c r="N19989" s="24"/>
      <c r="O19989" s="24"/>
      <c r="P19989" s="24"/>
      <c r="Q19989" s="24"/>
      <c r="R19989" s="24"/>
      <c r="S19989" s="24"/>
      <c r="T19989" s="24"/>
      <c r="U19989" s="24"/>
      <c r="V19989" s="24"/>
      <c r="W19989" s="24"/>
      <c r="X19989" s="24"/>
      <c r="Y19989" s="24"/>
      <c r="Z19989" s="24"/>
      <c r="AA19989" s="24"/>
    </row>
    <row r="19990">
      <c r="A19990" s="24"/>
      <c r="B19990" s="25"/>
      <c r="C19990" s="24"/>
      <c r="D19990" s="26"/>
      <c r="E19990" s="24"/>
      <c r="F19990" s="24"/>
      <c r="G19990" s="24"/>
      <c r="H19990" s="24"/>
      <c r="I19990" s="24"/>
      <c r="J19990" s="24"/>
      <c r="K19990" s="24"/>
      <c r="L19990" s="24"/>
      <c r="M19990" s="24"/>
      <c r="N19990" s="24"/>
      <c r="O19990" s="24"/>
      <c r="P19990" s="24"/>
      <c r="Q19990" s="24"/>
      <c r="R19990" s="24"/>
      <c r="S19990" s="24"/>
      <c r="T19990" s="24"/>
      <c r="U19990" s="24"/>
      <c r="V19990" s="24"/>
      <c r="W19990" s="24"/>
      <c r="X19990" s="24"/>
      <c r="Y19990" s="24"/>
      <c r="Z19990" s="24"/>
      <c r="AA19990" s="24"/>
    </row>
    <row r="19991">
      <c r="A19991" s="24"/>
      <c r="B19991" s="25"/>
      <c r="C19991" s="24"/>
      <c r="D19991" s="26"/>
      <c r="E19991" s="24"/>
      <c r="F19991" s="24"/>
      <c r="G19991" s="24"/>
      <c r="H19991" s="24"/>
      <c r="I19991" s="24"/>
      <c r="J19991" s="24"/>
      <c r="K19991" s="24"/>
      <c r="L19991" s="24"/>
      <c r="M19991" s="24"/>
      <c r="N19991" s="24"/>
      <c r="O19991" s="24"/>
      <c r="P19991" s="24"/>
      <c r="Q19991" s="24"/>
      <c r="R19991" s="24"/>
      <c r="S19991" s="24"/>
      <c r="T19991" s="24"/>
      <c r="U19991" s="24"/>
      <c r="V19991" s="24"/>
      <c r="W19991" s="24"/>
      <c r="X19991" s="24"/>
      <c r="Y19991" s="24"/>
      <c r="Z19991" s="24"/>
      <c r="AA19991" s="24"/>
    </row>
    <row r="19992">
      <c r="A19992" s="24"/>
      <c r="B19992" s="25"/>
      <c r="C19992" s="24"/>
      <c r="D19992" s="26"/>
      <c r="E19992" s="24"/>
      <c r="F19992" s="24"/>
      <c r="G19992" s="24"/>
      <c r="H19992" s="24"/>
      <c r="I19992" s="24"/>
      <c r="J19992" s="24"/>
      <c r="K19992" s="24"/>
      <c r="L19992" s="24"/>
      <c r="M19992" s="24"/>
      <c r="N19992" s="24"/>
      <c r="O19992" s="24"/>
      <c r="P19992" s="24"/>
      <c r="Q19992" s="24"/>
      <c r="R19992" s="24"/>
      <c r="S19992" s="24"/>
      <c r="T19992" s="24"/>
      <c r="U19992" s="24"/>
      <c r="V19992" s="24"/>
      <c r="W19992" s="24"/>
      <c r="X19992" s="24"/>
      <c r="Y19992" s="24"/>
      <c r="Z19992" s="24"/>
      <c r="AA19992" s="24"/>
    </row>
    <row r="19993">
      <c r="A19993" s="24"/>
      <c r="B19993" s="25"/>
      <c r="C19993" s="24"/>
      <c r="D19993" s="26"/>
      <c r="E19993" s="24"/>
      <c r="F19993" s="24"/>
      <c r="G19993" s="24"/>
      <c r="H19993" s="24"/>
      <c r="I19993" s="24"/>
      <c r="J19993" s="24"/>
      <c r="K19993" s="24"/>
      <c r="L19993" s="24"/>
      <c r="M19993" s="24"/>
      <c r="N19993" s="24"/>
      <c r="O19993" s="24"/>
      <c r="P19993" s="24"/>
      <c r="Q19993" s="24"/>
      <c r="R19993" s="24"/>
      <c r="S19993" s="24"/>
      <c r="T19993" s="24"/>
      <c r="U19993" s="24"/>
      <c r="V19993" s="24"/>
      <c r="W19993" s="24"/>
      <c r="X19993" s="24"/>
      <c r="Y19993" s="24"/>
      <c r="Z19993" s="24"/>
      <c r="AA19993" s="24"/>
    </row>
    <row r="19994">
      <c r="A19994" s="24"/>
      <c r="B19994" s="25"/>
      <c r="C19994" s="24"/>
      <c r="D19994" s="26"/>
      <c r="E19994" s="24"/>
      <c r="F19994" s="24"/>
      <c r="G19994" s="24"/>
      <c r="H19994" s="24"/>
      <c r="I19994" s="24"/>
      <c r="J19994" s="24"/>
      <c r="K19994" s="24"/>
      <c r="L19994" s="24"/>
      <c r="M19994" s="24"/>
      <c r="N19994" s="24"/>
      <c r="O19994" s="24"/>
      <c r="P19994" s="24"/>
      <c r="Q19994" s="24"/>
      <c r="R19994" s="24"/>
      <c r="S19994" s="24"/>
      <c r="T19994" s="24"/>
      <c r="U19994" s="24"/>
      <c r="V19994" s="24"/>
      <c r="W19994" s="24"/>
      <c r="X19994" s="24"/>
      <c r="Y19994" s="24"/>
      <c r="Z19994" s="24"/>
      <c r="AA19994" s="24"/>
    </row>
    <row r="19995">
      <c r="A19995" s="24"/>
      <c r="B19995" s="25"/>
      <c r="C19995" s="24"/>
      <c r="D19995" s="26"/>
      <c r="E19995" s="24"/>
      <c r="F19995" s="24"/>
      <c r="G19995" s="24"/>
      <c r="H19995" s="24"/>
      <c r="I19995" s="24"/>
      <c r="J19995" s="24"/>
      <c r="K19995" s="24"/>
      <c r="L19995" s="24"/>
      <c r="M19995" s="24"/>
      <c r="N19995" s="24"/>
      <c r="O19995" s="24"/>
      <c r="P19995" s="24"/>
      <c r="Q19995" s="24"/>
      <c r="R19995" s="24"/>
      <c r="S19995" s="24"/>
      <c r="T19995" s="24"/>
      <c r="U19995" s="24"/>
      <c r="V19995" s="24"/>
      <c r="W19995" s="24"/>
      <c r="X19995" s="24"/>
      <c r="Y19995" s="24"/>
      <c r="Z19995" s="24"/>
      <c r="AA19995" s="24"/>
    </row>
    <row r="19996">
      <c r="A19996" s="24"/>
      <c r="B19996" s="25"/>
      <c r="C19996" s="24"/>
      <c r="D19996" s="26"/>
      <c r="E19996" s="24"/>
      <c r="F19996" s="24"/>
      <c r="G19996" s="24"/>
      <c r="H19996" s="24"/>
      <c r="I19996" s="24"/>
      <c r="J19996" s="24"/>
      <c r="K19996" s="24"/>
      <c r="L19996" s="24"/>
      <c r="M19996" s="24"/>
      <c r="N19996" s="24"/>
      <c r="O19996" s="24"/>
      <c r="P19996" s="24"/>
      <c r="Q19996" s="24"/>
      <c r="R19996" s="24"/>
      <c r="S19996" s="24"/>
      <c r="T19996" s="24"/>
      <c r="U19996" s="24"/>
      <c r="V19996" s="24"/>
      <c r="W19996" s="24"/>
      <c r="X19996" s="24"/>
      <c r="Y19996" s="24"/>
      <c r="Z19996" s="24"/>
      <c r="AA19996" s="24"/>
    </row>
    <row r="19997">
      <c r="A19997" s="24"/>
      <c r="B19997" s="25"/>
      <c r="C19997" s="24"/>
      <c r="D19997" s="26"/>
      <c r="E19997" s="24"/>
      <c r="F19997" s="24"/>
      <c r="G19997" s="24"/>
      <c r="H19997" s="24"/>
      <c r="I19997" s="24"/>
      <c r="J19997" s="24"/>
      <c r="K19997" s="24"/>
      <c r="L19997" s="24"/>
      <c r="M19997" s="24"/>
      <c r="N19997" s="24"/>
      <c r="O19997" s="24"/>
      <c r="P19997" s="24"/>
      <c r="Q19997" s="24"/>
      <c r="R19997" s="24"/>
      <c r="S19997" s="24"/>
      <c r="T19997" s="24"/>
      <c r="U19997" s="24"/>
      <c r="V19997" s="24"/>
      <c r="W19997" s="24"/>
      <c r="X19997" s="24"/>
      <c r="Y19997" s="24"/>
      <c r="Z19997" s="24"/>
      <c r="AA19997" s="24"/>
    </row>
    <row r="19998">
      <c r="A19998" s="24"/>
      <c r="B19998" s="25"/>
      <c r="C19998" s="24"/>
      <c r="D19998" s="26"/>
      <c r="E19998" s="24"/>
      <c r="F19998" s="24"/>
      <c r="G19998" s="24"/>
      <c r="H19998" s="24"/>
      <c r="I19998" s="24"/>
      <c r="J19998" s="24"/>
      <c r="K19998" s="24"/>
      <c r="L19998" s="24"/>
      <c r="M19998" s="24"/>
      <c r="N19998" s="24"/>
      <c r="O19998" s="24"/>
      <c r="P19998" s="24"/>
      <c r="Q19998" s="24"/>
      <c r="R19998" s="24"/>
      <c r="S19998" s="24"/>
      <c r="T19998" s="24"/>
      <c r="U19998" s="24"/>
      <c r="V19998" s="24"/>
      <c r="W19998" s="24"/>
      <c r="X19998" s="24"/>
      <c r="Y19998" s="24"/>
      <c r="Z19998" s="24"/>
      <c r="AA19998" s="24"/>
    </row>
    <row r="19999">
      <c r="A19999" s="24"/>
      <c r="B19999" s="25"/>
      <c r="C19999" s="24"/>
      <c r="D19999" s="26"/>
      <c r="E19999" s="24"/>
      <c r="F19999" s="24"/>
      <c r="G19999" s="24"/>
      <c r="H19999" s="24"/>
      <c r="I19999" s="24"/>
      <c r="J19999" s="24"/>
      <c r="K19999" s="24"/>
      <c r="L19999" s="24"/>
      <c r="M19999" s="24"/>
      <c r="N19999" s="24"/>
      <c r="O19999" s="24"/>
      <c r="P19999" s="24"/>
      <c r="Q19999" s="24"/>
      <c r="R19999" s="24"/>
      <c r="S19999" s="24"/>
      <c r="T19999" s="24"/>
      <c r="U19999" s="24"/>
      <c r="V19999" s="24"/>
      <c r="W19999" s="24"/>
      <c r="X19999" s="24"/>
      <c r="Y19999" s="24"/>
      <c r="Z19999" s="24"/>
      <c r="AA19999" s="24"/>
    </row>
    <row r="20000">
      <c r="A20000" s="24"/>
      <c r="B20000" s="25"/>
      <c r="C20000" s="24"/>
      <c r="D20000" s="26"/>
      <c r="E20000" s="24"/>
      <c r="F20000" s="24"/>
      <c r="G20000" s="24"/>
      <c r="H20000" s="24"/>
      <c r="I20000" s="24"/>
      <c r="J20000" s="24"/>
      <c r="K20000" s="24"/>
      <c r="L20000" s="24"/>
      <c r="M20000" s="24"/>
      <c r="N20000" s="24"/>
      <c r="O20000" s="24"/>
      <c r="P20000" s="24"/>
      <c r="Q20000" s="24"/>
      <c r="R20000" s="24"/>
      <c r="S20000" s="24"/>
      <c r="T20000" s="24"/>
      <c r="U20000" s="24"/>
      <c r="V20000" s="24"/>
      <c r="W20000" s="24"/>
      <c r="X20000" s="24"/>
      <c r="Y20000" s="24"/>
      <c r="Z20000" s="24"/>
      <c r="AA20000" s="24"/>
    </row>
    <row r="20001">
      <c r="A20001" s="24"/>
      <c r="B20001" s="25"/>
      <c r="C20001" s="24"/>
      <c r="D20001" s="26"/>
      <c r="E20001" s="24"/>
      <c r="F20001" s="24"/>
      <c r="G20001" s="24"/>
      <c r="H20001" s="24"/>
      <c r="I20001" s="24"/>
      <c r="J20001" s="24"/>
      <c r="K20001" s="24"/>
      <c r="L20001" s="24"/>
      <c r="M20001" s="24"/>
      <c r="N20001" s="24"/>
      <c r="O20001" s="24"/>
      <c r="P20001" s="24"/>
      <c r="Q20001" s="24"/>
      <c r="R20001" s="24"/>
      <c r="S20001" s="24"/>
      <c r="T20001" s="24"/>
      <c r="U20001" s="24"/>
      <c r="V20001" s="24"/>
      <c r="W20001" s="24"/>
      <c r="X20001" s="24"/>
      <c r="Y20001" s="24"/>
      <c r="Z20001" s="24"/>
      <c r="AA20001" s="24"/>
    </row>
    <row r="20002">
      <c r="A20002" s="24"/>
      <c r="B20002" s="25"/>
      <c r="C20002" s="24"/>
      <c r="D20002" s="26"/>
      <c r="E20002" s="24"/>
      <c r="F20002" s="24"/>
      <c r="G20002" s="24"/>
      <c r="H20002" s="24"/>
      <c r="I20002" s="24"/>
      <c r="J20002" s="24"/>
      <c r="K20002" s="24"/>
      <c r="L20002" s="24"/>
      <c r="M20002" s="24"/>
      <c r="N20002" s="24"/>
      <c r="O20002" s="24"/>
      <c r="P20002" s="24"/>
      <c r="Q20002" s="24"/>
      <c r="R20002" s="24"/>
      <c r="S20002" s="24"/>
      <c r="T20002" s="24"/>
      <c r="U20002" s="24"/>
      <c r="V20002" s="24"/>
      <c r="W20002" s="24"/>
      <c r="X20002" s="24"/>
      <c r="Y20002" s="24"/>
      <c r="Z20002" s="24"/>
      <c r="AA20002" s="24"/>
    </row>
    <row r="20003">
      <c r="A20003" s="24"/>
      <c r="B20003" s="25"/>
      <c r="C20003" s="24"/>
      <c r="D20003" s="26"/>
      <c r="E20003" s="24"/>
      <c r="F20003" s="24"/>
      <c r="G20003" s="24"/>
      <c r="H20003" s="24"/>
      <c r="I20003" s="24"/>
      <c r="J20003" s="24"/>
      <c r="K20003" s="24"/>
      <c r="L20003" s="24"/>
      <c r="M20003" s="24"/>
      <c r="N20003" s="24"/>
      <c r="O20003" s="24"/>
      <c r="P20003" s="24"/>
      <c r="Q20003" s="24"/>
      <c r="R20003" s="24"/>
      <c r="S20003" s="24"/>
      <c r="T20003" s="24"/>
      <c r="U20003" s="24"/>
      <c r="V20003" s="24"/>
      <c r="W20003" s="24"/>
      <c r="X20003" s="24"/>
      <c r="Y20003" s="24"/>
      <c r="Z20003" s="24"/>
      <c r="AA20003" s="24"/>
    </row>
    <row r="20004">
      <c r="A20004" s="24"/>
      <c r="B20004" s="25"/>
      <c r="C20004" s="24"/>
      <c r="D20004" s="26"/>
      <c r="E20004" s="24"/>
      <c r="F20004" s="24"/>
      <c r="G20004" s="24"/>
      <c r="H20004" s="24"/>
      <c r="I20004" s="24"/>
      <c r="J20004" s="24"/>
      <c r="K20004" s="24"/>
      <c r="L20004" s="24"/>
      <c r="M20004" s="24"/>
      <c r="N20004" s="24"/>
      <c r="O20004" s="24"/>
      <c r="P20004" s="24"/>
      <c r="Q20004" s="24"/>
      <c r="R20004" s="24"/>
      <c r="S20004" s="24"/>
      <c r="T20004" s="24"/>
      <c r="U20004" s="24"/>
      <c r="V20004" s="24"/>
      <c r="W20004" s="24"/>
      <c r="X20004" s="24"/>
      <c r="Y20004" s="24"/>
      <c r="Z20004" s="24"/>
      <c r="AA20004" s="24"/>
    </row>
    <row r="20005">
      <c r="A20005" s="24"/>
      <c r="B20005" s="25"/>
      <c r="C20005" s="24"/>
      <c r="D20005" s="26"/>
      <c r="E20005" s="24"/>
      <c r="F20005" s="24"/>
      <c r="G20005" s="24"/>
      <c r="H20005" s="24"/>
      <c r="I20005" s="24"/>
      <c r="J20005" s="24"/>
      <c r="K20005" s="24"/>
      <c r="L20005" s="24"/>
      <c r="M20005" s="24"/>
      <c r="N20005" s="24"/>
      <c r="O20005" s="24"/>
      <c r="P20005" s="24"/>
      <c r="Q20005" s="24"/>
      <c r="R20005" s="24"/>
      <c r="S20005" s="24"/>
      <c r="T20005" s="24"/>
      <c r="U20005" s="24"/>
      <c r="V20005" s="24"/>
      <c r="W20005" s="24"/>
      <c r="X20005" s="24"/>
      <c r="Y20005" s="24"/>
      <c r="Z20005" s="24"/>
      <c r="AA20005" s="24"/>
    </row>
    <row r="20006">
      <c r="A20006" s="24"/>
      <c r="B20006" s="25"/>
      <c r="C20006" s="24"/>
      <c r="D20006" s="26"/>
      <c r="E20006" s="24"/>
      <c r="F20006" s="24"/>
      <c r="G20006" s="24"/>
      <c r="H20006" s="24"/>
      <c r="I20006" s="24"/>
      <c r="J20006" s="24"/>
      <c r="K20006" s="24"/>
      <c r="L20006" s="24"/>
      <c r="M20006" s="24"/>
      <c r="N20006" s="24"/>
      <c r="O20006" s="24"/>
      <c r="P20006" s="24"/>
      <c r="Q20006" s="24"/>
      <c r="R20006" s="24"/>
      <c r="S20006" s="24"/>
      <c r="T20006" s="24"/>
      <c r="U20006" s="24"/>
      <c r="V20006" s="24"/>
      <c r="W20006" s="24"/>
      <c r="X20006" s="24"/>
      <c r="Y20006" s="24"/>
      <c r="Z20006" s="24"/>
      <c r="AA20006" s="24"/>
    </row>
    <row r="20007">
      <c r="A20007" s="24"/>
      <c r="B20007" s="25"/>
      <c r="C20007" s="24"/>
      <c r="D20007" s="26"/>
      <c r="E20007" s="24"/>
      <c r="F20007" s="24"/>
      <c r="G20007" s="24"/>
      <c r="H20007" s="24"/>
      <c r="I20007" s="24"/>
      <c r="J20007" s="24"/>
      <c r="K20007" s="24"/>
      <c r="L20007" s="24"/>
      <c r="M20007" s="24"/>
      <c r="N20007" s="24"/>
      <c r="O20007" s="24"/>
      <c r="P20007" s="24"/>
      <c r="Q20007" s="24"/>
      <c r="R20007" s="24"/>
      <c r="S20007" s="24"/>
      <c r="T20007" s="24"/>
      <c r="U20007" s="24"/>
      <c r="V20007" s="24"/>
      <c r="W20007" s="24"/>
      <c r="X20007" s="24"/>
      <c r="Y20007" s="24"/>
      <c r="Z20007" s="24"/>
      <c r="AA20007" s="24"/>
    </row>
    <row r="20008">
      <c r="A20008" s="24"/>
      <c r="B20008" s="25"/>
      <c r="C20008" s="24"/>
      <c r="D20008" s="26"/>
      <c r="E20008" s="24"/>
      <c r="F20008" s="24"/>
      <c r="G20008" s="24"/>
      <c r="H20008" s="24"/>
      <c r="I20008" s="24"/>
      <c r="J20008" s="24"/>
      <c r="K20008" s="24"/>
      <c r="L20008" s="24"/>
      <c r="M20008" s="24"/>
      <c r="N20008" s="24"/>
      <c r="O20008" s="24"/>
      <c r="P20008" s="24"/>
      <c r="Q20008" s="24"/>
      <c r="R20008" s="24"/>
      <c r="S20008" s="24"/>
      <c r="T20008" s="24"/>
      <c r="U20008" s="24"/>
      <c r="V20008" s="24"/>
      <c r="W20008" s="24"/>
      <c r="X20008" s="24"/>
      <c r="Y20008" s="24"/>
      <c r="Z20008" s="24"/>
      <c r="AA20008" s="24"/>
    </row>
    <row r="20009">
      <c r="A20009" s="24"/>
      <c r="B20009" s="25"/>
      <c r="C20009" s="24"/>
      <c r="D20009" s="26"/>
      <c r="E20009" s="24"/>
      <c r="F20009" s="24"/>
      <c r="G20009" s="24"/>
      <c r="H20009" s="24"/>
      <c r="I20009" s="24"/>
      <c r="J20009" s="24"/>
      <c r="K20009" s="24"/>
      <c r="L20009" s="24"/>
      <c r="M20009" s="24"/>
      <c r="N20009" s="24"/>
      <c r="O20009" s="24"/>
      <c r="P20009" s="24"/>
      <c r="Q20009" s="24"/>
      <c r="R20009" s="24"/>
      <c r="S20009" s="24"/>
      <c r="T20009" s="24"/>
      <c r="U20009" s="24"/>
      <c r="V20009" s="24"/>
      <c r="W20009" s="24"/>
      <c r="X20009" s="24"/>
      <c r="Y20009" s="24"/>
      <c r="Z20009" s="24"/>
      <c r="AA20009" s="24"/>
    </row>
    <row r="20010">
      <c r="A20010" s="24"/>
      <c r="B20010" s="25"/>
      <c r="C20010" s="24"/>
      <c r="D20010" s="26"/>
      <c r="E20010" s="24"/>
      <c r="F20010" s="24"/>
      <c r="G20010" s="24"/>
      <c r="H20010" s="24"/>
      <c r="I20010" s="24"/>
      <c r="J20010" s="24"/>
      <c r="K20010" s="24"/>
      <c r="L20010" s="24"/>
      <c r="M20010" s="24"/>
      <c r="N20010" s="24"/>
      <c r="O20010" s="24"/>
      <c r="P20010" s="24"/>
      <c r="Q20010" s="24"/>
      <c r="R20010" s="24"/>
      <c r="S20010" s="24"/>
      <c r="T20010" s="24"/>
      <c r="U20010" s="24"/>
      <c r="V20010" s="24"/>
      <c r="W20010" s="24"/>
      <c r="X20010" s="24"/>
      <c r="Y20010" s="24"/>
      <c r="Z20010" s="24"/>
      <c r="AA20010" s="24"/>
    </row>
    <row r="20011">
      <c r="A20011" s="24"/>
      <c r="B20011" s="25"/>
      <c r="C20011" s="24"/>
      <c r="D20011" s="26"/>
      <c r="E20011" s="24"/>
      <c r="F20011" s="24"/>
      <c r="G20011" s="24"/>
      <c r="H20011" s="24"/>
      <c r="I20011" s="24"/>
      <c r="J20011" s="24"/>
      <c r="K20011" s="24"/>
      <c r="L20011" s="24"/>
      <c r="M20011" s="24"/>
      <c r="N20011" s="24"/>
      <c r="O20011" s="24"/>
      <c r="P20011" s="24"/>
      <c r="Q20011" s="24"/>
      <c r="R20011" s="24"/>
      <c r="S20011" s="24"/>
      <c r="T20011" s="24"/>
      <c r="U20011" s="24"/>
      <c r="V20011" s="24"/>
      <c r="W20011" s="24"/>
      <c r="X20011" s="24"/>
      <c r="Y20011" s="24"/>
      <c r="Z20011" s="24"/>
      <c r="AA20011" s="24"/>
    </row>
    <row r="20012">
      <c r="A20012" s="24"/>
      <c r="B20012" s="25"/>
      <c r="C20012" s="24"/>
      <c r="D20012" s="26"/>
      <c r="E20012" s="24"/>
      <c r="F20012" s="24"/>
      <c r="G20012" s="24"/>
      <c r="H20012" s="24"/>
      <c r="I20012" s="24"/>
      <c r="J20012" s="24"/>
      <c r="K20012" s="24"/>
      <c r="L20012" s="24"/>
      <c r="M20012" s="24"/>
      <c r="N20012" s="24"/>
      <c r="O20012" s="24"/>
      <c r="P20012" s="24"/>
      <c r="Q20012" s="24"/>
      <c r="R20012" s="24"/>
      <c r="S20012" s="24"/>
      <c r="T20012" s="24"/>
      <c r="U20012" s="24"/>
      <c r="V20012" s="24"/>
      <c r="W20012" s="24"/>
      <c r="X20012" s="24"/>
      <c r="Y20012" s="24"/>
      <c r="Z20012" s="24"/>
      <c r="AA20012" s="24"/>
    </row>
    <row r="20013">
      <c r="A20013" s="24"/>
      <c r="B20013" s="25"/>
      <c r="C20013" s="24"/>
      <c r="D20013" s="26"/>
      <c r="E20013" s="24"/>
      <c r="F20013" s="24"/>
      <c r="G20013" s="24"/>
      <c r="H20013" s="24"/>
      <c r="I20013" s="24"/>
      <c r="J20013" s="24"/>
      <c r="K20013" s="24"/>
      <c r="L20013" s="24"/>
      <c r="M20013" s="24"/>
      <c r="N20013" s="24"/>
      <c r="O20013" s="24"/>
      <c r="P20013" s="24"/>
      <c r="Q20013" s="24"/>
      <c r="R20013" s="24"/>
      <c r="S20013" s="24"/>
      <c r="T20013" s="24"/>
      <c r="U20013" s="24"/>
      <c r="V20013" s="24"/>
      <c r="W20013" s="24"/>
      <c r="X20013" s="24"/>
      <c r="Y20013" s="24"/>
      <c r="Z20013" s="24"/>
      <c r="AA20013" s="24"/>
    </row>
    <row r="20014">
      <c r="A20014" s="24"/>
      <c r="B20014" s="25"/>
      <c r="C20014" s="24"/>
      <c r="D20014" s="26"/>
      <c r="E20014" s="24"/>
      <c r="F20014" s="24"/>
      <c r="G20014" s="24"/>
      <c r="H20014" s="24"/>
      <c r="I20014" s="24"/>
      <c r="J20014" s="24"/>
      <c r="K20014" s="24"/>
      <c r="L20014" s="24"/>
      <c r="M20014" s="24"/>
      <c r="N20014" s="24"/>
      <c r="O20014" s="24"/>
      <c r="P20014" s="24"/>
      <c r="Q20014" s="24"/>
      <c r="R20014" s="24"/>
      <c r="S20014" s="24"/>
      <c r="T20014" s="24"/>
      <c r="U20014" s="24"/>
      <c r="V20014" s="24"/>
      <c r="W20014" s="24"/>
      <c r="X20014" s="24"/>
      <c r="Y20014" s="24"/>
      <c r="Z20014" s="24"/>
      <c r="AA20014" s="24"/>
    </row>
    <row r="20015">
      <c r="A20015" s="24"/>
      <c r="B20015" s="25"/>
      <c r="C20015" s="24"/>
      <c r="D20015" s="26"/>
      <c r="E20015" s="24"/>
      <c r="F20015" s="24"/>
      <c r="G20015" s="24"/>
      <c r="H20015" s="24"/>
      <c r="I20015" s="24"/>
      <c r="J20015" s="24"/>
      <c r="K20015" s="24"/>
      <c r="L20015" s="24"/>
      <c r="M20015" s="24"/>
      <c r="N20015" s="24"/>
      <c r="O20015" s="24"/>
      <c r="P20015" s="24"/>
      <c r="Q20015" s="24"/>
      <c r="R20015" s="24"/>
      <c r="S20015" s="24"/>
      <c r="T20015" s="24"/>
      <c r="U20015" s="24"/>
      <c r="V20015" s="24"/>
      <c r="W20015" s="24"/>
      <c r="X20015" s="24"/>
      <c r="Y20015" s="24"/>
      <c r="Z20015" s="24"/>
      <c r="AA20015" s="24"/>
    </row>
    <row r="20016">
      <c r="A20016" s="24"/>
      <c r="B20016" s="25"/>
      <c r="C20016" s="24"/>
      <c r="D20016" s="26"/>
      <c r="E20016" s="24"/>
      <c r="F20016" s="24"/>
      <c r="G20016" s="24"/>
      <c r="H20016" s="24"/>
      <c r="I20016" s="24"/>
      <c r="J20016" s="24"/>
      <c r="K20016" s="24"/>
      <c r="L20016" s="24"/>
      <c r="M20016" s="24"/>
      <c r="N20016" s="24"/>
      <c r="O20016" s="24"/>
      <c r="P20016" s="24"/>
      <c r="Q20016" s="24"/>
      <c r="R20016" s="24"/>
      <c r="S20016" s="24"/>
      <c r="T20016" s="24"/>
      <c r="U20016" s="24"/>
      <c r="V20016" s="24"/>
      <c r="W20016" s="24"/>
      <c r="X20016" s="24"/>
      <c r="Y20016" s="24"/>
      <c r="Z20016" s="24"/>
      <c r="AA20016" s="24"/>
    </row>
    <row r="20017">
      <c r="A20017" s="24"/>
      <c r="B20017" s="25"/>
      <c r="C20017" s="24"/>
      <c r="D20017" s="26"/>
      <c r="E20017" s="24"/>
      <c r="F20017" s="24"/>
      <c r="G20017" s="24"/>
      <c r="H20017" s="24"/>
      <c r="I20017" s="24"/>
      <c r="J20017" s="24"/>
      <c r="K20017" s="24"/>
      <c r="L20017" s="24"/>
      <c r="M20017" s="24"/>
      <c r="N20017" s="24"/>
      <c r="O20017" s="24"/>
      <c r="P20017" s="24"/>
      <c r="Q20017" s="24"/>
      <c r="R20017" s="24"/>
      <c r="S20017" s="24"/>
      <c r="T20017" s="24"/>
      <c r="U20017" s="24"/>
      <c r="V20017" s="24"/>
      <c r="W20017" s="24"/>
      <c r="X20017" s="24"/>
      <c r="Y20017" s="24"/>
      <c r="Z20017" s="24"/>
      <c r="AA20017" s="24"/>
    </row>
    <row r="20018">
      <c r="A20018" s="24"/>
      <c r="B20018" s="25"/>
      <c r="C20018" s="24"/>
      <c r="D20018" s="26"/>
      <c r="E20018" s="24"/>
      <c r="F20018" s="24"/>
      <c r="G20018" s="24"/>
      <c r="H20018" s="24"/>
      <c r="I20018" s="24"/>
      <c r="J20018" s="24"/>
      <c r="K20018" s="24"/>
      <c r="L20018" s="24"/>
      <c r="M20018" s="24"/>
      <c r="N20018" s="24"/>
      <c r="O20018" s="24"/>
      <c r="P20018" s="24"/>
      <c r="Q20018" s="24"/>
      <c r="R20018" s="24"/>
      <c r="S20018" s="24"/>
      <c r="T20018" s="24"/>
      <c r="U20018" s="24"/>
      <c r="V20018" s="24"/>
      <c r="W20018" s="24"/>
      <c r="X20018" s="24"/>
      <c r="Y20018" s="24"/>
      <c r="Z20018" s="24"/>
      <c r="AA20018" s="24"/>
    </row>
    <row r="20019">
      <c r="A20019" s="24"/>
      <c r="B20019" s="25"/>
      <c r="C20019" s="24"/>
      <c r="D20019" s="26"/>
      <c r="E20019" s="24"/>
      <c r="F20019" s="24"/>
      <c r="G20019" s="24"/>
      <c r="H20019" s="24"/>
      <c r="I20019" s="24"/>
      <c r="J20019" s="24"/>
      <c r="K20019" s="24"/>
      <c r="L20019" s="24"/>
      <c r="M20019" s="24"/>
      <c r="N20019" s="24"/>
      <c r="O20019" s="24"/>
      <c r="P20019" s="24"/>
      <c r="Q20019" s="24"/>
      <c r="R20019" s="24"/>
      <c r="S20019" s="24"/>
      <c r="T20019" s="24"/>
      <c r="U20019" s="24"/>
      <c r="V20019" s="24"/>
      <c r="W20019" s="24"/>
      <c r="X20019" s="24"/>
      <c r="Y20019" s="24"/>
      <c r="Z20019" s="24"/>
      <c r="AA20019" s="24"/>
    </row>
    <row r="20020">
      <c r="A20020" s="24"/>
      <c r="B20020" s="25"/>
      <c r="C20020" s="24"/>
      <c r="D20020" s="26"/>
      <c r="E20020" s="24"/>
      <c r="F20020" s="24"/>
      <c r="G20020" s="24"/>
      <c r="H20020" s="24"/>
      <c r="I20020" s="24"/>
      <c r="J20020" s="24"/>
      <c r="K20020" s="24"/>
      <c r="L20020" s="24"/>
      <c r="M20020" s="24"/>
      <c r="N20020" s="24"/>
      <c r="O20020" s="24"/>
      <c r="P20020" s="24"/>
      <c r="Q20020" s="24"/>
      <c r="R20020" s="24"/>
      <c r="S20020" s="24"/>
      <c r="T20020" s="24"/>
      <c r="U20020" s="24"/>
      <c r="V20020" s="24"/>
      <c r="W20020" s="24"/>
      <c r="X20020" s="24"/>
      <c r="Y20020" s="24"/>
      <c r="Z20020" s="24"/>
      <c r="AA20020" s="24"/>
    </row>
    <row r="20021">
      <c r="A20021" s="24"/>
      <c r="B20021" s="25"/>
      <c r="C20021" s="24"/>
      <c r="D20021" s="26"/>
      <c r="E20021" s="24"/>
      <c r="F20021" s="24"/>
      <c r="G20021" s="24"/>
      <c r="H20021" s="24"/>
      <c r="I20021" s="24"/>
      <c r="J20021" s="24"/>
      <c r="K20021" s="24"/>
      <c r="L20021" s="24"/>
      <c r="M20021" s="24"/>
      <c r="N20021" s="24"/>
      <c r="O20021" s="24"/>
      <c r="P20021" s="24"/>
      <c r="Q20021" s="24"/>
      <c r="R20021" s="24"/>
      <c r="S20021" s="24"/>
      <c r="T20021" s="24"/>
      <c r="U20021" s="24"/>
      <c r="V20021" s="24"/>
      <c r="W20021" s="24"/>
      <c r="X20021" s="24"/>
      <c r="Y20021" s="24"/>
      <c r="Z20021" s="24"/>
      <c r="AA20021" s="24"/>
    </row>
    <row r="20022">
      <c r="A20022" s="24"/>
      <c r="B20022" s="25"/>
      <c r="C20022" s="24"/>
      <c r="D20022" s="26"/>
      <c r="E20022" s="24"/>
      <c r="F20022" s="24"/>
      <c r="G20022" s="24"/>
      <c r="H20022" s="24"/>
      <c r="I20022" s="24"/>
      <c r="J20022" s="24"/>
      <c r="K20022" s="24"/>
      <c r="L20022" s="24"/>
      <c r="M20022" s="24"/>
      <c r="N20022" s="24"/>
      <c r="O20022" s="24"/>
      <c r="P20022" s="24"/>
      <c r="Q20022" s="24"/>
      <c r="R20022" s="24"/>
      <c r="S20022" s="24"/>
      <c r="T20022" s="24"/>
      <c r="U20022" s="24"/>
      <c r="V20022" s="24"/>
      <c r="W20022" s="24"/>
      <c r="X20022" s="24"/>
      <c r="Y20022" s="24"/>
      <c r="Z20022" s="24"/>
      <c r="AA20022" s="24"/>
    </row>
    <row r="20023">
      <c r="A20023" s="24"/>
      <c r="B20023" s="25"/>
      <c r="C20023" s="24"/>
      <c r="D20023" s="26"/>
      <c r="E20023" s="24"/>
      <c r="F20023" s="24"/>
      <c r="G20023" s="24"/>
      <c r="H20023" s="24"/>
      <c r="I20023" s="24"/>
      <c r="J20023" s="24"/>
      <c r="K20023" s="24"/>
      <c r="L20023" s="24"/>
      <c r="M20023" s="24"/>
      <c r="N20023" s="24"/>
      <c r="O20023" s="24"/>
      <c r="P20023" s="24"/>
      <c r="Q20023" s="24"/>
      <c r="R20023" s="24"/>
      <c r="S20023" s="24"/>
      <c r="T20023" s="24"/>
      <c r="U20023" s="24"/>
      <c r="V20023" s="24"/>
      <c r="W20023" s="24"/>
      <c r="X20023" s="24"/>
      <c r="Y20023" s="24"/>
      <c r="Z20023" s="24"/>
      <c r="AA20023" s="24"/>
    </row>
    <row r="20024">
      <c r="A20024" s="24"/>
      <c r="B20024" s="25"/>
      <c r="C20024" s="24"/>
      <c r="D20024" s="26"/>
      <c r="E20024" s="24"/>
      <c r="F20024" s="24"/>
      <c r="G20024" s="24"/>
      <c r="H20024" s="24"/>
      <c r="I20024" s="24"/>
      <c r="J20024" s="24"/>
      <c r="K20024" s="24"/>
      <c r="L20024" s="24"/>
      <c r="M20024" s="24"/>
      <c r="N20024" s="24"/>
      <c r="O20024" s="24"/>
      <c r="P20024" s="24"/>
      <c r="Q20024" s="24"/>
      <c r="R20024" s="24"/>
      <c r="S20024" s="24"/>
      <c r="T20024" s="24"/>
      <c r="U20024" s="24"/>
      <c r="V20024" s="24"/>
      <c r="W20024" s="24"/>
      <c r="X20024" s="24"/>
      <c r="Y20024" s="24"/>
      <c r="Z20024" s="24"/>
      <c r="AA20024" s="24"/>
    </row>
    <row r="20025">
      <c r="A20025" s="24"/>
      <c r="B20025" s="25"/>
      <c r="C20025" s="24"/>
      <c r="D20025" s="26"/>
      <c r="E20025" s="24"/>
      <c r="F20025" s="24"/>
      <c r="G20025" s="24"/>
      <c r="H20025" s="24"/>
      <c r="I20025" s="24"/>
      <c r="J20025" s="24"/>
      <c r="K20025" s="24"/>
      <c r="L20025" s="24"/>
      <c r="M20025" s="24"/>
      <c r="N20025" s="24"/>
      <c r="O20025" s="24"/>
      <c r="P20025" s="24"/>
      <c r="Q20025" s="24"/>
      <c r="R20025" s="24"/>
      <c r="S20025" s="24"/>
      <c r="T20025" s="24"/>
      <c r="U20025" s="24"/>
      <c r="V20025" s="24"/>
      <c r="W20025" s="24"/>
      <c r="X20025" s="24"/>
      <c r="Y20025" s="24"/>
      <c r="Z20025" s="24"/>
      <c r="AA20025" s="24"/>
    </row>
    <row r="20026">
      <c r="A20026" s="24"/>
      <c r="B20026" s="25"/>
      <c r="C20026" s="24"/>
      <c r="D20026" s="26"/>
      <c r="E20026" s="24"/>
      <c r="F20026" s="24"/>
      <c r="G20026" s="24"/>
      <c r="H20026" s="24"/>
      <c r="I20026" s="24"/>
      <c r="J20026" s="24"/>
      <c r="K20026" s="24"/>
      <c r="L20026" s="24"/>
      <c r="M20026" s="24"/>
      <c r="N20026" s="24"/>
      <c r="O20026" s="24"/>
      <c r="P20026" s="24"/>
      <c r="Q20026" s="24"/>
      <c r="R20026" s="24"/>
      <c r="S20026" s="24"/>
      <c r="T20026" s="24"/>
      <c r="U20026" s="24"/>
      <c r="V20026" s="24"/>
      <c r="W20026" s="24"/>
      <c r="X20026" s="24"/>
      <c r="Y20026" s="24"/>
      <c r="Z20026" s="24"/>
      <c r="AA20026" s="24"/>
    </row>
    <row r="20027">
      <c r="A20027" s="24"/>
      <c r="B20027" s="25"/>
      <c r="C20027" s="24"/>
      <c r="D20027" s="26"/>
      <c r="E20027" s="24"/>
      <c r="F20027" s="24"/>
      <c r="G20027" s="24"/>
      <c r="H20027" s="24"/>
      <c r="I20027" s="24"/>
      <c r="J20027" s="24"/>
      <c r="K20027" s="24"/>
      <c r="L20027" s="24"/>
      <c r="M20027" s="24"/>
      <c r="N20027" s="24"/>
      <c r="O20027" s="24"/>
      <c r="P20027" s="24"/>
      <c r="Q20027" s="24"/>
      <c r="R20027" s="24"/>
      <c r="S20027" s="24"/>
      <c r="T20027" s="24"/>
      <c r="U20027" s="24"/>
      <c r="V20027" s="24"/>
      <c r="W20027" s="24"/>
      <c r="X20027" s="24"/>
      <c r="Y20027" s="24"/>
      <c r="Z20027" s="24"/>
      <c r="AA20027" s="24"/>
    </row>
    <row r="20028">
      <c r="A20028" s="24"/>
      <c r="B20028" s="25"/>
      <c r="C20028" s="24"/>
      <c r="D20028" s="26"/>
      <c r="E20028" s="24"/>
      <c r="F20028" s="24"/>
      <c r="G20028" s="24"/>
      <c r="H20028" s="24"/>
      <c r="I20028" s="24"/>
      <c r="J20028" s="24"/>
      <c r="K20028" s="24"/>
      <c r="L20028" s="24"/>
      <c r="M20028" s="24"/>
      <c r="N20028" s="24"/>
      <c r="O20028" s="24"/>
      <c r="P20028" s="24"/>
      <c r="Q20028" s="24"/>
      <c r="R20028" s="24"/>
      <c r="S20028" s="24"/>
      <c r="T20028" s="24"/>
      <c r="U20028" s="24"/>
      <c r="V20028" s="24"/>
      <c r="W20028" s="24"/>
      <c r="X20028" s="24"/>
      <c r="Y20028" s="24"/>
      <c r="Z20028" s="24"/>
      <c r="AA20028" s="24"/>
    </row>
    <row r="20029">
      <c r="A20029" s="24"/>
      <c r="B20029" s="25"/>
      <c r="C20029" s="24"/>
      <c r="D20029" s="26"/>
      <c r="E20029" s="24"/>
      <c r="F20029" s="24"/>
      <c r="G20029" s="24"/>
      <c r="H20029" s="24"/>
      <c r="I20029" s="24"/>
      <c r="J20029" s="24"/>
      <c r="K20029" s="24"/>
      <c r="L20029" s="24"/>
      <c r="M20029" s="24"/>
      <c r="N20029" s="24"/>
      <c r="O20029" s="24"/>
      <c r="P20029" s="24"/>
      <c r="Q20029" s="24"/>
      <c r="R20029" s="24"/>
      <c r="S20029" s="24"/>
      <c r="T20029" s="24"/>
      <c r="U20029" s="24"/>
      <c r="V20029" s="24"/>
      <c r="W20029" s="24"/>
      <c r="X20029" s="24"/>
      <c r="Y20029" s="24"/>
      <c r="Z20029" s="24"/>
      <c r="AA20029" s="24"/>
    </row>
    <row r="20030">
      <c r="A20030" s="24"/>
      <c r="B20030" s="25"/>
      <c r="C20030" s="24"/>
      <c r="D20030" s="26"/>
      <c r="E20030" s="24"/>
      <c r="F20030" s="24"/>
      <c r="G20030" s="24"/>
      <c r="H20030" s="24"/>
      <c r="I20030" s="24"/>
      <c r="J20030" s="24"/>
      <c r="K20030" s="24"/>
      <c r="L20030" s="24"/>
      <c r="M20030" s="24"/>
      <c r="N20030" s="24"/>
      <c r="O20030" s="24"/>
      <c r="P20030" s="24"/>
      <c r="Q20030" s="24"/>
      <c r="R20030" s="24"/>
      <c r="S20030" s="24"/>
      <c r="T20030" s="24"/>
      <c r="U20030" s="24"/>
      <c r="V20030" s="24"/>
      <c r="W20030" s="24"/>
      <c r="X20030" s="24"/>
      <c r="Y20030" s="24"/>
      <c r="Z20030" s="24"/>
      <c r="AA20030" s="24"/>
    </row>
    <row r="20031">
      <c r="A20031" s="24"/>
      <c r="B20031" s="25"/>
      <c r="C20031" s="24"/>
      <c r="D20031" s="26"/>
      <c r="E20031" s="24"/>
      <c r="F20031" s="24"/>
      <c r="G20031" s="24"/>
      <c r="H20031" s="24"/>
      <c r="I20031" s="24"/>
      <c r="J20031" s="24"/>
      <c r="K20031" s="24"/>
      <c r="L20031" s="24"/>
      <c r="M20031" s="24"/>
      <c r="N20031" s="24"/>
      <c r="O20031" s="24"/>
      <c r="P20031" s="24"/>
      <c r="Q20031" s="24"/>
      <c r="R20031" s="24"/>
      <c r="S20031" s="24"/>
      <c r="T20031" s="24"/>
      <c r="U20031" s="24"/>
      <c r="V20031" s="24"/>
      <c r="W20031" s="24"/>
      <c r="X20031" s="24"/>
      <c r="Y20031" s="24"/>
      <c r="Z20031" s="24"/>
      <c r="AA20031" s="24"/>
    </row>
    <row r="20032">
      <c r="A20032" s="24"/>
      <c r="B20032" s="25"/>
      <c r="C20032" s="24"/>
      <c r="D20032" s="26"/>
      <c r="E20032" s="24"/>
      <c r="F20032" s="24"/>
      <c r="G20032" s="24"/>
      <c r="H20032" s="24"/>
      <c r="I20032" s="24"/>
      <c r="J20032" s="24"/>
      <c r="K20032" s="24"/>
      <c r="L20032" s="24"/>
      <c r="M20032" s="24"/>
      <c r="N20032" s="24"/>
      <c r="O20032" s="24"/>
      <c r="P20032" s="24"/>
      <c r="Q20032" s="24"/>
      <c r="R20032" s="24"/>
      <c r="S20032" s="24"/>
      <c r="T20032" s="24"/>
      <c r="U20032" s="24"/>
      <c r="V20032" s="24"/>
      <c r="W20032" s="24"/>
      <c r="X20032" s="24"/>
      <c r="Y20032" s="24"/>
      <c r="Z20032" s="24"/>
      <c r="AA20032" s="24"/>
    </row>
    <row r="20033">
      <c r="A20033" s="24"/>
      <c r="B20033" s="25"/>
      <c r="C20033" s="24"/>
      <c r="D20033" s="26"/>
      <c r="E20033" s="24"/>
      <c r="F20033" s="24"/>
      <c r="G20033" s="24"/>
      <c r="H20033" s="24"/>
      <c r="I20033" s="24"/>
      <c r="J20033" s="24"/>
      <c r="K20033" s="24"/>
      <c r="L20033" s="24"/>
      <c r="M20033" s="24"/>
      <c r="N20033" s="24"/>
      <c r="O20033" s="24"/>
      <c r="P20033" s="24"/>
      <c r="Q20033" s="24"/>
      <c r="R20033" s="24"/>
      <c r="S20033" s="24"/>
      <c r="T20033" s="24"/>
      <c r="U20033" s="24"/>
      <c r="V20033" s="24"/>
      <c r="W20033" s="24"/>
      <c r="X20033" s="24"/>
      <c r="Y20033" s="24"/>
      <c r="Z20033" s="24"/>
      <c r="AA20033" s="24"/>
    </row>
    <row r="20034">
      <c r="A20034" s="24"/>
      <c r="B20034" s="25"/>
      <c r="C20034" s="24"/>
      <c r="D20034" s="26"/>
      <c r="E20034" s="24"/>
      <c r="F20034" s="24"/>
      <c r="G20034" s="24"/>
      <c r="H20034" s="24"/>
      <c r="I20034" s="24"/>
      <c r="J20034" s="24"/>
      <c r="K20034" s="24"/>
      <c r="L20034" s="24"/>
      <c r="M20034" s="24"/>
      <c r="N20034" s="24"/>
      <c r="O20034" s="24"/>
      <c r="P20034" s="24"/>
      <c r="Q20034" s="24"/>
      <c r="R20034" s="24"/>
      <c r="S20034" s="24"/>
      <c r="T20034" s="24"/>
      <c r="U20034" s="24"/>
      <c r="V20034" s="24"/>
      <c r="W20034" s="24"/>
      <c r="X20034" s="24"/>
      <c r="Y20034" s="24"/>
      <c r="Z20034" s="24"/>
      <c r="AA20034" s="24"/>
    </row>
    <row r="20035">
      <c r="A20035" s="24"/>
      <c r="B20035" s="25"/>
      <c r="C20035" s="24"/>
      <c r="D20035" s="26"/>
      <c r="E20035" s="24"/>
      <c r="F20035" s="24"/>
      <c r="G20035" s="24"/>
      <c r="H20035" s="24"/>
      <c r="I20035" s="24"/>
      <c r="J20035" s="24"/>
      <c r="K20035" s="24"/>
      <c r="L20035" s="24"/>
      <c r="M20035" s="24"/>
      <c r="N20035" s="24"/>
      <c r="O20035" s="24"/>
      <c r="P20035" s="24"/>
      <c r="Q20035" s="24"/>
      <c r="R20035" s="24"/>
      <c r="S20035" s="24"/>
      <c r="T20035" s="24"/>
      <c r="U20035" s="24"/>
      <c r="V20035" s="24"/>
      <c r="W20035" s="24"/>
      <c r="X20035" s="24"/>
      <c r="Y20035" s="24"/>
      <c r="Z20035" s="24"/>
      <c r="AA20035" s="24"/>
    </row>
    <row r="20036">
      <c r="A20036" s="24"/>
      <c r="B20036" s="25"/>
      <c r="C20036" s="24"/>
      <c r="D20036" s="26"/>
      <c r="E20036" s="24"/>
      <c r="F20036" s="24"/>
      <c r="G20036" s="24"/>
      <c r="H20036" s="24"/>
      <c r="I20036" s="24"/>
      <c r="J20036" s="24"/>
      <c r="K20036" s="24"/>
      <c r="L20036" s="24"/>
      <c r="M20036" s="24"/>
      <c r="N20036" s="24"/>
      <c r="O20036" s="24"/>
      <c r="P20036" s="24"/>
      <c r="Q20036" s="24"/>
      <c r="R20036" s="24"/>
      <c r="S20036" s="24"/>
      <c r="T20036" s="24"/>
      <c r="U20036" s="24"/>
      <c r="V20036" s="24"/>
      <c r="W20036" s="24"/>
      <c r="X20036" s="24"/>
      <c r="Y20036" s="24"/>
      <c r="Z20036" s="24"/>
      <c r="AA20036" s="24"/>
    </row>
    <row r="20037">
      <c r="A20037" s="24"/>
      <c r="B20037" s="25"/>
      <c r="C20037" s="24"/>
      <c r="D20037" s="26"/>
      <c r="E20037" s="24"/>
      <c r="F20037" s="24"/>
      <c r="G20037" s="24"/>
      <c r="H20037" s="24"/>
      <c r="I20037" s="24"/>
      <c r="J20037" s="24"/>
      <c r="K20037" s="24"/>
      <c r="L20037" s="24"/>
      <c r="M20037" s="24"/>
      <c r="N20037" s="24"/>
      <c r="O20037" s="24"/>
      <c r="P20037" s="24"/>
      <c r="Q20037" s="24"/>
      <c r="R20037" s="24"/>
      <c r="S20037" s="24"/>
      <c r="T20037" s="24"/>
      <c r="U20037" s="24"/>
      <c r="V20037" s="24"/>
      <c r="W20037" s="24"/>
      <c r="X20037" s="24"/>
      <c r="Y20037" s="24"/>
      <c r="Z20037" s="24"/>
      <c r="AA20037" s="24"/>
    </row>
    <row r="20038">
      <c r="A20038" s="24"/>
      <c r="B20038" s="25"/>
      <c r="C20038" s="24"/>
      <c r="D20038" s="26"/>
      <c r="E20038" s="24"/>
      <c r="F20038" s="24"/>
      <c r="G20038" s="24"/>
      <c r="H20038" s="24"/>
      <c r="I20038" s="24"/>
      <c r="J20038" s="24"/>
      <c r="K20038" s="24"/>
      <c r="L20038" s="24"/>
      <c r="M20038" s="24"/>
      <c r="N20038" s="24"/>
      <c r="O20038" s="24"/>
      <c r="P20038" s="24"/>
      <c r="Q20038" s="24"/>
      <c r="R20038" s="24"/>
      <c r="S20038" s="24"/>
      <c r="T20038" s="24"/>
      <c r="U20038" s="24"/>
      <c r="V20038" s="24"/>
      <c r="W20038" s="24"/>
      <c r="X20038" s="24"/>
      <c r="Y20038" s="24"/>
      <c r="Z20038" s="24"/>
      <c r="AA20038" s="24"/>
    </row>
    <row r="20039">
      <c r="A20039" s="24"/>
      <c r="B20039" s="25"/>
      <c r="C20039" s="24"/>
      <c r="D20039" s="26"/>
      <c r="E20039" s="24"/>
      <c r="F20039" s="24"/>
      <c r="G20039" s="24"/>
      <c r="H20039" s="24"/>
      <c r="I20039" s="24"/>
      <c r="J20039" s="24"/>
      <c r="K20039" s="24"/>
      <c r="L20039" s="24"/>
      <c r="M20039" s="24"/>
      <c r="N20039" s="24"/>
      <c r="O20039" s="24"/>
      <c r="P20039" s="24"/>
      <c r="Q20039" s="24"/>
      <c r="R20039" s="24"/>
      <c r="S20039" s="24"/>
      <c r="T20039" s="24"/>
      <c r="U20039" s="24"/>
      <c r="V20039" s="24"/>
      <c r="W20039" s="24"/>
      <c r="X20039" s="24"/>
      <c r="Y20039" s="24"/>
      <c r="Z20039" s="24"/>
      <c r="AA20039" s="24"/>
    </row>
    <row r="20040">
      <c r="A20040" s="24"/>
      <c r="B20040" s="25"/>
      <c r="C20040" s="24"/>
      <c r="D20040" s="26"/>
      <c r="E20040" s="24"/>
      <c r="F20040" s="24"/>
      <c r="G20040" s="24"/>
      <c r="H20040" s="24"/>
      <c r="I20040" s="24"/>
      <c r="J20040" s="24"/>
      <c r="K20040" s="24"/>
      <c r="L20040" s="24"/>
      <c r="M20040" s="24"/>
      <c r="N20040" s="24"/>
      <c r="O20040" s="24"/>
      <c r="P20040" s="24"/>
      <c r="Q20040" s="24"/>
      <c r="R20040" s="24"/>
      <c r="S20040" s="24"/>
      <c r="T20040" s="24"/>
      <c r="U20040" s="24"/>
      <c r="V20040" s="24"/>
      <c r="W20040" s="24"/>
      <c r="X20040" s="24"/>
      <c r="Y20040" s="24"/>
      <c r="Z20040" s="24"/>
      <c r="AA20040" s="24"/>
    </row>
    <row r="20041">
      <c r="A20041" s="24"/>
      <c r="B20041" s="25"/>
      <c r="C20041" s="24"/>
      <c r="D20041" s="26"/>
      <c r="E20041" s="24"/>
      <c r="F20041" s="24"/>
      <c r="G20041" s="24"/>
      <c r="H20041" s="24"/>
      <c r="I20041" s="24"/>
      <c r="J20041" s="24"/>
      <c r="K20041" s="24"/>
      <c r="L20041" s="24"/>
      <c r="M20041" s="24"/>
      <c r="N20041" s="24"/>
      <c r="O20041" s="24"/>
      <c r="P20041" s="24"/>
      <c r="Q20041" s="24"/>
      <c r="R20041" s="24"/>
      <c r="S20041" s="24"/>
      <c r="T20041" s="24"/>
      <c r="U20041" s="24"/>
      <c r="V20041" s="24"/>
      <c r="W20041" s="24"/>
      <c r="X20041" s="24"/>
      <c r="Y20041" s="24"/>
      <c r="Z20041" s="24"/>
      <c r="AA20041" s="24"/>
    </row>
    <row r="20042">
      <c r="A20042" s="24"/>
      <c r="B20042" s="25"/>
      <c r="C20042" s="24"/>
      <c r="D20042" s="26"/>
      <c r="E20042" s="24"/>
      <c r="F20042" s="24"/>
      <c r="G20042" s="24"/>
      <c r="H20042" s="24"/>
      <c r="I20042" s="24"/>
      <c r="J20042" s="24"/>
      <c r="K20042" s="24"/>
      <c r="L20042" s="24"/>
      <c r="M20042" s="24"/>
      <c r="N20042" s="24"/>
      <c r="O20042" s="24"/>
      <c r="P20042" s="24"/>
      <c r="Q20042" s="24"/>
      <c r="R20042" s="24"/>
      <c r="S20042" s="24"/>
      <c r="T20042" s="24"/>
      <c r="U20042" s="24"/>
      <c r="V20042" s="24"/>
      <c r="W20042" s="24"/>
      <c r="X20042" s="24"/>
      <c r="Y20042" s="24"/>
      <c r="Z20042" s="24"/>
      <c r="AA20042" s="24"/>
    </row>
    <row r="20043">
      <c r="A20043" s="24"/>
      <c r="B20043" s="25"/>
      <c r="C20043" s="24"/>
      <c r="D20043" s="26"/>
      <c r="E20043" s="24"/>
      <c r="F20043" s="24"/>
      <c r="G20043" s="24"/>
      <c r="H20043" s="24"/>
      <c r="I20043" s="24"/>
      <c r="J20043" s="24"/>
      <c r="K20043" s="24"/>
      <c r="L20043" s="24"/>
      <c r="M20043" s="24"/>
      <c r="N20043" s="24"/>
      <c r="O20043" s="24"/>
      <c r="P20043" s="24"/>
      <c r="Q20043" s="24"/>
      <c r="R20043" s="24"/>
      <c r="S20043" s="24"/>
      <c r="T20043" s="24"/>
      <c r="U20043" s="24"/>
      <c r="V20043" s="24"/>
      <c r="W20043" s="24"/>
      <c r="X20043" s="24"/>
      <c r="Y20043" s="24"/>
      <c r="Z20043" s="24"/>
      <c r="AA20043" s="24"/>
    </row>
    <row r="20044">
      <c r="A20044" s="24"/>
      <c r="B20044" s="25"/>
      <c r="C20044" s="24"/>
      <c r="D20044" s="26"/>
      <c r="E20044" s="24"/>
      <c r="F20044" s="24"/>
      <c r="G20044" s="24"/>
      <c r="H20044" s="24"/>
      <c r="I20044" s="24"/>
      <c r="J20044" s="24"/>
      <c r="K20044" s="24"/>
      <c r="L20044" s="24"/>
      <c r="M20044" s="24"/>
      <c r="N20044" s="24"/>
      <c r="O20044" s="24"/>
      <c r="P20044" s="24"/>
      <c r="Q20044" s="24"/>
      <c r="R20044" s="24"/>
      <c r="S20044" s="24"/>
      <c r="T20044" s="24"/>
      <c r="U20044" s="24"/>
      <c r="V20044" s="24"/>
      <c r="W20044" s="24"/>
      <c r="X20044" s="24"/>
      <c r="Y20044" s="24"/>
      <c r="Z20044" s="24"/>
      <c r="AA20044" s="24"/>
    </row>
    <row r="20045">
      <c r="A20045" s="24"/>
      <c r="B20045" s="25"/>
      <c r="C20045" s="24"/>
      <c r="D20045" s="26"/>
      <c r="E20045" s="24"/>
      <c r="F20045" s="24"/>
      <c r="G20045" s="24"/>
      <c r="H20045" s="24"/>
      <c r="I20045" s="24"/>
      <c r="J20045" s="24"/>
      <c r="K20045" s="24"/>
      <c r="L20045" s="24"/>
      <c r="M20045" s="24"/>
      <c r="N20045" s="24"/>
      <c r="O20045" s="24"/>
      <c r="P20045" s="24"/>
      <c r="Q20045" s="24"/>
      <c r="R20045" s="24"/>
      <c r="S20045" s="24"/>
      <c r="T20045" s="24"/>
      <c r="U20045" s="24"/>
      <c r="V20045" s="24"/>
      <c r="W20045" s="24"/>
      <c r="X20045" s="24"/>
      <c r="Y20045" s="24"/>
      <c r="Z20045" s="24"/>
      <c r="AA20045" s="24"/>
    </row>
    <row r="20046">
      <c r="A20046" s="24"/>
      <c r="B20046" s="25"/>
      <c r="C20046" s="24"/>
      <c r="D20046" s="26"/>
      <c r="E20046" s="24"/>
      <c r="F20046" s="24"/>
      <c r="G20046" s="24"/>
      <c r="H20046" s="24"/>
      <c r="I20046" s="24"/>
      <c r="J20046" s="24"/>
      <c r="K20046" s="24"/>
      <c r="L20046" s="24"/>
      <c r="M20046" s="24"/>
      <c r="N20046" s="24"/>
      <c r="O20046" s="24"/>
      <c r="P20046" s="24"/>
      <c r="Q20046" s="24"/>
      <c r="R20046" s="24"/>
      <c r="S20046" s="24"/>
      <c r="T20046" s="24"/>
      <c r="U20046" s="24"/>
      <c r="V20046" s="24"/>
      <c r="W20046" s="24"/>
      <c r="X20046" s="24"/>
      <c r="Y20046" s="24"/>
      <c r="Z20046" s="24"/>
      <c r="AA20046" s="24"/>
    </row>
    <row r="20047">
      <c r="A20047" s="24"/>
      <c r="B20047" s="25"/>
      <c r="C20047" s="24"/>
      <c r="D20047" s="26"/>
      <c r="E20047" s="24"/>
      <c r="F20047" s="24"/>
      <c r="G20047" s="24"/>
      <c r="H20047" s="24"/>
      <c r="I20047" s="24"/>
      <c r="J20047" s="24"/>
      <c r="K20047" s="24"/>
      <c r="L20047" s="24"/>
      <c r="M20047" s="24"/>
      <c r="N20047" s="24"/>
      <c r="O20047" s="24"/>
      <c r="P20047" s="24"/>
      <c r="Q20047" s="24"/>
      <c r="R20047" s="24"/>
      <c r="S20047" s="24"/>
      <c r="T20047" s="24"/>
      <c r="U20047" s="24"/>
      <c r="V20047" s="24"/>
      <c r="W20047" s="24"/>
      <c r="X20047" s="24"/>
      <c r="Y20047" s="24"/>
      <c r="Z20047" s="24"/>
      <c r="AA20047" s="24"/>
    </row>
    <row r="20048">
      <c r="A20048" s="24"/>
      <c r="B20048" s="25"/>
      <c r="C20048" s="24"/>
      <c r="D20048" s="26"/>
      <c r="E20048" s="24"/>
      <c r="F20048" s="24"/>
      <c r="G20048" s="24"/>
      <c r="H20048" s="24"/>
      <c r="I20048" s="24"/>
      <c r="J20048" s="24"/>
      <c r="K20048" s="24"/>
      <c r="L20048" s="24"/>
      <c r="M20048" s="24"/>
      <c r="N20048" s="24"/>
      <c r="O20048" s="24"/>
      <c r="P20048" s="24"/>
      <c r="Q20048" s="24"/>
      <c r="R20048" s="24"/>
      <c r="S20048" s="24"/>
      <c r="T20048" s="24"/>
      <c r="U20048" s="24"/>
      <c r="V20048" s="24"/>
      <c r="W20048" s="24"/>
      <c r="X20048" s="24"/>
      <c r="Y20048" s="24"/>
      <c r="Z20048" s="24"/>
      <c r="AA20048" s="24"/>
    </row>
    <row r="20049">
      <c r="A20049" s="24"/>
      <c r="B20049" s="25"/>
      <c r="C20049" s="24"/>
      <c r="D20049" s="26"/>
      <c r="E20049" s="24"/>
      <c r="F20049" s="24"/>
      <c r="G20049" s="24"/>
      <c r="H20049" s="24"/>
      <c r="I20049" s="24"/>
      <c r="J20049" s="24"/>
      <c r="K20049" s="24"/>
      <c r="L20049" s="24"/>
      <c r="M20049" s="24"/>
      <c r="N20049" s="24"/>
      <c r="O20049" s="24"/>
      <c r="P20049" s="24"/>
      <c r="Q20049" s="24"/>
      <c r="R20049" s="24"/>
      <c r="S20049" s="24"/>
      <c r="T20049" s="24"/>
      <c r="U20049" s="24"/>
      <c r="V20049" s="24"/>
      <c r="W20049" s="24"/>
      <c r="X20049" s="24"/>
      <c r="Y20049" s="24"/>
      <c r="Z20049" s="24"/>
      <c r="AA20049" s="24"/>
    </row>
    <row r="20050">
      <c r="A20050" s="24"/>
      <c r="B20050" s="25"/>
      <c r="C20050" s="24"/>
      <c r="D20050" s="26"/>
      <c r="E20050" s="24"/>
      <c r="F20050" s="24"/>
      <c r="G20050" s="24"/>
      <c r="H20050" s="24"/>
      <c r="I20050" s="24"/>
      <c r="J20050" s="24"/>
      <c r="K20050" s="24"/>
      <c r="L20050" s="24"/>
      <c r="M20050" s="24"/>
      <c r="N20050" s="24"/>
      <c r="O20050" s="24"/>
      <c r="P20050" s="24"/>
      <c r="Q20050" s="24"/>
      <c r="R20050" s="24"/>
      <c r="S20050" s="24"/>
      <c r="T20050" s="24"/>
      <c r="U20050" s="24"/>
      <c r="V20050" s="24"/>
      <c r="W20050" s="24"/>
      <c r="X20050" s="24"/>
      <c r="Y20050" s="24"/>
      <c r="Z20050" s="24"/>
      <c r="AA20050" s="24"/>
    </row>
    <row r="20051">
      <c r="A20051" s="24"/>
      <c r="B20051" s="25"/>
      <c r="C20051" s="24"/>
      <c r="D20051" s="26"/>
      <c r="E20051" s="24"/>
      <c r="F20051" s="24"/>
      <c r="G20051" s="24"/>
      <c r="H20051" s="24"/>
      <c r="I20051" s="24"/>
      <c r="J20051" s="24"/>
      <c r="K20051" s="24"/>
      <c r="L20051" s="24"/>
      <c r="M20051" s="24"/>
      <c r="N20051" s="24"/>
      <c r="O20051" s="24"/>
      <c r="P20051" s="24"/>
      <c r="Q20051" s="24"/>
      <c r="R20051" s="24"/>
      <c r="S20051" s="24"/>
      <c r="T20051" s="24"/>
      <c r="U20051" s="24"/>
      <c r="V20051" s="24"/>
      <c r="W20051" s="24"/>
      <c r="X20051" s="24"/>
      <c r="Y20051" s="24"/>
      <c r="Z20051" s="24"/>
      <c r="AA20051" s="24"/>
    </row>
    <row r="20052">
      <c r="A20052" s="24"/>
      <c r="B20052" s="25"/>
      <c r="C20052" s="24"/>
      <c r="D20052" s="26"/>
      <c r="E20052" s="24"/>
      <c r="F20052" s="24"/>
      <c r="G20052" s="24"/>
      <c r="H20052" s="24"/>
      <c r="I20052" s="24"/>
      <c r="J20052" s="24"/>
      <c r="K20052" s="24"/>
      <c r="L20052" s="24"/>
      <c r="M20052" s="24"/>
      <c r="N20052" s="24"/>
      <c r="O20052" s="24"/>
      <c r="P20052" s="24"/>
      <c r="Q20052" s="24"/>
      <c r="R20052" s="24"/>
      <c r="S20052" s="24"/>
      <c r="T20052" s="24"/>
      <c r="U20052" s="24"/>
      <c r="V20052" s="24"/>
      <c r="W20052" s="24"/>
      <c r="X20052" s="24"/>
      <c r="Y20052" s="24"/>
      <c r="Z20052" s="24"/>
      <c r="AA20052" s="24"/>
    </row>
    <row r="20053">
      <c r="A20053" s="24"/>
      <c r="B20053" s="25"/>
      <c r="C20053" s="24"/>
      <c r="D20053" s="26"/>
      <c r="E20053" s="24"/>
      <c r="F20053" s="24"/>
      <c r="G20053" s="24"/>
      <c r="H20053" s="24"/>
      <c r="I20053" s="24"/>
      <c r="J20053" s="24"/>
      <c r="K20053" s="24"/>
      <c r="L20053" s="24"/>
      <c r="M20053" s="24"/>
      <c r="N20053" s="24"/>
      <c r="O20053" s="24"/>
      <c r="P20053" s="24"/>
      <c r="Q20053" s="24"/>
      <c r="R20053" s="24"/>
      <c r="S20053" s="24"/>
      <c r="T20053" s="24"/>
      <c r="U20053" s="24"/>
      <c r="V20053" s="24"/>
      <c r="W20053" s="24"/>
      <c r="X20053" s="24"/>
      <c r="Y20053" s="24"/>
      <c r="Z20053" s="24"/>
      <c r="AA20053" s="24"/>
    </row>
    <row r="20054">
      <c r="A20054" s="24"/>
      <c r="B20054" s="25"/>
      <c r="C20054" s="24"/>
      <c r="D20054" s="26"/>
      <c r="E20054" s="24"/>
      <c r="F20054" s="24"/>
      <c r="G20054" s="24"/>
      <c r="H20054" s="24"/>
      <c r="I20054" s="24"/>
      <c r="J20054" s="24"/>
      <c r="K20054" s="24"/>
      <c r="L20054" s="24"/>
      <c r="M20054" s="24"/>
      <c r="N20054" s="24"/>
      <c r="O20054" s="24"/>
      <c r="P20054" s="24"/>
      <c r="Q20054" s="24"/>
      <c r="R20054" s="24"/>
      <c r="S20054" s="24"/>
      <c r="T20054" s="24"/>
      <c r="U20054" s="24"/>
      <c r="V20054" s="24"/>
      <c r="W20054" s="24"/>
      <c r="X20054" s="24"/>
      <c r="Y20054" s="24"/>
      <c r="Z20054" s="24"/>
      <c r="AA20054" s="24"/>
    </row>
    <row r="20055">
      <c r="A20055" s="24"/>
      <c r="B20055" s="25"/>
      <c r="C20055" s="24"/>
      <c r="D20055" s="26"/>
      <c r="E20055" s="24"/>
      <c r="F20055" s="24"/>
      <c r="G20055" s="24"/>
      <c r="H20055" s="24"/>
      <c r="I20055" s="24"/>
      <c r="J20055" s="24"/>
      <c r="K20055" s="24"/>
      <c r="L20055" s="24"/>
      <c r="M20055" s="24"/>
      <c r="N20055" s="24"/>
      <c r="O20055" s="24"/>
      <c r="P20055" s="24"/>
      <c r="Q20055" s="24"/>
      <c r="R20055" s="24"/>
      <c r="S20055" s="24"/>
      <c r="T20055" s="24"/>
      <c r="U20055" s="24"/>
      <c r="V20055" s="24"/>
      <c r="W20055" s="24"/>
      <c r="X20055" s="24"/>
      <c r="Y20055" s="24"/>
      <c r="Z20055" s="24"/>
      <c r="AA20055" s="24"/>
    </row>
    <row r="20056">
      <c r="A20056" s="24"/>
      <c r="B20056" s="25"/>
      <c r="C20056" s="24"/>
      <c r="D20056" s="26"/>
      <c r="E20056" s="24"/>
      <c r="F20056" s="24"/>
      <c r="G20056" s="24"/>
      <c r="H20056" s="24"/>
      <c r="I20056" s="24"/>
      <c r="J20056" s="24"/>
      <c r="K20056" s="24"/>
      <c r="L20056" s="24"/>
      <c r="M20056" s="24"/>
      <c r="N20056" s="24"/>
      <c r="O20056" s="24"/>
      <c r="P20056" s="24"/>
      <c r="Q20056" s="24"/>
      <c r="R20056" s="24"/>
      <c r="S20056" s="24"/>
      <c r="T20056" s="24"/>
      <c r="U20056" s="24"/>
      <c r="V20056" s="24"/>
      <c r="W20056" s="24"/>
      <c r="X20056" s="24"/>
      <c r="Y20056" s="24"/>
      <c r="Z20056" s="24"/>
      <c r="AA20056" s="24"/>
    </row>
    <row r="20057">
      <c r="A20057" s="24"/>
      <c r="B20057" s="25"/>
      <c r="C20057" s="24"/>
      <c r="D20057" s="26"/>
      <c r="E20057" s="24"/>
      <c r="F20057" s="24"/>
      <c r="G20057" s="24"/>
      <c r="H20057" s="24"/>
      <c r="I20057" s="24"/>
      <c r="J20057" s="24"/>
      <c r="K20057" s="24"/>
      <c r="L20057" s="24"/>
      <c r="M20057" s="24"/>
      <c r="N20057" s="24"/>
      <c r="O20057" s="24"/>
      <c r="P20057" s="24"/>
      <c r="Q20057" s="24"/>
      <c r="R20057" s="24"/>
      <c r="S20057" s="24"/>
      <c r="T20057" s="24"/>
      <c r="U20057" s="24"/>
      <c r="V20057" s="24"/>
      <c r="W20057" s="24"/>
      <c r="X20057" s="24"/>
      <c r="Y20057" s="24"/>
      <c r="Z20057" s="24"/>
      <c r="AA20057" s="24"/>
    </row>
    <row r="20058">
      <c r="A20058" s="24"/>
      <c r="B20058" s="25"/>
      <c r="C20058" s="24"/>
      <c r="D20058" s="26"/>
      <c r="E20058" s="24"/>
      <c r="F20058" s="24"/>
      <c r="G20058" s="24"/>
      <c r="H20058" s="24"/>
      <c r="I20058" s="24"/>
      <c r="J20058" s="24"/>
      <c r="K20058" s="24"/>
      <c r="L20058" s="24"/>
      <c r="M20058" s="24"/>
      <c r="N20058" s="24"/>
      <c r="O20058" s="24"/>
      <c r="P20058" s="24"/>
      <c r="Q20058" s="24"/>
      <c r="R20058" s="24"/>
      <c r="S20058" s="24"/>
      <c r="T20058" s="24"/>
      <c r="U20058" s="24"/>
      <c r="V20058" s="24"/>
      <c r="W20058" s="24"/>
      <c r="X20058" s="24"/>
      <c r="Y20058" s="24"/>
      <c r="Z20058" s="24"/>
      <c r="AA20058" s="24"/>
    </row>
    <row r="20059">
      <c r="A20059" s="24"/>
      <c r="B20059" s="25"/>
      <c r="C20059" s="24"/>
      <c r="D20059" s="26"/>
      <c r="E20059" s="24"/>
      <c r="F20059" s="24"/>
      <c r="G20059" s="24"/>
      <c r="H20059" s="24"/>
      <c r="I20059" s="24"/>
      <c r="J20059" s="24"/>
      <c r="K20059" s="24"/>
      <c r="L20059" s="24"/>
      <c r="M20059" s="24"/>
      <c r="N20059" s="24"/>
      <c r="O20059" s="24"/>
      <c r="P20059" s="24"/>
      <c r="Q20059" s="24"/>
      <c r="R20059" s="24"/>
      <c r="S20059" s="24"/>
      <c r="T20059" s="24"/>
      <c r="U20059" s="24"/>
      <c r="V20059" s="24"/>
      <c r="W20059" s="24"/>
      <c r="X20059" s="24"/>
      <c r="Y20059" s="24"/>
      <c r="Z20059" s="24"/>
      <c r="AA20059" s="24"/>
    </row>
    <row r="20060">
      <c r="A20060" s="24"/>
      <c r="B20060" s="25"/>
      <c r="C20060" s="24"/>
      <c r="D20060" s="26"/>
      <c r="E20060" s="24"/>
      <c r="F20060" s="24"/>
      <c r="G20060" s="24"/>
      <c r="H20060" s="24"/>
      <c r="I20060" s="24"/>
      <c r="J20060" s="24"/>
      <c r="K20060" s="24"/>
      <c r="L20060" s="24"/>
      <c r="M20060" s="24"/>
      <c r="N20060" s="24"/>
      <c r="O20060" s="24"/>
      <c r="P20060" s="24"/>
      <c r="Q20060" s="24"/>
      <c r="R20060" s="24"/>
      <c r="S20060" s="24"/>
      <c r="T20060" s="24"/>
      <c r="U20060" s="24"/>
      <c r="V20060" s="24"/>
      <c r="W20060" s="24"/>
      <c r="X20060" s="24"/>
      <c r="Y20060" s="24"/>
      <c r="Z20060" s="24"/>
      <c r="AA20060" s="24"/>
    </row>
    <row r="20061">
      <c r="A20061" s="24"/>
      <c r="B20061" s="25"/>
      <c r="C20061" s="24"/>
      <c r="D20061" s="26"/>
      <c r="E20061" s="24"/>
      <c r="F20061" s="24"/>
      <c r="G20061" s="24"/>
      <c r="H20061" s="24"/>
      <c r="I20061" s="24"/>
      <c r="J20061" s="24"/>
      <c r="K20061" s="24"/>
      <c r="L20061" s="24"/>
      <c r="M20061" s="24"/>
      <c r="N20061" s="24"/>
      <c r="O20061" s="24"/>
      <c r="P20061" s="24"/>
      <c r="Q20061" s="24"/>
      <c r="R20061" s="24"/>
      <c r="S20061" s="24"/>
      <c r="T20061" s="24"/>
      <c r="U20061" s="24"/>
      <c r="V20061" s="24"/>
      <c r="W20061" s="24"/>
      <c r="X20061" s="24"/>
      <c r="Y20061" s="24"/>
      <c r="Z20061" s="24"/>
      <c r="AA20061" s="24"/>
    </row>
    <row r="20062">
      <c r="A20062" s="24"/>
      <c r="B20062" s="25"/>
      <c r="C20062" s="24"/>
      <c r="D20062" s="26"/>
      <c r="E20062" s="24"/>
      <c r="F20062" s="24"/>
      <c r="G20062" s="24"/>
      <c r="H20062" s="24"/>
      <c r="I20062" s="24"/>
      <c r="J20062" s="24"/>
      <c r="K20062" s="24"/>
      <c r="L20062" s="24"/>
      <c r="M20062" s="24"/>
      <c r="N20062" s="24"/>
      <c r="O20062" s="24"/>
      <c r="P20062" s="24"/>
      <c r="Q20062" s="24"/>
      <c r="R20062" s="24"/>
      <c r="S20062" s="24"/>
      <c r="T20062" s="24"/>
      <c r="U20062" s="24"/>
      <c r="V20062" s="24"/>
      <c r="W20062" s="24"/>
      <c r="X20062" s="24"/>
      <c r="Y20062" s="24"/>
      <c r="Z20062" s="24"/>
      <c r="AA20062" s="24"/>
    </row>
    <row r="20063">
      <c r="A20063" s="24"/>
      <c r="B20063" s="25"/>
      <c r="C20063" s="24"/>
      <c r="D20063" s="26"/>
      <c r="E20063" s="24"/>
      <c r="F20063" s="24"/>
      <c r="G20063" s="24"/>
      <c r="H20063" s="24"/>
      <c r="I20063" s="24"/>
      <c r="J20063" s="24"/>
      <c r="K20063" s="24"/>
      <c r="L20063" s="24"/>
      <c r="M20063" s="24"/>
      <c r="N20063" s="24"/>
      <c r="O20063" s="24"/>
      <c r="P20063" s="24"/>
      <c r="Q20063" s="24"/>
      <c r="R20063" s="24"/>
      <c r="S20063" s="24"/>
      <c r="T20063" s="24"/>
      <c r="U20063" s="24"/>
      <c r="V20063" s="24"/>
      <c r="W20063" s="24"/>
      <c r="X20063" s="24"/>
      <c r="Y20063" s="24"/>
      <c r="Z20063" s="24"/>
      <c r="AA20063" s="24"/>
    </row>
    <row r="20064">
      <c r="A20064" s="24"/>
      <c r="B20064" s="25"/>
      <c r="C20064" s="24"/>
      <c r="D20064" s="26"/>
      <c r="E20064" s="24"/>
      <c r="F20064" s="24"/>
      <c r="G20064" s="24"/>
      <c r="H20064" s="24"/>
      <c r="I20064" s="24"/>
      <c r="J20064" s="24"/>
      <c r="K20064" s="24"/>
      <c r="L20064" s="24"/>
      <c r="M20064" s="24"/>
      <c r="N20064" s="24"/>
      <c r="O20064" s="24"/>
      <c r="P20064" s="24"/>
      <c r="Q20064" s="24"/>
      <c r="R20064" s="24"/>
      <c r="S20064" s="24"/>
      <c r="T20064" s="24"/>
      <c r="U20064" s="24"/>
      <c r="V20064" s="24"/>
      <c r="W20064" s="24"/>
      <c r="X20064" s="24"/>
      <c r="Y20064" s="24"/>
      <c r="Z20064" s="24"/>
      <c r="AA20064" s="24"/>
    </row>
    <row r="20065">
      <c r="A20065" s="24"/>
      <c r="B20065" s="25"/>
      <c r="C20065" s="24"/>
      <c r="D20065" s="26"/>
      <c r="E20065" s="24"/>
      <c r="F20065" s="24"/>
      <c r="G20065" s="24"/>
      <c r="H20065" s="24"/>
      <c r="I20065" s="24"/>
      <c r="J20065" s="24"/>
      <c r="K20065" s="24"/>
      <c r="L20065" s="24"/>
      <c r="M20065" s="24"/>
      <c r="N20065" s="24"/>
      <c r="O20065" s="24"/>
      <c r="P20065" s="24"/>
      <c r="Q20065" s="24"/>
      <c r="R20065" s="24"/>
      <c r="S20065" s="24"/>
      <c r="T20065" s="24"/>
      <c r="U20065" s="24"/>
      <c r="V20065" s="24"/>
      <c r="W20065" s="24"/>
      <c r="X20065" s="24"/>
      <c r="Y20065" s="24"/>
      <c r="Z20065" s="24"/>
      <c r="AA20065" s="24"/>
    </row>
    <row r="20066">
      <c r="A20066" s="24"/>
      <c r="B20066" s="25"/>
      <c r="C20066" s="24"/>
      <c r="D20066" s="26"/>
      <c r="E20066" s="24"/>
      <c r="F20066" s="24"/>
      <c r="G20066" s="24"/>
      <c r="H20066" s="24"/>
      <c r="I20066" s="24"/>
      <c r="J20066" s="24"/>
      <c r="K20066" s="24"/>
      <c r="L20066" s="24"/>
      <c r="M20066" s="24"/>
      <c r="N20066" s="24"/>
      <c r="O20066" s="24"/>
      <c r="P20066" s="24"/>
      <c r="Q20066" s="24"/>
      <c r="R20066" s="24"/>
      <c r="S20066" s="24"/>
      <c r="T20066" s="24"/>
      <c r="U20066" s="24"/>
      <c r="V20066" s="24"/>
      <c r="W20066" s="24"/>
      <c r="X20066" s="24"/>
      <c r="Y20066" s="24"/>
      <c r="Z20066" s="24"/>
      <c r="AA20066" s="24"/>
    </row>
    <row r="20067">
      <c r="A20067" s="24"/>
      <c r="B20067" s="25"/>
      <c r="C20067" s="24"/>
      <c r="D20067" s="26"/>
      <c r="E20067" s="24"/>
      <c r="F20067" s="24"/>
      <c r="G20067" s="24"/>
      <c r="H20067" s="24"/>
      <c r="I20067" s="24"/>
      <c r="J20067" s="24"/>
      <c r="K20067" s="24"/>
      <c r="L20067" s="24"/>
      <c r="M20067" s="24"/>
      <c r="N20067" s="24"/>
      <c r="O20067" s="24"/>
      <c r="P20067" s="24"/>
      <c r="Q20067" s="24"/>
      <c r="R20067" s="24"/>
      <c r="S20067" s="24"/>
      <c r="T20067" s="24"/>
      <c r="U20067" s="24"/>
      <c r="V20067" s="24"/>
      <c r="W20067" s="24"/>
      <c r="X20067" s="24"/>
      <c r="Y20067" s="24"/>
      <c r="Z20067" s="24"/>
      <c r="AA20067" s="24"/>
    </row>
    <row r="20068">
      <c r="A20068" s="24"/>
      <c r="B20068" s="25"/>
      <c r="C20068" s="24"/>
      <c r="D20068" s="26"/>
      <c r="E20068" s="24"/>
      <c r="F20068" s="24"/>
      <c r="G20068" s="24"/>
      <c r="H20068" s="24"/>
      <c r="I20068" s="24"/>
      <c r="J20068" s="24"/>
      <c r="K20068" s="24"/>
      <c r="L20068" s="24"/>
      <c r="M20068" s="24"/>
      <c r="N20068" s="24"/>
      <c r="O20068" s="24"/>
      <c r="P20068" s="24"/>
      <c r="Q20068" s="24"/>
      <c r="R20068" s="24"/>
      <c r="S20068" s="24"/>
      <c r="T20068" s="24"/>
      <c r="U20068" s="24"/>
      <c r="V20068" s="24"/>
      <c r="W20068" s="24"/>
      <c r="X20068" s="24"/>
      <c r="Y20068" s="24"/>
      <c r="Z20068" s="24"/>
      <c r="AA20068" s="24"/>
    </row>
    <row r="20069">
      <c r="A20069" s="24"/>
      <c r="B20069" s="25"/>
      <c r="C20069" s="24"/>
      <c r="D20069" s="26"/>
      <c r="E20069" s="24"/>
      <c r="F20069" s="24"/>
      <c r="G20069" s="24"/>
      <c r="H20069" s="24"/>
      <c r="I20069" s="24"/>
      <c r="J20069" s="24"/>
      <c r="K20069" s="24"/>
      <c r="L20069" s="24"/>
      <c r="M20069" s="24"/>
      <c r="N20069" s="24"/>
      <c r="O20069" s="24"/>
      <c r="P20069" s="24"/>
      <c r="Q20069" s="24"/>
      <c r="R20069" s="24"/>
      <c r="S20069" s="24"/>
      <c r="T20069" s="24"/>
      <c r="U20069" s="24"/>
      <c r="V20069" s="24"/>
      <c r="W20069" s="24"/>
      <c r="X20069" s="24"/>
      <c r="Y20069" s="24"/>
      <c r="Z20069" s="24"/>
      <c r="AA20069" s="24"/>
    </row>
    <row r="20070">
      <c r="A20070" s="24"/>
      <c r="B20070" s="25"/>
      <c r="C20070" s="24"/>
      <c r="D20070" s="26"/>
      <c r="E20070" s="24"/>
      <c r="F20070" s="24"/>
      <c r="G20070" s="24"/>
      <c r="H20070" s="24"/>
      <c r="I20070" s="24"/>
      <c r="J20070" s="24"/>
      <c r="K20070" s="24"/>
      <c r="L20070" s="24"/>
      <c r="M20070" s="24"/>
      <c r="N20070" s="24"/>
      <c r="O20070" s="24"/>
      <c r="P20070" s="24"/>
      <c r="Q20070" s="24"/>
      <c r="R20070" s="24"/>
      <c r="S20070" s="24"/>
      <c r="T20070" s="24"/>
      <c r="U20070" s="24"/>
      <c r="V20070" s="24"/>
      <c r="W20070" s="24"/>
      <c r="X20070" s="24"/>
      <c r="Y20070" s="24"/>
      <c r="Z20070" s="24"/>
      <c r="AA20070" s="24"/>
    </row>
    <row r="20071">
      <c r="A20071" s="24"/>
      <c r="B20071" s="25"/>
      <c r="C20071" s="24"/>
      <c r="D20071" s="26"/>
      <c r="E20071" s="24"/>
      <c r="F20071" s="24"/>
      <c r="G20071" s="24"/>
      <c r="H20071" s="24"/>
      <c r="I20071" s="24"/>
      <c r="J20071" s="24"/>
      <c r="K20071" s="24"/>
      <c r="L20071" s="24"/>
      <c r="M20071" s="24"/>
      <c r="N20071" s="24"/>
      <c r="O20071" s="24"/>
      <c r="P20071" s="24"/>
      <c r="Q20071" s="24"/>
      <c r="R20071" s="24"/>
      <c r="S20071" s="24"/>
      <c r="T20071" s="24"/>
      <c r="U20071" s="24"/>
      <c r="V20071" s="24"/>
      <c r="W20071" s="24"/>
      <c r="X20071" s="24"/>
      <c r="Y20071" s="24"/>
      <c r="Z20071" s="24"/>
      <c r="AA20071" s="24"/>
    </row>
    <row r="20072">
      <c r="A20072" s="24"/>
      <c r="B20072" s="25"/>
      <c r="C20072" s="24"/>
      <c r="D20072" s="26"/>
      <c r="E20072" s="24"/>
      <c r="F20072" s="24"/>
      <c r="G20072" s="24"/>
      <c r="H20072" s="24"/>
      <c r="I20072" s="24"/>
      <c r="J20072" s="24"/>
      <c r="K20072" s="24"/>
      <c r="L20072" s="24"/>
      <c r="M20072" s="24"/>
      <c r="N20072" s="24"/>
      <c r="O20072" s="24"/>
      <c r="P20072" s="24"/>
      <c r="Q20072" s="24"/>
      <c r="R20072" s="24"/>
      <c r="S20072" s="24"/>
      <c r="T20072" s="24"/>
      <c r="U20072" s="24"/>
      <c r="V20072" s="24"/>
      <c r="W20072" s="24"/>
      <c r="X20072" s="24"/>
      <c r="Y20072" s="24"/>
      <c r="Z20072" s="24"/>
      <c r="AA20072" s="24"/>
    </row>
    <row r="20073">
      <c r="A20073" s="24"/>
      <c r="B20073" s="25"/>
      <c r="C20073" s="24"/>
      <c r="D20073" s="26"/>
      <c r="E20073" s="24"/>
      <c r="F20073" s="24"/>
      <c r="G20073" s="24"/>
      <c r="H20073" s="24"/>
      <c r="I20073" s="24"/>
      <c r="J20073" s="24"/>
      <c r="K20073" s="24"/>
      <c r="L20073" s="24"/>
      <c r="M20073" s="24"/>
      <c r="N20073" s="24"/>
      <c r="O20073" s="24"/>
      <c r="P20073" s="24"/>
      <c r="Q20073" s="24"/>
      <c r="R20073" s="24"/>
      <c r="S20073" s="24"/>
      <c r="T20073" s="24"/>
      <c r="U20073" s="24"/>
      <c r="V20073" s="24"/>
      <c r="W20073" s="24"/>
      <c r="X20073" s="24"/>
      <c r="Y20073" s="24"/>
      <c r="Z20073" s="24"/>
      <c r="AA20073" s="24"/>
    </row>
    <row r="20074">
      <c r="A20074" s="24"/>
      <c r="B20074" s="25"/>
      <c r="C20074" s="24"/>
      <c r="D20074" s="26"/>
      <c r="E20074" s="24"/>
      <c r="F20074" s="24"/>
      <c r="G20074" s="24"/>
      <c r="H20074" s="24"/>
      <c r="I20074" s="24"/>
      <c r="J20074" s="24"/>
      <c r="K20074" s="24"/>
      <c r="L20074" s="24"/>
      <c r="M20074" s="24"/>
      <c r="N20074" s="24"/>
      <c r="O20074" s="24"/>
      <c r="P20074" s="24"/>
      <c r="Q20074" s="24"/>
      <c r="R20074" s="24"/>
      <c r="S20074" s="24"/>
      <c r="T20074" s="24"/>
      <c r="U20074" s="24"/>
      <c r="V20074" s="24"/>
      <c r="W20074" s="24"/>
      <c r="X20074" s="24"/>
      <c r="Y20074" s="24"/>
      <c r="Z20074" s="24"/>
      <c r="AA20074" s="24"/>
    </row>
    <row r="20075">
      <c r="A20075" s="24"/>
      <c r="B20075" s="25"/>
      <c r="C20075" s="24"/>
      <c r="D20075" s="26"/>
      <c r="E20075" s="24"/>
      <c r="F20075" s="24"/>
      <c r="G20075" s="24"/>
      <c r="H20075" s="24"/>
      <c r="I20075" s="24"/>
      <c r="J20075" s="24"/>
      <c r="K20075" s="24"/>
      <c r="L20075" s="24"/>
      <c r="M20075" s="24"/>
      <c r="N20075" s="24"/>
      <c r="O20075" s="24"/>
      <c r="P20075" s="24"/>
      <c r="Q20075" s="24"/>
      <c r="R20075" s="24"/>
      <c r="S20075" s="24"/>
      <c r="T20075" s="24"/>
      <c r="U20075" s="24"/>
      <c r="V20075" s="24"/>
      <c r="W20075" s="24"/>
      <c r="X20075" s="24"/>
      <c r="Y20075" s="24"/>
      <c r="Z20075" s="24"/>
      <c r="AA20075" s="24"/>
    </row>
    <row r="20076">
      <c r="A20076" s="24"/>
      <c r="B20076" s="25"/>
      <c r="C20076" s="24"/>
      <c r="D20076" s="26"/>
      <c r="E20076" s="24"/>
      <c r="F20076" s="24"/>
      <c r="G20076" s="24"/>
      <c r="H20076" s="24"/>
      <c r="I20076" s="24"/>
      <c r="J20076" s="24"/>
      <c r="K20076" s="24"/>
      <c r="L20076" s="24"/>
      <c r="M20076" s="24"/>
      <c r="N20076" s="24"/>
      <c r="O20076" s="24"/>
      <c r="P20076" s="24"/>
      <c r="Q20076" s="24"/>
      <c r="R20076" s="24"/>
      <c r="S20076" s="24"/>
      <c r="T20076" s="24"/>
      <c r="U20076" s="24"/>
      <c r="V20076" s="24"/>
      <c r="W20076" s="24"/>
      <c r="X20076" s="24"/>
      <c r="Y20076" s="24"/>
      <c r="Z20076" s="24"/>
      <c r="AA20076" s="24"/>
    </row>
    <row r="20077">
      <c r="A20077" s="24"/>
      <c r="B20077" s="25"/>
      <c r="C20077" s="24"/>
      <c r="D20077" s="26"/>
      <c r="E20077" s="24"/>
      <c r="F20077" s="24"/>
      <c r="G20077" s="24"/>
      <c r="H20077" s="24"/>
      <c r="I20077" s="24"/>
      <c r="J20077" s="24"/>
      <c r="K20077" s="24"/>
      <c r="L20077" s="24"/>
      <c r="M20077" s="24"/>
      <c r="N20077" s="24"/>
      <c r="O20077" s="24"/>
      <c r="P20077" s="24"/>
      <c r="Q20077" s="24"/>
      <c r="R20077" s="24"/>
      <c r="S20077" s="24"/>
      <c r="T20077" s="24"/>
      <c r="U20077" s="24"/>
      <c r="V20077" s="24"/>
      <c r="W20077" s="24"/>
      <c r="X20077" s="24"/>
      <c r="Y20077" s="24"/>
      <c r="Z20077" s="24"/>
      <c r="AA20077" s="24"/>
    </row>
    <row r="20078">
      <c r="A20078" s="24"/>
      <c r="B20078" s="25"/>
      <c r="C20078" s="24"/>
      <c r="D20078" s="26"/>
      <c r="E20078" s="24"/>
      <c r="F20078" s="24"/>
      <c r="G20078" s="24"/>
      <c r="H20078" s="24"/>
      <c r="I20078" s="24"/>
      <c r="J20078" s="24"/>
      <c r="K20078" s="24"/>
      <c r="L20078" s="24"/>
      <c r="M20078" s="24"/>
      <c r="N20078" s="24"/>
      <c r="O20078" s="24"/>
      <c r="P20078" s="24"/>
      <c r="Q20078" s="24"/>
      <c r="R20078" s="24"/>
      <c r="S20078" s="24"/>
      <c r="T20078" s="24"/>
      <c r="U20078" s="24"/>
      <c r="V20078" s="24"/>
      <c r="W20078" s="24"/>
      <c r="X20078" s="24"/>
      <c r="Y20078" s="24"/>
      <c r="Z20078" s="24"/>
      <c r="AA20078" s="24"/>
    </row>
    <row r="20079">
      <c r="A20079" s="24"/>
      <c r="B20079" s="25"/>
      <c r="C20079" s="24"/>
      <c r="D20079" s="26"/>
      <c r="E20079" s="24"/>
      <c r="F20079" s="24"/>
      <c r="G20079" s="24"/>
      <c r="H20079" s="24"/>
      <c r="I20079" s="24"/>
      <c r="J20079" s="24"/>
      <c r="K20079" s="24"/>
      <c r="L20079" s="24"/>
      <c r="M20079" s="24"/>
      <c r="N20079" s="24"/>
      <c r="O20079" s="24"/>
      <c r="P20079" s="24"/>
      <c r="Q20079" s="24"/>
      <c r="R20079" s="24"/>
      <c r="S20079" s="24"/>
      <c r="T20079" s="24"/>
      <c r="U20079" s="24"/>
      <c r="V20079" s="24"/>
      <c r="W20079" s="24"/>
      <c r="X20079" s="24"/>
      <c r="Y20079" s="24"/>
      <c r="Z20079" s="24"/>
      <c r="AA20079" s="24"/>
    </row>
    <row r="20080">
      <c r="A20080" s="24"/>
      <c r="B20080" s="25"/>
      <c r="C20080" s="24"/>
      <c r="D20080" s="26"/>
      <c r="E20080" s="24"/>
      <c r="F20080" s="24"/>
      <c r="G20080" s="24"/>
      <c r="H20080" s="24"/>
      <c r="I20080" s="24"/>
      <c r="J20080" s="24"/>
      <c r="K20080" s="24"/>
      <c r="L20080" s="24"/>
      <c r="M20080" s="24"/>
      <c r="N20080" s="24"/>
      <c r="O20080" s="24"/>
      <c r="P20080" s="24"/>
      <c r="Q20080" s="24"/>
      <c r="R20080" s="24"/>
      <c r="S20080" s="24"/>
      <c r="T20080" s="24"/>
      <c r="U20080" s="24"/>
      <c r="V20080" s="24"/>
      <c r="W20080" s="24"/>
      <c r="X20080" s="24"/>
      <c r="Y20080" s="24"/>
      <c r="Z20080" s="24"/>
      <c r="AA20080" s="24"/>
    </row>
    <row r="20081">
      <c r="A20081" s="24"/>
      <c r="B20081" s="25"/>
      <c r="C20081" s="24"/>
      <c r="D20081" s="26"/>
      <c r="E20081" s="24"/>
      <c r="F20081" s="24"/>
      <c r="G20081" s="24"/>
      <c r="H20081" s="24"/>
      <c r="I20081" s="24"/>
      <c r="J20081" s="24"/>
      <c r="K20081" s="24"/>
      <c r="L20081" s="24"/>
      <c r="M20081" s="24"/>
      <c r="N20081" s="24"/>
      <c r="O20081" s="24"/>
      <c r="P20081" s="24"/>
      <c r="Q20081" s="24"/>
      <c r="R20081" s="24"/>
      <c r="S20081" s="24"/>
      <c r="T20081" s="24"/>
      <c r="U20081" s="24"/>
      <c r="V20081" s="24"/>
      <c r="W20081" s="24"/>
      <c r="X20081" s="24"/>
      <c r="Y20081" s="24"/>
      <c r="Z20081" s="24"/>
      <c r="AA20081" s="24"/>
    </row>
    <row r="20082">
      <c r="A20082" s="24"/>
      <c r="B20082" s="25"/>
      <c r="C20082" s="24"/>
      <c r="D20082" s="26"/>
      <c r="E20082" s="24"/>
      <c r="F20082" s="24"/>
      <c r="G20082" s="24"/>
      <c r="H20082" s="24"/>
      <c r="I20082" s="24"/>
      <c r="J20082" s="24"/>
      <c r="K20082" s="24"/>
      <c r="L20082" s="24"/>
      <c r="M20082" s="24"/>
      <c r="N20082" s="24"/>
      <c r="O20082" s="24"/>
      <c r="P20082" s="24"/>
      <c r="Q20082" s="24"/>
      <c r="R20082" s="24"/>
      <c r="S20082" s="24"/>
      <c r="T20082" s="24"/>
      <c r="U20082" s="24"/>
      <c r="V20082" s="24"/>
      <c r="W20082" s="24"/>
      <c r="X20082" s="24"/>
      <c r="Y20082" s="24"/>
      <c r="Z20082" s="24"/>
      <c r="AA20082" s="24"/>
    </row>
    <row r="20083">
      <c r="A20083" s="24"/>
      <c r="B20083" s="25"/>
      <c r="C20083" s="24"/>
      <c r="D20083" s="26"/>
      <c r="E20083" s="24"/>
      <c r="F20083" s="24"/>
      <c r="G20083" s="24"/>
      <c r="H20083" s="24"/>
      <c r="I20083" s="24"/>
      <c r="J20083" s="24"/>
      <c r="K20083" s="24"/>
      <c r="L20083" s="24"/>
      <c r="M20083" s="24"/>
      <c r="N20083" s="24"/>
      <c r="O20083" s="24"/>
      <c r="P20083" s="24"/>
      <c r="Q20083" s="24"/>
      <c r="R20083" s="24"/>
      <c r="S20083" s="24"/>
      <c r="T20083" s="24"/>
      <c r="U20083" s="24"/>
      <c r="V20083" s="24"/>
      <c r="W20083" s="24"/>
      <c r="X20083" s="24"/>
      <c r="Y20083" s="24"/>
      <c r="Z20083" s="24"/>
      <c r="AA20083" s="24"/>
    </row>
    <row r="20084">
      <c r="A20084" s="24"/>
      <c r="B20084" s="25"/>
      <c r="C20084" s="24"/>
      <c r="D20084" s="26"/>
      <c r="E20084" s="24"/>
      <c r="F20084" s="24"/>
      <c r="G20084" s="24"/>
      <c r="H20084" s="24"/>
      <c r="I20084" s="24"/>
      <c r="J20084" s="24"/>
      <c r="K20084" s="24"/>
      <c r="L20084" s="24"/>
      <c r="M20084" s="24"/>
      <c r="N20084" s="24"/>
      <c r="O20084" s="24"/>
      <c r="P20084" s="24"/>
      <c r="Q20084" s="24"/>
      <c r="R20084" s="24"/>
      <c r="S20084" s="24"/>
      <c r="T20084" s="24"/>
      <c r="U20084" s="24"/>
      <c r="V20084" s="24"/>
      <c r="W20084" s="24"/>
      <c r="X20084" s="24"/>
      <c r="Y20084" s="24"/>
      <c r="Z20084" s="24"/>
      <c r="AA20084" s="24"/>
    </row>
    <row r="20085">
      <c r="A20085" s="24"/>
      <c r="B20085" s="25"/>
      <c r="C20085" s="24"/>
      <c r="D20085" s="26"/>
      <c r="E20085" s="24"/>
      <c r="F20085" s="24"/>
      <c r="G20085" s="24"/>
      <c r="H20085" s="24"/>
      <c r="I20085" s="24"/>
      <c r="J20085" s="24"/>
      <c r="K20085" s="24"/>
      <c r="L20085" s="24"/>
      <c r="M20085" s="24"/>
      <c r="N20085" s="24"/>
      <c r="O20085" s="24"/>
      <c r="P20085" s="24"/>
      <c r="Q20085" s="24"/>
      <c r="R20085" s="24"/>
      <c r="S20085" s="24"/>
      <c r="T20085" s="24"/>
      <c r="U20085" s="24"/>
      <c r="V20085" s="24"/>
      <c r="W20085" s="24"/>
      <c r="X20085" s="24"/>
      <c r="Y20085" s="24"/>
      <c r="Z20085" s="24"/>
      <c r="AA20085" s="24"/>
    </row>
    <row r="20086">
      <c r="A20086" s="24"/>
      <c r="B20086" s="25"/>
      <c r="C20086" s="24"/>
      <c r="D20086" s="26"/>
      <c r="E20086" s="24"/>
      <c r="F20086" s="24"/>
      <c r="G20086" s="24"/>
      <c r="H20086" s="24"/>
      <c r="I20086" s="24"/>
      <c r="J20086" s="24"/>
      <c r="K20086" s="24"/>
      <c r="L20086" s="24"/>
      <c r="M20086" s="24"/>
      <c r="N20086" s="24"/>
      <c r="O20086" s="24"/>
      <c r="P20086" s="24"/>
      <c r="Q20086" s="24"/>
      <c r="R20086" s="24"/>
      <c r="S20086" s="24"/>
      <c r="T20086" s="24"/>
      <c r="U20086" s="24"/>
      <c r="V20086" s="24"/>
      <c r="W20086" s="24"/>
      <c r="X20086" s="24"/>
      <c r="Y20086" s="24"/>
      <c r="Z20086" s="24"/>
      <c r="AA20086" s="24"/>
    </row>
    <row r="20087">
      <c r="A20087" s="24"/>
      <c r="B20087" s="25"/>
      <c r="C20087" s="24"/>
      <c r="D20087" s="26"/>
      <c r="E20087" s="24"/>
      <c r="F20087" s="24"/>
      <c r="G20087" s="24"/>
      <c r="H20087" s="24"/>
      <c r="I20087" s="24"/>
      <c r="J20087" s="24"/>
      <c r="K20087" s="24"/>
      <c r="L20087" s="24"/>
      <c r="M20087" s="24"/>
      <c r="N20087" s="24"/>
      <c r="O20087" s="24"/>
      <c r="P20087" s="24"/>
      <c r="Q20087" s="24"/>
      <c r="R20087" s="24"/>
      <c r="S20087" s="24"/>
      <c r="T20087" s="24"/>
      <c r="U20087" s="24"/>
      <c r="V20087" s="24"/>
      <c r="W20087" s="24"/>
      <c r="X20087" s="24"/>
      <c r="Y20087" s="24"/>
      <c r="Z20087" s="24"/>
      <c r="AA20087" s="24"/>
    </row>
    <row r="20088">
      <c r="A20088" s="24"/>
      <c r="B20088" s="25"/>
      <c r="C20088" s="24"/>
      <c r="D20088" s="26"/>
      <c r="E20088" s="24"/>
      <c r="F20088" s="24"/>
      <c r="G20088" s="24"/>
      <c r="H20088" s="24"/>
      <c r="I20088" s="24"/>
      <c r="J20088" s="24"/>
      <c r="K20088" s="24"/>
      <c r="L20088" s="24"/>
      <c r="M20088" s="24"/>
      <c r="N20088" s="24"/>
      <c r="O20088" s="24"/>
      <c r="P20088" s="24"/>
      <c r="Q20088" s="24"/>
      <c r="R20088" s="24"/>
      <c r="S20088" s="24"/>
      <c r="T20088" s="24"/>
      <c r="U20088" s="24"/>
      <c r="V20088" s="24"/>
      <c r="W20088" s="24"/>
      <c r="X20088" s="24"/>
      <c r="Y20088" s="24"/>
      <c r="Z20088" s="24"/>
      <c r="AA20088" s="24"/>
    </row>
    <row r="20089">
      <c r="A20089" s="24"/>
      <c r="B20089" s="25"/>
      <c r="C20089" s="24"/>
      <c r="D20089" s="26"/>
      <c r="E20089" s="24"/>
      <c r="F20089" s="24"/>
      <c r="G20089" s="24"/>
      <c r="H20089" s="24"/>
      <c r="I20089" s="24"/>
      <c r="J20089" s="24"/>
      <c r="K20089" s="24"/>
      <c r="L20089" s="24"/>
      <c r="M20089" s="24"/>
      <c r="N20089" s="24"/>
      <c r="O20089" s="24"/>
      <c r="P20089" s="24"/>
      <c r="Q20089" s="24"/>
      <c r="R20089" s="24"/>
      <c r="S20089" s="24"/>
      <c r="T20089" s="24"/>
      <c r="U20089" s="24"/>
      <c r="V20089" s="24"/>
      <c r="W20089" s="24"/>
      <c r="X20089" s="24"/>
      <c r="Y20089" s="24"/>
      <c r="Z20089" s="24"/>
      <c r="AA20089" s="24"/>
    </row>
    <row r="20090">
      <c r="A20090" s="24"/>
      <c r="B20090" s="25"/>
      <c r="C20090" s="24"/>
      <c r="D20090" s="26"/>
      <c r="E20090" s="24"/>
      <c r="F20090" s="24"/>
      <c r="G20090" s="24"/>
      <c r="H20090" s="24"/>
      <c r="I20090" s="24"/>
      <c r="J20090" s="24"/>
      <c r="K20090" s="24"/>
      <c r="L20090" s="24"/>
      <c r="M20090" s="24"/>
      <c r="N20090" s="24"/>
      <c r="O20090" s="24"/>
      <c r="P20090" s="24"/>
      <c r="Q20090" s="24"/>
      <c r="R20090" s="24"/>
      <c r="S20090" s="24"/>
      <c r="T20090" s="24"/>
      <c r="U20090" s="24"/>
      <c r="V20090" s="24"/>
      <c r="W20090" s="24"/>
      <c r="X20090" s="24"/>
      <c r="Y20090" s="24"/>
      <c r="Z20090" s="24"/>
      <c r="AA20090" s="24"/>
    </row>
    <row r="20091">
      <c r="A20091" s="24"/>
      <c r="B20091" s="25"/>
      <c r="C20091" s="24"/>
      <c r="D20091" s="26"/>
      <c r="E20091" s="24"/>
      <c r="F20091" s="24"/>
      <c r="G20091" s="24"/>
      <c r="H20091" s="24"/>
      <c r="I20091" s="24"/>
      <c r="J20091" s="24"/>
      <c r="K20091" s="24"/>
      <c r="L20091" s="24"/>
      <c r="M20091" s="24"/>
      <c r="N20091" s="24"/>
      <c r="O20091" s="24"/>
      <c r="P20091" s="24"/>
      <c r="Q20091" s="24"/>
      <c r="R20091" s="24"/>
      <c r="S20091" s="24"/>
      <c r="T20091" s="24"/>
      <c r="U20091" s="24"/>
      <c r="V20091" s="24"/>
      <c r="W20091" s="24"/>
      <c r="X20091" s="24"/>
      <c r="Y20091" s="24"/>
      <c r="Z20091" s="24"/>
      <c r="AA20091" s="24"/>
    </row>
    <row r="20092">
      <c r="A20092" s="24"/>
      <c r="B20092" s="25"/>
      <c r="C20092" s="24"/>
      <c r="D20092" s="26"/>
      <c r="E20092" s="24"/>
      <c r="F20092" s="24"/>
      <c r="G20092" s="24"/>
      <c r="H20092" s="24"/>
      <c r="I20092" s="24"/>
      <c r="J20092" s="24"/>
      <c r="K20092" s="24"/>
      <c r="L20092" s="24"/>
      <c r="M20092" s="24"/>
      <c r="N20092" s="24"/>
      <c r="O20092" s="24"/>
      <c r="P20092" s="24"/>
      <c r="Q20092" s="24"/>
      <c r="R20092" s="24"/>
      <c r="S20092" s="24"/>
      <c r="T20092" s="24"/>
      <c r="U20092" s="24"/>
      <c r="V20092" s="24"/>
      <c r="W20092" s="24"/>
      <c r="X20092" s="24"/>
      <c r="Y20092" s="24"/>
      <c r="Z20092" s="24"/>
      <c r="AA20092" s="24"/>
    </row>
    <row r="20093">
      <c r="A20093" s="24"/>
      <c r="B20093" s="25"/>
      <c r="C20093" s="24"/>
      <c r="D20093" s="26"/>
      <c r="E20093" s="24"/>
      <c r="F20093" s="24"/>
      <c r="G20093" s="24"/>
      <c r="H20093" s="24"/>
      <c r="I20093" s="24"/>
      <c r="J20093" s="24"/>
      <c r="K20093" s="24"/>
      <c r="L20093" s="24"/>
      <c r="M20093" s="24"/>
      <c r="N20093" s="24"/>
      <c r="O20093" s="24"/>
      <c r="P20093" s="24"/>
      <c r="Q20093" s="24"/>
      <c r="R20093" s="24"/>
      <c r="S20093" s="24"/>
      <c r="T20093" s="24"/>
      <c r="U20093" s="24"/>
      <c r="V20093" s="24"/>
      <c r="W20093" s="24"/>
      <c r="X20093" s="24"/>
      <c r="Y20093" s="24"/>
      <c r="Z20093" s="24"/>
      <c r="AA20093" s="24"/>
    </row>
    <row r="20094">
      <c r="A20094" s="24"/>
      <c r="B20094" s="25"/>
      <c r="C20094" s="24"/>
      <c r="D20094" s="26"/>
      <c r="E20094" s="24"/>
      <c r="F20094" s="24"/>
      <c r="G20094" s="24"/>
      <c r="H20094" s="24"/>
      <c r="I20094" s="24"/>
      <c r="J20094" s="24"/>
      <c r="K20094" s="24"/>
      <c r="L20094" s="24"/>
      <c r="M20094" s="24"/>
      <c r="N20094" s="24"/>
      <c r="O20094" s="24"/>
      <c r="P20094" s="24"/>
      <c r="Q20094" s="24"/>
      <c r="R20094" s="24"/>
      <c r="S20094" s="24"/>
      <c r="T20094" s="24"/>
      <c r="U20094" s="24"/>
      <c r="V20094" s="24"/>
      <c r="W20094" s="24"/>
      <c r="X20094" s="24"/>
      <c r="Y20094" s="24"/>
      <c r="Z20094" s="24"/>
      <c r="AA20094" s="24"/>
    </row>
    <row r="20095">
      <c r="A20095" s="24"/>
      <c r="B20095" s="25"/>
      <c r="C20095" s="24"/>
      <c r="D20095" s="26"/>
      <c r="E20095" s="24"/>
      <c r="F20095" s="24"/>
      <c r="G20095" s="24"/>
      <c r="H20095" s="24"/>
      <c r="I20095" s="24"/>
      <c r="J20095" s="24"/>
      <c r="K20095" s="24"/>
      <c r="L20095" s="24"/>
      <c r="M20095" s="24"/>
      <c r="N20095" s="24"/>
      <c r="O20095" s="24"/>
      <c r="P20095" s="24"/>
      <c r="Q20095" s="24"/>
      <c r="R20095" s="24"/>
      <c r="S20095" s="24"/>
      <c r="T20095" s="24"/>
      <c r="U20095" s="24"/>
      <c r="V20095" s="24"/>
      <c r="W20095" s="24"/>
      <c r="X20095" s="24"/>
      <c r="Y20095" s="24"/>
      <c r="Z20095" s="24"/>
      <c r="AA20095" s="24"/>
    </row>
    <row r="20096">
      <c r="A20096" s="24"/>
      <c r="B20096" s="25"/>
      <c r="C20096" s="24"/>
      <c r="D20096" s="26"/>
      <c r="E20096" s="24"/>
      <c r="F20096" s="24"/>
      <c r="G20096" s="24"/>
      <c r="H20096" s="24"/>
      <c r="I20096" s="24"/>
      <c r="J20096" s="24"/>
      <c r="K20096" s="24"/>
      <c r="L20096" s="24"/>
      <c r="M20096" s="24"/>
      <c r="N20096" s="24"/>
      <c r="O20096" s="24"/>
      <c r="P20096" s="24"/>
      <c r="Q20096" s="24"/>
      <c r="R20096" s="24"/>
      <c r="S20096" s="24"/>
      <c r="T20096" s="24"/>
      <c r="U20096" s="24"/>
      <c r="V20096" s="24"/>
      <c r="W20096" s="24"/>
      <c r="X20096" s="24"/>
      <c r="Y20096" s="24"/>
      <c r="Z20096" s="24"/>
      <c r="AA20096" s="24"/>
    </row>
    <row r="20097">
      <c r="A20097" s="24"/>
      <c r="B20097" s="25"/>
      <c r="C20097" s="24"/>
      <c r="D20097" s="26"/>
      <c r="E20097" s="24"/>
      <c r="F20097" s="24"/>
      <c r="G20097" s="24"/>
      <c r="H20097" s="24"/>
      <c r="I20097" s="24"/>
      <c r="J20097" s="24"/>
      <c r="K20097" s="24"/>
      <c r="L20097" s="24"/>
      <c r="M20097" s="24"/>
      <c r="N20097" s="24"/>
      <c r="O20097" s="24"/>
      <c r="P20097" s="24"/>
      <c r="Q20097" s="24"/>
      <c r="R20097" s="24"/>
      <c r="S20097" s="24"/>
      <c r="T20097" s="24"/>
      <c r="U20097" s="24"/>
      <c r="V20097" s="24"/>
      <c r="W20097" s="24"/>
      <c r="X20097" s="24"/>
      <c r="Y20097" s="24"/>
      <c r="Z20097" s="24"/>
      <c r="AA20097" s="24"/>
    </row>
    <row r="20098">
      <c r="A20098" s="24"/>
      <c r="B20098" s="25"/>
      <c r="C20098" s="24"/>
      <c r="D20098" s="26"/>
      <c r="E20098" s="24"/>
      <c r="F20098" s="24"/>
      <c r="G20098" s="24"/>
      <c r="H20098" s="24"/>
      <c r="I20098" s="24"/>
      <c r="J20098" s="24"/>
      <c r="K20098" s="24"/>
      <c r="L20098" s="24"/>
      <c r="M20098" s="24"/>
      <c r="N20098" s="24"/>
      <c r="O20098" s="24"/>
      <c r="P20098" s="24"/>
      <c r="Q20098" s="24"/>
      <c r="R20098" s="24"/>
      <c r="S20098" s="24"/>
      <c r="T20098" s="24"/>
      <c r="U20098" s="24"/>
      <c r="V20098" s="24"/>
      <c r="W20098" s="24"/>
      <c r="X20098" s="24"/>
      <c r="Y20098" s="24"/>
      <c r="Z20098" s="24"/>
      <c r="AA20098" s="24"/>
    </row>
    <row r="20099">
      <c r="A20099" s="24"/>
      <c r="B20099" s="25"/>
      <c r="C20099" s="24"/>
      <c r="D20099" s="26"/>
      <c r="E20099" s="24"/>
      <c r="F20099" s="24"/>
      <c r="G20099" s="24"/>
      <c r="H20099" s="24"/>
      <c r="I20099" s="24"/>
      <c r="J20099" s="24"/>
      <c r="K20099" s="24"/>
      <c r="L20099" s="24"/>
      <c r="M20099" s="24"/>
      <c r="N20099" s="24"/>
      <c r="O20099" s="24"/>
      <c r="P20099" s="24"/>
      <c r="Q20099" s="24"/>
      <c r="R20099" s="24"/>
      <c r="S20099" s="24"/>
      <c r="T20099" s="24"/>
      <c r="U20099" s="24"/>
      <c r="V20099" s="24"/>
      <c r="W20099" s="24"/>
      <c r="X20099" s="24"/>
      <c r="Y20099" s="24"/>
      <c r="Z20099" s="24"/>
      <c r="AA20099" s="24"/>
    </row>
    <row r="20100">
      <c r="A20100" s="24"/>
      <c r="B20100" s="25"/>
      <c r="C20100" s="24"/>
      <c r="D20100" s="26"/>
      <c r="E20100" s="24"/>
      <c r="F20100" s="24"/>
      <c r="G20100" s="24"/>
      <c r="H20100" s="24"/>
      <c r="I20100" s="24"/>
      <c r="J20100" s="24"/>
      <c r="K20100" s="24"/>
      <c r="L20100" s="24"/>
      <c r="M20100" s="24"/>
      <c r="N20100" s="24"/>
      <c r="O20100" s="24"/>
      <c r="P20100" s="24"/>
      <c r="Q20100" s="24"/>
      <c r="R20100" s="24"/>
      <c r="S20100" s="24"/>
      <c r="T20100" s="24"/>
      <c r="U20100" s="24"/>
      <c r="V20100" s="24"/>
      <c r="W20100" s="24"/>
      <c r="X20100" s="24"/>
      <c r="Y20100" s="24"/>
      <c r="Z20100" s="24"/>
      <c r="AA20100" s="24"/>
    </row>
    <row r="20101">
      <c r="A20101" s="24"/>
      <c r="B20101" s="25"/>
      <c r="C20101" s="24"/>
      <c r="D20101" s="26"/>
      <c r="E20101" s="24"/>
      <c r="F20101" s="24"/>
      <c r="G20101" s="24"/>
      <c r="H20101" s="24"/>
      <c r="I20101" s="24"/>
      <c r="J20101" s="24"/>
      <c r="K20101" s="24"/>
      <c r="L20101" s="24"/>
      <c r="M20101" s="24"/>
      <c r="N20101" s="24"/>
      <c r="O20101" s="24"/>
      <c r="P20101" s="24"/>
      <c r="Q20101" s="24"/>
      <c r="R20101" s="24"/>
      <c r="S20101" s="24"/>
      <c r="T20101" s="24"/>
      <c r="U20101" s="24"/>
      <c r="V20101" s="24"/>
      <c r="W20101" s="24"/>
      <c r="X20101" s="24"/>
      <c r="Y20101" s="24"/>
      <c r="Z20101" s="24"/>
      <c r="AA20101" s="24"/>
    </row>
    <row r="20102">
      <c r="A20102" s="24"/>
      <c r="B20102" s="25"/>
      <c r="C20102" s="24"/>
      <c r="D20102" s="26"/>
      <c r="E20102" s="24"/>
      <c r="F20102" s="24"/>
      <c r="G20102" s="24"/>
      <c r="H20102" s="24"/>
      <c r="I20102" s="24"/>
      <c r="J20102" s="24"/>
      <c r="K20102" s="24"/>
      <c r="L20102" s="24"/>
      <c r="M20102" s="24"/>
      <c r="N20102" s="24"/>
      <c r="O20102" s="24"/>
      <c r="P20102" s="24"/>
      <c r="Q20102" s="24"/>
      <c r="R20102" s="24"/>
      <c r="S20102" s="24"/>
      <c r="T20102" s="24"/>
      <c r="U20102" s="24"/>
      <c r="V20102" s="24"/>
      <c r="W20102" s="24"/>
      <c r="X20102" s="24"/>
      <c r="Y20102" s="24"/>
      <c r="Z20102" s="24"/>
      <c r="AA20102" s="24"/>
    </row>
    <row r="20103">
      <c r="A20103" s="24"/>
      <c r="B20103" s="25"/>
      <c r="C20103" s="24"/>
      <c r="D20103" s="26"/>
      <c r="E20103" s="24"/>
      <c r="F20103" s="24"/>
      <c r="G20103" s="24"/>
      <c r="H20103" s="24"/>
      <c r="I20103" s="24"/>
      <c r="J20103" s="24"/>
      <c r="K20103" s="24"/>
      <c r="L20103" s="24"/>
      <c r="M20103" s="24"/>
      <c r="N20103" s="24"/>
      <c r="O20103" s="24"/>
      <c r="P20103" s="24"/>
      <c r="Q20103" s="24"/>
      <c r="R20103" s="24"/>
      <c r="S20103" s="24"/>
      <c r="T20103" s="24"/>
      <c r="U20103" s="24"/>
      <c r="V20103" s="24"/>
      <c r="W20103" s="24"/>
      <c r="X20103" s="24"/>
      <c r="Y20103" s="24"/>
      <c r="Z20103" s="24"/>
      <c r="AA20103" s="24"/>
    </row>
    <row r="20104">
      <c r="A20104" s="24"/>
      <c r="B20104" s="25"/>
      <c r="C20104" s="24"/>
      <c r="D20104" s="26"/>
      <c r="E20104" s="24"/>
      <c r="F20104" s="24"/>
      <c r="G20104" s="24"/>
      <c r="H20104" s="24"/>
      <c r="I20104" s="24"/>
      <c r="J20104" s="24"/>
      <c r="K20104" s="24"/>
      <c r="L20104" s="24"/>
      <c r="M20104" s="24"/>
      <c r="N20104" s="24"/>
      <c r="O20104" s="24"/>
      <c r="P20104" s="24"/>
      <c r="Q20104" s="24"/>
      <c r="R20104" s="24"/>
      <c r="S20104" s="24"/>
      <c r="T20104" s="24"/>
      <c r="U20104" s="24"/>
      <c r="V20104" s="24"/>
      <c r="W20104" s="24"/>
      <c r="X20104" s="24"/>
      <c r="Y20104" s="24"/>
      <c r="Z20104" s="24"/>
      <c r="AA20104" s="24"/>
    </row>
    <row r="20105">
      <c r="A20105" s="24"/>
      <c r="B20105" s="25"/>
      <c r="C20105" s="24"/>
      <c r="D20105" s="26"/>
      <c r="E20105" s="24"/>
      <c r="F20105" s="24"/>
      <c r="G20105" s="24"/>
      <c r="H20105" s="24"/>
      <c r="I20105" s="24"/>
      <c r="J20105" s="24"/>
      <c r="K20105" s="24"/>
      <c r="L20105" s="24"/>
      <c r="M20105" s="24"/>
      <c r="N20105" s="24"/>
      <c r="O20105" s="24"/>
      <c r="P20105" s="24"/>
      <c r="Q20105" s="24"/>
      <c r="R20105" s="24"/>
      <c r="S20105" s="24"/>
      <c r="T20105" s="24"/>
      <c r="U20105" s="24"/>
      <c r="V20105" s="24"/>
      <c r="W20105" s="24"/>
      <c r="X20105" s="24"/>
      <c r="Y20105" s="24"/>
      <c r="Z20105" s="24"/>
      <c r="AA20105" s="24"/>
    </row>
    <row r="20106">
      <c r="A20106" s="24"/>
      <c r="B20106" s="25"/>
      <c r="C20106" s="24"/>
      <c r="D20106" s="26"/>
      <c r="E20106" s="24"/>
      <c r="F20106" s="24"/>
      <c r="G20106" s="24"/>
      <c r="H20106" s="24"/>
      <c r="I20106" s="24"/>
      <c r="J20106" s="24"/>
      <c r="K20106" s="24"/>
      <c r="L20106" s="24"/>
      <c r="M20106" s="24"/>
      <c r="N20106" s="24"/>
      <c r="O20106" s="24"/>
      <c r="P20106" s="24"/>
      <c r="Q20106" s="24"/>
      <c r="R20106" s="24"/>
      <c r="S20106" s="24"/>
      <c r="T20106" s="24"/>
      <c r="U20106" s="24"/>
      <c r="V20106" s="24"/>
      <c r="W20106" s="24"/>
      <c r="X20106" s="24"/>
      <c r="Y20106" s="24"/>
      <c r="Z20106" s="24"/>
      <c r="AA20106" s="24"/>
    </row>
    <row r="20107">
      <c r="A20107" s="24"/>
      <c r="B20107" s="25"/>
      <c r="C20107" s="24"/>
      <c r="D20107" s="26"/>
      <c r="E20107" s="24"/>
      <c r="F20107" s="24"/>
      <c r="G20107" s="24"/>
      <c r="H20107" s="24"/>
      <c r="I20107" s="24"/>
      <c r="J20107" s="24"/>
      <c r="K20107" s="24"/>
      <c r="L20107" s="24"/>
      <c r="M20107" s="24"/>
      <c r="N20107" s="24"/>
      <c r="O20107" s="24"/>
      <c r="P20107" s="24"/>
      <c r="Q20107" s="24"/>
      <c r="R20107" s="24"/>
      <c r="S20107" s="24"/>
      <c r="T20107" s="24"/>
      <c r="U20107" s="24"/>
      <c r="V20107" s="24"/>
      <c r="W20107" s="24"/>
      <c r="X20107" s="24"/>
      <c r="Y20107" s="24"/>
      <c r="Z20107" s="24"/>
      <c r="AA20107" s="24"/>
    </row>
    <row r="20108">
      <c r="A20108" s="24"/>
      <c r="B20108" s="25"/>
      <c r="C20108" s="24"/>
      <c r="D20108" s="26"/>
      <c r="E20108" s="24"/>
      <c r="F20108" s="24"/>
      <c r="G20108" s="24"/>
      <c r="H20108" s="24"/>
      <c r="I20108" s="24"/>
      <c r="J20108" s="24"/>
      <c r="K20108" s="24"/>
      <c r="L20108" s="24"/>
      <c r="M20108" s="24"/>
      <c r="N20108" s="24"/>
      <c r="O20108" s="24"/>
      <c r="P20108" s="24"/>
      <c r="Q20108" s="24"/>
      <c r="R20108" s="24"/>
      <c r="S20108" s="24"/>
      <c r="T20108" s="24"/>
      <c r="U20108" s="24"/>
      <c r="V20108" s="24"/>
      <c r="W20108" s="24"/>
      <c r="X20108" s="24"/>
      <c r="Y20108" s="24"/>
      <c r="Z20108" s="24"/>
      <c r="AA20108" s="24"/>
    </row>
    <row r="20109">
      <c r="A20109" s="24"/>
      <c r="B20109" s="25"/>
      <c r="C20109" s="24"/>
      <c r="D20109" s="26"/>
      <c r="E20109" s="24"/>
      <c r="F20109" s="24"/>
      <c r="G20109" s="24"/>
      <c r="H20109" s="24"/>
      <c r="I20109" s="24"/>
      <c r="J20109" s="24"/>
      <c r="K20109" s="24"/>
      <c r="L20109" s="24"/>
      <c r="M20109" s="24"/>
      <c r="N20109" s="24"/>
      <c r="O20109" s="24"/>
      <c r="P20109" s="24"/>
      <c r="Q20109" s="24"/>
      <c r="R20109" s="24"/>
      <c r="S20109" s="24"/>
      <c r="T20109" s="24"/>
      <c r="U20109" s="24"/>
      <c r="V20109" s="24"/>
      <c r="W20109" s="24"/>
      <c r="X20109" s="24"/>
      <c r="Y20109" s="24"/>
      <c r="Z20109" s="24"/>
      <c r="AA20109" s="24"/>
    </row>
    <row r="20110">
      <c r="A20110" s="24"/>
      <c r="B20110" s="25"/>
      <c r="C20110" s="24"/>
      <c r="D20110" s="26"/>
      <c r="E20110" s="24"/>
      <c r="F20110" s="24"/>
      <c r="G20110" s="24"/>
      <c r="H20110" s="24"/>
      <c r="I20110" s="24"/>
      <c r="J20110" s="24"/>
      <c r="K20110" s="24"/>
      <c r="L20110" s="24"/>
      <c r="M20110" s="24"/>
      <c r="N20110" s="24"/>
      <c r="O20110" s="24"/>
      <c r="P20110" s="24"/>
      <c r="Q20110" s="24"/>
      <c r="R20110" s="24"/>
      <c r="S20110" s="24"/>
      <c r="T20110" s="24"/>
      <c r="U20110" s="24"/>
      <c r="V20110" s="24"/>
      <c r="W20110" s="24"/>
      <c r="X20110" s="24"/>
      <c r="Y20110" s="24"/>
      <c r="Z20110" s="24"/>
      <c r="AA20110" s="24"/>
    </row>
    <row r="20111">
      <c r="A20111" s="24"/>
      <c r="B20111" s="25"/>
      <c r="C20111" s="24"/>
      <c r="D20111" s="26"/>
      <c r="E20111" s="24"/>
      <c r="F20111" s="24"/>
      <c r="G20111" s="24"/>
      <c r="H20111" s="24"/>
      <c r="I20111" s="24"/>
      <c r="J20111" s="24"/>
      <c r="K20111" s="24"/>
      <c r="L20111" s="24"/>
      <c r="M20111" s="24"/>
      <c r="N20111" s="24"/>
      <c r="O20111" s="24"/>
      <c r="P20111" s="24"/>
      <c r="Q20111" s="24"/>
      <c r="R20111" s="24"/>
      <c r="S20111" s="24"/>
      <c r="T20111" s="24"/>
      <c r="U20111" s="24"/>
      <c r="V20111" s="24"/>
      <c r="W20111" s="24"/>
      <c r="X20111" s="24"/>
      <c r="Y20111" s="24"/>
      <c r="Z20111" s="24"/>
      <c r="AA20111" s="24"/>
    </row>
    <row r="20112">
      <c r="A20112" s="24"/>
      <c r="B20112" s="25"/>
      <c r="C20112" s="24"/>
      <c r="D20112" s="26"/>
      <c r="E20112" s="24"/>
      <c r="F20112" s="24"/>
      <c r="G20112" s="24"/>
      <c r="H20112" s="24"/>
      <c r="I20112" s="24"/>
      <c r="J20112" s="24"/>
      <c r="K20112" s="24"/>
      <c r="L20112" s="24"/>
      <c r="M20112" s="24"/>
      <c r="N20112" s="24"/>
      <c r="O20112" s="24"/>
      <c r="P20112" s="24"/>
      <c r="Q20112" s="24"/>
      <c r="R20112" s="24"/>
      <c r="S20112" s="24"/>
      <c r="T20112" s="24"/>
      <c r="U20112" s="24"/>
      <c r="V20112" s="24"/>
      <c r="W20112" s="24"/>
      <c r="X20112" s="24"/>
      <c r="Y20112" s="24"/>
      <c r="Z20112" s="24"/>
      <c r="AA20112" s="24"/>
    </row>
    <row r="20113">
      <c r="A20113" s="24"/>
      <c r="B20113" s="25"/>
      <c r="C20113" s="24"/>
      <c r="D20113" s="26"/>
      <c r="E20113" s="24"/>
      <c r="F20113" s="24"/>
      <c r="G20113" s="24"/>
      <c r="H20113" s="24"/>
      <c r="I20113" s="24"/>
      <c r="J20113" s="24"/>
      <c r="K20113" s="24"/>
      <c r="L20113" s="24"/>
      <c r="M20113" s="24"/>
      <c r="N20113" s="24"/>
      <c r="O20113" s="24"/>
      <c r="P20113" s="24"/>
      <c r="Q20113" s="24"/>
      <c r="R20113" s="24"/>
      <c r="S20113" s="24"/>
      <c r="T20113" s="24"/>
      <c r="U20113" s="24"/>
      <c r="V20113" s="24"/>
      <c r="W20113" s="24"/>
      <c r="X20113" s="24"/>
      <c r="Y20113" s="24"/>
      <c r="Z20113" s="24"/>
      <c r="AA20113" s="24"/>
    </row>
    <row r="20114">
      <c r="A20114" s="24"/>
      <c r="B20114" s="25"/>
      <c r="C20114" s="24"/>
      <c r="D20114" s="26"/>
      <c r="E20114" s="24"/>
      <c r="F20114" s="24"/>
      <c r="G20114" s="24"/>
      <c r="H20114" s="24"/>
      <c r="I20114" s="24"/>
      <c r="J20114" s="24"/>
      <c r="K20114" s="24"/>
      <c r="L20114" s="24"/>
      <c r="M20114" s="24"/>
      <c r="N20114" s="24"/>
      <c r="O20114" s="24"/>
      <c r="P20114" s="24"/>
      <c r="Q20114" s="24"/>
      <c r="R20114" s="24"/>
      <c r="S20114" s="24"/>
      <c r="T20114" s="24"/>
      <c r="U20114" s="24"/>
      <c r="V20114" s="24"/>
      <c r="W20114" s="24"/>
      <c r="X20114" s="24"/>
      <c r="Y20114" s="24"/>
      <c r="Z20114" s="24"/>
      <c r="AA20114" s="24"/>
    </row>
    <row r="20115">
      <c r="A20115" s="24"/>
      <c r="B20115" s="25"/>
      <c r="C20115" s="24"/>
      <c r="D20115" s="26"/>
      <c r="E20115" s="24"/>
      <c r="F20115" s="24"/>
      <c r="G20115" s="24"/>
      <c r="H20115" s="24"/>
      <c r="I20115" s="24"/>
      <c r="J20115" s="24"/>
      <c r="K20115" s="24"/>
      <c r="L20115" s="24"/>
      <c r="M20115" s="24"/>
      <c r="N20115" s="24"/>
      <c r="O20115" s="24"/>
      <c r="P20115" s="24"/>
      <c r="Q20115" s="24"/>
      <c r="R20115" s="24"/>
      <c r="S20115" s="24"/>
      <c r="T20115" s="24"/>
      <c r="U20115" s="24"/>
      <c r="V20115" s="24"/>
      <c r="W20115" s="24"/>
      <c r="X20115" s="24"/>
      <c r="Y20115" s="24"/>
      <c r="Z20115" s="24"/>
      <c r="AA20115" s="24"/>
    </row>
    <row r="20116">
      <c r="A20116" s="24"/>
      <c r="B20116" s="25"/>
      <c r="C20116" s="24"/>
      <c r="D20116" s="26"/>
      <c r="E20116" s="24"/>
      <c r="F20116" s="24"/>
      <c r="G20116" s="24"/>
      <c r="H20116" s="24"/>
      <c r="I20116" s="24"/>
      <c r="J20116" s="24"/>
      <c r="K20116" s="24"/>
      <c r="L20116" s="24"/>
      <c r="M20116" s="24"/>
      <c r="N20116" s="24"/>
      <c r="O20116" s="24"/>
      <c r="P20116" s="24"/>
      <c r="Q20116" s="24"/>
      <c r="R20116" s="24"/>
      <c r="S20116" s="24"/>
      <c r="T20116" s="24"/>
      <c r="U20116" s="24"/>
      <c r="V20116" s="24"/>
      <c r="W20116" s="24"/>
      <c r="X20116" s="24"/>
      <c r="Y20116" s="24"/>
      <c r="Z20116" s="24"/>
      <c r="AA20116" s="24"/>
    </row>
    <row r="20117">
      <c r="A20117" s="24"/>
      <c r="B20117" s="25"/>
      <c r="C20117" s="24"/>
      <c r="D20117" s="26"/>
      <c r="E20117" s="24"/>
      <c r="F20117" s="24"/>
      <c r="G20117" s="24"/>
      <c r="H20117" s="24"/>
      <c r="I20117" s="24"/>
      <c r="J20117" s="24"/>
      <c r="K20117" s="24"/>
      <c r="L20117" s="24"/>
      <c r="M20117" s="24"/>
      <c r="N20117" s="24"/>
      <c r="O20117" s="24"/>
      <c r="P20117" s="24"/>
      <c r="Q20117" s="24"/>
      <c r="R20117" s="24"/>
      <c r="S20117" s="24"/>
      <c r="T20117" s="24"/>
      <c r="U20117" s="24"/>
      <c r="V20117" s="24"/>
      <c r="W20117" s="24"/>
      <c r="X20117" s="24"/>
      <c r="Y20117" s="24"/>
      <c r="Z20117" s="24"/>
      <c r="AA20117" s="24"/>
    </row>
    <row r="20118">
      <c r="A20118" s="24"/>
      <c r="B20118" s="25"/>
      <c r="C20118" s="24"/>
      <c r="D20118" s="26"/>
      <c r="E20118" s="24"/>
      <c r="F20118" s="24"/>
      <c r="G20118" s="24"/>
      <c r="H20118" s="24"/>
      <c r="I20118" s="24"/>
      <c r="J20118" s="24"/>
      <c r="K20118" s="24"/>
      <c r="L20118" s="24"/>
      <c r="M20118" s="24"/>
      <c r="N20118" s="24"/>
      <c r="O20118" s="24"/>
      <c r="P20118" s="24"/>
      <c r="Q20118" s="24"/>
      <c r="R20118" s="24"/>
      <c r="S20118" s="24"/>
      <c r="T20118" s="24"/>
      <c r="U20118" s="24"/>
      <c r="V20118" s="24"/>
      <c r="W20118" s="24"/>
      <c r="X20118" s="24"/>
      <c r="Y20118" s="24"/>
      <c r="Z20118" s="24"/>
      <c r="AA20118" s="24"/>
    </row>
    <row r="20119">
      <c r="A20119" s="24"/>
      <c r="B20119" s="25"/>
      <c r="C20119" s="24"/>
      <c r="D20119" s="26"/>
      <c r="E20119" s="24"/>
      <c r="F20119" s="24"/>
      <c r="G20119" s="24"/>
      <c r="H20119" s="24"/>
      <c r="I20119" s="24"/>
      <c r="J20119" s="24"/>
      <c r="K20119" s="24"/>
      <c r="L20119" s="24"/>
      <c r="M20119" s="24"/>
      <c r="N20119" s="24"/>
      <c r="O20119" s="24"/>
      <c r="P20119" s="24"/>
      <c r="Q20119" s="24"/>
      <c r="R20119" s="24"/>
      <c r="S20119" s="24"/>
      <c r="T20119" s="24"/>
      <c r="U20119" s="24"/>
      <c r="V20119" s="24"/>
      <c r="W20119" s="24"/>
      <c r="X20119" s="24"/>
      <c r="Y20119" s="24"/>
      <c r="Z20119" s="24"/>
      <c r="AA20119" s="24"/>
    </row>
    <row r="20120">
      <c r="A20120" s="24"/>
      <c r="B20120" s="25"/>
      <c r="C20120" s="24"/>
      <c r="D20120" s="26"/>
      <c r="E20120" s="24"/>
      <c r="F20120" s="24"/>
      <c r="G20120" s="24"/>
      <c r="H20120" s="24"/>
      <c r="I20120" s="24"/>
      <c r="J20120" s="24"/>
      <c r="K20120" s="24"/>
      <c r="L20120" s="24"/>
      <c r="M20120" s="24"/>
      <c r="N20120" s="24"/>
      <c r="O20120" s="24"/>
      <c r="P20120" s="24"/>
      <c r="Q20120" s="24"/>
      <c r="R20120" s="24"/>
      <c r="S20120" s="24"/>
      <c r="T20120" s="24"/>
      <c r="U20120" s="24"/>
      <c r="V20120" s="24"/>
      <c r="W20120" s="24"/>
      <c r="X20120" s="24"/>
      <c r="Y20120" s="24"/>
      <c r="Z20120" s="24"/>
      <c r="AA20120" s="24"/>
    </row>
    <row r="20121">
      <c r="A20121" s="24"/>
      <c r="B20121" s="25"/>
      <c r="C20121" s="24"/>
      <c r="D20121" s="26"/>
      <c r="E20121" s="24"/>
      <c r="F20121" s="24"/>
      <c r="G20121" s="24"/>
      <c r="H20121" s="24"/>
      <c r="I20121" s="24"/>
      <c r="J20121" s="24"/>
      <c r="K20121" s="24"/>
      <c r="L20121" s="24"/>
      <c r="M20121" s="24"/>
      <c r="N20121" s="24"/>
      <c r="O20121" s="24"/>
      <c r="P20121" s="24"/>
      <c r="Q20121" s="24"/>
      <c r="R20121" s="24"/>
      <c r="S20121" s="24"/>
      <c r="T20121" s="24"/>
      <c r="U20121" s="24"/>
      <c r="V20121" s="24"/>
      <c r="W20121" s="24"/>
      <c r="X20121" s="24"/>
      <c r="Y20121" s="24"/>
      <c r="Z20121" s="24"/>
      <c r="AA20121" s="24"/>
    </row>
    <row r="20122">
      <c r="A20122" s="24"/>
      <c r="B20122" s="25"/>
      <c r="C20122" s="24"/>
      <c r="D20122" s="26"/>
      <c r="E20122" s="24"/>
      <c r="F20122" s="24"/>
      <c r="G20122" s="24"/>
      <c r="H20122" s="24"/>
      <c r="I20122" s="24"/>
      <c r="J20122" s="24"/>
      <c r="K20122" s="24"/>
      <c r="L20122" s="24"/>
      <c r="M20122" s="24"/>
      <c r="N20122" s="24"/>
      <c r="O20122" s="24"/>
      <c r="P20122" s="24"/>
      <c r="Q20122" s="24"/>
      <c r="R20122" s="24"/>
      <c r="S20122" s="24"/>
      <c r="T20122" s="24"/>
      <c r="U20122" s="24"/>
      <c r="V20122" s="24"/>
      <c r="W20122" s="24"/>
      <c r="X20122" s="24"/>
      <c r="Y20122" s="24"/>
      <c r="Z20122" s="24"/>
      <c r="AA20122" s="24"/>
    </row>
    <row r="20123">
      <c r="A20123" s="24"/>
      <c r="B20123" s="25"/>
      <c r="C20123" s="24"/>
      <c r="D20123" s="26"/>
      <c r="E20123" s="24"/>
      <c r="F20123" s="24"/>
      <c r="G20123" s="24"/>
      <c r="H20123" s="24"/>
      <c r="I20123" s="24"/>
      <c r="J20123" s="24"/>
      <c r="K20123" s="24"/>
      <c r="L20123" s="24"/>
      <c r="M20123" s="24"/>
      <c r="N20123" s="24"/>
      <c r="O20123" s="24"/>
      <c r="P20123" s="24"/>
      <c r="Q20123" s="24"/>
      <c r="R20123" s="24"/>
      <c r="S20123" s="24"/>
      <c r="T20123" s="24"/>
      <c r="U20123" s="24"/>
      <c r="V20123" s="24"/>
      <c r="W20123" s="24"/>
      <c r="X20123" s="24"/>
      <c r="Y20123" s="24"/>
      <c r="Z20123" s="24"/>
      <c r="AA20123" s="24"/>
    </row>
    <row r="20124">
      <c r="A20124" s="24"/>
      <c r="B20124" s="25"/>
      <c r="C20124" s="24"/>
      <c r="D20124" s="26"/>
      <c r="E20124" s="24"/>
      <c r="F20124" s="24"/>
      <c r="G20124" s="24"/>
      <c r="H20124" s="24"/>
      <c r="I20124" s="24"/>
      <c r="J20124" s="24"/>
      <c r="K20124" s="24"/>
      <c r="L20124" s="24"/>
      <c r="M20124" s="24"/>
      <c r="N20124" s="24"/>
      <c r="O20124" s="24"/>
      <c r="P20124" s="24"/>
      <c r="Q20124" s="24"/>
      <c r="R20124" s="24"/>
      <c r="S20124" s="24"/>
      <c r="T20124" s="24"/>
      <c r="U20124" s="24"/>
      <c r="V20124" s="24"/>
      <c r="W20124" s="24"/>
      <c r="X20124" s="24"/>
      <c r="Y20124" s="24"/>
      <c r="Z20124" s="24"/>
      <c r="AA20124" s="24"/>
    </row>
    <row r="20125">
      <c r="A20125" s="24"/>
      <c r="B20125" s="25"/>
      <c r="C20125" s="24"/>
      <c r="D20125" s="26"/>
      <c r="E20125" s="24"/>
      <c r="F20125" s="24"/>
      <c r="G20125" s="24"/>
      <c r="H20125" s="24"/>
      <c r="I20125" s="24"/>
      <c r="J20125" s="24"/>
      <c r="K20125" s="24"/>
      <c r="L20125" s="24"/>
      <c r="M20125" s="24"/>
      <c r="N20125" s="24"/>
      <c r="O20125" s="24"/>
      <c r="P20125" s="24"/>
      <c r="Q20125" s="24"/>
      <c r="R20125" s="24"/>
      <c r="S20125" s="24"/>
      <c r="T20125" s="24"/>
      <c r="U20125" s="24"/>
      <c r="V20125" s="24"/>
      <c r="W20125" s="24"/>
      <c r="X20125" s="24"/>
      <c r="Y20125" s="24"/>
      <c r="Z20125" s="24"/>
      <c r="AA20125" s="24"/>
    </row>
    <row r="20126">
      <c r="A20126" s="24"/>
      <c r="B20126" s="25"/>
      <c r="C20126" s="24"/>
      <c r="D20126" s="26"/>
      <c r="E20126" s="24"/>
      <c r="F20126" s="24"/>
      <c r="G20126" s="24"/>
      <c r="H20126" s="24"/>
      <c r="I20126" s="24"/>
      <c r="J20126" s="24"/>
      <c r="K20126" s="24"/>
      <c r="L20126" s="24"/>
      <c r="M20126" s="24"/>
      <c r="N20126" s="24"/>
      <c r="O20126" s="24"/>
      <c r="P20126" s="24"/>
      <c r="Q20126" s="24"/>
      <c r="R20126" s="24"/>
      <c r="S20126" s="24"/>
      <c r="T20126" s="24"/>
      <c r="U20126" s="24"/>
      <c r="V20126" s="24"/>
      <c r="W20126" s="24"/>
      <c r="X20126" s="24"/>
      <c r="Y20126" s="24"/>
      <c r="Z20126" s="24"/>
      <c r="AA20126" s="24"/>
    </row>
    <row r="20127">
      <c r="A20127" s="24"/>
      <c r="B20127" s="25"/>
      <c r="C20127" s="24"/>
      <c r="D20127" s="26"/>
      <c r="E20127" s="24"/>
      <c r="F20127" s="24"/>
      <c r="G20127" s="24"/>
      <c r="H20127" s="24"/>
      <c r="I20127" s="24"/>
      <c r="J20127" s="24"/>
      <c r="K20127" s="24"/>
      <c r="L20127" s="24"/>
      <c r="M20127" s="24"/>
      <c r="N20127" s="24"/>
      <c r="O20127" s="24"/>
      <c r="P20127" s="24"/>
      <c r="Q20127" s="24"/>
      <c r="R20127" s="24"/>
      <c r="S20127" s="24"/>
      <c r="T20127" s="24"/>
      <c r="U20127" s="24"/>
      <c r="V20127" s="24"/>
      <c r="W20127" s="24"/>
      <c r="X20127" s="24"/>
      <c r="Y20127" s="24"/>
      <c r="Z20127" s="24"/>
      <c r="AA20127" s="24"/>
    </row>
    <row r="20128">
      <c r="A20128" s="24"/>
      <c r="B20128" s="25"/>
      <c r="C20128" s="24"/>
      <c r="D20128" s="26"/>
      <c r="E20128" s="24"/>
      <c r="F20128" s="24"/>
      <c r="G20128" s="24"/>
      <c r="H20128" s="24"/>
      <c r="I20128" s="24"/>
      <c r="J20128" s="24"/>
      <c r="K20128" s="24"/>
      <c r="L20128" s="24"/>
      <c r="M20128" s="24"/>
      <c r="N20128" s="24"/>
      <c r="O20128" s="24"/>
      <c r="P20128" s="24"/>
      <c r="Q20128" s="24"/>
      <c r="R20128" s="24"/>
      <c r="S20128" s="24"/>
      <c r="T20128" s="24"/>
      <c r="U20128" s="24"/>
      <c r="V20128" s="24"/>
      <c r="W20128" s="24"/>
      <c r="X20128" s="24"/>
      <c r="Y20128" s="24"/>
      <c r="Z20128" s="24"/>
      <c r="AA20128" s="24"/>
    </row>
    <row r="20129">
      <c r="A20129" s="24"/>
      <c r="B20129" s="25"/>
      <c r="C20129" s="24"/>
      <c r="D20129" s="26"/>
      <c r="E20129" s="24"/>
      <c r="F20129" s="24"/>
      <c r="G20129" s="24"/>
      <c r="H20129" s="24"/>
      <c r="I20129" s="24"/>
      <c r="J20129" s="24"/>
      <c r="K20129" s="24"/>
      <c r="L20129" s="24"/>
      <c r="M20129" s="24"/>
      <c r="N20129" s="24"/>
      <c r="O20129" s="24"/>
      <c r="P20129" s="24"/>
      <c r="Q20129" s="24"/>
      <c r="R20129" s="24"/>
      <c r="S20129" s="24"/>
      <c r="T20129" s="24"/>
      <c r="U20129" s="24"/>
      <c r="V20129" s="24"/>
      <c r="W20129" s="24"/>
      <c r="X20129" s="24"/>
      <c r="Y20129" s="24"/>
      <c r="Z20129" s="24"/>
      <c r="AA20129" s="24"/>
    </row>
    <row r="20130">
      <c r="A20130" s="24"/>
      <c r="B20130" s="25"/>
      <c r="C20130" s="24"/>
      <c r="D20130" s="26"/>
      <c r="E20130" s="24"/>
      <c r="F20130" s="24"/>
      <c r="G20130" s="24"/>
      <c r="H20130" s="24"/>
      <c r="I20130" s="24"/>
      <c r="J20130" s="24"/>
      <c r="K20130" s="24"/>
      <c r="L20130" s="24"/>
      <c r="M20130" s="24"/>
      <c r="N20130" s="24"/>
      <c r="O20130" s="24"/>
      <c r="P20130" s="24"/>
      <c r="Q20130" s="24"/>
      <c r="R20130" s="24"/>
      <c r="S20130" s="24"/>
      <c r="T20130" s="24"/>
      <c r="U20130" s="24"/>
      <c r="V20130" s="24"/>
      <c r="W20130" s="24"/>
      <c r="X20130" s="24"/>
      <c r="Y20130" s="24"/>
      <c r="Z20130" s="24"/>
      <c r="AA20130" s="24"/>
    </row>
    <row r="20131">
      <c r="A20131" s="24"/>
      <c r="B20131" s="25"/>
      <c r="C20131" s="24"/>
      <c r="D20131" s="26"/>
      <c r="E20131" s="24"/>
      <c r="F20131" s="24"/>
      <c r="G20131" s="24"/>
      <c r="H20131" s="24"/>
      <c r="I20131" s="24"/>
      <c r="J20131" s="24"/>
      <c r="K20131" s="24"/>
      <c r="L20131" s="24"/>
      <c r="M20131" s="24"/>
      <c r="N20131" s="24"/>
      <c r="O20131" s="24"/>
      <c r="P20131" s="24"/>
      <c r="Q20131" s="24"/>
      <c r="R20131" s="24"/>
      <c r="S20131" s="24"/>
      <c r="T20131" s="24"/>
      <c r="U20131" s="24"/>
      <c r="V20131" s="24"/>
      <c r="W20131" s="24"/>
      <c r="X20131" s="24"/>
      <c r="Y20131" s="24"/>
      <c r="Z20131" s="24"/>
      <c r="AA20131" s="24"/>
    </row>
    <row r="20132">
      <c r="A20132" s="24"/>
      <c r="B20132" s="25"/>
      <c r="C20132" s="24"/>
      <c r="D20132" s="26"/>
      <c r="E20132" s="24"/>
      <c r="F20132" s="24"/>
      <c r="G20132" s="24"/>
      <c r="H20132" s="24"/>
      <c r="I20132" s="24"/>
      <c r="J20132" s="24"/>
      <c r="K20132" s="24"/>
      <c r="L20132" s="24"/>
      <c r="M20132" s="24"/>
      <c r="N20132" s="24"/>
      <c r="O20132" s="24"/>
      <c r="P20132" s="24"/>
      <c r="Q20132" s="24"/>
      <c r="R20132" s="24"/>
      <c r="S20132" s="24"/>
      <c r="T20132" s="24"/>
      <c r="U20132" s="24"/>
      <c r="V20132" s="24"/>
      <c r="W20132" s="24"/>
      <c r="X20132" s="24"/>
      <c r="Y20132" s="24"/>
      <c r="Z20132" s="24"/>
      <c r="AA20132" s="24"/>
    </row>
    <row r="20133">
      <c r="A20133" s="24"/>
      <c r="B20133" s="25"/>
      <c r="C20133" s="24"/>
      <c r="D20133" s="26"/>
      <c r="E20133" s="24"/>
      <c r="F20133" s="24"/>
      <c r="G20133" s="24"/>
      <c r="H20133" s="24"/>
      <c r="I20133" s="24"/>
      <c r="J20133" s="24"/>
      <c r="K20133" s="24"/>
      <c r="L20133" s="24"/>
      <c r="M20133" s="24"/>
      <c r="N20133" s="24"/>
      <c r="O20133" s="24"/>
      <c r="P20133" s="24"/>
      <c r="Q20133" s="24"/>
      <c r="R20133" s="24"/>
      <c r="S20133" s="24"/>
      <c r="T20133" s="24"/>
      <c r="U20133" s="24"/>
      <c r="V20133" s="24"/>
      <c r="W20133" s="24"/>
      <c r="X20133" s="24"/>
      <c r="Y20133" s="24"/>
      <c r="Z20133" s="24"/>
      <c r="AA20133" s="24"/>
    </row>
    <row r="20134">
      <c r="A20134" s="24"/>
      <c r="B20134" s="25"/>
      <c r="C20134" s="24"/>
      <c r="D20134" s="26"/>
      <c r="E20134" s="24"/>
      <c r="F20134" s="24"/>
      <c r="G20134" s="24"/>
      <c r="H20134" s="24"/>
      <c r="I20134" s="24"/>
      <c r="J20134" s="24"/>
      <c r="K20134" s="24"/>
      <c r="L20134" s="24"/>
      <c r="M20134" s="24"/>
      <c r="N20134" s="24"/>
      <c r="O20134" s="24"/>
      <c r="P20134" s="24"/>
      <c r="Q20134" s="24"/>
      <c r="R20134" s="24"/>
      <c r="S20134" s="24"/>
      <c r="T20134" s="24"/>
      <c r="U20134" s="24"/>
      <c r="V20134" s="24"/>
      <c r="W20134" s="24"/>
      <c r="X20134" s="24"/>
      <c r="Y20134" s="24"/>
      <c r="Z20134" s="24"/>
      <c r="AA20134" s="24"/>
    </row>
    <row r="20135">
      <c r="A20135" s="24"/>
      <c r="B20135" s="25"/>
      <c r="C20135" s="24"/>
      <c r="D20135" s="26"/>
      <c r="E20135" s="24"/>
      <c r="F20135" s="24"/>
      <c r="G20135" s="24"/>
      <c r="H20135" s="24"/>
      <c r="I20135" s="24"/>
      <c r="J20135" s="24"/>
      <c r="K20135" s="24"/>
      <c r="L20135" s="24"/>
      <c r="M20135" s="24"/>
      <c r="N20135" s="24"/>
      <c r="O20135" s="24"/>
      <c r="P20135" s="24"/>
      <c r="Q20135" s="24"/>
      <c r="R20135" s="24"/>
      <c r="S20135" s="24"/>
      <c r="T20135" s="24"/>
      <c r="U20135" s="24"/>
      <c r="V20135" s="24"/>
      <c r="W20135" s="24"/>
      <c r="X20135" s="24"/>
      <c r="Y20135" s="24"/>
      <c r="Z20135" s="24"/>
      <c r="AA20135" s="24"/>
    </row>
    <row r="20136">
      <c r="A20136" s="24"/>
      <c r="B20136" s="25"/>
      <c r="C20136" s="24"/>
      <c r="D20136" s="26"/>
      <c r="E20136" s="24"/>
      <c r="F20136" s="24"/>
      <c r="G20136" s="24"/>
      <c r="H20136" s="24"/>
      <c r="I20136" s="24"/>
      <c r="J20136" s="24"/>
      <c r="K20136" s="24"/>
      <c r="L20136" s="24"/>
      <c r="M20136" s="24"/>
      <c r="N20136" s="24"/>
      <c r="O20136" s="24"/>
      <c r="P20136" s="24"/>
      <c r="Q20136" s="24"/>
      <c r="R20136" s="24"/>
      <c r="S20136" s="24"/>
      <c r="T20136" s="24"/>
      <c r="U20136" s="24"/>
      <c r="V20136" s="24"/>
      <c r="W20136" s="24"/>
      <c r="X20136" s="24"/>
      <c r="Y20136" s="24"/>
      <c r="Z20136" s="24"/>
      <c r="AA20136" s="24"/>
    </row>
    <row r="20137">
      <c r="A20137" s="24"/>
      <c r="B20137" s="25"/>
      <c r="C20137" s="24"/>
      <c r="D20137" s="26"/>
      <c r="E20137" s="24"/>
      <c r="F20137" s="24"/>
      <c r="G20137" s="24"/>
      <c r="H20137" s="24"/>
      <c r="I20137" s="24"/>
      <c r="J20137" s="24"/>
      <c r="K20137" s="24"/>
      <c r="L20137" s="24"/>
      <c r="M20137" s="24"/>
      <c r="N20137" s="24"/>
      <c r="O20137" s="24"/>
      <c r="P20137" s="24"/>
      <c r="Q20137" s="24"/>
      <c r="R20137" s="24"/>
      <c r="S20137" s="24"/>
      <c r="T20137" s="24"/>
      <c r="U20137" s="24"/>
      <c r="V20137" s="24"/>
      <c r="W20137" s="24"/>
      <c r="X20137" s="24"/>
      <c r="Y20137" s="24"/>
      <c r="Z20137" s="24"/>
      <c r="AA20137" s="24"/>
    </row>
    <row r="20138">
      <c r="A20138" s="24"/>
      <c r="B20138" s="25"/>
      <c r="C20138" s="24"/>
      <c r="D20138" s="26"/>
      <c r="E20138" s="24"/>
      <c r="F20138" s="24"/>
      <c r="G20138" s="24"/>
      <c r="H20138" s="24"/>
      <c r="I20138" s="24"/>
      <c r="J20138" s="24"/>
      <c r="K20138" s="24"/>
      <c r="L20138" s="24"/>
      <c r="M20138" s="24"/>
      <c r="N20138" s="24"/>
      <c r="O20138" s="24"/>
      <c r="P20138" s="24"/>
      <c r="Q20138" s="24"/>
      <c r="R20138" s="24"/>
      <c r="S20138" s="24"/>
      <c r="T20138" s="24"/>
      <c r="U20138" s="24"/>
      <c r="V20138" s="24"/>
      <c r="W20138" s="24"/>
      <c r="X20138" s="24"/>
      <c r="Y20138" s="24"/>
      <c r="Z20138" s="24"/>
      <c r="AA20138" s="24"/>
    </row>
    <row r="20139">
      <c r="A20139" s="24"/>
      <c r="B20139" s="25"/>
      <c r="C20139" s="24"/>
      <c r="D20139" s="26"/>
      <c r="E20139" s="24"/>
      <c r="F20139" s="24"/>
      <c r="G20139" s="24"/>
      <c r="H20139" s="24"/>
      <c r="I20139" s="24"/>
      <c r="J20139" s="24"/>
      <c r="K20139" s="24"/>
      <c r="L20139" s="24"/>
      <c r="M20139" s="24"/>
      <c r="N20139" s="24"/>
      <c r="O20139" s="24"/>
      <c r="P20139" s="24"/>
      <c r="Q20139" s="24"/>
      <c r="R20139" s="24"/>
      <c r="S20139" s="24"/>
      <c r="T20139" s="24"/>
      <c r="U20139" s="24"/>
      <c r="V20139" s="24"/>
      <c r="W20139" s="24"/>
      <c r="X20139" s="24"/>
      <c r="Y20139" s="24"/>
      <c r="Z20139" s="24"/>
      <c r="AA20139" s="24"/>
    </row>
    <row r="20140">
      <c r="A20140" s="24"/>
      <c r="B20140" s="25"/>
      <c r="C20140" s="24"/>
      <c r="D20140" s="26"/>
      <c r="E20140" s="24"/>
      <c r="F20140" s="24"/>
      <c r="G20140" s="24"/>
      <c r="H20140" s="24"/>
      <c r="I20140" s="24"/>
      <c r="J20140" s="24"/>
      <c r="K20140" s="24"/>
      <c r="L20140" s="24"/>
      <c r="M20140" s="24"/>
      <c r="N20140" s="24"/>
      <c r="O20140" s="24"/>
      <c r="P20140" s="24"/>
      <c r="Q20140" s="24"/>
      <c r="R20140" s="24"/>
      <c r="S20140" s="24"/>
      <c r="T20140" s="24"/>
      <c r="U20140" s="24"/>
      <c r="V20140" s="24"/>
      <c r="W20140" s="24"/>
      <c r="X20140" s="24"/>
      <c r="Y20140" s="24"/>
      <c r="Z20140" s="24"/>
      <c r="AA20140" s="24"/>
    </row>
    <row r="20141">
      <c r="A20141" s="24"/>
      <c r="B20141" s="25"/>
      <c r="C20141" s="24"/>
      <c r="D20141" s="26"/>
      <c r="E20141" s="24"/>
      <c r="F20141" s="24"/>
      <c r="G20141" s="24"/>
      <c r="H20141" s="24"/>
      <c r="I20141" s="24"/>
      <c r="J20141" s="24"/>
      <c r="K20141" s="24"/>
      <c r="L20141" s="24"/>
      <c r="M20141" s="24"/>
      <c r="N20141" s="24"/>
      <c r="O20141" s="24"/>
      <c r="P20141" s="24"/>
      <c r="Q20141" s="24"/>
      <c r="R20141" s="24"/>
      <c r="S20141" s="24"/>
      <c r="T20141" s="24"/>
      <c r="U20141" s="24"/>
      <c r="V20141" s="24"/>
      <c r="W20141" s="24"/>
      <c r="X20141" s="24"/>
      <c r="Y20141" s="24"/>
      <c r="Z20141" s="24"/>
      <c r="AA20141" s="24"/>
    </row>
    <row r="20142">
      <c r="A20142" s="24"/>
      <c r="B20142" s="25"/>
      <c r="C20142" s="24"/>
      <c r="D20142" s="26"/>
      <c r="E20142" s="24"/>
      <c r="F20142" s="24"/>
      <c r="G20142" s="24"/>
      <c r="H20142" s="24"/>
      <c r="I20142" s="24"/>
      <c r="J20142" s="24"/>
      <c r="K20142" s="24"/>
      <c r="L20142" s="24"/>
      <c r="M20142" s="24"/>
      <c r="N20142" s="24"/>
      <c r="O20142" s="24"/>
      <c r="P20142" s="24"/>
      <c r="Q20142" s="24"/>
      <c r="R20142" s="24"/>
      <c r="S20142" s="24"/>
      <c r="T20142" s="24"/>
      <c r="U20142" s="24"/>
      <c r="V20142" s="24"/>
      <c r="W20142" s="24"/>
      <c r="X20142" s="24"/>
      <c r="Y20142" s="24"/>
      <c r="Z20142" s="24"/>
      <c r="AA20142" s="24"/>
    </row>
    <row r="20143">
      <c r="A20143" s="24"/>
      <c r="B20143" s="25"/>
      <c r="C20143" s="24"/>
      <c r="D20143" s="26"/>
      <c r="E20143" s="24"/>
      <c r="F20143" s="24"/>
      <c r="G20143" s="24"/>
      <c r="H20143" s="24"/>
      <c r="I20143" s="24"/>
      <c r="J20143" s="24"/>
      <c r="K20143" s="24"/>
      <c r="L20143" s="24"/>
      <c r="M20143" s="24"/>
      <c r="N20143" s="24"/>
      <c r="O20143" s="24"/>
      <c r="P20143" s="24"/>
      <c r="Q20143" s="24"/>
      <c r="R20143" s="24"/>
      <c r="S20143" s="24"/>
      <c r="T20143" s="24"/>
      <c r="U20143" s="24"/>
      <c r="V20143" s="24"/>
      <c r="W20143" s="24"/>
      <c r="X20143" s="24"/>
      <c r="Y20143" s="24"/>
      <c r="Z20143" s="24"/>
      <c r="AA20143" s="24"/>
    </row>
    <row r="20144">
      <c r="A20144" s="24"/>
      <c r="B20144" s="25"/>
      <c r="C20144" s="24"/>
      <c r="D20144" s="26"/>
      <c r="E20144" s="24"/>
      <c r="F20144" s="24"/>
      <c r="G20144" s="24"/>
      <c r="H20144" s="24"/>
      <c r="I20144" s="24"/>
      <c r="J20144" s="24"/>
      <c r="K20144" s="24"/>
      <c r="L20144" s="24"/>
      <c r="M20144" s="24"/>
      <c r="N20144" s="24"/>
      <c r="O20144" s="24"/>
      <c r="P20144" s="24"/>
      <c r="Q20144" s="24"/>
      <c r="R20144" s="24"/>
      <c r="S20144" s="24"/>
      <c r="T20144" s="24"/>
      <c r="U20144" s="24"/>
      <c r="V20144" s="24"/>
      <c r="W20144" s="24"/>
      <c r="X20144" s="24"/>
      <c r="Y20144" s="24"/>
      <c r="Z20144" s="24"/>
      <c r="AA20144" s="24"/>
    </row>
    <row r="20145">
      <c r="A20145" s="24"/>
      <c r="B20145" s="25"/>
      <c r="C20145" s="24"/>
      <c r="D20145" s="26"/>
      <c r="E20145" s="24"/>
      <c r="F20145" s="24"/>
      <c r="G20145" s="24"/>
      <c r="H20145" s="24"/>
      <c r="I20145" s="24"/>
      <c r="J20145" s="24"/>
      <c r="K20145" s="24"/>
      <c r="L20145" s="24"/>
      <c r="M20145" s="24"/>
      <c r="N20145" s="24"/>
      <c r="O20145" s="24"/>
      <c r="P20145" s="24"/>
      <c r="Q20145" s="24"/>
      <c r="R20145" s="24"/>
      <c r="S20145" s="24"/>
      <c r="T20145" s="24"/>
      <c r="U20145" s="24"/>
      <c r="V20145" s="24"/>
      <c r="W20145" s="24"/>
      <c r="X20145" s="24"/>
      <c r="Y20145" s="24"/>
      <c r="Z20145" s="24"/>
      <c r="AA20145" s="24"/>
    </row>
    <row r="20146">
      <c r="A20146" s="24"/>
      <c r="B20146" s="25"/>
      <c r="C20146" s="24"/>
      <c r="D20146" s="26"/>
      <c r="E20146" s="24"/>
      <c r="F20146" s="24"/>
      <c r="G20146" s="24"/>
      <c r="H20146" s="24"/>
      <c r="I20146" s="24"/>
      <c r="J20146" s="24"/>
      <c r="K20146" s="24"/>
      <c r="L20146" s="24"/>
      <c r="M20146" s="24"/>
      <c r="N20146" s="24"/>
      <c r="O20146" s="24"/>
      <c r="P20146" s="24"/>
      <c r="Q20146" s="24"/>
      <c r="R20146" s="24"/>
      <c r="S20146" s="24"/>
      <c r="T20146" s="24"/>
      <c r="U20146" s="24"/>
      <c r="V20146" s="24"/>
      <c r="W20146" s="24"/>
      <c r="X20146" s="24"/>
      <c r="Y20146" s="24"/>
      <c r="Z20146" s="24"/>
      <c r="AA20146" s="24"/>
    </row>
    <row r="20147">
      <c r="A20147" s="24"/>
      <c r="B20147" s="25"/>
      <c r="C20147" s="24"/>
      <c r="D20147" s="26"/>
      <c r="E20147" s="24"/>
      <c r="F20147" s="24"/>
      <c r="G20147" s="24"/>
      <c r="H20147" s="24"/>
      <c r="I20147" s="24"/>
      <c r="J20147" s="24"/>
      <c r="K20147" s="24"/>
      <c r="L20147" s="24"/>
      <c r="M20147" s="24"/>
      <c r="N20147" s="24"/>
      <c r="O20147" s="24"/>
      <c r="P20147" s="24"/>
      <c r="Q20147" s="24"/>
      <c r="R20147" s="24"/>
      <c r="S20147" s="24"/>
      <c r="T20147" s="24"/>
      <c r="U20147" s="24"/>
      <c r="V20147" s="24"/>
      <c r="W20147" s="24"/>
      <c r="X20147" s="24"/>
      <c r="Y20147" s="24"/>
      <c r="Z20147" s="24"/>
      <c r="AA20147" s="24"/>
    </row>
    <row r="20148">
      <c r="A20148" s="24"/>
      <c r="B20148" s="25"/>
      <c r="C20148" s="24"/>
      <c r="D20148" s="26"/>
      <c r="E20148" s="24"/>
      <c r="F20148" s="24"/>
      <c r="G20148" s="24"/>
      <c r="H20148" s="24"/>
      <c r="I20148" s="24"/>
      <c r="J20148" s="24"/>
      <c r="K20148" s="24"/>
      <c r="L20148" s="24"/>
      <c r="M20148" s="24"/>
      <c r="N20148" s="24"/>
      <c r="O20148" s="24"/>
      <c r="P20148" s="24"/>
      <c r="Q20148" s="24"/>
      <c r="R20148" s="24"/>
      <c r="S20148" s="24"/>
      <c r="T20148" s="24"/>
      <c r="U20148" s="24"/>
      <c r="V20148" s="24"/>
      <c r="W20148" s="24"/>
      <c r="X20148" s="24"/>
      <c r="Y20148" s="24"/>
      <c r="Z20148" s="24"/>
      <c r="AA20148" s="24"/>
    </row>
    <row r="20149">
      <c r="A20149" s="24"/>
      <c r="B20149" s="25"/>
      <c r="C20149" s="24"/>
      <c r="D20149" s="26"/>
      <c r="E20149" s="24"/>
      <c r="F20149" s="24"/>
      <c r="G20149" s="24"/>
      <c r="H20149" s="24"/>
      <c r="I20149" s="24"/>
      <c r="J20149" s="24"/>
      <c r="K20149" s="24"/>
      <c r="L20149" s="24"/>
      <c r="M20149" s="24"/>
      <c r="N20149" s="24"/>
      <c r="O20149" s="24"/>
      <c r="P20149" s="24"/>
      <c r="Q20149" s="24"/>
      <c r="R20149" s="24"/>
      <c r="S20149" s="24"/>
      <c r="T20149" s="24"/>
      <c r="U20149" s="24"/>
      <c r="V20149" s="24"/>
      <c r="W20149" s="24"/>
      <c r="X20149" s="24"/>
      <c r="Y20149" s="24"/>
      <c r="Z20149" s="24"/>
      <c r="AA20149" s="24"/>
    </row>
    <row r="20150">
      <c r="A20150" s="24"/>
      <c r="B20150" s="25"/>
      <c r="C20150" s="24"/>
      <c r="D20150" s="26"/>
      <c r="E20150" s="24"/>
      <c r="F20150" s="24"/>
      <c r="G20150" s="24"/>
      <c r="H20150" s="24"/>
      <c r="I20150" s="24"/>
      <c r="J20150" s="24"/>
      <c r="K20150" s="24"/>
      <c r="L20150" s="24"/>
      <c r="M20150" s="24"/>
      <c r="N20150" s="24"/>
      <c r="O20150" s="24"/>
      <c r="P20150" s="24"/>
      <c r="Q20150" s="24"/>
      <c r="R20150" s="24"/>
      <c r="S20150" s="24"/>
      <c r="T20150" s="24"/>
      <c r="U20150" s="24"/>
      <c r="V20150" s="24"/>
      <c r="W20150" s="24"/>
      <c r="X20150" s="24"/>
      <c r="Y20150" s="24"/>
      <c r="Z20150" s="24"/>
      <c r="AA20150" s="24"/>
    </row>
    <row r="20151">
      <c r="A20151" s="24"/>
      <c r="B20151" s="25"/>
      <c r="C20151" s="24"/>
      <c r="D20151" s="26"/>
      <c r="E20151" s="24"/>
      <c r="F20151" s="24"/>
      <c r="G20151" s="24"/>
      <c r="H20151" s="24"/>
      <c r="I20151" s="24"/>
      <c r="J20151" s="24"/>
      <c r="K20151" s="24"/>
      <c r="L20151" s="24"/>
      <c r="M20151" s="24"/>
      <c r="N20151" s="24"/>
      <c r="O20151" s="24"/>
      <c r="P20151" s="24"/>
      <c r="Q20151" s="24"/>
      <c r="R20151" s="24"/>
      <c r="S20151" s="24"/>
      <c r="T20151" s="24"/>
      <c r="U20151" s="24"/>
      <c r="V20151" s="24"/>
      <c r="W20151" s="24"/>
      <c r="X20151" s="24"/>
      <c r="Y20151" s="24"/>
      <c r="Z20151" s="24"/>
      <c r="AA20151" s="24"/>
    </row>
    <row r="20152">
      <c r="A20152" s="24"/>
      <c r="B20152" s="25"/>
      <c r="C20152" s="24"/>
      <c r="D20152" s="26"/>
      <c r="E20152" s="24"/>
      <c r="F20152" s="24"/>
      <c r="G20152" s="24"/>
      <c r="H20152" s="24"/>
      <c r="I20152" s="24"/>
      <c r="J20152" s="24"/>
      <c r="K20152" s="24"/>
      <c r="L20152" s="24"/>
      <c r="M20152" s="24"/>
      <c r="N20152" s="24"/>
      <c r="O20152" s="24"/>
      <c r="P20152" s="24"/>
      <c r="Q20152" s="24"/>
      <c r="R20152" s="24"/>
      <c r="S20152" s="24"/>
      <c r="T20152" s="24"/>
      <c r="U20152" s="24"/>
      <c r="V20152" s="24"/>
      <c r="W20152" s="24"/>
      <c r="X20152" s="24"/>
      <c r="Y20152" s="24"/>
      <c r="Z20152" s="24"/>
      <c r="AA20152" s="24"/>
    </row>
    <row r="20153">
      <c r="A20153" s="24"/>
      <c r="B20153" s="25"/>
      <c r="C20153" s="24"/>
      <c r="D20153" s="26"/>
      <c r="E20153" s="24"/>
      <c r="F20153" s="24"/>
      <c r="G20153" s="24"/>
      <c r="H20153" s="24"/>
      <c r="I20153" s="24"/>
      <c r="J20153" s="24"/>
      <c r="K20153" s="24"/>
      <c r="L20153" s="24"/>
      <c r="M20153" s="24"/>
      <c r="N20153" s="24"/>
      <c r="O20153" s="24"/>
      <c r="P20153" s="24"/>
      <c r="Q20153" s="24"/>
      <c r="R20153" s="24"/>
      <c r="S20153" s="24"/>
      <c r="T20153" s="24"/>
      <c r="U20153" s="24"/>
      <c r="V20153" s="24"/>
      <c r="W20153" s="24"/>
      <c r="X20153" s="24"/>
      <c r="Y20153" s="24"/>
      <c r="Z20153" s="24"/>
      <c r="AA20153" s="24"/>
    </row>
    <row r="20154">
      <c r="A20154" s="24"/>
      <c r="B20154" s="25"/>
      <c r="C20154" s="24"/>
      <c r="D20154" s="26"/>
      <c r="E20154" s="24"/>
      <c r="F20154" s="24"/>
      <c r="G20154" s="24"/>
      <c r="H20154" s="24"/>
      <c r="I20154" s="24"/>
      <c r="J20154" s="24"/>
      <c r="K20154" s="24"/>
      <c r="L20154" s="24"/>
      <c r="M20154" s="24"/>
      <c r="N20154" s="24"/>
      <c r="O20154" s="24"/>
      <c r="P20154" s="24"/>
      <c r="Q20154" s="24"/>
      <c r="R20154" s="24"/>
      <c r="S20154" s="24"/>
      <c r="T20154" s="24"/>
      <c r="U20154" s="24"/>
      <c r="V20154" s="24"/>
      <c r="W20154" s="24"/>
      <c r="X20154" s="24"/>
      <c r="Y20154" s="24"/>
      <c r="Z20154" s="24"/>
      <c r="AA20154" s="24"/>
    </row>
    <row r="20155">
      <c r="A20155" s="24"/>
      <c r="B20155" s="25"/>
      <c r="C20155" s="24"/>
      <c r="D20155" s="26"/>
      <c r="E20155" s="24"/>
      <c r="F20155" s="24"/>
      <c r="G20155" s="24"/>
      <c r="H20155" s="24"/>
      <c r="I20155" s="24"/>
      <c r="J20155" s="24"/>
      <c r="K20155" s="24"/>
      <c r="L20155" s="24"/>
      <c r="M20155" s="24"/>
      <c r="N20155" s="24"/>
      <c r="O20155" s="24"/>
      <c r="P20155" s="24"/>
      <c r="Q20155" s="24"/>
      <c r="R20155" s="24"/>
      <c r="S20155" s="24"/>
      <c r="T20155" s="24"/>
      <c r="U20155" s="24"/>
      <c r="V20155" s="24"/>
      <c r="W20155" s="24"/>
      <c r="X20155" s="24"/>
      <c r="Y20155" s="24"/>
      <c r="Z20155" s="24"/>
      <c r="AA20155" s="24"/>
    </row>
    <row r="20156">
      <c r="A20156" s="24"/>
      <c r="B20156" s="25"/>
      <c r="C20156" s="24"/>
      <c r="D20156" s="26"/>
      <c r="E20156" s="24"/>
      <c r="F20156" s="24"/>
      <c r="G20156" s="24"/>
      <c r="H20156" s="24"/>
      <c r="I20156" s="24"/>
      <c r="J20156" s="24"/>
      <c r="K20156" s="24"/>
      <c r="L20156" s="24"/>
      <c r="M20156" s="24"/>
      <c r="N20156" s="24"/>
      <c r="O20156" s="24"/>
      <c r="P20156" s="24"/>
      <c r="Q20156" s="24"/>
      <c r="R20156" s="24"/>
      <c r="S20156" s="24"/>
      <c r="T20156" s="24"/>
      <c r="U20156" s="24"/>
      <c r="V20156" s="24"/>
      <c r="W20156" s="24"/>
      <c r="X20156" s="24"/>
      <c r="Y20156" s="24"/>
      <c r="Z20156" s="24"/>
      <c r="AA20156" s="24"/>
    </row>
    <row r="20157">
      <c r="A20157" s="24"/>
      <c r="B20157" s="25"/>
      <c r="C20157" s="24"/>
      <c r="D20157" s="26"/>
      <c r="E20157" s="24"/>
      <c r="F20157" s="24"/>
      <c r="G20157" s="24"/>
      <c r="H20157" s="24"/>
      <c r="I20157" s="24"/>
      <c r="J20157" s="24"/>
      <c r="K20157" s="24"/>
      <c r="L20157" s="24"/>
      <c r="M20157" s="24"/>
      <c r="N20157" s="24"/>
      <c r="O20157" s="24"/>
      <c r="P20157" s="24"/>
      <c r="Q20157" s="24"/>
      <c r="R20157" s="24"/>
      <c r="S20157" s="24"/>
      <c r="T20157" s="24"/>
      <c r="U20157" s="24"/>
      <c r="V20157" s="24"/>
      <c r="W20157" s="24"/>
      <c r="X20157" s="24"/>
      <c r="Y20157" s="24"/>
      <c r="Z20157" s="24"/>
      <c r="AA20157" s="24"/>
    </row>
    <row r="20158">
      <c r="A20158" s="24"/>
      <c r="B20158" s="25"/>
      <c r="C20158" s="24"/>
      <c r="D20158" s="26"/>
      <c r="E20158" s="24"/>
      <c r="F20158" s="24"/>
      <c r="G20158" s="24"/>
      <c r="H20158" s="24"/>
      <c r="I20158" s="24"/>
      <c r="J20158" s="24"/>
      <c r="K20158" s="24"/>
      <c r="L20158" s="24"/>
      <c r="M20158" s="24"/>
      <c r="N20158" s="24"/>
      <c r="O20158" s="24"/>
      <c r="P20158" s="24"/>
      <c r="Q20158" s="24"/>
      <c r="R20158" s="24"/>
      <c r="S20158" s="24"/>
      <c r="T20158" s="24"/>
      <c r="U20158" s="24"/>
      <c r="V20158" s="24"/>
      <c r="W20158" s="24"/>
      <c r="X20158" s="24"/>
      <c r="Y20158" s="24"/>
      <c r="Z20158" s="24"/>
      <c r="AA20158" s="24"/>
    </row>
    <row r="20159">
      <c r="A20159" s="24"/>
      <c r="B20159" s="25"/>
      <c r="C20159" s="24"/>
      <c r="D20159" s="26"/>
      <c r="E20159" s="24"/>
      <c r="F20159" s="24"/>
      <c r="G20159" s="24"/>
      <c r="H20159" s="24"/>
      <c r="I20159" s="24"/>
      <c r="J20159" s="24"/>
      <c r="K20159" s="24"/>
      <c r="L20159" s="24"/>
      <c r="M20159" s="24"/>
      <c r="N20159" s="24"/>
      <c r="O20159" s="24"/>
      <c r="P20159" s="24"/>
      <c r="Q20159" s="24"/>
      <c r="R20159" s="24"/>
      <c r="S20159" s="24"/>
      <c r="T20159" s="24"/>
      <c r="U20159" s="24"/>
      <c r="V20159" s="24"/>
      <c r="W20159" s="24"/>
      <c r="X20159" s="24"/>
      <c r="Y20159" s="24"/>
      <c r="Z20159" s="24"/>
      <c r="AA20159" s="24"/>
    </row>
    <row r="20160">
      <c r="A20160" s="24"/>
      <c r="B20160" s="25"/>
      <c r="C20160" s="24"/>
      <c r="D20160" s="26"/>
      <c r="E20160" s="24"/>
      <c r="F20160" s="24"/>
      <c r="G20160" s="24"/>
      <c r="H20160" s="24"/>
      <c r="I20160" s="24"/>
      <c r="J20160" s="24"/>
      <c r="K20160" s="24"/>
      <c r="L20160" s="24"/>
      <c r="M20160" s="24"/>
      <c r="N20160" s="24"/>
      <c r="O20160" s="24"/>
      <c r="P20160" s="24"/>
      <c r="Q20160" s="24"/>
      <c r="R20160" s="24"/>
      <c r="S20160" s="24"/>
      <c r="T20160" s="24"/>
      <c r="U20160" s="24"/>
      <c r="V20160" s="24"/>
      <c r="W20160" s="24"/>
      <c r="X20160" s="24"/>
      <c r="Y20160" s="24"/>
      <c r="Z20160" s="24"/>
      <c r="AA20160" s="24"/>
    </row>
    <row r="20161">
      <c r="A20161" s="24"/>
      <c r="B20161" s="25"/>
      <c r="C20161" s="24"/>
      <c r="D20161" s="26"/>
      <c r="E20161" s="24"/>
      <c r="F20161" s="24"/>
      <c r="G20161" s="24"/>
      <c r="H20161" s="24"/>
      <c r="I20161" s="24"/>
      <c r="J20161" s="24"/>
      <c r="K20161" s="24"/>
      <c r="L20161" s="24"/>
      <c r="M20161" s="24"/>
      <c r="N20161" s="24"/>
      <c r="O20161" s="24"/>
      <c r="P20161" s="24"/>
      <c r="Q20161" s="24"/>
      <c r="R20161" s="24"/>
      <c r="S20161" s="24"/>
      <c r="T20161" s="24"/>
      <c r="U20161" s="24"/>
      <c r="V20161" s="24"/>
      <c r="W20161" s="24"/>
      <c r="X20161" s="24"/>
      <c r="Y20161" s="24"/>
      <c r="Z20161" s="24"/>
      <c r="AA20161" s="24"/>
    </row>
    <row r="20162">
      <c r="A20162" s="24"/>
      <c r="B20162" s="25"/>
      <c r="C20162" s="24"/>
      <c r="D20162" s="26"/>
      <c r="E20162" s="24"/>
      <c r="F20162" s="24"/>
      <c r="G20162" s="24"/>
      <c r="H20162" s="24"/>
      <c r="I20162" s="24"/>
      <c r="J20162" s="24"/>
      <c r="K20162" s="24"/>
      <c r="L20162" s="24"/>
      <c r="M20162" s="24"/>
      <c r="N20162" s="24"/>
      <c r="O20162" s="24"/>
      <c r="P20162" s="24"/>
      <c r="Q20162" s="24"/>
      <c r="R20162" s="24"/>
      <c r="S20162" s="24"/>
      <c r="T20162" s="24"/>
      <c r="U20162" s="24"/>
      <c r="V20162" s="24"/>
      <c r="W20162" s="24"/>
      <c r="X20162" s="24"/>
      <c r="Y20162" s="24"/>
      <c r="Z20162" s="24"/>
      <c r="AA20162" s="24"/>
    </row>
    <row r="20163">
      <c r="A20163" s="24"/>
      <c r="B20163" s="25"/>
      <c r="C20163" s="24"/>
      <c r="D20163" s="26"/>
      <c r="E20163" s="24"/>
      <c r="F20163" s="24"/>
      <c r="G20163" s="24"/>
      <c r="H20163" s="24"/>
      <c r="I20163" s="24"/>
      <c r="J20163" s="24"/>
      <c r="K20163" s="24"/>
      <c r="L20163" s="24"/>
      <c r="M20163" s="24"/>
      <c r="N20163" s="24"/>
      <c r="O20163" s="24"/>
      <c r="P20163" s="24"/>
      <c r="Q20163" s="24"/>
      <c r="R20163" s="24"/>
      <c r="S20163" s="24"/>
      <c r="T20163" s="24"/>
      <c r="U20163" s="24"/>
      <c r="V20163" s="24"/>
      <c r="W20163" s="24"/>
      <c r="X20163" s="24"/>
      <c r="Y20163" s="24"/>
      <c r="Z20163" s="24"/>
      <c r="AA20163" s="24"/>
    </row>
    <row r="20164">
      <c r="A20164" s="24"/>
      <c r="B20164" s="25"/>
      <c r="C20164" s="24"/>
      <c r="D20164" s="26"/>
      <c r="E20164" s="24"/>
      <c r="F20164" s="24"/>
      <c r="G20164" s="24"/>
      <c r="H20164" s="24"/>
      <c r="I20164" s="24"/>
      <c r="J20164" s="24"/>
      <c r="K20164" s="24"/>
      <c r="L20164" s="24"/>
      <c r="M20164" s="24"/>
      <c r="N20164" s="24"/>
      <c r="O20164" s="24"/>
      <c r="P20164" s="24"/>
      <c r="Q20164" s="24"/>
      <c r="R20164" s="24"/>
      <c r="S20164" s="24"/>
      <c r="T20164" s="24"/>
      <c r="U20164" s="24"/>
      <c r="V20164" s="24"/>
      <c r="W20164" s="24"/>
      <c r="X20164" s="24"/>
      <c r="Y20164" s="24"/>
      <c r="Z20164" s="24"/>
      <c r="AA20164" s="24"/>
    </row>
    <row r="20165">
      <c r="A20165" s="24"/>
      <c r="B20165" s="25"/>
      <c r="C20165" s="24"/>
      <c r="D20165" s="26"/>
      <c r="E20165" s="24"/>
      <c r="F20165" s="24"/>
      <c r="G20165" s="24"/>
      <c r="H20165" s="24"/>
      <c r="I20165" s="24"/>
      <c r="J20165" s="24"/>
      <c r="K20165" s="24"/>
      <c r="L20165" s="24"/>
      <c r="M20165" s="24"/>
      <c r="N20165" s="24"/>
      <c r="O20165" s="24"/>
      <c r="P20165" s="24"/>
      <c r="Q20165" s="24"/>
      <c r="R20165" s="24"/>
      <c r="S20165" s="24"/>
      <c r="T20165" s="24"/>
      <c r="U20165" s="24"/>
      <c r="V20165" s="24"/>
      <c r="W20165" s="24"/>
      <c r="X20165" s="24"/>
      <c r="Y20165" s="24"/>
      <c r="Z20165" s="24"/>
      <c r="AA20165" s="24"/>
    </row>
    <row r="20166">
      <c r="A20166" s="24"/>
      <c r="B20166" s="25"/>
      <c r="C20166" s="24"/>
      <c r="D20166" s="26"/>
      <c r="E20166" s="24"/>
      <c r="F20166" s="24"/>
      <c r="G20166" s="24"/>
      <c r="H20166" s="24"/>
      <c r="I20166" s="24"/>
      <c r="J20166" s="24"/>
      <c r="K20166" s="24"/>
      <c r="L20166" s="24"/>
      <c r="M20166" s="24"/>
      <c r="N20166" s="24"/>
      <c r="O20166" s="24"/>
      <c r="P20166" s="24"/>
      <c r="Q20166" s="24"/>
      <c r="R20166" s="24"/>
      <c r="S20166" s="24"/>
      <c r="T20166" s="24"/>
      <c r="U20166" s="24"/>
      <c r="V20166" s="24"/>
      <c r="W20166" s="24"/>
      <c r="X20166" s="24"/>
      <c r="Y20166" s="24"/>
      <c r="Z20166" s="24"/>
      <c r="AA20166" s="24"/>
    </row>
    <row r="20167">
      <c r="A20167" s="24"/>
      <c r="B20167" s="25"/>
      <c r="C20167" s="24"/>
      <c r="D20167" s="26"/>
      <c r="E20167" s="24"/>
      <c r="F20167" s="24"/>
      <c r="G20167" s="24"/>
      <c r="H20167" s="24"/>
      <c r="I20167" s="24"/>
      <c r="J20167" s="24"/>
      <c r="K20167" s="24"/>
      <c r="L20167" s="24"/>
      <c r="M20167" s="24"/>
      <c r="N20167" s="24"/>
      <c r="O20167" s="24"/>
      <c r="P20167" s="24"/>
      <c r="Q20167" s="24"/>
      <c r="R20167" s="24"/>
      <c r="S20167" s="24"/>
      <c r="T20167" s="24"/>
      <c r="U20167" s="24"/>
      <c r="V20167" s="24"/>
      <c r="W20167" s="24"/>
      <c r="X20167" s="24"/>
      <c r="Y20167" s="24"/>
      <c r="Z20167" s="24"/>
      <c r="AA20167" s="24"/>
    </row>
    <row r="20168">
      <c r="A20168" s="24"/>
      <c r="B20168" s="25"/>
      <c r="C20168" s="24"/>
      <c r="D20168" s="26"/>
      <c r="E20168" s="24"/>
      <c r="F20168" s="24"/>
      <c r="G20168" s="24"/>
      <c r="H20168" s="24"/>
      <c r="I20168" s="24"/>
      <c r="J20168" s="24"/>
      <c r="K20168" s="24"/>
      <c r="L20168" s="24"/>
      <c r="M20168" s="24"/>
      <c r="N20168" s="24"/>
      <c r="O20168" s="24"/>
      <c r="P20168" s="24"/>
      <c r="Q20168" s="24"/>
      <c r="R20168" s="24"/>
      <c r="S20168" s="24"/>
      <c r="T20168" s="24"/>
      <c r="U20168" s="24"/>
      <c r="V20168" s="24"/>
      <c r="W20168" s="24"/>
      <c r="X20168" s="24"/>
      <c r="Y20168" s="24"/>
      <c r="Z20168" s="24"/>
      <c r="AA20168" s="24"/>
    </row>
    <row r="20169">
      <c r="A20169" s="24"/>
      <c r="B20169" s="25"/>
      <c r="C20169" s="24"/>
      <c r="D20169" s="26"/>
      <c r="E20169" s="24"/>
      <c r="F20169" s="24"/>
      <c r="G20169" s="24"/>
      <c r="H20169" s="24"/>
      <c r="I20169" s="24"/>
      <c r="J20169" s="24"/>
      <c r="K20169" s="24"/>
      <c r="L20169" s="24"/>
      <c r="M20169" s="24"/>
      <c r="N20169" s="24"/>
      <c r="O20169" s="24"/>
      <c r="P20169" s="24"/>
      <c r="Q20169" s="24"/>
      <c r="R20169" s="24"/>
      <c r="S20169" s="24"/>
      <c r="T20169" s="24"/>
      <c r="U20169" s="24"/>
      <c r="V20169" s="24"/>
      <c r="W20169" s="24"/>
      <c r="X20169" s="24"/>
      <c r="Y20169" s="24"/>
      <c r="Z20169" s="24"/>
      <c r="AA20169" s="24"/>
    </row>
    <row r="20170">
      <c r="A20170" s="24"/>
      <c r="B20170" s="25"/>
      <c r="C20170" s="24"/>
      <c r="D20170" s="26"/>
      <c r="E20170" s="24"/>
      <c r="F20170" s="24"/>
      <c r="G20170" s="24"/>
      <c r="H20170" s="24"/>
      <c r="I20170" s="24"/>
      <c r="J20170" s="24"/>
      <c r="K20170" s="24"/>
      <c r="L20170" s="24"/>
      <c r="M20170" s="24"/>
      <c r="N20170" s="24"/>
      <c r="O20170" s="24"/>
      <c r="P20170" s="24"/>
      <c r="Q20170" s="24"/>
      <c r="R20170" s="24"/>
      <c r="S20170" s="24"/>
      <c r="T20170" s="24"/>
      <c r="U20170" s="24"/>
      <c r="V20170" s="24"/>
      <c r="W20170" s="24"/>
      <c r="X20170" s="24"/>
      <c r="Y20170" s="24"/>
      <c r="Z20170" s="24"/>
      <c r="AA20170" s="24"/>
    </row>
    <row r="20171">
      <c r="A20171" s="24"/>
      <c r="B20171" s="25"/>
      <c r="C20171" s="24"/>
      <c r="D20171" s="26"/>
      <c r="E20171" s="24"/>
      <c r="F20171" s="24"/>
      <c r="G20171" s="24"/>
      <c r="H20171" s="24"/>
      <c r="I20171" s="24"/>
      <c r="J20171" s="24"/>
      <c r="K20171" s="24"/>
      <c r="L20171" s="24"/>
      <c r="M20171" s="24"/>
      <c r="N20171" s="24"/>
      <c r="O20171" s="24"/>
      <c r="P20171" s="24"/>
      <c r="Q20171" s="24"/>
      <c r="R20171" s="24"/>
      <c r="S20171" s="24"/>
      <c r="T20171" s="24"/>
      <c r="U20171" s="24"/>
      <c r="V20171" s="24"/>
      <c r="W20171" s="24"/>
      <c r="X20171" s="24"/>
      <c r="Y20171" s="24"/>
      <c r="Z20171" s="24"/>
      <c r="AA20171" s="24"/>
    </row>
    <row r="20172">
      <c r="A20172" s="24"/>
      <c r="B20172" s="25"/>
      <c r="C20172" s="24"/>
      <c r="D20172" s="26"/>
      <c r="E20172" s="24"/>
      <c r="F20172" s="24"/>
      <c r="G20172" s="24"/>
      <c r="H20172" s="24"/>
      <c r="I20172" s="24"/>
      <c r="J20172" s="24"/>
      <c r="K20172" s="24"/>
      <c r="L20172" s="24"/>
      <c r="M20172" s="24"/>
      <c r="N20172" s="24"/>
      <c r="O20172" s="24"/>
      <c r="P20172" s="24"/>
      <c r="Q20172" s="24"/>
      <c r="R20172" s="24"/>
      <c r="S20172" s="24"/>
      <c r="T20172" s="24"/>
      <c r="U20172" s="24"/>
      <c r="V20172" s="24"/>
      <c r="W20172" s="24"/>
      <c r="X20172" s="24"/>
      <c r="Y20172" s="24"/>
      <c r="Z20172" s="24"/>
      <c r="AA20172" s="24"/>
    </row>
    <row r="20173">
      <c r="A20173" s="24"/>
      <c r="B20173" s="25"/>
      <c r="C20173" s="24"/>
      <c r="D20173" s="26"/>
      <c r="E20173" s="24"/>
      <c r="F20173" s="24"/>
      <c r="G20173" s="24"/>
      <c r="H20173" s="24"/>
      <c r="I20173" s="24"/>
      <c r="J20173" s="24"/>
      <c r="K20173" s="24"/>
      <c r="L20173" s="24"/>
      <c r="M20173" s="24"/>
      <c r="N20173" s="24"/>
      <c r="O20173" s="24"/>
      <c r="P20173" s="24"/>
      <c r="Q20173" s="24"/>
      <c r="R20173" s="24"/>
      <c r="S20173" s="24"/>
      <c r="T20173" s="24"/>
      <c r="U20173" s="24"/>
      <c r="V20173" s="24"/>
      <c r="W20173" s="24"/>
      <c r="X20173" s="24"/>
      <c r="Y20173" s="24"/>
      <c r="Z20173" s="24"/>
      <c r="AA20173" s="24"/>
    </row>
    <row r="20174">
      <c r="A20174" s="24"/>
      <c r="B20174" s="25"/>
      <c r="C20174" s="24"/>
      <c r="D20174" s="26"/>
      <c r="E20174" s="24"/>
      <c r="F20174" s="24"/>
      <c r="G20174" s="24"/>
      <c r="H20174" s="24"/>
      <c r="I20174" s="24"/>
      <c r="J20174" s="24"/>
      <c r="K20174" s="24"/>
      <c r="L20174" s="24"/>
      <c r="M20174" s="24"/>
      <c r="N20174" s="24"/>
      <c r="O20174" s="24"/>
      <c r="P20174" s="24"/>
      <c r="Q20174" s="24"/>
      <c r="R20174" s="24"/>
      <c r="S20174" s="24"/>
      <c r="T20174" s="24"/>
      <c r="U20174" s="24"/>
      <c r="V20174" s="24"/>
      <c r="W20174" s="24"/>
      <c r="X20174" s="24"/>
      <c r="Y20174" s="24"/>
      <c r="Z20174" s="24"/>
      <c r="AA20174" s="24"/>
    </row>
    <row r="20175">
      <c r="A20175" s="24"/>
      <c r="B20175" s="25"/>
      <c r="C20175" s="24"/>
      <c r="D20175" s="26"/>
      <c r="E20175" s="24"/>
      <c r="F20175" s="24"/>
      <c r="G20175" s="24"/>
      <c r="H20175" s="24"/>
      <c r="I20175" s="24"/>
      <c r="J20175" s="24"/>
      <c r="K20175" s="24"/>
      <c r="L20175" s="24"/>
      <c r="M20175" s="24"/>
      <c r="N20175" s="24"/>
      <c r="O20175" s="24"/>
      <c r="P20175" s="24"/>
      <c r="Q20175" s="24"/>
      <c r="R20175" s="24"/>
      <c r="S20175" s="24"/>
      <c r="T20175" s="24"/>
      <c r="U20175" s="24"/>
      <c r="V20175" s="24"/>
      <c r="W20175" s="24"/>
      <c r="X20175" s="24"/>
      <c r="Y20175" s="24"/>
      <c r="Z20175" s="24"/>
      <c r="AA20175" s="24"/>
    </row>
    <row r="20176">
      <c r="A20176" s="24"/>
      <c r="B20176" s="25"/>
      <c r="C20176" s="24"/>
      <c r="D20176" s="26"/>
      <c r="E20176" s="24"/>
      <c r="F20176" s="24"/>
      <c r="G20176" s="24"/>
      <c r="H20176" s="24"/>
      <c r="I20176" s="24"/>
      <c r="J20176" s="24"/>
      <c r="K20176" s="24"/>
      <c r="L20176" s="24"/>
      <c r="M20176" s="24"/>
      <c r="N20176" s="24"/>
      <c r="O20176" s="24"/>
      <c r="P20176" s="24"/>
      <c r="Q20176" s="24"/>
      <c r="R20176" s="24"/>
      <c r="S20176" s="24"/>
      <c r="T20176" s="24"/>
      <c r="U20176" s="24"/>
      <c r="V20176" s="24"/>
      <c r="W20176" s="24"/>
      <c r="X20176" s="24"/>
      <c r="Y20176" s="24"/>
      <c r="Z20176" s="24"/>
      <c r="AA20176" s="24"/>
    </row>
    <row r="20177">
      <c r="A20177" s="24"/>
      <c r="B20177" s="25"/>
      <c r="C20177" s="24"/>
      <c r="D20177" s="26"/>
      <c r="E20177" s="24"/>
      <c r="F20177" s="24"/>
      <c r="G20177" s="24"/>
      <c r="H20177" s="24"/>
      <c r="I20177" s="24"/>
      <c r="J20177" s="24"/>
      <c r="K20177" s="24"/>
      <c r="L20177" s="24"/>
      <c r="M20177" s="24"/>
      <c r="N20177" s="24"/>
      <c r="O20177" s="24"/>
      <c r="P20177" s="24"/>
      <c r="Q20177" s="24"/>
      <c r="R20177" s="24"/>
      <c r="S20177" s="24"/>
      <c r="T20177" s="24"/>
      <c r="U20177" s="24"/>
      <c r="V20177" s="24"/>
      <c r="W20177" s="24"/>
      <c r="X20177" s="24"/>
      <c r="Y20177" s="24"/>
      <c r="Z20177" s="24"/>
      <c r="AA20177" s="24"/>
    </row>
    <row r="20178">
      <c r="A20178" s="24"/>
      <c r="B20178" s="25"/>
      <c r="C20178" s="24"/>
      <c r="D20178" s="26"/>
      <c r="E20178" s="24"/>
      <c r="F20178" s="24"/>
      <c r="G20178" s="24"/>
      <c r="H20178" s="24"/>
      <c r="I20178" s="24"/>
      <c r="J20178" s="24"/>
      <c r="K20178" s="24"/>
      <c r="L20178" s="24"/>
      <c r="M20178" s="24"/>
      <c r="N20178" s="24"/>
      <c r="O20178" s="24"/>
      <c r="P20178" s="24"/>
      <c r="Q20178" s="24"/>
      <c r="R20178" s="24"/>
      <c r="S20178" s="24"/>
      <c r="T20178" s="24"/>
      <c r="U20178" s="24"/>
      <c r="V20178" s="24"/>
      <c r="W20178" s="24"/>
      <c r="X20178" s="24"/>
      <c r="Y20178" s="24"/>
      <c r="Z20178" s="24"/>
      <c r="AA20178" s="24"/>
    </row>
    <row r="20179">
      <c r="A20179" s="24"/>
      <c r="B20179" s="25"/>
      <c r="C20179" s="24"/>
      <c r="D20179" s="26"/>
      <c r="E20179" s="24"/>
      <c r="F20179" s="24"/>
      <c r="G20179" s="24"/>
      <c r="H20179" s="24"/>
      <c r="I20179" s="24"/>
      <c r="J20179" s="24"/>
      <c r="K20179" s="24"/>
      <c r="L20179" s="24"/>
      <c r="M20179" s="24"/>
      <c r="N20179" s="24"/>
      <c r="O20179" s="24"/>
      <c r="P20179" s="24"/>
      <c r="Q20179" s="24"/>
      <c r="R20179" s="24"/>
      <c r="S20179" s="24"/>
      <c r="T20179" s="24"/>
      <c r="U20179" s="24"/>
      <c r="V20179" s="24"/>
      <c r="W20179" s="24"/>
      <c r="X20179" s="24"/>
      <c r="Y20179" s="24"/>
      <c r="Z20179" s="24"/>
      <c r="AA20179" s="24"/>
    </row>
    <row r="20180">
      <c r="A20180" s="24"/>
      <c r="B20180" s="25"/>
      <c r="C20180" s="24"/>
      <c r="D20180" s="26"/>
      <c r="E20180" s="24"/>
      <c r="F20180" s="24"/>
      <c r="G20180" s="24"/>
      <c r="H20180" s="24"/>
      <c r="I20180" s="24"/>
      <c r="J20180" s="24"/>
      <c r="K20180" s="24"/>
      <c r="L20180" s="24"/>
      <c r="M20180" s="24"/>
      <c r="N20180" s="24"/>
      <c r="O20180" s="24"/>
      <c r="P20180" s="24"/>
      <c r="Q20180" s="24"/>
      <c r="R20180" s="24"/>
      <c r="S20180" s="24"/>
      <c r="T20180" s="24"/>
      <c r="U20180" s="24"/>
      <c r="V20180" s="24"/>
      <c r="W20180" s="24"/>
      <c r="X20180" s="24"/>
      <c r="Y20180" s="24"/>
      <c r="Z20180" s="24"/>
      <c r="AA20180" s="24"/>
    </row>
    <row r="20181">
      <c r="A20181" s="24"/>
      <c r="B20181" s="25"/>
      <c r="C20181" s="24"/>
      <c r="D20181" s="26"/>
      <c r="E20181" s="24"/>
      <c r="F20181" s="24"/>
      <c r="G20181" s="24"/>
      <c r="H20181" s="24"/>
      <c r="I20181" s="24"/>
      <c r="J20181" s="24"/>
      <c r="K20181" s="24"/>
      <c r="L20181" s="24"/>
      <c r="M20181" s="24"/>
      <c r="N20181" s="24"/>
      <c r="O20181" s="24"/>
      <c r="P20181" s="24"/>
      <c r="Q20181" s="24"/>
      <c r="R20181" s="24"/>
      <c r="S20181" s="24"/>
      <c r="T20181" s="24"/>
      <c r="U20181" s="24"/>
      <c r="V20181" s="24"/>
      <c r="W20181" s="24"/>
      <c r="X20181" s="24"/>
      <c r="Y20181" s="24"/>
      <c r="Z20181" s="24"/>
      <c r="AA20181" s="24"/>
    </row>
    <row r="20182">
      <c r="A20182" s="24"/>
      <c r="B20182" s="25"/>
      <c r="C20182" s="24"/>
      <c r="D20182" s="26"/>
      <c r="E20182" s="24"/>
      <c r="F20182" s="24"/>
      <c r="G20182" s="24"/>
      <c r="H20182" s="24"/>
      <c r="I20182" s="24"/>
      <c r="J20182" s="24"/>
      <c r="K20182" s="24"/>
      <c r="L20182" s="24"/>
      <c r="M20182" s="24"/>
      <c r="N20182" s="24"/>
      <c r="O20182" s="24"/>
      <c r="P20182" s="24"/>
      <c r="Q20182" s="24"/>
      <c r="R20182" s="24"/>
      <c r="S20182" s="24"/>
      <c r="T20182" s="24"/>
      <c r="U20182" s="24"/>
      <c r="V20182" s="24"/>
      <c r="W20182" s="24"/>
      <c r="X20182" s="24"/>
      <c r="Y20182" s="24"/>
      <c r="Z20182" s="24"/>
      <c r="AA20182" s="24"/>
    </row>
    <row r="20183">
      <c r="A20183" s="24"/>
      <c r="B20183" s="25"/>
      <c r="C20183" s="24"/>
      <c r="D20183" s="26"/>
      <c r="E20183" s="24"/>
      <c r="F20183" s="24"/>
      <c r="G20183" s="24"/>
      <c r="H20183" s="24"/>
      <c r="I20183" s="24"/>
      <c r="J20183" s="24"/>
      <c r="K20183" s="24"/>
      <c r="L20183" s="24"/>
      <c r="M20183" s="24"/>
      <c r="N20183" s="24"/>
      <c r="O20183" s="24"/>
      <c r="P20183" s="24"/>
      <c r="Q20183" s="24"/>
      <c r="R20183" s="24"/>
      <c r="S20183" s="24"/>
      <c r="T20183" s="24"/>
      <c r="U20183" s="24"/>
      <c r="V20183" s="24"/>
      <c r="W20183" s="24"/>
      <c r="X20183" s="24"/>
      <c r="Y20183" s="24"/>
      <c r="Z20183" s="24"/>
      <c r="AA20183" s="24"/>
    </row>
    <row r="20184">
      <c r="A20184" s="24"/>
      <c r="B20184" s="25"/>
      <c r="C20184" s="24"/>
      <c r="D20184" s="26"/>
      <c r="E20184" s="24"/>
      <c r="F20184" s="24"/>
      <c r="G20184" s="24"/>
      <c r="H20184" s="24"/>
      <c r="I20184" s="24"/>
      <c r="J20184" s="24"/>
      <c r="K20184" s="24"/>
      <c r="L20184" s="24"/>
      <c r="M20184" s="24"/>
      <c r="N20184" s="24"/>
      <c r="O20184" s="24"/>
      <c r="P20184" s="24"/>
      <c r="Q20184" s="24"/>
      <c r="R20184" s="24"/>
      <c r="S20184" s="24"/>
      <c r="T20184" s="24"/>
      <c r="U20184" s="24"/>
      <c r="V20184" s="24"/>
      <c r="W20184" s="24"/>
      <c r="X20184" s="24"/>
      <c r="Y20184" s="24"/>
      <c r="Z20184" s="24"/>
      <c r="AA20184" s="24"/>
    </row>
    <row r="20185">
      <c r="A20185" s="24"/>
      <c r="B20185" s="25"/>
      <c r="C20185" s="24"/>
      <c r="D20185" s="26"/>
      <c r="E20185" s="24"/>
      <c r="F20185" s="24"/>
      <c r="G20185" s="24"/>
      <c r="H20185" s="24"/>
      <c r="I20185" s="24"/>
      <c r="J20185" s="24"/>
      <c r="K20185" s="24"/>
      <c r="L20185" s="24"/>
      <c r="M20185" s="24"/>
      <c r="N20185" s="24"/>
      <c r="O20185" s="24"/>
      <c r="P20185" s="24"/>
      <c r="Q20185" s="24"/>
      <c r="R20185" s="24"/>
      <c r="S20185" s="24"/>
      <c r="T20185" s="24"/>
      <c r="U20185" s="24"/>
      <c r="V20185" s="24"/>
      <c r="W20185" s="24"/>
      <c r="X20185" s="24"/>
      <c r="Y20185" s="24"/>
      <c r="Z20185" s="24"/>
      <c r="AA20185" s="24"/>
    </row>
    <row r="20186">
      <c r="A20186" s="24"/>
      <c r="B20186" s="25"/>
      <c r="C20186" s="24"/>
      <c r="D20186" s="26"/>
      <c r="E20186" s="24"/>
      <c r="F20186" s="24"/>
      <c r="G20186" s="24"/>
      <c r="H20186" s="24"/>
      <c r="I20186" s="24"/>
      <c r="J20186" s="24"/>
      <c r="K20186" s="24"/>
      <c r="L20186" s="24"/>
      <c r="M20186" s="24"/>
      <c r="N20186" s="24"/>
      <c r="O20186" s="24"/>
      <c r="P20186" s="24"/>
      <c r="Q20186" s="24"/>
      <c r="R20186" s="24"/>
      <c r="S20186" s="24"/>
      <c r="T20186" s="24"/>
      <c r="U20186" s="24"/>
      <c r="V20186" s="24"/>
      <c r="W20186" s="24"/>
      <c r="X20186" s="24"/>
      <c r="Y20186" s="24"/>
      <c r="Z20186" s="24"/>
      <c r="AA20186" s="24"/>
    </row>
    <row r="20187">
      <c r="A20187" s="24"/>
      <c r="B20187" s="25"/>
      <c r="C20187" s="24"/>
      <c r="D20187" s="26"/>
      <c r="E20187" s="24"/>
      <c r="F20187" s="24"/>
      <c r="G20187" s="24"/>
      <c r="H20187" s="24"/>
      <c r="I20187" s="24"/>
      <c r="J20187" s="24"/>
      <c r="K20187" s="24"/>
      <c r="L20187" s="24"/>
      <c r="M20187" s="24"/>
      <c r="N20187" s="24"/>
      <c r="O20187" s="24"/>
      <c r="P20187" s="24"/>
      <c r="Q20187" s="24"/>
      <c r="R20187" s="24"/>
      <c r="S20187" s="24"/>
      <c r="T20187" s="24"/>
      <c r="U20187" s="24"/>
      <c r="V20187" s="24"/>
      <c r="W20187" s="24"/>
      <c r="X20187" s="24"/>
      <c r="Y20187" s="24"/>
      <c r="Z20187" s="24"/>
      <c r="AA20187" s="24"/>
    </row>
    <row r="20188">
      <c r="A20188" s="24"/>
      <c r="B20188" s="25"/>
      <c r="C20188" s="24"/>
      <c r="D20188" s="26"/>
      <c r="E20188" s="24"/>
      <c r="F20188" s="24"/>
      <c r="G20188" s="24"/>
      <c r="H20188" s="24"/>
      <c r="I20188" s="24"/>
      <c r="J20188" s="24"/>
      <c r="K20188" s="24"/>
      <c r="L20188" s="24"/>
      <c r="M20188" s="24"/>
      <c r="N20188" s="24"/>
      <c r="O20188" s="24"/>
      <c r="P20188" s="24"/>
      <c r="Q20188" s="24"/>
      <c r="R20188" s="24"/>
      <c r="S20188" s="24"/>
      <c r="T20188" s="24"/>
      <c r="U20188" s="24"/>
      <c r="V20188" s="24"/>
      <c r="W20188" s="24"/>
      <c r="X20188" s="24"/>
      <c r="Y20188" s="24"/>
      <c r="Z20188" s="24"/>
      <c r="AA20188" s="24"/>
    </row>
    <row r="20189">
      <c r="A20189" s="24"/>
      <c r="B20189" s="25"/>
      <c r="C20189" s="24"/>
      <c r="D20189" s="26"/>
      <c r="E20189" s="24"/>
      <c r="F20189" s="24"/>
      <c r="G20189" s="24"/>
      <c r="H20189" s="24"/>
      <c r="I20189" s="24"/>
      <c r="J20189" s="24"/>
      <c r="K20189" s="24"/>
      <c r="L20189" s="24"/>
      <c r="M20189" s="24"/>
      <c r="N20189" s="24"/>
      <c r="O20189" s="24"/>
      <c r="P20189" s="24"/>
      <c r="Q20189" s="24"/>
      <c r="R20189" s="24"/>
      <c r="S20189" s="24"/>
      <c r="T20189" s="24"/>
      <c r="U20189" s="24"/>
      <c r="V20189" s="24"/>
      <c r="W20189" s="24"/>
      <c r="X20189" s="24"/>
      <c r="Y20189" s="24"/>
      <c r="Z20189" s="24"/>
      <c r="AA20189" s="24"/>
    </row>
    <row r="20190">
      <c r="A20190" s="24"/>
      <c r="B20190" s="25"/>
      <c r="C20190" s="24"/>
      <c r="D20190" s="26"/>
      <c r="E20190" s="24"/>
      <c r="F20190" s="24"/>
      <c r="G20190" s="24"/>
      <c r="H20190" s="24"/>
      <c r="I20190" s="24"/>
      <c r="J20190" s="24"/>
      <c r="K20190" s="24"/>
      <c r="L20190" s="24"/>
      <c r="M20190" s="24"/>
      <c r="N20190" s="24"/>
      <c r="O20190" s="24"/>
      <c r="P20190" s="24"/>
      <c r="Q20190" s="24"/>
      <c r="R20190" s="24"/>
      <c r="S20190" s="24"/>
      <c r="T20190" s="24"/>
      <c r="U20190" s="24"/>
      <c r="V20190" s="24"/>
      <c r="W20190" s="24"/>
      <c r="X20190" s="24"/>
      <c r="Y20190" s="24"/>
      <c r="Z20190" s="24"/>
      <c r="AA20190" s="24"/>
    </row>
    <row r="20191">
      <c r="A20191" s="24"/>
      <c r="B20191" s="25"/>
      <c r="C20191" s="24"/>
      <c r="D20191" s="26"/>
      <c r="E20191" s="24"/>
      <c r="F20191" s="24"/>
      <c r="G20191" s="24"/>
      <c r="H20191" s="24"/>
      <c r="I20191" s="24"/>
      <c r="J20191" s="24"/>
      <c r="K20191" s="24"/>
      <c r="L20191" s="24"/>
      <c r="M20191" s="24"/>
      <c r="N20191" s="24"/>
      <c r="O20191" s="24"/>
      <c r="P20191" s="24"/>
      <c r="Q20191" s="24"/>
      <c r="R20191" s="24"/>
      <c r="S20191" s="24"/>
      <c r="T20191" s="24"/>
      <c r="U20191" s="24"/>
      <c r="V20191" s="24"/>
      <c r="W20191" s="24"/>
      <c r="X20191" s="24"/>
      <c r="Y20191" s="24"/>
      <c r="Z20191" s="24"/>
      <c r="AA20191" s="24"/>
    </row>
    <row r="20192">
      <c r="A20192" s="24"/>
      <c r="B20192" s="25"/>
      <c r="C20192" s="24"/>
      <c r="D20192" s="26"/>
      <c r="E20192" s="24"/>
      <c r="F20192" s="24"/>
      <c r="G20192" s="24"/>
      <c r="H20192" s="24"/>
      <c r="I20192" s="24"/>
      <c r="J20192" s="24"/>
      <c r="K20192" s="24"/>
      <c r="L20192" s="24"/>
      <c r="M20192" s="24"/>
      <c r="N20192" s="24"/>
      <c r="O20192" s="24"/>
      <c r="P20192" s="24"/>
      <c r="Q20192" s="24"/>
      <c r="R20192" s="24"/>
      <c r="S20192" s="24"/>
      <c r="T20192" s="24"/>
      <c r="U20192" s="24"/>
      <c r="V20192" s="24"/>
      <c r="W20192" s="24"/>
      <c r="X20192" s="24"/>
      <c r="Y20192" s="24"/>
      <c r="Z20192" s="24"/>
      <c r="AA20192" s="24"/>
    </row>
    <row r="20193">
      <c r="A20193" s="24"/>
      <c r="B20193" s="25"/>
      <c r="C20193" s="24"/>
      <c r="D20193" s="26"/>
      <c r="E20193" s="24"/>
      <c r="F20193" s="24"/>
      <c r="G20193" s="24"/>
      <c r="H20193" s="24"/>
      <c r="I20193" s="24"/>
      <c r="J20193" s="24"/>
      <c r="K20193" s="24"/>
      <c r="L20193" s="24"/>
      <c r="M20193" s="24"/>
      <c r="N20193" s="24"/>
      <c r="O20193" s="24"/>
      <c r="P20193" s="24"/>
      <c r="Q20193" s="24"/>
      <c r="R20193" s="24"/>
      <c r="S20193" s="24"/>
      <c r="T20193" s="24"/>
      <c r="U20193" s="24"/>
      <c r="V20193" s="24"/>
      <c r="W20193" s="24"/>
      <c r="X20193" s="24"/>
      <c r="Y20193" s="24"/>
      <c r="Z20193" s="24"/>
      <c r="AA20193" s="24"/>
    </row>
    <row r="20194">
      <c r="A20194" s="24"/>
      <c r="B20194" s="25"/>
      <c r="C20194" s="24"/>
      <c r="D20194" s="26"/>
      <c r="E20194" s="24"/>
      <c r="F20194" s="24"/>
      <c r="G20194" s="24"/>
      <c r="H20194" s="24"/>
      <c r="I20194" s="24"/>
      <c r="J20194" s="24"/>
      <c r="K20194" s="24"/>
      <c r="L20194" s="24"/>
      <c r="M20194" s="24"/>
      <c r="N20194" s="24"/>
      <c r="O20194" s="24"/>
      <c r="P20194" s="24"/>
      <c r="Q20194" s="24"/>
      <c r="R20194" s="24"/>
      <c r="S20194" s="24"/>
      <c r="T20194" s="24"/>
      <c r="U20194" s="24"/>
      <c r="V20194" s="24"/>
      <c r="W20194" s="24"/>
      <c r="X20194" s="24"/>
      <c r="Y20194" s="24"/>
      <c r="Z20194" s="24"/>
      <c r="AA20194" s="24"/>
    </row>
    <row r="20195">
      <c r="A20195" s="24"/>
      <c r="B20195" s="25"/>
      <c r="C20195" s="24"/>
      <c r="D20195" s="26"/>
      <c r="E20195" s="24"/>
      <c r="F20195" s="24"/>
      <c r="G20195" s="24"/>
      <c r="H20195" s="24"/>
      <c r="I20195" s="24"/>
      <c r="J20195" s="24"/>
      <c r="K20195" s="24"/>
      <c r="L20195" s="24"/>
      <c r="M20195" s="24"/>
      <c r="N20195" s="24"/>
      <c r="O20195" s="24"/>
      <c r="P20195" s="24"/>
      <c r="Q20195" s="24"/>
      <c r="R20195" s="24"/>
      <c r="S20195" s="24"/>
      <c r="T20195" s="24"/>
      <c r="U20195" s="24"/>
      <c r="V20195" s="24"/>
      <c r="W20195" s="24"/>
      <c r="X20195" s="24"/>
      <c r="Y20195" s="24"/>
      <c r="Z20195" s="24"/>
      <c r="AA20195" s="24"/>
    </row>
    <row r="20196">
      <c r="A20196" s="24"/>
      <c r="B20196" s="25"/>
      <c r="C20196" s="24"/>
      <c r="D20196" s="26"/>
      <c r="E20196" s="24"/>
      <c r="F20196" s="24"/>
      <c r="G20196" s="24"/>
      <c r="H20196" s="24"/>
      <c r="I20196" s="24"/>
      <c r="J20196" s="24"/>
      <c r="K20196" s="24"/>
      <c r="L20196" s="24"/>
      <c r="M20196" s="24"/>
      <c r="N20196" s="24"/>
      <c r="O20196" s="24"/>
      <c r="P20196" s="24"/>
      <c r="Q20196" s="24"/>
      <c r="R20196" s="24"/>
      <c r="S20196" s="24"/>
      <c r="T20196" s="24"/>
      <c r="U20196" s="24"/>
      <c r="V20196" s="24"/>
      <c r="W20196" s="24"/>
      <c r="X20196" s="24"/>
      <c r="Y20196" s="24"/>
      <c r="Z20196" s="24"/>
      <c r="AA20196" s="24"/>
    </row>
    <row r="20197">
      <c r="A20197" s="24"/>
      <c r="B20197" s="25"/>
      <c r="C20197" s="24"/>
      <c r="D20197" s="26"/>
      <c r="E20197" s="24"/>
      <c r="F20197" s="24"/>
      <c r="G20197" s="24"/>
      <c r="H20197" s="24"/>
      <c r="I20197" s="24"/>
      <c r="J20197" s="24"/>
      <c r="K20197" s="24"/>
      <c r="L20197" s="24"/>
      <c r="M20197" s="24"/>
      <c r="N20197" s="24"/>
      <c r="O20197" s="24"/>
      <c r="P20197" s="24"/>
      <c r="Q20197" s="24"/>
      <c r="R20197" s="24"/>
      <c r="S20197" s="24"/>
      <c r="T20197" s="24"/>
      <c r="U20197" s="24"/>
      <c r="V20197" s="24"/>
      <c r="W20197" s="24"/>
      <c r="X20197" s="24"/>
      <c r="Y20197" s="24"/>
      <c r="Z20197" s="24"/>
      <c r="AA20197" s="24"/>
    </row>
    <row r="20198">
      <c r="A20198" s="24"/>
      <c r="B20198" s="25"/>
      <c r="C20198" s="24"/>
      <c r="D20198" s="26"/>
      <c r="E20198" s="24"/>
      <c r="F20198" s="24"/>
      <c r="G20198" s="24"/>
      <c r="H20198" s="24"/>
      <c r="I20198" s="24"/>
      <c r="J20198" s="24"/>
      <c r="K20198" s="24"/>
      <c r="L20198" s="24"/>
      <c r="M20198" s="24"/>
      <c r="N20198" s="24"/>
      <c r="O20198" s="24"/>
      <c r="P20198" s="24"/>
      <c r="Q20198" s="24"/>
      <c r="R20198" s="24"/>
      <c r="S20198" s="24"/>
      <c r="T20198" s="24"/>
      <c r="U20198" s="24"/>
      <c r="V20198" s="24"/>
      <c r="W20198" s="24"/>
      <c r="X20198" s="24"/>
      <c r="Y20198" s="24"/>
      <c r="Z20198" s="24"/>
      <c r="AA20198" s="24"/>
    </row>
    <row r="20199">
      <c r="A20199" s="24"/>
      <c r="B20199" s="25"/>
      <c r="C20199" s="24"/>
      <c r="D20199" s="26"/>
      <c r="E20199" s="24"/>
      <c r="F20199" s="24"/>
      <c r="G20199" s="24"/>
      <c r="H20199" s="24"/>
      <c r="I20199" s="24"/>
      <c r="J20199" s="24"/>
      <c r="K20199" s="24"/>
      <c r="L20199" s="24"/>
      <c r="M20199" s="24"/>
      <c r="N20199" s="24"/>
      <c r="O20199" s="24"/>
      <c r="P20199" s="24"/>
      <c r="Q20199" s="24"/>
      <c r="R20199" s="24"/>
      <c r="S20199" s="24"/>
      <c r="T20199" s="24"/>
      <c r="U20199" s="24"/>
      <c r="V20199" s="24"/>
      <c r="W20199" s="24"/>
      <c r="X20199" s="24"/>
      <c r="Y20199" s="24"/>
      <c r="Z20199" s="24"/>
      <c r="AA20199" s="24"/>
    </row>
    <row r="20200">
      <c r="A20200" s="24"/>
      <c r="B20200" s="25"/>
      <c r="C20200" s="24"/>
      <c r="D20200" s="26"/>
      <c r="E20200" s="24"/>
      <c r="F20200" s="24"/>
      <c r="G20200" s="24"/>
      <c r="H20200" s="24"/>
      <c r="I20200" s="24"/>
      <c r="J20200" s="24"/>
      <c r="K20200" s="24"/>
      <c r="L20200" s="24"/>
      <c r="M20200" s="24"/>
      <c r="N20200" s="24"/>
      <c r="O20200" s="24"/>
      <c r="P20200" s="24"/>
      <c r="Q20200" s="24"/>
      <c r="R20200" s="24"/>
      <c r="S20200" s="24"/>
      <c r="T20200" s="24"/>
      <c r="U20200" s="24"/>
      <c r="V20200" s="24"/>
      <c r="W20200" s="24"/>
      <c r="X20200" s="24"/>
      <c r="Y20200" s="24"/>
      <c r="Z20200" s="24"/>
      <c r="AA20200" s="24"/>
    </row>
    <row r="20201">
      <c r="A20201" s="24"/>
      <c r="B20201" s="25"/>
      <c r="C20201" s="24"/>
      <c r="D20201" s="26"/>
      <c r="E20201" s="24"/>
      <c r="F20201" s="24"/>
      <c r="G20201" s="24"/>
      <c r="H20201" s="24"/>
      <c r="I20201" s="24"/>
      <c r="J20201" s="24"/>
      <c r="K20201" s="24"/>
      <c r="L20201" s="24"/>
      <c r="M20201" s="24"/>
      <c r="N20201" s="24"/>
      <c r="O20201" s="24"/>
      <c r="P20201" s="24"/>
      <c r="Q20201" s="24"/>
      <c r="R20201" s="24"/>
      <c r="S20201" s="24"/>
      <c r="T20201" s="24"/>
      <c r="U20201" s="24"/>
      <c r="V20201" s="24"/>
      <c r="W20201" s="24"/>
      <c r="X20201" s="24"/>
      <c r="Y20201" s="24"/>
      <c r="Z20201" s="24"/>
      <c r="AA20201" s="24"/>
    </row>
    <row r="20202">
      <c r="A20202" s="24"/>
      <c r="B20202" s="25"/>
      <c r="C20202" s="24"/>
      <c r="D20202" s="26"/>
      <c r="E20202" s="24"/>
      <c r="F20202" s="24"/>
      <c r="G20202" s="24"/>
      <c r="H20202" s="24"/>
      <c r="I20202" s="24"/>
      <c r="J20202" s="24"/>
      <c r="K20202" s="24"/>
      <c r="L20202" s="24"/>
      <c r="M20202" s="24"/>
      <c r="N20202" s="24"/>
      <c r="O20202" s="24"/>
      <c r="P20202" s="24"/>
      <c r="Q20202" s="24"/>
      <c r="R20202" s="24"/>
      <c r="S20202" s="24"/>
      <c r="T20202" s="24"/>
      <c r="U20202" s="24"/>
      <c r="V20202" s="24"/>
      <c r="W20202" s="24"/>
      <c r="X20202" s="24"/>
      <c r="Y20202" s="24"/>
      <c r="Z20202" s="24"/>
      <c r="AA20202" s="24"/>
    </row>
    <row r="20203">
      <c r="A20203" s="24"/>
      <c r="B20203" s="25"/>
      <c r="C20203" s="24"/>
      <c r="D20203" s="26"/>
      <c r="E20203" s="24"/>
      <c r="F20203" s="24"/>
      <c r="G20203" s="24"/>
      <c r="H20203" s="24"/>
      <c r="I20203" s="24"/>
      <c r="J20203" s="24"/>
      <c r="K20203" s="24"/>
      <c r="L20203" s="24"/>
      <c r="M20203" s="24"/>
      <c r="N20203" s="24"/>
      <c r="O20203" s="24"/>
      <c r="P20203" s="24"/>
      <c r="Q20203" s="24"/>
      <c r="R20203" s="24"/>
      <c r="S20203" s="24"/>
      <c r="T20203" s="24"/>
      <c r="U20203" s="24"/>
      <c r="V20203" s="24"/>
      <c r="W20203" s="24"/>
      <c r="X20203" s="24"/>
      <c r="Y20203" s="24"/>
      <c r="Z20203" s="24"/>
      <c r="AA20203" s="24"/>
    </row>
    <row r="20204">
      <c r="A20204" s="24"/>
      <c r="B20204" s="25"/>
      <c r="C20204" s="24"/>
      <c r="D20204" s="26"/>
      <c r="E20204" s="24"/>
      <c r="F20204" s="24"/>
      <c r="G20204" s="24"/>
      <c r="H20204" s="24"/>
      <c r="I20204" s="24"/>
      <c r="J20204" s="24"/>
      <c r="K20204" s="24"/>
      <c r="L20204" s="24"/>
      <c r="M20204" s="24"/>
      <c r="N20204" s="24"/>
      <c r="O20204" s="24"/>
      <c r="P20204" s="24"/>
      <c r="Q20204" s="24"/>
      <c r="R20204" s="24"/>
      <c r="S20204" s="24"/>
      <c r="T20204" s="24"/>
      <c r="U20204" s="24"/>
      <c r="V20204" s="24"/>
      <c r="W20204" s="24"/>
      <c r="X20204" s="24"/>
      <c r="Y20204" s="24"/>
      <c r="Z20204" s="24"/>
      <c r="AA20204" s="24"/>
    </row>
    <row r="20205">
      <c r="A20205" s="24"/>
      <c r="B20205" s="25"/>
      <c r="C20205" s="24"/>
      <c r="D20205" s="26"/>
      <c r="E20205" s="24"/>
      <c r="F20205" s="24"/>
      <c r="G20205" s="24"/>
      <c r="H20205" s="24"/>
      <c r="I20205" s="24"/>
      <c r="J20205" s="24"/>
      <c r="K20205" s="24"/>
      <c r="L20205" s="24"/>
      <c r="M20205" s="24"/>
      <c r="N20205" s="24"/>
      <c r="O20205" s="24"/>
      <c r="P20205" s="24"/>
      <c r="Q20205" s="24"/>
      <c r="R20205" s="24"/>
      <c r="S20205" s="24"/>
      <c r="T20205" s="24"/>
      <c r="U20205" s="24"/>
      <c r="V20205" s="24"/>
      <c r="W20205" s="24"/>
      <c r="X20205" s="24"/>
      <c r="Y20205" s="24"/>
      <c r="Z20205" s="24"/>
      <c r="AA20205" s="24"/>
    </row>
    <row r="20206">
      <c r="A20206" s="24"/>
      <c r="B20206" s="25"/>
      <c r="C20206" s="24"/>
      <c r="D20206" s="26"/>
      <c r="E20206" s="24"/>
      <c r="F20206" s="24"/>
      <c r="G20206" s="24"/>
      <c r="H20206" s="24"/>
      <c r="I20206" s="24"/>
      <c r="J20206" s="24"/>
      <c r="K20206" s="24"/>
      <c r="L20206" s="24"/>
      <c r="M20206" s="24"/>
      <c r="N20206" s="24"/>
      <c r="O20206" s="24"/>
      <c r="P20206" s="24"/>
      <c r="Q20206" s="24"/>
      <c r="R20206" s="24"/>
      <c r="S20206" s="24"/>
      <c r="T20206" s="24"/>
      <c r="U20206" s="24"/>
      <c r="V20206" s="24"/>
      <c r="W20206" s="24"/>
      <c r="X20206" s="24"/>
      <c r="Y20206" s="24"/>
      <c r="Z20206" s="24"/>
      <c r="AA20206" s="24"/>
    </row>
    <row r="20207">
      <c r="A20207" s="24"/>
      <c r="B20207" s="25"/>
      <c r="C20207" s="24"/>
      <c r="D20207" s="26"/>
      <c r="E20207" s="24"/>
      <c r="F20207" s="24"/>
      <c r="G20207" s="24"/>
      <c r="H20207" s="24"/>
      <c r="I20207" s="24"/>
      <c r="J20207" s="24"/>
      <c r="K20207" s="24"/>
      <c r="L20207" s="24"/>
      <c r="M20207" s="24"/>
      <c r="N20207" s="24"/>
      <c r="O20207" s="24"/>
      <c r="P20207" s="24"/>
      <c r="Q20207" s="24"/>
      <c r="R20207" s="24"/>
      <c r="S20207" s="24"/>
      <c r="T20207" s="24"/>
      <c r="U20207" s="24"/>
      <c r="V20207" s="24"/>
      <c r="W20207" s="24"/>
      <c r="X20207" s="24"/>
      <c r="Y20207" s="24"/>
      <c r="Z20207" s="24"/>
      <c r="AA20207" s="24"/>
    </row>
    <row r="20208">
      <c r="A20208" s="24"/>
      <c r="B20208" s="25"/>
      <c r="C20208" s="24"/>
      <c r="D20208" s="26"/>
      <c r="E20208" s="24"/>
      <c r="F20208" s="24"/>
      <c r="G20208" s="24"/>
      <c r="H20208" s="24"/>
      <c r="I20208" s="24"/>
      <c r="J20208" s="24"/>
      <c r="K20208" s="24"/>
      <c r="L20208" s="24"/>
      <c r="M20208" s="24"/>
      <c r="N20208" s="24"/>
      <c r="O20208" s="24"/>
      <c r="P20208" s="24"/>
      <c r="Q20208" s="24"/>
      <c r="R20208" s="24"/>
      <c r="S20208" s="24"/>
      <c r="T20208" s="24"/>
      <c r="U20208" s="24"/>
      <c r="V20208" s="24"/>
      <c r="W20208" s="24"/>
      <c r="X20208" s="24"/>
      <c r="Y20208" s="24"/>
      <c r="Z20208" s="24"/>
      <c r="AA20208" s="24"/>
    </row>
    <row r="20209">
      <c r="A20209" s="24"/>
      <c r="B20209" s="25"/>
      <c r="C20209" s="24"/>
      <c r="D20209" s="26"/>
      <c r="E20209" s="24"/>
      <c r="F20209" s="24"/>
      <c r="G20209" s="24"/>
      <c r="H20209" s="24"/>
      <c r="I20209" s="24"/>
      <c r="J20209" s="24"/>
      <c r="K20209" s="24"/>
      <c r="L20209" s="24"/>
      <c r="M20209" s="24"/>
      <c r="N20209" s="24"/>
      <c r="O20209" s="24"/>
      <c r="P20209" s="24"/>
      <c r="Q20209" s="24"/>
      <c r="R20209" s="24"/>
      <c r="S20209" s="24"/>
      <c r="T20209" s="24"/>
      <c r="U20209" s="24"/>
      <c r="V20209" s="24"/>
      <c r="W20209" s="24"/>
      <c r="X20209" s="24"/>
      <c r="Y20209" s="24"/>
      <c r="Z20209" s="24"/>
      <c r="AA20209" s="24"/>
    </row>
    <row r="20210">
      <c r="A20210" s="24"/>
      <c r="B20210" s="25"/>
      <c r="C20210" s="24"/>
      <c r="D20210" s="26"/>
      <c r="E20210" s="24"/>
      <c r="F20210" s="24"/>
      <c r="G20210" s="24"/>
      <c r="H20210" s="24"/>
      <c r="I20210" s="24"/>
      <c r="J20210" s="24"/>
      <c r="K20210" s="24"/>
      <c r="L20210" s="24"/>
      <c r="M20210" s="24"/>
      <c r="N20210" s="24"/>
      <c r="O20210" s="24"/>
      <c r="P20210" s="24"/>
      <c r="Q20210" s="24"/>
      <c r="R20210" s="24"/>
      <c r="S20210" s="24"/>
      <c r="T20210" s="24"/>
      <c r="U20210" s="24"/>
      <c r="V20210" s="24"/>
      <c r="W20210" s="24"/>
      <c r="X20210" s="24"/>
      <c r="Y20210" s="24"/>
      <c r="Z20210" s="24"/>
      <c r="AA20210" s="24"/>
    </row>
    <row r="20211">
      <c r="A20211" s="24"/>
      <c r="B20211" s="25"/>
      <c r="C20211" s="24"/>
      <c r="D20211" s="26"/>
      <c r="E20211" s="24"/>
      <c r="F20211" s="24"/>
      <c r="G20211" s="24"/>
      <c r="H20211" s="24"/>
      <c r="I20211" s="24"/>
      <c r="J20211" s="24"/>
      <c r="K20211" s="24"/>
      <c r="L20211" s="24"/>
      <c r="M20211" s="24"/>
      <c r="N20211" s="24"/>
      <c r="O20211" s="24"/>
      <c r="P20211" s="24"/>
      <c r="Q20211" s="24"/>
      <c r="R20211" s="24"/>
      <c r="S20211" s="24"/>
      <c r="T20211" s="24"/>
      <c r="U20211" s="24"/>
      <c r="V20211" s="24"/>
      <c r="W20211" s="24"/>
      <c r="X20211" s="24"/>
      <c r="Y20211" s="24"/>
      <c r="Z20211" s="24"/>
      <c r="AA20211" s="24"/>
    </row>
    <row r="20212">
      <c r="A20212" s="24"/>
      <c r="B20212" s="25"/>
      <c r="C20212" s="24"/>
      <c r="D20212" s="26"/>
      <c r="E20212" s="24"/>
      <c r="F20212" s="24"/>
      <c r="G20212" s="24"/>
      <c r="H20212" s="24"/>
      <c r="I20212" s="24"/>
      <c r="J20212" s="24"/>
      <c r="K20212" s="24"/>
      <c r="L20212" s="24"/>
      <c r="M20212" s="24"/>
      <c r="N20212" s="24"/>
      <c r="O20212" s="24"/>
      <c r="P20212" s="24"/>
      <c r="Q20212" s="24"/>
      <c r="R20212" s="24"/>
      <c r="S20212" s="24"/>
      <c r="T20212" s="24"/>
      <c r="U20212" s="24"/>
      <c r="V20212" s="24"/>
      <c r="W20212" s="24"/>
      <c r="X20212" s="24"/>
      <c r="Y20212" s="24"/>
      <c r="Z20212" s="24"/>
      <c r="AA20212" s="24"/>
    </row>
    <row r="20213">
      <c r="A20213" s="24"/>
      <c r="B20213" s="25"/>
      <c r="C20213" s="24"/>
      <c r="D20213" s="26"/>
      <c r="E20213" s="24"/>
      <c r="F20213" s="24"/>
      <c r="G20213" s="24"/>
      <c r="H20213" s="24"/>
      <c r="I20213" s="24"/>
      <c r="J20213" s="24"/>
      <c r="K20213" s="24"/>
      <c r="L20213" s="24"/>
      <c r="M20213" s="24"/>
      <c r="N20213" s="24"/>
      <c r="O20213" s="24"/>
      <c r="P20213" s="24"/>
      <c r="Q20213" s="24"/>
      <c r="R20213" s="24"/>
      <c r="S20213" s="24"/>
      <c r="T20213" s="24"/>
      <c r="U20213" s="24"/>
      <c r="V20213" s="24"/>
      <c r="W20213" s="24"/>
      <c r="X20213" s="24"/>
      <c r="Y20213" s="24"/>
      <c r="Z20213" s="24"/>
      <c r="AA20213" s="24"/>
    </row>
    <row r="20214">
      <c r="A20214" s="24"/>
      <c r="B20214" s="25"/>
      <c r="C20214" s="24"/>
      <c r="D20214" s="26"/>
      <c r="E20214" s="24"/>
      <c r="F20214" s="24"/>
      <c r="G20214" s="24"/>
      <c r="H20214" s="24"/>
      <c r="I20214" s="24"/>
      <c r="J20214" s="24"/>
      <c r="K20214" s="24"/>
      <c r="L20214" s="24"/>
      <c r="M20214" s="24"/>
      <c r="N20214" s="24"/>
      <c r="O20214" s="24"/>
      <c r="P20214" s="24"/>
      <c r="Q20214" s="24"/>
      <c r="R20214" s="24"/>
      <c r="S20214" s="24"/>
      <c r="T20214" s="24"/>
      <c r="U20214" s="24"/>
      <c r="V20214" s="24"/>
      <c r="W20214" s="24"/>
      <c r="X20214" s="24"/>
      <c r="Y20214" s="24"/>
      <c r="Z20214" s="24"/>
      <c r="AA20214" s="24"/>
    </row>
    <row r="20215">
      <c r="A20215" s="24"/>
      <c r="B20215" s="25"/>
      <c r="C20215" s="24"/>
      <c r="D20215" s="26"/>
      <c r="E20215" s="24"/>
      <c r="F20215" s="24"/>
      <c r="G20215" s="24"/>
      <c r="H20215" s="24"/>
      <c r="I20215" s="24"/>
      <c r="J20215" s="24"/>
      <c r="K20215" s="24"/>
      <c r="L20215" s="24"/>
      <c r="M20215" s="24"/>
      <c r="N20215" s="24"/>
      <c r="O20215" s="24"/>
      <c r="P20215" s="24"/>
      <c r="Q20215" s="24"/>
      <c r="R20215" s="24"/>
      <c r="S20215" s="24"/>
      <c r="T20215" s="24"/>
      <c r="U20215" s="24"/>
      <c r="V20215" s="24"/>
      <c r="W20215" s="24"/>
      <c r="X20215" s="24"/>
      <c r="Y20215" s="24"/>
      <c r="Z20215" s="24"/>
      <c r="AA20215" s="24"/>
    </row>
    <row r="20216">
      <c r="A20216" s="24"/>
      <c r="B20216" s="25"/>
      <c r="C20216" s="24"/>
      <c r="D20216" s="26"/>
      <c r="E20216" s="24"/>
      <c r="F20216" s="24"/>
      <c r="G20216" s="24"/>
      <c r="H20216" s="24"/>
      <c r="I20216" s="24"/>
      <c r="J20216" s="24"/>
      <c r="K20216" s="24"/>
      <c r="L20216" s="24"/>
      <c r="M20216" s="24"/>
      <c r="N20216" s="24"/>
      <c r="O20216" s="24"/>
      <c r="P20216" s="24"/>
      <c r="Q20216" s="24"/>
      <c r="R20216" s="24"/>
      <c r="S20216" s="24"/>
      <c r="T20216" s="24"/>
      <c r="U20216" s="24"/>
      <c r="V20216" s="24"/>
      <c r="W20216" s="24"/>
      <c r="X20216" s="24"/>
      <c r="Y20216" s="24"/>
      <c r="Z20216" s="24"/>
      <c r="AA20216" s="24"/>
    </row>
    <row r="20217">
      <c r="A20217" s="24"/>
      <c r="B20217" s="25"/>
      <c r="C20217" s="24"/>
      <c r="D20217" s="26"/>
      <c r="E20217" s="24"/>
      <c r="F20217" s="24"/>
      <c r="G20217" s="24"/>
      <c r="H20217" s="24"/>
      <c r="I20217" s="24"/>
      <c r="J20217" s="24"/>
      <c r="K20217" s="24"/>
      <c r="L20217" s="24"/>
      <c r="M20217" s="24"/>
      <c r="N20217" s="24"/>
      <c r="O20217" s="24"/>
      <c r="P20217" s="24"/>
      <c r="Q20217" s="24"/>
      <c r="R20217" s="24"/>
      <c r="S20217" s="24"/>
      <c r="T20217" s="24"/>
      <c r="U20217" s="24"/>
      <c r="V20217" s="24"/>
      <c r="W20217" s="24"/>
      <c r="X20217" s="24"/>
      <c r="Y20217" s="24"/>
      <c r="Z20217" s="24"/>
      <c r="AA20217" s="24"/>
    </row>
    <row r="20218">
      <c r="A20218" s="24"/>
      <c r="B20218" s="25"/>
      <c r="C20218" s="24"/>
      <c r="D20218" s="26"/>
      <c r="E20218" s="24"/>
      <c r="F20218" s="24"/>
      <c r="G20218" s="24"/>
      <c r="H20218" s="24"/>
      <c r="I20218" s="24"/>
      <c r="J20218" s="24"/>
      <c r="K20218" s="24"/>
      <c r="L20218" s="24"/>
      <c r="M20218" s="24"/>
      <c r="N20218" s="24"/>
      <c r="O20218" s="24"/>
      <c r="P20218" s="24"/>
      <c r="Q20218" s="24"/>
      <c r="R20218" s="24"/>
      <c r="S20218" s="24"/>
      <c r="T20218" s="24"/>
      <c r="U20218" s="24"/>
      <c r="V20218" s="24"/>
      <c r="W20218" s="24"/>
      <c r="X20218" s="24"/>
      <c r="Y20218" s="24"/>
      <c r="Z20218" s="24"/>
      <c r="AA20218" s="24"/>
    </row>
    <row r="20219">
      <c r="A20219" s="24"/>
      <c r="B20219" s="25"/>
      <c r="C20219" s="24"/>
      <c r="D20219" s="26"/>
      <c r="E20219" s="24"/>
      <c r="F20219" s="24"/>
      <c r="G20219" s="24"/>
      <c r="H20219" s="24"/>
      <c r="I20219" s="24"/>
      <c r="J20219" s="24"/>
      <c r="K20219" s="24"/>
      <c r="L20219" s="24"/>
      <c r="M20219" s="24"/>
      <c r="N20219" s="24"/>
      <c r="O20219" s="24"/>
      <c r="P20219" s="24"/>
      <c r="Q20219" s="24"/>
      <c r="R20219" s="24"/>
      <c r="S20219" s="24"/>
      <c r="T20219" s="24"/>
      <c r="U20219" s="24"/>
      <c r="V20219" s="24"/>
      <c r="W20219" s="24"/>
      <c r="X20219" s="24"/>
      <c r="Y20219" s="24"/>
      <c r="Z20219" s="24"/>
      <c r="AA20219" s="24"/>
    </row>
    <row r="20220">
      <c r="A20220" s="24"/>
      <c r="B20220" s="25"/>
      <c r="C20220" s="24"/>
      <c r="D20220" s="26"/>
      <c r="E20220" s="24"/>
      <c r="F20220" s="24"/>
      <c r="G20220" s="24"/>
      <c r="H20220" s="24"/>
      <c r="I20220" s="24"/>
      <c r="J20220" s="24"/>
      <c r="K20220" s="24"/>
      <c r="L20220" s="24"/>
      <c r="M20220" s="24"/>
      <c r="N20220" s="24"/>
      <c r="O20220" s="24"/>
      <c r="P20220" s="24"/>
      <c r="Q20220" s="24"/>
      <c r="R20220" s="24"/>
      <c r="S20220" s="24"/>
      <c r="T20220" s="24"/>
      <c r="U20220" s="24"/>
      <c r="V20220" s="24"/>
      <c r="W20220" s="24"/>
      <c r="X20220" s="24"/>
      <c r="Y20220" s="24"/>
      <c r="Z20220" s="24"/>
      <c r="AA20220" s="24"/>
    </row>
    <row r="20221">
      <c r="A20221" s="24"/>
      <c r="B20221" s="25"/>
      <c r="C20221" s="24"/>
      <c r="D20221" s="26"/>
      <c r="E20221" s="24"/>
      <c r="F20221" s="24"/>
      <c r="G20221" s="24"/>
      <c r="H20221" s="24"/>
      <c r="I20221" s="24"/>
      <c r="J20221" s="24"/>
      <c r="K20221" s="24"/>
      <c r="L20221" s="24"/>
      <c r="M20221" s="24"/>
      <c r="N20221" s="24"/>
      <c r="O20221" s="24"/>
      <c r="P20221" s="24"/>
      <c r="Q20221" s="24"/>
      <c r="R20221" s="24"/>
      <c r="S20221" s="24"/>
      <c r="T20221" s="24"/>
      <c r="U20221" s="24"/>
      <c r="V20221" s="24"/>
      <c r="W20221" s="24"/>
      <c r="X20221" s="24"/>
      <c r="Y20221" s="24"/>
      <c r="Z20221" s="24"/>
      <c r="AA20221" s="24"/>
    </row>
    <row r="20222">
      <c r="A20222" s="24"/>
      <c r="B20222" s="25"/>
      <c r="C20222" s="24"/>
      <c r="D20222" s="26"/>
      <c r="E20222" s="24"/>
      <c r="F20222" s="24"/>
      <c r="G20222" s="24"/>
      <c r="H20222" s="24"/>
      <c r="I20222" s="24"/>
      <c r="J20222" s="24"/>
      <c r="K20222" s="24"/>
      <c r="L20222" s="24"/>
      <c r="M20222" s="24"/>
      <c r="N20222" s="24"/>
      <c r="O20222" s="24"/>
      <c r="P20222" s="24"/>
      <c r="Q20222" s="24"/>
      <c r="R20222" s="24"/>
      <c r="S20222" s="24"/>
      <c r="T20222" s="24"/>
      <c r="U20222" s="24"/>
      <c r="V20222" s="24"/>
      <c r="W20222" s="24"/>
      <c r="X20222" s="24"/>
      <c r="Y20222" s="24"/>
      <c r="Z20222" s="24"/>
      <c r="AA20222" s="24"/>
    </row>
    <row r="20223">
      <c r="A20223" s="24"/>
      <c r="B20223" s="25"/>
      <c r="C20223" s="24"/>
      <c r="D20223" s="26"/>
      <c r="E20223" s="24"/>
      <c r="F20223" s="24"/>
      <c r="G20223" s="24"/>
      <c r="H20223" s="24"/>
      <c r="I20223" s="24"/>
      <c r="J20223" s="24"/>
      <c r="K20223" s="24"/>
      <c r="L20223" s="24"/>
      <c r="M20223" s="24"/>
      <c r="N20223" s="24"/>
      <c r="O20223" s="24"/>
      <c r="P20223" s="24"/>
      <c r="Q20223" s="24"/>
      <c r="R20223" s="24"/>
      <c r="S20223" s="24"/>
      <c r="T20223" s="24"/>
      <c r="U20223" s="24"/>
      <c r="V20223" s="24"/>
      <c r="W20223" s="24"/>
      <c r="X20223" s="24"/>
      <c r="Y20223" s="24"/>
      <c r="Z20223" s="24"/>
      <c r="AA20223" s="24"/>
    </row>
    <row r="20224">
      <c r="A20224" s="24"/>
      <c r="B20224" s="25"/>
      <c r="C20224" s="24"/>
      <c r="D20224" s="26"/>
      <c r="E20224" s="24"/>
      <c r="F20224" s="24"/>
      <c r="G20224" s="24"/>
      <c r="H20224" s="24"/>
      <c r="I20224" s="24"/>
      <c r="J20224" s="24"/>
      <c r="K20224" s="24"/>
      <c r="L20224" s="24"/>
      <c r="M20224" s="24"/>
      <c r="N20224" s="24"/>
      <c r="O20224" s="24"/>
      <c r="P20224" s="24"/>
      <c r="Q20224" s="24"/>
      <c r="R20224" s="24"/>
      <c r="S20224" s="24"/>
      <c r="T20224" s="24"/>
      <c r="U20224" s="24"/>
      <c r="V20224" s="24"/>
      <c r="W20224" s="24"/>
      <c r="X20224" s="24"/>
      <c r="Y20224" s="24"/>
      <c r="Z20224" s="24"/>
      <c r="AA20224" s="24"/>
    </row>
    <row r="20225">
      <c r="A20225" s="24"/>
      <c r="B20225" s="25"/>
      <c r="C20225" s="24"/>
      <c r="D20225" s="26"/>
      <c r="E20225" s="24"/>
      <c r="F20225" s="24"/>
      <c r="G20225" s="24"/>
      <c r="H20225" s="24"/>
      <c r="I20225" s="24"/>
      <c r="J20225" s="24"/>
      <c r="K20225" s="24"/>
      <c r="L20225" s="24"/>
      <c r="M20225" s="24"/>
      <c r="N20225" s="24"/>
      <c r="O20225" s="24"/>
      <c r="P20225" s="24"/>
      <c r="Q20225" s="24"/>
      <c r="R20225" s="24"/>
      <c r="S20225" s="24"/>
      <c r="T20225" s="24"/>
      <c r="U20225" s="24"/>
      <c r="V20225" s="24"/>
      <c r="W20225" s="24"/>
      <c r="X20225" s="24"/>
      <c r="Y20225" s="24"/>
      <c r="Z20225" s="24"/>
      <c r="AA20225" s="24"/>
    </row>
    <row r="20226">
      <c r="A20226" s="24"/>
      <c r="B20226" s="25"/>
      <c r="C20226" s="24"/>
      <c r="D20226" s="26"/>
      <c r="E20226" s="24"/>
      <c r="F20226" s="24"/>
      <c r="G20226" s="24"/>
      <c r="H20226" s="24"/>
      <c r="I20226" s="24"/>
      <c r="J20226" s="24"/>
      <c r="K20226" s="24"/>
      <c r="L20226" s="24"/>
      <c r="M20226" s="24"/>
      <c r="N20226" s="24"/>
      <c r="O20226" s="24"/>
      <c r="P20226" s="24"/>
      <c r="Q20226" s="24"/>
      <c r="R20226" s="24"/>
      <c r="S20226" s="24"/>
      <c r="T20226" s="24"/>
      <c r="U20226" s="24"/>
      <c r="V20226" s="24"/>
      <c r="W20226" s="24"/>
      <c r="X20226" s="24"/>
      <c r="Y20226" s="24"/>
      <c r="Z20226" s="24"/>
      <c r="AA20226" s="24"/>
    </row>
    <row r="20227">
      <c r="A20227" s="24"/>
      <c r="B20227" s="25"/>
      <c r="C20227" s="24"/>
      <c r="D20227" s="26"/>
      <c r="E20227" s="24"/>
      <c r="F20227" s="24"/>
      <c r="G20227" s="24"/>
      <c r="H20227" s="24"/>
      <c r="I20227" s="24"/>
      <c r="J20227" s="24"/>
      <c r="K20227" s="24"/>
      <c r="L20227" s="24"/>
      <c r="M20227" s="24"/>
      <c r="N20227" s="24"/>
      <c r="O20227" s="24"/>
      <c r="P20227" s="24"/>
      <c r="Q20227" s="24"/>
      <c r="R20227" s="24"/>
      <c r="S20227" s="24"/>
      <c r="T20227" s="24"/>
      <c r="U20227" s="24"/>
      <c r="V20227" s="24"/>
      <c r="W20227" s="24"/>
      <c r="X20227" s="24"/>
      <c r="Y20227" s="24"/>
      <c r="Z20227" s="24"/>
      <c r="AA20227" s="24"/>
    </row>
    <row r="20228">
      <c r="A20228" s="24"/>
      <c r="B20228" s="25"/>
      <c r="C20228" s="24"/>
      <c r="D20228" s="26"/>
      <c r="E20228" s="24"/>
      <c r="F20228" s="24"/>
      <c r="G20228" s="24"/>
      <c r="H20228" s="24"/>
      <c r="I20228" s="24"/>
      <c r="J20228" s="24"/>
      <c r="K20228" s="24"/>
      <c r="L20228" s="24"/>
      <c r="M20228" s="24"/>
      <c r="N20228" s="24"/>
      <c r="O20228" s="24"/>
      <c r="P20228" s="24"/>
      <c r="Q20228" s="24"/>
      <c r="R20228" s="24"/>
      <c r="S20228" s="24"/>
      <c r="T20228" s="24"/>
      <c r="U20228" s="24"/>
      <c r="V20228" s="24"/>
      <c r="W20228" s="24"/>
      <c r="X20228" s="24"/>
      <c r="Y20228" s="24"/>
      <c r="Z20228" s="24"/>
      <c r="AA20228" s="24"/>
    </row>
    <row r="20229">
      <c r="A20229" s="24"/>
      <c r="B20229" s="25"/>
      <c r="C20229" s="24"/>
      <c r="D20229" s="26"/>
      <c r="E20229" s="24"/>
      <c r="F20229" s="24"/>
      <c r="G20229" s="24"/>
      <c r="H20229" s="24"/>
      <c r="I20229" s="24"/>
      <c r="J20229" s="24"/>
      <c r="K20229" s="24"/>
      <c r="L20229" s="24"/>
      <c r="M20229" s="24"/>
      <c r="N20229" s="24"/>
      <c r="O20229" s="24"/>
      <c r="P20229" s="24"/>
      <c r="Q20229" s="24"/>
      <c r="R20229" s="24"/>
      <c r="S20229" s="24"/>
      <c r="T20229" s="24"/>
      <c r="U20229" s="24"/>
      <c r="V20229" s="24"/>
      <c r="W20229" s="24"/>
      <c r="X20229" s="24"/>
      <c r="Y20229" s="24"/>
      <c r="Z20229" s="24"/>
      <c r="AA20229" s="24"/>
    </row>
    <row r="20230">
      <c r="A20230" s="24"/>
      <c r="B20230" s="25"/>
      <c r="C20230" s="24"/>
      <c r="D20230" s="26"/>
      <c r="E20230" s="24"/>
      <c r="F20230" s="24"/>
      <c r="G20230" s="24"/>
      <c r="H20230" s="24"/>
      <c r="I20230" s="24"/>
      <c r="J20230" s="24"/>
      <c r="K20230" s="24"/>
      <c r="L20230" s="24"/>
      <c r="M20230" s="24"/>
      <c r="N20230" s="24"/>
      <c r="O20230" s="24"/>
      <c r="P20230" s="24"/>
      <c r="Q20230" s="24"/>
      <c r="R20230" s="24"/>
      <c r="S20230" s="24"/>
      <c r="T20230" s="24"/>
      <c r="U20230" s="24"/>
      <c r="V20230" s="24"/>
      <c r="W20230" s="24"/>
      <c r="X20230" s="24"/>
      <c r="Y20230" s="24"/>
      <c r="Z20230" s="24"/>
      <c r="AA20230" s="24"/>
    </row>
    <row r="20231">
      <c r="A20231" s="24"/>
      <c r="B20231" s="25"/>
      <c r="C20231" s="24"/>
      <c r="D20231" s="26"/>
      <c r="E20231" s="24"/>
      <c r="F20231" s="24"/>
      <c r="G20231" s="24"/>
      <c r="H20231" s="24"/>
      <c r="I20231" s="24"/>
      <c r="J20231" s="24"/>
      <c r="K20231" s="24"/>
      <c r="L20231" s="24"/>
      <c r="M20231" s="24"/>
      <c r="N20231" s="24"/>
      <c r="O20231" s="24"/>
      <c r="P20231" s="24"/>
      <c r="Q20231" s="24"/>
      <c r="R20231" s="24"/>
      <c r="S20231" s="24"/>
      <c r="T20231" s="24"/>
      <c r="U20231" s="24"/>
      <c r="V20231" s="24"/>
      <c r="W20231" s="24"/>
      <c r="X20231" s="24"/>
      <c r="Y20231" s="24"/>
      <c r="Z20231" s="24"/>
      <c r="AA20231" s="24"/>
    </row>
    <row r="20232">
      <c r="A20232" s="24"/>
      <c r="B20232" s="25"/>
      <c r="C20232" s="24"/>
      <c r="D20232" s="26"/>
      <c r="E20232" s="24"/>
      <c r="F20232" s="24"/>
      <c r="G20232" s="24"/>
      <c r="H20232" s="24"/>
      <c r="I20232" s="24"/>
      <c r="J20232" s="24"/>
      <c r="K20232" s="24"/>
      <c r="L20232" s="24"/>
      <c r="M20232" s="24"/>
      <c r="N20232" s="24"/>
      <c r="O20232" s="24"/>
      <c r="P20232" s="24"/>
      <c r="Q20232" s="24"/>
      <c r="R20232" s="24"/>
      <c r="S20232" s="24"/>
      <c r="T20232" s="24"/>
      <c r="U20232" s="24"/>
      <c r="V20232" s="24"/>
      <c r="W20232" s="24"/>
      <c r="X20232" s="24"/>
      <c r="Y20232" s="24"/>
      <c r="Z20232" s="24"/>
      <c r="AA20232" s="24"/>
    </row>
    <row r="20233">
      <c r="A20233" s="24"/>
      <c r="B20233" s="25"/>
      <c r="C20233" s="24"/>
      <c r="D20233" s="26"/>
      <c r="E20233" s="24"/>
      <c r="F20233" s="24"/>
      <c r="G20233" s="24"/>
      <c r="H20233" s="24"/>
      <c r="I20233" s="24"/>
      <c r="J20233" s="24"/>
      <c r="K20233" s="24"/>
      <c r="L20233" s="24"/>
      <c r="M20233" s="24"/>
      <c r="N20233" s="24"/>
      <c r="O20233" s="24"/>
      <c r="P20233" s="24"/>
      <c r="Q20233" s="24"/>
      <c r="R20233" s="24"/>
      <c r="S20233" s="24"/>
      <c r="T20233" s="24"/>
      <c r="U20233" s="24"/>
      <c r="V20233" s="24"/>
      <c r="W20233" s="24"/>
      <c r="X20233" s="24"/>
      <c r="Y20233" s="24"/>
      <c r="Z20233" s="24"/>
      <c r="AA20233" s="24"/>
    </row>
    <row r="20234">
      <c r="A20234" s="24"/>
      <c r="B20234" s="25"/>
      <c r="C20234" s="24"/>
      <c r="D20234" s="26"/>
      <c r="E20234" s="24"/>
      <c r="F20234" s="24"/>
      <c r="G20234" s="24"/>
      <c r="H20234" s="24"/>
      <c r="I20234" s="24"/>
      <c r="J20234" s="24"/>
      <c r="K20234" s="24"/>
      <c r="L20234" s="24"/>
      <c r="M20234" s="24"/>
      <c r="N20234" s="24"/>
      <c r="O20234" s="24"/>
      <c r="P20234" s="24"/>
      <c r="Q20234" s="24"/>
      <c r="R20234" s="24"/>
      <c r="S20234" s="24"/>
      <c r="T20234" s="24"/>
      <c r="U20234" s="24"/>
      <c r="V20234" s="24"/>
      <c r="W20234" s="24"/>
      <c r="X20234" s="24"/>
      <c r="Y20234" s="24"/>
      <c r="Z20234" s="24"/>
      <c r="AA20234" s="24"/>
    </row>
    <row r="20235">
      <c r="A20235" s="24"/>
      <c r="B20235" s="25"/>
      <c r="C20235" s="24"/>
      <c r="D20235" s="26"/>
      <c r="E20235" s="24"/>
      <c r="F20235" s="24"/>
      <c r="G20235" s="24"/>
      <c r="H20235" s="24"/>
      <c r="I20235" s="24"/>
      <c r="J20235" s="24"/>
      <c r="K20235" s="24"/>
      <c r="L20235" s="24"/>
      <c r="M20235" s="24"/>
      <c r="N20235" s="24"/>
      <c r="O20235" s="24"/>
      <c r="P20235" s="24"/>
      <c r="Q20235" s="24"/>
      <c r="R20235" s="24"/>
      <c r="S20235" s="24"/>
      <c r="T20235" s="24"/>
      <c r="U20235" s="24"/>
      <c r="V20235" s="24"/>
      <c r="W20235" s="24"/>
      <c r="X20235" s="24"/>
      <c r="Y20235" s="24"/>
      <c r="Z20235" s="24"/>
      <c r="AA20235" s="24"/>
    </row>
    <row r="20236">
      <c r="A20236" s="24"/>
      <c r="B20236" s="25"/>
      <c r="C20236" s="24"/>
      <c r="D20236" s="26"/>
      <c r="E20236" s="24"/>
      <c r="F20236" s="24"/>
      <c r="G20236" s="24"/>
      <c r="H20236" s="24"/>
      <c r="I20236" s="24"/>
      <c r="J20236" s="24"/>
      <c r="K20236" s="24"/>
      <c r="L20236" s="24"/>
      <c r="M20236" s="24"/>
      <c r="N20236" s="24"/>
      <c r="O20236" s="24"/>
      <c r="P20236" s="24"/>
      <c r="Q20236" s="24"/>
      <c r="R20236" s="24"/>
      <c r="S20236" s="24"/>
      <c r="T20236" s="24"/>
      <c r="U20236" s="24"/>
      <c r="V20236" s="24"/>
      <c r="W20236" s="24"/>
      <c r="X20236" s="24"/>
      <c r="Y20236" s="24"/>
      <c r="Z20236" s="24"/>
      <c r="AA20236" s="24"/>
    </row>
    <row r="20237">
      <c r="A20237" s="24"/>
      <c r="B20237" s="25"/>
      <c r="C20237" s="24"/>
      <c r="D20237" s="26"/>
      <c r="E20237" s="24"/>
      <c r="F20237" s="24"/>
      <c r="G20237" s="24"/>
      <c r="H20237" s="24"/>
      <c r="I20237" s="24"/>
      <c r="J20237" s="24"/>
      <c r="K20237" s="24"/>
      <c r="L20237" s="24"/>
      <c r="M20237" s="24"/>
      <c r="N20237" s="24"/>
      <c r="O20237" s="24"/>
      <c r="P20237" s="24"/>
      <c r="Q20237" s="24"/>
      <c r="R20237" s="24"/>
      <c r="S20237" s="24"/>
      <c r="T20237" s="24"/>
      <c r="U20237" s="24"/>
      <c r="V20237" s="24"/>
      <c r="W20237" s="24"/>
      <c r="X20237" s="24"/>
      <c r="Y20237" s="24"/>
      <c r="Z20237" s="24"/>
      <c r="AA20237" s="24"/>
    </row>
    <row r="20238">
      <c r="A20238" s="24"/>
      <c r="B20238" s="25"/>
      <c r="C20238" s="24"/>
      <c r="D20238" s="26"/>
      <c r="E20238" s="24"/>
      <c r="F20238" s="24"/>
      <c r="G20238" s="24"/>
      <c r="H20238" s="24"/>
      <c r="I20238" s="24"/>
      <c r="J20238" s="24"/>
      <c r="K20238" s="24"/>
      <c r="L20238" s="24"/>
      <c r="M20238" s="24"/>
      <c r="N20238" s="24"/>
      <c r="O20238" s="24"/>
      <c r="P20238" s="24"/>
      <c r="Q20238" s="24"/>
      <c r="R20238" s="24"/>
      <c r="S20238" s="24"/>
      <c r="T20238" s="24"/>
      <c r="U20238" s="24"/>
      <c r="V20238" s="24"/>
      <c r="W20238" s="24"/>
      <c r="X20238" s="24"/>
      <c r="Y20238" s="24"/>
      <c r="Z20238" s="24"/>
      <c r="AA20238" s="24"/>
    </row>
    <row r="20239">
      <c r="A20239" s="24"/>
      <c r="B20239" s="25"/>
      <c r="C20239" s="24"/>
      <c r="D20239" s="26"/>
      <c r="E20239" s="24"/>
      <c r="F20239" s="24"/>
      <c r="G20239" s="24"/>
      <c r="H20239" s="24"/>
      <c r="I20239" s="24"/>
      <c r="J20239" s="24"/>
      <c r="K20239" s="24"/>
      <c r="L20239" s="24"/>
      <c r="M20239" s="24"/>
      <c r="N20239" s="24"/>
      <c r="O20239" s="24"/>
      <c r="P20239" s="24"/>
      <c r="Q20239" s="24"/>
      <c r="R20239" s="24"/>
      <c r="S20239" s="24"/>
      <c r="T20239" s="24"/>
      <c r="U20239" s="24"/>
      <c r="V20239" s="24"/>
      <c r="W20239" s="24"/>
      <c r="X20239" s="24"/>
      <c r="Y20239" s="24"/>
      <c r="Z20239" s="24"/>
      <c r="AA20239" s="24"/>
    </row>
    <row r="20240">
      <c r="A20240" s="24"/>
      <c r="B20240" s="25"/>
      <c r="C20240" s="24"/>
      <c r="D20240" s="26"/>
      <c r="E20240" s="24"/>
      <c r="F20240" s="24"/>
      <c r="G20240" s="24"/>
      <c r="H20240" s="24"/>
      <c r="I20240" s="24"/>
      <c r="J20240" s="24"/>
      <c r="K20240" s="24"/>
      <c r="L20240" s="24"/>
      <c r="M20240" s="24"/>
      <c r="N20240" s="24"/>
      <c r="O20240" s="24"/>
      <c r="P20240" s="24"/>
      <c r="Q20240" s="24"/>
      <c r="R20240" s="24"/>
      <c r="S20240" s="24"/>
      <c r="T20240" s="24"/>
      <c r="U20240" s="24"/>
      <c r="V20240" s="24"/>
      <c r="W20240" s="24"/>
      <c r="X20240" s="24"/>
      <c r="Y20240" s="24"/>
      <c r="Z20240" s="24"/>
      <c r="AA20240" s="24"/>
    </row>
    <row r="20241">
      <c r="A20241" s="24"/>
      <c r="B20241" s="25"/>
      <c r="C20241" s="24"/>
      <c r="D20241" s="26"/>
      <c r="E20241" s="24"/>
      <c r="F20241" s="24"/>
      <c r="G20241" s="24"/>
      <c r="H20241" s="24"/>
      <c r="I20241" s="24"/>
      <c r="J20241" s="24"/>
      <c r="K20241" s="24"/>
      <c r="L20241" s="24"/>
      <c r="M20241" s="24"/>
      <c r="N20241" s="24"/>
      <c r="O20241" s="24"/>
      <c r="P20241" s="24"/>
      <c r="Q20241" s="24"/>
      <c r="R20241" s="24"/>
      <c r="S20241" s="24"/>
      <c r="T20241" s="24"/>
      <c r="U20241" s="24"/>
      <c r="V20241" s="24"/>
      <c r="W20241" s="24"/>
      <c r="X20241" s="24"/>
      <c r="Y20241" s="24"/>
      <c r="Z20241" s="24"/>
      <c r="AA20241" s="24"/>
    </row>
    <row r="20242">
      <c r="A20242" s="24"/>
      <c r="B20242" s="25"/>
      <c r="C20242" s="24"/>
      <c r="D20242" s="26"/>
      <c r="E20242" s="24"/>
      <c r="F20242" s="24"/>
      <c r="G20242" s="24"/>
      <c r="H20242" s="24"/>
      <c r="I20242" s="24"/>
      <c r="J20242" s="24"/>
      <c r="K20242" s="24"/>
      <c r="L20242" s="24"/>
      <c r="M20242" s="24"/>
      <c r="N20242" s="24"/>
      <c r="O20242" s="24"/>
      <c r="P20242" s="24"/>
      <c r="Q20242" s="24"/>
      <c r="R20242" s="24"/>
      <c r="S20242" s="24"/>
      <c r="T20242" s="24"/>
      <c r="U20242" s="24"/>
      <c r="V20242" s="24"/>
      <c r="W20242" s="24"/>
      <c r="X20242" s="24"/>
      <c r="Y20242" s="24"/>
      <c r="Z20242" s="24"/>
      <c r="AA20242" s="24"/>
    </row>
    <row r="20243">
      <c r="A20243" s="24"/>
      <c r="B20243" s="25"/>
      <c r="C20243" s="24"/>
      <c r="D20243" s="26"/>
      <c r="E20243" s="24"/>
      <c r="F20243" s="24"/>
      <c r="G20243" s="24"/>
      <c r="H20243" s="24"/>
      <c r="I20243" s="24"/>
      <c r="J20243" s="24"/>
      <c r="K20243" s="24"/>
      <c r="L20243" s="24"/>
      <c r="M20243" s="24"/>
      <c r="N20243" s="24"/>
      <c r="O20243" s="24"/>
      <c r="P20243" s="24"/>
      <c r="Q20243" s="24"/>
      <c r="R20243" s="24"/>
      <c r="S20243" s="24"/>
      <c r="T20243" s="24"/>
      <c r="U20243" s="24"/>
      <c r="V20243" s="24"/>
      <c r="W20243" s="24"/>
      <c r="X20243" s="24"/>
      <c r="Y20243" s="24"/>
      <c r="Z20243" s="24"/>
      <c r="AA20243" s="24"/>
    </row>
    <row r="20244">
      <c r="A20244" s="24"/>
      <c r="B20244" s="25"/>
      <c r="C20244" s="24"/>
      <c r="D20244" s="26"/>
      <c r="E20244" s="24"/>
      <c r="F20244" s="24"/>
      <c r="G20244" s="24"/>
      <c r="H20244" s="24"/>
      <c r="I20244" s="24"/>
      <c r="J20244" s="24"/>
      <c r="K20244" s="24"/>
      <c r="L20244" s="24"/>
      <c r="M20244" s="24"/>
      <c r="N20244" s="24"/>
      <c r="O20244" s="24"/>
      <c r="P20244" s="24"/>
      <c r="Q20244" s="24"/>
      <c r="R20244" s="24"/>
      <c r="S20244" s="24"/>
      <c r="T20244" s="24"/>
      <c r="U20244" s="24"/>
      <c r="V20244" s="24"/>
      <c r="W20244" s="24"/>
      <c r="X20244" s="24"/>
      <c r="Y20244" s="24"/>
      <c r="Z20244" s="24"/>
      <c r="AA20244" s="24"/>
    </row>
    <row r="20245">
      <c r="A20245" s="24"/>
      <c r="B20245" s="25"/>
      <c r="C20245" s="24"/>
      <c r="D20245" s="26"/>
      <c r="E20245" s="24"/>
      <c r="F20245" s="24"/>
      <c r="G20245" s="24"/>
      <c r="H20245" s="24"/>
      <c r="I20245" s="24"/>
      <c r="J20245" s="24"/>
      <c r="K20245" s="24"/>
      <c r="L20245" s="24"/>
      <c r="M20245" s="24"/>
      <c r="N20245" s="24"/>
      <c r="O20245" s="24"/>
      <c r="P20245" s="24"/>
      <c r="Q20245" s="24"/>
      <c r="R20245" s="24"/>
      <c r="S20245" s="24"/>
      <c r="T20245" s="24"/>
      <c r="U20245" s="24"/>
      <c r="V20245" s="24"/>
      <c r="W20245" s="24"/>
      <c r="X20245" s="24"/>
      <c r="Y20245" s="24"/>
      <c r="Z20245" s="24"/>
      <c r="AA20245" s="24"/>
    </row>
    <row r="20246">
      <c r="A20246" s="24"/>
      <c r="B20246" s="25"/>
      <c r="C20246" s="24"/>
      <c r="D20246" s="26"/>
      <c r="E20246" s="24"/>
      <c r="F20246" s="24"/>
      <c r="G20246" s="24"/>
      <c r="H20246" s="24"/>
      <c r="I20246" s="24"/>
      <c r="J20246" s="24"/>
      <c r="K20246" s="24"/>
      <c r="L20246" s="24"/>
      <c r="M20246" s="24"/>
      <c r="N20246" s="24"/>
      <c r="O20246" s="24"/>
      <c r="P20246" s="24"/>
      <c r="Q20246" s="24"/>
      <c r="R20246" s="24"/>
      <c r="S20246" s="24"/>
      <c r="T20246" s="24"/>
      <c r="U20246" s="24"/>
      <c r="V20246" s="24"/>
      <c r="W20246" s="24"/>
      <c r="X20246" s="24"/>
      <c r="Y20246" s="24"/>
      <c r="Z20246" s="24"/>
      <c r="AA20246" s="24"/>
    </row>
    <row r="20247">
      <c r="A20247" s="24"/>
      <c r="B20247" s="25"/>
      <c r="C20247" s="24"/>
      <c r="D20247" s="26"/>
      <c r="E20247" s="24"/>
      <c r="F20247" s="24"/>
      <c r="G20247" s="24"/>
      <c r="H20247" s="24"/>
      <c r="I20247" s="24"/>
      <c r="J20247" s="24"/>
      <c r="K20247" s="24"/>
      <c r="L20247" s="24"/>
      <c r="M20247" s="24"/>
      <c r="N20247" s="24"/>
      <c r="O20247" s="24"/>
      <c r="P20247" s="24"/>
      <c r="Q20247" s="24"/>
      <c r="R20247" s="24"/>
      <c r="S20247" s="24"/>
      <c r="T20247" s="24"/>
      <c r="U20247" s="24"/>
      <c r="V20247" s="24"/>
      <c r="W20247" s="24"/>
      <c r="X20247" s="24"/>
      <c r="Y20247" s="24"/>
      <c r="Z20247" s="24"/>
      <c r="AA20247" s="24"/>
    </row>
    <row r="20248">
      <c r="A20248" s="24"/>
      <c r="B20248" s="25"/>
      <c r="C20248" s="24"/>
      <c r="D20248" s="26"/>
      <c r="E20248" s="24"/>
      <c r="F20248" s="24"/>
      <c r="G20248" s="24"/>
      <c r="H20248" s="24"/>
      <c r="I20248" s="24"/>
      <c r="J20248" s="24"/>
      <c r="K20248" s="24"/>
      <c r="L20248" s="24"/>
      <c r="M20248" s="24"/>
      <c r="N20248" s="24"/>
      <c r="O20248" s="24"/>
      <c r="P20248" s="24"/>
      <c r="Q20248" s="24"/>
      <c r="R20248" s="24"/>
      <c r="S20248" s="24"/>
      <c r="T20248" s="24"/>
      <c r="U20248" s="24"/>
      <c r="V20248" s="24"/>
      <c r="W20248" s="24"/>
      <c r="X20248" s="24"/>
      <c r="Y20248" s="24"/>
      <c r="Z20248" s="24"/>
      <c r="AA20248" s="24"/>
    </row>
    <row r="20249">
      <c r="A20249" s="24"/>
      <c r="B20249" s="25"/>
      <c r="C20249" s="24"/>
      <c r="D20249" s="26"/>
      <c r="E20249" s="24"/>
      <c r="F20249" s="24"/>
      <c r="G20249" s="24"/>
      <c r="H20249" s="24"/>
      <c r="I20249" s="24"/>
      <c r="J20249" s="24"/>
      <c r="K20249" s="24"/>
      <c r="L20249" s="24"/>
      <c r="M20249" s="24"/>
      <c r="N20249" s="24"/>
      <c r="O20249" s="24"/>
      <c r="P20249" s="24"/>
      <c r="Q20249" s="24"/>
      <c r="R20249" s="24"/>
      <c r="S20249" s="24"/>
      <c r="T20249" s="24"/>
      <c r="U20249" s="24"/>
      <c r="V20249" s="24"/>
      <c r="W20249" s="24"/>
      <c r="X20249" s="24"/>
      <c r="Y20249" s="24"/>
      <c r="Z20249" s="24"/>
      <c r="AA20249" s="24"/>
    </row>
    <row r="20250">
      <c r="A20250" s="24"/>
      <c r="B20250" s="25"/>
      <c r="C20250" s="24"/>
      <c r="D20250" s="26"/>
      <c r="E20250" s="24"/>
      <c r="F20250" s="24"/>
      <c r="G20250" s="24"/>
      <c r="H20250" s="24"/>
      <c r="I20250" s="24"/>
      <c r="J20250" s="24"/>
      <c r="K20250" s="24"/>
      <c r="L20250" s="24"/>
      <c r="M20250" s="24"/>
      <c r="N20250" s="24"/>
      <c r="O20250" s="24"/>
      <c r="P20250" s="24"/>
      <c r="Q20250" s="24"/>
      <c r="R20250" s="24"/>
      <c r="S20250" s="24"/>
      <c r="T20250" s="24"/>
      <c r="U20250" s="24"/>
      <c r="V20250" s="24"/>
      <c r="W20250" s="24"/>
      <c r="X20250" s="24"/>
      <c r="Y20250" s="24"/>
      <c r="Z20250" s="24"/>
      <c r="AA20250" s="24"/>
    </row>
    <row r="20251">
      <c r="A20251" s="24"/>
      <c r="B20251" s="25"/>
      <c r="C20251" s="24"/>
      <c r="D20251" s="26"/>
      <c r="E20251" s="24"/>
      <c r="F20251" s="24"/>
      <c r="G20251" s="24"/>
      <c r="H20251" s="24"/>
      <c r="I20251" s="24"/>
      <c r="J20251" s="24"/>
      <c r="K20251" s="24"/>
      <c r="L20251" s="24"/>
      <c r="M20251" s="24"/>
      <c r="N20251" s="24"/>
      <c r="O20251" s="24"/>
      <c r="P20251" s="24"/>
      <c r="Q20251" s="24"/>
      <c r="R20251" s="24"/>
      <c r="S20251" s="24"/>
      <c r="T20251" s="24"/>
      <c r="U20251" s="24"/>
      <c r="V20251" s="24"/>
      <c r="W20251" s="24"/>
      <c r="X20251" s="24"/>
      <c r="Y20251" s="24"/>
      <c r="Z20251" s="24"/>
      <c r="AA20251" s="24"/>
    </row>
    <row r="20252">
      <c r="A20252" s="24"/>
      <c r="B20252" s="25"/>
      <c r="C20252" s="24"/>
      <c r="D20252" s="26"/>
      <c r="E20252" s="24"/>
      <c r="F20252" s="24"/>
      <c r="G20252" s="24"/>
      <c r="H20252" s="24"/>
      <c r="I20252" s="24"/>
      <c r="J20252" s="24"/>
      <c r="K20252" s="24"/>
      <c r="L20252" s="24"/>
      <c r="M20252" s="24"/>
      <c r="N20252" s="24"/>
      <c r="O20252" s="24"/>
      <c r="P20252" s="24"/>
      <c r="Q20252" s="24"/>
      <c r="R20252" s="24"/>
      <c r="S20252" s="24"/>
      <c r="T20252" s="24"/>
      <c r="U20252" s="24"/>
      <c r="V20252" s="24"/>
      <c r="W20252" s="24"/>
      <c r="X20252" s="24"/>
      <c r="Y20252" s="24"/>
      <c r="Z20252" s="24"/>
      <c r="AA20252" s="24"/>
    </row>
    <row r="20253">
      <c r="A20253" s="24"/>
      <c r="B20253" s="25"/>
      <c r="C20253" s="24"/>
      <c r="D20253" s="26"/>
      <c r="E20253" s="24"/>
      <c r="F20253" s="24"/>
      <c r="G20253" s="24"/>
      <c r="H20253" s="24"/>
      <c r="I20253" s="24"/>
      <c r="J20253" s="24"/>
      <c r="K20253" s="24"/>
      <c r="L20253" s="24"/>
      <c r="M20253" s="24"/>
      <c r="N20253" s="24"/>
      <c r="O20253" s="24"/>
      <c r="P20253" s="24"/>
      <c r="Q20253" s="24"/>
      <c r="R20253" s="24"/>
      <c r="S20253" s="24"/>
      <c r="T20253" s="24"/>
      <c r="U20253" s="24"/>
      <c r="V20253" s="24"/>
      <c r="W20253" s="24"/>
      <c r="X20253" s="24"/>
      <c r="Y20253" s="24"/>
      <c r="Z20253" s="24"/>
      <c r="AA20253" s="24"/>
    </row>
    <row r="20254">
      <c r="A20254" s="24"/>
      <c r="B20254" s="25"/>
      <c r="C20254" s="24"/>
      <c r="D20254" s="26"/>
      <c r="E20254" s="24"/>
      <c r="F20254" s="24"/>
      <c r="G20254" s="24"/>
      <c r="H20254" s="24"/>
      <c r="I20254" s="24"/>
      <c r="J20254" s="24"/>
      <c r="K20254" s="24"/>
      <c r="L20254" s="24"/>
      <c r="M20254" s="24"/>
      <c r="N20254" s="24"/>
      <c r="O20254" s="24"/>
      <c r="P20254" s="24"/>
      <c r="Q20254" s="24"/>
      <c r="R20254" s="24"/>
      <c r="S20254" s="24"/>
      <c r="T20254" s="24"/>
      <c r="U20254" s="24"/>
      <c r="V20254" s="24"/>
      <c r="W20254" s="24"/>
      <c r="X20254" s="24"/>
      <c r="Y20254" s="24"/>
      <c r="Z20254" s="24"/>
      <c r="AA20254" s="24"/>
    </row>
    <row r="20255">
      <c r="A20255" s="24"/>
      <c r="B20255" s="25"/>
      <c r="C20255" s="24"/>
      <c r="D20255" s="26"/>
      <c r="E20255" s="24"/>
      <c r="F20255" s="24"/>
      <c r="G20255" s="24"/>
      <c r="H20255" s="24"/>
      <c r="I20255" s="24"/>
      <c r="J20255" s="24"/>
      <c r="K20255" s="24"/>
      <c r="L20255" s="24"/>
      <c r="M20255" s="24"/>
      <c r="N20255" s="24"/>
      <c r="O20255" s="24"/>
      <c r="P20255" s="24"/>
      <c r="Q20255" s="24"/>
      <c r="R20255" s="24"/>
      <c r="S20255" s="24"/>
      <c r="T20255" s="24"/>
      <c r="U20255" s="24"/>
      <c r="V20255" s="24"/>
      <c r="W20255" s="24"/>
      <c r="X20255" s="24"/>
      <c r="Y20255" s="24"/>
      <c r="Z20255" s="24"/>
      <c r="AA20255" s="24"/>
    </row>
    <row r="20256">
      <c r="A20256" s="24"/>
      <c r="B20256" s="25"/>
      <c r="C20256" s="24"/>
      <c r="D20256" s="26"/>
      <c r="E20256" s="24"/>
      <c r="F20256" s="24"/>
      <c r="G20256" s="24"/>
      <c r="H20256" s="24"/>
      <c r="I20256" s="24"/>
      <c r="J20256" s="24"/>
      <c r="K20256" s="24"/>
      <c r="L20256" s="24"/>
      <c r="M20256" s="24"/>
      <c r="N20256" s="24"/>
      <c r="O20256" s="24"/>
      <c r="P20256" s="24"/>
      <c r="Q20256" s="24"/>
      <c r="R20256" s="24"/>
      <c r="S20256" s="24"/>
      <c r="T20256" s="24"/>
      <c r="U20256" s="24"/>
      <c r="V20256" s="24"/>
      <c r="W20256" s="24"/>
      <c r="X20256" s="24"/>
      <c r="Y20256" s="24"/>
      <c r="Z20256" s="24"/>
      <c r="AA20256" s="24"/>
    </row>
    <row r="20257">
      <c r="A20257" s="24"/>
      <c r="B20257" s="25"/>
      <c r="C20257" s="24"/>
      <c r="D20257" s="26"/>
      <c r="E20257" s="24"/>
      <c r="F20257" s="24"/>
      <c r="G20257" s="24"/>
      <c r="H20257" s="24"/>
      <c r="I20257" s="24"/>
      <c r="J20257" s="24"/>
      <c r="K20257" s="24"/>
      <c r="L20257" s="24"/>
      <c r="M20257" s="24"/>
      <c r="N20257" s="24"/>
      <c r="O20257" s="24"/>
      <c r="P20257" s="24"/>
      <c r="Q20257" s="24"/>
      <c r="R20257" s="24"/>
      <c r="S20257" s="24"/>
      <c r="T20257" s="24"/>
      <c r="U20257" s="24"/>
      <c r="V20257" s="24"/>
      <c r="W20257" s="24"/>
      <c r="X20257" s="24"/>
      <c r="Y20257" s="24"/>
      <c r="Z20257" s="24"/>
      <c r="AA20257" s="24"/>
    </row>
    <row r="20258">
      <c r="A20258" s="24"/>
      <c r="B20258" s="25"/>
      <c r="C20258" s="24"/>
      <c r="D20258" s="26"/>
      <c r="E20258" s="24"/>
      <c r="F20258" s="24"/>
      <c r="G20258" s="24"/>
      <c r="H20258" s="24"/>
      <c r="I20258" s="24"/>
      <c r="J20258" s="24"/>
      <c r="K20258" s="24"/>
      <c r="L20258" s="24"/>
      <c r="M20258" s="24"/>
      <c r="N20258" s="24"/>
      <c r="O20258" s="24"/>
      <c r="P20258" s="24"/>
      <c r="Q20258" s="24"/>
      <c r="R20258" s="24"/>
      <c r="S20258" s="24"/>
      <c r="T20258" s="24"/>
      <c r="U20258" s="24"/>
      <c r="V20258" s="24"/>
      <c r="W20258" s="24"/>
      <c r="X20258" s="24"/>
      <c r="Y20258" s="24"/>
      <c r="Z20258" s="24"/>
      <c r="AA20258" s="24"/>
    </row>
    <row r="20259">
      <c r="A20259" s="24"/>
      <c r="B20259" s="25"/>
      <c r="C20259" s="24"/>
      <c r="D20259" s="26"/>
      <c r="E20259" s="24"/>
      <c r="F20259" s="24"/>
      <c r="G20259" s="24"/>
      <c r="H20259" s="24"/>
      <c r="I20259" s="24"/>
      <c r="J20259" s="24"/>
      <c r="K20259" s="24"/>
      <c r="L20259" s="24"/>
      <c r="M20259" s="24"/>
      <c r="N20259" s="24"/>
      <c r="O20259" s="24"/>
      <c r="P20259" s="24"/>
      <c r="Q20259" s="24"/>
      <c r="R20259" s="24"/>
      <c r="S20259" s="24"/>
      <c r="T20259" s="24"/>
      <c r="U20259" s="24"/>
      <c r="V20259" s="24"/>
      <c r="W20259" s="24"/>
      <c r="X20259" s="24"/>
      <c r="Y20259" s="24"/>
      <c r="Z20259" s="24"/>
      <c r="AA20259" s="24"/>
    </row>
    <row r="20260">
      <c r="A20260" s="24"/>
      <c r="B20260" s="25"/>
      <c r="C20260" s="24"/>
      <c r="D20260" s="26"/>
      <c r="E20260" s="24"/>
      <c r="F20260" s="24"/>
      <c r="G20260" s="24"/>
      <c r="H20260" s="24"/>
      <c r="I20260" s="24"/>
      <c r="J20260" s="24"/>
      <c r="K20260" s="24"/>
      <c r="L20260" s="24"/>
      <c r="M20260" s="24"/>
      <c r="N20260" s="24"/>
      <c r="O20260" s="24"/>
      <c r="P20260" s="24"/>
      <c r="Q20260" s="24"/>
      <c r="R20260" s="24"/>
      <c r="S20260" s="24"/>
      <c r="T20260" s="24"/>
      <c r="U20260" s="24"/>
      <c r="V20260" s="24"/>
      <c r="W20260" s="24"/>
      <c r="X20260" s="24"/>
      <c r="Y20260" s="24"/>
      <c r="Z20260" s="24"/>
      <c r="AA20260" s="24"/>
    </row>
    <row r="20261">
      <c r="A20261" s="24"/>
      <c r="B20261" s="25"/>
      <c r="C20261" s="24"/>
      <c r="D20261" s="26"/>
      <c r="E20261" s="24"/>
      <c r="F20261" s="24"/>
      <c r="G20261" s="24"/>
      <c r="H20261" s="24"/>
      <c r="I20261" s="24"/>
      <c r="J20261" s="24"/>
      <c r="K20261" s="24"/>
      <c r="L20261" s="24"/>
      <c r="M20261" s="24"/>
      <c r="N20261" s="24"/>
      <c r="O20261" s="24"/>
      <c r="P20261" s="24"/>
      <c r="Q20261" s="24"/>
      <c r="R20261" s="24"/>
      <c r="S20261" s="24"/>
      <c r="T20261" s="24"/>
      <c r="U20261" s="24"/>
      <c r="V20261" s="24"/>
      <c r="W20261" s="24"/>
      <c r="X20261" s="24"/>
      <c r="Y20261" s="24"/>
      <c r="Z20261" s="24"/>
      <c r="AA20261" s="24"/>
    </row>
    <row r="20262">
      <c r="A20262" s="24"/>
      <c r="B20262" s="25"/>
      <c r="C20262" s="24"/>
      <c r="D20262" s="26"/>
      <c r="E20262" s="24"/>
      <c r="F20262" s="24"/>
      <c r="G20262" s="24"/>
      <c r="H20262" s="24"/>
      <c r="I20262" s="24"/>
      <c r="J20262" s="24"/>
      <c r="K20262" s="24"/>
      <c r="L20262" s="24"/>
      <c r="M20262" s="24"/>
      <c r="N20262" s="24"/>
      <c r="O20262" s="24"/>
      <c r="P20262" s="24"/>
      <c r="Q20262" s="24"/>
      <c r="R20262" s="24"/>
      <c r="S20262" s="24"/>
      <c r="T20262" s="24"/>
      <c r="U20262" s="24"/>
      <c r="V20262" s="24"/>
      <c r="W20262" s="24"/>
      <c r="X20262" s="24"/>
      <c r="Y20262" s="24"/>
      <c r="Z20262" s="24"/>
      <c r="AA20262" s="24"/>
    </row>
    <row r="20263">
      <c r="A20263" s="24"/>
      <c r="B20263" s="25"/>
      <c r="C20263" s="24"/>
      <c r="D20263" s="26"/>
      <c r="E20263" s="24"/>
      <c r="F20263" s="24"/>
      <c r="G20263" s="24"/>
      <c r="H20263" s="24"/>
      <c r="I20263" s="24"/>
      <c r="J20263" s="24"/>
      <c r="K20263" s="24"/>
      <c r="L20263" s="24"/>
      <c r="M20263" s="24"/>
      <c r="N20263" s="24"/>
      <c r="O20263" s="24"/>
      <c r="P20263" s="24"/>
      <c r="Q20263" s="24"/>
      <c r="R20263" s="24"/>
      <c r="S20263" s="24"/>
      <c r="T20263" s="24"/>
      <c r="U20263" s="24"/>
      <c r="V20263" s="24"/>
      <c r="W20263" s="24"/>
      <c r="X20263" s="24"/>
      <c r="Y20263" s="24"/>
      <c r="Z20263" s="24"/>
      <c r="AA20263" s="24"/>
    </row>
    <row r="20264">
      <c r="A20264" s="24"/>
      <c r="B20264" s="25"/>
      <c r="C20264" s="24"/>
      <c r="D20264" s="26"/>
      <c r="E20264" s="24"/>
      <c r="F20264" s="24"/>
      <c r="G20264" s="24"/>
      <c r="H20264" s="24"/>
      <c r="I20264" s="24"/>
      <c r="J20264" s="24"/>
      <c r="K20264" s="24"/>
      <c r="L20264" s="24"/>
      <c r="M20264" s="24"/>
      <c r="N20264" s="24"/>
      <c r="O20264" s="24"/>
      <c r="P20264" s="24"/>
      <c r="Q20264" s="24"/>
      <c r="R20264" s="24"/>
      <c r="S20264" s="24"/>
      <c r="T20264" s="24"/>
      <c r="U20264" s="24"/>
      <c r="V20264" s="24"/>
      <c r="W20264" s="24"/>
      <c r="X20264" s="24"/>
      <c r="Y20264" s="24"/>
      <c r="Z20264" s="24"/>
      <c r="AA20264" s="24"/>
    </row>
    <row r="20265">
      <c r="A20265" s="24"/>
      <c r="B20265" s="25"/>
      <c r="C20265" s="24"/>
      <c r="D20265" s="26"/>
      <c r="E20265" s="24"/>
      <c r="F20265" s="24"/>
      <c r="G20265" s="24"/>
      <c r="H20265" s="24"/>
      <c r="I20265" s="24"/>
      <c r="J20265" s="24"/>
      <c r="K20265" s="24"/>
      <c r="L20265" s="24"/>
      <c r="M20265" s="24"/>
      <c r="N20265" s="24"/>
      <c r="O20265" s="24"/>
      <c r="P20265" s="24"/>
      <c r="Q20265" s="24"/>
      <c r="R20265" s="24"/>
      <c r="S20265" s="24"/>
      <c r="T20265" s="24"/>
      <c r="U20265" s="24"/>
      <c r="V20265" s="24"/>
      <c r="W20265" s="24"/>
      <c r="X20265" s="24"/>
      <c r="Y20265" s="24"/>
      <c r="Z20265" s="24"/>
      <c r="AA20265" s="24"/>
    </row>
    <row r="20266">
      <c r="A20266" s="24"/>
      <c r="B20266" s="25"/>
      <c r="C20266" s="24"/>
      <c r="D20266" s="26"/>
      <c r="E20266" s="24"/>
      <c r="F20266" s="24"/>
      <c r="G20266" s="24"/>
      <c r="H20266" s="24"/>
      <c r="I20266" s="24"/>
      <c r="J20266" s="24"/>
      <c r="K20266" s="24"/>
      <c r="L20266" s="24"/>
      <c r="M20266" s="24"/>
      <c r="N20266" s="24"/>
      <c r="O20266" s="24"/>
      <c r="P20266" s="24"/>
      <c r="Q20266" s="24"/>
      <c r="R20266" s="24"/>
      <c r="S20266" s="24"/>
      <c r="T20266" s="24"/>
      <c r="U20266" s="24"/>
      <c r="V20266" s="24"/>
      <c r="W20266" s="24"/>
      <c r="X20266" s="24"/>
      <c r="Y20266" s="24"/>
      <c r="Z20266" s="24"/>
      <c r="AA20266" s="24"/>
    </row>
    <row r="20267">
      <c r="A20267" s="24"/>
      <c r="B20267" s="25"/>
      <c r="C20267" s="24"/>
      <c r="D20267" s="26"/>
      <c r="E20267" s="24"/>
      <c r="F20267" s="24"/>
      <c r="G20267" s="24"/>
      <c r="H20267" s="24"/>
      <c r="I20267" s="24"/>
      <c r="J20267" s="24"/>
      <c r="K20267" s="24"/>
      <c r="L20267" s="24"/>
      <c r="M20267" s="24"/>
      <c r="N20267" s="24"/>
      <c r="O20267" s="24"/>
      <c r="P20267" s="24"/>
      <c r="Q20267" s="24"/>
      <c r="R20267" s="24"/>
      <c r="S20267" s="24"/>
      <c r="T20267" s="24"/>
      <c r="U20267" s="24"/>
      <c r="V20267" s="24"/>
      <c r="W20267" s="24"/>
      <c r="X20267" s="24"/>
      <c r="Y20267" s="24"/>
      <c r="Z20267" s="24"/>
      <c r="AA20267" s="24"/>
    </row>
    <row r="20268">
      <c r="A20268" s="24"/>
      <c r="B20268" s="25"/>
      <c r="C20268" s="24"/>
      <c r="D20268" s="26"/>
      <c r="E20268" s="24"/>
      <c r="F20268" s="24"/>
      <c r="G20268" s="24"/>
      <c r="H20268" s="24"/>
      <c r="I20268" s="24"/>
      <c r="J20268" s="24"/>
      <c r="K20268" s="24"/>
      <c r="L20268" s="24"/>
      <c r="M20268" s="24"/>
      <c r="N20268" s="24"/>
      <c r="O20268" s="24"/>
      <c r="P20268" s="24"/>
      <c r="Q20268" s="24"/>
      <c r="R20268" s="24"/>
      <c r="S20268" s="24"/>
      <c r="T20268" s="24"/>
      <c r="U20268" s="24"/>
      <c r="V20268" s="24"/>
      <c r="W20268" s="24"/>
      <c r="X20268" s="24"/>
      <c r="Y20268" s="24"/>
      <c r="Z20268" s="24"/>
      <c r="AA20268" s="24"/>
    </row>
    <row r="20269">
      <c r="A20269" s="24"/>
      <c r="B20269" s="25"/>
      <c r="C20269" s="24"/>
      <c r="D20269" s="26"/>
      <c r="E20269" s="24"/>
      <c r="F20269" s="24"/>
      <c r="G20269" s="24"/>
      <c r="H20269" s="24"/>
      <c r="I20269" s="24"/>
      <c r="J20269" s="24"/>
      <c r="K20269" s="24"/>
      <c r="L20269" s="24"/>
      <c r="M20269" s="24"/>
      <c r="N20269" s="24"/>
      <c r="O20269" s="24"/>
      <c r="P20269" s="24"/>
      <c r="Q20269" s="24"/>
      <c r="R20269" s="24"/>
      <c r="S20269" s="24"/>
      <c r="T20269" s="24"/>
      <c r="U20269" s="24"/>
      <c r="V20269" s="24"/>
      <c r="W20269" s="24"/>
      <c r="X20269" s="24"/>
      <c r="Y20269" s="24"/>
      <c r="Z20269" s="24"/>
      <c r="AA20269" s="24"/>
    </row>
    <row r="20270">
      <c r="A20270" s="24"/>
      <c r="B20270" s="25"/>
      <c r="C20270" s="24"/>
      <c r="D20270" s="26"/>
      <c r="E20270" s="24"/>
      <c r="F20270" s="24"/>
      <c r="G20270" s="24"/>
      <c r="H20270" s="24"/>
      <c r="I20270" s="24"/>
      <c r="J20270" s="24"/>
      <c r="K20270" s="24"/>
      <c r="L20270" s="24"/>
      <c r="M20270" s="24"/>
      <c r="N20270" s="24"/>
      <c r="O20270" s="24"/>
      <c r="P20270" s="24"/>
      <c r="Q20270" s="24"/>
      <c r="R20270" s="24"/>
      <c r="S20270" s="24"/>
      <c r="T20270" s="24"/>
      <c r="U20270" s="24"/>
      <c r="V20270" s="24"/>
      <c r="W20270" s="24"/>
      <c r="X20270" s="24"/>
      <c r="Y20270" s="24"/>
      <c r="Z20270" s="24"/>
      <c r="AA20270" s="24"/>
    </row>
    <row r="20271">
      <c r="A20271" s="24"/>
      <c r="B20271" s="25"/>
      <c r="C20271" s="24"/>
      <c r="D20271" s="26"/>
      <c r="E20271" s="24"/>
      <c r="F20271" s="24"/>
      <c r="G20271" s="24"/>
      <c r="H20271" s="24"/>
      <c r="I20271" s="24"/>
      <c r="J20271" s="24"/>
      <c r="K20271" s="24"/>
      <c r="L20271" s="24"/>
      <c r="M20271" s="24"/>
      <c r="N20271" s="24"/>
      <c r="O20271" s="24"/>
      <c r="P20271" s="24"/>
      <c r="Q20271" s="24"/>
      <c r="R20271" s="24"/>
      <c r="S20271" s="24"/>
      <c r="T20271" s="24"/>
      <c r="U20271" s="24"/>
      <c r="V20271" s="24"/>
      <c r="W20271" s="24"/>
      <c r="X20271" s="24"/>
      <c r="Y20271" s="24"/>
      <c r="Z20271" s="24"/>
      <c r="AA20271" s="24"/>
    </row>
    <row r="20272">
      <c r="A20272" s="24"/>
      <c r="B20272" s="25"/>
      <c r="C20272" s="24"/>
      <c r="D20272" s="26"/>
      <c r="E20272" s="24"/>
      <c r="F20272" s="24"/>
      <c r="G20272" s="24"/>
      <c r="H20272" s="24"/>
      <c r="I20272" s="24"/>
      <c r="J20272" s="24"/>
      <c r="K20272" s="24"/>
      <c r="L20272" s="24"/>
      <c r="M20272" s="24"/>
      <c r="N20272" s="24"/>
      <c r="O20272" s="24"/>
      <c r="P20272" s="24"/>
      <c r="Q20272" s="24"/>
      <c r="R20272" s="24"/>
      <c r="S20272" s="24"/>
      <c r="T20272" s="24"/>
      <c r="U20272" s="24"/>
      <c r="V20272" s="24"/>
      <c r="W20272" s="24"/>
      <c r="X20272" s="24"/>
      <c r="Y20272" s="24"/>
      <c r="Z20272" s="24"/>
      <c r="AA20272" s="24"/>
    </row>
    <row r="20273">
      <c r="A20273" s="24"/>
      <c r="B20273" s="25"/>
      <c r="C20273" s="24"/>
      <c r="D20273" s="26"/>
      <c r="E20273" s="24"/>
      <c r="F20273" s="24"/>
      <c r="G20273" s="24"/>
      <c r="H20273" s="24"/>
      <c r="I20273" s="24"/>
      <c r="J20273" s="24"/>
      <c r="K20273" s="24"/>
      <c r="L20273" s="24"/>
      <c r="M20273" s="24"/>
      <c r="N20273" s="24"/>
      <c r="O20273" s="24"/>
      <c r="P20273" s="24"/>
      <c r="Q20273" s="24"/>
      <c r="R20273" s="24"/>
      <c r="S20273" s="24"/>
      <c r="T20273" s="24"/>
      <c r="U20273" s="24"/>
      <c r="V20273" s="24"/>
      <c r="W20273" s="24"/>
      <c r="X20273" s="24"/>
      <c r="Y20273" s="24"/>
      <c r="Z20273" s="24"/>
      <c r="AA20273" s="24"/>
    </row>
    <row r="20274">
      <c r="A20274" s="24"/>
      <c r="B20274" s="25"/>
      <c r="C20274" s="24"/>
      <c r="D20274" s="26"/>
      <c r="E20274" s="24"/>
      <c r="F20274" s="24"/>
      <c r="G20274" s="24"/>
      <c r="H20274" s="24"/>
      <c r="I20274" s="24"/>
      <c r="J20274" s="24"/>
      <c r="K20274" s="24"/>
      <c r="L20274" s="24"/>
      <c r="M20274" s="24"/>
      <c r="N20274" s="24"/>
      <c r="O20274" s="24"/>
      <c r="P20274" s="24"/>
      <c r="Q20274" s="24"/>
      <c r="R20274" s="24"/>
      <c r="S20274" s="24"/>
      <c r="T20274" s="24"/>
      <c r="U20274" s="24"/>
      <c r="V20274" s="24"/>
      <c r="W20274" s="24"/>
      <c r="X20274" s="24"/>
      <c r="Y20274" s="24"/>
      <c r="Z20274" s="24"/>
      <c r="AA20274" s="24"/>
    </row>
    <row r="20275">
      <c r="A20275" s="24"/>
      <c r="B20275" s="25"/>
      <c r="C20275" s="24"/>
      <c r="D20275" s="26"/>
      <c r="E20275" s="24"/>
      <c r="F20275" s="24"/>
      <c r="G20275" s="24"/>
      <c r="H20275" s="24"/>
      <c r="I20275" s="24"/>
      <c r="J20275" s="24"/>
      <c r="K20275" s="24"/>
      <c r="L20275" s="24"/>
      <c r="M20275" s="24"/>
      <c r="N20275" s="24"/>
      <c r="O20275" s="24"/>
      <c r="P20275" s="24"/>
      <c r="Q20275" s="24"/>
      <c r="R20275" s="24"/>
      <c r="S20275" s="24"/>
      <c r="T20275" s="24"/>
      <c r="U20275" s="24"/>
      <c r="V20275" s="24"/>
      <c r="W20275" s="24"/>
      <c r="X20275" s="24"/>
      <c r="Y20275" s="24"/>
      <c r="Z20275" s="24"/>
      <c r="AA20275" s="24"/>
    </row>
    <row r="20276">
      <c r="A20276" s="24"/>
      <c r="B20276" s="25"/>
      <c r="C20276" s="24"/>
      <c r="D20276" s="26"/>
      <c r="E20276" s="24"/>
      <c r="F20276" s="24"/>
      <c r="G20276" s="24"/>
      <c r="H20276" s="24"/>
      <c r="I20276" s="24"/>
      <c r="J20276" s="24"/>
      <c r="K20276" s="24"/>
      <c r="L20276" s="24"/>
      <c r="M20276" s="24"/>
      <c r="N20276" s="24"/>
      <c r="O20276" s="24"/>
      <c r="P20276" s="24"/>
      <c r="Q20276" s="24"/>
      <c r="R20276" s="24"/>
      <c r="S20276" s="24"/>
      <c r="T20276" s="24"/>
      <c r="U20276" s="24"/>
      <c r="V20276" s="24"/>
      <c r="W20276" s="24"/>
      <c r="X20276" s="24"/>
      <c r="Y20276" s="24"/>
      <c r="Z20276" s="24"/>
      <c r="AA20276" s="24"/>
    </row>
    <row r="20277">
      <c r="A20277" s="24"/>
      <c r="B20277" s="25"/>
      <c r="C20277" s="24"/>
      <c r="D20277" s="26"/>
      <c r="E20277" s="24"/>
      <c r="F20277" s="24"/>
      <c r="G20277" s="24"/>
      <c r="H20277" s="24"/>
      <c r="I20277" s="24"/>
      <c r="J20277" s="24"/>
      <c r="K20277" s="24"/>
      <c r="L20277" s="24"/>
      <c r="M20277" s="24"/>
      <c r="N20277" s="24"/>
      <c r="O20277" s="24"/>
      <c r="P20277" s="24"/>
      <c r="Q20277" s="24"/>
      <c r="R20277" s="24"/>
      <c r="S20277" s="24"/>
      <c r="T20277" s="24"/>
      <c r="U20277" s="24"/>
      <c r="V20277" s="24"/>
      <c r="W20277" s="24"/>
      <c r="X20277" s="24"/>
      <c r="Y20277" s="24"/>
      <c r="Z20277" s="24"/>
      <c r="AA20277" s="24"/>
    </row>
    <row r="20278">
      <c r="A20278" s="24"/>
      <c r="B20278" s="25"/>
      <c r="C20278" s="24"/>
      <c r="D20278" s="26"/>
      <c r="E20278" s="24"/>
      <c r="F20278" s="24"/>
      <c r="G20278" s="24"/>
      <c r="H20278" s="24"/>
      <c r="I20278" s="24"/>
      <c r="J20278" s="24"/>
      <c r="K20278" s="24"/>
      <c r="L20278" s="24"/>
      <c r="M20278" s="24"/>
      <c r="N20278" s="24"/>
      <c r="O20278" s="24"/>
      <c r="P20278" s="24"/>
      <c r="Q20278" s="24"/>
      <c r="R20278" s="24"/>
      <c r="S20278" s="24"/>
      <c r="T20278" s="24"/>
      <c r="U20278" s="24"/>
      <c r="V20278" s="24"/>
      <c r="W20278" s="24"/>
      <c r="X20278" s="24"/>
      <c r="Y20278" s="24"/>
      <c r="Z20278" s="24"/>
      <c r="AA20278" s="24"/>
    </row>
    <row r="20279">
      <c r="A20279" s="24"/>
      <c r="B20279" s="25"/>
      <c r="C20279" s="24"/>
      <c r="D20279" s="26"/>
      <c r="E20279" s="24"/>
      <c r="F20279" s="24"/>
      <c r="G20279" s="24"/>
      <c r="H20279" s="24"/>
      <c r="I20279" s="24"/>
      <c r="J20279" s="24"/>
      <c r="K20279" s="24"/>
      <c r="L20279" s="24"/>
      <c r="M20279" s="24"/>
      <c r="N20279" s="24"/>
      <c r="O20279" s="24"/>
      <c r="P20279" s="24"/>
      <c r="Q20279" s="24"/>
      <c r="R20279" s="24"/>
      <c r="S20279" s="24"/>
      <c r="T20279" s="24"/>
      <c r="U20279" s="24"/>
      <c r="V20279" s="24"/>
      <c r="W20279" s="24"/>
      <c r="X20279" s="24"/>
      <c r="Y20279" s="24"/>
      <c r="Z20279" s="24"/>
      <c r="AA20279" s="24"/>
    </row>
    <row r="20280">
      <c r="A20280" s="24"/>
      <c r="B20280" s="25"/>
      <c r="C20280" s="24"/>
      <c r="D20280" s="26"/>
      <c r="E20280" s="24"/>
      <c r="F20280" s="24"/>
      <c r="G20280" s="24"/>
      <c r="H20280" s="24"/>
      <c r="I20280" s="24"/>
      <c r="J20280" s="24"/>
      <c r="K20280" s="24"/>
      <c r="L20280" s="24"/>
      <c r="M20280" s="24"/>
      <c r="N20280" s="24"/>
      <c r="O20280" s="24"/>
      <c r="P20280" s="24"/>
      <c r="Q20280" s="24"/>
      <c r="R20280" s="24"/>
      <c r="S20280" s="24"/>
      <c r="T20280" s="24"/>
      <c r="U20280" s="24"/>
      <c r="V20280" s="24"/>
      <c r="W20280" s="24"/>
      <c r="X20280" s="24"/>
      <c r="Y20280" s="24"/>
      <c r="Z20280" s="24"/>
      <c r="AA20280" s="24"/>
    </row>
    <row r="20281">
      <c r="A20281" s="24"/>
      <c r="B20281" s="25"/>
      <c r="C20281" s="24"/>
      <c r="D20281" s="26"/>
      <c r="E20281" s="24"/>
      <c r="F20281" s="24"/>
      <c r="G20281" s="24"/>
      <c r="H20281" s="24"/>
      <c r="I20281" s="24"/>
      <c r="J20281" s="24"/>
      <c r="K20281" s="24"/>
      <c r="L20281" s="24"/>
      <c r="M20281" s="24"/>
      <c r="N20281" s="24"/>
      <c r="O20281" s="24"/>
      <c r="P20281" s="24"/>
      <c r="Q20281" s="24"/>
      <c r="R20281" s="24"/>
      <c r="S20281" s="24"/>
      <c r="T20281" s="24"/>
      <c r="U20281" s="24"/>
      <c r="V20281" s="24"/>
      <c r="W20281" s="24"/>
      <c r="X20281" s="24"/>
      <c r="Y20281" s="24"/>
      <c r="Z20281" s="24"/>
      <c r="AA20281" s="24"/>
    </row>
    <row r="20282">
      <c r="A20282" s="24"/>
      <c r="B20282" s="25"/>
      <c r="C20282" s="24"/>
      <c r="D20282" s="26"/>
      <c r="E20282" s="24"/>
      <c r="F20282" s="24"/>
      <c r="G20282" s="24"/>
      <c r="H20282" s="24"/>
      <c r="I20282" s="24"/>
      <c r="J20282" s="24"/>
      <c r="K20282" s="24"/>
      <c r="L20282" s="24"/>
      <c r="M20282" s="24"/>
      <c r="N20282" s="24"/>
      <c r="O20282" s="24"/>
      <c r="P20282" s="24"/>
      <c r="Q20282" s="24"/>
      <c r="R20282" s="24"/>
      <c r="S20282" s="24"/>
      <c r="T20282" s="24"/>
      <c r="U20282" s="24"/>
      <c r="V20282" s="24"/>
      <c r="W20282" s="24"/>
      <c r="X20282" s="24"/>
      <c r="Y20282" s="24"/>
      <c r="Z20282" s="24"/>
      <c r="AA20282" s="24"/>
    </row>
    <row r="20283">
      <c r="A20283" s="24"/>
      <c r="B20283" s="25"/>
      <c r="C20283" s="24"/>
      <c r="D20283" s="26"/>
      <c r="E20283" s="24"/>
      <c r="F20283" s="24"/>
      <c r="G20283" s="24"/>
      <c r="H20283" s="24"/>
      <c r="I20283" s="24"/>
      <c r="J20283" s="24"/>
      <c r="K20283" s="24"/>
      <c r="L20283" s="24"/>
      <c r="M20283" s="24"/>
      <c r="N20283" s="24"/>
      <c r="O20283" s="24"/>
      <c r="P20283" s="24"/>
      <c r="Q20283" s="24"/>
      <c r="R20283" s="24"/>
      <c r="S20283" s="24"/>
      <c r="T20283" s="24"/>
      <c r="U20283" s="24"/>
      <c r="V20283" s="24"/>
      <c r="W20283" s="24"/>
      <c r="X20283" s="24"/>
      <c r="Y20283" s="24"/>
      <c r="Z20283" s="24"/>
      <c r="AA20283" s="24"/>
    </row>
    <row r="20284">
      <c r="A20284" s="24"/>
      <c r="B20284" s="25"/>
      <c r="C20284" s="24"/>
      <c r="D20284" s="26"/>
      <c r="E20284" s="24"/>
      <c r="F20284" s="24"/>
      <c r="G20284" s="24"/>
      <c r="H20284" s="24"/>
      <c r="I20284" s="24"/>
      <c r="J20284" s="24"/>
      <c r="K20284" s="24"/>
      <c r="L20284" s="24"/>
      <c r="M20284" s="24"/>
      <c r="N20284" s="24"/>
      <c r="O20284" s="24"/>
      <c r="P20284" s="24"/>
      <c r="Q20284" s="24"/>
      <c r="R20284" s="24"/>
      <c r="S20284" s="24"/>
      <c r="T20284" s="24"/>
      <c r="U20284" s="24"/>
      <c r="V20284" s="24"/>
      <c r="W20284" s="24"/>
      <c r="X20284" s="24"/>
      <c r="Y20284" s="24"/>
      <c r="Z20284" s="24"/>
      <c r="AA20284" s="24"/>
    </row>
    <row r="20285">
      <c r="A20285" s="24"/>
      <c r="B20285" s="25"/>
      <c r="C20285" s="24"/>
      <c r="D20285" s="26"/>
      <c r="E20285" s="24"/>
      <c r="F20285" s="24"/>
      <c r="G20285" s="24"/>
      <c r="H20285" s="24"/>
      <c r="I20285" s="24"/>
      <c r="J20285" s="24"/>
      <c r="K20285" s="24"/>
      <c r="L20285" s="24"/>
      <c r="M20285" s="24"/>
      <c r="N20285" s="24"/>
      <c r="O20285" s="24"/>
      <c r="P20285" s="24"/>
      <c r="Q20285" s="24"/>
      <c r="R20285" s="24"/>
      <c r="S20285" s="24"/>
      <c r="T20285" s="24"/>
      <c r="U20285" s="24"/>
      <c r="V20285" s="24"/>
      <c r="W20285" s="24"/>
      <c r="X20285" s="24"/>
      <c r="Y20285" s="24"/>
      <c r="Z20285" s="24"/>
      <c r="AA20285" s="24"/>
    </row>
    <row r="20286">
      <c r="A20286" s="24"/>
      <c r="B20286" s="25"/>
      <c r="C20286" s="24"/>
      <c r="D20286" s="26"/>
      <c r="E20286" s="24"/>
      <c r="F20286" s="24"/>
      <c r="G20286" s="24"/>
      <c r="H20286" s="24"/>
      <c r="I20286" s="24"/>
      <c r="J20286" s="24"/>
      <c r="K20286" s="24"/>
      <c r="L20286" s="24"/>
      <c r="M20286" s="24"/>
      <c r="N20286" s="24"/>
      <c r="O20286" s="24"/>
      <c r="P20286" s="24"/>
      <c r="Q20286" s="24"/>
      <c r="R20286" s="24"/>
      <c r="S20286" s="24"/>
      <c r="T20286" s="24"/>
      <c r="U20286" s="24"/>
      <c r="V20286" s="24"/>
      <c r="W20286" s="24"/>
      <c r="X20286" s="24"/>
      <c r="Y20286" s="24"/>
      <c r="Z20286" s="24"/>
      <c r="AA20286" s="24"/>
    </row>
    <row r="20287">
      <c r="A20287" s="24"/>
      <c r="B20287" s="25"/>
      <c r="C20287" s="24"/>
      <c r="D20287" s="26"/>
      <c r="E20287" s="24"/>
      <c r="F20287" s="24"/>
      <c r="G20287" s="24"/>
      <c r="H20287" s="24"/>
      <c r="I20287" s="24"/>
      <c r="J20287" s="24"/>
      <c r="K20287" s="24"/>
      <c r="L20287" s="24"/>
      <c r="M20287" s="24"/>
      <c r="N20287" s="24"/>
      <c r="O20287" s="24"/>
      <c r="P20287" s="24"/>
      <c r="Q20287" s="24"/>
      <c r="R20287" s="24"/>
      <c r="S20287" s="24"/>
      <c r="T20287" s="24"/>
      <c r="U20287" s="24"/>
      <c r="V20287" s="24"/>
      <c r="W20287" s="24"/>
      <c r="X20287" s="24"/>
      <c r="Y20287" s="24"/>
      <c r="Z20287" s="24"/>
      <c r="AA20287" s="24"/>
    </row>
    <row r="20288">
      <c r="A20288" s="24"/>
      <c r="B20288" s="25"/>
      <c r="C20288" s="24"/>
      <c r="D20288" s="26"/>
      <c r="E20288" s="24"/>
      <c r="F20288" s="24"/>
      <c r="G20288" s="24"/>
      <c r="H20288" s="24"/>
      <c r="I20288" s="24"/>
      <c r="J20288" s="24"/>
      <c r="K20288" s="24"/>
      <c r="L20288" s="24"/>
      <c r="M20288" s="24"/>
      <c r="N20288" s="24"/>
      <c r="O20288" s="24"/>
      <c r="P20288" s="24"/>
      <c r="Q20288" s="24"/>
      <c r="R20288" s="24"/>
      <c r="S20288" s="24"/>
      <c r="T20288" s="24"/>
      <c r="U20288" s="24"/>
      <c r="V20288" s="24"/>
      <c r="W20288" s="24"/>
      <c r="X20288" s="24"/>
      <c r="Y20288" s="24"/>
      <c r="Z20288" s="24"/>
      <c r="AA20288" s="24"/>
    </row>
    <row r="20289">
      <c r="A20289" s="24"/>
      <c r="B20289" s="25"/>
      <c r="C20289" s="24"/>
      <c r="D20289" s="26"/>
      <c r="E20289" s="24"/>
      <c r="F20289" s="24"/>
      <c r="G20289" s="24"/>
      <c r="H20289" s="24"/>
      <c r="I20289" s="24"/>
      <c r="J20289" s="24"/>
      <c r="K20289" s="24"/>
      <c r="L20289" s="24"/>
      <c r="M20289" s="24"/>
      <c r="N20289" s="24"/>
      <c r="O20289" s="24"/>
      <c r="P20289" s="24"/>
      <c r="Q20289" s="24"/>
      <c r="R20289" s="24"/>
      <c r="S20289" s="24"/>
      <c r="T20289" s="24"/>
      <c r="U20289" s="24"/>
      <c r="V20289" s="24"/>
      <c r="W20289" s="24"/>
      <c r="X20289" s="24"/>
      <c r="Y20289" s="24"/>
      <c r="Z20289" s="24"/>
      <c r="AA20289" s="24"/>
    </row>
    <row r="20290">
      <c r="A20290" s="24"/>
      <c r="B20290" s="25"/>
      <c r="C20290" s="24"/>
      <c r="D20290" s="26"/>
      <c r="E20290" s="24"/>
      <c r="F20290" s="24"/>
      <c r="G20290" s="24"/>
      <c r="H20290" s="24"/>
      <c r="I20290" s="24"/>
      <c r="J20290" s="24"/>
      <c r="K20290" s="24"/>
      <c r="L20290" s="24"/>
      <c r="M20290" s="24"/>
      <c r="N20290" s="24"/>
      <c r="O20290" s="24"/>
      <c r="P20290" s="24"/>
      <c r="Q20290" s="24"/>
      <c r="R20290" s="24"/>
      <c r="S20290" s="24"/>
      <c r="T20290" s="24"/>
      <c r="U20290" s="24"/>
      <c r="V20290" s="24"/>
      <c r="W20290" s="24"/>
      <c r="X20290" s="24"/>
      <c r="Y20290" s="24"/>
      <c r="Z20290" s="24"/>
      <c r="AA20290" s="24"/>
    </row>
    <row r="20291">
      <c r="A20291" s="24"/>
      <c r="B20291" s="25"/>
      <c r="C20291" s="24"/>
      <c r="D20291" s="26"/>
      <c r="E20291" s="24"/>
      <c r="F20291" s="24"/>
      <c r="G20291" s="24"/>
      <c r="H20291" s="24"/>
      <c r="I20291" s="24"/>
      <c r="J20291" s="24"/>
      <c r="K20291" s="24"/>
      <c r="L20291" s="24"/>
      <c r="M20291" s="24"/>
      <c r="N20291" s="24"/>
      <c r="O20291" s="24"/>
      <c r="P20291" s="24"/>
      <c r="Q20291" s="24"/>
      <c r="R20291" s="24"/>
      <c r="S20291" s="24"/>
      <c r="T20291" s="24"/>
      <c r="U20291" s="24"/>
      <c r="V20291" s="24"/>
      <c r="W20291" s="24"/>
      <c r="X20291" s="24"/>
      <c r="Y20291" s="24"/>
      <c r="Z20291" s="24"/>
      <c r="AA20291" s="24"/>
    </row>
    <row r="20292">
      <c r="A20292" s="24"/>
      <c r="B20292" s="25"/>
      <c r="C20292" s="24"/>
      <c r="D20292" s="26"/>
      <c r="E20292" s="24"/>
      <c r="F20292" s="24"/>
      <c r="G20292" s="24"/>
      <c r="H20292" s="24"/>
      <c r="I20292" s="24"/>
      <c r="J20292" s="24"/>
      <c r="K20292" s="24"/>
      <c r="L20292" s="24"/>
      <c r="M20292" s="24"/>
      <c r="N20292" s="24"/>
      <c r="O20292" s="24"/>
      <c r="P20292" s="24"/>
      <c r="Q20292" s="24"/>
      <c r="R20292" s="24"/>
      <c r="S20292" s="24"/>
      <c r="T20292" s="24"/>
      <c r="U20292" s="24"/>
      <c r="V20292" s="24"/>
      <c r="W20292" s="24"/>
      <c r="X20292" s="24"/>
      <c r="Y20292" s="24"/>
      <c r="Z20292" s="24"/>
      <c r="AA20292" s="24"/>
    </row>
    <row r="20293">
      <c r="A20293" s="24"/>
      <c r="B20293" s="25"/>
      <c r="C20293" s="24"/>
      <c r="D20293" s="26"/>
      <c r="E20293" s="24"/>
      <c r="F20293" s="24"/>
      <c r="G20293" s="24"/>
      <c r="H20293" s="24"/>
      <c r="I20293" s="24"/>
      <c r="J20293" s="24"/>
      <c r="K20293" s="24"/>
      <c r="L20293" s="24"/>
      <c r="M20293" s="24"/>
      <c r="N20293" s="24"/>
      <c r="O20293" s="24"/>
      <c r="P20293" s="24"/>
      <c r="Q20293" s="24"/>
      <c r="R20293" s="24"/>
      <c r="S20293" s="24"/>
      <c r="T20293" s="24"/>
      <c r="U20293" s="24"/>
      <c r="V20293" s="24"/>
      <c r="W20293" s="24"/>
      <c r="X20293" s="24"/>
      <c r="Y20293" s="24"/>
      <c r="Z20293" s="24"/>
      <c r="AA20293" s="24"/>
    </row>
    <row r="20294">
      <c r="A20294" s="24"/>
      <c r="B20294" s="25"/>
      <c r="C20294" s="24"/>
      <c r="D20294" s="26"/>
      <c r="E20294" s="24"/>
      <c r="F20294" s="24"/>
      <c r="G20294" s="24"/>
      <c r="H20294" s="24"/>
      <c r="I20294" s="24"/>
      <c r="J20294" s="24"/>
      <c r="K20294" s="24"/>
      <c r="L20294" s="24"/>
      <c r="M20294" s="24"/>
      <c r="N20294" s="24"/>
      <c r="O20294" s="24"/>
      <c r="P20294" s="24"/>
      <c r="Q20294" s="24"/>
      <c r="R20294" s="24"/>
      <c r="S20294" s="24"/>
      <c r="T20294" s="24"/>
      <c r="U20294" s="24"/>
      <c r="V20294" s="24"/>
      <c r="W20294" s="24"/>
      <c r="X20294" s="24"/>
      <c r="Y20294" s="24"/>
      <c r="Z20294" s="24"/>
      <c r="AA20294" s="24"/>
    </row>
    <row r="20295">
      <c r="A20295" s="24"/>
      <c r="B20295" s="25"/>
      <c r="C20295" s="24"/>
      <c r="D20295" s="26"/>
      <c r="E20295" s="24"/>
      <c r="F20295" s="24"/>
      <c r="G20295" s="24"/>
      <c r="H20295" s="24"/>
      <c r="I20295" s="24"/>
      <c r="J20295" s="24"/>
      <c r="K20295" s="24"/>
      <c r="L20295" s="24"/>
      <c r="M20295" s="24"/>
      <c r="N20295" s="24"/>
      <c r="O20295" s="24"/>
      <c r="P20295" s="24"/>
      <c r="Q20295" s="24"/>
      <c r="R20295" s="24"/>
      <c r="S20295" s="24"/>
      <c r="T20295" s="24"/>
      <c r="U20295" s="24"/>
      <c r="V20295" s="24"/>
      <c r="W20295" s="24"/>
      <c r="X20295" s="24"/>
      <c r="Y20295" s="24"/>
      <c r="Z20295" s="24"/>
      <c r="AA20295" s="24"/>
    </row>
    <row r="20296">
      <c r="A20296" s="24"/>
      <c r="B20296" s="25"/>
      <c r="C20296" s="24"/>
      <c r="D20296" s="26"/>
      <c r="E20296" s="24"/>
      <c r="F20296" s="24"/>
      <c r="G20296" s="24"/>
      <c r="H20296" s="24"/>
      <c r="I20296" s="24"/>
      <c r="J20296" s="24"/>
      <c r="K20296" s="24"/>
      <c r="L20296" s="24"/>
      <c r="M20296" s="24"/>
      <c r="N20296" s="24"/>
      <c r="O20296" s="24"/>
      <c r="P20296" s="24"/>
      <c r="Q20296" s="24"/>
      <c r="R20296" s="24"/>
      <c r="S20296" s="24"/>
      <c r="T20296" s="24"/>
      <c r="U20296" s="24"/>
      <c r="V20296" s="24"/>
      <c r="W20296" s="24"/>
      <c r="X20296" s="24"/>
      <c r="Y20296" s="24"/>
      <c r="Z20296" s="24"/>
      <c r="AA20296" s="24"/>
    </row>
    <row r="20297">
      <c r="A20297" s="24"/>
      <c r="B20297" s="25"/>
      <c r="C20297" s="24"/>
      <c r="D20297" s="26"/>
      <c r="E20297" s="24"/>
      <c r="F20297" s="24"/>
      <c r="G20297" s="24"/>
      <c r="H20297" s="24"/>
      <c r="I20297" s="24"/>
      <c r="J20297" s="24"/>
      <c r="K20297" s="24"/>
      <c r="L20297" s="24"/>
      <c r="M20297" s="24"/>
      <c r="N20297" s="24"/>
      <c r="O20297" s="24"/>
      <c r="P20297" s="24"/>
      <c r="Q20297" s="24"/>
      <c r="R20297" s="24"/>
      <c r="S20297" s="24"/>
      <c r="T20297" s="24"/>
      <c r="U20297" s="24"/>
      <c r="V20297" s="24"/>
      <c r="W20297" s="24"/>
      <c r="X20297" s="24"/>
      <c r="Y20297" s="24"/>
      <c r="Z20297" s="24"/>
      <c r="AA20297" s="24"/>
    </row>
    <row r="20298">
      <c r="A20298" s="24"/>
      <c r="B20298" s="25"/>
      <c r="C20298" s="24"/>
      <c r="D20298" s="26"/>
      <c r="E20298" s="24"/>
      <c r="F20298" s="24"/>
      <c r="G20298" s="24"/>
      <c r="H20298" s="24"/>
      <c r="I20298" s="24"/>
      <c r="J20298" s="24"/>
      <c r="K20298" s="24"/>
      <c r="L20298" s="24"/>
      <c r="M20298" s="24"/>
      <c r="N20298" s="24"/>
      <c r="O20298" s="24"/>
      <c r="P20298" s="24"/>
      <c r="Q20298" s="24"/>
      <c r="R20298" s="24"/>
      <c r="S20298" s="24"/>
      <c r="T20298" s="24"/>
      <c r="U20298" s="24"/>
      <c r="V20298" s="24"/>
      <c r="W20298" s="24"/>
      <c r="X20298" s="24"/>
      <c r="Y20298" s="24"/>
      <c r="Z20298" s="24"/>
      <c r="AA20298" s="24"/>
    </row>
    <row r="20299">
      <c r="A20299" s="24"/>
      <c r="B20299" s="25"/>
      <c r="C20299" s="24"/>
      <c r="D20299" s="26"/>
      <c r="E20299" s="24"/>
      <c r="F20299" s="24"/>
      <c r="G20299" s="24"/>
      <c r="H20299" s="24"/>
      <c r="I20299" s="24"/>
      <c r="J20299" s="24"/>
      <c r="K20299" s="24"/>
      <c r="L20299" s="24"/>
      <c r="M20299" s="24"/>
      <c r="N20299" s="24"/>
      <c r="O20299" s="24"/>
      <c r="P20299" s="24"/>
      <c r="Q20299" s="24"/>
      <c r="R20299" s="24"/>
      <c r="S20299" s="24"/>
      <c r="T20299" s="24"/>
      <c r="U20299" s="24"/>
      <c r="V20299" s="24"/>
      <c r="W20299" s="24"/>
      <c r="X20299" s="24"/>
      <c r="Y20299" s="24"/>
      <c r="Z20299" s="24"/>
      <c r="AA20299" s="24"/>
    </row>
    <row r="20300">
      <c r="A20300" s="24"/>
      <c r="B20300" s="25"/>
      <c r="C20300" s="24"/>
      <c r="D20300" s="26"/>
      <c r="E20300" s="24"/>
      <c r="F20300" s="24"/>
      <c r="G20300" s="24"/>
      <c r="H20300" s="24"/>
      <c r="I20300" s="24"/>
      <c r="J20300" s="24"/>
      <c r="K20300" s="24"/>
      <c r="L20300" s="24"/>
      <c r="M20300" s="24"/>
      <c r="N20300" s="24"/>
      <c r="O20300" s="24"/>
      <c r="P20300" s="24"/>
      <c r="Q20300" s="24"/>
      <c r="R20300" s="24"/>
      <c r="S20300" s="24"/>
      <c r="T20300" s="24"/>
      <c r="U20300" s="24"/>
      <c r="V20300" s="24"/>
      <c r="W20300" s="24"/>
      <c r="X20300" s="24"/>
      <c r="Y20300" s="24"/>
      <c r="Z20300" s="24"/>
      <c r="AA20300" s="24"/>
    </row>
    <row r="20301">
      <c r="A20301" s="24"/>
      <c r="B20301" s="25"/>
      <c r="C20301" s="24"/>
      <c r="D20301" s="26"/>
      <c r="E20301" s="24"/>
      <c r="F20301" s="24"/>
      <c r="G20301" s="24"/>
      <c r="H20301" s="24"/>
      <c r="I20301" s="24"/>
      <c r="J20301" s="24"/>
      <c r="K20301" s="24"/>
      <c r="L20301" s="24"/>
      <c r="M20301" s="24"/>
      <c r="N20301" s="24"/>
      <c r="O20301" s="24"/>
      <c r="P20301" s="24"/>
      <c r="Q20301" s="24"/>
      <c r="R20301" s="24"/>
      <c r="S20301" s="24"/>
      <c r="T20301" s="24"/>
      <c r="U20301" s="24"/>
      <c r="V20301" s="24"/>
      <c r="W20301" s="24"/>
      <c r="X20301" s="24"/>
      <c r="Y20301" s="24"/>
      <c r="Z20301" s="24"/>
      <c r="AA20301" s="24"/>
    </row>
    <row r="20302">
      <c r="A20302" s="24"/>
      <c r="B20302" s="25"/>
      <c r="C20302" s="24"/>
      <c r="D20302" s="26"/>
      <c r="E20302" s="24"/>
      <c r="F20302" s="24"/>
      <c r="G20302" s="24"/>
      <c r="H20302" s="24"/>
      <c r="I20302" s="24"/>
      <c r="J20302" s="24"/>
      <c r="K20302" s="24"/>
      <c r="L20302" s="24"/>
      <c r="M20302" s="24"/>
      <c r="N20302" s="24"/>
      <c r="O20302" s="24"/>
      <c r="P20302" s="24"/>
      <c r="Q20302" s="24"/>
      <c r="R20302" s="24"/>
      <c r="S20302" s="24"/>
      <c r="T20302" s="24"/>
      <c r="U20302" s="24"/>
      <c r="V20302" s="24"/>
      <c r="W20302" s="24"/>
      <c r="X20302" s="24"/>
      <c r="Y20302" s="24"/>
      <c r="Z20302" s="24"/>
      <c r="AA20302" s="24"/>
    </row>
    <row r="20303">
      <c r="A20303" s="24"/>
      <c r="B20303" s="25"/>
      <c r="C20303" s="24"/>
      <c r="D20303" s="26"/>
      <c r="E20303" s="24"/>
      <c r="F20303" s="24"/>
      <c r="G20303" s="24"/>
      <c r="H20303" s="24"/>
      <c r="I20303" s="24"/>
      <c r="J20303" s="24"/>
      <c r="K20303" s="24"/>
      <c r="L20303" s="24"/>
      <c r="M20303" s="24"/>
      <c r="N20303" s="24"/>
      <c r="O20303" s="24"/>
      <c r="P20303" s="24"/>
      <c r="Q20303" s="24"/>
      <c r="R20303" s="24"/>
      <c r="S20303" s="24"/>
      <c r="T20303" s="24"/>
      <c r="U20303" s="24"/>
      <c r="V20303" s="24"/>
      <c r="W20303" s="24"/>
      <c r="X20303" s="24"/>
      <c r="Y20303" s="24"/>
      <c r="Z20303" s="24"/>
      <c r="AA20303" s="24"/>
    </row>
    <row r="20304">
      <c r="A20304" s="24"/>
      <c r="B20304" s="25"/>
      <c r="C20304" s="24"/>
      <c r="D20304" s="26"/>
      <c r="E20304" s="24"/>
      <c r="F20304" s="24"/>
      <c r="G20304" s="24"/>
      <c r="H20304" s="24"/>
      <c r="I20304" s="24"/>
      <c r="J20304" s="24"/>
      <c r="K20304" s="24"/>
      <c r="L20304" s="24"/>
      <c r="M20304" s="24"/>
      <c r="N20304" s="24"/>
      <c r="O20304" s="24"/>
      <c r="P20304" s="24"/>
      <c r="Q20304" s="24"/>
      <c r="R20304" s="24"/>
      <c r="S20304" s="24"/>
      <c r="T20304" s="24"/>
      <c r="U20304" s="24"/>
      <c r="V20304" s="24"/>
      <c r="W20304" s="24"/>
      <c r="X20304" s="24"/>
      <c r="Y20304" s="24"/>
      <c r="Z20304" s="24"/>
      <c r="AA20304" s="24"/>
    </row>
    <row r="20305">
      <c r="A20305" s="24"/>
      <c r="B20305" s="25"/>
      <c r="C20305" s="24"/>
      <c r="D20305" s="26"/>
      <c r="E20305" s="24"/>
      <c r="F20305" s="24"/>
      <c r="G20305" s="24"/>
      <c r="H20305" s="24"/>
      <c r="I20305" s="24"/>
      <c r="J20305" s="24"/>
      <c r="K20305" s="24"/>
      <c r="L20305" s="24"/>
      <c r="M20305" s="24"/>
      <c r="N20305" s="24"/>
      <c r="O20305" s="24"/>
      <c r="P20305" s="24"/>
      <c r="Q20305" s="24"/>
      <c r="R20305" s="24"/>
      <c r="S20305" s="24"/>
      <c r="T20305" s="24"/>
      <c r="U20305" s="24"/>
      <c r="V20305" s="24"/>
      <c r="W20305" s="24"/>
      <c r="X20305" s="24"/>
      <c r="Y20305" s="24"/>
      <c r="Z20305" s="24"/>
      <c r="AA20305" s="24"/>
    </row>
    <row r="20306">
      <c r="A20306" s="24"/>
      <c r="B20306" s="25"/>
      <c r="C20306" s="24"/>
      <c r="D20306" s="26"/>
      <c r="E20306" s="24"/>
      <c r="F20306" s="24"/>
      <c r="G20306" s="24"/>
      <c r="H20306" s="24"/>
      <c r="I20306" s="24"/>
      <c r="J20306" s="24"/>
      <c r="K20306" s="24"/>
      <c r="L20306" s="24"/>
      <c r="M20306" s="24"/>
      <c r="N20306" s="24"/>
      <c r="O20306" s="24"/>
      <c r="P20306" s="24"/>
      <c r="Q20306" s="24"/>
      <c r="R20306" s="24"/>
      <c r="S20306" s="24"/>
      <c r="T20306" s="24"/>
      <c r="U20306" s="24"/>
      <c r="V20306" s="24"/>
      <c r="W20306" s="24"/>
      <c r="X20306" s="24"/>
      <c r="Y20306" s="24"/>
      <c r="Z20306" s="24"/>
      <c r="AA20306" s="24"/>
    </row>
    <row r="20307">
      <c r="A20307" s="24"/>
      <c r="B20307" s="25"/>
      <c r="C20307" s="24"/>
      <c r="D20307" s="26"/>
      <c r="E20307" s="24"/>
      <c r="F20307" s="24"/>
      <c r="G20307" s="24"/>
      <c r="H20307" s="24"/>
      <c r="I20307" s="24"/>
      <c r="J20307" s="24"/>
      <c r="K20307" s="24"/>
      <c r="L20307" s="24"/>
      <c r="M20307" s="24"/>
      <c r="N20307" s="24"/>
      <c r="O20307" s="24"/>
      <c r="P20307" s="24"/>
      <c r="Q20307" s="24"/>
      <c r="R20307" s="24"/>
      <c r="S20307" s="24"/>
      <c r="T20307" s="24"/>
      <c r="U20307" s="24"/>
      <c r="V20307" s="24"/>
      <c r="W20307" s="24"/>
      <c r="X20307" s="24"/>
      <c r="Y20307" s="24"/>
      <c r="Z20307" s="24"/>
      <c r="AA20307" s="24"/>
    </row>
    <row r="20308">
      <c r="A20308" s="24"/>
      <c r="B20308" s="25"/>
      <c r="C20308" s="24"/>
      <c r="D20308" s="26"/>
      <c r="E20308" s="24"/>
      <c r="F20308" s="24"/>
      <c r="G20308" s="24"/>
      <c r="H20308" s="24"/>
      <c r="I20308" s="24"/>
      <c r="J20308" s="24"/>
      <c r="K20308" s="24"/>
      <c r="L20308" s="24"/>
      <c r="M20308" s="24"/>
      <c r="N20308" s="24"/>
      <c r="O20308" s="24"/>
      <c r="P20308" s="24"/>
      <c r="Q20308" s="24"/>
      <c r="R20308" s="24"/>
      <c r="S20308" s="24"/>
      <c r="T20308" s="24"/>
      <c r="U20308" s="24"/>
      <c r="V20308" s="24"/>
      <c r="W20308" s="24"/>
      <c r="X20308" s="24"/>
      <c r="Y20308" s="24"/>
      <c r="Z20308" s="24"/>
      <c r="AA20308" s="24"/>
    </row>
    <row r="20309">
      <c r="A20309" s="24"/>
      <c r="B20309" s="25"/>
      <c r="C20309" s="24"/>
      <c r="D20309" s="26"/>
      <c r="E20309" s="24"/>
      <c r="F20309" s="24"/>
      <c r="G20309" s="24"/>
      <c r="H20309" s="24"/>
      <c r="I20309" s="24"/>
      <c r="J20309" s="24"/>
      <c r="K20309" s="24"/>
      <c r="L20309" s="24"/>
      <c r="M20309" s="24"/>
      <c r="N20309" s="24"/>
      <c r="O20309" s="24"/>
      <c r="P20309" s="24"/>
      <c r="Q20309" s="24"/>
      <c r="R20309" s="24"/>
      <c r="S20309" s="24"/>
      <c r="T20309" s="24"/>
      <c r="U20309" s="24"/>
      <c r="V20309" s="24"/>
      <c r="W20309" s="24"/>
      <c r="X20309" s="24"/>
      <c r="Y20309" s="24"/>
      <c r="Z20309" s="24"/>
      <c r="AA20309" s="24"/>
    </row>
    <row r="20310">
      <c r="A20310" s="24"/>
      <c r="B20310" s="25"/>
      <c r="C20310" s="24"/>
      <c r="D20310" s="26"/>
      <c r="E20310" s="24"/>
      <c r="F20310" s="24"/>
      <c r="G20310" s="24"/>
      <c r="H20310" s="24"/>
      <c r="I20310" s="24"/>
      <c r="J20310" s="24"/>
      <c r="K20310" s="24"/>
      <c r="L20310" s="24"/>
      <c r="M20310" s="24"/>
      <c r="N20310" s="24"/>
      <c r="O20310" s="24"/>
      <c r="P20310" s="24"/>
      <c r="Q20310" s="24"/>
      <c r="R20310" s="24"/>
      <c r="S20310" s="24"/>
      <c r="T20310" s="24"/>
      <c r="U20310" s="24"/>
      <c r="V20310" s="24"/>
      <c r="W20310" s="24"/>
      <c r="X20310" s="24"/>
      <c r="Y20310" s="24"/>
      <c r="Z20310" s="24"/>
      <c r="AA20310" s="24"/>
    </row>
    <row r="20311">
      <c r="A20311" s="24"/>
      <c r="B20311" s="25"/>
      <c r="C20311" s="24"/>
      <c r="D20311" s="26"/>
      <c r="E20311" s="24"/>
      <c r="F20311" s="24"/>
      <c r="G20311" s="24"/>
      <c r="H20311" s="24"/>
      <c r="I20311" s="24"/>
      <c r="J20311" s="24"/>
      <c r="K20311" s="24"/>
      <c r="L20311" s="24"/>
      <c r="M20311" s="24"/>
      <c r="N20311" s="24"/>
      <c r="O20311" s="24"/>
      <c r="P20311" s="24"/>
      <c r="Q20311" s="24"/>
      <c r="R20311" s="24"/>
      <c r="S20311" s="24"/>
      <c r="T20311" s="24"/>
      <c r="U20311" s="24"/>
      <c r="V20311" s="24"/>
      <c r="W20311" s="24"/>
      <c r="X20311" s="24"/>
      <c r="Y20311" s="24"/>
      <c r="Z20311" s="24"/>
      <c r="AA20311" s="24"/>
    </row>
    <row r="20312">
      <c r="A20312" s="24"/>
      <c r="B20312" s="25"/>
      <c r="C20312" s="24"/>
      <c r="D20312" s="26"/>
      <c r="E20312" s="24"/>
      <c r="F20312" s="24"/>
      <c r="G20312" s="24"/>
      <c r="H20312" s="24"/>
      <c r="I20312" s="24"/>
      <c r="J20312" s="24"/>
      <c r="K20312" s="24"/>
      <c r="L20312" s="24"/>
      <c r="M20312" s="24"/>
      <c r="N20312" s="24"/>
      <c r="O20312" s="24"/>
      <c r="P20312" s="24"/>
      <c r="Q20312" s="24"/>
      <c r="R20312" s="24"/>
      <c r="S20312" s="24"/>
      <c r="T20312" s="24"/>
      <c r="U20312" s="24"/>
      <c r="V20312" s="24"/>
      <c r="W20312" s="24"/>
      <c r="X20312" s="24"/>
      <c r="Y20312" s="24"/>
      <c r="Z20312" s="24"/>
      <c r="AA20312" s="24"/>
    </row>
    <row r="20313">
      <c r="A20313" s="24"/>
      <c r="B20313" s="25"/>
      <c r="C20313" s="24"/>
      <c r="D20313" s="26"/>
      <c r="E20313" s="24"/>
      <c r="F20313" s="24"/>
      <c r="G20313" s="24"/>
      <c r="H20313" s="24"/>
      <c r="I20313" s="24"/>
      <c r="J20313" s="24"/>
      <c r="K20313" s="24"/>
      <c r="L20313" s="24"/>
      <c r="M20313" s="24"/>
      <c r="N20313" s="24"/>
      <c r="O20313" s="24"/>
      <c r="P20313" s="24"/>
      <c r="Q20313" s="24"/>
      <c r="R20313" s="24"/>
      <c r="S20313" s="24"/>
      <c r="T20313" s="24"/>
      <c r="U20313" s="24"/>
      <c r="V20313" s="24"/>
      <c r="W20313" s="24"/>
      <c r="X20313" s="24"/>
      <c r="Y20313" s="24"/>
      <c r="Z20313" s="24"/>
      <c r="AA20313" s="24"/>
    </row>
    <row r="20314">
      <c r="A20314" s="24"/>
      <c r="B20314" s="25"/>
      <c r="C20314" s="24"/>
      <c r="D20314" s="26"/>
      <c r="E20314" s="24"/>
      <c r="F20314" s="24"/>
      <c r="G20314" s="24"/>
      <c r="H20314" s="24"/>
      <c r="I20314" s="24"/>
      <c r="J20314" s="24"/>
      <c r="K20314" s="24"/>
      <c r="L20314" s="24"/>
      <c r="M20314" s="24"/>
      <c r="N20314" s="24"/>
      <c r="O20314" s="24"/>
      <c r="P20314" s="24"/>
      <c r="Q20314" s="24"/>
      <c r="R20314" s="24"/>
      <c r="S20314" s="24"/>
      <c r="T20314" s="24"/>
      <c r="U20314" s="24"/>
      <c r="V20314" s="24"/>
      <c r="W20314" s="24"/>
      <c r="X20314" s="24"/>
      <c r="Y20314" s="24"/>
      <c r="Z20314" s="24"/>
      <c r="AA20314" s="24"/>
    </row>
    <row r="20315">
      <c r="A20315" s="24"/>
      <c r="B20315" s="25"/>
      <c r="C20315" s="24"/>
      <c r="D20315" s="26"/>
      <c r="E20315" s="24"/>
      <c r="F20315" s="24"/>
      <c r="G20315" s="24"/>
      <c r="H20315" s="24"/>
      <c r="I20315" s="24"/>
      <c r="J20315" s="24"/>
      <c r="K20315" s="24"/>
      <c r="L20315" s="24"/>
      <c r="M20315" s="24"/>
      <c r="N20315" s="24"/>
      <c r="O20315" s="24"/>
      <c r="P20315" s="24"/>
      <c r="Q20315" s="24"/>
      <c r="R20315" s="24"/>
      <c r="S20315" s="24"/>
      <c r="T20315" s="24"/>
      <c r="U20315" s="24"/>
      <c r="V20315" s="24"/>
      <c r="W20315" s="24"/>
      <c r="X20315" s="24"/>
      <c r="Y20315" s="24"/>
      <c r="Z20315" s="24"/>
      <c r="AA20315" s="24"/>
    </row>
    <row r="20316">
      <c r="A20316" s="24"/>
      <c r="B20316" s="25"/>
      <c r="C20316" s="24"/>
      <c r="D20316" s="26"/>
      <c r="E20316" s="24"/>
      <c r="F20316" s="24"/>
      <c r="G20316" s="24"/>
      <c r="H20316" s="24"/>
      <c r="I20316" s="24"/>
      <c r="J20316" s="24"/>
      <c r="K20316" s="24"/>
      <c r="L20316" s="24"/>
      <c r="M20316" s="24"/>
      <c r="N20316" s="24"/>
      <c r="O20316" s="24"/>
      <c r="P20316" s="24"/>
      <c r="Q20316" s="24"/>
      <c r="R20316" s="24"/>
      <c r="S20316" s="24"/>
      <c r="T20316" s="24"/>
      <c r="U20316" s="24"/>
      <c r="V20316" s="24"/>
      <c r="W20316" s="24"/>
      <c r="X20316" s="24"/>
      <c r="Y20316" s="24"/>
      <c r="Z20316" s="24"/>
      <c r="AA20316" s="24"/>
    </row>
    <row r="20317">
      <c r="A20317" s="24"/>
      <c r="B20317" s="25"/>
      <c r="C20317" s="24"/>
      <c r="D20317" s="26"/>
      <c r="E20317" s="24"/>
      <c r="F20317" s="24"/>
      <c r="G20317" s="24"/>
      <c r="H20317" s="24"/>
      <c r="I20317" s="24"/>
      <c r="J20317" s="24"/>
      <c r="K20317" s="24"/>
      <c r="L20317" s="24"/>
      <c r="M20317" s="24"/>
      <c r="N20317" s="24"/>
      <c r="O20317" s="24"/>
      <c r="P20317" s="24"/>
      <c r="Q20317" s="24"/>
      <c r="R20317" s="24"/>
      <c r="S20317" s="24"/>
      <c r="T20317" s="24"/>
      <c r="U20317" s="24"/>
      <c r="V20317" s="24"/>
      <c r="W20317" s="24"/>
      <c r="X20317" s="24"/>
      <c r="Y20317" s="24"/>
      <c r="Z20317" s="24"/>
      <c r="AA20317" s="24"/>
    </row>
    <row r="20318">
      <c r="A20318" s="24"/>
      <c r="B20318" s="25"/>
      <c r="C20318" s="24"/>
      <c r="D20318" s="26"/>
      <c r="E20318" s="24"/>
      <c r="F20318" s="24"/>
      <c r="G20318" s="24"/>
      <c r="H20318" s="24"/>
      <c r="I20318" s="24"/>
      <c r="J20318" s="24"/>
      <c r="K20318" s="24"/>
      <c r="L20318" s="24"/>
      <c r="M20318" s="24"/>
      <c r="N20318" s="24"/>
      <c r="O20318" s="24"/>
      <c r="P20318" s="24"/>
      <c r="Q20318" s="24"/>
      <c r="R20318" s="24"/>
      <c r="S20318" s="24"/>
      <c r="T20318" s="24"/>
      <c r="U20318" s="24"/>
      <c r="V20318" s="24"/>
      <c r="W20318" s="24"/>
      <c r="X20318" s="24"/>
      <c r="Y20318" s="24"/>
      <c r="Z20318" s="24"/>
      <c r="AA20318" s="24"/>
    </row>
    <row r="20319">
      <c r="A20319" s="24"/>
      <c r="B20319" s="25"/>
      <c r="C20319" s="24"/>
      <c r="D20319" s="26"/>
      <c r="E20319" s="24"/>
      <c r="F20319" s="24"/>
      <c r="G20319" s="24"/>
      <c r="H20319" s="24"/>
      <c r="I20319" s="24"/>
      <c r="J20319" s="24"/>
      <c r="K20319" s="24"/>
      <c r="L20319" s="24"/>
      <c r="M20319" s="24"/>
      <c r="N20319" s="24"/>
      <c r="O20319" s="24"/>
      <c r="P20319" s="24"/>
      <c r="Q20319" s="24"/>
      <c r="R20319" s="24"/>
      <c r="S20319" s="24"/>
      <c r="T20319" s="24"/>
      <c r="U20319" s="24"/>
      <c r="V20319" s="24"/>
      <c r="W20319" s="24"/>
      <c r="X20319" s="24"/>
      <c r="Y20319" s="24"/>
      <c r="Z20319" s="24"/>
      <c r="AA20319" s="24"/>
    </row>
    <row r="20320">
      <c r="A20320" s="24"/>
      <c r="B20320" s="25"/>
      <c r="C20320" s="24"/>
      <c r="D20320" s="26"/>
      <c r="E20320" s="24"/>
      <c r="F20320" s="24"/>
      <c r="G20320" s="24"/>
      <c r="H20320" s="24"/>
      <c r="I20320" s="24"/>
      <c r="J20320" s="24"/>
      <c r="K20320" s="24"/>
      <c r="L20320" s="24"/>
      <c r="M20320" s="24"/>
      <c r="N20320" s="24"/>
      <c r="O20320" s="24"/>
      <c r="P20320" s="24"/>
      <c r="Q20320" s="24"/>
      <c r="R20320" s="24"/>
      <c r="S20320" s="24"/>
      <c r="T20320" s="24"/>
      <c r="U20320" s="24"/>
      <c r="V20320" s="24"/>
      <c r="W20320" s="24"/>
      <c r="X20320" s="24"/>
      <c r="Y20320" s="24"/>
      <c r="Z20320" s="24"/>
      <c r="AA20320" s="24"/>
    </row>
    <row r="20321">
      <c r="A20321" s="24"/>
      <c r="B20321" s="25"/>
      <c r="C20321" s="24"/>
      <c r="D20321" s="26"/>
      <c r="E20321" s="24"/>
      <c r="F20321" s="24"/>
      <c r="G20321" s="24"/>
      <c r="H20321" s="24"/>
      <c r="I20321" s="24"/>
      <c r="J20321" s="24"/>
      <c r="K20321" s="24"/>
      <c r="L20321" s="24"/>
      <c r="M20321" s="24"/>
      <c r="N20321" s="24"/>
      <c r="O20321" s="24"/>
      <c r="P20321" s="24"/>
      <c r="Q20321" s="24"/>
      <c r="R20321" s="24"/>
      <c r="S20321" s="24"/>
      <c r="T20321" s="24"/>
      <c r="U20321" s="24"/>
      <c r="V20321" s="24"/>
      <c r="W20321" s="24"/>
      <c r="X20321" s="24"/>
      <c r="Y20321" s="24"/>
      <c r="Z20321" s="24"/>
      <c r="AA20321" s="24"/>
    </row>
    <row r="20322">
      <c r="A20322" s="24"/>
      <c r="B20322" s="25"/>
      <c r="C20322" s="24"/>
      <c r="D20322" s="26"/>
      <c r="E20322" s="24"/>
      <c r="F20322" s="24"/>
      <c r="G20322" s="24"/>
      <c r="H20322" s="24"/>
      <c r="I20322" s="24"/>
      <c r="J20322" s="24"/>
      <c r="K20322" s="24"/>
      <c r="L20322" s="24"/>
      <c r="M20322" s="24"/>
      <c r="N20322" s="24"/>
      <c r="O20322" s="24"/>
      <c r="P20322" s="24"/>
      <c r="Q20322" s="24"/>
      <c r="R20322" s="24"/>
      <c r="S20322" s="24"/>
      <c r="T20322" s="24"/>
      <c r="U20322" s="24"/>
      <c r="V20322" s="24"/>
      <c r="W20322" s="24"/>
      <c r="X20322" s="24"/>
      <c r="Y20322" s="24"/>
      <c r="Z20322" s="24"/>
      <c r="AA20322" s="24"/>
    </row>
    <row r="20323">
      <c r="A20323" s="24"/>
      <c r="B20323" s="25"/>
      <c r="C20323" s="24"/>
      <c r="D20323" s="26"/>
      <c r="E20323" s="24"/>
      <c r="F20323" s="24"/>
      <c r="G20323" s="24"/>
      <c r="H20323" s="24"/>
      <c r="I20323" s="24"/>
      <c r="J20323" s="24"/>
      <c r="K20323" s="24"/>
      <c r="L20323" s="24"/>
      <c r="M20323" s="24"/>
      <c r="N20323" s="24"/>
      <c r="O20323" s="24"/>
      <c r="P20323" s="24"/>
      <c r="Q20323" s="24"/>
      <c r="R20323" s="24"/>
      <c r="S20323" s="24"/>
      <c r="T20323" s="24"/>
      <c r="U20323" s="24"/>
      <c r="V20323" s="24"/>
      <c r="W20323" s="24"/>
      <c r="X20323" s="24"/>
      <c r="Y20323" s="24"/>
      <c r="Z20323" s="24"/>
      <c r="AA20323" s="24"/>
    </row>
    <row r="20324">
      <c r="A20324" s="24"/>
      <c r="B20324" s="25"/>
      <c r="C20324" s="24"/>
      <c r="D20324" s="26"/>
      <c r="E20324" s="24"/>
      <c r="F20324" s="24"/>
      <c r="G20324" s="24"/>
      <c r="H20324" s="24"/>
      <c r="I20324" s="24"/>
      <c r="J20324" s="24"/>
      <c r="K20324" s="24"/>
      <c r="L20324" s="24"/>
      <c r="M20324" s="24"/>
      <c r="N20324" s="24"/>
      <c r="O20324" s="24"/>
      <c r="P20324" s="24"/>
      <c r="Q20324" s="24"/>
      <c r="R20324" s="24"/>
      <c r="S20324" s="24"/>
      <c r="T20324" s="24"/>
      <c r="U20324" s="24"/>
      <c r="V20324" s="24"/>
      <c r="W20324" s="24"/>
      <c r="X20324" s="24"/>
      <c r="Y20324" s="24"/>
      <c r="Z20324" s="24"/>
      <c r="AA20324" s="24"/>
    </row>
    <row r="20325">
      <c r="A20325" s="24"/>
      <c r="B20325" s="25"/>
      <c r="C20325" s="24"/>
      <c r="D20325" s="26"/>
      <c r="E20325" s="24"/>
      <c r="F20325" s="24"/>
      <c r="G20325" s="24"/>
      <c r="H20325" s="24"/>
      <c r="I20325" s="24"/>
      <c r="J20325" s="24"/>
      <c r="K20325" s="24"/>
      <c r="L20325" s="24"/>
      <c r="M20325" s="24"/>
      <c r="N20325" s="24"/>
      <c r="O20325" s="24"/>
      <c r="P20325" s="24"/>
      <c r="Q20325" s="24"/>
      <c r="R20325" s="24"/>
      <c r="S20325" s="24"/>
      <c r="T20325" s="24"/>
      <c r="U20325" s="24"/>
      <c r="V20325" s="24"/>
      <c r="W20325" s="24"/>
      <c r="X20325" s="24"/>
      <c r="Y20325" s="24"/>
      <c r="Z20325" s="24"/>
      <c r="AA20325" s="24"/>
    </row>
    <row r="20326">
      <c r="A20326" s="24"/>
      <c r="B20326" s="25"/>
      <c r="C20326" s="24"/>
      <c r="D20326" s="26"/>
      <c r="E20326" s="24"/>
      <c r="F20326" s="24"/>
      <c r="G20326" s="24"/>
      <c r="H20326" s="24"/>
      <c r="I20326" s="24"/>
      <c r="J20326" s="24"/>
      <c r="K20326" s="24"/>
      <c r="L20326" s="24"/>
      <c r="M20326" s="24"/>
      <c r="N20326" s="24"/>
      <c r="O20326" s="24"/>
      <c r="P20326" s="24"/>
      <c r="Q20326" s="24"/>
      <c r="R20326" s="24"/>
      <c r="S20326" s="24"/>
      <c r="T20326" s="24"/>
      <c r="U20326" s="24"/>
      <c r="V20326" s="24"/>
      <c r="W20326" s="24"/>
      <c r="X20326" s="24"/>
      <c r="Y20326" s="24"/>
      <c r="Z20326" s="24"/>
      <c r="AA20326" s="24"/>
    </row>
    <row r="20327">
      <c r="A20327" s="24"/>
      <c r="B20327" s="25"/>
      <c r="C20327" s="24"/>
      <c r="D20327" s="26"/>
      <c r="E20327" s="24"/>
      <c r="F20327" s="24"/>
      <c r="G20327" s="24"/>
      <c r="H20327" s="24"/>
      <c r="I20327" s="24"/>
      <c r="J20327" s="24"/>
      <c r="K20327" s="24"/>
      <c r="L20327" s="24"/>
      <c r="M20327" s="24"/>
      <c r="N20327" s="24"/>
      <c r="O20327" s="24"/>
      <c r="P20327" s="24"/>
      <c r="Q20327" s="24"/>
      <c r="R20327" s="24"/>
      <c r="S20327" s="24"/>
      <c r="T20327" s="24"/>
      <c r="U20327" s="24"/>
      <c r="V20327" s="24"/>
      <c r="W20327" s="24"/>
      <c r="X20327" s="24"/>
      <c r="Y20327" s="24"/>
      <c r="Z20327" s="24"/>
      <c r="AA20327" s="24"/>
    </row>
    <row r="20328">
      <c r="A20328" s="24"/>
      <c r="B20328" s="25"/>
      <c r="C20328" s="24"/>
      <c r="D20328" s="26"/>
      <c r="E20328" s="24"/>
      <c r="F20328" s="24"/>
      <c r="G20328" s="24"/>
      <c r="H20328" s="24"/>
      <c r="I20328" s="24"/>
      <c r="J20328" s="24"/>
      <c r="K20328" s="24"/>
      <c r="L20328" s="24"/>
      <c r="M20328" s="24"/>
      <c r="N20328" s="24"/>
      <c r="O20328" s="24"/>
      <c r="P20328" s="24"/>
      <c r="Q20328" s="24"/>
      <c r="R20328" s="24"/>
      <c r="S20328" s="24"/>
      <c r="T20328" s="24"/>
      <c r="U20328" s="24"/>
      <c r="V20328" s="24"/>
      <c r="W20328" s="24"/>
      <c r="X20328" s="24"/>
      <c r="Y20328" s="24"/>
      <c r="Z20328" s="24"/>
      <c r="AA20328" s="24"/>
    </row>
    <row r="20329">
      <c r="A20329" s="24"/>
      <c r="B20329" s="25"/>
      <c r="C20329" s="24"/>
      <c r="D20329" s="26"/>
      <c r="E20329" s="24"/>
      <c r="F20329" s="24"/>
      <c r="G20329" s="24"/>
      <c r="H20329" s="24"/>
      <c r="I20329" s="24"/>
      <c r="J20329" s="24"/>
      <c r="K20329" s="24"/>
      <c r="L20329" s="24"/>
      <c r="M20329" s="24"/>
      <c r="N20329" s="24"/>
      <c r="O20329" s="24"/>
      <c r="P20329" s="24"/>
      <c r="Q20329" s="24"/>
      <c r="R20329" s="24"/>
      <c r="S20329" s="24"/>
      <c r="T20329" s="24"/>
      <c r="U20329" s="24"/>
      <c r="V20329" s="24"/>
      <c r="W20329" s="24"/>
      <c r="X20329" s="24"/>
      <c r="Y20329" s="24"/>
      <c r="Z20329" s="24"/>
      <c r="AA20329" s="24"/>
    </row>
    <row r="20330">
      <c r="A20330" s="24"/>
      <c r="B20330" s="25"/>
      <c r="C20330" s="24"/>
      <c r="D20330" s="26"/>
      <c r="E20330" s="24"/>
      <c r="F20330" s="24"/>
      <c r="G20330" s="24"/>
      <c r="H20330" s="24"/>
      <c r="I20330" s="24"/>
      <c r="J20330" s="24"/>
      <c r="K20330" s="24"/>
      <c r="L20330" s="24"/>
      <c r="M20330" s="24"/>
      <c r="N20330" s="24"/>
      <c r="O20330" s="24"/>
      <c r="P20330" s="24"/>
      <c r="Q20330" s="24"/>
      <c r="R20330" s="24"/>
      <c r="S20330" s="24"/>
      <c r="T20330" s="24"/>
      <c r="U20330" s="24"/>
      <c r="V20330" s="24"/>
      <c r="W20330" s="24"/>
      <c r="X20330" s="24"/>
      <c r="Y20330" s="24"/>
      <c r="Z20330" s="24"/>
      <c r="AA20330" s="24"/>
    </row>
    <row r="20331">
      <c r="A20331" s="24"/>
      <c r="B20331" s="25"/>
      <c r="C20331" s="24"/>
      <c r="D20331" s="26"/>
      <c r="E20331" s="24"/>
      <c r="F20331" s="24"/>
      <c r="G20331" s="24"/>
      <c r="H20331" s="24"/>
      <c r="I20331" s="24"/>
      <c r="J20331" s="24"/>
      <c r="K20331" s="24"/>
      <c r="L20331" s="24"/>
      <c r="M20331" s="24"/>
      <c r="N20331" s="24"/>
      <c r="O20331" s="24"/>
      <c r="P20331" s="24"/>
      <c r="Q20331" s="24"/>
      <c r="R20331" s="24"/>
      <c r="S20331" s="24"/>
      <c r="T20331" s="24"/>
      <c r="U20331" s="24"/>
      <c r="V20331" s="24"/>
      <c r="W20331" s="24"/>
      <c r="X20331" s="24"/>
      <c r="Y20331" s="24"/>
      <c r="Z20331" s="24"/>
      <c r="AA20331" s="24"/>
    </row>
    <row r="20332">
      <c r="A20332" s="24"/>
      <c r="B20332" s="25"/>
      <c r="C20332" s="24"/>
      <c r="D20332" s="26"/>
      <c r="E20332" s="24"/>
      <c r="F20332" s="24"/>
      <c r="G20332" s="24"/>
      <c r="H20332" s="24"/>
      <c r="I20332" s="24"/>
      <c r="J20332" s="24"/>
      <c r="K20332" s="24"/>
      <c r="L20332" s="24"/>
      <c r="M20332" s="24"/>
      <c r="N20332" s="24"/>
      <c r="O20332" s="24"/>
      <c r="P20332" s="24"/>
      <c r="Q20332" s="24"/>
      <c r="R20332" s="24"/>
      <c r="S20332" s="24"/>
      <c r="T20332" s="24"/>
      <c r="U20332" s="24"/>
      <c r="V20332" s="24"/>
      <c r="W20332" s="24"/>
      <c r="X20332" s="24"/>
      <c r="Y20332" s="24"/>
      <c r="Z20332" s="24"/>
      <c r="AA20332" s="24"/>
    </row>
    <row r="20333">
      <c r="A20333" s="24"/>
      <c r="B20333" s="25"/>
      <c r="C20333" s="24"/>
      <c r="D20333" s="26"/>
      <c r="E20333" s="24"/>
      <c r="F20333" s="24"/>
      <c r="G20333" s="24"/>
      <c r="H20333" s="24"/>
      <c r="I20333" s="24"/>
      <c r="J20333" s="24"/>
      <c r="K20333" s="24"/>
      <c r="L20333" s="24"/>
      <c r="M20333" s="24"/>
      <c r="N20333" s="24"/>
      <c r="O20333" s="24"/>
      <c r="P20333" s="24"/>
      <c r="Q20333" s="24"/>
      <c r="R20333" s="24"/>
      <c r="S20333" s="24"/>
      <c r="T20333" s="24"/>
      <c r="U20333" s="24"/>
      <c r="V20333" s="24"/>
      <c r="W20333" s="24"/>
      <c r="X20333" s="24"/>
      <c r="Y20333" s="24"/>
      <c r="Z20333" s="24"/>
      <c r="AA20333" s="24"/>
    </row>
    <row r="20334">
      <c r="A20334" s="24"/>
      <c r="B20334" s="25"/>
      <c r="C20334" s="24"/>
      <c r="D20334" s="26"/>
      <c r="E20334" s="24"/>
      <c r="F20334" s="24"/>
      <c r="G20334" s="24"/>
      <c r="H20334" s="24"/>
      <c r="I20334" s="24"/>
      <c r="J20334" s="24"/>
      <c r="K20334" s="24"/>
      <c r="L20334" s="24"/>
      <c r="M20334" s="24"/>
      <c r="N20334" s="24"/>
      <c r="O20334" s="24"/>
      <c r="P20334" s="24"/>
      <c r="Q20334" s="24"/>
      <c r="R20334" s="24"/>
      <c r="S20334" s="24"/>
      <c r="T20334" s="24"/>
      <c r="U20334" s="24"/>
      <c r="V20334" s="24"/>
      <c r="W20334" s="24"/>
      <c r="X20334" s="24"/>
      <c r="Y20334" s="24"/>
      <c r="Z20334" s="24"/>
      <c r="AA20334" s="24"/>
    </row>
    <row r="20335">
      <c r="A20335" s="24"/>
      <c r="B20335" s="25"/>
      <c r="C20335" s="24"/>
      <c r="D20335" s="26"/>
      <c r="E20335" s="24"/>
      <c r="F20335" s="24"/>
      <c r="G20335" s="24"/>
      <c r="H20335" s="24"/>
      <c r="I20335" s="24"/>
      <c r="J20335" s="24"/>
      <c r="K20335" s="24"/>
      <c r="L20335" s="24"/>
      <c r="M20335" s="24"/>
      <c r="N20335" s="24"/>
      <c r="O20335" s="24"/>
      <c r="P20335" s="24"/>
      <c r="Q20335" s="24"/>
      <c r="R20335" s="24"/>
      <c r="S20335" s="24"/>
      <c r="T20335" s="24"/>
      <c r="U20335" s="24"/>
      <c r="V20335" s="24"/>
      <c r="W20335" s="24"/>
      <c r="X20335" s="24"/>
      <c r="Y20335" s="24"/>
      <c r="Z20335" s="24"/>
      <c r="AA20335" s="24"/>
    </row>
    <row r="20336">
      <c r="A20336" s="24"/>
      <c r="B20336" s="25"/>
      <c r="C20336" s="24"/>
      <c r="D20336" s="26"/>
      <c r="E20336" s="24"/>
      <c r="F20336" s="24"/>
      <c r="G20336" s="24"/>
      <c r="H20336" s="24"/>
      <c r="I20336" s="24"/>
      <c r="J20336" s="24"/>
      <c r="K20336" s="24"/>
      <c r="L20336" s="24"/>
      <c r="M20336" s="24"/>
      <c r="N20336" s="24"/>
      <c r="O20336" s="24"/>
      <c r="P20336" s="24"/>
      <c r="Q20336" s="24"/>
      <c r="R20336" s="24"/>
      <c r="S20336" s="24"/>
      <c r="T20336" s="24"/>
      <c r="U20336" s="24"/>
      <c r="V20336" s="24"/>
      <c r="W20336" s="24"/>
      <c r="X20336" s="24"/>
      <c r="Y20336" s="24"/>
      <c r="Z20336" s="24"/>
      <c r="AA20336" s="24"/>
    </row>
    <row r="20337">
      <c r="A20337" s="24"/>
      <c r="B20337" s="25"/>
      <c r="C20337" s="24"/>
      <c r="D20337" s="26"/>
      <c r="E20337" s="24"/>
      <c r="F20337" s="24"/>
      <c r="G20337" s="24"/>
      <c r="H20337" s="24"/>
      <c r="I20337" s="24"/>
      <c r="J20337" s="24"/>
      <c r="K20337" s="24"/>
      <c r="L20337" s="24"/>
      <c r="M20337" s="24"/>
      <c r="N20337" s="24"/>
      <c r="O20337" s="24"/>
      <c r="P20337" s="24"/>
      <c r="Q20337" s="24"/>
      <c r="R20337" s="24"/>
      <c r="S20337" s="24"/>
      <c r="T20337" s="24"/>
      <c r="U20337" s="24"/>
      <c r="V20337" s="24"/>
      <c r="W20337" s="24"/>
      <c r="X20337" s="24"/>
      <c r="Y20337" s="24"/>
      <c r="Z20337" s="24"/>
      <c r="AA20337" s="24"/>
    </row>
    <row r="20338">
      <c r="A20338" s="24"/>
      <c r="B20338" s="25"/>
      <c r="C20338" s="24"/>
      <c r="D20338" s="26"/>
      <c r="E20338" s="24"/>
      <c r="F20338" s="24"/>
      <c r="G20338" s="24"/>
      <c r="H20338" s="24"/>
      <c r="I20338" s="24"/>
      <c r="J20338" s="24"/>
      <c r="K20338" s="24"/>
      <c r="L20338" s="24"/>
      <c r="M20338" s="24"/>
      <c r="N20338" s="24"/>
      <c r="O20338" s="24"/>
      <c r="P20338" s="24"/>
      <c r="Q20338" s="24"/>
      <c r="R20338" s="24"/>
      <c r="S20338" s="24"/>
      <c r="T20338" s="24"/>
      <c r="U20338" s="24"/>
      <c r="V20338" s="24"/>
      <c r="W20338" s="24"/>
      <c r="X20338" s="24"/>
      <c r="Y20338" s="24"/>
      <c r="Z20338" s="24"/>
      <c r="AA20338" s="24"/>
    </row>
    <row r="20339">
      <c r="A20339" s="24"/>
      <c r="B20339" s="25"/>
      <c r="C20339" s="24"/>
      <c r="D20339" s="26"/>
      <c r="E20339" s="24"/>
      <c r="F20339" s="24"/>
      <c r="G20339" s="24"/>
      <c r="H20339" s="24"/>
      <c r="I20339" s="24"/>
      <c r="J20339" s="24"/>
      <c r="K20339" s="24"/>
      <c r="L20339" s="24"/>
      <c r="M20339" s="24"/>
      <c r="N20339" s="24"/>
      <c r="O20339" s="24"/>
      <c r="P20339" s="24"/>
      <c r="Q20339" s="24"/>
      <c r="R20339" s="24"/>
      <c r="S20339" s="24"/>
      <c r="T20339" s="24"/>
      <c r="U20339" s="24"/>
      <c r="V20339" s="24"/>
      <c r="W20339" s="24"/>
      <c r="X20339" s="24"/>
      <c r="Y20339" s="24"/>
      <c r="Z20339" s="24"/>
      <c r="AA20339" s="24"/>
    </row>
    <row r="20340">
      <c r="A20340" s="24"/>
      <c r="B20340" s="25"/>
      <c r="C20340" s="24"/>
      <c r="D20340" s="26"/>
      <c r="E20340" s="24"/>
      <c r="F20340" s="24"/>
      <c r="G20340" s="24"/>
      <c r="H20340" s="24"/>
      <c r="I20340" s="24"/>
      <c r="J20340" s="24"/>
      <c r="K20340" s="24"/>
      <c r="L20340" s="24"/>
      <c r="M20340" s="24"/>
      <c r="N20340" s="24"/>
      <c r="O20340" s="24"/>
      <c r="P20340" s="24"/>
      <c r="Q20340" s="24"/>
      <c r="R20340" s="24"/>
      <c r="S20340" s="24"/>
      <c r="T20340" s="24"/>
      <c r="U20340" s="24"/>
      <c r="V20340" s="24"/>
      <c r="W20340" s="24"/>
      <c r="X20340" s="24"/>
      <c r="Y20340" s="24"/>
      <c r="Z20340" s="24"/>
      <c r="AA20340" s="24"/>
    </row>
    <row r="20341">
      <c r="A20341" s="24"/>
      <c r="B20341" s="25"/>
      <c r="C20341" s="24"/>
      <c r="D20341" s="26"/>
      <c r="E20341" s="24"/>
      <c r="F20341" s="24"/>
      <c r="G20341" s="24"/>
      <c r="H20341" s="24"/>
      <c r="I20341" s="24"/>
      <c r="J20341" s="24"/>
      <c r="K20341" s="24"/>
      <c r="L20341" s="24"/>
      <c r="M20341" s="24"/>
      <c r="N20341" s="24"/>
      <c r="O20341" s="24"/>
      <c r="P20341" s="24"/>
      <c r="Q20341" s="24"/>
      <c r="R20341" s="24"/>
      <c r="S20341" s="24"/>
      <c r="T20341" s="24"/>
      <c r="U20341" s="24"/>
      <c r="V20341" s="24"/>
      <c r="W20341" s="24"/>
      <c r="X20341" s="24"/>
      <c r="Y20341" s="24"/>
      <c r="Z20341" s="24"/>
      <c r="AA20341" s="24"/>
    </row>
    <row r="20342">
      <c r="A20342" s="24"/>
      <c r="B20342" s="25"/>
      <c r="C20342" s="24"/>
      <c r="D20342" s="26"/>
      <c r="E20342" s="24"/>
      <c r="F20342" s="24"/>
      <c r="G20342" s="24"/>
      <c r="H20342" s="24"/>
      <c r="I20342" s="24"/>
      <c r="J20342" s="24"/>
      <c r="K20342" s="24"/>
      <c r="L20342" s="24"/>
      <c r="M20342" s="24"/>
      <c r="N20342" s="24"/>
      <c r="O20342" s="24"/>
      <c r="P20342" s="24"/>
      <c r="Q20342" s="24"/>
      <c r="R20342" s="24"/>
      <c r="S20342" s="24"/>
      <c r="T20342" s="24"/>
      <c r="U20342" s="24"/>
      <c r="V20342" s="24"/>
      <c r="W20342" s="24"/>
      <c r="X20342" s="24"/>
      <c r="Y20342" s="24"/>
      <c r="Z20342" s="24"/>
      <c r="AA20342" s="24"/>
    </row>
    <row r="20343">
      <c r="A20343" s="24"/>
      <c r="B20343" s="25"/>
      <c r="C20343" s="24"/>
      <c r="D20343" s="26"/>
      <c r="E20343" s="24"/>
      <c r="F20343" s="24"/>
      <c r="G20343" s="24"/>
      <c r="H20343" s="24"/>
      <c r="I20343" s="24"/>
      <c r="J20343" s="24"/>
      <c r="K20343" s="24"/>
      <c r="L20343" s="24"/>
      <c r="M20343" s="24"/>
      <c r="N20343" s="24"/>
      <c r="O20343" s="24"/>
      <c r="P20343" s="24"/>
      <c r="Q20343" s="24"/>
      <c r="R20343" s="24"/>
      <c r="S20343" s="24"/>
      <c r="T20343" s="24"/>
      <c r="U20343" s="24"/>
      <c r="V20343" s="24"/>
      <c r="W20343" s="24"/>
      <c r="X20343" s="24"/>
      <c r="Y20343" s="24"/>
      <c r="Z20343" s="24"/>
      <c r="AA20343" s="24"/>
    </row>
    <row r="20344">
      <c r="A20344" s="24"/>
      <c r="B20344" s="25"/>
      <c r="C20344" s="24"/>
      <c r="D20344" s="26"/>
      <c r="E20344" s="24"/>
      <c r="F20344" s="24"/>
      <c r="G20344" s="24"/>
      <c r="H20344" s="24"/>
      <c r="I20344" s="24"/>
      <c r="J20344" s="24"/>
      <c r="K20344" s="24"/>
      <c r="L20344" s="24"/>
      <c r="M20344" s="24"/>
      <c r="N20344" s="24"/>
      <c r="O20344" s="24"/>
      <c r="P20344" s="24"/>
      <c r="Q20344" s="24"/>
      <c r="R20344" s="24"/>
      <c r="S20344" s="24"/>
      <c r="T20344" s="24"/>
      <c r="U20344" s="24"/>
      <c r="V20344" s="24"/>
      <c r="W20344" s="24"/>
      <c r="X20344" s="24"/>
      <c r="Y20344" s="24"/>
      <c r="Z20344" s="24"/>
      <c r="AA20344" s="24"/>
    </row>
    <row r="20345">
      <c r="A20345" s="24"/>
      <c r="B20345" s="25"/>
      <c r="C20345" s="24"/>
      <c r="D20345" s="26"/>
      <c r="E20345" s="24"/>
      <c r="F20345" s="24"/>
      <c r="G20345" s="24"/>
      <c r="H20345" s="24"/>
      <c r="I20345" s="24"/>
      <c r="J20345" s="24"/>
      <c r="K20345" s="24"/>
      <c r="L20345" s="24"/>
      <c r="M20345" s="24"/>
      <c r="N20345" s="24"/>
      <c r="O20345" s="24"/>
      <c r="P20345" s="24"/>
      <c r="Q20345" s="24"/>
      <c r="R20345" s="24"/>
      <c r="S20345" s="24"/>
      <c r="T20345" s="24"/>
      <c r="U20345" s="24"/>
      <c r="V20345" s="24"/>
      <c r="W20345" s="24"/>
      <c r="X20345" s="24"/>
      <c r="Y20345" s="24"/>
      <c r="Z20345" s="24"/>
      <c r="AA20345" s="24"/>
    </row>
    <row r="20346">
      <c r="A20346" s="24"/>
      <c r="B20346" s="25"/>
      <c r="C20346" s="24"/>
      <c r="D20346" s="26"/>
      <c r="E20346" s="24"/>
      <c r="F20346" s="24"/>
      <c r="G20346" s="24"/>
      <c r="H20346" s="24"/>
      <c r="I20346" s="24"/>
      <c r="J20346" s="24"/>
      <c r="K20346" s="24"/>
      <c r="L20346" s="24"/>
      <c r="M20346" s="24"/>
      <c r="N20346" s="24"/>
      <c r="O20346" s="24"/>
      <c r="P20346" s="24"/>
      <c r="Q20346" s="24"/>
      <c r="R20346" s="24"/>
      <c r="S20346" s="24"/>
      <c r="T20346" s="24"/>
      <c r="U20346" s="24"/>
      <c r="V20346" s="24"/>
      <c r="W20346" s="24"/>
      <c r="X20346" s="24"/>
      <c r="Y20346" s="24"/>
      <c r="Z20346" s="24"/>
      <c r="AA20346" s="24"/>
    </row>
    <row r="20347">
      <c r="A20347" s="24"/>
      <c r="B20347" s="25"/>
      <c r="C20347" s="24"/>
      <c r="D20347" s="26"/>
      <c r="E20347" s="24"/>
      <c r="F20347" s="24"/>
      <c r="G20347" s="24"/>
      <c r="H20347" s="24"/>
      <c r="I20347" s="24"/>
      <c r="J20347" s="24"/>
      <c r="K20347" s="24"/>
      <c r="L20347" s="24"/>
      <c r="M20347" s="24"/>
      <c r="N20347" s="24"/>
      <c r="O20347" s="24"/>
      <c r="P20347" s="24"/>
      <c r="Q20347" s="24"/>
      <c r="R20347" s="24"/>
      <c r="S20347" s="24"/>
      <c r="T20347" s="24"/>
      <c r="U20347" s="24"/>
      <c r="V20347" s="24"/>
      <c r="W20347" s="24"/>
      <c r="X20347" s="24"/>
      <c r="Y20347" s="24"/>
      <c r="Z20347" s="24"/>
      <c r="AA20347" s="24"/>
    </row>
    <row r="20348">
      <c r="A20348" s="24"/>
      <c r="B20348" s="25"/>
      <c r="C20348" s="24"/>
      <c r="D20348" s="26"/>
      <c r="E20348" s="24"/>
      <c r="F20348" s="24"/>
      <c r="G20348" s="24"/>
      <c r="H20348" s="24"/>
      <c r="I20348" s="24"/>
      <c r="J20348" s="24"/>
      <c r="K20348" s="24"/>
      <c r="L20348" s="24"/>
      <c r="M20348" s="24"/>
      <c r="N20348" s="24"/>
      <c r="O20348" s="24"/>
      <c r="P20348" s="24"/>
      <c r="Q20348" s="24"/>
      <c r="R20348" s="24"/>
      <c r="S20348" s="24"/>
      <c r="T20348" s="24"/>
      <c r="U20348" s="24"/>
      <c r="V20348" s="24"/>
      <c r="W20348" s="24"/>
      <c r="X20348" s="24"/>
      <c r="Y20348" s="24"/>
      <c r="Z20348" s="24"/>
      <c r="AA20348" s="24"/>
    </row>
    <row r="20349">
      <c r="A20349" s="24"/>
      <c r="B20349" s="25"/>
      <c r="C20349" s="24"/>
      <c r="D20349" s="26"/>
      <c r="E20349" s="24"/>
      <c r="F20349" s="24"/>
      <c r="G20349" s="24"/>
      <c r="H20349" s="24"/>
      <c r="I20349" s="24"/>
      <c r="J20349" s="24"/>
      <c r="K20349" s="24"/>
      <c r="L20349" s="24"/>
      <c r="M20349" s="24"/>
      <c r="N20349" s="24"/>
      <c r="O20349" s="24"/>
      <c r="P20349" s="24"/>
      <c r="Q20349" s="24"/>
      <c r="R20349" s="24"/>
      <c r="S20349" s="24"/>
      <c r="T20349" s="24"/>
      <c r="U20349" s="24"/>
      <c r="V20349" s="24"/>
      <c r="W20349" s="24"/>
      <c r="X20349" s="24"/>
      <c r="Y20349" s="24"/>
      <c r="Z20349" s="24"/>
      <c r="AA20349" s="24"/>
    </row>
    <row r="20350">
      <c r="A20350" s="24"/>
      <c r="B20350" s="25"/>
      <c r="C20350" s="24"/>
      <c r="D20350" s="26"/>
      <c r="E20350" s="24"/>
      <c r="F20350" s="24"/>
      <c r="G20350" s="24"/>
      <c r="H20350" s="24"/>
      <c r="I20350" s="24"/>
      <c r="J20350" s="24"/>
      <c r="K20350" s="24"/>
      <c r="L20350" s="24"/>
      <c r="M20350" s="24"/>
      <c r="N20350" s="24"/>
      <c r="O20350" s="24"/>
      <c r="P20350" s="24"/>
      <c r="Q20350" s="24"/>
      <c r="R20350" s="24"/>
      <c r="S20350" s="24"/>
      <c r="T20350" s="24"/>
      <c r="U20350" s="24"/>
      <c r="V20350" s="24"/>
      <c r="W20350" s="24"/>
      <c r="X20350" s="24"/>
      <c r="Y20350" s="24"/>
      <c r="Z20350" s="24"/>
      <c r="AA20350" s="24"/>
    </row>
    <row r="20351">
      <c r="A20351" s="24"/>
      <c r="B20351" s="25"/>
      <c r="C20351" s="24"/>
      <c r="D20351" s="26"/>
      <c r="E20351" s="24"/>
      <c r="F20351" s="24"/>
      <c r="G20351" s="24"/>
      <c r="H20351" s="24"/>
      <c r="I20351" s="24"/>
      <c r="J20351" s="24"/>
      <c r="K20351" s="24"/>
      <c r="L20351" s="24"/>
      <c r="M20351" s="24"/>
      <c r="N20351" s="24"/>
      <c r="O20351" s="24"/>
      <c r="P20351" s="24"/>
      <c r="Q20351" s="24"/>
      <c r="R20351" s="24"/>
      <c r="S20351" s="24"/>
      <c r="T20351" s="24"/>
      <c r="U20351" s="24"/>
      <c r="V20351" s="24"/>
      <c r="W20351" s="24"/>
      <c r="X20351" s="24"/>
      <c r="Y20351" s="24"/>
      <c r="Z20351" s="24"/>
      <c r="AA20351" s="24"/>
    </row>
    <row r="20352">
      <c r="A20352" s="24"/>
      <c r="B20352" s="25"/>
      <c r="C20352" s="24"/>
      <c r="D20352" s="26"/>
      <c r="E20352" s="24"/>
      <c r="F20352" s="24"/>
      <c r="G20352" s="24"/>
      <c r="H20352" s="24"/>
      <c r="I20352" s="24"/>
      <c r="J20352" s="24"/>
      <c r="K20352" s="24"/>
      <c r="L20352" s="24"/>
      <c r="M20352" s="24"/>
      <c r="N20352" s="24"/>
      <c r="O20352" s="24"/>
      <c r="P20352" s="24"/>
      <c r="Q20352" s="24"/>
      <c r="R20352" s="24"/>
      <c r="S20352" s="24"/>
      <c r="T20352" s="24"/>
      <c r="U20352" s="24"/>
      <c r="V20352" s="24"/>
      <c r="W20352" s="24"/>
      <c r="X20352" s="24"/>
      <c r="Y20352" s="24"/>
      <c r="Z20352" s="24"/>
      <c r="AA20352" s="24"/>
    </row>
    <row r="20353">
      <c r="A20353" s="24"/>
      <c r="B20353" s="25"/>
      <c r="C20353" s="24"/>
      <c r="D20353" s="26"/>
      <c r="E20353" s="24"/>
      <c r="F20353" s="24"/>
      <c r="G20353" s="24"/>
      <c r="H20353" s="24"/>
      <c r="I20353" s="24"/>
      <c r="J20353" s="24"/>
      <c r="K20353" s="24"/>
      <c r="L20353" s="24"/>
      <c r="M20353" s="24"/>
      <c r="N20353" s="24"/>
      <c r="O20353" s="24"/>
      <c r="P20353" s="24"/>
      <c r="Q20353" s="24"/>
      <c r="R20353" s="24"/>
      <c r="S20353" s="24"/>
      <c r="T20353" s="24"/>
      <c r="U20353" s="24"/>
      <c r="V20353" s="24"/>
      <c r="W20353" s="24"/>
      <c r="X20353" s="24"/>
      <c r="Y20353" s="24"/>
      <c r="Z20353" s="24"/>
      <c r="AA20353" s="24"/>
    </row>
    <row r="20354">
      <c r="A20354" s="24"/>
      <c r="B20354" s="25"/>
      <c r="C20354" s="24"/>
      <c r="D20354" s="26"/>
      <c r="E20354" s="24"/>
      <c r="F20354" s="24"/>
      <c r="G20354" s="24"/>
      <c r="H20354" s="24"/>
      <c r="I20354" s="24"/>
      <c r="J20354" s="24"/>
      <c r="K20354" s="24"/>
      <c r="L20354" s="24"/>
      <c r="M20354" s="24"/>
      <c r="N20354" s="24"/>
      <c r="O20354" s="24"/>
      <c r="P20354" s="24"/>
      <c r="Q20354" s="24"/>
      <c r="R20354" s="24"/>
      <c r="S20354" s="24"/>
      <c r="T20354" s="24"/>
      <c r="U20354" s="24"/>
      <c r="V20354" s="24"/>
      <c r="W20354" s="24"/>
      <c r="X20354" s="24"/>
      <c r="Y20354" s="24"/>
      <c r="Z20354" s="24"/>
      <c r="AA20354" s="24"/>
    </row>
    <row r="20355">
      <c r="A20355" s="24"/>
      <c r="B20355" s="25"/>
      <c r="C20355" s="24"/>
      <c r="D20355" s="26"/>
      <c r="E20355" s="24"/>
      <c r="F20355" s="24"/>
      <c r="G20355" s="24"/>
      <c r="H20355" s="24"/>
      <c r="I20355" s="24"/>
      <c r="J20355" s="24"/>
      <c r="K20355" s="24"/>
      <c r="L20355" s="24"/>
      <c r="M20355" s="24"/>
      <c r="N20355" s="24"/>
      <c r="O20355" s="24"/>
      <c r="P20355" s="24"/>
      <c r="Q20355" s="24"/>
      <c r="R20355" s="24"/>
      <c r="S20355" s="24"/>
      <c r="T20355" s="24"/>
      <c r="U20355" s="24"/>
      <c r="V20355" s="24"/>
      <c r="W20355" s="24"/>
      <c r="X20355" s="24"/>
      <c r="Y20355" s="24"/>
      <c r="Z20355" s="24"/>
      <c r="AA20355" s="24"/>
    </row>
    <row r="20356">
      <c r="A20356" s="24"/>
      <c r="B20356" s="25"/>
      <c r="C20356" s="24"/>
      <c r="D20356" s="26"/>
      <c r="E20356" s="24"/>
      <c r="F20356" s="24"/>
      <c r="G20356" s="24"/>
      <c r="H20356" s="24"/>
      <c r="I20356" s="24"/>
      <c r="J20356" s="24"/>
      <c r="K20356" s="24"/>
      <c r="L20356" s="24"/>
      <c r="M20356" s="24"/>
      <c r="N20356" s="24"/>
      <c r="O20356" s="24"/>
      <c r="P20356" s="24"/>
      <c r="Q20356" s="24"/>
      <c r="R20356" s="24"/>
      <c r="S20356" s="24"/>
      <c r="T20356" s="24"/>
      <c r="U20356" s="24"/>
      <c r="V20356" s="24"/>
      <c r="W20356" s="24"/>
      <c r="X20356" s="24"/>
      <c r="Y20356" s="24"/>
      <c r="Z20356" s="24"/>
      <c r="AA20356" s="24"/>
    </row>
    <row r="20357">
      <c r="A20357" s="24"/>
      <c r="B20357" s="25"/>
      <c r="C20357" s="24"/>
      <c r="D20357" s="26"/>
      <c r="E20357" s="24"/>
      <c r="F20357" s="24"/>
      <c r="G20357" s="24"/>
      <c r="H20357" s="24"/>
      <c r="I20357" s="24"/>
      <c r="J20357" s="24"/>
      <c r="K20357" s="24"/>
      <c r="L20357" s="24"/>
      <c r="M20357" s="24"/>
      <c r="N20357" s="24"/>
      <c r="O20357" s="24"/>
      <c r="P20357" s="24"/>
      <c r="Q20357" s="24"/>
      <c r="R20357" s="24"/>
      <c r="S20357" s="24"/>
      <c r="T20357" s="24"/>
      <c r="U20357" s="24"/>
      <c r="V20357" s="24"/>
      <c r="W20357" s="24"/>
      <c r="X20357" s="24"/>
      <c r="Y20357" s="24"/>
      <c r="Z20357" s="24"/>
      <c r="AA20357" s="24"/>
    </row>
    <row r="20358">
      <c r="A20358" s="24"/>
      <c r="B20358" s="25"/>
      <c r="C20358" s="24"/>
      <c r="D20358" s="26"/>
      <c r="E20358" s="24"/>
      <c r="F20358" s="24"/>
      <c r="G20358" s="24"/>
      <c r="H20358" s="24"/>
      <c r="I20358" s="24"/>
      <c r="J20358" s="24"/>
      <c r="K20358" s="24"/>
      <c r="L20358" s="24"/>
      <c r="M20358" s="24"/>
      <c r="N20358" s="24"/>
      <c r="O20358" s="24"/>
      <c r="P20358" s="24"/>
      <c r="Q20358" s="24"/>
      <c r="R20358" s="24"/>
      <c r="S20358" s="24"/>
      <c r="T20358" s="24"/>
      <c r="U20358" s="24"/>
      <c r="V20358" s="24"/>
      <c r="W20358" s="24"/>
      <c r="X20358" s="24"/>
      <c r="Y20358" s="24"/>
      <c r="Z20358" s="24"/>
      <c r="AA20358" s="24"/>
    </row>
    <row r="20359">
      <c r="A20359" s="24"/>
      <c r="B20359" s="25"/>
      <c r="C20359" s="24"/>
      <c r="D20359" s="26"/>
      <c r="E20359" s="24"/>
      <c r="F20359" s="24"/>
      <c r="G20359" s="24"/>
      <c r="H20359" s="24"/>
      <c r="I20359" s="24"/>
      <c r="J20359" s="24"/>
      <c r="K20359" s="24"/>
      <c r="L20359" s="24"/>
      <c r="M20359" s="24"/>
      <c r="N20359" s="24"/>
      <c r="O20359" s="24"/>
      <c r="P20359" s="24"/>
      <c r="Q20359" s="24"/>
      <c r="R20359" s="24"/>
      <c r="S20359" s="24"/>
      <c r="T20359" s="24"/>
      <c r="U20359" s="24"/>
      <c r="V20359" s="24"/>
      <c r="W20359" s="24"/>
      <c r="X20359" s="24"/>
      <c r="Y20359" s="24"/>
      <c r="Z20359" s="24"/>
      <c r="AA20359" s="24"/>
    </row>
    <row r="20360">
      <c r="A20360" s="24"/>
      <c r="B20360" s="25"/>
      <c r="C20360" s="24"/>
      <c r="D20360" s="26"/>
      <c r="E20360" s="24"/>
      <c r="F20360" s="24"/>
      <c r="G20360" s="24"/>
      <c r="H20360" s="24"/>
      <c r="I20360" s="24"/>
      <c r="J20360" s="24"/>
      <c r="K20360" s="24"/>
      <c r="L20360" s="24"/>
      <c r="M20360" s="24"/>
      <c r="N20360" s="24"/>
      <c r="O20360" s="24"/>
      <c r="P20360" s="24"/>
      <c r="Q20360" s="24"/>
      <c r="R20360" s="24"/>
      <c r="S20360" s="24"/>
      <c r="T20360" s="24"/>
      <c r="U20360" s="24"/>
      <c r="V20360" s="24"/>
      <c r="W20360" s="24"/>
      <c r="X20360" s="24"/>
      <c r="Y20360" s="24"/>
      <c r="Z20360" s="24"/>
      <c r="AA20360" s="24"/>
    </row>
    <row r="20361">
      <c r="A20361" s="24"/>
      <c r="B20361" s="25"/>
      <c r="C20361" s="24"/>
      <c r="D20361" s="26"/>
      <c r="E20361" s="24"/>
      <c r="F20361" s="24"/>
      <c r="G20361" s="24"/>
      <c r="H20361" s="24"/>
      <c r="I20361" s="24"/>
      <c r="J20361" s="24"/>
      <c r="K20361" s="24"/>
      <c r="L20361" s="24"/>
      <c r="M20361" s="24"/>
      <c r="N20361" s="24"/>
      <c r="O20361" s="24"/>
      <c r="P20361" s="24"/>
      <c r="Q20361" s="24"/>
      <c r="R20361" s="24"/>
      <c r="S20361" s="24"/>
      <c r="T20361" s="24"/>
      <c r="U20361" s="24"/>
      <c r="V20361" s="24"/>
      <c r="W20361" s="24"/>
      <c r="X20361" s="24"/>
      <c r="Y20361" s="24"/>
      <c r="Z20361" s="24"/>
      <c r="AA20361" s="24"/>
    </row>
    <row r="20362">
      <c r="A20362" s="24"/>
      <c r="B20362" s="25"/>
      <c r="C20362" s="24"/>
      <c r="D20362" s="26"/>
      <c r="E20362" s="24"/>
      <c r="F20362" s="24"/>
      <c r="G20362" s="24"/>
      <c r="H20362" s="24"/>
      <c r="I20362" s="24"/>
      <c r="J20362" s="24"/>
      <c r="K20362" s="24"/>
      <c r="L20362" s="24"/>
      <c r="M20362" s="24"/>
      <c r="N20362" s="24"/>
      <c r="O20362" s="24"/>
      <c r="P20362" s="24"/>
      <c r="Q20362" s="24"/>
      <c r="R20362" s="24"/>
      <c r="S20362" s="24"/>
      <c r="T20362" s="24"/>
      <c r="U20362" s="24"/>
      <c r="V20362" s="24"/>
      <c r="W20362" s="24"/>
      <c r="X20362" s="24"/>
      <c r="Y20362" s="24"/>
      <c r="Z20362" s="24"/>
      <c r="AA20362" s="24"/>
    </row>
    <row r="20363">
      <c r="A20363" s="24"/>
      <c r="B20363" s="25"/>
      <c r="C20363" s="24"/>
      <c r="D20363" s="26"/>
      <c r="E20363" s="24"/>
      <c r="F20363" s="24"/>
      <c r="G20363" s="24"/>
      <c r="H20363" s="24"/>
      <c r="I20363" s="24"/>
      <c r="J20363" s="24"/>
      <c r="K20363" s="24"/>
      <c r="L20363" s="24"/>
      <c r="M20363" s="24"/>
      <c r="N20363" s="24"/>
      <c r="O20363" s="24"/>
      <c r="P20363" s="24"/>
      <c r="Q20363" s="24"/>
      <c r="R20363" s="24"/>
      <c r="S20363" s="24"/>
      <c r="T20363" s="24"/>
      <c r="U20363" s="24"/>
      <c r="V20363" s="24"/>
      <c r="W20363" s="24"/>
      <c r="X20363" s="24"/>
      <c r="Y20363" s="24"/>
      <c r="Z20363" s="24"/>
      <c r="AA20363" s="24"/>
    </row>
    <row r="20364">
      <c r="A20364" s="24"/>
      <c r="B20364" s="25"/>
      <c r="C20364" s="24"/>
      <c r="D20364" s="26"/>
      <c r="E20364" s="24"/>
      <c r="F20364" s="24"/>
      <c r="G20364" s="24"/>
      <c r="H20364" s="24"/>
      <c r="I20364" s="24"/>
      <c r="J20364" s="24"/>
      <c r="K20364" s="24"/>
      <c r="L20364" s="24"/>
      <c r="M20364" s="24"/>
      <c r="N20364" s="24"/>
      <c r="O20364" s="24"/>
      <c r="P20364" s="24"/>
      <c r="Q20364" s="24"/>
      <c r="R20364" s="24"/>
      <c r="S20364" s="24"/>
      <c r="T20364" s="24"/>
      <c r="U20364" s="24"/>
      <c r="V20364" s="24"/>
      <c r="W20364" s="24"/>
      <c r="X20364" s="24"/>
      <c r="Y20364" s="24"/>
      <c r="Z20364" s="24"/>
      <c r="AA20364" s="24"/>
    </row>
    <row r="20365">
      <c r="A20365" s="24"/>
      <c r="B20365" s="25"/>
      <c r="C20365" s="24"/>
      <c r="D20365" s="26"/>
      <c r="E20365" s="24"/>
      <c r="F20365" s="24"/>
      <c r="G20365" s="24"/>
      <c r="H20365" s="24"/>
      <c r="I20365" s="24"/>
      <c r="J20365" s="24"/>
      <c r="K20365" s="24"/>
      <c r="L20365" s="24"/>
      <c r="M20365" s="24"/>
      <c r="N20365" s="24"/>
      <c r="O20365" s="24"/>
      <c r="P20365" s="24"/>
      <c r="Q20365" s="24"/>
      <c r="R20365" s="24"/>
      <c r="S20365" s="24"/>
      <c r="T20365" s="24"/>
      <c r="U20365" s="24"/>
      <c r="V20365" s="24"/>
      <c r="W20365" s="24"/>
      <c r="X20365" s="24"/>
      <c r="Y20365" s="24"/>
      <c r="Z20365" s="24"/>
      <c r="AA20365" s="24"/>
    </row>
    <row r="20366">
      <c r="A20366" s="24"/>
      <c r="B20366" s="25"/>
      <c r="C20366" s="24"/>
      <c r="D20366" s="26"/>
      <c r="E20366" s="24"/>
      <c r="F20366" s="24"/>
      <c r="G20366" s="24"/>
      <c r="H20366" s="24"/>
      <c r="I20366" s="24"/>
      <c r="J20366" s="24"/>
      <c r="K20366" s="24"/>
      <c r="L20366" s="24"/>
      <c r="M20366" s="24"/>
      <c r="N20366" s="24"/>
      <c r="O20366" s="24"/>
      <c r="P20366" s="24"/>
      <c r="Q20366" s="24"/>
      <c r="R20366" s="24"/>
      <c r="S20366" s="24"/>
      <c r="T20366" s="24"/>
      <c r="U20366" s="24"/>
      <c r="V20366" s="24"/>
      <c r="W20366" s="24"/>
      <c r="X20366" s="24"/>
      <c r="Y20366" s="24"/>
      <c r="Z20366" s="24"/>
      <c r="AA20366" s="24"/>
    </row>
    <row r="20367">
      <c r="A20367" s="24"/>
      <c r="B20367" s="25"/>
      <c r="C20367" s="24"/>
      <c r="D20367" s="26"/>
      <c r="E20367" s="24"/>
      <c r="F20367" s="24"/>
      <c r="G20367" s="24"/>
      <c r="H20367" s="24"/>
      <c r="I20367" s="24"/>
      <c r="J20367" s="24"/>
      <c r="K20367" s="24"/>
      <c r="L20367" s="24"/>
      <c r="M20367" s="24"/>
      <c r="N20367" s="24"/>
      <c r="O20367" s="24"/>
      <c r="P20367" s="24"/>
      <c r="Q20367" s="24"/>
      <c r="R20367" s="24"/>
      <c r="S20367" s="24"/>
      <c r="T20367" s="24"/>
      <c r="U20367" s="24"/>
      <c r="V20367" s="24"/>
      <c r="W20367" s="24"/>
      <c r="X20367" s="24"/>
      <c r="Y20367" s="24"/>
      <c r="Z20367" s="24"/>
      <c r="AA20367" s="24"/>
    </row>
    <row r="20368">
      <c r="A20368" s="24"/>
      <c r="B20368" s="25"/>
      <c r="C20368" s="24"/>
      <c r="D20368" s="26"/>
      <c r="E20368" s="24"/>
      <c r="F20368" s="24"/>
      <c r="G20368" s="24"/>
      <c r="H20368" s="24"/>
      <c r="I20368" s="24"/>
      <c r="J20368" s="24"/>
      <c r="K20368" s="24"/>
      <c r="L20368" s="24"/>
      <c r="M20368" s="24"/>
      <c r="N20368" s="24"/>
      <c r="O20368" s="24"/>
      <c r="P20368" s="24"/>
      <c r="Q20368" s="24"/>
      <c r="R20368" s="24"/>
      <c r="S20368" s="24"/>
      <c r="T20368" s="24"/>
      <c r="U20368" s="24"/>
      <c r="V20368" s="24"/>
      <c r="W20368" s="24"/>
      <c r="X20368" s="24"/>
      <c r="Y20368" s="24"/>
      <c r="Z20368" s="24"/>
      <c r="AA20368" s="24"/>
    </row>
    <row r="20369">
      <c r="A20369" s="24"/>
      <c r="B20369" s="25"/>
      <c r="C20369" s="24"/>
      <c r="D20369" s="26"/>
      <c r="E20369" s="24"/>
      <c r="F20369" s="24"/>
      <c r="G20369" s="24"/>
      <c r="H20369" s="24"/>
      <c r="I20369" s="24"/>
      <c r="J20369" s="24"/>
      <c r="K20369" s="24"/>
      <c r="L20369" s="24"/>
      <c r="M20369" s="24"/>
      <c r="N20369" s="24"/>
      <c r="O20369" s="24"/>
      <c r="P20369" s="24"/>
      <c r="Q20369" s="24"/>
      <c r="R20369" s="24"/>
      <c r="S20369" s="24"/>
      <c r="T20369" s="24"/>
      <c r="U20369" s="24"/>
      <c r="V20369" s="24"/>
      <c r="W20369" s="24"/>
      <c r="X20369" s="24"/>
      <c r="Y20369" s="24"/>
      <c r="Z20369" s="24"/>
      <c r="AA20369" s="24"/>
    </row>
    <row r="20370">
      <c r="A20370" s="24"/>
      <c r="B20370" s="25"/>
      <c r="C20370" s="24"/>
      <c r="D20370" s="26"/>
      <c r="E20370" s="24"/>
      <c r="F20370" s="24"/>
      <c r="G20370" s="24"/>
      <c r="H20370" s="24"/>
      <c r="I20370" s="24"/>
      <c r="J20370" s="24"/>
      <c r="K20370" s="24"/>
      <c r="L20370" s="24"/>
      <c r="M20370" s="24"/>
      <c r="N20370" s="24"/>
      <c r="O20370" s="24"/>
      <c r="P20370" s="24"/>
      <c r="Q20370" s="24"/>
      <c r="R20370" s="24"/>
      <c r="S20370" s="24"/>
      <c r="T20370" s="24"/>
      <c r="U20370" s="24"/>
      <c r="V20370" s="24"/>
      <c r="W20370" s="24"/>
      <c r="X20370" s="24"/>
      <c r="Y20370" s="24"/>
      <c r="Z20370" s="24"/>
      <c r="AA20370" s="24"/>
    </row>
    <row r="20371">
      <c r="A20371" s="24"/>
      <c r="B20371" s="25"/>
      <c r="C20371" s="24"/>
      <c r="D20371" s="26"/>
      <c r="E20371" s="24"/>
      <c r="F20371" s="24"/>
      <c r="G20371" s="24"/>
      <c r="H20371" s="24"/>
      <c r="I20371" s="24"/>
      <c r="J20371" s="24"/>
      <c r="K20371" s="24"/>
      <c r="L20371" s="24"/>
      <c r="M20371" s="24"/>
      <c r="N20371" s="24"/>
      <c r="O20371" s="24"/>
      <c r="P20371" s="24"/>
      <c r="Q20371" s="24"/>
      <c r="R20371" s="24"/>
      <c r="S20371" s="24"/>
      <c r="T20371" s="24"/>
      <c r="U20371" s="24"/>
      <c r="V20371" s="24"/>
      <c r="W20371" s="24"/>
      <c r="X20371" s="24"/>
      <c r="Y20371" s="24"/>
      <c r="Z20371" s="24"/>
      <c r="AA20371" s="24"/>
    </row>
    <row r="20372">
      <c r="A20372" s="24"/>
      <c r="B20372" s="25"/>
      <c r="C20372" s="24"/>
      <c r="D20372" s="26"/>
      <c r="E20372" s="24"/>
      <c r="F20372" s="24"/>
      <c r="G20372" s="24"/>
      <c r="H20372" s="24"/>
      <c r="I20372" s="24"/>
      <c r="J20372" s="24"/>
      <c r="K20372" s="24"/>
      <c r="L20372" s="24"/>
      <c r="M20372" s="24"/>
      <c r="N20372" s="24"/>
      <c r="O20372" s="24"/>
      <c r="P20372" s="24"/>
      <c r="Q20372" s="24"/>
      <c r="R20372" s="24"/>
      <c r="S20372" s="24"/>
      <c r="T20372" s="24"/>
      <c r="U20372" s="24"/>
      <c r="V20372" s="24"/>
      <c r="W20372" s="24"/>
      <c r="X20372" s="24"/>
      <c r="Y20372" s="24"/>
      <c r="Z20372" s="24"/>
      <c r="AA20372" s="24"/>
    </row>
    <row r="20373">
      <c r="A20373" s="24"/>
      <c r="B20373" s="25"/>
      <c r="C20373" s="24"/>
      <c r="D20373" s="26"/>
      <c r="E20373" s="24"/>
      <c r="F20373" s="24"/>
      <c r="G20373" s="24"/>
      <c r="H20373" s="24"/>
      <c r="I20373" s="24"/>
      <c r="J20373" s="24"/>
      <c r="K20373" s="24"/>
      <c r="L20373" s="24"/>
      <c r="M20373" s="24"/>
      <c r="N20373" s="24"/>
      <c r="O20373" s="24"/>
      <c r="P20373" s="24"/>
      <c r="Q20373" s="24"/>
      <c r="R20373" s="24"/>
      <c r="S20373" s="24"/>
      <c r="T20373" s="24"/>
      <c r="U20373" s="24"/>
      <c r="V20373" s="24"/>
      <c r="W20373" s="24"/>
      <c r="X20373" s="24"/>
      <c r="Y20373" s="24"/>
      <c r="Z20373" s="24"/>
      <c r="AA20373" s="24"/>
    </row>
    <row r="20374">
      <c r="A20374" s="24"/>
      <c r="B20374" s="25"/>
      <c r="C20374" s="24"/>
      <c r="D20374" s="26"/>
      <c r="E20374" s="24"/>
      <c r="F20374" s="24"/>
      <c r="G20374" s="24"/>
      <c r="H20374" s="24"/>
      <c r="I20374" s="24"/>
      <c r="J20374" s="24"/>
      <c r="K20374" s="24"/>
      <c r="L20374" s="24"/>
      <c r="M20374" s="24"/>
      <c r="N20374" s="24"/>
      <c r="O20374" s="24"/>
      <c r="P20374" s="24"/>
      <c r="Q20374" s="24"/>
      <c r="R20374" s="24"/>
      <c r="S20374" s="24"/>
      <c r="T20374" s="24"/>
      <c r="U20374" s="24"/>
      <c r="V20374" s="24"/>
      <c r="W20374" s="24"/>
      <c r="X20374" s="24"/>
      <c r="Y20374" s="24"/>
      <c r="Z20374" s="24"/>
      <c r="AA20374" s="24"/>
    </row>
    <row r="20375">
      <c r="A20375" s="24"/>
      <c r="B20375" s="25"/>
      <c r="C20375" s="24"/>
      <c r="D20375" s="26"/>
      <c r="E20375" s="24"/>
      <c r="F20375" s="24"/>
      <c r="G20375" s="24"/>
      <c r="H20375" s="24"/>
      <c r="I20375" s="24"/>
      <c r="J20375" s="24"/>
      <c r="K20375" s="24"/>
      <c r="L20375" s="24"/>
      <c r="M20375" s="24"/>
      <c r="N20375" s="24"/>
      <c r="O20375" s="24"/>
      <c r="P20375" s="24"/>
      <c r="Q20375" s="24"/>
      <c r="R20375" s="24"/>
      <c r="S20375" s="24"/>
      <c r="T20375" s="24"/>
      <c r="U20375" s="24"/>
      <c r="V20375" s="24"/>
      <c r="W20375" s="24"/>
      <c r="X20375" s="24"/>
      <c r="Y20375" s="24"/>
      <c r="Z20375" s="24"/>
      <c r="AA20375" s="24"/>
    </row>
    <row r="20376">
      <c r="A20376" s="24"/>
      <c r="B20376" s="25"/>
      <c r="C20376" s="24"/>
      <c r="D20376" s="26"/>
      <c r="E20376" s="24"/>
      <c r="F20376" s="24"/>
      <c r="G20376" s="24"/>
      <c r="H20376" s="24"/>
      <c r="I20376" s="24"/>
      <c r="J20376" s="24"/>
      <c r="K20376" s="24"/>
      <c r="L20376" s="24"/>
      <c r="M20376" s="24"/>
      <c r="N20376" s="24"/>
      <c r="O20376" s="24"/>
      <c r="P20376" s="24"/>
      <c r="Q20376" s="24"/>
      <c r="R20376" s="24"/>
      <c r="S20376" s="24"/>
      <c r="T20376" s="24"/>
      <c r="U20376" s="24"/>
      <c r="V20376" s="24"/>
      <c r="W20376" s="24"/>
      <c r="X20376" s="24"/>
      <c r="Y20376" s="24"/>
      <c r="Z20376" s="24"/>
      <c r="AA20376" s="24"/>
    </row>
    <row r="20377">
      <c r="A20377" s="24"/>
      <c r="B20377" s="25"/>
      <c r="C20377" s="24"/>
      <c r="D20377" s="26"/>
      <c r="E20377" s="24"/>
      <c r="F20377" s="24"/>
      <c r="G20377" s="24"/>
      <c r="H20377" s="24"/>
      <c r="I20377" s="24"/>
      <c r="J20377" s="24"/>
      <c r="K20377" s="24"/>
      <c r="L20377" s="24"/>
      <c r="M20377" s="24"/>
      <c r="N20377" s="24"/>
      <c r="O20377" s="24"/>
      <c r="P20377" s="24"/>
      <c r="Q20377" s="24"/>
      <c r="R20377" s="24"/>
      <c r="S20377" s="24"/>
      <c r="T20377" s="24"/>
      <c r="U20377" s="24"/>
      <c r="V20377" s="24"/>
      <c r="W20377" s="24"/>
      <c r="X20377" s="24"/>
      <c r="Y20377" s="24"/>
      <c r="Z20377" s="24"/>
      <c r="AA20377" s="24"/>
    </row>
    <row r="20378">
      <c r="A20378" s="24"/>
      <c r="B20378" s="25"/>
      <c r="C20378" s="24"/>
      <c r="D20378" s="26"/>
      <c r="E20378" s="24"/>
      <c r="F20378" s="24"/>
      <c r="G20378" s="24"/>
      <c r="H20378" s="24"/>
      <c r="I20378" s="24"/>
      <c r="J20378" s="24"/>
      <c r="K20378" s="24"/>
      <c r="L20378" s="24"/>
      <c r="M20378" s="24"/>
      <c r="N20378" s="24"/>
      <c r="O20378" s="24"/>
      <c r="P20378" s="24"/>
      <c r="Q20378" s="24"/>
      <c r="R20378" s="24"/>
      <c r="S20378" s="24"/>
      <c r="T20378" s="24"/>
      <c r="U20378" s="24"/>
      <c r="V20378" s="24"/>
      <c r="W20378" s="24"/>
      <c r="X20378" s="24"/>
      <c r="Y20378" s="24"/>
      <c r="Z20378" s="24"/>
      <c r="AA20378" s="24"/>
    </row>
    <row r="20379">
      <c r="A20379" s="24"/>
      <c r="B20379" s="25"/>
      <c r="C20379" s="24"/>
      <c r="D20379" s="26"/>
      <c r="E20379" s="24"/>
      <c r="F20379" s="24"/>
      <c r="G20379" s="24"/>
      <c r="H20379" s="24"/>
      <c r="I20379" s="24"/>
      <c r="J20379" s="24"/>
      <c r="K20379" s="24"/>
      <c r="L20379" s="24"/>
      <c r="M20379" s="24"/>
      <c r="N20379" s="24"/>
      <c r="O20379" s="24"/>
      <c r="P20379" s="24"/>
      <c r="Q20379" s="24"/>
      <c r="R20379" s="24"/>
      <c r="S20379" s="24"/>
      <c r="T20379" s="24"/>
      <c r="U20379" s="24"/>
      <c r="V20379" s="24"/>
      <c r="W20379" s="24"/>
      <c r="X20379" s="24"/>
      <c r="Y20379" s="24"/>
      <c r="Z20379" s="24"/>
      <c r="AA20379" s="24"/>
    </row>
    <row r="20380">
      <c r="A20380" s="24"/>
      <c r="B20380" s="25"/>
      <c r="C20380" s="24"/>
      <c r="D20380" s="26"/>
      <c r="E20380" s="24"/>
      <c r="F20380" s="24"/>
      <c r="G20380" s="24"/>
      <c r="H20380" s="24"/>
      <c r="I20380" s="24"/>
      <c r="J20380" s="24"/>
      <c r="K20380" s="24"/>
      <c r="L20380" s="24"/>
      <c r="M20380" s="24"/>
      <c r="N20380" s="24"/>
      <c r="O20380" s="24"/>
      <c r="P20380" s="24"/>
      <c r="Q20380" s="24"/>
      <c r="R20380" s="24"/>
      <c r="S20380" s="24"/>
      <c r="T20380" s="24"/>
      <c r="U20380" s="24"/>
      <c r="V20380" s="24"/>
      <c r="W20380" s="24"/>
      <c r="X20380" s="24"/>
      <c r="Y20380" s="24"/>
      <c r="Z20380" s="24"/>
      <c r="AA20380" s="24"/>
    </row>
    <row r="20381">
      <c r="A20381" s="24"/>
      <c r="B20381" s="25"/>
      <c r="C20381" s="24"/>
      <c r="D20381" s="26"/>
      <c r="E20381" s="24"/>
      <c r="F20381" s="24"/>
      <c r="G20381" s="24"/>
      <c r="H20381" s="24"/>
      <c r="I20381" s="24"/>
      <c r="J20381" s="24"/>
      <c r="K20381" s="24"/>
      <c r="L20381" s="24"/>
      <c r="M20381" s="24"/>
      <c r="N20381" s="24"/>
      <c r="O20381" s="24"/>
      <c r="P20381" s="24"/>
      <c r="Q20381" s="24"/>
      <c r="R20381" s="24"/>
      <c r="S20381" s="24"/>
      <c r="T20381" s="24"/>
      <c r="U20381" s="24"/>
      <c r="V20381" s="24"/>
      <c r="W20381" s="24"/>
      <c r="X20381" s="24"/>
      <c r="Y20381" s="24"/>
      <c r="Z20381" s="24"/>
      <c r="AA20381" s="24"/>
    </row>
    <row r="20382">
      <c r="A20382" s="24"/>
      <c r="B20382" s="25"/>
      <c r="C20382" s="24"/>
      <c r="D20382" s="26"/>
      <c r="E20382" s="24"/>
      <c r="F20382" s="24"/>
      <c r="G20382" s="24"/>
      <c r="H20382" s="24"/>
      <c r="I20382" s="24"/>
      <c r="J20382" s="24"/>
      <c r="K20382" s="24"/>
      <c r="L20382" s="24"/>
      <c r="M20382" s="24"/>
      <c r="N20382" s="24"/>
      <c r="O20382" s="24"/>
      <c r="P20382" s="24"/>
      <c r="Q20382" s="24"/>
      <c r="R20382" s="24"/>
      <c r="S20382" s="24"/>
      <c r="T20382" s="24"/>
      <c r="U20382" s="24"/>
      <c r="V20382" s="24"/>
      <c r="W20382" s="24"/>
      <c r="X20382" s="24"/>
      <c r="Y20382" s="24"/>
      <c r="Z20382" s="24"/>
      <c r="AA20382" s="24"/>
    </row>
    <row r="20383">
      <c r="A20383" s="24"/>
      <c r="B20383" s="25"/>
      <c r="C20383" s="24"/>
      <c r="D20383" s="26"/>
      <c r="E20383" s="24"/>
      <c r="F20383" s="24"/>
      <c r="G20383" s="24"/>
      <c r="H20383" s="24"/>
      <c r="I20383" s="24"/>
      <c r="J20383" s="24"/>
      <c r="K20383" s="24"/>
      <c r="L20383" s="24"/>
      <c r="M20383" s="24"/>
      <c r="N20383" s="24"/>
      <c r="O20383" s="24"/>
      <c r="P20383" s="24"/>
      <c r="Q20383" s="24"/>
      <c r="R20383" s="24"/>
      <c r="S20383" s="24"/>
      <c r="T20383" s="24"/>
      <c r="U20383" s="24"/>
      <c r="V20383" s="24"/>
      <c r="W20383" s="24"/>
      <c r="X20383" s="24"/>
      <c r="Y20383" s="24"/>
      <c r="Z20383" s="24"/>
      <c r="AA20383" s="24"/>
    </row>
    <row r="20384">
      <c r="A20384" s="24"/>
      <c r="B20384" s="25"/>
      <c r="C20384" s="24"/>
      <c r="D20384" s="26"/>
      <c r="E20384" s="24"/>
      <c r="F20384" s="24"/>
      <c r="G20384" s="24"/>
      <c r="H20384" s="24"/>
      <c r="I20384" s="24"/>
      <c r="J20384" s="24"/>
      <c r="K20384" s="24"/>
      <c r="L20384" s="24"/>
      <c r="M20384" s="24"/>
      <c r="N20384" s="24"/>
      <c r="O20384" s="24"/>
      <c r="P20384" s="24"/>
      <c r="Q20384" s="24"/>
      <c r="R20384" s="24"/>
      <c r="S20384" s="24"/>
      <c r="T20384" s="24"/>
      <c r="U20384" s="24"/>
      <c r="V20384" s="24"/>
      <c r="W20384" s="24"/>
      <c r="X20384" s="24"/>
      <c r="Y20384" s="24"/>
      <c r="Z20384" s="24"/>
      <c r="AA20384" s="24"/>
    </row>
    <row r="20385">
      <c r="A20385" s="24"/>
      <c r="B20385" s="25"/>
      <c r="C20385" s="24"/>
      <c r="D20385" s="26"/>
      <c r="E20385" s="24"/>
      <c r="F20385" s="24"/>
      <c r="G20385" s="24"/>
      <c r="H20385" s="24"/>
      <c r="I20385" s="24"/>
      <c r="J20385" s="24"/>
      <c r="K20385" s="24"/>
      <c r="L20385" s="24"/>
      <c r="M20385" s="24"/>
      <c r="N20385" s="24"/>
      <c r="O20385" s="24"/>
      <c r="P20385" s="24"/>
      <c r="Q20385" s="24"/>
      <c r="R20385" s="24"/>
      <c r="S20385" s="24"/>
      <c r="T20385" s="24"/>
      <c r="U20385" s="24"/>
      <c r="V20385" s="24"/>
      <c r="W20385" s="24"/>
      <c r="X20385" s="24"/>
      <c r="Y20385" s="24"/>
      <c r="Z20385" s="24"/>
      <c r="AA20385" s="24"/>
    </row>
    <row r="20386">
      <c r="A20386" s="24"/>
      <c r="B20386" s="25"/>
      <c r="C20386" s="24"/>
      <c r="D20386" s="26"/>
      <c r="E20386" s="24"/>
      <c r="F20386" s="24"/>
      <c r="G20386" s="24"/>
      <c r="H20386" s="24"/>
      <c r="I20386" s="24"/>
      <c r="J20386" s="24"/>
      <c r="K20386" s="24"/>
      <c r="L20386" s="24"/>
      <c r="M20386" s="24"/>
      <c r="N20386" s="24"/>
      <c r="O20386" s="24"/>
      <c r="P20386" s="24"/>
      <c r="Q20386" s="24"/>
      <c r="R20386" s="24"/>
      <c r="S20386" s="24"/>
      <c r="T20386" s="24"/>
      <c r="U20386" s="24"/>
      <c r="V20386" s="24"/>
      <c r="W20386" s="24"/>
      <c r="X20386" s="24"/>
      <c r="Y20386" s="24"/>
      <c r="Z20386" s="24"/>
      <c r="AA20386" s="24"/>
    </row>
    <row r="20387">
      <c r="A20387" s="24"/>
      <c r="B20387" s="25"/>
      <c r="C20387" s="24"/>
      <c r="D20387" s="26"/>
      <c r="E20387" s="24"/>
      <c r="F20387" s="24"/>
      <c r="G20387" s="24"/>
      <c r="H20387" s="24"/>
      <c r="I20387" s="24"/>
      <c r="J20387" s="24"/>
      <c r="K20387" s="24"/>
      <c r="L20387" s="24"/>
      <c r="M20387" s="24"/>
      <c r="N20387" s="24"/>
      <c r="O20387" s="24"/>
      <c r="P20387" s="24"/>
      <c r="Q20387" s="24"/>
      <c r="R20387" s="24"/>
      <c r="S20387" s="24"/>
      <c r="T20387" s="24"/>
      <c r="U20387" s="24"/>
      <c r="V20387" s="24"/>
      <c r="W20387" s="24"/>
      <c r="X20387" s="24"/>
      <c r="Y20387" s="24"/>
      <c r="Z20387" s="24"/>
      <c r="AA20387" s="24"/>
    </row>
    <row r="20388">
      <c r="A20388" s="24"/>
      <c r="B20388" s="25"/>
      <c r="C20388" s="24"/>
      <c r="D20388" s="26"/>
      <c r="E20388" s="24"/>
      <c r="F20388" s="24"/>
      <c r="G20388" s="24"/>
      <c r="H20388" s="24"/>
      <c r="I20388" s="24"/>
      <c r="J20388" s="24"/>
      <c r="K20388" s="24"/>
      <c r="L20388" s="24"/>
      <c r="M20388" s="24"/>
      <c r="N20388" s="24"/>
      <c r="O20388" s="24"/>
      <c r="P20388" s="24"/>
      <c r="Q20388" s="24"/>
      <c r="R20388" s="24"/>
      <c r="S20388" s="24"/>
      <c r="T20388" s="24"/>
      <c r="U20388" s="24"/>
      <c r="V20388" s="24"/>
      <c r="W20388" s="24"/>
      <c r="X20388" s="24"/>
      <c r="Y20388" s="24"/>
      <c r="Z20388" s="24"/>
      <c r="AA20388" s="24"/>
    </row>
    <row r="20389">
      <c r="A20389" s="24"/>
      <c r="B20389" s="25"/>
      <c r="C20389" s="24"/>
      <c r="D20389" s="26"/>
      <c r="E20389" s="24"/>
      <c r="F20389" s="24"/>
      <c r="G20389" s="24"/>
      <c r="H20389" s="24"/>
      <c r="I20389" s="24"/>
      <c r="J20389" s="24"/>
      <c r="K20389" s="24"/>
      <c r="L20389" s="24"/>
      <c r="M20389" s="24"/>
      <c r="N20389" s="24"/>
      <c r="O20389" s="24"/>
      <c r="P20389" s="24"/>
      <c r="Q20389" s="24"/>
      <c r="R20389" s="24"/>
      <c r="S20389" s="24"/>
      <c r="T20389" s="24"/>
      <c r="U20389" s="24"/>
      <c r="V20389" s="24"/>
      <c r="W20389" s="24"/>
      <c r="X20389" s="24"/>
      <c r="Y20389" s="24"/>
      <c r="Z20389" s="24"/>
      <c r="AA20389" s="24"/>
    </row>
    <row r="20390">
      <c r="A20390" s="24"/>
      <c r="B20390" s="25"/>
      <c r="C20390" s="24"/>
      <c r="D20390" s="26"/>
      <c r="E20390" s="24"/>
      <c r="F20390" s="24"/>
      <c r="G20390" s="24"/>
      <c r="H20390" s="24"/>
      <c r="I20390" s="24"/>
      <c r="J20390" s="24"/>
      <c r="K20390" s="24"/>
      <c r="L20390" s="24"/>
      <c r="M20390" s="24"/>
      <c r="N20390" s="24"/>
      <c r="O20390" s="24"/>
      <c r="P20390" s="24"/>
      <c r="Q20390" s="24"/>
      <c r="R20390" s="24"/>
      <c r="S20390" s="24"/>
      <c r="T20390" s="24"/>
      <c r="U20390" s="24"/>
      <c r="V20390" s="24"/>
      <c r="W20390" s="24"/>
      <c r="X20390" s="24"/>
      <c r="Y20390" s="24"/>
      <c r="Z20390" s="24"/>
      <c r="AA20390" s="24"/>
    </row>
    <row r="20391">
      <c r="A20391" s="24"/>
      <c r="B20391" s="25"/>
      <c r="C20391" s="24"/>
      <c r="D20391" s="26"/>
      <c r="E20391" s="24"/>
      <c r="F20391" s="24"/>
      <c r="G20391" s="24"/>
      <c r="H20391" s="24"/>
      <c r="I20391" s="24"/>
      <c r="J20391" s="24"/>
      <c r="K20391" s="24"/>
      <c r="L20391" s="24"/>
      <c r="M20391" s="24"/>
      <c r="N20391" s="24"/>
      <c r="O20391" s="24"/>
      <c r="P20391" s="24"/>
      <c r="Q20391" s="24"/>
      <c r="R20391" s="24"/>
      <c r="S20391" s="24"/>
      <c r="T20391" s="24"/>
      <c r="U20391" s="24"/>
      <c r="V20391" s="24"/>
      <c r="W20391" s="24"/>
      <c r="X20391" s="24"/>
      <c r="Y20391" s="24"/>
      <c r="Z20391" s="24"/>
      <c r="AA20391" s="24"/>
    </row>
    <row r="20392">
      <c r="A20392" s="24"/>
      <c r="B20392" s="25"/>
      <c r="C20392" s="24"/>
      <c r="D20392" s="26"/>
      <c r="E20392" s="24"/>
      <c r="F20392" s="24"/>
      <c r="G20392" s="24"/>
      <c r="H20392" s="24"/>
      <c r="I20392" s="24"/>
      <c r="J20392" s="24"/>
      <c r="K20392" s="24"/>
      <c r="L20392" s="24"/>
      <c r="M20392" s="24"/>
      <c r="N20392" s="24"/>
      <c r="O20392" s="24"/>
      <c r="P20392" s="24"/>
      <c r="Q20392" s="24"/>
      <c r="R20392" s="24"/>
      <c r="S20392" s="24"/>
      <c r="T20392" s="24"/>
      <c r="U20392" s="24"/>
      <c r="V20392" s="24"/>
      <c r="W20392" s="24"/>
      <c r="X20392" s="24"/>
      <c r="Y20392" s="24"/>
      <c r="Z20392" s="24"/>
      <c r="AA20392" s="24"/>
    </row>
    <row r="20393">
      <c r="A20393" s="24"/>
      <c r="B20393" s="25"/>
      <c r="C20393" s="24"/>
      <c r="D20393" s="26"/>
      <c r="E20393" s="24"/>
      <c r="F20393" s="24"/>
      <c r="G20393" s="24"/>
      <c r="H20393" s="24"/>
      <c r="I20393" s="24"/>
      <c r="J20393" s="24"/>
      <c r="K20393" s="24"/>
      <c r="L20393" s="24"/>
      <c r="M20393" s="24"/>
      <c r="N20393" s="24"/>
      <c r="O20393" s="24"/>
      <c r="P20393" s="24"/>
      <c r="Q20393" s="24"/>
      <c r="R20393" s="24"/>
      <c r="S20393" s="24"/>
      <c r="T20393" s="24"/>
      <c r="U20393" s="24"/>
      <c r="V20393" s="24"/>
      <c r="W20393" s="24"/>
      <c r="X20393" s="24"/>
      <c r="Y20393" s="24"/>
      <c r="Z20393" s="24"/>
      <c r="AA20393" s="24"/>
    </row>
    <row r="20394">
      <c r="A20394" s="24"/>
      <c r="B20394" s="25"/>
      <c r="C20394" s="24"/>
      <c r="D20394" s="26"/>
      <c r="E20394" s="24"/>
      <c r="F20394" s="24"/>
      <c r="G20394" s="24"/>
      <c r="H20394" s="24"/>
      <c r="I20394" s="24"/>
      <c r="J20394" s="24"/>
      <c r="K20394" s="24"/>
      <c r="L20394" s="24"/>
      <c r="M20394" s="24"/>
      <c r="N20394" s="24"/>
      <c r="O20394" s="24"/>
      <c r="P20394" s="24"/>
      <c r="Q20394" s="24"/>
      <c r="R20394" s="24"/>
      <c r="S20394" s="24"/>
      <c r="T20394" s="24"/>
      <c r="U20394" s="24"/>
      <c r="V20394" s="24"/>
      <c r="W20394" s="24"/>
      <c r="X20394" s="24"/>
      <c r="Y20394" s="24"/>
      <c r="Z20394" s="24"/>
      <c r="AA20394" s="24"/>
    </row>
    <row r="20395">
      <c r="A20395" s="24"/>
      <c r="B20395" s="25"/>
      <c r="C20395" s="24"/>
      <c r="D20395" s="26"/>
      <c r="E20395" s="24"/>
      <c r="F20395" s="24"/>
      <c r="G20395" s="24"/>
      <c r="H20395" s="24"/>
      <c r="I20395" s="24"/>
      <c r="J20395" s="24"/>
      <c r="K20395" s="24"/>
      <c r="L20395" s="24"/>
      <c r="M20395" s="24"/>
      <c r="N20395" s="24"/>
      <c r="O20395" s="24"/>
      <c r="P20395" s="24"/>
      <c r="Q20395" s="24"/>
      <c r="R20395" s="24"/>
      <c r="S20395" s="24"/>
      <c r="T20395" s="24"/>
      <c r="U20395" s="24"/>
      <c r="V20395" s="24"/>
      <c r="W20395" s="24"/>
      <c r="X20395" s="24"/>
      <c r="Y20395" s="24"/>
      <c r="Z20395" s="24"/>
      <c r="AA20395" s="24"/>
    </row>
    <row r="20396">
      <c r="A20396" s="24"/>
      <c r="B20396" s="25"/>
      <c r="C20396" s="24"/>
      <c r="D20396" s="26"/>
      <c r="E20396" s="24"/>
      <c r="F20396" s="24"/>
      <c r="G20396" s="24"/>
      <c r="H20396" s="24"/>
      <c r="I20396" s="24"/>
      <c r="J20396" s="24"/>
      <c r="K20396" s="24"/>
      <c r="L20396" s="24"/>
      <c r="M20396" s="24"/>
      <c r="N20396" s="24"/>
      <c r="O20396" s="24"/>
      <c r="P20396" s="24"/>
      <c r="Q20396" s="24"/>
      <c r="R20396" s="24"/>
      <c r="S20396" s="24"/>
      <c r="T20396" s="24"/>
      <c r="U20396" s="24"/>
      <c r="V20396" s="24"/>
      <c r="W20396" s="24"/>
      <c r="X20396" s="24"/>
      <c r="Y20396" s="24"/>
      <c r="Z20396" s="24"/>
      <c r="AA20396" s="24"/>
    </row>
    <row r="20397">
      <c r="A20397" s="24"/>
      <c r="B20397" s="25"/>
      <c r="C20397" s="24"/>
      <c r="D20397" s="26"/>
      <c r="E20397" s="24"/>
      <c r="F20397" s="24"/>
      <c r="G20397" s="24"/>
      <c r="H20397" s="24"/>
      <c r="I20397" s="24"/>
      <c r="J20397" s="24"/>
      <c r="K20397" s="24"/>
      <c r="L20397" s="24"/>
      <c r="M20397" s="24"/>
      <c r="N20397" s="24"/>
      <c r="O20397" s="24"/>
      <c r="P20397" s="24"/>
      <c r="Q20397" s="24"/>
      <c r="R20397" s="24"/>
      <c r="S20397" s="24"/>
      <c r="T20397" s="24"/>
      <c r="U20397" s="24"/>
      <c r="V20397" s="24"/>
      <c r="W20397" s="24"/>
      <c r="X20397" s="24"/>
      <c r="Y20397" s="24"/>
      <c r="Z20397" s="24"/>
      <c r="AA20397" s="24"/>
    </row>
    <row r="20398">
      <c r="A20398" s="24"/>
      <c r="B20398" s="25"/>
      <c r="C20398" s="24"/>
      <c r="D20398" s="26"/>
      <c r="E20398" s="24"/>
      <c r="F20398" s="24"/>
      <c r="G20398" s="24"/>
      <c r="H20398" s="24"/>
      <c r="I20398" s="24"/>
      <c r="J20398" s="24"/>
      <c r="K20398" s="24"/>
      <c r="L20398" s="24"/>
      <c r="M20398" s="24"/>
      <c r="N20398" s="24"/>
      <c r="O20398" s="24"/>
      <c r="P20398" s="24"/>
      <c r="Q20398" s="24"/>
      <c r="R20398" s="24"/>
      <c r="S20398" s="24"/>
      <c r="T20398" s="24"/>
      <c r="U20398" s="24"/>
      <c r="V20398" s="24"/>
      <c r="W20398" s="24"/>
      <c r="X20398" s="24"/>
      <c r="Y20398" s="24"/>
      <c r="Z20398" s="24"/>
      <c r="AA20398" s="24"/>
    </row>
    <row r="20399">
      <c r="A20399" s="24"/>
      <c r="B20399" s="25"/>
      <c r="C20399" s="24"/>
      <c r="D20399" s="26"/>
      <c r="E20399" s="24"/>
      <c r="F20399" s="24"/>
      <c r="G20399" s="24"/>
      <c r="H20399" s="24"/>
      <c r="I20399" s="24"/>
      <c r="J20399" s="24"/>
      <c r="K20399" s="24"/>
      <c r="L20399" s="24"/>
      <c r="M20399" s="24"/>
      <c r="N20399" s="24"/>
      <c r="O20399" s="24"/>
      <c r="P20399" s="24"/>
      <c r="Q20399" s="24"/>
      <c r="R20399" s="24"/>
      <c r="S20399" s="24"/>
      <c r="T20399" s="24"/>
      <c r="U20399" s="24"/>
      <c r="V20399" s="24"/>
      <c r="W20399" s="24"/>
      <c r="X20399" s="24"/>
      <c r="Y20399" s="24"/>
      <c r="Z20399" s="24"/>
      <c r="AA20399" s="24"/>
    </row>
    <row r="20400">
      <c r="A20400" s="24"/>
      <c r="B20400" s="25"/>
      <c r="C20400" s="24"/>
      <c r="D20400" s="26"/>
      <c r="E20400" s="24"/>
      <c r="F20400" s="24"/>
      <c r="G20400" s="24"/>
      <c r="H20400" s="24"/>
      <c r="I20400" s="24"/>
      <c r="J20400" s="24"/>
      <c r="K20400" s="24"/>
      <c r="L20400" s="24"/>
      <c r="M20400" s="24"/>
      <c r="N20400" s="24"/>
      <c r="O20400" s="24"/>
      <c r="P20400" s="24"/>
      <c r="Q20400" s="24"/>
      <c r="R20400" s="24"/>
      <c r="S20400" s="24"/>
      <c r="T20400" s="24"/>
      <c r="U20400" s="24"/>
      <c r="V20400" s="24"/>
      <c r="W20400" s="24"/>
      <c r="X20400" s="24"/>
      <c r="Y20400" s="24"/>
      <c r="Z20400" s="24"/>
      <c r="AA20400" s="24"/>
    </row>
    <row r="20401">
      <c r="A20401" s="24"/>
      <c r="B20401" s="25"/>
      <c r="C20401" s="24"/>
      <c r="D20401" s="26"/>
      <c r="E20401" s="24"/>
      <c r="F20401" s="24"/>
      <c r="G20401" s="24"/>
      <c r="H20401" s="24"/>
      <c r="I20401" s="24"/>
      <c r="J20401" s="24"/>
      <c r="K20401" s="24"/>
      <c r="L20401" s="24"/>
      <c r="M20401" s="24"/>
      <c r="N20401" s="24"/>
      <c r="O20401" s="24"/>
      <c r="P20401" s="24"/>
      <c r="Q20401" s="24"/>
      <c r="R20401" s="24"/>
      <c r="S20401" s="24"/>
      <c r="T20401" s="24"/>
      <c r="U20401" s="24"/>
      <c r="V20401" s="24"/>
      <c r="W20401" s="24"/>
      <c r="X20401" s="24"/>
      <c r="Y20401" s="24"/>
      <c r="Z20401" s="24"/>
      <c r="AA20401" s="24"/>
    </row>
    <row r="20402">
      <c r="A20402" s="24"/>
      <c r="B20402" s="25"/>
      <c r="C20402" s="24"/>
      <c r="D20402" s="26"/>
      <c r="E20402" s="24"/>
      <c r="F20402" s="24"/>
      <c r="G20402" s="24"/>
      <c r="H20402" s="24"/>
      <c r="I20402" s="24"/>
      <c r="J20402" s="24"/>
      <c r="K20402" s="24"/>
      <c r="L20402" s="24"/>
      <c r="M20402" s="24"/>
      <c r="N20402" s="24"/>
      <c r="O20402" s="24"/>
      <c r="P20402" s="24"/>
      <c r="Q20402" s="24"/>
      <c r="R20402" s="24"/>
      <c r="S20402" s="24"/>
      <c r="T20402" s="24"/>
      <c r="U20402" s="24"/>
      <c r="V20402" s="24"/>
      <c r="W20402" s="24"/>
      <c r="X20402" s="24"/>
      <c r="Y20402" s="24"/>
      <c r="Z20402" s="24"/>
      <c r="AA20402" s="24"/>
    </row>
    <row r="20403">
      <c r="A20403" s="24"/>
      <c r="B20403" s="25"/>
      <c r="C20403" s="24"/>
      <c r="D20403" s="26"/>
      <c r="E20403" s="24"/>
      <c r="F20403" s="24"/>
      <c r="G20403" s="24"/>
      <c r="H20403" s="24"/>
      <c r="I20403" s="24"/>
      <c r="J20403" s="24"/>
      <c r="K20403" s="24"/>
      <c r="L20403" s="24"/>
      <c r="M20403" s="24"/>
      <c r="N20403" s="24"/>
      <c r="O20403" s="24"/>
      <c r="P20403" s="24"/>
      <c r="Q20403" s="24"/>
      <c r="R20403" s="24"/>
      <c r="S20403" s="24"/>
      <c r="T20403" s="24"/>
      <c r="U20403" s="24"/>
      <c r="V20403" s="24"/>
      <c r="W20403" s="24"/>
      <c r="X20403" s="24"/>
      <c r="Y20403" s="24"/>
      <c r="Z20403" s="24"/>
      <c r="AA20403" s="24"/>
    </row>
    <row r="20404">
      <c r="A20404" s="24"/>
      <c r="B20404" s="25"/>
      <c r="C20404" s="24"/>
      <c r="D20404" s="26"/>
      <c r="E20404" s="24"/>
      <c r="F20404" s="24"/>
      <c r="G20404" s="24"/>
      <c r="H20404" s="24"/>
      <c r="I20404" s="24"/>
      <c r="J20404" s="24"/>
      <c r="K20404" s="24"/>
      <c r="L20404" s="24"/>
      <c r="M20404" s="24"/>
      <c r="N20404" s="24"/>
      <c r="O20404" s="24"/>
      <c r="P20404" s="24"/>
      <c r="Q20404" s="24"/>
      <c r="R20404" s="24"/>
      <c r="S20404" s="24"/>
      <c r="T20404" s="24"/>
      <c r="U20404" s="24"/>
      <c r="V20404" s="24"/>
      <c r="W20404" s="24"/>
      <c r="X20404" s="24"/>
      <c r="Y20404" s="24"/>
      <c r="Z20404" s="24"/>
      <c r="AA20404" s="24"/>
    </row>
    <row r="20405">
      <c r="A20405" s="24"/>
      <c r="B20405" s="25"/>
      <c r="C20405" s="24"/>
      <c r="D20405" s="26"/>
      <c r="E20405" s="24"/>
      <c r="F20405" s="24"/>
      <c r="G20405" s="24"/>
      <c r="H20405" s="24"/>
      <c r="I20405" s="24"/>
      <c r="J20405" s="24"/>
      <c r="K20405" s="24"/>
      <c r="L20405" s="24"/>
      <c r="M20405" s="24"/>
      <c r="N20405" s="24"/>
      <c r="O20405" s="24"/>
      <c r="P20405" s="24"/>
      <c r="Q20405" s="24"/>
      <c r="R20405" s="24"/>
      <c r="S20405" s="24"/>
      <c r="T20405" s="24"/>
      <c r="U20405" s="24"/>
      <c r="V20405" s="24"/>
      <c r="W20405" s="24"/>
      <c r="X20405" s="24"/>
      <c r="Y20405" s="24"/>
      <c r="Z20405" s="24"/>
      <c r="AA20405" s="24"/>
    </row>
    <row r="20406">
      <c r="A20406" s="24"/>
      <c r="B20406" s="25"/>
      <c r="C20406" s="24"/>
      <c r="D20406" s="26"/>
      <c r="E20406" s="24"/>
      <c r="F20406" s="24"/>
      <c r="G20406" s="24"/>
      <c r="H20406" s="24"/>
      <c r="I20406" s="24"/>
      <c r="J20406" s="24"/>
      <c r="K20406" s="24"/>
      <c r="L20406" s="24"/>
      <c r="M20406" s="24"/>
      <c r="N20406" s="24"/>
      <c r="O20406" s="24"/>
      <c r="P20406" s="24"/>
      <c r="Q20406" s="24"/>
      <c r="R20406" s="24"/>
      <c r="S20406" s="24"/>
      <c r="T20406" s="24"/>
      <c r="U20406" s="24"/>
      <c r="V20406" s="24"/>
      <c r="W20406" s="24"/>
      <c r="X20406" s="24"/>
      <c r="Y20406" s="24"/>
      <c r="Z20406" s="24"/>
      <c r="AA20406" s="24"/>
    </row>
    <row r="20407">
      <c r="A20407" s="24"/>
      <c r="B20407" s="25"/>
      <c r="C20407" s="24"/>
      <c r="D20407" s="26"/>
      <c r="E20407" s="24"/>
      <c r="F20407" s="24"/>
      <c r="G20407" s="24"/>
      <c r="H20407" s="24"/>
      <c r="I20407" s="24"/>
      <c r="J20407" s="24"/>
      <c r="K20407" s="24"/>
      <c r="L20407" s="24"/>
      <c r="M20407" s="24"/>
      <c r="N20407" s="24"/>
      <c r="O20407" s="24"/>
      <c r="P20407" s="24"/>
      <c r="Q20407" s="24"/>
      <c r="R20407" s="24"/>
      <c r="S20407" s="24"/>
      <c r="T20407" s="24"/>
      <c r="U20407" s="24"/>
      <c r="V20407" s="24"/>
      <c r="W20407" s="24"/>
      <c r="X20407" s="24"/>
      <c r="Y20407" s="24"/>
      <c r="Z20407" s="24"/>
      <c r="AA20407" s="24"/>
    </row>
    <row r="20408">
      <c r="A20408" s="24"/>
      <c r="B20408" s="25"/>
      <c r="C20408" s="24"/>
      <c r="D20408" s="26"/>
      <c r="E20408" s="24"/>
      <c r="F20408" s="24"/>
      <c r="G20408" s="24"/>
      <c r="H20408" s="24"/>
      <c r="I20408" s="24"/>
      <c r="J20408" s="24"/>
      <c r="K20408" s="24"/>
      <c r="L20408" s="24"/>
      <c r="M20408" s="24"/>
      <c r="N20408" s="24"/>
      <c r="O20408" s="24"/>
      <c r="P20408" s="24"/>
      <c r="Q20408" s="24"/>
      <c r="R20408" s="24"/>
      <c r="S20408" s="24"/>
      <c r="T20408" s="24"/>
      <c r="U20408" s="24"/>
      <c r="V20408" s="24"/>
      <c r="W20408" s="24"/>
      <c r="X20408" s="24"/>
      <c r="Y20408" s="24"/>
      <c r="Z20408" s="24"/>
      <c r="AA20408" s="24"/>
    </row>
    <row r="20409">
      <c r="A20409" s="24"/>
      <c r="B20409" s="25"/>
      <c r="C20409" s="24"/>
      <c r="D20409" s="26"/>
      <c r="E20409" s="24"/>
      <c r="F20409" s="24"/>
      <c r="G20409" s="24"/>
      <c r="H20409" s="24"/>
      <c r="I20409" s="24"/>
      <c r="J20409" s="24"/>
      <c r="K20409" s="24"/>
      <c r="L20409" s="24"/>
      <c r="M20409" s="24"/>
      <c r="N20409" s="24"/>
      <c r="O20409" s="24"/>
      <c r="P20409" s="24"/>
      <c r="Q20409" s="24"/>
      <c r="R20409" s="24"/>
      <c r="S20409" s="24"/>
      <c r="T20409" s="24"/>
      <c r="U20409" s="24"/>
      <c r="V20409" s="24"/>
      <c r="W20409" s="24"/>
      <c r="X20409" s="24"/>
      <c r="Y20409" s="24"/>
      <c r="Z20409" s="24"/>
      <c r="AA20409" s="24"/>
    </row>
    <row r="20410">
      <c r="A20410" s="24"/>
      <c r="B20410" s="25"/>
      <c r="C20410" s="24"/>
      <c r="D20410" s="26"/>
      <c r="E20410" s="24"/>
      <c r="F20410" s="24"/>
      <c r="G20410" s="24"/>
      <c r="H20410" s="24"/>
      <c r="I20410" s="24"/>
      <c r="J20410" s="24"/>
      <c r="K20410" s="24"/>
      <c r="L20410" s="24"/>
      <c r="M20410" s="24"/>
      <c r="N20410" s="24"/>
      <c r="O20410" s="24"/>
      <c r="P20410" s="24"/>
      <c r="Q20410" s="24"/>
      <c r="R20410" s="24"/>
      <c r="S20410" s="24"/>
      <c r="T20410" s="24"/>
      <c r="U20410" s="24"/>
      <c r="V20410" s="24"/>
      <c r="W20410" s="24"/>
      <c r="X20410" s="24"/>
      <c r="Y20410" s="24"/>
      <c r="Z20410" s="24"/>
      <c r="AA20410" s="24"/>
    </row>
    <row r="20411">
      <c r="A20411" s="24"/>
      <c r="B20411" s="25"/>
      <c r="C20411" s="24"/>
      <c r="D20411" s="26"/>
      <c r="E20411" s="24"/>
      <c r="F20411" s="24"/>
      <c r="G20411" s="24"/>
      <c r="H20411" s="24"/>
      <c r="I20411" s="24"/>
      <c r="J20411" s="24"/>
      <c r="K20411" s="24"/>
      <c r="L20411" s="24"/>
      <c r="M20411" s="24"/>
      <c r="N20411" s="24"/>
      <c r="O20411" s="24"/>
      <c r="P20411" s="24"/>
      <c r="Q20411" s="24"/>
      <c r="R20411" s="24"/>
      <c r="S20411" s="24"/>
      <c r="T20411" s="24"/>
      <c r="U20411" s="24"/>
      <c r="V20411" s="24"/>
      <c r="W20411" s="24"/>
      <c r="X20411" s="24"/>
      <c r="Y20411" s="24"/>
      <c r="Z20411" s="24"/>
      <c r="AA20411" s="24"/>
    </row>
    <row r="20412">
      <c r="A20412" s="24"/>
      <c r="B20412" s="25"/>
      <c r="C20412" s="24"/>
      <c r="D20412" s="26"/>
      <c r="E20412" s="24"/>
      <c r="F20412" s="24"/>
      <c r="G20412" s="24"/>
      <c r="H20412" s="24"/>
      <c r="I20412" s="24"/>
      <c r="J20412" s="24"/>
      <c r="K20412" s="24"/>
      <c r="L20412" s="24"/>
      <c r="M20412" s="24"/>
      <c r="N20412" s="24"/>
      <c r="O20412" s="24"/>
      <c r="P20412" s="24"/>
      <c r="Q20412" s="24"/>
      <c r="R20412" s="24"/>
      <c r="S20412" s="24"/>
      <c r="T20412" s="24"/>
      <c r="U20412" s="24"/>
      <c r="V20412" s="24"/>
      <c r="W20412" s="24"/>
      <c r="X20412" s="24"/>
      <c r="Y20412" s="24"/>
      <c r="Z20412" s="24"/>
      <c r="AA20412" s="24"/>
    </row>
    <row r="20413">
      <c r="A20413" s="24"/>
      <c r="B20413" s="25"/>
      <c r="C20413" s="24"/>
      <c r="D20413" s="26"/>
      <c r="E20413" s="24"/>
      <c r="F20413" s="24"/>
      <c r="G20413" s="24"/>
      <c r="H20413" s="24"/>
      <c r="I20413" s="24"/>
      <c r="J20413" s="24"/>
      <c r="K20413" s="24"/>
      <c r="L20413" s="24"/>
      <c r="M20413" s="24"/>
      <c r="N20413" s="24"/>
      <c r="O20413" s="24"/>
      <c r="P20413" s="24"/>
      <c r="Q20413" s="24"/>
      <c r="R20413" s="24"/>
      <c r="S20413" s="24"/>
      <c r="T20413" s="24"/>
      <c r="U20413" s="24"/>
      <c r="V20413" s="24"/>
      <c r="W20413" s="24"/>
      <c r="X20413" s="24"/>
      <c r="Y20413" s="24"/>
      <c r="Z20413" s="24"/>
      <c r="AA20413" s="24"/>
    </row>
    <row r="20414">
      <c r="A20414" s="24"/>
      <c r="B20414" s="25"/>
      <c r="C20414" s="24"/>
      <c r="D20414" s="26"/>
      <c r="E20414" s="24"/>
      <c r="F20414" s="24"/>
      <c r="G20414" s="24"/>
      <c r="H20414" s="24"/>
      <c r="I20414" s="24"/>
      <c r="J20414" s="24"/>
      <c r="K20414" s="24"/>
      <c r="L20414" s="24"/>
      <c r="M20414" s="24"/>
      <c r="N20414" s="24"/>
      <c r="O20414" s="24"/>
      <c r="P20414" s="24"/>
      <c r="Q20414" s="24"/>
      <c r="R20414" s="24"/>
      <c r="S20414" s="24"/>
      <c r="T20414" s="24"/>
      <c r="U20414" s="24"/>
      <c r="V20414" s="24"/>
      <c r="W20414" s="24"/>
      <c r="X20414" s="24"/>
      <c r="Y20414" s="24"/>
      <c r="Z20414" s="24"/>
      <c r="AA20414" s="24"/>
    </row>
    <row r="20415">
      <c r="A20415" s="24"/>
      <c r="B20415" s="25"/>
      <c r="C20415" s="24"/>
      <c r="D20415" s="26"/>
      <c r="E20415" s="24"/>
      <c r="F20415" s="24"/>
      <c r="G20415" s="24"/>
      <c r="H20415" s="24"/>
      <c r="I20415" s="24"/>
      <c r="J20415" s="24"/>
      <c r="K20415" s="24"/>
      <c r="L20415" s="24"/>
      <c r="M20415" s="24"/>
      <c r="N20415" s="24"/>
      <c r="O20415" s="24"/>
      <c r="P20415" s="24"/>
      <c r="Q20415" s="24"/>
      <c r="R20415" s="24"/>
      <c r="S20415" s="24"/>
      <c r="T20415" s="24"/>
      <c r="U20415" s="24"/>
      <c r="V20415" s="24"/>
      <c r="W20415" s="24"/>
      <c r="X20415" s="24"/>
      <c r="Y20415" s="24"/>
      <c r="Z20415" s="24"/>
      <c r="AA20415" s="24"/>
    </row>
    <row r="20416">
      <c r="A20416" s="24"/>
      <c r="B20416" s="25"/>
      <c r="C20416" s="24"/>
      <c r="D20416" s="26"/>
      <c r="E20416" s="24"/>
      <c r="F20416" s="24"/>
      <c r="G20416" s="24"/>
      <c r="H20416" s="24"/>
      <c r="I20416" s="24"/>
      <c r="J20416" s="24"/>
      <c r="K20416" s="24"/>
      <c r="L20416" s="24"/>
      <c r="M20416" s="24"/>
      <c r="N20416" s="24"/>
      <c r="O20416" s="24"/>
      <c r="P20416" s="24"/>
      <c r="Q20416" s="24"/>
      <c r="R20416" s="24"/>
      <c r="S20416" s="24"/>
      <c r="T20416" s="24"/>
      <c r="U20416" s="24"/>
      <c r="V20416" s="24"/>
      <c r="W20416" s="24"/>
      <c r="X20416" s="24"/>
      <c r="Y20416" s="24"/>
      <c r="Z20416" s="24"/>
      <c r="AA20416" s="24"/>
    </row>
    <row r="20417">
      <c r="A20417" s="24"/>
      <c r="B20417" s="25"/>
      <c r="C20417" s="24"/>
      <c r="D20417" s="26"/>
      <c r="E20417" s="24"/>
      <c r="F20417" s="24"/>
      <c r="G20417" s="24"/>
      <c r="H20417" s="24"/>
      <c r="I20417" s="24"/>
      <c r="J20417" s="24"/>
      <c r="K20417" s="24"/>
      <c r="L20417" s="24"/>
      <c r="M20417" s="24"/>
      <c r="N20417" s="24"/>
      <c r="O20417" s="24"/>
      <c r="P20417" s="24"/>
      <c r="Q20417" s="24"/>
      <c r="R20417" s="24"/>
      <c r="S20417" s="24"/>
      <c r="T20417" s="24"/>
      <c r="U20417" s="24"/>
      <c r="V20417" s="24"/>
      <c r="W20417" s="24"/>
      <c r="X20417" s="24"/>
      <c r="Y20417" s="24"/>
      <c r="Z20417" s="24"/>
      <c r="AA20417" s="24"/>
    </row>
    <row r="20418">
      <c r="A20418" s="24"/>
      <c r="B20418" s="25"/>
      <c r="C20418" s="24"/>
      <c r="D20418" s="26"/>
      <c r="E20418" s="24"/>
      <c r="F20418" s="24"/>
      <c r="G20418" s="24"/>
      <c r="H20418" s="24"/>
      <c r="I20418" s="24"/>
      <c r="J20418" s="24"/>
      <c r="K20418" s="24"/>
      <c r="L20418" s="24"/>
      <c r="M20418" s="24"/>
      <c r="N20418" s="24"/>
      <c r="O20418" s="24"/>
      <c r="P20418" s="24"/>
      <c r="Q20418" s="24"/>
      <c r="R20418" s="24"/>
      <c r="S20418" s="24"/>
      <c r="T20418" s="24"/>
      <c r="U20418" s="24"/>
      <c r="V20418" s="24"/>
      <c r="W20418" s="24"/>
      <c r="X20418" s="24"/>
      <c r="Y20418" s="24"/>
      <c r="Z20418" s="24"/>
      <c r="AA20418" s="24"/>
    </row>
    <row r="20419">
      <c r="A20419" s="24"/>
      <c r="B20419" s="25"/>
      <c r="C20419" s="24"/>
      <c r="D20419" s="26"/>
      <c r="E20419" s="24"/>
      <c r="F20419" s="24"/>
      <c r="G20419" s="24"/>
      <c r="H20419" s="24"/>
      <c r="I20419" s="24"/>
      <c r="J20419" s="24"/>
      <c r="K20419" s="24"/>
      <c r="L20419" s="24"/>
      <c r="M20419" s="24"/>
      <c r="N20419" s="24"/>
      <c r="O20419" s="24"/>
      <c r="P20419" s="24"/>
      <c r="Q20419" s="24"/>
      <c r="R20419" s="24"/>
      <c r="S20419" s="24"/>
      <c r="T20419" s="24"/>
      <c r="U20419" s="24"/>
      <c r="V20419" s="24"/>
      <c r="W20419" s="24"/>
      <c r="X20419" s="24"/>
      <c r="Y20419" s="24"/>
      <c r="Z20419" s="24"/>
      <c r="AA20419" s="24"/>
    </row>
    <row r="20420">
      <c r="A20420" s="24"/>
      <c r="B20420" s="25"/>
      <c r="C20420" s="24"/>
      <c r="D20420" s="26"/>
      <c r="E20420" s="24"/>
      <c r="F20420" s="24"/>
      <c r="G20420" s="24"/>
      <c r="H20420" s="24"/>
      <c r="I20420" s="24"/>
      <c r="J20420" s="24"/>
      <c r="K20420" s="24"/>
      <c r="L20420" s="24"/>
      <c r="M20420" s="24"/>
      <c r="N20420" s="24"/>
      <c r="O20420" s="24"/>
      <c r="P20420" s="24"/>
      <c r="Q20420" s="24"/>
      <c r="R20420" s="24"/>
      <c r="S20420" s="24"/>
      <c r="T20420" s="24"/>
      <c r="U20420" s="24"/>
      <c r="V20420" s="24"/>
      <c r="W20420" s="24"/>
      <c r="X20420" s="24"/>
      <c r="Y20420" s="24"/>
      <c r="Z20420" s="24"/>
      <c r="AA20420" s="24"/>
    </row>
    <row r="20421">
      <c r="A20421" s="24"/>
      <c r="B20421" s="25"/>
      <c r="C20421" s="24"/>
      <c r="D20421" s="26"/>
      <c r="E20421" s="24"/>
      <c r="F20421" s="24"/>
      <c r="G20421" s="24"/>
      <c r="H20421" s="24"/>
      <c r="I20421" s="24"/>
      <c r="J20421" s="24"/>
      <c r="K20421" s="24"/>
      <c r="L20421" s="24"/>
      <c r="M20421" s="24"/>
      <c r="N20421" s="24"/>
      <c r="O20421" s="24"/>
      <c r="P20421" s="24"/>
      <c r="Q20421" s="24"/>
      <c r="R20421" s="24"/>
      <c r="S20421" s="24"/>
      <c r="T20421" s="24"/>
      <c r="U20421" s="24"/>
      <c r="V20421" s="24"/>
      <c r="W20421" s="24"/>
      <c r="X20421" s="24"/>
      <c r="Y20421" s="24"/>
      <c r="Z20421" s="24"/>
      <c r="AA20421" s="24"/>
    </row>
    <row r="20422">
      <c r="A20422" s="24"/>
      <c r="B20422" s="25"/>
      <c r="C20422" s="24"/>
      <c r="D20422" s="26"/>
      <c r="E20422" s="24"/>
      <c r="F20422" s="24"/>
      <c r="G20422" s="24"/>
      <c r="H20422" s="24"/>
      <c r="I20422" s="24"/>
      <c r="J20422" s="24"/>
      <c r="K20422" s="24"/>
      <c r="L20422" s="24"/>
      <c r="M20422" s="24"/>
      <c r="N20422" s="24"/>
      <c r="O20422" s="24"/>
      <c r="P20422" s="24"/>
      <c r="Q20422" s="24"/>
      <c r="R20422" s="24"/>
      <c r="S20422" s="24"/>
      <c r="T20422" s="24"/>
      <c r="U20422" s="24"/>
      <c r="V20422" s="24"/>
      <c r="W20422" s="24"/>
      <c r="X20422" s="24"/>
      <c r="Y20422" s="24"/>
      <c r="Z20422" s="24"/>
      <c r="AA20422" s="24"/>
    </row>
    <row r="20423">
      <c r="A20423" s="24"/>
      <c r="B20423" s="25"/>
      <c r="C20423" s="24"/>
      <c r="D20423" s="26"/>
      <c r="E20423" s="24"/>
      <c r="F20423" s="24"/>
      <c r="G20423" s="24"/>
      <c r="H20423" s="24"/>
      <c r="I20423" s="24"/>
      <c r="J20423" s="24"/>
      <c r="K20423" s="24"/>
      <c r="L20423" s="24"/>
      <c r="M20423" s="24"/>
      <c r="N20423" s="24"/>
      <c r="O20423" s="24"/>
      <c r="P20423" s="24"/>
      <c r="Q20423" s="24"/>
      <c r="R20423" s="24"/>
      <c r="S20423" s="24"/>
      <c r="T20423" s="24"/>
      <c r="U20423" s="24"/>
      <c r="V20423" s="24"/>
      <c r="W20423" s="24"/>
      <c r="X20423" s="24"/>
      <c r="Y20423" s="24"/>
      <c r="Z20423" s="24"/>
      <c r="AA20423" s="24"/>
    </row>
    <row r="20424">
      <c r="A20424" s="24"/>
      <c r="B20424" s="25"/>
      <c r="C20424" s="24"/>
      <c r="D20424" s="26"/>
      <c r="E20424" s="24"/>
      <c r="F20424" s="24"/>
      <c r="G20424" s="24"/>
      <c r="H20424" s="24"/>
      <c r="I20424" s="24"/>
      <c r="J20424" s="24"/>
      <c r="K20424" s="24"/>
      <c r="L20424" s="24"/>
      <c r="M20424" s="24"/>
      <c r="N20424" s="24"/>
      <c r="O20424" s="24"/>
      <c r="P20424" s="24"/>
      <c r="Q20424" s="24"/>
      <c r="R20424" s="24"/>
      <c r="S20424" s="24"/>
      <c r="T20424" s="24"/>
      <c r="U20424" s="24"/>
      <c r="V20424" s="24"/>
      <c r="W20424" s="24"/>
      <c r="X20424" s="24"/>
      <c r="Y20424" s="24"/>
      <c r="Z20424" s="24"/>
      <c r="AA20424" s="24"/>
    </row>
    <row r="20425">
      <c r="A20425" s="24"/>
      <c r="B20425" s="25"/>
      <c r="C20425" s="24"/>
      <c r="D20425" s="26"/>
      <c r="E20425" s="24"/>
      <c r="F20425" s="24"/>
      <c r="G20425" s="24"/>
      <c r="H20425" s="24"/>
      <c r="I20425" s="24"/>
      <c r="J20425" s="24"/>
      <c r="K20425" s="24"/>
      <c r="L20425" s="24"/>
      <c r="M20425" s="24"/>
      <c r="N20425" s="24"/>
      <c r="O20425" s="24"/>
      <c r="P20425" s="24"/>
      <c r="Q20425" s="24"/>
      <c r="R20425" s="24"/>
      <c r="S20425" s="24"/>
      <c r="T20425" s="24"/>
      <c r="U20425" s="24"/>
      <c r="V20425" s="24"/>
      <c r="W20425" s="24"/>
      <c r="X20425" s="24"/>
      <c r="Y20425" s="24"/>
      <c r="Z20425" s="24"/>
      <c r="AA20425" s="24"/>
    </row>
    <row r="20426">
      <c r="A20426" s="24"/>
      <c r="B20426" s="25"/>
      <c r="C20426" s="24"/>
      <c r="D20426" s="26"/>
      <c r="E20426" s="24"/>
      <c r="F20426" s="24"/>
      <c r="G20426" s="24"/>
      <c r="H20426" s="24"/>
      <c r="I20426" s="24"/>
      <c r="J20426" s="24"/>
      <c r="K20426" s="24"/>
      <c r="L20426" s="24"/>
      <c r="M20426" s="24"/>
      <c r="N20426" s="24"/>
      <c r="O20426" s="24"/>
      <c r="P20426" s="24"/>
      <c r="Q20426" s="24"/>
      <c r="R20426" s="24"/>
      <c r="S20426" s="24"/>
      <c r="T20426" s="24"/>
      <c r="U20426" s="24"/>
      <c r="V20426" s="24"/>
      <c r="W20426" s="24"/>
      <c r="X20426" s="24"/>
      <c r="Y20426" s="24"/>
      <c r="Z20426" s="24"/>
      <c r="AA20426" s="24"/>
    </row>
    <row r="20427">
      <c r="A20427" s="24"/>
      <c r="B20427" s="25"/>
      <c r="C20427" s="24"/>
      <c r="D20427" s="26"/>
      <c r="E20427" s="24"/>
      <c r="F20427" s="24"/>
      <c r="G20427" s="24"/>
      <c r="H20427" s="24"/>
      <c r="I20427" s="24"/>
      <c r="J20427" s="24"/>
      <c r="K20427" s="24"/>
      <c r="L20427" s="24"/>
      <c r="M20427" s="24"/>
      <c r="N20427" s="24"/>
      <c r="O20427" s="24"/>
      <c r="P20427" s="24"/>
      <c r="Q20427" s="24"/>
      <c r="R20427" s="24"/>
      <c r="S20427" s="24"/>
      <c r="T20427" s="24"/>
      <c r="U20427" s="24"/>
      <c r="V20427" s="24"/>
      <c r="W20427" s="24"/>
      <c r="X20427" s="24"/>
      <c r="Y20427" s="24"/>
      <c r="Z20427" s="24"/>
      <c r="AA20427" s="24"/>
    </row>
    <row r="20428">
      <c r="A20428" s="24"/>
      <c r="B20428" s="25"/>
      <c r="C20428" s="24"/>
      <c r="D20428" s="26"/>
      <c r="E20428" s="24"/>
      <c r="F20428" s="24"/>
      <c r="G20428" s="24"/>
      <c r="H20428" s="24"/>
      <c r="I20428" s="24"/>
      <c r="J20428" s="24"/>
      <c r="K20428" s="24"/>
      <c r="L20428" s="24"/>
      <c r="M20428" s="24"/>
      <c r="N20428" s="24"/>
      <c r="O20428" s="24"/>
      <c r="P20428" s="24"/>
      <c r="Q20428" s="24"/>
      <c r="R20428" s="24"/>
      <c r="S20428" s="24"/>
      <c r="T20428" s="24"/>
      <c r="U20428" s="24"/>
      <c r="V20428" s="24"/>
      <c r="W20428" s="24"/>
      <c r="X20428" s="24"/>
      <c r="Y20428" s="24"/>
      <c r="Z20428" s="24"/>
      <c r="AA20428" s="24"/>
    </row>
    <row r="20429">
      <c r="A20429" s="24"/>
      <c r="B20429" s="25"/>
      <c r="C20429" s="24"/>
      <c r="D20429" s="26"/>
      <c r="E20429" s="24"/>
      <c r="F20429" s="24"/>
      <c r="G20429" s="24"/>
      <c r="H20429" s="24"/>
      <c r="I20429" s="24"/>
      <c r="J20429" s="24"/>
      <c r="K20429" s="24"/>
      <c r="L20429" s="24"/>
      <c r="M20429" s="24"/>
      <c r="N20429" s="24"/>
      <c r="O20429" s="24"/>
      <c r="P20429" s="24"/>
      <c r="Q20429" s="24"/>
      <c r="R20429" s="24"/>
      <c r="S20429" s="24"/>
      <c r="T20429" s="24"/>
      <c r="U20429" s="24"/>
      <c r="V20429" s="24"/>
      <c r="W20429" s="24"/>
      <c r="X20429" s="24"/>
      <c r="Y20429" s="24"/>
      <c r="Z20429" s="24"/>
      <c r="AA20429" s="24"/>
    </row>
    <row r="20430">
      <c r="A20430" s="24"/>
      <c r="B20430" s="25"/>
      <c r="C20430" s="24"/>
      <c r="D20430" s="26"/>
      <c r="E20430" s="24"/>
      <c r="F20430" s="24"/>
      <c r="G20430" s="24"/>
      <c r="H20430" s="24"/>
      <c r="I20430" s="24"/>
      <c r="J20430" s="24"/>
      <c r="K20430" s="24"/>
      <c r="L20430" s="24"/>
      <c r="M20430" s="24"/>
      <c r="N20430" s="24"/>
      <c r="O20430" s="24"/>
      <c r="P20430" s="24"/>
      <c r="Q20430" s="24"/>
      <c r="R20430" s="24"/>
      <c r="S20430" s="24"/>
      <c r="T20430" s="24"/>
      <c r="U20430" s="24"/>
      <c r="V20430" s="24"/>
      <c r="W20430" s="24"/>
      <c r="X20430" s="24"/>
      <c r="Y20430" s="24"/>
      <c r="Z20430" s="24"/>
      <c r="AA20430" s="24"/>
    </row>
    <row r="20431">
      <c r="A20431" s="24"/>
      <c r="B20431" s="25"/>
      <c r="C20431" s="24"/>
      <c r="D20431" s="26"/>
      <c r="E20431" s="24"/>
      <c r="F20431" s="24"/>
      <c r="G20431" s="24"/>
      <c r="H20431" s="24"/>
      <c r="I20431" s="24"/>
      <c r="J20431" s="24"/>
      <c r="K20431" s="24"/>
      <c r="L20431" s="24"/>
      <c r="M20431" s="24"/>
      <c r="N20431" s="24"/>
      <c r="O20431" s="24"/>
      <c r="P20431" s="24"/>
      <c r="Q20431" s="24"/>
      <c r="R20431" s="24"/>
      <c r="S20431" s="24"/>
      <c r="T20431" s="24"/>
      <c r="U20431" s="24"/>
      <c r="V20431" s="24"/>
      <c r="W20431" s="24"/>
      <c r="X20431" s="24"/>
      <c r="Y20431" s="24"/>
      <c r="Z20431" s="24"/>
      <c r="AA20431" s="24"/>
    </row>
    <row r="20432">
      <c r="A20432" s="24"/>
      <c r="B20432" s="25"/>
      <c r="C20432" s="24"/>
      <c r="D20432" s="26"/>
      <c r="E20432" s="24"/>
      <c r="F20432" s="24"/>
      <c r="G20432" s="24"/>
      <c r="H20432" s="24"/>
      <c r="I20432" s="24"/>
      <c r="J20432" s="24"/>
      <c r="K20432" s="24"/>
      <c r="L20432" s="24"/>
      <c r="M20432" s="24"/>
      <c r="N20432" s="24"/>
      <c r="O20432" s="24"/>
      <c r="P20432" s="24"/>
      <c r="Q20432" s="24"/>
      <c r="R20432" s="24"/>
      <c r="S20432" s="24"/>
      <c r="T20432" s="24"/>
      <c r="U20432" s="24"/>
      <c r="V20432" s="24"/>
      <c r="W20432" s="24"/>
      <c r="X20432" s="24"/>
      <c r="Y20432" s="24"/>
      <c r="Z20432" s="24"/>
      <c r="AA20432" s="24"/>
    </row>
    <row r="20433">
      <c r="A20433" s="24"/>
      <c r="B20433" s="25"/>
      <c r="C20433" s="24"/>
      <c r="D20433" s="26"/>
      <c r="E20433" s="24"/>
      <c r="F20433" s="24"/>
      <c r="G20433" s="24"/>
      <c r="H20433" s="24"/>
      <c r="I20433" s="24"/>
      <c r="J20433" s="24"/>
      <c r="K20433" s="24"/>
      <c r="L20433" s="24"/>
      <c r="M20433" s="24"/>
      <c r="N20433" s="24"/>
      <c r="O20433" s="24"/>
      <c r="P20433" s="24"/>
      <c r="Q20433" s="24"/>
      <c r="R20433" s="24"/>
      <c r="S20433" s="24"/>
      <c r="T20433" s="24"/>
      <c r="U20433" s="24"/>
      <c r="V20433" s="24"/>
      <c r="W20433" s="24"/>
      <c r="X20433" s="24"/>
      <c r="Y20433" s="24"/>
      <c r="Z20433" s="24"/>
      <c r="AA20433" s="24"/>
    </row>
    <row r="20434">
      <c r="A20434" s="24"/>
      <c r="B20434" s="25"/>
      <c r="C20434" s="24"/>
      <c r="D20434" s="26"/>
      <c r="E20434" s="24"/>
      <c r="F20434" s="24"/>
      <c r="G20434" s="24"/>
      <c r="H20434" s="24"/>
      <c r="I20434" s="24"/>
      <c r="J20434" s="24"/>
      <c r="K20434" s="24"/>
      <c r="L20434" s="24"/>
      <c r="M20434" s="24"/>
      <c r="N20434" s="24"/>
      <c r="O20434" s="24"/>
      <c r="P20434" s="24"/>
      <c r="Q20434" s="24"/>
      <c r="R20434" s="24"/>
      <c r="S20434" s="24"/>
      <c r="T20434" s="24"/>
      <c r="U20434" s="24"/>
      <c r="V20434" s="24"/>
      <c r="W20434" s="24"/>
      <c r="X20434" s="24"/>
      <c r="Y20434" s="24"/>
      <c r="Z20434" s="24"/>
      <c r="AA20434" s="24"/>
    </row>
    <row r="20435">
      <c r="A20435" s="24"/>
      <c r="B20435" s="25"/>
      <c r="C20435" s="24"/>
      <c r="D20435" s="26"/>
      <c r="E20435" s="24"/>
      <c r="F20435" s="24"/>
      <c r="G20435" s="24"/>
      <c r="H20435" s="24"/>
      <c r="I20435" s="24"/>
      <c r="J20435" s="24"/>
      <c r="K20435" s="24"/>
      <c r="L20435" s="24"/>
      <c r="M20435" s="24"/>
      <c r="N20435" s="24"/>
      <c r="O20435" s="24"/>
      <c r="P20435" s="24"/>
      <c r="Q20435" s="24"/>
      <c r="R20435" s="24"/>
      <c r="S20435" s="24"/>
      <c r="T20435" s="24"/>
      <c r="U20435" s="24"/>
      <c r="V20435" s="24"/>
      <c r="W20435" s="24"/>
      <c r="X20435" s="24"/>
      <c r="Y20435" s="24"/>
      <c r="Z20435" s="24"/>
      <c r="AA20435" s="24"/>
    </row>
    <row r="20436">
      <c r="A20436" s="24"/>
      <c r="B20436" s="25"/>
      <c r="C20436" s="24"/>
      <c r="D20436" s="26"/>
      <c r="E20436" s="24"/>
      <c r="F20436" s="24"/>
      <c r="G20436" s="24"/>
      <c r="H20436" s="24"/>
      <c r="I20436" s="24"/>
      <c r="J20436" s="24"/>
      <c r="K20436" s="24"/>
      <c r="L20436" s="24"/>
      <c r="M20436" s="24"/>
      <c r="N20436" s="24"/>
      <c r="O20436" s="24"/>
      <c r="P20436" s="24"/>
      <c r="Q20436" s="24"/>
      <c r="R20436" s="24"/>
      <c r="S20436" s="24"/>
      <c r="T20436" s="24"/>
      <c r="U20436" s="24"/>
      <c r="V20436" s="24"/>
      <c r="W20436" s="24"/>
      <c r="X20436" s="24"/>
      <c r="Y20436" s="24"/>
      <c r="Z20436" s="24"/>
      <c r="AA20436" s="24"/>
    </row>
    <row r="20437">
      <c r="A20437" s="24"/>
      <c r="B20437" s="25"/>
      <c r="C20437" s="24"/>
      <c r="D20437" s="26"/>
      <c r="E20437" s="24"/>
      <c r="F20437" s="24"/>
      <c r="G20437" s="24"/>
      <c r="H20437" s="24"/>
      <c r="I20437" s="24"/>
      <c r="J20437" s="24"/>
      <c r="K20437" s="24"/>
      <c r="L20437" s="24"/>
      <c r="M20437" s="24"/>
      <c r="N20437" s="24"/>
      <c r="O20437" s="24"/>
      <c r="P20437" s="24"/>
      <c r="Q20437" s="24"/>
      <c r="R20437" s="24"/>
      <c r="S20437" s="24"/>
      <c r="T20437" s="24"/>
      <c r="U20437" s="24"/>
      <c r="V20437" s="24"/>
      <c r="W20437" s="24"/>
      <c r="X20437" s="24"/>
      <c r="Y20437" s="24"/>
      <c r="Z20437" s="24"/>
      <c r="AA20437" s="24"/>
    </row>
    <row r="20438">
      <c r="A20438" s="24"/>
      <c r="B20438" s="25"/>
      <c r="C20438" s="24"/>
      <c r="D20438" s="26"/>
      <c r="E20438" s="24"/>
      <c r="F20438" s="24"/>
      <c r="G20438" s="24"/>
      <c r="H20438" s="24"/>
      <c r="I20438" s="24"/>
      <c r="J20438" s="24"/>
      <c r="K20438" s="24"/>
      <c r="L20438" s="24"/>
      <c r="M20438" s="24"/>
      <c r="N20438" s="24"/>
      <c r="O20438" s="24"/>
      <c r="P20438" s="24"/>
      <c r="Q20438" s="24"/>
      <c r="R20438" s="24"/>
      <c r="S20438" s="24"/>
      <c r="T20438" s="24"/>
      <c r="U20438" s="24"/>
      <c r="V20438" s="24"/>
      <c r="W20438" s="24"/>
      <c r="X20438" s="24"/>
      <c r="Y20438" s="24"/>
      <c r="Z20438" s="24"/>
      <c r="AA20438" s="24"/>
    </row>
    <row r="20439">
      <c r="A20439" s="24"/>
      <c r="B20439" s="25"/>
      <c r="C20439" s="24"/>
      <c r="D20439" s="26"/>
      <c r="E20439" s="24"/>
      <c r="F20439" s="24"/>
      <c r="G20439" s="24"/>
      <c r="H20439" s="24"/>
      <c r="I20439" s="24"/>
      <c r="J20439" s="24"/>
      <c r="K20439" s="24"/>
      <c r="L20439" s="24"/>
      <c r="M20439" s="24"/>
      <c r="N20439" s="24"/>
      <c r="O20439" s="24"/>
      <c r="P20439" s="24"/>
      <c r="Q20439" s="24"/>
      <c r="R20439" s="24"/>
      <c r="S20439" s="24"/>
      <c r="T20439" s="24"/>
      <c r="U20439" s="24"/>
      <c r="V20439" s="24"/>
      <c r="W20439" s="24"/>
      <c r="X20439" s="24"/>
      <c r="Y20439" s="24"/>
      <c r="Z20439" s="24"/>
      <c r="AA20439" s="24"/>
    </row>
    <row r="20440">
      <c r="A20440" s="24"/>
      <c r="B20440" s="25"/>
      <c r="C20440" s="24"/>
      <c r="D20440" s="26"/>
      <c r="E20440" s="24"/>
      <c r="F20440" s="24"/>
      <c r="G20440" s="24"/>
      <c r="H20440" s="24"/>
      <c r="I20440" s="24"/>
      <c r="J20440" s="24"/>
      <c r="K20440" s="24"/>
      <c r="L20440" s="24"/>
      <c r="M20440" s="24"/>
      <c r="N20440" s="24"/>
      <c r="O20440" s="24"/>
      <c r="P20440" s="24"/>
      <c r="Q20440" s="24"/>
      <c r="R20440" s="24"/>
      <c r="S20440" s="24"/>
      <c r="T20440" s="24"/>
      <c r="U20440" s="24"/>
      <c r="V20440" s="24"/>
      <c r="W20440" s="24"/>
      <c r="X20440" s="24"/>
      <c r="Y20440" s="24"/>
      <c r="Z20440" s="24"/>
      <c r="AA20440" s="24"/>
    </row>
    <row r="20441">
      <c r="A20441" s="24"/>
      <c r="B20441" s="25"/>
      <c r="C20441" s="24"/>
      <c r="D20441" s="26"/>
      <c r="E20441" s="24"/>
      <c r="F20441" s="24"/>
      <c r="G20441" s="24"/>
      <c r="H20441" s="24"/>
      <c r="I20441" s="24"/>
      <c r="J20441" s="24"/>
      <c r="K20441" s="24"/>
      <c r="L20441" s="24"/>
      <c r="M20441" s="24"/>
      <c r="N20441" s="24"/>
      <c r="O20441" s="24"/>
      <c r="P20441" s="24"/>
      <c r="Q20441" s="24"/>
      <c r="R20441" s="24"/>
      <c r="S20441" s="24"/>
      <c r="T20441" s="24"/>
      <c r="U20441" s="24"/>
      <c r="V20441" s="24"/>
      <c r="W20441" s="24"/>
      <c r="X20441" s="24"/>
      <c r="Y20441" s="24"/>
      <c r="Z20441" s="24"/>
      <c r="AA20441" s="24"/>
    </row>
    <row r="20442">
      <c r="A20442" s="24"/>
      <c r="B20442" s="25"/>
      <c r="C20442" s="24"/>
      <c r="D20442" s="26"/>
      <c r="E20442" s="24"/>
      <c r="F20442" s="24"/>
      <c r="G20442" s="24"/>
      <c r="H20442" s="24"/>
      <c r="I20442" s="24"/>
      <c r="J20442" s="24"/>
      <c r="K20442" s="24"/>
      <c r="L20442" s="24"/>
      <c r="M20442" s="24"/>
      <c r="N20442" s="24"/>
      <c r="O20442" s="24"/>
      <c r="P20442" s="24"/>
      <c r="Q20442" s="24"/>
      <c r="R20442" s="24"/>
      <c r="S20442" s="24"/>
      <c r="T20442" s="24"/>
      <c r="U20442" s="24"/>
      <c r="V20442" s="24"/>
      <c r="W20442" s="24"/>
      <c r="X20442" s="24"/>
      <c r="Y20442" s="24"/>
      <c r="Z20442" s="24"/>
      <c r="AA20442" s="24"/>
    </row>
    <row r="20443">
      <c r="A20443" s="24"/>
      <c r="B20443" s="25"/>
      <c r="C20443" s="24"/>
      <c r="D20443" s="26"/>
      <c r="E20443" s="24"/>
      <c r="F20443" s="24"/>
      <c r="G20443" s="24"/>
      <c r="H20443" s="24"/>
      <c r="I20443" s="24"/>
      <c r="J20443" s="24"/>
      <c r="K20443" s="24"/>
      <c r="L20443" s="24"/>
      <c r="M20443" s="24"/>
      <c r="N20443" s="24"/>
      <c r="O20443" s="24"/>
      <c r="P20443" s="24"/>
      <c r="Q20443" s="24"/>
      <c r="R20443" s="24"/>
      <c r="S20443" s="24"/>
      <c r="T20443" s="24"/>
      <c r="U20443" s="24"/>
      <c r="V20443" s="24"/>
      <c r="W20443" s="24"/>
      <c r="X20443" s="24"/>
      <c r="Y20443" s="24"/>
      <c r="Z20443" s="24"/>
      <c r="AA20443" s="24"/>
    </row>
    <row r="20444">
      <c r="A20444" s="24"/>
      <c r="B20444" s="25"/>
      <c r="C20444" s="24"/>
      <c r="D20444" s="26"/>
      <c r="E20444" s="24"/>
      <c r="F20444" s="24"/>
      <c r="G20444" s="24"/>
      <c r="H20444" s="24"/>
      <c r="I20444" s="24"/>
      <c r="J20444" s="24"/>
      <c r="K20444" s="24"/>
      <c r="L20444" s="24"/>
      <c r="M20444" s="24"/>
      <c r="N20444" s="24"/>
      <c r="O20444" s="24"/>
      <c r="P20444" s="24"/>
      <c r="Q20444" s="24"/>
      <c r="R20444" s="24"/>
      <c r="S20444" s="24"/>
      <c r="T20444" s="24"/>
      <c r="U20444" s="24"/>
      <c r="V20444" s="24"/>
      <c r="W20444" s="24"/>
      <c r="X20444" s="24"/>
      <c r="Y20444" s="24"/>
      <c r="Z20444" s="24"/>
      <c r="AA20444" s="24"/>
    </row>
    <row r="20445">
      <c r="A20445" s="24"/>
      <c r="B20445" s="25"/>
      <c r="C20445" s="24"/>
      <c r="D20445" s="26"/>
      <c r="E20445" s="24"/>
      <c r="F20445" s="24"/>
      <c r="G20445" s="24"/>
      <c r="H20445" s="24"/>
      <c r="I20445" s="24"/>
      <c r="J20445" s="24"/>
      <c r="K20445" s="24"/>
      <c r="L20445" s="24"/>
      <c r="M20445" s="24"/>
      <c r="N20445" s="24"/>
      <c r="O20445" s="24"/>
      <c r="P20445" s="24"/>
      <c r="Q20445" s="24"/>
      <c r="R20445" s="24"/>
      <c r="S20445" s="24"/>
      <c r="T20445" s="24"/>
      <c r="U20445" s="24"/>
      <c r="V20445" s="24"/>
      <c r="W20445" s="24"/>
      <c r="X20445" s="24"/>
      <c r="Y20445" s="24"/>
      <c r="Z20445" s="24"/>
      <c r="AA20445" s="24"/>
    </row>
    <row r="20446">
      <c r="A20446" s="24"/>
      <c r="B20446" s="25"/>
      <c r="C20446" s="24"/>
      <c r="D20446" s="26"/>
      <c r="E20446" s="24"/>
      <c r="F20446" s="24"/>
      <c r="G20446" s="24"/>
      <c r="H20446" s="24"/>
      <c r="I20446" s="24"/>
      <c r="J20446" s="24"/>
      <c r="K20446" s="24"/>
      <c r="L20446" s="24"/>
      <c r="M20446" s="24"/>
      <c r="N20446" s="24"/>
      <c r="O20446" s="24"/>
      <c r="P20446" s="24"/>
      <c r="Q20446" s="24"/>
      <c r="R20446" s="24"/>
      <c r="S20446" s="24"/>
      <c r="T20446" s="24"/>
      <c r="U20446" s="24"/>
      <c r="V20446" s="24"/>
      <c r="W20446" s="24"/>
      <c r="X20446" s="24"/>
      <c r="Y20446" s="24"/>
      <c r="Z20446" s="24"/>
      <c r="AA20446" s="24"/>
    </row>
    <row r="20447">
      <c r="A20447" s="24"/>
      <c r="B20447" s="25"/>
      <c r="C20447" s="24"/>
      <c r="D20447" s="26"/>
      <c r="E20447" s="24"/>
      <c r="F20447" s="24"/>
      <c r="G20447" s="24"/>
      <c r="H20447" s="24"/>
      <c r="I20447" s="24"/>
      <c r="J20447" s="24"/>
      <c r="K20447" s="24"/>
      <c r="L20447" s="24"/>
      <c r="M20447" s="24"/>
      <c r="N20447" s="24"/>
      <c r="O20447" s="24"/>
      <c r="P20447" s="24"/>
      <c r="Q20447" s="24"/>
      <c r="R20447" s="24"/>
      <c r="S20447" s="24"/>
      <c r="T20447" s="24"/>
      <c r="U20447" s="24"/>
      <c r="V20447" s="24"/>
      <c r="W20447" s="24"/>
      <c r="X20447" s="24"/>
      <c r="Y20447" s="24"/>
      <c r="Z20447" s="24"/>
      <c r="AA20447" s="24"/>
    </row>
    <row r="20448">
      <c r="A20448" s="24"/>
      <c r="B20448" s="25"/>
      <c r="C20448" s="24"/>
      <c r="D20448" s="26"/>
      <c r="E20448" s="24"/>
      <c r="F20448" s="24"/>
      <c r="G20448" s="24"/>
      <c r="H20448" s="24"/>
      <c r="I20448" s="24"/>
      <c r="J20448" s="24"/>
      <c r="K20448" s="24"/>
      <c r="L20448" s="24"/>
      <c r="M20448" s="24"/>
      <c r="N20448" s="24"/>
      <c r="O20448" s="24"/>
      <c r="P20448" s="24"/>
      <c r="Q20448" s="24"/>
      <c r="R20448" s="24"/>
      <c r="S20448" s="24"/>
      <c r="T20448" s="24"/>
      <c r="U20448" s="24"/>
      <c r="V20448" s="24"/>
      <c r="W20448" s="24"/>
      <c r="X20448" s="24"/>
      <c r="Y20448" s="24"/>
      <c r="Z20448" s="24"/>
      <c r="AA20448" s="24"/>
    </row>
    <row r="20449">
      <c r="A20449" s="24"/>
      <c r="B20449" s="25"/>
      <c r="C20449" s="24"/>
      <c r="D20449" s="26"/>
      <c r="E20449" s="24"/>
      <c r="F20449" s="24"/>
      <c r="G20449" s="24"/>
      <c r="H20449" s="24"/>
      <c r="I20449" s="24"/>
      <c r="J20449" s="24"/>
      <c r="K20449" s="24"/>
      <c r="L20449" s="24"/>
      <c r="M20449" s="24"/>
      <c r="N20449" s="24"/>
      <c r="O20449" s="24"/>
      <c r="P20449" s="24"/>
      <c r="Q20449" s="24"/>
      <c r="R20449" s="24"/>
      <c r="S20449" s="24"/>
      <c r="T20449" s="24"/>
      <c r="U20449" s="24"/>
      <c r="V20449" s="24"/>
      <c r="W20449" s="24"/>
      <c r="X20449" s="24"/>
      <c r="Y20449" s="24"/>
      <c r="Z20449" s="24"/>
      <c r="AA20449" s="24"/>
    </row>
    <row r="20450">
      <c r="A20450" s="24"/>
      <c r="B20450" s="25"/>
      <c r="C20450" s="24"/>
      <c r="D20450" s="26"/>
      <c r="E20450" s="24"/>
      <c r="F20450" s="24"/>
      <c r="G20450" s="24"/>
      <c r="H20450" s="24"/>
      <c r="I20450" s="24"/>
      <c r="J20450" s="24"/>
      <c r="K20450" s="24"/>
      <c r="L20450" s="24"/>
      <c r="M20450" s="24"/>
      <c r="N20450" s="24"/>
      <c r="O20450" s="24"/>
      <c r="P20450" s="24"/>
      <c r="Q20450" s="24"/>
      <c r="R20450" s="24"/>
      <c r="S20450" s="24"/>
      <c r="T20450" s="24"/>
      <c r="U20450" s="24"/>
      <c r="V20450" s="24"/>
      <c r="W20450" s="24"/>
      <c r="X20450" s="24"/>
      <c r="Y20450" s="24"/>
      <c r="Z20450" s="24"/>
      <c r="AA20450" s="24"/>
    </row>
    <row r="20451">
      <c r="A20451" s="24"/>
      <c r="B20451" s="25"/>
      <c r="C20451" s="24"/>
      <c r="D20451" s="26"/>
      <c r="E20451" s="24"/>
      <c r="F20451" s="24"/>
      <c r="G20451" s="24"/>
      <c r="H20451" s="24"/>
      <c r="I20451" s="24"/>
      <c r="J20451" s="24"/>
      <c r="K20451" s="24"/>
      <c r="L20451" s="24"/>
      <c r="M20451" s="24"/>
      <c r="N20451" s="24"/>
      <c r="O20451" s="24"/>
      <c r="P20451" s="24"/>
      <c r="Q20451" s="24"/>
      <c r="R20451" s="24"/>
      <c r="S20451" s="24"/>
      <c r="T20451" s="24"/>
      <c r="U20451" s="24"/>
      <c r="V20451" s="24"/>
      <c r="W20451" s="24"/>
      <c r="X20451" s="24"/>
      <c r="Y20451" s="24"/>
      <c r="Z20451" s="24"/>
      <c r="AA20451" s="24"/>
    </row>
    <row r="20452">
      <c r="A20452" s="24"/>
      <c r="B20452" s="25"/>
      <c r="C20452" s="24"/>
      <c r="D20452" s="26"/>
      <c r="E20452" s="24"/>
      <c r="F20452" s="24"/>
      <c r="G20452" s="24"/>
      <c r="H20452" s="24"/>
      <c r="I20452" s="24"/>
      <c r="J20452" s="24"/>
      <c r="K20452" s="24"/>
      <c r="L20452" s="24"/>
      <c r="M20452" s="24"/>
      <c r="N20452" s="24"/>
      <c r="O20452" s="24"/>
      <c r="P20452" s="24"/>
      <c r="Q20452" s="24"/>
      <c r="R20452" s="24"/>
      <c r="S20452" s="24"/>
      <c r="T20452" s="24"/>
      <c r="U20452" s="24"/>
      <c r="V20452" s="24"/>
      <c r="W20452" s="24"/>
      <c r="X20452" s="24"/>
      <c r="Y20452" s="24"/>
      <c r="Z20452" s="24"/>
      <c r="AA20452" s="24"/>
    </row>
    <row r="20453">
      <c r="A20453" s="24"/>
      <c r="B20453" s="25"/>
      <c r="C20453" s="24"/>
      <c r="D20453" s="26"/>
      <c r="E20453" s="24"/>
      <c r="F20453" s="24"/>
      <c r="G20453" s="24"/>
      <c r="H20453" s="24"/>
      <c r="I20453" s="24"/>
      <c r="J20453" s="24"/>
      <c r="K20453" s="24"/>
      <c r="L20453" s="24"/>
      <c r="M20453" s="24"/>
      <c r="N20453" s="24"/>
      <c r="O20453" s="24"/>
      <c r="P20453" s="24"/>
      <c r="Q20453" s="24"/>
      <c r="R20453" s="24"/>
      <c r="S20453" s="24"/>
      <c r="T20453" s="24"/>
      <c r="U20453" s="24"/>
      <c r="V20453" s="24"/>
      <c r="W20453" s="24"/>
      <c r="X20453" s="24"/>
      <c r="Y20453" s="24"/>
      <c r="Z20453" s="24"/>
      <c r="AA20453" s="24"/>
    </row>
    <row r="20454">
      <c r="A20454" s="24"/>
      <c r="B20454" s="25"/>
      <c r="C20454" s="24"/>
      <c r="D20454" s="26"/>
      <c r="E20454" s="24"/>
      <c r="F20454" s="24"/>
      <c r="G20454" s="24"/>
      <c r="H20454" s="24"/>
      <c r="I20454" s="24"/>
      <c r="J20454" s="24"/>
      <c r="K20454" s="24"/>
      <c r="L20454" s="24"/>
      <c r="M20454" s="24"/>
      <c r="N20454" s="24"/>
      <c r="O20454" s="24"/>
      <c r="P20454" s="24"/>
      <c r="Q20454" s="24"/>
      <c r="R20454" s="24"/>
      <c r="S20454" s="24"/>
      <c r="T20454" s="24"/>
      <c r="U20454" s="24"/>
      <c r="V20454" s="24"/>
      <c r="W20454" s="24"/>
      <c r="X20454" s="24"/>
      <c r="Y20454" s="24"/>
      <c r="Z20454" s="24"/>
      <c r="AA20454" s="24"/>
    </row>
    <row r="20455">
      <c r="A20455" s="24"/>
      <c r="B20455" s="25"/>
      <c r="C20455" s="24"/>
      <c r="D20455" s="26"/>
      <c r="E20455" s="24"/>
      <c r="F20455" s="24"/>
      <c r="G20455" s="24"/>
      <c r="H20455" s="24"/>
      <c r="I20455" s="24"/>
      <c r="J20455" s="24"/>
      <c r="K20455" s="24"/>
      <c r="L20455" s="24"/>
      <c r="M20455" s="24"/>
      <c r="N20455" s="24"/>
      <c r="O20455" s="24"/>
      <c r="P20455" s="24"/>
      <c r="Q20455" s="24"/>
      <c r="R20455" s="24"/>
      <c r="S20455" s="24"/>
      <c r="T20455" s="24"/>
      <c r="U20455" s="24"/>
      <c r="V20455" s="24"/>
      <c r="W20455" s="24"/>
      <c r="X20455" s="24"/>
      <c r="Y20455" s="24"/>
      <c r="Z20455" s="24"/>
      <c r="AA20455" s="24"/>
    </row>
    <row r="20456">
      <c r="A20456" s="24"/>
      <c r="B20456" s="25"/>
      <c r="C20456" s="24"/>
      <c r="D20456" s="26"/>
      <c r="E20456" s="24"/>
      <c r="F20456" s="24"/>
      <c r="G20456" s="24"/>
      <c r="H20456" s="24"/>
      <c r="I20456" s="24"/>
      <c r="J20456" s="24"/>
      <c r="K20456" s="24"/>
      <c r="L20456" s="24"/>
      <c r="M20456" s="24"/>
      <c r="N20456" s="24"/>
      <c r="O20456" s="24"/>
      <c r="P20456" s="24"/>
      <c r="Q20456" s="24"/>
      <c r="R20456" s="24"/>
      <c r="S20456" s="24"/>
      <c r="T20456" s="24"/>
      <c r="U20456" s="24"/>
      <c r="V20456" s="24"/>
      <c r="W20456" s="24"/>
      <c r="X20456" s="24"/>
      <c r="Y20456" s="24"/>
      <c r="Z20456" s="24"/>
      <c r="AA20456" s="24"/>
    </row>
    <row r="20457">
      <c r="A20457" s="24"/>
      <c r="B20457" s="25"/>
      <c r="C20457" s="24"/>
      <c r="D20457" s="26"/>
      <c r="E20457" s="24"/>
      <c r="F20457" s="24"/>
      <c r="G20457" s="24"/>
      <c r="H20457" s="24"/>
      <c r="I20457" s="24"/>
      <c r="J20457" s="24"/>
      <c r="K20457" s="24"/>
      <c r="L20457" s="24"/>
      <c r="M20457" s="24"/>
      <c r="N20457" s="24"/>
      <c r="O20457" s="24"/>
      <c r="P20457" s="24"/>
      <c r="Q20457" s="24"/>
      <c r="R20457" s="24"/>
      <c r="S20457" s="24"/>
      <c r="T20457" s="24"/>
      <c r="U20457" s="24"/>
      <c r="V20457" s="24"/>
      <c r="W20457" s="24"/>
      <c r="X20457" s="24"/>
      <c r="Y20457" s="24"/>
      <c r="Z20457" s="24"/>
      <c r="AA20457" s="24"/>
    </row>
    <row r="20458">
      <c r="A20458" s="24"/>
      <c r="B20458" s="25"/>
      <c r="C20458" s="24"/>
      <c r="D20458" s="26"/>
      <c r="E20458" s="24"/>
      <c r="F20458" s="24"/>
      <c r="G20458" s="24"/>
      <c r="H20458" s="24"/>
      <c r="I20458" s="24"/>
      <c r="J20458" s="24"/>
      <c r="K20458" s="24"/>
      <c r="L20458" s="24"/>
      <c r="M20458" s="24"/>
      <c r="N20458" s="24"/>
      <c r="O20458" s="24"/>
      <c r="P20458" s="24"/>
      <c r="Q20458" s="24"/>
      <c r="R20458" s="24"/>
      <c r="S20458" s="24"/>
      <c r="T20458" s="24"/>
      <c r="U20458" s="24"/>
      <c r="V20458" s="24"/>
      <c r="W20458" s="24"/>
      <c r="X20458" s="24"/>
      <c r="Y20458" s="24"/>
      <c r="Z20458" s="24"/>
      <c r="AA20458" s="24"/>
    </row>
    <row r="20459">
      <c r="A20459" s="24"/>
      <c r="B20459" s="25"/>
      <c r="C20459" s="24"/>
      <c r="D20459" s="26"/>
      <c r="E20459" s="24"/>
      <c r="F20459" s="24"/>
      <c r="G20459" s="24"/>
      <c r="H20459" s="24"/>
      <c r="I20459" s="24"/>
      <c r="J20459" s="24"/>
      <c r="K20459" s="24"/>
      <c r="L20459" s="24"/>
      <c r="M20459" s="24"/>
      <c r="N20459" s="24"/>
      <c r="O20459" s="24"/>
      <c r="P20459" s="24"/>
      <c r="Q20459" s="24"/>
      <c r="R20459" s="24"/>
      <c r="S20459" s="24"/>
      <c r="T20459" s="24"/>
      <c r="U20459" s="24"/>
      <c r="V20459" s="24"/>
      <c r="W20459" s="24"/>
      <c r="X20459" s="24"/>
      <c r="Y20459" s="24"/>
      <c r="Z20459" s="24"/>
      <c r="AA20459" s="24"/>
    </row>
    <row r="20460">
      <c r="A20460" s="24"/>
      <c r="B20460" s="25"/>
      <c r="C20460" s="24"/>
      <c r="D20460" s="26"/>
      <c r="E20460" s="24"/>
      <c r="F20460" s="24"/>
      <c r="G20460" s="24"/>
      <c r="H20460" s="24"/>
      <c r="I20460" s="24"/>
      <c r="J20460" s="24"/>
      <c r="K20460" s="24"/>
      <c r="L20460" s="24"/>
      <c r="M20460" s="24"/>
      <c r="N20460" s="24"/>
      <c r="O20460" s="24"/>
      <c r="P20460" s="24"/>
      <c r="Q20460" s="24"/>
      <c r="R20460" s="24"/>
      <c r="S20460" s="24"/>
      <c r="T20460" s="24"/>
      <c r="U20460" s="24"/>
      <c r="V20460" s="24"/>
      <c r="W20460" s="24"/>
      <c r="X20460" s="24"/>
      <c r="Y20460" s="24"/>
      <c r="Z20460" s="24"/>
      <c r="AA20460" s="24"/>
    </row>
    <row r="20461">
      <c r="A20461" s="24"/>
      <c r="B20461" s="25"/>
      <c r="C20461" s="24"/>
      <c r="D20461" s="26"/>
      <c r="E20461" s="24"/>
      <c r="F20461" s="24"/>
      <c r="G20461" s="24"/>
      <c r="H20461" s="24"/>
      <c r="I20461" s="24"/>
      <c r="J20461" s="24"/>
      <c r="K20461" s="24"/>
      <c r="L20461" s="24"/>
      <c r="M20461" s="24"/>
      <c r="N20461" s="24"/>
      <c r="O20461" s="24"/>
      <c r="P20461" s="24"/>
      <c r="Q20461" s="24"/>
      <c r="R20461" s="24"/>
      <c r="S20461" s="24"/>
      <c r="T20461" s="24"/>
      <c r="U20461" s="24"/>
      <c r="V20461" s="24"/>
      <c r="W20461" s="24"/>
      <c r="X20461" s="24"/>
      <c r="Y20461" s="24"/>
      <c r="Z20461" s="24"/>
      <c r="AA20461" s="24"/>
    </row>
    <row r="20462">
      <c r="A20462" s="24"/>
      <c r="B20462" s="25"/>
      <c r="C20462" s="24"/>
      <c r="D20462" s="26"/>
      <c r="E20462" s="24"/>
      <c r="F20462" s="24"/>
      <c r="G20462" s="24"/>
      <c r="H20462" s="24"/>
      <c r="I20462" s="24"/>
      <c r="J20462" s="24"/>
      <c r="K20462" s="24"/>
      <c r="L20462" s="24"/>
      <c r="M20462" s="24"/>
      <c r="N20462" s="24"/>
      <c r="O20462" s="24"/>
      <c r="P20462" s="24"/>
      <c r="Q20462" s="24"/>
      <c r="R20462" s="24"/>
      <c r="S20462" s="24"/>
      <c r="T20462" s="24"/>
      <c r="U20462" s="24"/>
      <c r="V20462" s="24"/>
      <c r="W20462" s="24"/>
      <c r="X20462" s="24"/>
      <c r="Y20462" s="24"/>
      <c r="Z20462" s="24"/>
      <c r="AA20462" s="24"/>
    </row>
    <row r="20463">
      <c r="A20463" s="24"/>
      <c r="B20463" s="25"/>
      <c r="C20463" s="24"/>
      <c r="D20463" s="26"/>
      <c r="E20463" s="24"/>
      <c r="F20463" s="24"/>
      <c r="G20463" s="24"/>
      <c r="H20463" s="24"/>
      <c r="I20463" s="24"/>
      <c r="J20463" s="24"/>
      <c r="K20463" s="24"/>
      <c r="L20463" s="24"/>
      <c r="M20463" s="24"/>
      <c r="N20463" s="24"/>
      <c r="O20463" s="24"/>
      <c r="P20463" s="24"/>
      <c r="Q20463" s="24"/>
      <c r="R20463" s="24"/>
      <c r="S20463" s="24"/>
      <c r="T20463" s="24"/>
      <c r="U20463" s="24"/>
      <c r="V20463" s="24"/>
      <c r="W20463" s="24"/>
      <c r="X20463" s="24"/>
      <c r="Y20463" s="24"/>
      <c r="Z20463" s="24"/>
      <c r="AA20463" s="24"/>
    </row>
    <row r="20464">
      <c r="A20464" s="24"/>
      <c r="B20464" s="25"/>
      <c r="C20464" s="24"/>
      <c r="D20464" s="26"/>
      <c r="E20464" s="24"/>
      <c r="F20464" s="24"/>
      <c r="G20464" s="24"/>
      <c r="H20464" s="24"/>
      <c r="I20464" s="24"/>
      <c r="J20464" s="24"/>
      <c r="K20464" s="24"/>
      <c r="L20464" s="24"/>
      <c r="M20464" s="24"/>
      <c r="N20464" s="24"/>
      <c r="O20464" s="24"/>
      <c r="P20464" s="24"/>
      <c r="Q20464" s="24"/>
      <c r="R20464" s="24"/>
      <c r="S20464" s="24"/>
      <c r="T20464" s="24"/>
      <c r="U20464" s="24"/>
      <c r="V20464" s="24"/>
      <c r="W20464" s="24"/>
      <c r="X20464" s="24"/>
      <c r="Y20464" s="24"/>
      <c r="Z20464" s="24"/>
      <c r="AA20464" s="24"/>
    </row>
    <row r="20465">
      <c r="A20465" s="24"/>
      <c r="B20465" s="25"/>
      <c r="C20465" s="24"/>
      <c r="D20465" s="26"/>
      <c r="E20465" s="24"/>
      <c r="F20465" s="24"/>
      <c r="G20465" s="24"/>
      <c r="H20465" s="24"/>
      <c r="I20465" s="24"/>
      <c r="J20465" s="24"/>
      <c r="K20465" s="24"/>
      <c r="L20465" s="24"/>
      <c r="M20465" s="24"/>
      <c r="N20465" s="24"/>
      <c r="O20465" s="24"/>
      <c r="P20465" s="24"/>
      <c r="Q20465" s="24"/>
      <c r="R20465" s="24"/>
      <c r="S20465" s="24"/>
      <c r="T20465" s="24"/>
      <c r="U20465" s="24"/>
      <c r="V20465" s="24"/>
      <c r="W20465" s="24"/>
      <c r="X20465" s="24"/>
      <c r="Y20465" s="24"/>
      <c r="Z20465" s="24"/>
      <c r="AA20465" s="24"/>
    </row>
    <row r="20466">
      <c r="A20466" s="24"/>
      <c r="B20466" s="25"/>
      <c r="C20466" s="24"/>
      <c r="D20466" s="26"/>
      <c r="E20466" s="24"/>
      <c r="F20466" s="24"/>
      <c r="G20466" s="24"/>
      <c r="H20466" s="24"/>
      <c r="I20466" s="24"/>
      <c r="J20466" s="24"/>
      <c r="K20466" s="24"/>
      <c r="L20466" s="24"/>
      <c r="M20466" s="24"/>
      <c r="N20466" s="24"/>
      <c r="O20466" s="24"/>
      <c r="P20466" s="24"/>
      <c r="Q20466" s="24"/>
      <c r="R20466" s="24"/>
      <c r="S20466" s="24"/>
      <c r="T20466" s="24"/>
      <c r="U20466" s="24"/>
      <c r="V20466" s="24"/>
      <c r="W20466" s="24"/>
      <c r="X20466" s="24"/>
      <c r="Y20466" s="24"/>
      <c r="Z20466" s="24"/>
      <c r="AA20466" s="24"/>
    </row>
    <row r="20467">
      <c r="A20467" s="24"/>
      <c r="B20467" s="25"/>
      <c r="C20467" s="24"/>
      <c r="D20467" s="26"/>
      <c r="E20467" s="24"/>
      <c r="F20467" s="24"/>
      <c r="G20467" s="24"/>
      <c r="H20467" s="24"/>
      <c r="I20467" s="24"/>
      <c r="J20467" s="24"/>
      <c r="K20467" s="24"/>
      <c r="L20467" s="24"/>
      <c r="M20467" s="24"/>
      <c r="N20467" s="24"/>
      <c r="O20467" s="24"/>
      <c r="P20467" s="24"/>
      <c r="Q20467" s="24"/>
      <c r="R20467" s="24"/>
      <c r="S20467" s="24"/>
      <c r="T20467" s="24"/>
      <c r="U20467" s="24"/>
      <c r="V20467" s="24"/>
      <c r="W20467" s="24"/>
      <c r="X20467" s="24"/>
      <c r="Y20467" s="24"/>
      <c r="Z20467" s="24"/>
      <c r="AA20467" s="24"/>
    </row>
    <row r="20468">
      <c r="A20468" s="24"/>
      <c r="B20468" s="25"/>
      <c r="C20468" s="24"/>
      <c r="D20468" s="26"/>
      <c r="E20468" s="24"/>
      <c r="F20468" s="24"/>
      <c r="G20468" s="24"/>
      <c r="H20468" s="24"/>
      <c r="I20468" s="24"/>
      <c r="J20468" s="24"/>
      <c r="K20468" s="24"/>
      <c r="L20468" s="24"/>
      <c r="M20468" s="24"/>
      <c r="N20468" s="24"/>
      <c r="O20468" s="24"/>
      <c r="P20468" s="24"/>
      <c r="Q20468" s="24"/>
      <c r="R20468" s="24"/>
      <c r="S20468" s="24"/>
      <c r="T20468" s="24"/>
      <c r="U20468" s="24"/>
      <c r="V20468" s="24"/>
      <c r="W20468" s="24"/>
      <c r="X20468" s="24"/>
      <c r="Y20468" s="24"/>
      <c r="Z20468" s="24"/>
      <c r="AA20468" s="24"/>
    </row>
    <row r="20469">
      <c r="A20469" s="24"/>
      <c r="B20469" s="25"/>
      <c r="C20469" s="24"/>
      <c r="D20469" s="26"/>
      <c r="E20469" s="24"/>
      <c r="F20469" s="24"/>
      <c r="G20469" s="24"/>
      <c r="H20469" s="24"/>
      <c r="I20469" s="24"/>
      <c r="J20469" s="24"/>
      <c r="K20469" s="24"/>
      <c r="L20469" s="24"/>
      <c r="M20469" s="24"/>
      <c r="N20469" s="24"/>
      <c r="O20469" s="24"/>
      <c r="P20469" s="24"/>
      <c r="Q20469" s="24"/>
      <c r="R20469" s="24"/>
      <c r="S20469" s="24"/>
      <c r="T20469" s="24"/>
      <c r="U20469" s="24"/>
      <c r="V20469" s="24"/>
      <c r="W20469" s="24"/>
      <c r="X20469" s="24"/>
      <c r="Y20469" s="24"/>
      <c r="Z20469" s="24"/>
      <c r="AA20469" s="24"/>
    </row>
    <row r="20470">
      <c r="A20470" s="24"/>
      <c r="B20470" s="25"/>
      <c r="C20470" s="24"/>
      <c r="D20470" s="26"/>
      <c r="E20470" s="24"/>
      <c r="F20470" s="24"/>
      <c r="G20470" s="24"/>
      <c r="H20470" s="24"/>
      <c r="I20470" s="24"/>
      <c r="J20470" s="24"/>
      <c r="K20470" s="24"/>
      <c r="L20470" s="24"/>
      <c r="M20470" s="24"/>
      <c r="N20470" s="24"/>
      <c r="O20470" s="24"/>
      <c r="P20470" s="24"/>
      <c r="Q20470" s="24"/>
      <c r="R20470" s="24"/>
      <c r="S20470" s="24"/>
      <c r="T20470" s="24"/>
      <c r="U20470" s="24"/>
      <c r="V20470" s="24"/>
      <c r="W20470" s="24"/>
      <c r="X20470" s="24"/>
      <c r="Y20470" s="24"/>
      <c r="Z20470" s="24"/>
      <c r="AA20470" s="24"/>
    </row>
    <row r="20471">
      <c r="A20471" s="24"/>
      <c r="B20471" s="25"/>
      <c r="C20471" s="24"/>
      <c r="D20471" s="26"/>
      <c r="E20471" s="24"/>
      <c r="F20471" s="24"/>
      <c r="G20471" s="24"/>
      <c r="H20471" s="24"/>
      <c r="I20471" s="24"/>
      <c r="J20471" s="24"/>
      <c r="K20471" s="24"/>
      <c r="L20471" s="24"/>
      <c r="M20471" s="24"/>
      <c r="N20471" s="24"/>
      <c r="O20471" s="24"/>
      <c r="P20471" s="24"/>
      <c r="Q20471" s="24"/>
      <c r="R20471" s="24"/>
      <c r="S20471" s="24"/>
      <c r="T20471" s="24"/>
      <c r="U20471" s="24"/>
      <c r="V20471" s="24"/>
      <c r="W20471" s="24"/>
      <c r="X20471" s="24"/>
      <c r="Y20471" s="24"/>
      <c r="Z20471" s="24"/>
      <c r="AA20471" s="24"/>
    </row>
    <row r="20472">
      <c r="A20472" s="24"/>
      <c r="B20472" s="25"/>
      <c r="C20472" s="24"/>
      <c r="D20472" s="26"/>
      <c r="E20472" s="24"/>
      <c r="F20472" s="24"/>
      <c r="G20472" s="24"/>
      <c r="H20472" s="24"/>
      <c r="I20472" s="24"/>
      <c r="J20472" s="24"/>
      <c r="K20472" s="24"/>
      <c r="L20472" s="24"/>
      <c r="M20472" s="24"/>
      <c r="N20472" s="24"/>
      <c r="O20472" s="24"/>
      <c r="P20472" s="24"/>
      <c r="Q20472" s="24"/>
      <c r="R20472" s="24"/>
      <c r="S20472" s="24"/>
      <c r="T20472" s="24"/>
      <c r="U20472" s="24"/>
      <c r="V20472" s="24"/>
      <c r="W20472" s="24"/>
      <c r="X20472" s="24"/>
      <c r="Y20472" s="24"/>
      <c r="Z20472" s="24"/>
      <c r="AA20472" s="24"/>
    </row>
    <row r="20473">
      <c r="A20473" s="24"/>
      <c r="B20473" s="25"/>
      <c r="C20473" s="24"/>
      <c r="D20473" s="26"/>
      <c r="E20473" s="24"/>
      <c r="F20473" s="24"/>
      <c r="G20473" s="24"/>
      <c r="H20473" s="24"/>
      <c r="I20473" s="24"/>
      <c r="J20473" s="24"/>
      <c r="K20473" s="24"/>
      <c r="L20473" s="24"/>
      <c r="M20473" s="24"/>
      <c r="N20473" s="24"/>
      <c r="O20473" s="24"/>
      <c r="P20473" s="24"/>
      <c r="Q20473" s="24"/>
      <c r="R20473" s="24"/>
      <c r="S20473" s="24"/>
      <c r="T20473" s="24"/>
      <c r="U20473" s="24"/>
      <c r="V20473" s="24"/>
      <c r="W20473" s="24"/>
      <c r="X20473" s="24"/>
      <c r="Y20473" s="24"/>
      <c r="Z20473" s="24"/>
      <c r="AA20473" s="24"/>
    </row>
    <row r="20474">
      <c r="A20474" s="24"/>
      <c r="B20474" s="25"/>
      <c r="C20474" s="24"/>
      <c r="D20474" s="26"/>
      <c r="E20474" s="24"/>
      <c r="F20474" s="24"/>
      <c r="G20474" s="24"/>
      <c r="H20474" s="24"/>
      <c r="I20474" s="24"/>
      <c r="J20474" s="24"/>
      <c r="K20474" s="24"/>
      <c r="L20474" s="24"/>
      <c r="M20474" s="24"/>
      <c r="N20474" s="24"/>
      <c r="O20474" s="24"/>
      <c r="P20474" s="24"/>
      <c r="Q20474" s="24"/>
      <c r="R20474" s="24"/>
      <c r="S20474" s="24"/>
      <c r="T20474" s="24"/>
      <c r="U20474" s="24"/>
      <c r="V20474" s="24"/>
      <c r="W20474" s="24"/>
      <c r="X20474" s="24"/>
      <c r="Y20474" s="24"/>
      <c r="Z20474" s="24"/>
      <c r="AA20474" s="24"/>
    </row>
    <row r="20475">
      <c r="A20475" s="24"/>
      <c r="B20475" s="25"/>
      <c r="C20475" s="24"/>
      <c r="D20475" s="26"/>
      <c r="E20475" s="24"/>
      <c r="F20475" s="24"/>
      <c r="G20475" s="24"/>
      <c r="H20475" s="24"/>
      <c r="I20475" s="24"/>
      <c r="J20475" s="24"/>
      <c r="K20475" s="24"/>
      <c r="L20475" s="24"/>
      <c r="M20475" s="24"/>
      <c r="N20475" s="24"/>
      <c r="O20475" s="24"/>
      <c r="P20475" s="24"/>
      <c r="Q20475" s="24"/>
      <c r="R20475" s="24"/>
      <c r="S20475" s="24"/>
      <c r="T20475" s="24"/>
      <c r="U20475" s="24"/>
      <c r="V20475" s="24"/>
      <c r="W20475" s="24"/>
      <c r="X20475" s="24"/>
      <c r="Y20475" s="24"/>
      <c r="Z20475" s="24"/>
      <c r="AA20475" s="24"/>
    </row>
    <row r="20476">
      <c r="A20476" s="24"/>
      <c r="B20476" s="25"/>
      <c r="C20476" s="24"/>
      <c r="D20476" s="26"/>
      <c r="E20476" s="24"/>
      <c r="F20476" s="24"/>
      <c r="G20476" s="24"/>
      <c r="H20476" s="24"/>
      <c r="I20476" s="24"/>
      <c r="J20476" s="24"/>
      <c r="K20476" s="24"/>
      <c r="L20476" s="24"/>
      <c r="M20476" s="24"/>
      <c r="N20476" s="24"/>
      <c r="O20476" s="24"/>
      <c r="P20476" s="24"/>
      <c r="Q20476" s="24"/>
      <c r="R20476" s="24"/>
      <c r="S20476" s="24"/>
      <c r="T20476" s="24"/>
      <c r="U20476" s="24"/>
      <c r="V20476" s="24"/>
      <c r="W20476" s="24"/>
      <c r="X20476" s="24"/>
      <c r="Y20476" s="24"/>
      <c r="Z20476" s="24"/>
      <c r="AA20476" s="24"/>
    </row>
    <row r="20477">
      <c r="A20477" s="24"/>
      <c r="B20477" s="25"/>
      <c r="C20477" s="24"/>
      <c r="D20477" s="26"/>
      <c r="E20477" s="24"/>
      <c r="F20477" s="24"/>
      <c r="G20477" s="24"/>
      <c r="H20477" s="24"/>
      <c r="I20477" s="24"/>
      <c r="J20477" s="24"/>
      <c r="K20477" s="24"/>
      <c r="L20477" s="24"/>
      <c r="M20477" s="24"/>
      <c r="N20477" s="24"/>
      <c r="O20477" s="24"/>
      <c r="P20477" s="24"/>
      <c r="Q20477" s="24"/>
      <c r="R20477" s="24"/>
      <c r="S20477" s="24"/>
      <c r="T20477" s="24"/>
      <c r="U20477" s="24"/>
      <c r="V20477" s="24"/>
      <c r="W20477" s="24"/>
      <c r="X20477" s="24"/>
      <c r="Y20477" s="24"/>
      <c r="Z20477" s="24"/>
      <c r="AA20477" s="24"/>
    </row>
    <row r="20478">
      <c r="A20478" s="24"/>
      <c r="B20478" s="25"/>
      <c r="C20478" s="24"/>
      <c r="D20478" s="26"/>
      <c r="E20478" s="24"/>
      <c r="F20478" s="24"/>
      <c r="G20478" s="24"/>
      <c r="H20478" s="24"/>
      <c r="I20478" s="24"/>
      <c r="J20478" s="24"/>
      <c r="K20478" s="24"/>
      <c r="L20478" s="24"/>
      <c r="M20478" s="24"/>
      <c r="N20478" s="24"/>
      <c r="O20478" s="24"/>
      <c r="P20478" s="24"/>
      <c r="Q20478" s="24"/>
      <c r="R20478" s="24"/>
      <c r="S20478" s="24"/>
      <c r="T20478" s="24"/>
      <c r="U20478" s="24"/>
      <c r="V20478" s="24"/>
      <c r="W20478" s="24"/>
      <c r="X20478" s="24"/>
      <c r="Y20478" s="24"/>
      <c r="Z20478" s="24"/>
      <c r="AA20478" s="24"/>
    </row>
    <row r="20479">
      <c r="A20479" s="24"/>
      <c r="B20479" s="25"/>
      <c r="C20479" s="24"/>
      <c r="D20479" s="26"/>
      <c r="E20479" s="24"/>
      <c r="F20479" s="24"/>
      <c r="G20479" s="24"/>
      <c r="H20479" s="24"/>
      <c r="I20479" s="24"/>
      <c r="J20479" s="24"/>
      <c r="K20479" s="24"/>
      <c r="L20479" s="24"/>
      <c r="M20479" s="24"/>
      <c r="N20479" s="24"/>
      <c r="O20479" s="24"/>
      <c r="P20479" s="24"/>
      <c r="Q20479" s="24"/>
      <c r="R20479" s="24"/>
      <c r="S20479" s="24"/>
      <c r="T20479" s="24"/>
      <c r="U20479" s="24"/>
      <c r="V20479" s="24"/>
      <c r="W20479" s="24"/>
      <c r="X20479" s="24"/>
      <c r="Y20479" s="24"/>
      <c r="Z20479" s="24"/>
      <c r="AA20479" s="24"/>
    </row>
    <row r="20480">
      <c r="A20480" s="24"/>
      <c r="B20480" s="25"/>
      <c r="C20480" s="24"/>
      <c r="D20480" s="26"/>
      <c r="E20480" s="24"/>
      <c r="F20480" s="24"/>
      <c r="G20480" s="24"/>
      <c r="H20480" s="24"/>
      <c r="I20480" s="24"/>
      <c r="J20480" s="24"/>
      <c r="K20480" s="24"/>
      <c r="L20480" s="24"/>
      <c r="M20480" s="24"/>
      <c r="N20480" s="24"/>
      <c r="O20480" s="24"/>
      <c r="P20480" s="24"/>
      <c r="Q20480" s="24"/>
      <c r="R20480" s="24"/>
      <c r="S20480" s="24"/>
      <c r="T20480" s="24"/>
      <c r="U20480" s="24"/>
      <c r="V20480" s="24"/>
      <c r="W20480" s="24"/>
      <c r="X20480" s="24"/>
      <c r="Y20480" s="24"/>
      <c r="Z20480" s="24"/>
      <c r="AA20480" s="24"/>
    </row>
    <row r="20481">
      <c r="A20481" s="24"/>
      <c r="B20481" s="25"/>
      <c r="C20481" s="24"/>
      <c r="D20481" s="26"/>
      <c r="E20481" s="24"/>
      <c r="F20481" s="24"/>
      <c r="G20481" s="24"/>
      <c r="H20481" s="24"/>
      <c r="I20481" s="24"/>
      <c r="J20481" s="24"/>
      <c r="K20481" s="24"/>
      <c r="L20481" s="24"/>
      <c r="M20481" s="24"/>
      <c r="N20481" s="24"/>
      <c r="O20481" s="24"/>
      <c r="P20481" s="24"/>
      <c r="Q20481" s="24"/>
      <c r="R20481" s="24"/>
      <c r="S20481" s="24"/>
      <c r="T20481" s="24"/>
      <c r="U20481" s="24"/>
      <c r="V20481" s="24"/>
      <c r="W20481" s="24"/>
      <c r="X20481" s="24"/>
      <c r="Y20481" s="24"/>
      <c r="Z20481" s="24"/>
      <c r="AA20481" s="24"/>
    </row>
    <row r="20482">
      <c r="A20482" s="24"/>
      <c r="B20482" s="25"/>
      <c r="C20482" s="24"/>
      <c r="D20482" s="26"/>
      <c r="E20482" s="24"/>
      <c r="F20482" s="24"/>
      <c r="G20482" s="24"/>
      <c r="H20482" s="24"/>
      <c r="I20482" s="24"/>
      <c r="J20482" s="24"/>
      <c r="K20482" s="24"/>
      <c r="L20482" s="24"/>
      <c r="M20482" s="24"/>
      <c r="N20482" s="24"/>
      <c r="O20482" s="24"/>
      <c r="P20482" s="24"/>
      <c r="Q20482" s="24"/>
      <c r="R20482" s="24"/>
      <c r="S20482" s="24"/>
      <c r="T20482" s="24"/>
      <c r="U20482" s="24"/>
      <c r="V20482" s="24"/>
      <c r="W20482" s="24"/>
      <c r="X20482" s="24"/>
      <c r="Y20482" s="24"/>
      <c r="Z20482" s="24"/>
      <c r="AA20482" s="24"/>
    </row>
    <row r="20483">
      <c r="A20483" s="24"/>
      <c r="B20483" s="25"/>
      <c r="C20483" s="24"/>
      <c r="D20483" s="26"/>
      <c r="E20483" s="24"/>
      <c r="F20483" s="24"/>
      <c r="G20483" s="24"/>
      <c r="H20483" s="24"/>
      <c r="I20483" s="24"/>
      <c r="J20483" s="24"/>
      <c r="K20483" s="24"/>
      <c r="L20483" s="24"/>
      <c r="M20483" s="24"/>
      <c r="N20483" s="24"/>
      <c r="O20483" s="24"/>
      <c r="P20483" s="24"/>
      <c r="Q20483" s="24"/>
      <c r="R20483" s="24"/>
      <c r="S20483" s="24"/>
      <c r="T20483" s="24"/>
      <c r="U20483" s="24"/>
      <c r="V20483" s="24"/>
      <c r="W20483" s="24"/>
      <c r="X20483" s="24"/>
      <c r="Y20483" s="24"/>
      <c r="Z20483" s="24"/>
      <c r="AA20483" s="24"/>
    </row>
    <row r="20484">
      <c r="A20484" s="24"/>
      <c r="B20484" s="25"/>
      <c r="C20484" s="24"/>
      <c r="D20484" s="26"/>
      <c r="E20484" s="24"/>
      <c r="F20484" s="24"/>
      <c r="G20484" s="24"/>
      <c r="H20484" s="24"/>
      <c r="I20484" s="24"/>
      <c r="J20484" s="24"/>
      <c r="K20484" s="24"/>
      <c r="L20484" s="24"/>
      <c r="M20484" s="24"/>
      <c r="N20484" s="24"/>
      <c r="O20484" s="24"/>
      <c r="P20484" s="24"/>
      <c r="Q20484" s="24"/>
      <c r="R20484" s="24"/>
      <c r="S20484" s="24"/>
      <c r="T20484" s="24"/>
      <c r="U20484" s="24"/>
      <c r="V20484" s="24"/>
      <c r="W20484" s="24"/>
      <c r="X20484" s="24"/>
      <c r="Y20484" s="24"/>
      <c r="Z20484" s="24"/>
      <c r="AA20484" s="24"/>
    </row>
    <row r="20485">
      <c r="A20485" s="24"/>
      <c r="B20485" s="25"/>
      <c r="C20485" s="24"/>
      <c r="D20485" s="26"/>
      <c r="E20485" s="24"/>
      <c r="F20485" s="24"/>
      <c r="G20485" s="24"/>
      <c r="H20485" s="24"/>
      <c r="I20485" s="24"/>
      <c r="J20485" s="24"/>
      <c r="K20485" s="24"/>
      <c r="L20485" s="24"/>
      <c r="M20485" s="24"/>
      <c r="N20485" s="24"/>
      <c r="O20485" s="24"/>
      <c r="P20485" s="24"/>
      <c r="Q20485" s="24"/>
      <c r="R20485" s="24"/>
      <c r="S20485" s="24"/>
      <c r="T20485" s="24"/>
      <c r="U20485" s="24"/>
      <c r="V20485" s="24"/>
      <c r="W20485" s="24"/>
      <c r="X20485" s="24"/>
      <c r="Y20485" s="24"/>
      <c r="Z20485" s="24"/>
      <c r="AA20485" s="24"/>
    </row>
    <row r="20486">
      <c r="A20486" s="24"/>
      <c r="B20486" s="25"/>
      <c r="C20486" s="24"/>
      <c r="D20486" s="26"/>
      <c r="E20486" s="24"/>
      <c r="F20486" s="24"/>
      <c r="G20486" s="24"/>
      <c r="H20486" s="24"/>
      <c r="I20486" s="24"/>
      <c r="J20486" s="24"/>
      <c r="K20486" s="24"/>
      <c r="L20486" s="24"/>
      <c r="M20486" s="24"/>
      <c r="N20486" s="24"/>
      <c r="O20486" s="24"/>
      <c r="P20486" s="24"/>
      <c r="Q20486" s="24"/>
      <c r="R20486" s="24"/>
      <c r="S20486" s="24"/>
      <c r="T20486" s="24"/>
      <c r="U20486" s="24"/>
      <c r="V20486" s="24"/>
      <c r="W20486" s="24"/>
      <c r="X20486" s="24"/>
      <c r="Y20486" s="24"/>
      <c r="Z20486" s="24"/>
      <c r="AA20486" s="24"/>
    </row>
    <row r="20487">
      <c r="A20487" s="24"/>
      <c r="B20487" s="25"/>
      <c r="C20487" s="24"/>
      <c r="D20487" s="26"/>
      <c r="E20487" s="24"/>
      <c r="F20487" s="24"/>
      <c r="G20487" s="24"/>
      <c r="H20487" s="24"/>
      <c r="I20487" s="24"/>
      <c r="J20487" s="24"/>
      <c r="K20487" s="24"/>
      <c r="L20487" s="24"/>
      <c r="M20487" s="24"/>
      <c r="N20487" s="24"/>
      <c r="O20487" s="24"/>
      <c r="P20487" s="24"/>
      <c r="Q20487" s="24"/>
      <c r="R20487" s="24"/>
      <c r="S20487" s="24"/>
      <c r="T20487" s="24"/>
      <c r="U20487" s="24"/>
      <c r="V20487" s="24"/>
      <c r="W20487" s="24"/>
      <c r="X20487" s="24"/>
      <c r="Y20487" s="24"/>
      <c r="Z20487" s="24"/>
      <c r="AA20487" s="24"/>
    </row>
    <row r="20488">
      <c r="A20488" s="24"/>
      <c r="B20488" s="25"/>
      <c r="C20488" s="24"/>
      <c r="D20488" s="26"/>
      <c r="E20488" s="24"/>
      <c r="F20488" s="24"/>
      <c r="G20488" s="24"/>
      <c r="H20488" s="24"/>
      <c r="I20488" s="24"/>
      <c r="J20488" s="24"/>
      <c r="K20488" s="24"/>
      <c r="L20488" s="24"/>
      <c r="M20488" s="24"/>
      <c r="N20488" s="24"/>
      <c r="O20488" s="24"/>
      <c r="P20488" s="24"/>
      <c r="Q20488" s="24"/>
      <c r="R20488" s="24"/>
      <c r="S20488" s="24"/>
      <c r="T20488" s="24"/>
      <c r="U20488" s="24"/>
      <c r="V20488" s="24"/>
      <c r="W20488" s="24"/>
      <c r="X20488" s="24"/>
      <c r="Y20488" s="24"/>
      <c r="Z20488" s="24"/>
      <c r="AA20488" s="24"/>
    </row>
    <row r="20489">
      <c r="A20489" s="24"/>
      <c r="B20489" s="25"/>
      <c r="C20489" s="24"/>
      <c r="D20489" s="26"/>
      <c r="E20489" s="24"/>
      <c r="F20489" s="24"/>
      <c r="G20489" s="24"/>
      <c r="H20489" s="24"/>
      <c r="I20489" s="24"/>
      <c r="J20489" s="24"/>
      <c r="K20489" s="24"/>
      <c r="L20489" s="24"/>
      <c r="M20489" s="24"/>
      <c r="N20489" s="24"/>
      <c r="O20489" s="24"/>
      <c r="P20489" s="24"/>
      <c r="Q20489" s="24"/>
      <c r="R20489" s="24"/>
      <c r="S20489" s="24"/>
      <c r="T20489" s="24"/>
      <c r="U20489" s="24"/>
      <c r="V20489" s="24"/>
      <c r="W20489" s="24"/>
      <c r="X20489" s="24"/>
      <c r="Y20489" s="24"/>
      <c r="Z20489" s="24"/>
      <c r="AA20489" s="24"/>
    </row>
    <row r="20490">
      <c r="A20490" s="24"/>
      <c r="B20490" s="25"/>
      <c r="C20490" s="24"/>
      <c r="D20490" s="26"/>
      <c r="E20490" s="24"/>
      <c r="F20490" s="24"/>
      <c r="G20490" s="24"/>
      <c r="H20490" s="24"/>
      <c r="I20490" s="24"/>
      <c r="J20490" s="24"/>
      <c r="K20490" s="24"/>
      <c r="L20490" s="24"/>
      <c r="M20490" s="24"/>
      <c r="N20490" s="24"/>
      <c r="O20490" s="24"/>
      <c r="P20490" s="24"/>
      <c r="Q20490" s="24"/>
      <c r="R20490" s="24"/>
      <c r="S20490" s="24"/>
      <c r="T20490" s="24"/>
      <c r="U20490" s="24"/>
      <c r="V20490" s="24"/>
      <c r="W20490" s="24"/>
      <c r="X20490" s="24"/>
      <c r="Y20490" s="24"/>
      <c r="Z20490" s="24"/>
      <c r="AA20490" s="24"/>
    </row>
    <row r="20491">
      <c r="A20491" s="24"/>
      <c r="B20491" s="25"/>
      <c r="C20491" s="24"/>
      <c r="D20491" s="26"/>
      <c r="E20491" s="24"/>
      <c r="F20491" s="24"/>
      <c r="G20491" s="24"/>
      <c r="H20491" s="24"/>
      <c r="I20491" s="24"/>
      <c r="J20491" s="24"/>
      <c r="K20491" s="24"/>
      <c r="L20491" s="24"/>
      <c r="M20491" s="24"/>
      <c r="N20491" s="24"/>
      <c r="O20491" s="24"/>
      <c r="P20491" s="24"/>
      <c r="Q20491" s="24"/>
      <c r="R20491" s="24"/>
      <c r="S20491" s="24"/>
      <c r="T20491" s="24"/>
      <c r="U20491" s="24"/>
      <c r="V20491" s="24"/>
      <c r="W20491" s="24"/>
      <c r="X20491" s="24"/>
      <c r="Y20491" s="24"/>
      <c r="Z20491" s="24"/>
      <c r="AA20491" s="24"/>
    </row>
    <row r="20492">
      <c r="A20492" s="24"/>
      <c r="B20492" s="25"/>
      <c r="C20492" s="24"/>
      <c r="D20492" s="26"/>
      <c r="E20492" s="24"/>
      <c r="F20492" s="24"/>
      <c r="G20492" s="24"/>
      <c r="H20492" s="24"/>
      <c r="I20492" s="24"/>
      <c r="J20492" s="24"/>
      <c r="K20492" s="24"/>
      <c r="L20492" s="24"/>
      <c r="M20492" s="24"/>
      <c r="N20492" s="24"/>
      <c r="O20492" s="24"/>
      <c r="P20492" s="24"/>
      <c r="Q20492" s="24"/>
      <c r="R20492" s="24"/>
      <c r="S20492" s="24"/>
      <c r="T20492" s="24"/>
      <c r="U20492" s="24"/>
      <c r="V20492" s="24"/>
      <c r="W20492" s="24"/>
      <c r="X20492" s="24"/>
      <c r="Y20492" s="24"/>
      <c r="Z20492" s="24"/>
      <c r="AA20492" s="24"/>
    </row>
    <row r="20493">
      <c r="A20493" s="24"/>
      <c r="B20493" s="25"/>
      <c r="C20493" s="24"/>
      <c r="D20493" s="26"/>
      <c r="E20493" s="24"/>
      <c r="F20493" s="24"/>
      <c r="G20493" s="24"/>
      <c r="H20493" s="24"/>
      <c r="I20493" s="24"/>
      <c r="J20493" s="24"/>
      <c r="K20493" s="24"/>
      <c r="L20493" s="24"/>
      <c r="M20493" s="24"/>
      <c r="N20493" s="24"/>
      <c r="O20493" s="24"/>
      <c r="P20493" s="24"/>
      <c r="Q20493" s="24"/>
      <c r="R20493" s="24"/>
      <c r="S20493" s="24"/>
      <c r="T20493" s="24"/>
      <c r="U20493" s="24"/>
      <c r="V20493" s="24"/>
      <c r="W20493" s="24"/>
      <c r="X20493" s="24"/>
      <c r="Y20493" s="24"/>
      <c r="Z20493" s="24"/>
      <c r="AA20493" s="24"/>
    </row>
    <row r="20494">
      <c r="A20494" s="24"/>
      <c r="B20494" s="25"/>
      <c r="C20494" s="24"/>
      <c r="D20494" s="26"/>
      <c r="E20494" s="24"/>
      <c r="F20494" s="24"/>
      <c r="G20494" s="24"/>
      <c r="H20494" s="24"/>
      <c r="I20494" s="24"/>
      <c r="J20494" s="24"/>
      <c r="K20494" s="24"/>
      <c r="L20494" s="24"/>
      <c r="M20494" s="24"/>
      <c r="N20494" s="24"/>
      <c r="O20494" s="24"/>
      <c r="P20494" s="24"/>
      <c r="Q20494" s="24"/>
      <c r="R20494" s="24"/>
      <c r="S20494" s="24"/>
      <c r="T20494" s="24"/>
      <c r="U20494" s="24"/>
      <c r="V20494" s="24"/>
      <c r="W20494" s="24"/>
      <c r="X20494" s="24"/>
      <c r="Y20494" s="24"/>
      <c r="Z20494" s="24"/>
      <c r="AA20494" s="24"/>
    </row>
    <row r="20495">
      <c r="A20495" s="24"/>
      <c r="B20495" s="25"/>
      <c r="C20495" s="24"/>
      <c r="D20495" s="26"/>
      <c r="E20495" s="24"/>
      <c r="F20495" s="24"/>
      <c r="G20495" s="24"/>
      <c r="H20495" s="24"/>
      <c r="I20495" s="24"/>
      <c r="J20495" s="24"/>
      <c r="K20495" s="24"/>
      <c r="L20495" s="24"/>
      <c r="M20495" s="24"/>
      <c r="N20495" s="24"/>
      <c r="O20495" s="24"/>
      <c r="P20495" s="24"/>
      <c r="Q20495" s="24"/>
      <c r="R20495" s="24"/>
      <c r="S20495" s="24"/>
      <c r="T20495" s="24"/>
      <c r="U20495" s="24"/>
      <c r="V20495" s="24"/>
      <c r="W20495" s="24"/>
      <c r="X20495" s="24"/>
      <c r="Y20495" s="24"/>
      <c r="Z20495" s="24"/>
      <c r="AA20495" s="24"/>
    </row>
    <row r="20496">
      <c r="A20496" s="24"/>
      <c r="B20496" s="25"/>
      <c r="C20496" s="24"/>
      <c r="D20496" s="26"/>
      <c r="E20496" s="24"/>
      <c r="F20496" s="24"/>
      <c r="G20496" s="24"/>
      <c r="H20496" s="24"/>
      <c r="I20496" s="24"/>
      <c r="J20496" s="24"/>
      <c r="K20496" s="24"/>
      <c r="L20496" s="24"/>
      <c r="M20496" s="24"/>
      <c r="N20496" s="24"/>
      <c r="O20496" s="24"/>
      <c r="P20496" s="24"/>
      <c r="Q20496" s="24"/>
      <c r="R20496" s="24"/>
      <c r="S20496" s="24"/>
      <c r="T20496" s="24"/>
      <c r="U20496" s="24"/>
      <c r="V20496" s="24"/>
      <c r="W20496" s="24"/>
      <c r="X20496" s="24"/>
      <c r="Y20496" s="24"/>
      <c r="Z20496" s="24"/>
      <c r="AA20496" s="24"/>
    </row>
    <row r="20497">
      <c r="A20497" s="24"/>
      <c r="B20497" s="25"/>
      <c r="C20497" s="24"/>
      <c r="D20497" s="26"/>
      <c r="E20497" s="24"/>
      <c r="F20497" s="24"/>
      <c r="G20497" s="24"/>
      <c r="H20497" s="24"/>
      <c r="I20497" s="24"/>
      <c r="J20497" s="24"/>
      <c r="K20497" s="24"/>
      <c r="L20497" s="24"/>
      <c r="M20497" s="24"/>
      <c r="N20497" s="24"/>
      <c r="O20497" s="24"/>
      <c r="P20497" s="24"/>
      <c r="Q20497" s="24"/>
      <c r="R20497" s="24"/>
      <c r="S20497" s="24"/>
      <c r="T20497" s="24"/>
      <c r="U20497" s="24"/>
      <c r="V20497" s="24"/>
      <c r="W20497" s="24"/>
      <c r="X20497" s="24"/>
      <c r="Y20497" s="24"/>
      <c r="Z20497" s="24"/>
      <c r="AA20497" s="24"/>
    </row>
    <row r="20498">
      <c r="A20498" s="24"/>
      <c r="B20498" s="25"/>
      <c r="C20498" s="24"/>
      <c r="D20498" s="26"/>
      <c r="E20498" s="24"/>
      <c r="F20498" s="24"/>
      <c r="G20498" s="24"/>
      <c r="H20498" s="24"/>
      <c r="I20498" s="24"/>
      <c r="J20498" s="24"/>
      <c r="K20498" s="24"/>
      <c r="L20498" s="24"/>
      <c r="M20498" s="24"/>
      <c r="N20498" s="24"/>
      <c r="O20498" s="24"/>
      <c r="P20498" s="24"/>
      <c r="Q20498" s="24"/>
      <c r="R20498" s="24"/>
      <c r="S20498" s="24"/>
      <c r="T20498" s="24"/>
      <c r="U20498" s="24"/>
      <c r="V20498" s="24"/>
      <c r="W20498" s="24"/>
      <c r="X20498" s="24"/>
      <c r="Y20498" s="24"/>
      <c r="Z20498" s="24"/>
      <c r="AA20498" s="24"/>
    </row>
    <row r="20499">
      <c r="A20499" s="24"/>
      <c r="B20499" s="25"/>
      <c r="C20499" s="24"/>
      <c r="D20499" s="26"/>
      <c r="E20499" s="24"/>
      <c r="F20499" s="24"/>
      <c r="G20499" s="24"/>
      <c r="H20499" s="24"/>
      <c r="I20499" s="24"/>
      <c r="J20499" s="24"/>
      <c r="K20499" s="24"/>
      <c r="L20499" s="24"/>
      <c r="M20499" s="24"/>
      <c r="N20499" s="24"/>
      <c r="O20499" s="24"/>
      <c r="P20499" s="24"/>
      <c r="Q20499" s="24"/>
      <c r="R20499" s="24"/>
      <c r="S20499" s="24"/>
      <c r="T20499" s="24"/>
      <c r="U20499" s="24"/>
      <c r="V20499" s="24"/>
      <c r="W20499" s="24"/>
      <c r="X20499" s="24"/>
      <c r="Y20499" s="24"/>
      <c r="Z20499" s="24"/>
      <c r="AA20499" s="24"/>
    </row>
    <row r="20500">
      <c r="A20500" s="24"/>
      <c r="B20500" s="25"/>
      <c r="C20500" s="24"/>
      <c r="D20500" s="26"/>
      <c r="E20500" s="24"/>
      <c r="F20500" s="24"/>
      <c r="G20500" s="24"/>
      <c r="H20500" s="24"/>
      <c r="I20500" s="24"/>
      <c r="J20500" s="24"/>
      <c r="K20500" s="24"/>
      <c r="L20500" s="24"/>
      <c r="M20500" s="24"/>
      <c r="N20500" s="24"/>
      <c r="O20500" s="24"/>
      <c r="P20500" s="24"/>
      <c r="Q20500" s="24"/>
      <c r="R20500" s="24"/>
      <c r="S20500" s="24"/>
      <c r="T20500" s="24"/>
      <c r="U20500" s="24"/>
      <c r="V20500" s="24"/>
      <c r="W20500" s="24"/>
      <c r="X20500" s="24"/>
      <c r="Y20500" s="24"/>
      <c r="Z20500" s="24"/>
      <c r="AA20500" s="24"/>
    </row>
    <row r="20501">
      <c r="A20501" s="24"/>
      <c r="B20501" s="25"/>
      <c r="C20501" s="24"/>
      <c r="D20501" s="26"/>
      <c r="E20501" s="24"/>
      <c r="F20501" s="24"/>
      <c r="G20501" s="24"/>
      <c r="H20501" s="24"/>
      <c r="I20501" s="24"/>
      <c r="J20501" s="24"/>
      <c r="K20501" s="24"/>
      <c r="L20501" s="24"/>
      <c r="M20501" s="24"/>
      <c r="N20501" s="24"/>
      <c r="O20501" s="24"/>
      <c r="P20501" s="24"/>
      <c r="Q20501" s="24"/>
      <c r="R20501" s="24"/>
      <c r="S20501" s="24"/>
      <c r="T20501" s="24"/>
      <c r="U20501" s="24"/>
      <c r="V20501" s="24"/>
      <c r="W20501" s="24"/>
      <c r="X20501" s="24"/>
      <c r="Y20501" s="24"/>
      <c r="Z20501" s="24"/>
      <c r="AA20501" s="24"/>
    </row>
    <row r="20502">
      <c r="A20502" s="24"/>
      <c r="B20502" s="25"/>
      <c r="C20502" s="24"/>
      <c r="D20502" s="26"/>
      <c r="E20502" s="24"/>
      <c r="F20502" s="24"/>
      <c r="G20502" s="24"/>
      <c r="H20502" s="24"/>
      <c r="I20502" s="24"/>
      <c r="J20502" s="24"/>
      <c r="K20502" s="24"/>
      <c r="L20502" s="24"/>
      <c r="M20502" s="24"/>
      <c r="N20502" s="24"/>
      <c r="O20502" s="24"/>
      <c r="P20502" s="24"/>
      <c r="Q20502" s="24"/>
      <c r="R20502" s="24"/>
      <c r="S20502" s="24"/>
      <c r="T20502" s="24"/>
      <c r="U20502" s="24"/>
      <c r="V20502" s="24"/>
      <c r="W20502" s="24"/>
      <c r="X20502" s="24"/>
      <c r="Y20502" s="24"/>
      <c r="Z20502" s="24"/>
      <c r="AA20502" s="24"/>
    </row>
    <row r="20503">
      <c r="A20503" s="24"/>
      <c r="B20503" s="25"/>
      <c r="C20503" s="24"/>
      <c r="D20503" s="26"/>
      <c r="E20503" s="24"/>
      <c r="F20503" s="24"/>
      <c r="G20503" s="24"/>
      <c r="H20503" s="24"/>
      <c r="I20503" s="24"/>
      <c r="J20503" s="24"/>
      <c r="K20503" s="24"/>
      <c r="L20503" s="24"/>
      <c r="M20503" s="24"/>
      <c r="N20503" s="24"/>
      <c r="O20503" s="24"/>
      <c r="P20503" s="24"/>
      <c r="Q20503" s="24"/>
      <c r="R20503" s="24"/>
      <c r="S20503" s="24"/>
      <c r="T20503" s="24"/>
      <c r="U20503" s="24"/>
      <c r="V20503" s="24"/>
      <c r="W20503" s="24"/>
      <c r="X20503" s="24"/>
      <c r="Y20503" s="24"/>
      <c r="Z20503" s="24"/>
      <c r="AA20503" s="24"/>
    </row>
    <row r="20504">
      <c r="A20504" s="24"/>
      <c r="B20504" s="25"/>
      <c r="C20504" s="24"/>
      <c r="D20504" s="26"/>
      <c r="E20504" s="24"/>
      <c r="F20504" s="24"/>
      <c r="G20504" s="24"/>
      <c r="H20504" s="24"/>
      <c r="I20504" s="24"/>
      <c r="J20504" s="24"/>
      <c r="K20504" s="24"/>
      <c r="L20504" s="24"/>
      <c r="M20504" s="24"/>
      <c r="N20504" s="24"/>
      <c r="O20504" s="24"/>
      <c r="P20504" s="24"/>
      <c r="Q20504" s="24"/>
      <c r="R20504" s="24"/>
      <c r="S20504" s="24"/>
      <c r="T20504" s="24"/>
      <c r="U20504" s="24"/>
      <c r="V20504" s="24"/>
      <c r="W20504" s="24"/>
      <c r="X20504" s="24"/>
      <c r="Y20504" s="24"/>
      <c r="Z20504" s="24"/>
      <c r="AA20504" s="24"/>
    </row>
    <row r="20505">
      <c r="A20505" s="24"/>
      <c r="B20505" s="25"/>
      <c r="C20505" s="24"/>
      <c r="D20505" s="26"/>
      <c r="E20505" s="24"/>
      <c r="F20505" s="24"/>
      <c r="G20505" s="24"/>
      <c r="H20505" s="24"/>
      <c r="I20505" s="24"/>
      <c r="J20505" s="24"/>
      <c r="K20505" s="24"/>
      <c r="L20505" s="24"/>
      <c r="M20505" s="24"/>
      <c r="N20505" s="24"/>
      <c r="O20505" s="24"/>
      <c r="P20505" s="24"/>
      <c r="Q20505" s="24"/>
      <c r="R20505" s="24"/>
      <c r="S20505" s="24"/>
      <c r="T20505" s="24"/>
      <c r="U20505" s="24"/>
      <c r="V20505" s="24"/>
      <c r="W20505" s="24"/>
      <c r="X20505" s="24"/>
      <c r="Y20505" s="24"/>
      <c r="Z20505" s="24"/>
      <c r="AA20505" s="24"/>
    </row>
    <row r="20506">
      <c r="A20506" s="24"/>
      <c r="B20506" s="25"/>
      <c r="C20506" s="24"/>
      <c r="D20506" s="26"/>
      <c r="E20506" s="24"/>
      <c r="F20506" s="24"/>
      <c r="G20506" s="24"/>
      <c r="H20506" s="24"/>
      <c r="I20506" s="24"/>
      <c r="J20506" s="24"/>
      <c r="K20506" s="24"/>
      <c r="L20506" s="24"/>
      <c r="M20506" s="24"/>
      <c r="N20506" s="24"/>
      <c r="O20506" s="24"/>
      <c r="P20506" s="24"/>
      <c r="Q20506" s="24"/>
      <c r="R20506" s="24"/>
      <c r="S20506" s="24"/>
      <c r="T20506" s="24"/>
      <c r="U20506" s="24"/>
      <c r="V20506" s="24"/>
      <c r="W20506" s="24"/>
      <c r="X20506" s="24"/>
      <c r="Y20506" s="24"/>
      <c r="Z20506" s="24"/>
      <c r="AA20506" s="24"/>
    </row>
    <row r="20507">
      <c r="A20507" s="24"/>
      <c r="B20507" s="25"/>
      <c r="C20507" s="24"/>
      <c r="D20507" s="26"/>
      <c r="E20507" s="24"/>
      <c r="F20507" s="24"/>
      <c r="G20507" s="24"/>
      <c r="H20507" s="24"/>
      <c r="I20507" s="24"/>
      <c r="J20507" s="24"/>
      <c r="K20507" s="24"/>
      <c r="L20507" s="24"/>
      <c r="M20507" s="24"/>
      <c r="N20507" s="24"/>
      <c r="O20507" s="24"/>
      <c r="P20507" s="24"/>
      <c r="Q20507" s="24"/>
      <c r="R20507" s="24"/>
      <c r="S20507" s="24"/>
      <c r="T20507" s="24"/>
      <c r="U20507" s="24"/>
      <c r="V20507" s="24"/>
      <c r="W20507" s="24"/>
      <c r="X20507" s="24"/>
      <c r="Y20507" s="24"/>
      <c r="Z20507" s="24"/>
      <c r="AA20507" s="24"/>
    </row>
    <row r="20508">
      <c r="A20508" s="24"/>
      <c r="B20508" s="25"/>
      <c r="C20508" s="24"/>
      <c r="D20508" s="26"/>
      <c r="E20508" s="24"/>
      <c r="F20508" s="24"/>
      <c r="G20508" s="24"/>
      <c r="H20508" s="24"/>
      <c r="I20508" s="24"/>
      <c r="J20508" s="24"/>
      <c r="K20508" s="24"/>
      <c r="L20508" s="24"/>
      <c r="M20508" s="24"/>
      <c r="N20508" s="24"/>
      <c r="O20508" s="24"/>
      <c r="P20508" s="24"/>
      <c r="Q20508" s="24"/>
      <c r="R20508" s="24"/>
      <c r="S20508" s="24"/>
      <c r="T20508" s="24"/>
      <c r="U20508" s="24"/>
      <c r="V20508" s="24"/>
      <c r="W20508" s="24"/>
      <c r="X20508" s="24"/>
      <c r="Y20508" s="24"/>
      <c r="Z20508" s="24"/>
      <c r="AA20508" s="24"/>
    </row>
    <row r="20509">
      <c r="A20509" s="24"/>
      <c r="B20509" s="25"/>
      <c r="C20509" s="24"/>
      <c r="D20509" s="26"/>
      <c r="E20509" s="24"/>
      <c r="F20509" s="24"/>
      <c r="G20509" s="24"/>
      <c r="H20509" s="24"/>
      <c r="I20509" s="24"/>
      <c r="J20509" s="24"/>
      <c r="K20509" s="24"/>
      <c r="L20509" s="24"/>
      <c r="M20509" s="24"/>
      <c r="N20509" s="24"/>
      <c r="O20509" s="24"/>
      <c r="P20509" s="24"/>
      <c r="Q20509" s="24"/>
      <c r="R20509" s="24"/>
      <c r="S20509" s="24"/>
      <c r="T20509" s="24"/>
      <c r="U20509" s="24"/>
      <c r="V20509" s="24"/>
      <c r="W20509" s="24"/>
      <c r="X20509" s="24"/>
      <c r="Y20509" s="24"/>
      <c r="Z20509" s="24"/>
      <c r="AA20509" s="24"/>
    </row>
    <row r="20510">
      <c r="A20510" s="24"/>
      <c r="B20510" s="25"/>
      <c r="C20510" s="24"/>
      <c r="D20510" s="26"/>
      <c r="E20510" s="24"/>
      <c r="F20510" s="24"/>
      <c r="G20510" s="24"/>
      <c r="H20510" s="24"/>
      <c r="I20510" s="24"/>
      <c r="J20510" s="24"/>
      <c r="K20510" s="24"/>
      <c r="L20510" s="24"/>
      <c r="M20510" s="24"/>
      <c r="N20510" s="24"/>
      <c r="O20510" s="24"/>
      <c r="P20510" s="24"/>
      <c r="Q20510" s="24"/>
      <c r="R20510" s="24"/>
      <c r="S20510" s="24"/>
      <c r="T20510" s="24"/>
      <c r="U20510" s="24"/>
      <c r="V20510" s="24"/>
      <c r="W20510" s="24"/>
      <c r="X20510" s="24"/>
      <c r="Y20510" s="24"/>
      <c r="Z20510" s="24"/>
      <c r="AA20510" s="24"/>
    </row>
    <row r="20511">
      <c r="A20511" s="24"/>
      <c r="B20511" s="25"/>
      <c r="C20511" s="24"/>
      <c r="D20511" s="26"/>
      <c r="E20511" s="24"/>
      <c r="F20511" s="24"/>
      <c r="G20511" s="24"/>
      <c r="H20511" s="24"/>
      <c r="I20511" s="24"/>
      <c r="J20511" s="24"/>
      <c r="K20511" s="24"/>
      <c r="L20511" s="24"/>
      <c r="M20511" s="24"/>
      <c r="N20511" s="24"/>
      <c r="O20511" s="24"/>
      <c r="P20511" s="24"/>
      <c r="Q20511" s="24"/>
      <c r="R20511" s="24"/>
      <c r="S20511" s="24"/>
      <c r="T20511" s="24"/>
      <c r="U20511" s="24"/>
      <c r="V20511" s="24"/>
      <c r="W20511" s="24"/>
      <c r="X20511" s="24"/>
      <c r="Y20511" s="24"/>
      <c r="Z20511" s="24"/>
      <c r="AA20511" s="24"/>
    </row>
    <row r="20512">
      <c r="A20512" s="24"/>
      <c r="B20512" s="25"/>
      <c r="C20512" s="24"/>
      <c r="D20512" s="26"/>
      <c r="E20512" s="24"/>
      <c r="F20512" s="24"/>
      <c r="G20512" s="24"/>
      <c r="H20512" s="24"/>
      <c r="I20512" s="24"/>
      <c r="J20512" s="24"/>
      <c r="K20512" s="24"/>
      <c r="L20512" s="24"/>
      <c r="M20512" s="24"/>
      <c r="N20512" s="24"/>
      <c r="O20512" s="24"/>
      <c r="P20512" s="24"/>
      <c r="Q20512" s="24"/>
      <c r="R20512" s="24"/>
      <c r="S20512" s="24"/>
      <c r="T20512" s="24"/>
      <c r="U20512" s="24"/>
      <c r="V20512" s="24"/>
      <c r="W20512" s="24"/>
      <c r="X20512" s="24"/>
      <c r="Y20512" s="24"/>
      <c r="Z20512" s="24"/>
      <c r="AA20512" s="24"/>
    </row>
    <row r="20513">
      <c r="A20513" s="24"/>
      <c r="B20513" s="25"/>
      <c r="C20513" s="24"/>
      <c r="D20513" s="26"/>
      <c r="E20513" s="24"/>
      <c r="F20513" s="24"/>
      <c r="G20513" s="24"/>
      <c r="H20513" s="24"/>
      <c r="I20513" s="24"/>
      <c r="J20513" s="24"/>
      <c r="K20513" s="24"/>
      <c r="L20513" s="24"/>
      <c r="M20513" s="24"/>
      <c r="N20513" s="24"/>
      <c r="O20513" s="24"/>
      <c r="P20513" s="24"/>
      <c r="Q20513" s="24"/>
      <c r="R20513" s="24"/>
      <c r="S20513" s="24"/>
      <c r="T20513" s="24"/>
      <c r="U20513" s="24"/>
      <c r="V20513" s="24"/>
      <c r="W20513" s="24"/>
      <c r="X20513" s="24"/>
      <c r="Y20513" s="24"/>
      <c r="Z20513" s="24"/>
      <c r="AA20513" s="24"/>
    </row>
    <row r="20514">
      <c r="A20514" s="24"/>
      <c r="B20514" s="25"/>
      <c r="C20514" s="24"/>
      <c r="D20514" s="26"/>
      <c r="E20514" s="24"/>
      <c r="F20514" s="24"/>
      <c r="G20514" s="24"/>
      <c r="H20514" s="24"/>
      <c r="I20514" s="24"/>
      <c r="J20514" s="24"/>
      <c r="K20514" s="24"/>
      <c r="L20514" s="24"/>
      <c r="M20514" s="24"/>
      <c r="N20514" s="24"/>
      <c r="O20514" s="24"/>
      <c r="P20514" s="24"/>
      <c r="Q20514" s="24"/>
      <c r="R20514" s="24"/>
      <c r="S20514" s="24"/>
      <c r="T20514" s="24"/>
      <c r="U20514" s="24"/>
      <c r="V20514" s="24"/>
      <c r="W20514" s="24"/>
      <c r="X20514" s="24"/>
      <c r="Y20514" s="24"/>
      <c r="Z20514" s="24"/>
      <c r="AA20514" s="24"/>
    </row>
    <row r="20515">
      <c r="A20515" s="24"/>
      <c r="B20515" s="25"/>
      <c r="C20515" s="24"/>
      <c r="D20515" s="26"/>
      <c r="E20515" s="24"/>
      <c r="F20515" s="24"/>
      <c r="G20515" s="24"/>
      <c r="H20515" s="24"/>
      <c r="I20515" s="24"/>
      <c r="J20515" s="24"/>
      <c r="K20515" s="24"/>
      <c r="L20515" s="24"/>
      <c r="M20515" s="24"/>
      <c r="N20515" s="24"/>
      <c r="O20515" s="24"/>
      <c r="P20515" s="24"/>
      <c r="Q20515" s="24"/>
      <c r="R20515" s="24"/>
      <c r="S20515" s="24"/>
      <c r="T20515" s="24"/>
      <c r="U20515" s="24"/>
      <c r="V20515" s="24"/>
      <c r="W20515" s="24"/>
      <c r="X20515" s="24"/>
      <c r="Y20515" s="24"/>
      <c r="Z20515" s="24"/>
      <c r="AA20515" s="24"/>
    </row>
    <row r="20516">
      <c r="A20516" s="24"/>
      <c r="B20516" s="25"/>
      <c r="C20516" s="24"/>
      <c r="D20516" s="26"/>
      <c r="E20516" s="24"/>
      <c r="F20516" s="24"/>
      <c r="G20516" s="24"/>
      <c r="H20516" s="24"/>
      <c r="I20516" s="24"/>
      <c r="J20516" s="24"/>
      <c r="K20516" s="24"/>
      <c r="L20516" s="24"/>
      <c r="M20516" s="24"/>
      <c r="N20516" s="24"/>
      <c r="O20516" s="24"/>
      <c r="P20516" s="24"/>
      <c r="Q20516" s="24"/>
      <c r="R20516" s="24"/>
      <c r="S20516" s="24"/>
      <c r="T20516" s="24"/>
      <c r="U20516" s="24"/>
      <c r="V20516" s="24"/>
      <c r="W20516" s="24"/>
      <c r="X20516" s="24"/>
      <c r="Y20516" s="24"/>
      <c r="Z20516" s="24"/>
      <c r="AA20516" s="24"/>
    </row>
    <row r="20517">
      <c r="A20517" s="24"/>
      <c r="B20517" s="25"/>
      <c r="C20517" s="24"/>
      <c r="D20517" s="26"/>
      <c r="E20517" s="24"/>
      <c r="F20517" s="24"/>
      <c r="G20517" s="24"/>
      <c r="H20517" s="24"/>
      <c r="I20517" s="24"/>
      <c r="J20517" s="24"/>
      <c r="K20517" s="24"/>
      <c r="L20517" s="24"/>
      <c r="M20517" s="24"/>
      <c r="N20517" s="24"/>
      <c r="O20517" s="24"/>
      <c r="P20517" s="24"/>
      <c r="Q20517" s="24"/>
      <c r="R20517" s="24"/>
      <c r="S20517" s="24"/>
      <c r="T20517" s="24"/>
      <c r="U20517" s="24"/>
      <c r="V20517" s="24"/>
      <c r="W20517" s="24"/>
      <c r="X20517" s="24"/>
      <c r="Y20517" s="24"/>
      <c r="Z20517" s="24"/>
      <c r="AA20517" s="24"/>
    </row>
    <row r="20518">
      <c r="A20518" s="24"/>
      <c r="B20518" s="25"/>
      <c r="C20518" s="24"/>
      <c r="D20518" s="26"/>
      <c r="E20518" s="24"/>
      <c r="F20518" s="24"/>
      <c r="G20518" s="24"/>
      <c r="H20518" s="24"/>
      <c r="I20518" s="24"/>
      <c r="J20518" s="24"/>
      <c r="K20518" s="24"/>
      <c r="L20518" s="24"/>
      <c r="M20518" s="24"/>
      <c r="N20518" s="24"/>
      <c r="O20518" s="24"/>
      <c r="P20518" s="24"/>
      <c r="Q20518" s="24"/>
      <c r="R20518" s="24"/>
      <c r="S20518" s="24"/>
      <c r="T20518" s="24"/>
      <c r="U20518" s="24"/>
      <c r="V20518" s="24"/>
      <c r="W20518" s="24"/>
      <c r="X20518" s="24"/>
      <c r="Y20518" s="24"/>
      <c r="Z20518" s="24"/>
      <c r="AA20518" s="24"/>
    </row>
    <row r="20519">
      <c r="A20519" s="24"/>
      <c r="B20519" s="25"/>
      <c r="C20519" s="24"/>
      <c r="D20519" s="26"/>
      <c r="E20519" s="24"/>
      <c r="F20519" s="24"/>
      <c r="G20519" s="24"/>
      <c r="H20519" s="24"/>
      <c r="I20519" s="24"/>
      <c r="J20519" s="24"/>
      <c r="K20519" s="24"/>
      <c r="L20519" s="24"/>
      <c r="M20519" s="24"/>
      <c r="N20519" s="24"/>
      <c r="O20519" s="24"/>
      <c r="P20519" s="24"/>
      <c r="Q20519" s="24"/>
      <c r="R20519" s="24"/>
      <c r="S20519" s="24"/>
      <c r="T20519" s="24"/>
      <c r="U20519" s="24"/>
      <c r="V20519" s="24"/>
      <c r="W20519" s="24"/>
      <c r="X20519" s="24"/>
      <c r="Y20519" s="24"/>
      <c r="Z20519" s="24"/>
      <c r="AA20519" s="24"/>
    </row>
    <row r="20520">
      <c r="A20520" s="24"/>
      <c r="B20520" s="25"/>
      <c r="C20520" s="24"/>
      <c r="D20520" s="26"/>
      <c r="E20520" s="24"/>
      <c r="F20520" s="24"/>
      <c r="G20520" s="24"/>
      <c r="H20520" s="24"/>
      <c r="I20520" s="24"/>
      <c r="J20520" s="24"/>
      <c r="K20520" s="24"/>
      <c r="L20520" s="24"/>
      <c r="M20520" s="24"/>
      <c r="N20520" s="24"/>
      <c r="O20520" s="24"/>
      <c r="P20520" s="24"/>
      <c r="Q20520" s="24"/>
      <c r="R20520" s="24"/>
      <c r="S20520" s="24"/>
      <c r="T20520" s="24"/>
      <c r="U20520" s="24"/>
      <c r="V20520" s="24"/>
      <c r="W20520" s="24"/>
      <c r="X20520" s="24"/>
      <c r="Y20520" s="24"/>
      <c r="Z20520" s="24"/>
      <c r="AA20520" s="24"/>
    </row>
    <row r="20521">
      <c r="A20521" s="24"/>
      <c r="B20521" s="25"/>
      <c r="C20521" s="24"/>
      <c r="D20521" s="26"/>
      <c r="E20521" s="24"/>
      <c r="F20521" s="24"/>
      <c r="G20521" s="24"/>
      <c r="H20521" s="24"/>
      <c r="I20521" s="24"/>
      <c r="J20521" s="24"/>
      <c r="K20521" s="24"/>
      <c r="L20521" s="24"/>
      <c r="M20521" s="24"/>
      <c r="N20521" s="24"/>
      <c r="O20521" s="24"/>
      <c r="P20521" s="24"/>
      <c r="Q20521" s="24"/>
      <c r="R20521" s="24"/>
      <c r="S20521" s="24"/>
      <c r="T20521" s="24"/>
      <c r="U20521" s="24"/>
      <c r="V20521" s="24"/>
      <c r="W20521" s="24"/>
      <c r="X20521" s="24"/>
      <c r="Y20521" s="24"/>
      <c r="Z20521" s="24"/>
      <c r="AA20521" s="24"/>
    </row>
    <row r="20522">
      <c r="A20522" s="24"/>
      <c r="B20522" s="25"/>
      <c r="C20522" s="24"/>
      <c r="D20522" s="26"/>
      <c r="E20522" s="24"/>
      <c r="F20522" s="24"/>
      <c r="G20522" s="24"/>
      <c r="H20522" s="24"/>
      <c r="I20522" s="24"/>
      <c r="J20522" s="24"/>
      <c r="K20522" s="24"/>
      <c r="L20522" s="24"/>
      <c r="M20522" s="24"/>
      <c r="N20522" s="24"/>
      <c r="O20522" s="24"/>
      <c r="P20522" s="24"/>
      <c r="Q20522" s="24"/>
      <c r="R20522" s="24"/>
      <c r="S20522" s="24"/>
      <c r="T20522" s="24"/>
      <c r="U20522" s="24"/>
      <c r="V20522" s="24"/>
      <c r="W20522" s="24"/>
      <c r="X20522" s="24"/>
      <c r="Y20522" s="24"/>
      <c r="Z20522" s="24"/>
      <c r="AA20522" s="24"/>
    </row>
    <row r="20523">
      <c r="A20523" s="24"/>
      <c r="B20523" s="25"/>
      <c r="C20523" s="24"/>
      <c r="D20523" s="26"/>
      <c r="E20523" s="24"/>
      <c r="F20523" s="24"/>
      <c r="G20523" s="24"/>
      <c r="H20523" s="24"/>
      <c r="I20523" s="24"/>
      <c r="J20523" s="24"/>
      <c r="K20523" s="24"/>
      <c r="L20523" s="24"/>
      <c r="M20523" s="24"/>
      <c r="N20523" s="24"/>
      <c r="O20523" s="24"/>
      <c r="P20523" s="24"/>
      <c r="Q20523" s="24"/>
      <c r="R20523" s="24"/>
      <c r="S20523" s="24"/>
      <c r="T20523" s="24"/>
      <c r="U20523" s="24"/>
      <c r="V20523" s="24"/>
      <c r="W20523" s="24"/>
      <c r="X20523" s="24"/>
      <c r="Y20523" s="24"/>
      <c r="Z20523" s="24"/>
      <c r="AA20523" s="24"/>
    </row>
    <row r="20524">
      <c r="A20524" s="24"/>
      <c r="B20524" s="25"/>
      <c r="C20524" s="24"/>
      <c r="D20524" s="26"/>
      <c r="E20524" s="24"/>
      <c r="F20524" s="24"/>
      <c r="G20524" s="24"/>
      <c r="H20524" s="24"/>
      <c r="I20524" s="24"/>
      <c r="J20524" s="24"/>
      <c r="K20524" s="24"/>
      <c r="L20524" s="24"/>
      <c r="M20524" s="24"/>
      <c r="N20524" s="24"/>
      <c r="O20524" s="24"/>
      <c r="P20524" s="24"/>
      <c r="Q20524" s="24"/>
      <c r="R20524" s="24"/>
      <c r="S20524" s="24"/>
      <c r="T20524" s="24"/>
      <c r="U20524" s="24"/>
      <c r="V20524" s="24"/>
      <c r="W20524" s="24"/>
      <c r="X20524" s="24"/>
      <c r="Y20524" s="24"/>
      <c r="Z20524" s="24"/>
      <c r="AA20524" s="24"/>
    </row>
    <row r="20525">
      <c r="A20525" s="24"/>
      <c r="B20525" s="25"/>
      <c r="C20525" s="24"/>
      <c r="D20525" s="26"/>
      <c r="E20525" s="24"/>
      <c r="F20525" s="24"/>
      <c r="G20525" s="24"/>
      <c r="H20525" s="24"/>
      <c r="I20525" s="24"/>
      <c r="J20525" s="24"/>
      <c r="K20525" s="24"/>
      <c r="L20525" s="24"/>
      <c r="M20525" s="24"/>
      <c r="N20525" s="24"/>
      <c r="O20525" s="24"/>
      <c r="P20525" s="24"/>
      <c r="Q20525" s="24"/>
      <c r="R20525" s="24"/>
      <c r="S20525" s="24"/>
      <c r="T20525" s="24"/>
      <c r="U20525" s="24"/>
      <c r="V20525" s="24"/>
      <c r="W20525" s="24"/>
      <c r="X20525" s="24"/>
      <c r="Y20525" s="24"/>
      <c r="Z20525" s="24"/>
      <c r="AA20525" s="24"/>
    </row>
    <row r="20526">
      <c r="A20526" s="24"/>
      <c r="B20526" s="25"/>
      <c r="C20526" s="24"/>
      <c r="D20526" s="26"/>
      <c r="E20526" s="24"/>
      <c r="F20526" s="24"/>
      <c r="G20526" s="24"/>
      <c r="H20526" s="24"/>
      <c r="I20526" s="24"/>
      <c r="J20526" s="24"/>
      <c r="K20526" s="24"/>
      <c r="L20526" s="24"/>
      <c r="M20526" s="24"/>
      <c r="N20526" s="24"/>
      <c r="O20526" s="24"/>
      <c r="P20526" s="24"/>
      <c r="Q20526" s="24"/>
      <c r="R20526" s="24"/>
      <c r="S20526" s="24"/>
      <c r="T20526" s="24"/>
      <c r="U20526" s="24"/>
      <c r="V20526" s="24"/>
      <c r="W20526" s="24"/>
      <c r="X20526" s="24"/>
      <c r="Y20526" s="24"/>
      <c r="Z20526" s="24"/>
      <c r="AA20526" s="24"/>
    </row>
    <row r="20527">
      <c r="A20527" s="24"/>
      <c r="B20527" s="25"/>
      <c r="C20527" s="24"/>
      <c r="D20527" s="26"/>
      <c r="E20527" s="24"/>
      <c r="F20527" s="24"/>
      <c r="G20527" s="24"/>
      <c r="H20527" s="24"/>
      <c r="I20527" s="24"/>
      <c r="J20527" s="24"/>
      <c r="K20527" s="24"/>
      <c r="L20527" s="24"/>
      <c r="M20527" s="24"/>
      <c r="N20527" s="24"/>
      <c r="O20527" s="24"/>
      <c r="P20527" s="24"/>
      <c r="Q20527" s="24"/>
      <c r="R20527" s="24"/>
      <c r="S20527" s="24"/>
      <c r="T20527" s="24"/>
      <c r="U20527" s="24"/>
      <c r="V20527" s="24"/>
      <c r="W20527" s="24"/>
      <c r="X20527" s="24"/>
      <c r="Y20527" s="24"/>
      <c r="Z20527" s="24"/>
      <c r="AA20527" s="24"/>
    </row>
    <row r="20528">
      <c r="A20528" s="24"/>
      <c r="B20528" s="25"/>
      <c r="C20528" s="24"/>
      <c r="D20528" s="26"/>
      <c r="E20528" s="24"/>
      <c r="F20528" s="24"/>
      <c r="G20528" s="24"/>
      <c r="H20528" s="24"/>
      <c r="I20528" s="24"/>
      <c r="J20528" s="24"/>
      <c r="K20528" s="24"/>
      <c r="L20528" s="24"/>
      <c r="M20528" s="24"/>
      <c r="N20528" s="24"/>
      <c r="O20528" s="24"/>
      <c r="P20528" s="24"/>
      <c r="Q20528" s="24"/>
      <c r="R20528" s="24"/>
      <c r="S20528" s="24"/>
      <c r="T20528" s="24"/>
      <c r="U20528" s="24"/>
      <c r="V20528" s="24"/>
      <c r="W20528" s="24"/>
      <c r="X20528" s="24"/>
      <c r="Y20528" s="24"/>
      <c r="Z20528" s="24"/>
      <c r="AA20528" s="24"/>
    </row>
    <row r="20529">
      <c r="A20529" s="24"/>
      <c r="B20529" s="25"/>
      <c r="C20529" s="24"/>
      <c r="D20529" s="26"/>
      <c r="E20529" s="24"/>
      <c r="F20529" s="24"/>
      <c r="G20529" s="24"/>
      <c r="H20529" s="24"/>
      <c r="I20529" s="24"/>
      <c r="J20529" s="24"/>
      <c r="K20529" s="24"/>
      <c r="L20529" s="24"/>
      <c r="M20529" s="24"/>
      <c r="N20529" s="24"/>
      <c r="O20529" s="24"/>
      <c r="P20529" s="24"/>
      <c r="Q20529" s="24"/>
      <c r="R20529" s="24"/>
      <c r="S20529" s="24"/>
      <c r="T20529" s="24"/>
      <c r="U20529" s="24"/>
      <c r="V20529" s="24"/>
      <c r="W20529" s="24"/>
      <c r="X20529" s="24"/>
      <c r="Y20529" s="24"/>
      <c r="Z20529" s="24"/>
      <c r="AA20529" s="24"/>
    </row>
    <row r="20530">
      <c r="A20530" s="24"/>
      <c r="B20530" s="25"/>
      <c r="C20530" s="24"/>
      <c r="D20530" s="26"/>
      <c r="E20530" s="24"/>
      <c r="F20530" s="24"/>
      <c r="G20530" s="24"/>
      <c r="H20530" s="24"/>
      <c r="I20530" s="24"/>
      <c r="J20530" s="24"/>
      <c r="K20530" s="24"/>
      <c r="L20530" s="24"/>
      <c r="M20530" s="24"/>
      <c r="N20530" s="24"/>
      <c r="O20530" s="24"/>
      <c r="P20530" s="24"/>
      <c r="Q20530" s="24"/>
      <c r="R20530" s="24"/>
      <c r="S20530" s="24"/>
      <c r="T20530" s="24"/>
      <c r="U20530" s="24"/>
      <c r="V20530" s="24"/>
      <c r="W20530" s="24"/>
      <c r="X20530" s="24"/>
      <c r="Y20530" s="24"/>
      <c r="Z20530" s="24"/>
      <c r="AA20530" s="24"/>
    </row>
    <row r="20531">
      <c r="A20531" s="24"/>
      <c r="B20531" s="25"/>
      <c r="C20531" s="24"/>
      <c r="D20531" s="26"/>
      <c r="E20531" s="24"/>
      <c r="F20531" s="24"/>
      <c r="G20531" s="24"/>
      <c r="H20531" s="24"/>
      <c r="I20531" s="24"/>
      <c r="J20531" s="24"/>
      <c r="K20531" s="24"/>
      <c r="L20531" s="24"/>
      <c r="M20531" s="24"/>
      <c r="N20531" s="24"/>
      <c r="O20531" s="24"/>
      <c r="P20531" s="24"/>
      <c r="Q20531" s="24"/>
      <c r="R20531" s="24"/>
      <c r="S20531" s="24"/>
      <c r="T20531" s="24"/>
      <c r="U20531" s="24"/>
      <c r="V20531" s="24"/>
      <c r="W20531" s="24"/>
      <c r="X20531" s="24"/>
      <c r="Y20531" s="24"/>
      <c r="Z20531" s="24"/>
      <c r="AA20531" s="24"/>
    </row>
    <row r="20532">
      <c r="A20532" s="24"/>
      <c r="B20532" s="25"/>
      <c r="C20532" s="24"/>
      <c r="D20532" s="26"/>
      <c r="E20532" s="24"/>
      <c r="F20532" s="24"/>
      <c r="G20532" s="24"/>
      <c r="H20532" s="24"/>
      <c r="I20532" s="24"/>
      <c r="J20532" s="24"/>
      <c r="K20532" s="24"/>
      <c r="L20532" s="24"/>
      <c r="M20532" s="24"/>
      <c r="N20532" s="24"/>
      <c r="O20532" s="24"/>
      <c r="P20532" s="24"/>
      <c r="Q20532" s="24"/>
      <c r="R20532" s="24"/>
      <c r="S20532" s="24"/>
      <c r="T20532" s="24"/>
      <c r="U20532" s="24"/>
      <c r="V20532" s="24"/>
      <c r="W20532" s="24"/>
      <c r="X20532" s="24"/>
      <c r="Y20532" s="24"/>
      <c r="Z20532" s="24"/>
      <c r="AA20532" s="24"/>
    </row>
    <row r="20533">
      <c r="A20533" s="24"/>
      <c r="B20533" s="25"/>
      <c r="C20533" s="24"/>
      <c r="D20533" s="26"/>
      <c r="E20533" s="24"/>
      <c r="F20533" s="24"/>
      <c r="G20533" s="24"/>
      <c r="H20533" s="24"/>
      <c r="I20533" s="24"/>
      <c r="J20533" s="24"/>
      <c r="K20533" s="24"/>
      <c r="L20533" s="24"/>
      <c r="M20533" s="24"/>
      <c r="N20533" s="24"/>
      <c r="O20533" s="24"/>
      <c r="P20533" s="24"/>
      <c r="Q20533" s="24"/>
      <c r="R20533" s="24"/>
      <c r="S20533" s="24"/>
      <c r="T20533" s="24"/>
      <c r="U20533" s="24"/>
      <c r="V20533" s="24"/>
      <c r="W20533" s="24"/>
      <c r="X20533" s="24"/>
      <c r="Y20533" s="24"/>
      <c r="Z20533" s="24"/>
      <c r="AA20533" s="24"/>
    </row>
    <row r="20534">
      <c r="A20534" s="24"/>
      <c r="B20534" s="25"/>
      <c r="C20534" s="24"/>
      <c r="D20534" s="26"/>
      <c r="E20534" s="24"/>
      <c r="F20534" s="24"/>
      <c r="G20534" s="24"/>
      <c r="H20534" s="24"/>
      <c r="I20534" s="24"/>
      <c r="J20534" s="24"/>
      <c r="K20534" s="24"/>
      <c r="L20534" s="24"/>
      <c r="M20534" s="24"/>
      <c r="N20534" s="24"/>
      <c r="O20534" s="24"/>
      <c r="P20534" s="24"/>
      <c r="Q20534" s="24"/>
      <c r="R20534" s="24"/>
      <c r="S20534" s="24"/>
      <c r="T20534" s="24"/>
      <c r="U20534" s="24"/>
      <c r="V20534" s="24"/>
      <c r="W20534" s="24"/>
      <c r="X20534" s="24"/>
      <c r="Y20534" s="24"/>
      <c r="Z20534" s="24"/>
      <c r="AA20534" s="24"/>
    </row>
    <row r="20535">
      <c r="A20535" s="24"/>
      <c r="B20535" s="25"/>
      <c r="C20535" s="24"/>
      <c r="D20535" s="26"/>
      <c r="E20535" s="24"/>
      <c r="F20535" s="24"/>
      <c r="G20535" s="24"/>
      <c r="H20535" s="24"/>
      <c r="I20535" s="24"/>
      <c r="J20535" s="24"/>
      <c r="K20535" s="24"/>
      <c r="L20535" s="24"/>
      <c r="M20535" s="24"/>
      <c r="N20535" s="24"/>
      <c r="O20535" s="24"/>
      <c r="P20535" s="24"/>
      <c r="Q20535" s="24"/>
      <c r="R20535" s="24"/>
      <c r="S20535" s="24"/>
      <c r="T20535" s="24"/>
      <c r="U20535" s="24"/>
      <c r="V20535" s="24"/>
      <c r="W20535" s="24"/>
      <c r="X20535" s="24"/>
      <c r="Y20535" s="24"/>
      <c r="Z20535" s="24"/>
      <c r="AA20535" s="24"/>
    </row>
    <row r="20536">
      <c r="A20536" s="24"/>
      <c r="B20536" s="25"/>
      <c r="C20536" s="24"/>
      <c r="D20536" s="26"/>
      <c r="E20536" s="24"/>
      <c r="F20536" s="24"/>
      <c r="G20536" s="24"/>
      <c r="H20536" s="24"/>
      <c r="I20536" s="24"/>
      <c r="J20536" s="24"/>
      <c r="K20536" s="24"/>
      <c r="L20536" s="24"/>
      <c r="M20536" s="24"/>
      <c r="N20536" s="24"/>
      <c r="O20536" s="24"/>
      <c r="P20536" s="24"/>
      <c r="Q20536" s="24"/>
      <c r="R20536" s="24"/>
      <c r="S20536" s="24"/>
      <c r="T20536" s="24"/>
      <c r="U20536" s="24"/>
      <c r="V20536" s="24"/>
      <c r="W20536" s="24"/>
      <c r="X20536" s="24"/>
      <c r="Y20536" s="24"/>
      <c r="Z20536" s="24"/>
      <c r="AA20536" s="24"/>
    </row>
    <row r="20537">
      <c r="A20537" s="24"/>
      <c r="B20537" s="25"/>
      <c r="C20537" s="24"/>
      <c r="D20537" s="26"/>
      <c r="E20537" s="24"/>
      <c r="F20537" s="24"/>
      <c r="G20537" s="24"/>
      <c r="H20537" s="24"/>
      <c r="I20537" s="24"/>
      <c r="J20537" s="24"/>
      <c r="K20537" s="24"/>
      <c r="L20537" s="24"/>
      <c r="M20537" s="24"/>
      <c r="N20537" s="24"/>
      <c r="O20537" s="24"/>
      <c r="P20537" s="24"/>
      <c r="Q20537" s="24"/>
      <c r="R20537" s="24"/>
      <c r="S20537" s="24"/>
      <c r="T20537" s="24"/>
      <c r="U20537" s="24"/>
      <c r="V20537" s="24"/>
      <c r="W20537" s="24"/>
      <c r="X20537" s="24"/>
      <c r="Y20537" s="24"/>
      <c r="Z20537" s="24"/>
      <c r="AA20537" s="24"/>
    </row>
    <row r="20538">
      <c r="A20538" s="24"/>
      <c r="B20538" s="25"/>
      <c r="C20538" s="24"/>
      <c r="D20538" s="26"/>
      <c r="E20538" s="24"/>
      <c r="F20538" s="24"/>
      <c r="G20538" s="24"/>
      <c r="H20538" s="24"/>
      <c r="I20538" s="24"/>
      <c r="J20538" s="24"/>
      <c r="K20538" s="24"/>
      <c r="L20538" s="24"/>
      <c r="M20538" s="24"/>
      <c r="N20538" s="24"/>
      <c r="O20538" s="24"/>
      <c r="P20538" s="24"/>
      <c r="Q20538" s="24"/>
      <c r="R20538" s="24"/>
      <c r="S20538" s="24"/>
      <c r="T20538" s="24"/>
      <c r="U20538" s="24"/>
      <c r="V20538" s="24"/>
      <c r="W20538" s="24"/>
      <c r="X20538" s="24"/>
      <c r="Y20538" s="24"/>
      <c r="Z20538" s="24"/>
      <c r="AA20538" s="24"/>
    </row>
    <row r="20539">
      <c r="A20539" s="24"/>
      <c r="B20539" s="25"/>
      <c r="C20539" s="24"/>
      <c r="D20539" s="26"/>
      <c r="E20539" s="24"/>
      <c r="F20539" s="24"/>
      <c r="G20539" s="24"/>
      <c r="H20539" s="24"/>
      <c r="I20539" s="24"/>
      <c r="J20539" s="24"/>
      <c r="K20539" s="24"/>
      <c r="L20539" s="24"/>
      <c r="M20539" s="24"/>
      <c r="N20539" s="24"/>
      <c r="O20539" s="24"/>
      <c r="P20539" s="24"/>
      <c r="Q20539" s="24"/>
      <c r="R20539" s="24"/>
      <c r="S20539" s="24"/>
      <c r="T20539" s="24"/>
      <c r="U20539" s="24"/>
      <c r="V20539" s="24"/>
      <c r="W20539" s="24"/>
      <c r="X20539" s="24"/>
      <c r="Y20539" s="24"/>
      <c r="Z20539" s="24"/>
      <c r="AA20539" s="24"/>
    </row>
    <row r="20540">
      <c r="A20540" s="24"/>
      <c r="B20540" s="25"/>
      <c r="C20540" s="24"/>
      <c r="D20540" s="26"/>
      <c r="E20540" s="24"/>
      <c r="F20540" s="24"/>
      <c r="G20540" s="24"/>
      <c r="H20540" s="24"/>
      <c r="I20540" s="24"/>
      <c r="J20540" s="24"/>
      <c r="K20540" s="24"/>
      <c r="L20540" s="24"/>
      <c r="M20540" s="24"/>
      <c r="N20540" s="24"/>
      <c r="O20540" s="24"/>
      <c r="P20540" s="24"/>
      <c r="Q20540" s="24"/>
      <c r="R20540" s="24"/>
      <c r="S20540" s="24"/>
      <c r="T20540" s="24"/>
      <c r="U20540" s="24"/>
      <c r="V20540" s="24"/>
      <c r="W20540" s="24"/>
      <c r="X20540" s="24"/>
      <c r="Y20540" s="24"/>
      <c r="Z20540" s="24"/>
      <c r="AA20540" s="24"/>
    </row>
    <row r="20541">
      <c r="A20541" s="24"/>
      <c r="B20541" s="25"/>
      <c r="C20541" s="24"/>
      <c r="D20541" s="26"/>
      <c r="E20541" s="24"/>
      <c r="F20541" s="24"/>
      <c r="G20541" s="24"/>
      <c r="H20541" s="24"/>
      <c r="I20541" s="24"/>
      <c r="J20541" s="24"/>
      <c r="K20541" s="24"/>
      <c r="L20541" s="24"/>
      <c r="M20541" s="24"/>
      <c r="N20541" s="24"/>
      <c r="O20541" s="24"/>
      <c r="P20541" s="24"/>
      <c r="Q20541" s="24"/>
      <c r="R20541" s="24"/>
      <c r="S20541" s="24"/>
      <c r="T20541" s="24"/>
      <c r="U20541" s="24"/>
      <c r="V20541" s="24"/>
      <c r="W20541" s="24"/>
      <c r="X20541" s="24"/>
      <c r="Y20541" s="24"/>
      <c r="Z20541" s="24"/>
      <c r="AA20541" s="24"/>
    </row>
    <row r="20542">
      <c r="A20542" s="24"/>
      <c r="B20542" s="25"/>
      <c r="C20542" s="24"/>
      <c r="D20542" s="26"/>
      <c r="E20542" s="24"/>
      <c r="F20542" s="24"/>
      <c r="G20542" s="24"/>
      <c r="H20542" s="24"/>
      <c r="I20542" s="24"/>
      <c r="J20542" s="24"/>
      <c r="K20542" s="24"/>
      <c r="L20542" s="24"/>
      <c r="M20542" s="24"/>
      <c r="N20542" s="24"/>
      <c r="O20542" s="24"/>
      <c r="P20542" s="24"/>
      <c r="Q20542" s="24"/>
      <c r="R20542" s="24"/>
      <c r="S20542" s="24"/>
      <c r="T20542" s="24"/>
      <c r="U20542" s="24"/>
      <c r="V20542" s="24"/>
      <c r="W20542" s="24"/>
      <c r="X20542" s="24"/>
      <c r="Y20542" s="24"/>
      <c r="Z20542" s="24"/>
      <c r="AA20542" s="24"/>
    </row>
    <row r="20543">
      <c r="A20543" s="24"/>
      <c r="B20543" s="25"/>
      <c r="C20543" s="24"/>
      <c r="D20543" s="26"/>
      <c r="E20543" s="24"/>
      <c r="F20543" s="24"/>
      <c r="G20543" s="24"/>
      <c r="H20543" s="24"/>
      <c r="I20543" s="24"/>
      <c r="J20543" s="24"/>
      <c r="K20543" s="24"/>
      <c r="L20543" s="24"/>
      <c r="M20543" s="24"/>
      <c r="N20543" s="24"/>
      <c r="O20543" s="24"/>
      <c r="P20543" s="24"/>
      <c r="Q20543" s="24"/>
      <c r="R20543" s="24"/>
      <c r="S20543" s="24"/>
      <c r="T20543" s="24"/>
      <c r="U20543" s="24"/>
      <c r="V20543" s="24"/>
      <c r="W20543" s="24"/>
      <c r="X20543" s="24"/>
      <c r="Y20543" s="24"/>
      <c r="Z20543" s="24"/>
      <c r="AA20543" s="24"/>
    </row>
    <row r="20544">
      <c r="A20544" s="24"/>
      <c r="B20544" s="25"/>
      <c r="C20544" s="24"/>
      <c r="D20544" s="26"/>
      <c r="E20544" s="24"/>
      <c r="F20544" s="24"/>
      <c r="G20544" s="24"/>
      <c r="H20544" s="24"/>
      <c r="I20544" s="24"/>
      <c r="J20544" s="24"/>
      <c r="K20544" s="24"/>
      <c r="L20544" s="24"/>
      <c r="M20544" s="24"/>
      <c r="N20544" s="24"/>
      <c r="O20544" s="24"/>
      <c r="P20544" s="24"/>
      <c r="Q20544" s="24"/>
      <c r="R20544" s="24"/>
      <c r="S20544" s="24"/>
      <c r="T20544" s="24"/>
      <c r="U20544" s="24"/>
      <c r="V20544" s="24"/>
      <c r="W20544" s="24"/>
      <c r="X20544" s="24"/>
      <c r="Y20544" s="24"/>
      <c r="Z20544" s="24"/>
      <c r="AA20544" s="24"/>
    </row>
    <row r="20545">
      <c r="A20545" s="24"/>
      <c r="B20545" s="25"/>
      <c r="C20545" s="24"/>
      <c r="D20545" s="26"/>
      <c r="E20545" s="24"/>
      <c r="F20545" s="24"/>
      <c r="G20545" s="24"/>
      <c r="H20545" s="24"/>
      <c r="I20545" s="24"/>
      <c r="J20545" s="24"/>
      <c r="K20545" s="24"/>
      <c r="L20545" s="24"/>
      <c r="M20545" s="24"/>
      <c r="N20545" s="24"/>
      <c r="O20545" s="24"/>
      <c r="P20545" s="24"/>
      <c r="Q20545" s="24"/>
      <c r="R20545" s="24"/>
      <c r="S20545" s="24"/>
      <c r="T20545" s="24"/>
      <c r="U20545" s="24"/>
      <c r="V20545" s="24"/>
      <c r="W20545" s="24"/>
      <c r="X20545" s="24"/>
      <c r="Y20545" s="24"/>
      <c r="Z20545" s="24"/>
      <c r="AA20545" s="24"/>
    </row>
    <row r="20546">
      <c r="A20546" s="24"/>
      <c r="B20546" s="25"/>
      <c r="C20546" s="24"/>
      <c r="D20546" s="26"/>
      <c r="E20546" s="24"/>
      <c r="F20546" s="24"/>
      <c r="G20546" s="24"/>
      <c r="H20546" s="24"/>
      <c r="I20546" s="24"/>
      <c r="J20546" s="24"/>
      <c r="K20546" s="24"/>
      <c r="L20546" s="24"/>
      <c r="M20546" s="24"/>
      <c r="N20546" s="24"/>
      <c r="O20546" s="24"/>
      <c r="P20546" s="24"/>
      <c r="Q20546" s="24"/>
      <c r="R20546" s="24"/>
      <c r="S20546" s="24"/>
      <c r="T20546" s="24"/>
      <c r="U20546" s="24"/>
      <c r="V20546" s="24"/>
      <c r="W20546" s="24"/>
      <c r="X20546" s="24"/>
      <c r="Y20546" s="24"/>
      <c r="Z20546" s="24"/>
      <c r="AA20546" s="24"/>
    </row>
    <row r="20547">
      <c r="A20547" s="24"/>
      <c r="B20547" s="25"/>
      <c r="C20547" s="24"/>
      <c r="D20547" s="26"/>
      <c r="E20547" s="24"/>
      <c r="F20547" s="24"/>
      <c r="G20547" s="24"/>
      <c r="H20547" s="24"/>
      <c r="I20547" s="24"/>
      <c r="J20547" s="24"/>
      <c r="K20547" s="24"/>
      <c r="L20547" s="24"/>
      <c r="M20547" s="24"/>
      <c r="N20547" s="24"/>
      <c r="O20547" s="24"/>
      <c r="P20547" s="24"/>
      <c r="Q20547" s="24"/>
      <c r="R20547" s="24"/>
      <c r="S20547" s="24"/>
      <c r="T20547" s="24"/>
      <c r="U20547" s="24"/>
      <c r="V20547" s="24"/>
      <c r="W20547" s="24"/>
      <c r="X20547" s="24"/>
      <c r="Y20547" s="24"/>
      <c r="Z20547" s="24"/>
      <c r="AA20547" s="24"/>
    </row>
    <row r="20548">
      <c r="A20548" s="24"/>
      <c r="B20548" s="25"/>
      <c r="C20548" s="24"/>
      <c r="D20548" s="26"/>
      <c r="E20548" s="24"/>
      <c r="F20548" s="24"/>
      <c r="G20548" s="24"/>
      <c r="H20548" s="24"/>
      <c r="I20548" s="24"/>
      <c r="J20548" s="24"/>
      <c r="K20548" s="24"/>
      <c r="L20548" s="24"/>
      <c r="M20548" s="24"/>
      <c r="N20548" s="24"/>
      <c r="O20548" s="24"/>
      <c r="P20548" s="24"/>
      <c r="Q20548" s="24"/>
      <c r="R20548" s="24"/>
      <c r="S20548" s="24"/>
      <c r="T20548" s="24"/>
      <c r="U20548" s="24"/>
      <c r="V20548" s="24"/>
      <c r="W20548" s="24"/>
      <c r="X20548" s="24"/>
      <c r="Y20548" s="24"/>
      <c r="Z20548" s="24"/>
      <c r="AA20548" s="24"/>
    </row>
    <row r="20549">
      <c r="A20549" s="24"/>
      <c r="B20549" s="25"/>
      <c r="C20549" s="24"/>
      <c r="D20549" s="26"/>
      <c r="E20549" s="24"/>
      <c r="F20549" s="24"/>
      <c r="G20549" s="24"/>
      <c r="H20549" s="24"/>
      <c r="I20549" s="24"/>
      <c r="J20549" s="24"/>
      <c r="K20549" s="24"/>
      <c r="L20549" s="24"/>
      <c r="M20549" s="24"/>
      <c r="N20549" s="24"/>
      <c r="O20549" s="24"/>
      <c r="P20549" s="24"/>
      <c r="Q20549" s="24"/>
      <c r="R20549" s="24"/>
      <c r="S20549" s="24"/>
      <c r="T20549" s="24"/>
      <c r="U20549" s="24"/>
      <c r="V20549" s="24"/>
      <c r="W20549" s="24"/>
      <c r="X20549" s="24"/>
      <c r="Y20549" s="24"/>
      <c r="Z20549" s="24"/>
      <c r="AA20549" s="24"/>
    </row>
    <row r="20550">
      <c r="A20550" s="24"/>
      <c r="B20550" s="25"/>
      <c r="C20550" s="24"/>
      <c r="D20550" s="26"/>
      <c r="E20550" s="24"/>
      <c r="F20550" s="24"/>
      <c r="G20550" s="24"/>
      <c r="H20550" s="24"/>
      <c r="I20550" s="24"/>
      <c r="J20550" s="24"/>
      <c r="K20550" s="24"/>
      <c r="L20550" s="24"/>
      <c r="M20550" s="24"/>
      <c r="N20550" s="24"/>
      <c r="O20550" s="24"/>
      <c r="P20550" s="24"/>
      <c r="Q20550" s="24"/>
      <c r="R20550" s="24"/>
      <c r="S20550" s="24"/>
      <c r="T20550" s="24"/>
      <c r="U20550" s="24"/>
      <c r="V20550" s="24"/>
      <c r="W20550" s="24"/>
      <c r="X20550" s="24"/>
      <c r="Y20550" s="24"/>
      <c r="Z20550" s="24"/>
      <c r="AA20550" s="24"/>
    </row>
    <row r="20551">
      <c r="A20551" s="24"/>
      <c r="B20551" s="25"/>
      <c r="C20551" s="24"/>
      <c r="D20551" s="26"/>
      <c r="E20551" s="24"/>
      <c r="F20551" s="24"/>
      <c r="G20551" s="24"/>
      <c r="H20551" s="24"/>
      <c r="I20551" s="24"/>
      <c r="J20551" s="24"/>
      <c r="K20551" s="24"/>
      <c r="L20551" s="24"/>
      <c r="M20551" s="24"/>
      <c r="N20551" s="24"/>
      <c r="O20551" s="24"/>
      <c r="P20551" s="24"/>
      <c r="Q20551" s="24"/>
      <c r="R20551" s="24"/>
      <c r="S20551" s="24"/>
      <c r="T20551" s="24"/>
      <c r="U20551" s="24"/>
      <c r="V20551" s="24"/>
      <c r="W20551" s="24"/>
      <c r="X20551" s="24"/>
      <c r="Y20551" s="24"/>
      <c r="Z20551" s="24"/>
      <c r="AA20551" s="24"/>
    </row>
    <row r="20552">
      <c r="A20552" s="24"/>
      <c r="B20552" s="25"/>
      <c r="C20552" s="24"/>
      <c r="D20552" s="26"/>
      <c r="E20552" s="24"/>
      <c r="F20552" s="24"/>
      <c r="G20552" s="24"/>
      <c r="H20552" s="24"/>
      <c r="I20552" s="24"/>
      <c r="J20552" s="24"/>
      <c r="K20552" s="24"/>
      <c r="L20552" s="24"/>
      <c r="M20552" s="24"/>
      <c r="N20552" s="24"/>
      <c r="O20552" s="24"/>
      <c r="P20552" s="24"/>
      <c r="Q20552" s="24"/>
      <c r="R20552" s="24"/>
      <c r="S20552" s="24"/>
      <c r="T20552" s="24"/>
      <c r="U20552" s="24"/>
      <c r="V20552" s="24"/>
      <c r="W20552" s="24"/>
      <c r="X20552" s="24"/>
      <c r="Y20552" s="24"/>
      <c r="Z20552" s="24"/>
      <c r="AA20552" s="24"/>
    </row>
    <row r="20553">
      <c r="A20553" s="24"/>
      <c r="B20553" s="25"/>
      <c r="C20553" s="24"/>
      <c r="D20553" s="26"/>
      <c r="E20553" s="24"/>
      <c r="F20553" s="24"/>
      <c r="G20553" s="24"/>
      <c r="H20553" s="24"/>
      <c r="I20553" s="24"/>
      <c r="J20553" s="24"/>
      <c r="K20553" s="24"/>
      <c r="L20553" s="24"/>
      <c r="M20553" s="24"/>
      <c r="N20553" s="24"/>
      <c r="O20553" s="24"/>
      <c r="P20553" s="24"/>
      <c r="Q20553" s="24"/>
      <c r="R20553" s="24"/>
      <c r="S20553" s="24"/>
      <c r="T20553" s="24"/>
      <c r="U20553" s="24"/>
      <c r="V20553" s="24"/>
      <c r="W20553" s="24"/>
      <c r="X20553" s="24"/>
      <c r="Y20553" s="24"/>
      <c r="Z20553" s="24"/>
      <c r="AA20553" s="24"/>
    </row>
    <row r="20554">
      <c r="A20554" s="24"/>
      <c r="B20554" s="25"/>
      <c r="C20554" s="24"/>
      <c r="D20554" s="26"/>
      <c r="E20554" s="24"/>
      <c r="F20554" s="24"/>
      <c r="G20554" s="24"/>
      <c r="H20554" s="24"/>
      <c r="I20554" s="24"/>
      <c r="J20554" s="24"/>
      <c r="K20554" s="24"/>
      <c r="L20554" s="24"/>
      <c r="M20554" s="24"/>
      <c r="N20554" s="24"/>
      <c r="O20554" s="24"/>
      <c r="P20554" s="24"/>
      <c r="Q20554" s="24"/>
      <c r="R20554" s="24"/>
      <c r="S20554" s="24"/>
      <c r="T20554" s="24"/>
      <c r="U20554" s="24"/>
      <c r="V20554" s="24"/>
      <c r="W20554" s="24"/>
      <c r="X20554" s="24"/>
      <c r="Y20554" s="24"/>
      <c r="Z20554" s="24"/>
      <c r="AA20554" s="24"/>
    </row>
    <row r="20555">
      <c r="A20555" s="24"/>
      <c r="B20555" s="25"/>
      <c r="C20555" s="24"/>
      <c r="D20555" s="26"/>
      <c r="E20555" s="24"/>
      <c r="F20555" s="24"/>
      <c r="G20555" s="24"/>
      <c r="H20555" s="24"/>
      <c r="I20555" s="24"/>
      <c r="J20555" s="24"/>
      <c r="K20555" s="24"/>
      <c r="L20555" s="24"/>
      <c r="M20555" s="24"/>
      <c r="N20555" s="24"/>
      <c r="O20555" s="24"/>
      <c r="P20555" s="24"/>
      <c r="Q20555" s="24"/>
      <c r="R20555" s="24"/>
      <c r="S20555" s="24"/>
      <c r="T20555" s="24"/>
      <c r="U20555" s="24"/>
      <c r="V20555" s="24"/>
      <c r="W20555" s="24"/>
      <c r="X20555" s="24"/>
      <c r="Y20555" s="24"/>
      <c r="Z20555" s="24"/>
      <c r="AA20555" s="24"/>
    </row>
    <row r="20556">
      <c r="A20556" s="24"/>
      <c r="B20556" s="25"/>
      <c r="C20556" s="24"/>
      <c r="D20556" s="26"/>
      <c r="E20556" s="24"/>
      <c r="F20556" s="24"/>
      <c r="G20556" s="24"/>
      <c r="H20556" s="24"/>
      <c r="I20556" s="24"/>
      <c r="J20556" s="24"/>
      <c r="K20556" s="24"/>
      <c r="L20556" s="24"/>
      <c r="M20556" s="24"/>
      <c r="N20556" s="24"/>
      <c r="O20556" s="24"/>
      <c r="P20556" s="24"/>
      <c r="Q20556" s="24"/>
      <c r="R20556" s="24"/>
      <c r="S20556" s="24"/>
      <c r="T20556" s="24"/>
      <c r="U20556" s="24"/>
      <c r="V20556" s="24"/>
      <c r="W20556" s="24"/>
      <c r="X20556" s="24"/>
      <c r="Y20556" s="24"/>
      <c r="Z20556" s="24"/>
      <c r="AA20556" s="24"/>
    </row>
    <row r="20557">
      <c r="A20557" s="24"/>
      <c r="B20557" s="25"/>
      <c r="C20557" s="24"/>
      <c r="D20557" s="26"/>
      <c r="E20557" s="24"/>
      <c r="F20557" s="24"/>
      <c r="G20557" s="24"/>
      <c r="H20557" s="24"/>
      <c r="I20557" s="24"/>
      <c r="J20557" s="24"/>
      <c r="K20557" s="24"/>
      <c r="L20557" s="24"/>
      <c r="M20557" s="24"/>
      <c r="N20557" s="24"/>
      <c r="O20557" s="24"/>
      <c r="P20557" s="24"/>
      <c r="Q20557" s="24"/>
      <c r="R20557" s="24"/>
      <c r="S20557" s="24"/>
      <c r="T20557" s="24"/>
      <c r="U20557" s="24"/>
      <c r="V20557" s="24"/>
      <c r="W20557" s="24"/>
      <c r="X20557" s="24"/>
      <c r="Y20557" s="24"/>
      <c r="Z20557" s="24"/>
      <c r="AA20557" s="24"/>
    </row>
    <row r="20558">
      <c r="A20558" s="24"/>
      <c r="B20558" s="25"/>
      <c r="C20558" s="24"/>
      <c r="D20558" s="26"/>
      <c r="E20558" s="24"/>
      <c r="F20558" s="24"/>
      <c r="G20558" s="24"/>
      <c r="H20558" s="24"/>
      <c r="I20558" s="24"/>
      <c r="J20558" s="24"/>
      <c r="K20558" s="24"/>
      <c r="L20558" s="24"/>
      <c r="M20558" s="24"/>
      <c r="N20558" s="24"/>
      <c r="O20558" s="24"/>
      <c r="P20558" s="24"/>
      <c r="Q20558" s="24"/>
      <c r="R20558" s="24"/>
      <c r="S20558" s="24"/>
      <c r="T20558" s="24"/>
      <c r="U20558" s="24"/>
      <c r="V20558" s="24"/>
      <c r="W20558" s="24"/>
      <c r="X20558" s="24"/>
      <c r="Y20558" s="24"/>
      <c r="Z20558" s="24"/>
      <c r="AA20558" s="24"/>
    </row>
    <row r="20559">
      <c r="A20559" s="24"/>
      <c r="B20559" s="25"/>
      <c r="C20559" s="24"/>
      <c r="D20559" s="26"/>
      <c r="E20559" s="24"/>
      <c r="F20559" s="24"/>
      <c r="G20559" s="24"/>
      <c r="H20559" s="24"/>
      <c r="I20559" s="24"/>
      <c r="J20559" s="24"/>
      <c r="K20559" s="24"/>
      <c r="L20559" s="24"/>
      <c r="M20559" s="24"/>
      <c r="N20559" s="24"/>
      <c r="O20559" s="24"/>
      <c r="P20559" s="24"/>
      <c r="Q20559" s="24"/>
      <c r="R20559" s="24"/>
      <c r="S20559" s="24"/>
      <c r="T20559" s="24"/>
      <c r="U20559" s="24"/>
      <c r="V20559" s="24"/>
      <c r="W20559" s="24"/>
      <c r="X20559" s="24"/>
      <c r="Y20559" s="24"/>
      <c r="Z20559" s="24"/>
      <c r="AA20559" s="24"/>
    </row>
    <row r="20560">
      <c r="A20560" s="24"/>
      <c r="B20560" s="25"/>
      <c r="C20560" s="24"/>
      <c r="D20560" s="26"/>
      <c r="E20560" s="24"/>
      <c r="F20560" s="24"/>
      <c r="G20560" s="24"/>
      <c r="H20560" s="24"/>
      <c r="I20560" s="24"/>
      <c r="J20560" s="24"/>
      <c r="K20560" s="24"/>
      <c r="L20560" s="24"/>
      <c r="M20560" s="24"/>
      <c r="N20560" s="24"/>
      <c r="O20560" s="24"/>
      <c r="P20560" s="24"/>
      <c r="Q20560" s="24"/>
      <c r="R20560" s="24"/>
      <c r="S20560" s="24"/>
      <c r="T20560" s="24"/>
      <c r="U20560" s="24"/>
      <c r="V20560" s="24"/>
      <c r="W20560" s="24"/>
      <c r="X20560" s="24"/>
      <c r="Y20560" s="24"/>
      <c r="Z20560" s="24"/>
      <c r="AA20560" s="24"/>
    </row>
    <row r="20561">
      <c r="A20561" s="24"/>
      <c r="B20561" s="25"/>
      <c r="C20561" s="24"/>
      <c r="D20561" s="26"/>
      <c r="E20561" s="24"/>
      <c r="F20561" s="24"/>
      <c r="G20561" s="24"/>
      <c r="H20561" s="24"/>
      <c r="I20561" s="24"/>
      <c r="J20561" s="24"/>
      <c r="K20561" s="24"/>
      <c r="L20561" s="24"/>
      <c r="M20561" s="24"/>
      <c r="N20561" s="24"/>
      <c r="O20561" s="24"/>
      <c r="P20561" s="24"/>
      <c r="Q20561" s="24"/>
      <c r="R20561" s="24"/>
      <c r="S20561" s="24"/>
      <c r="T20561" s="24"/>
      <c r="U20561" s="24"/>
      <c r="V20561" s="24"/>
      <c r="W20561" s="24"/>
      <c r="X20561" s="24"/>
      <c r="Y20561" s="24"/>
      <c r="Z20561" s="24"/>
      <c r="AA20561" s="24"/>
    </row>
    <row r="20562">
      <c r="A20562" s="24"/>
      <c r="B20562" s="25"/>
      <c r="C20562" s="24"/>
      <c r="D20562" s="26"/>
      <c r="E20562" s="24"/>
      <c r="F20562" s="24"/>
      <c r="G20562" s="24"/>
      <c r="H20562" s="24"/>
      <c r="I20562" s="24"/>
      <c r="J20562" s="24"/>
      <c r="K20562" s="24"/>
      <c r="L20562" s="24"/>
      <c r="M20562" s="24"/>
      <c r="N20562" s="24"/>
      <c r="O20562" s="24"/>
      <c r="P20562" s="24"/>
      <c r="Q20562" s="24"/>
      <c r="R20562" s="24"/>
      <c r="S20562" s="24"/>
      <c r="T20562" s="24"/>
      <c r="U20562" s="24"/>
      <c r="V20562" s="24"/>
      <c r="W20562" s="24"/>
      <c r="X20562" s="24"/>
      <c r="Y20562" s="24"/>
      <c r="Z20562" s="24"/>
      <c r="AA20562" s="24"/>
    </row>
    <row r="20563">
      <c r="A20563" s="24"/>
      <c r="B20563" s="25"/>
      <c r="C20563" s="24"/>
      <c r="D20563" s="26"/>
      <c r="E20563" s="24"/>
      <c r="F20563" s="24"/>
      <c r="G20563" s="24"/>
      <c r="H20563" s="24"/>
      <c r="I20563" s="24"/>
      <c r="J20563" s="24"/>
      <c r="K20563" s="24"/>
      <c r="L20563" s="24"/>
      <c r="M20563" s="24"/>
      <c r="N20563" s="24"/>
      <c r="O20563" s="24"/>
      <c r="P20563" s="24"/>
      <c r="Q20563" s="24"/>
      <c r="R20563" s="24"/>
      <c r="S20563" s="24"/>
      <c r="T20563" s="24"/>
      <c r="U20563" s="24"/>
      <c r="V20563" s="24"/>
      <c r="W20563" s="24"/>
      <c r="X20563" s="24"/>
      <c r="Y20563" s="24"/>
      <c r="Z20563" s="24"/>
      <c r="AA20563" s="24"/>
    </row>
    <row r="20564">
      <c r="A20564" s="24"/>
      <c r="B20564" s="25"/>
      <c r="C20564" s="24"/>
      <c r="D20564" s="26"/>
      <c r="E20564" s="24"/>
      <c r="F20564" s="24"/>
      <c r="G20564" s="24"/>
      <c r="H20564" s="24"/>
      <c r="I20564" s="24"/>
      <c r="J20564" s="24"/>
      <c r="K20564" s="24"/>
      <c r="L20564" s="24"/>
      <c r="M20564" s="24"/>
      <c r="N20564" s="24"/>
      <c r="O20564" s="24"/>
      <c r="P20564" s="24"/>
      <c r="Q20564" s="24"/>
      <c r="R20564" s="24"/>
      <c r="S20564" s="24"/>
      <c r="T20564" s="24"/>
      <c r="U20564" s="24"/>
      <c r="V20564" s="24"/>
      <c r="W20564" s="24"/>
      <c r="X20564" s="24"/>
      <c r="Y20564" s="24"/>
      <c r="Z20564" s="24"/>
      <c r="AA20564" s="24"/>
    </row>
    <row r="20565">
      <c r="A20565" s="24"/>
      <c r="B20565" s="25"/>
      <c r="C20565" s="24"/>
      <c r="D20565" s="26"/>
      <c r="E20565" s="24"/>
      <c r="F20565" s="24"/>
      <c r="G20565" s="24"/>
      <c r="H20565" s="24"/>
      <c r="I20565" s="24"/>
      <c r="J20565" s="24"/>
      <c r="K20565" s="24"/>
      <c r="L20565" s="24"/>
      <c r="M20565" s="24"/>
      <c r="N20565" s="24"/>
      <c r="O20565" s="24"/>
      <c r="P20565" s="24"/>
      <c r="Q20565" s="24"/>
      <c r="R20565" s="24"/>
      <c r="S20565" s="24"/>
      <c r="T20565" s="24"/>
      <c r="U20565" s="24"/>
      <c r="V20565" s="24"/>
      <c r="W20565" s="24"/>
      <c r="X20565" s="24"/>
      <c r="Y20565" s="24"/>
      <c r="Z20565" s="24"/>
      <c r="AA20565" s="24"/>
    </row>
    <row r="20566">
      <c r="A20566" s="24"/>
      <c r="B20566" s="25"/>
      <c r="C20566" s="24"/>
      <c r="D20566" s="26"/>
      <c r="E20566" s="24"/>
      <c r="F20566" s="24"/>
      <c r="G20566" s="24"/>
      <c r="H20566" s="24"/>
      <c r="I20566" s="24"/>
      <c r="J20566" s="24"/>
      <c r="K20566" s="24"/>
      <c r="L20566" s="24"/>
      <c r="M20566" s="24"/>
      <c r="N20566" s="24"/>
      <c r="O20566" s="24"/>
      <c r="P20566" s="24"/>
      <c r="Q20566" s="24"/>
      <c r="R20566" s="24"/>
      <c r="S20566" s="24"/>
      <c r="T20566" s="24"/>
      <c r="U20566" s="24"/>
      <c r="V20566" s="24"/>
      <c r="W20566" s="24"/>
      <c r="X20566" s="24"/>
      <c r="Y20566" s="24"/>
      <c r="Z20566" s="24"/>
      <c r="AA20566" s="24"/>
    </row>
    <row r="20567">
      <c r="A20567" s="24"/>
      <c r="B20567" s="25"/>
      <c r="C20567" s="24"/>
      <c r="D20567" s="26"/>
      <c r="E20567" s="24"/>
      <c r="F20567" s="24"/>
      <c r="G20567" s="24"/>
      <c r="H20567" s="24"/>
      <c r="I20567" s="24"/>
      <c r="J20567" s="24"/>
      <c r="K20567" s="24"/>
      <c r="L20567" s="24"/>
      <c r="M20567" s="24"/>
      <c r="N20567" s="24"/>
      <c r="O20567" s="24"/>
      <c r="P20567" s="24"/>
      <c r="Q20567" s="24"/>
      <c r="R20567" s="24"/>
      <c r="S20567" s="24"/>
      <c r="T20567" s="24"/>
      <c r="U20567" s="24"/>
      <c r="V20567" s="24"/>
      <c r="W20567" s="24"/>
      <c r="X20567" s="24"/>
      <c r="Y20567" s="24"/>
      <c r="Z20567" s="24"/>
      <c r="AA20567" s="24"/>
    </row>
    <row r="20568">
      <c r="A20568" s="24"/>
      <c r="B20568" s="25"/>
      <c r="C20568" s="24"/>
      <c r="D20568" s="26"/>
      <c r="E20568" s="24"/>
      <c r="F20568" s="24"/>
      <c r="G20568" s="24"/>
      <c r="H20568" s="24"/>
      <c r="I20568" s="24"/>
      <c r="J20568" s="24"/>
      <c r="K20568" s="24"/>
      <c r="L20568" s="24"/>
      <c r="M20568" s="24"/>
      <c r="N20568" s="24"/>
      <c r="O20568" s="24"/>
      <c r="P20568" s="24"/>
      <c r="Q20568" s="24"/>
      <c r="R20568" s="24"/>
      <c r="S20568" s="24"/>
      <c r="T20568" s="24"/>
      <c r="U20568" s="24"/>
      <c r="V20568" s="24"/>
      <c r="W20568" s="24"/>
      <c r="X20568" s="24"/>
      <c r="Y20568" s="24"/>
      <c r="Z20568" s="24"/>
      <c r="AA20568" s="24"/>
    </row>
    <row r="20569">
      <c r="A20569" s="24"/>
      <c r="B20569" s="25"/>
      <c r="C20569" s="24"/>
      <c r="D20569" s="26"/>
      <c r="E20569" s="24"/>
      <c r="F20569" s="24"/>
      <c r="G20569" s="24"/>
      <c r="H20569" s="24"/>
      <c r="I20569" s="24"/>
      <c r="J20569" s="24"/>
      <c r="K20569" s="24"/>
      <c r="L20569" s="24"/>
      <c r="M20569" s="24"/>
      <c r="N20569" s="24"/>
      <c r="O20569" s="24"/>
      <c r="P20569" s="24"/>
      <c r="Q20569" s="24"/>
      <c r="R20569" s="24"/>
      <c r="S20569" s="24"/>
      <c r="T20569" s="24"/>
      <c r="U20569" s="24"/>
      <c r="V20569" s="24"/>
      <c r="W20569" s="24"/>
      <c r="X20569" s="24"/>
      <c r="Y20569" s="24"/>
      <c r="Z20569" s="24"/>
      <c r="AA20569" s="24"/>
    </row>
    <row r="20570">
      <c r="A20570" s="24"/>
      <c r="B20570" s="25"/>
      <c r="C20570" s="24"/>
      <c r="D20570" s="26"/>
      <c r="E20570" s="24"/>
      <c r="F20570" s="24"/>
      <c r="G20570" s="24"/>
      <c r="H20570" s="24"/>
      <c r="I20570" s="24"/>
      <c r="J20570" s="24"/>
      <c r="K20570" s="24"/>
      <c r="L20570" s="24"/>
      <c r="M20570" s="24"/>
      <c r="N20570" s="24"/>
      <c r="O20570" s="24"/>
      <c r="P20570" s="24"/>
      <c r="Q20570" s="24"/>
      <c r="R20570" s="24"/>
      <c r="S20570" s="24"/>
      <c r="T20570" s="24"/>
      <c r="U20570" s="24"/>
      <c r="V20570" s="24"/>
      <c r="W20570" s="24"/>
      <c r="X20570" s="24"/>
      <c r="Y20570" s="24"/>
      <c r="Z20570" s="24"/>
      <c r="AA20570" s="24"/>
    </row>
    <row r="20571">
      <c r="A20571" s="24"/>
      <c r="B20571" s="25"/>
      <c r="C20571" s="24"/>
      <c r="D20571" s="26"/>
      <c r="E20571" s="24"/>
      <c r="F20571" s="24"/>
      <c r="G20571" s="24"/>
      <c r="H20571" s="24"/>
      <c r="I20571" s="24"/>
      <c r="J20571" s="24"/>
      <c r="K20571" s="24"/>
      <c r="L20571" s="24"/>
      <c r="M20571" s="24"/>
      <c r="N20571" s="24"/>
      <c r="O20571" s="24"/>
      <c r="P20571" s="24"/>
      <c r="Q20571" s="24"/>
      <c r="R20571" s="24"/>
      <c r="S20571" s="24"/>
      <c r="T20571" s="24"/>
      <c r="U20571" s="24"/>
      <c r="V20571" s="24"/>
      <c r="W20571" s="24"/>
      <c r="X20571" s="24"/>
      <c r="Y20571" s="24"/>
      <c r="Z20571" s="24"/>
      <c r="AA20571" s="24"/>
    </row>
    <row r="20572">
      <c r="A20572" s="24"/>
      <c r="B20572" s="25"/>
      <c r="C20572" s="24"/>
      <c r="D20572" s="26"/>
      <c r="E20572" s="24"/>
      <c r="F20572" s="24"/>
      <c r="G20572" s="24"/>
      <c r="H20572" s="24"/>
      <c r="I20572" s="24"/>
      <c r="J20572" s="24"/>
      <c r="K20572" s="24"/>
      <c r="L20572" s="24"/>
      <c r="M20572" s="24"/>
      <c r="N20572" s="24"/>
      <c r="O20572" s="24"/>
      <c r="P20572" s="24"/>
      <c r="Q20572" s="24"/>
      <c r="R20572" s="24"/>
      <c r="S20572" s="24"/>
      <c r="T20572" s="24"/>
      <c r="U20572" s="24"/>
      <c r="V20572" s="24"/>
      <c r="W20572" s="24"/>
      <c r="X20572" s="24"/>
      <c r="Y20572" s="24"/>
      <c r="Z20572" s="24"/>
      <c r="AA20572" s="24"/>
    </row>
    <row r="20573">
      <c r="A20573" s="24"/>
      <c r="B20573" s="25"/>
      <c r="C20573" s="24"/>
      <c r="D20573" s="26"/>
      <c r="E20573" s="24"/>
      <c r="F20573" s="24"/>
      <c r="G20573" s="24"/>
      <c r="H20573" s="24"/>
      <c r="I20573" s="24"/>
      <c r="J20573" s="24"/>
      <c r="K20573" s="24"/>
      <c r="L20573" s="24"/>
      <c r="M20573" s="24"/>
      <c r="N20573" s="24"/>
      <c r="O20573" s="24"/>
      <c r="P20573" s="24"/>
      <c r="Q20573" s="24"/>
      <c r="R20573" s="24"/>
      <c r="S20573" s="24"/>
      <c r="T20573" s="24"/>
      <c r="U20573" s="24"/>
      <c r="V20573" s="24"/>
      <c r="W20573" s="24"/>
      <c r="X20573" s="24"/>
      <c r="Y20573" s="24"/>
      <c r="Z20573" s="24"/>
      <c r="AA20573" s="24"/>
    </row>
    <row r="20574">
      <c r="A20574" s="24"/>
      <c r="B20574" s="25"/>
      <c r="C20574" s="24"/>
      <c r="D20574" s="26"/>
      <c r="E20574" s="24"/>
      <c r="F20574" s="24"/>
      <c r="G20574" s="24"/>
      <c r="H20574" s="24"/>
      <c r="I20574" s="24"/>
      <c r="J20574" s="24"/>
      <c r="K20574" s="24"/>
      <c r="L20574" s="24"/>
      <c r="M20574" s="24"/>
      <c r="N20574" s="24"/>
      <c r="O20574" s="24"/>
      <c r="P20574" s="24"/>
      <c r="Q20574" s="24"/>
      <c r="R20574" s="24"/>
      <c r="S20574" s="24"/>
      <c r="T20574" s="24"/>
      <c r="U20574" s="24"/>
      <c r="V20574" s="24"/>
      <c r="W20574" s="24"/>
      <c r="X20574" s="24"/>
      <c r="Y20574" s="24"/>
      <c r="Z20574" s="24"/>
      <c r="AA20574" s="24"/>
    </row>
    <row r="20575">
      <c r="A20575" s="24"/>
      <c r="B20575" s="25"/>
      <c r="C20575" s="24"/>
      <c r="D20575" s="26"/>
      <c r="E20575" s="24"/>
      <c r="F20575" s="24"/>
      <c r="G20575" s="24"/>
      <c r="H20575" s="24"/>
      <c r="I20575" s="24"/>
      <c r="J20575" s="24"/>
      <c r="K20575" s="24"/>
      <c r="L20575" s="24"/>
      <c r="M20575" s="24"/>
      <c r="N20575" s="24"/>
      <c r="O20575" s="24"/>
      <c r="P20575" s="24"/>
      <c r="Q20575" s="24"/>
      <c r="R20575" s="24"/>
      <c r="S20575" s="24"/>
      <c r="T20575" s="24"/>
      <c r="U20575" s="24"/>
      <c r="V20575" s="24"/>
      <c r="W20575" s="24"/>
      <c r="X20575" s="24"/>
      <c r="Y20575" s="24"/>
      <c r="Z20575" s="24"/>
      <c r="AA20575" s="24"/>
    </row>
    <row r="20576">
      <c r="A20576" s="24"/>
      <c r="B20576" s="25"/>
      <c r="C20576" s="24"/>
      <c r="D20576" s="26"/>
      <c r="E20576" s="24"/>
      <c r="F20576" s="24"/>
      <c r="G20576" s="24"/>
      <c r="H20576" s="24"/>
      <c r="I20576" s="24"/>
      <c r="J20576" s="24"/>
      <c r="K20576" s="24"/>
      <c r="L20576" s="24"/>
      <c r="M20576" s="24"/>
      <c r="N20576" s="24"/>
      <c r="O20576" s="24"/>
      <c r="P20576" s="24"/>
      <c r="Q20576" s="24"/>
      <c r="R20576" s="24"/>
      <c r="S20576" s="24"/>
      <c r="T20576" s="24"/>
      <c r="U20576" s="24"/>
      <c r="V20576" s="24"/>
      <c r="W20576" s="24"/>
      <c r="X20576" s="24"/>
      <c r="Y20576" s="24"/>
      <c r="Z20576" s="24"/>
      <c r="AA20576" s="24"/>
    </row>
    <row r="20577">
      <c r="A20577" s="24"/>
      <c r="B20577" s="25"/>
      <c r="C20577" s="24"/>
      <c r="D20577" s="26"/>
      <c r="E20577" s="24"/>
      <c r="F20577" s="24"/>
      <c r="G20577" s="24"/>
      <c r="H20577" s="24"/>
      <c r="I20577" s="24"/>
      <c r="J20577" s="24"/>
      <c r="K20577" s="24"/>
      <c r="L20577" s="24"/>
      <c r="M20577" s="24"/>
      <c r="N20577" s="24"/>
      <c r="O20577" s="24"/>
      <c r="P20577" s="24"/>
      <c r="Q20577" s="24"/>
      <c r="R20577" s="24"/>
      <c r="S20577" s="24"/>
      <c r="T20577" s="24"/>
      <c r="U20577" s="24"/>
      <c r="V20577" s="24"/>
      <c r="W20577" s="24"/>
      <c r="X20577" s="24"/>
      <c r="Y20577" s="24"/>
      <c r="Z20577" s="24"/>
      <c r="AA20577" s="24"/>
    </row>
    <row r="20578">
      <c r="A20578" s="24"/>
      <c r="B20578" s="25"/>
      <c r="C20578" s="24"/>
      <c r="D20578" s="26"/>
      <c r="E20578" s="24"/>
      <c r="F20578" s="24"/>
      <c r="G20578" s="24"/>
      <c r="H20578" s="24"/>
      <c r="I20578" s="24"/>
      <c r="J20578" s="24"/>
      <c r="K20578" s="24"/>
      <c r="L20578" s="24"/>
      <c r="M20578" s="24"/>
      <c r="N20578" s="24"/>
      <c r="O20578" s="24"/>
      <c r="P20578" s="24"/>
      <c r="Q20578" s="24"/>
      <c r="R20578" s="24"/>
      <c r="S20578" s="24"/>
      <c r="T20578" s="24"/>
      <c r="U20578" s="24"/>
      <c r="V20578" s="24"/>
      <c r="W20578" s="24"/>
      <c r="X20578" s="24"/>
      <c r="Y20578" s="24"/>
      <c r="Z20578" s="24"/>
      <c r="AA20578" s="24"/>
    </row>
    <row r="20579">
      <c r="A20579" s="24"/>
      <c r="B20579" s="25"/>
      <c r="C20579" s="24"/>
      <c r="D20579" s="26"/>
      <c r="E20579" s="24"/>
      <c r="F20579" s="24"/>
      <c r="G20579" s="24"/>
      <c r="H20579" s="24"/>
      <c r="I20579" s="24"/>
      <c r="J20579" s="24"/>
      <c r="K20579" s="24"/>
      <c r="L20579" s="24"/>
      <c r="M20579" s="24"/>
      <c r="N20579" s="24"/>
      <c r="O20579" s="24"/>
      <c r="P20579" s="24"/>
      <c r="Q20579" s="24"/>
      <c r="R20579" s="24"/>
      <c r="S20579" s="24"/>
      <c r="T20579" s="24"/>
      <c r="U20579" s="24"/>
      <c r="V20579" s="24"/>
      <c r="W20579" s="24"/>
      <c r="X20579" s="24"/>
      <c r="Y20579" s="24"/>
      <c r="Z20579" s="24"/>
      <c r="AA20579" s="24"/>
    </row>
    <row r="20580">
      <c r="A20580" s="24"/>
      <c r="B20580" s="25"/>
      <c r="C20580" s="24"/>
      <c r="D20580" s="26"/>
      <c r="E20580" s="24"/>
      <c r="F20580" s="24"/>
      <c r="G20580" s="24"/>
      <c r="H20580" s="24"/>
      <c r="I20580" s="24"/>
      <c r="J20580" s="24"/>
      <c r="K20580" s="24"/>
      <c r="L20580" s="24"/>
      <c r="M20580" s="24"/>
      <c r="N20580" s="24"/>
      <c r="O20580" s="24"/>
      <c r="P20580" s="24"/>
      <c r="Q20580" s="24"/>
      <c r="R20580" s="24"/>
      <c r="S20580" s="24"/>
      <c r="T20580" s="24"/>
      <c r="U20580" s="24"/>
      <c r="V20580" s="24"/>
      <c r="W20580" s="24"/>
      <c r="X20580" s="24"/>
      <c r="Y20580" s="24"/>
      <c r="Z20580" s="24"/>
      <c r="AA20580" s="24"/>
    </row>
    <row r="20581">
      <c r="A20581" s="24"/>
      <c r="B20581" s="25"/>
      <c r="C20581" s="24"/>
      <c r="D20581" s="26"/>
      <c r="E20581" s="24"/>
      <c r="F20581" s="24"/>
      <c r="G20581" s="24"/>
      <c r="H20581" s="24"/>
      <c r="I20581" s="24"/>
      <c r="J20581" s="24"/>
      <c r="K20581" s="24"/>
      <c r="L20581" s="24"/>
      <c r="M20581" s="24"/>
      <c r="N20581" s="24"/>
      <c r="O20581" s="24"/>
      <c r="P20581" s="24"/>
      <c r="Q20581" s="24"/>
      <c r="R20581" s="24"/>
      <c r="S20581" s="24"/>
      <c r="T20581" s="24"/>
      <c r="U20581" s="24"/>
      <c r="V20581" s="24"/>
      <c r="W20581" s="24"/>
      <c r="X20581" s="24"/>
      <c r="Y20581" s="24"/>
      <c r="Z20581" s="24"/>
      <c r="AA20581" s="24"/>
    </row>
    <row r="20582">
      <c r="A20582" s="24"/>
      <c r="B20582" s="25"/>
      <c r="C20582" s="24"/>
      <c r="D20582" s="26"/>
      <c r="E20582" s="24"/>
      <c r="F20582" s="24"/>
      <c r="G20582" s="24"/>
      <c r="H20582" s="24"/>
      <c r="I20582" s="24"/>
      <c r="J20582" s="24"/>
      <c r="K20582" s="24"/>
      <c r="L20582" s="24"/>
      <c r="M20582" s="24"/>
      <c r="N20582" s="24"/>
      <c r="O20582" s="24"/>
      <c r="P20582" s="24"/>
      <c r="Q20582" s="24"/>
      <c r="R20582" s="24"/>
      <c r="S20582" s="24"/>
      <c r="T20582" s="24"/>
      <c r="U20582" s="24"/>
      <c r="V20582" s="24"/>
      <c r="W20582" s="24"/>
      <c r="X20582" s="24"/>
      <c r="Y20582" s="24"/>
      <c r="Z20582" s="24"/>
      <c r="AA20582" s="24"/>
    </row>
    <row r="20583">
      <c r="A20583" s="24"/>
      <c r="B20583" s="25"/>
      <c r="C20583" s="24"/>
      <c r="D20583" s="26"/>
      <c r="E20583" s="24"/>
      <c r="F20583" s="24"/>
      <c r="G20583" s="24"/>
      <c r="H20583" s="24"/>
      <c r="I20583" s="24"/>
      <c r="J20583" s="24"/>
      <c r="K20583" s="24"/>
      <c r="L20583" s="24"/>
      <c r="M20583" s="24"/>
      <c r="N20583" s="24"/>
      <c r="O20583" s="24"/>
      <c r="P20583" s="24"/>
      <c r="Q20583" s="24"/>
      <c r="R20583" s="24"/>
      <c r="S20583" s="24"/>
      <c r="T20583" s="24"/>
      <c r="U20583" s="24"/>
      <c r="V20583" s="24"/>
      <c r="W20583" s="24"/>
      <c r="X20583" s="24"/>
      <c r="Y20583" s="24"/>
      <c r="Z20583" s="24"/>
      <c r="AA20583" s="24"/>
    </row>
    <row r="20584">
      <c r="A20584" s="24"/>
      <c r="B20584" s="25"/>
      <c r="C20584" s="24"/>
      <c r="D20584" s="26"/>
      <c r="E20584" s="24"/>
      <c r="F20584" s="24"/>
      <c r="G20584" s="24"/>
      <c r="H20584" s="24"/>
      <c r="I20584" s="24"/>
      <c r="J20584" s="24"/>
      <c r="K20584" s="24"/>
      <c r="L20584" s="24"/>
      <c r="M20584" s="24"/>
      <c r="N20584" s="24"/>
      <c r="O20584" s="24"/>
      <c r="P20584" s="24"/>
      <c r="Q20584" s="24"/>
      <c r="R20584" s="24"/>
      <c r="S20584" s="24"/>
      <c r="T20584" s="24"/>
      <c r="U20584" s="24"/>
      <c r="V20584" s="24"/>
      <c r="W20584" s="24"/>
      <c r="X20584" s="24"/>
      <c r="Y20584" s="24"/>
      <c r="Z20584" s="24"/>
      <c r="AA20584" s="24"/>
    </row>
    <row r="20585">
      <c r="A20585" s="24"/>
      <c r="B20585" s="25"/>
      <c r="C20585" s="24"/>
      <c r="D20585" s="26"/>
      <c r="E20585" s="24"/>
      <c r="F20585" s="24"/>
      <c r="G20585" s="24"/>
      <c r="H20585" s="24"/>
      <c r="I20585" s="24"/>
      <c r="J20585" s="24"/>
      <c r="K20585" s="24"/>
      <c r="L20585" s="24"/>
      <c r="M20585" s="24"/>
      <c r="N20585" s="24"/>
      <c r="O20585" s="24"/>
      <c r="P20585" s="24"/>
      <c r="Q20585" s="24"/>
      <c r="R20585" s="24"/>
      <c r="S20585" s="24"/>
      <c r="T20585" s="24"/>
      <c r="U20585" s="24"/>
      <c r="V20585" s="24"/>
      <c r="W20585" s="24"/>
      <c r="X20585" s="24"/>
      <c r="Y20585" s="24"/>
      <c r="Z20585" s="24"/>
      <c r="AA20585" s="24"/>
    </row>
    <row r="20586">
      <c r="A20586" s="24"/>
      <c r="B20586" s="25"/>
      <c r="C20586" s="24"/>
      <c r="D20586" s="26"/>
      <c r="E20586" s="24"/>
      <c r="F20586" s="24"/>
      <c r="G20586" s="24"/>
      <c r="H20586" s="24"/>
      <c r="I20586" s="24"/>
      <c r="J20586" s="24"/>
      <c r="K20586" s="24"/>
      <c r="L20586" s="24"/>
      <c r="M20586" s="24"/>
      <c r="N20586" s="24"/>
      <c r="O20586" s="24"/>
      <c r="P20586" s="24"/>
      <c r="Q20586" s="24"/>
      <c r="R20586" s="24"/>
      <c r="S20586" s="24"/>
      <c r="T20586" s="24"/>
      <c r="U20586" s="24"/>
      <c r="V20586" s="24"/>
      <c r="W20586" s="24"/>
      <c r="X20586" s="24"/>
      <c r="Y20586" s="24"/>
      <c r="Z20586" s="24"/>
      <c r="AA20586" s="24"/>
    </row>
    <row r="20587">
      <c r="A20587" s="24"/>
      <c r="B20587" s="25"/>
      <c r="C20587" s="24"/>
      <c r="D20587" s="26"/>
      <c r="E20587" s="24"/>
      <c r="F20587" s="24"/>
      <c r="G20587" s="24"/>
      <c r="H20587" s="24"/>
      <c r="I20587" s="24"/>
      <c r="J20587" s="24"/>
      <c r="K20587" s="24"/>
      <c r="L20587" s="24"/>
      <c r="M20587" s="24"/>
      <c r="N20587" s="24"/>
      <c r="O20587" s="24"/>
      <c r="P20587" s="24"/>
      <c r="Q20587" s="24"/>
      <c r="R20587" s="24"/>
      <c r="S20587" s="24"/>
      <c r="T20587" s="24"/>
      <c r="U20587" s="24"/>
      <c r="V20587" s="24"/>
      <c r="W20587" s="24"/>
      <c r="X20587" s="24"/>
      <c r="Y20587" s="24"/>
      <c r="Z20587" s="24"/>
      <c r="AA20587" s="24"/>
    </row>
    <row r="20588">
      <c r="A20588" s="24"/>
      <c r="B20588" s="25"/>
      <c r="C20588" s="24"/>
      <c r="D20588" s="26"/>
      <c r="E20588" s="24"/>
      <c r="F20588" s="24"/>
      <c r="G20588" s="24"/>
      <c r="H20588" s="24"/>
      <c r="I20588" s="24"/>
      <c r="J20588" s="24"/>
      <c r="K20588" s="24"/>
      <c r="L20588" s="24"/>
      <c r="M20588" s="24"/>
      <c r="N20588" s="24"/>
      <c r="O20588" s="24"/>
      <c r="P20588" s="24"/>
      <c r="Q20588" s="24"/>
      <c r="R20588" s="24"/>
      <c r="S20588" s="24"/>
      <c r="T20588" s="24"/>
      <c r="U20588" s="24"/>
      <c r="V20588" s="24"/>
      <c r="W20588" s="24"/>
      <c r="X20588" s="24"/>
      <c r="Y20588" s="24"/>
      <c r="Z20588" s="24"/>
      <c r="AA20588" s="24"/>
    </row>
    <row r="20589">
      <c r="A20589" s="24"/>
      <c r="B20589" s="25"/>
      <c r="C20589" s="24"/>
      <c r="D20589" s="26"/>
      <c r="E20589" s="24"/>
      <c r="F20589" s="24"/>
      <c r="G20589" s="24"/>
      <c r="H20589" s="24"/>
      <c r="I20589" s="24"/>
      <c r="J20589" s="24"/>
      <c r="K20589" s="24"/>
      <c r="L20589" s="24"/>
      <c r="M20589" s="24"/>
      <c r="N20589" s="24"/>
      <c r="O20589" s="24"/>
      <c r="P20589" s="24"/>
      <c r="Q20589" s="24"/>
      <c r="R20589" s="24"/>
      <c r="S20589" s="24"/>
      <c r="T20589" s="24"/>
      <c r="U20589" s="24"/>
      <c r="V20589" s="24"/>
      <c r="W20589" s="24"/>
      <c r="X20589" s="24"/>
      <c r="Y20589" s="24"/>
      <c r="Z20589" s="24"/>
      <c r="AA20589" s="24"/>
    </row>
    <row r="20590">
      <c r="A20590" s="24"/>
      <c r="B20590" s="25"/>
      <c r="C20590" s="24"/>
      <c r="D20590" s="26"/>
      <c r="E20590" s="24"/>
      <c r="F20590" s="24"/>
      <c r="G20590" s="24"/>
      <c r="H20590" s="24"/>
      <c r="I20590" s="24"/>
      <c r="J20590" s="24"/>
      <c r="K20590" s="24"/>
      <c r="L20590" s="24"/>
      <c r="M20590" s="24"/>
      <c r="N20590" s="24"/>
      <c r="O20590" s="24"/>
      <c r="P20590" s="24"/>
      <c r="Q20590" s="24"/>
      <c r="R20590" s="24"/>
      <c r="S20590" s="24"/>
      <c r="T20590" s="24"/>
      <c r="U20590" s="24"/>
      <c r="V20590" s="24"/>
      <c r="W20590" s="24"/>
      <c r="X20590" s="24"/>
      <c r="Y20590" s="24"/>
      <c r="Z20590" s="24"/>
      <c r="AA20590" s="24"/>
    </row>
    <row r="20591">
      <c r="A20591" s="24"/>
      <c r="B20591" s="25"/>
      <c r="C20591" s="24"/>
      <c r="D20591" s="26"/>
      <c r="E20591" s="24"/>
      <c r="F20591" s="24"/>
      <c r="G20591" s="24"/>
      <c r="H20591" s="24"/>
      <c r="I20591" s="24"/>
      <c r="J20591" s="24"/>
      <c r="K20591" s="24"/>
      <c r="L20591" s="24"/>
      <c r="M20591" s="24"/>
      <c r="N20591" s="24"/>
      <c r="O20591" s="24"/>
      <c r="P20591" s="24"/>
      <c r="Q20591" s="24"/>
      <c r="R20591" s="24"/>
      <c r="S20591" s="24"/>
      <c r="T20591" s="24"/>
      <c r="U20591" s="24"/>
      <c r="V20591" s="24"/>
      <c r="W20591" s="24"/>
      <c r="X20591" s="24"/>
      <c r="Y20591" s="24"/>
      <c r="Z20591" s="24"/>
      <c r="AA20591" s="24"/>
    </row>
    <row r="20592">
      <c r="A20592" s="24"/>
      <c r="B20592" s="25"/>
      <c r="C20592" s="24"/>
      <c r="D20592" s="26"/>
      <c r="E20592" s="24"/>
      <c r="F20592" s="24"/>
      <c r="G20592" s="24"/>
      <c r="H20592" s="24"/>
      <c r="I20592" s="24"/>
      <c r="J20592" s="24"/>
      <c r="K20592" s="24"/>
      <c r="L20592" s="24"/>
      <c r="M20592" s="24"/>
      <c r="N20592" s="24"/>
      <c r="O20592" s="24"/>
      <c r="P20592" s="24"/>
      <c r="Q20592" s="24"/>
      <c r="R20592" s="24"/>
      <c r="S20592" s="24"/>
      <c r="T20592" s="24"/>
      <c r="U20592" s="24"/>
      <c r="V20592" s="24"/>
      <c r="W20592" s="24"/>
      <c r="X20592" s="24"/>
      <c r="Y20592" s="24"/>
      <c r="Z20592" s="24"/>
      <c r="AA20592" s="24"/>
    </row>
    <row r="20593">
      <c r="A20593" s="24"/>
      <c r="B20593" s="25"/>
      <c r="C20593" s="24"/>
      <c r="D20593" s="26"/>
      <c r="E20593" s="24"/>
      <c r="F20593" s="24"/>
      <c r="G20593" s="24"/>
      <c r="H20593" s="24"/>
      <c r="I20593" s="24"/>
      <c r="J20593" s="24"/>
      <c r="K20593" s="24"/>
      <c r="L20593" s="24"/>
      <c r="M20593" s="24"/>
      <c r="N20593" s="24"/>
      <c r="O20593" s="24"/>
      <c r="P20593" s="24"/>
      <c r="Q20593" s="24"/>
      <c r="R20593" s="24"/>
      <c r="S20593" s="24"/>
      <c r="T20593" s="24"/>
      <c r="U20593" s="24"/>
      <c r="V20593" s="24"/>
      <c r="W20593" s="24"/>
      <c r="X20593" s="24"/>
      <c r="Y20593" s="24"/>
      <c r="Z20593" s="24"/>
      <c r="AA20593" s="24"/>
    </row>
    <row r="20594">
      <c r="A20594" s="24"/>
      <c r="B20594" s="25"/>
      <c r="C20594" s="24"/>
      <c r="D20594" s="26"/>
      <c r="E20594" s="24"/>
      <c r="F20594" s="24"/>
      <c r="G20594" s="24"/>
      <c r="H20594" s="24"/>
      <c r="I20594" s="24"/>
      <c r="J20594" s="24"/>
      <c r="K20594" s="24"/>
      <c r="L20594" s="24"/>
      <c r="M20594" s="24"/>
      <c r="N20594" s="24"/>
      <c r="O20594" s="24"/>
      <c r="P20594" s="24"/>
      <c r="Q20594" s="24"/>
      <c r="R20594" s="24"/>
      <c r="S20594" s="24"/>
      <c r="T20594" s="24"/>
      <c r="U20594" s="24"/>
      <c r="V20594" s="24"/>
      <c r="W20594" s="24"/>
      <c r="X20594" s="24"/>
      <c r="Y20594" s="24"/>
      <c r="Z20594" s="24"/>
      <c r="AA20594" s="24"/>
    </row>
    <row r="20595">
      <c r="A20595" s="24"/>
      <c r="B20595" s="25"/>
      <c r="C20595" s="24"/>
      <c r="D20595" s="26"/>
      <c r="E20595" s="24"/>
      <c r="F20595" s="24"/>
      <c r="G20595" s="24"/>
      <c r="H20595" s="24"/>
      <c r="I20595" s="24"/>
      <c r="J20595" s="24"/>
      <c r="K20595" s="24"/>
      <c r="L20595" s="24"/>
      <c r="M20595" s="24"/>
      <c r="N20595" s="24"/>
      <c r="O20595" s="24"/>
      <c r="P20595" s="24"/>
      <c r="Q20595" s="24"/>
      <c r="R20595" s="24"/>
      <c r="S20595" s="24"/>
      <c r="T20595" s="24"/>
      <c r="U20595" s="24"/>
      <c r="V20595" s="24"/>
      <c r="W20595" s="24"/>
      <c r="X20595" s="24"/>
      <c r="Y20595" s="24"/>
      <c r="Z20595" s="24"/>
      <c r="AA20595" s="24"/>
    </row>
    <row r="20596">
      <c r="A20596" s="24"/>
      <c r="B20596" s="25"/>
      <c r="C20596" s="24"/>
      <c r="D20596" s="26"/>
      <c r="E20596" s="24"/>
      <c r="F20596" s="24"/>
      <c r="G20596" s="24"/>
      <c r="H20596" s="24"/>
      <c r="I20596" s="24"/>
      <c r="J20596" s="24"/>
      <c r="K20596" s="24"/>
      <c r="L20596" s="24"/>
      <c r="M20596" s="24"/>
      <c r="N20596" s="24"/>
      <c r="O20596" s="24"/>
      <c r="P20596" s="24"/>
      <c r="Q20596" s="24"/>
      <c r="R20596" s="24"/>
      <c r="S20596" s="24"/>
      <c r="T20596" s="24"/>
      <c r="U20596" s="24"/>
      <c r="V20596" s="24"/>
      <c r="W20596" s="24"/>
      <c r="X20596" s="24"/>
      <c r="Y20596" s="24"/>
      <c r="Z20596" s="24"/>
      <c r="AA20596" s="24"/>
    </row>
    <row r="20597">
      <c r="A20597" s="24"/>
      <c r="B20597" s="25"/>
      <c r="C20597" s="24"/>
      <c r="D20597" s="26"/>
      <c r="E20597" s="24"/>
      <c r="F20597" s="24"/>
      <c r="G20597" s="24"/>
      <c r="H20597" s="24"/>
      <c r="I20597" s="24"/>
      <c r="J20597" s="24"/>
      <c r="K20597" s="24"/>
      <c r="L20597" s="24"/>
      <c r="M20597" s="24"/>
      <c r="N20597" s="24"/>
      <c r="O20597" s="24"/>
      <c r="P20597" s="24"/>
      <c r="Q20597" s="24"/>
      <c r="R20597" s="24"/>
      <c r="S20597" s="24"/>
      <c r="T20597" s="24"/>
      <c r="U20597" s="24"/>
      <c r="V20597" s="24"/>
      <c r="W20597" s="24"/>
      <c r="X20597" s="24"/>
      <c r="Y20597" s="24"/>
      <c r="Z20597" s="24"/>
      <c r="AA20597" s="24"/>
    </row>
    <row r="20598">
      <c r="A20598" s="24"/>
      <c r="B20598" s="25"/>
      <c r="C20598" s="24"/>
      <c r="D20598" s="26"/>
      <c r="E20598" s="24"/>
      <c r="F20598" s="24"/>
      <c r="G20598" s="24"/>
      <c r="H20598" s="24"/>
      <c r="I20598" s="24"/>
      <c r="J20598" s="24"/>
      <c r="K20598" s="24"/>
      <c r="L20598" s="24"/>
      <c r="M20598" s="24"/>
      <c r="N20598" s="24"/>
      <c r="O20598" s="24"/>
      <c r="P20598" s="24"/>
      <c r="Q20598" s="24"/>
      <c r="R20598" s="24"/>
      <c r="S20598" s="24"/>
      <c r="T20598" s="24"/>
      <c r="U20598" s="24"/>
      <c r="V20598" s="24"/>
      <c r="W20598" s="24"/>
      <c r="X20598" s="24"/>
      <c r="Y20598" s="24"/>
      <c r="Z20598" s="24"/>
      <c r="AA20598" s="24"/>
    </row>
    <row r="20599">
      <c r="A20599" s="24"/>
      <c r="B20599" s="25"/>
      <c r="C20599" s="24"/>
      <c r="D20599" s="26"/>
      <c r="E20599" s="24"/>
      <c r="F20599" s="24"/>
      <c r="G20599" s="24"/>
      <c r="H20599" s="24"/>
      <c r="I20599" s="24"/>
      <c r="J20599" s="24"/>
      <c r="K20599" s="24"/>
      <c r="L20599" s="24"/>
      <c r="M20599" s="24"/>
      <c r="N20599" s="24"/>
      <c r="O20599" s="24"/>
      <c r="P20599" s="24"/>
      <c r="Q20599" s="24"/>
      <c r="R20599" s="24"/>
      <c r="S20599" s="24"/>
      <c r="T20599" s="24"/>
      <c r="U20599" s="24"/>
      <c r="V20599" s="24"/>
      <c r="W20599" s="24"/>
      <c r="X20599" s="24"/>
      <c r="Y20599" s="24"/>
      <c r="Z20599" s="24"/>
      <c r="AA20599" s="24"/>
    </row>
    <row r="20600">
      <c r="A20600" s="24"/>
      <c r="B20600" s="25"/>
      <c r="C20600" s="24"/>
      <c r="D20600" s="26"/>
      <c r="E20600" s="24"/>
      <c r="F20600" s="24"/>
      <c r="G20600" s="24"/>
      <c r="H20600" s="24"/>
      <c r="I20600" s="24"/>
      <c r="J20600" s="24"/>
      <c r="K20600" s="24"/>
      <c r="L20600" s="24"/>
      <c r="M20600" s="24"/>
      <c r="N20600" s="24"/>
      <c r="O20600" s="24"/>
      <c r="P20600" s="24"/>
      <c r="Q20600" s="24"/>
      <c r="R20600" s="24"/>
      <c r="S20600" s="24"/>
      <c r="T20600" s="24"/>
      <c r="U20600" s="24"/>
      <c r="V20600" s="24"/>
      <c r="W20600" s="24"/>
      <c r="X20600" s="24"/>
      <c r="Y20600" s="24"/>
      <c r="Z20600" s="24"/>
      <c r="AA20600" s="24"/>
    </row>
    <row r="20601">
      <c r="A20601" s="24"/>
      <c r="B20601" s="25"/>
      <c r="C20601" s="24"/>
      <c r="D20601" s="26"/>
      <c r="E20601" s="24"/>
      <c r="F20601" s="24"/>
      <c r="G20601" s="24"/>
      <c r="H20601" s="24"/>
      <c r="I20601" s="24"/>
      <c r="J20601" s="24"/>
      <c r="K20601" s="24"/>
      <c r="L20601" s="24"/>
      <c r="M20601" s="24"/>
      <c r="N20601" s="24"/>
      <c r="O20601" s="24"/>
      <c r="P20601" s="24"/>
      <c r="Q20601" s="24"/>
      <c r="R20601" s="24"/>
      <c r="S20601" s="24"/>
      <c r="T20601" s="24"/>
      <c r="U20601" s="24"/>
      <c r="V20601" s="24"/>
      <c r="W20601" s="24"/>
      <c r="X20601" s="24"/>
      <c r="Y20601" s="24"/>
      <c r="Z20601" s="24"/>
      <c r="AA20601" s="24"/>
    </row>
    <row r="20602">
      <c r="A20602" s="24"/>
      <c r="B20602" s="25"/>
      <c r="C20602" s="24"/>
      <c r="D20602" s="26"/>
      <c r="E20602" s="24"/>
      <c r="F20602" s="24"/>
      <c r="G20602" s="24"/>
      <c r="H20602" s="24"/>
      <c r="I20602" s="24"/>
      <c r="J20602" s="24"/>
      <c r="K20602" s="24"/>
      <c r="L20602" s="24"/>
      <c r="M20602" s="24"/>
      <c r="N20602" s="24"/>
      <c r="O20602" s="24"/>
      <c r="P20602" s="24"/>
      <c r="Q20602" s="24"/>
      <c r="R20602" s="24"/>
      <c r="S20602" s="24"/>
      <c r="T20602" s="24"/>
      <c r="U20602" s="24"/>
      <c r="V20602" s="24"/>
      <c r="W20602" s="24"/>
      <c r="X20602" s="24"/>
      <c r="Y20602" s="24"/>
      <c r="Z20602" s="24"/>
      <c r="AA20602" s="24"/>
    </row>
    <row r="20603">
      <c r="A20603" s="24"/>
      <c r="B20603" s="25"/>
      <c r="C20603" s="24"/>
      <c r="D20603" s="26"/>
      <c r="E20603" s="24"/>
      <c r="F20603" s="24"/>
      <c r="G20603" s="24"/>
      <c r="H20603" s="24"/>
      <c r="I20603" s="24"/>
      <c r="J20603" s="24"/>
      <c r="K20603" s="24"/>
      <c r="L20603" s="24"/>
      <c r="M20603" s="24"/>
      <c r="N20603" s="24"/>
      <c r="O20603" s="24"/>
      <c r="P20603" s="24"/>
      <c r="Q20603" s="24"/>
      <c r="R20603" s="24"/>
      <c r="S20603" s="24"/>
      <c r="T20603" s="24"/>
      <c r="U20603" s="24"/>
      <c r="V20603" s="24"/>
      <c r="W20603" s="24"/>
      <c r="X20603" s="24"/>
      <c r="Y20603" s="24"/>
      <c r="Z20603" s="24"/>
      <c r="AA20603" s="24"/>
    </row>
    <row r="20604">
      <c r="A20604" s="24"/>
      <c r="B20604" s="25"/>
      <c r="C20604" s="24"/>
      <c r="D20604" s="26"/>
      <c r="E20604" s="24"/>
      <c r="F20604" s="24"/>
      <c r="G20604" s="24"/>
      <c r="H20604" s="24"/>
      <c r="I20604" s="24"/>
      <c r="J20604" s="24"/>
      <c r="K20604" s="24"/>
      <c r="L20604" s="24"/>
      <c r="M20604" s="24"/>
      <c r="N20604" s="24"/>
      <c r="O20604" s="24"/>
      <c r="P20604" s="24"/>
      <c r="Q20604" s="24"/>
      <c r="R20604" s="24"/>
      <c r="S20604" s="24"/>
      <c r="T20604" s="24"/>
      <c r="U20604" s="24"/>
      <c r="V20604" s="24"/>
      <c r="W20604" s="24"/>
      <c r="X20604" s="24"/>
      <c r="Y20604" s="24"/>
      <c r="Z20604" s="24"/>
      <c r="AA20604" s="24"/>
    </row>
    <row r="20605">
      <c r="A20605" s="24"/>
      <c r="B20605" s="25"/>
      <c r="C20605" s="24"/>
      <c r="D20605" s="26"/>
      <c r="E20605" s="24"/>
      <c r="F20605" s="24"/>
      <c r="G20605" s="24"/>
      <c r="H20605" s="24"/>
      <c r="I20605" s="24"/>
      <c r="J20605" s="24"/>
      <c r="K20605" s="24"/>
      <c r="L20605" s="24"/>
      <c r="M20605" s="24"/>
      <c r="N20605" s="24"/>
      <c r="O20605" s="24"/>
      <c r="P20605" s="24"/>
      <c r="Q20605" s="24"/>
      <c r="R20605" s="24"/>
      <c r="S20605" s="24"/>
      <c r="T20605" s="24"/>
      <c r="U20605" s="24"/>
      <c r="V20605" s="24"/>
      <c r="W20605" s="24"/>
      <c r="X20605" s="24"/>
      <c r="Y20605" s="24"/>
      <c r="Z20605" s="24"/>
      <c r="AA20605" s="24"/>
    </row>
    <row r="20606">
      <c r="A20606" s="24"/>
      <c r="B20606" s="25"/>
      <c r="C20606" s="24"/>
      <c r="D20606" s="26"/>
      <c r="E20606" s="24"/>
      <c r="F20606" s="24"/>
      <c r="G20606" s="24"/>
      <c r="H20606" s="24"/>
      <c r="I20606" s="24"/>
      <c r="J20606" s="24"/>
      <c r="K20606" s="24"/>
      <c r="L20606" s="24"/>
      <c r="M20606" s="24"/>
      <c r="N20606" s="24"/>
      <c r="O20606" s="24"/>
      <c r="P20606" s="24"/>
      <c r="Q20606" s="24"/>
      <c r="R20606" s="24"/>
      <c r="S20606" s="24"/>
      <c r="T20606" s="24"/>
      <c r="U20606" s="24"/>
      <c r="V20606" s="24"/>
      <c r="W20606" s="24"/>
      <c r="X20606" s="24"/>
      <c r="Y20606" s="24"/>
      <c r="Z20606" s="24"/>
      <c r="AA20606" s="24"/>
    </row>
    <row r="20607">
      <c r="A20607" s="24"/>
      <c r="B20607" s="25"/>
      <c r="C20607" s="24"/>
      <c r="D20607" s="26"/>
      <c r="E20607" s="24"/>
      <c r="F20607" s="24"/>
      <c r="G20607" s="24"/>
      <c r="H20607" s="24"/>
      <c r="I20607" s="24"/>
      <c r="J20607" s="24"/>
      <c r="K20607" s="24"/>
      <c r="L20607" s="24"/>
      <c r="M20607" s="24"/>
      <c r="N20607" s="24"/>
      <c r="O20607" s="24"/>
      <c r="P20607" s="24"/>
      <c r="Q20607" s="24"/>
      <c r="R20607" s="24"/>
      <c r="S20607" s="24"/>
      <c r="T20607" s="24"/>
      <c r="U20607" s="24"/>
      <c r="V20607" s="24"/>
      <c r="W20607" s="24"/>
      <c r="X20607" s="24"/>
      <c r="Y20607" s="24"/>
      <c r="Z20607" s="24"/>
      <c r="AA20607" s="24"/>
    </row>
    <row r="20608">
      <c r="A20608" s="24"/>
      <c r="B20608" s="25"/>
      <c r="C20608" s="24"/>
      <c r="D20608" s="26"/>
      <c r="E20608" s="24"/>
      <c r="F20608" s="24"/>
      <c r="G20608" s="24"/>
      <c r="H20608" s="24"/>
      <c r="I20608" s="24"/>
      <c r="J20608" s="24"/>
      <c r="K20608" s="24"/>
      <c r="L20608" s="24"/>
      <c r="M20608" s="24"/>
      <c r="N20608" s="24"/>
      <c r="O20608" s="24"/>
      <c r="P20608" s="24"/>
      <c r="Q20608" s="24"/>
      <c r="R20608" s="24"/>
      <c r="S20608" s="24"/>
      <c r="T20608" s="24"/>
      <c r="U20608" s="24"/>
      <c r="V20608" s="24"/>
      <c r="W20608" s="24"/>
      <c r="X20608" s="24"/>
      <c r="Y20608" s="24"/>
      <c r="Z20608" s="24"/>
      <c r="AA20608" s="24"/>
    </row>
    <row r="20609">
      <c r="A20609" s="24"/>
      <c r="B20609" s="25"/>
      <c r="C20609" s="24"/>
      <c r="D20609" s="26"/>
      <c r="E20609" s="24"/>
      <c r="F20609" s="24"/>
      <c r="G20609" s="24"/>
      <c r="H20609" s="24"/>
      <c r="I20609" s="24"/>
      <c r="J20609" s="24"/>
      <c r="K20609" s="24"/>
      <c r="L20609" s="24"/>
      <c r="M20609" s="24"/>
      <c r="N20609" s="24"/>
      <c r="O20609" s="24"/>
      <c r="P20609" s="24"/>
      <c r="Q20609" s="24"/>
      <c r="R20609" s="24"/>
      <c r="S20609" s="24"/>
      <c r="T20609" s="24"/>
      <c r="U20609" s="24"/>
      <c r="V20609" s="24"/>
      <c r="W20609" s="24"/>
      <c r="X20609" s="24"/>
      <c r="Y20609" s="24"/>
      <c r="Z20609" s="24"/>
      <c r="AA20609" s="24"/>
    </row>
    <row r="20610">
      <c r="A20610" s="24"/>
      <c r="B20610" s="25"/>
      <c r="C20610" s="24"/>
      <c r="D20610" s="26"/>
      <c r="E20610" s="24"/>
      <c r="F20610" s="24"/>
      <c r="G20610" s="24"/>
      <c r="H20610" s="24"/>
      <c r="I20610" s="24"/>
      <c r="J20610" s="24"/>
      <c r="K20610" s="24"/>
      <c r="L20610" s="24"/>
      <c r="M20610" s="24"/>
      <c r="N20610" s="24"/>
      <c r="O20610" s="24"/>
      <c r="P20610" s="24"/>
      <c r="Q20610" s="24"/>
      <c r="R20610" s="24"/>
      <c r="S20610" s="24"/>
      <c r="T20610" s="24"/>
      <c r="U20610" s="24"/>
      <c r="V20610" s="24"/>
      <c r="W20610" s="24"/>
      <c r="X20610" s="24"/>
      <c r="Y20610" s="24"/>
      <c r="Z20610" s="24"/>
      <c r="AA20610" s="24"/>
    </row>
    <row r="20611">
      <c r="A20611" s="24"/>
      <c r="B20611" s="25"/>
      <c r="C20611" s="24"/>
      <c r="D20611" s="26"/>
      <c r="E20611" s="24"/>
      <c r="F20611" s="24"/>
      <c r="G20611" s="24"/>
      <c r="H20611" s="24"/>
      <c r="I20611" s="24"/>
      <c r="J20611" s="24"/>
      <c r="K20611" s="24"/>
      <c r="L20611" s="24"/>
      <c r="M20611" s="24"/>
      <c r="N20611" s="24"/>
      <c r="O20611" s="24"/>
      <c r="P20611" s="24"/>
      <c r="Q20611" s="24"/>
      <c r="R20611" s="24"/>
      <c r="S20611" s="24"/>
      <c r="T20611" s="24"/>
      <c r="U20611" s="24"/>
      <c r="V20611" s="24"/>
      <c r="W20611" s="24"/>
      <c r="X20611" s="24"/>
      <c r="Y20611" s="24"/>
      <c r="Z20611" s="24"/>
      <c r="AA20611" s="24"/>
    </row>
    <row r="20612">
      <c r="A20612" s="24"/>
      <c r="B20612" s="25"/>
      <c r="C20612" s="24"/>
      <c r="D20612" s="26"/>
      <c r="E20612" s="24"/>
      <c r="F20612" s="24"/>
      <c r="G20612" s="24"/>
      <c r="H20612" s="24"/>
      <c r="I20612" s="24"/>
      <c r="J20612" s="24"/>
      <c r="K20612" s="24"/>
      <c r="L20612" s="24"/>
      <c r="M20612" s="24"/>
      <c r="N20612" s="24"/>
      <c r="O20612" s="24"/>
      <c r="P20612" s="24"/>
      <c r="Q20612" s="24"/>
      <c r="R20612" s="24"/>
      <c r="S20612" s="24"/>
      <c r="T20612" s="24"/>
      <c r="U20612" s="24"/>
      <c r="V20612" s="24"/>
      <c r="W20612" s="24"/>
      <c r="X20612" s="24"/>
      <c r="Y20612" s="24"/>
      <c r="Z20612" s="24"/>
      <c r="AA20612" s="24"/>
    </row>
    <row r="20613">
      <c r="A20613" s="24"/>
      <c r="B20613" s="25"/>
      <c r="C20613" s="24"/>
      <c r="D20613" s="26"/>
      <c r="E20613" s="24"/>
      <c r="F20613" s="24"/>
      <c r="G20613" s="24"/>
      <c r="H20613" s="24"/>
      <c r="I20613" s="24"/>
      <c r="J20613" s="24"/>
      <c r="K20613" s="24"/>
      <c r="L20613" s="24"/>
      <c r="M20613" s="24"/>
      <c r="N20613" s="24"/>
      <c r="O20613" s="24"/>
      <c r="P20613" s="24"/>
      <c r="Q20613" s="24"/>
      <c r="R20613" s="24"/>
      <c r="S20613" s="24"/>
      <c r="T20613" s="24"/>
      <c r="U20613" s="24"/>
      <c r="V20613" s="24"/>
      <c r="W20613" s="24"/>
      <c r="X20613" s="24"/>
      <c r="Y20613" s="24"/>
      <c r="Z20613" s="24"/>
      <c r="AA20613" s="24"/>
    </row>
    <row r="20614">
      <c r="A20614" s="24"/>
      <c r="B20614" s="25"/>
      <c r="C20614" s="24"/>
      <c r="D20614" s="26"/>
      <c r="E20614" s="24"/>
      <c r="F20614" s="24"/>
      <c r="G20614" s="24"/>
      <c r="H20614" s="24"/>
      <c r="I20614" s="24"/>
      <c r="J20614" s="24"/>
      <c r="K20614" s="24"/>
      <c r="L20614" s="24"/>
      <c r="M20614" s="24"/>
      <c r="N20614" s="24"/>
      <c r="O20614" s="24"/>
      <c r="P20614" s="24"/>
      <c r="Q20614" s="24"/>
      <c r="R20614" s="24"/>
      <c r="S20614" s="24"/>
      <c r="T20614" s="24"/>
      <c r="U20614" s="24"/>
      <c r="V20614" s="24"/>
      <c r="W20614" s="24"/>
      <c r="X20614" s="24"/>
      <c r="Y20614" s="24"/>
      <c r="Z20614" s="24"/>
      <c r="AA20614" s="24"/>
    </row>
    <row r="20615">
      <c r="A20615" s="24"/>
      <c r="B20615" s="25"/>
      <c r="C20615" s="24"/>
      <c r="D20615" s="26"/>
      <c r="E20615" s="24"/>
      <c r="F20615" s="24"/>
      <c r="G20615" s="24"/>
      <c r="H20615" s="24"/>
      <c r="I20615" s="24"/>
      <c r="J20615" s="24"/>
      <c r="K20615" s="24"/>
      <c r="L20615" s="24"/>
      <c r="M20615" s="24"/>
      <c r="N20615" s="24"/>
      <c r="O20615" s="24"/>
      <c r="P20615" s="24"/>
      <c r="Q20615" s="24"/>
      <c r="R20615" s="24"/>
      <c r="S20615" s="24"/>
      <c r="T20615" s="24"/>
      <c r="U20615" s="24"/>
      <c r="V20615" s="24"/>
      <c r="W20615" s="24"/>
      <c r="X20615" s="24"/>
      <c r="Y20615" s="24"/>
      <c r="Z20615" s="24"/>
      <c r="AA20615" s="24"/>
    </row>
    <row r="20616">
      <c r="A20616" s="24"/>
      <c r="B20616" s="25"/>
      <c r="C20616" s="24"/>
      <c r="D20616" s="26"/>
      <c r="E20616" s="24"/>
      <c r="F20616" s="24"/>
      <c r="G20616" s="24"/>
      <c r="H20616" s="24"/>
      <c r="I20616" s="24"/>
      <c r="J20616" s="24"/>
      <c r="K20616" s="24"/>
      <c r="L20616" s="24"/>
      <c r="M20616" s="24"/>
      <c r="N20616" s="24"/>
      <c r="O20616" s="24"/>
      <c r="P20616" s="24"/>
      <c r="Q20616" s="24"/>
      <c r="R20616" s="24"/>
      <c r="S20616" s="24"/>
      <c r="T20616" s="24"/>
      <c r="U20616" s="24"/>
      <c r="V20616" s="24"/>
      <c r="W20616" s="24"/>
      <c r="X20616" s="24"/>
      <c r="Y20616" s="24"/>
      <c r="Z20616" s="24"/>
      <c r="AA20616" s="24"/>
    </row>
    <row r="20617">
      <c r="A20617" s="24"/>
      <c r="B20617" s="25"/>
      <c r="C20617" s="24"/>
      <c r="D20617" s="26"/>
      <c r="E20617" s="24"/>
      <c r="F20617" s="24"/>
      <c r="G20617" s="24"/>
      <c r="H20617" s="24"/>
      <c r="I20617" s="24"/>
      <c r="J20617" s="24"/>
      <c r="K20617" s="24"/>
      <c r="L20617" s="24"/>
      <c r="M20617" s="24"/>
      <c r="N20617" s="24"/>
      <c r="O20617" s="24"/>
      <c r="P20617" s="24"/>
      <c r="Q20617" s="24"/>
      <c r="R20617" s="24"/>
      <c r="S20617" s="24"/>
      <c r="T20617" s="24"/>
      <c r="U20617" s="24"/>
      <c r="V20617" s="24"/>
      <c r="W20617" s="24"/>
      <c r="X20617" s="24"/>
      <c r="Y20617" s="24"/>
      <c r="Z20617" s="24"/>
      <c r="AA20617" s="24"/>
    </row>
    <row r="20618">
      <c r="A20618" s="24"/>
      <c r="B20618" s="25"/>
      <c r="C20618" s="24"/>
      <c r="D20618" s="26"/>
      <c r="E20618" s="24"/>
      <c r="F20618" s="24"/>
      <c r="G20618" s="24"/>
      <c r="H20618" s="24"/>
      <c r="I20618" s="24"/>
      <c r="J20618" s="24"/>
      <c r="K20618" s="24"/>
      <c r="L20618" s="24"/>
      <c r="M20618" s="24"/>
      <c r="N20618" s="24"/>
      <c r="O20618" s="24"/>
      <c r="P20618" s="24"/>
      <c r="Q20618" s="24"/>
      <c r="R20618" s="24"/>
      <c r="S20618" s="24"/>
      <c r="T20618" s="24"/>
      <c r="U20618" s="24"/>
      <c r="V20618" s="24"/>
      <c r="W20618" s="24"/>
      <c r="X20618" s="24"/>
      <c r="Y20618" s="24"/>
      <c r="Z20618" s="24"/>
      <c r="AA20618" s="24"/>
    </row>
    <row r="20619">
      <c r="A20619" s="24"/>
      <c r="B20619" s="25"/>
      <c r="C20619" s="24"/>
      <c r="D20619" s="26"/>
      <c r="E20619" s="24"/>
      <c r="F20619" s="24"/>
      <c r="G20619" s="24"/>
      <c r="H20619" s="24"/>
      <c r="I20619" s="24"/>
      <c r="J20619" s="24"/>
      <c r="K20619" s="24"/>
      <c r="L20619" s="24"/>
      <c r="M20619" s="24"/>
      <c r="N20619" s="24"/>
      <c r="O20619" s="24"/>
      <c r="P20619" s="24"/>
      <c r="Q20619" s="24"/>
      <c r="R20619" s="24"/>
      <c r="S20619" s="24"/>
      <c r="T20619" s="24"/>
      <c r="U20619" s="24"/>
      <c r="V20619" s="24"/>
      <c r="W20619" s="24"/>
      <c r="X20619" s="24"/>
      <c r="Y20619" s="24"/>
      <c r="Z20619" s="24"/>
      <c r="AA20619" s="24"/>
    </row>
    <row r="20620">
      <c r="A20620" s="24"/>
      <c r="B20620" s="25"/>
      <c r="C20620" s="24"/>
      <c r="D20620" s="26"/>
      <c r="E20620" s="24"/>
      <c r="F20620" s="24"/>
      <c r="G20620" s="24"/>
      <c r="H20620" s="24"/>
      <c r="I20620" s="24"/>
      <c r="J20620" s="24"/>
      <c r="K20620" s="24"/>
      <c r="L20620" s="24"/>
      <c r="M20620" s="24"/>
      <c r="N20620" s="24"/>
      <c r="O20620" s="24"/>
      <c r="P20620" s="24"/>
      <c r="Q20620" s="24"/>
      <c r="R20620" s="24"/>
      <c r="S20620" s="24"/>
      <c r="T20620" s="24"/>
      <c r="U20620" s="24"/>
      <c r="V20620" s="24"/>
      <c r="W20620" s="24"/>
      <c r="X20620" s="24"/>
      <c r="Y20620" s="24"/>
      <c r="Z20620" s="24"/>
      <c r="AA20620" s="24"/>
    </row>
    <row r="20621">
      <c r="A20621" s="24"/>
      <c r="B20621" s="25"/>
      <c r="C20621" s="24"/>
      <c r="D20621" s="26"/>
      <c r="E20621" s="24"/>
      <c r="F20621" s="24"/>
      <c r="G20621" s="24"/>
      <c r="H20621" s="24"/>
      <c r="I20621" s="24"/>
      <c r="J20621" s="24"/>
      <c r="K20621" s="24"/>
      <c r="L20621" s="24"/>
      <c r="M20621" s="24"/>
      <c r="N20621" s="24"/>
      <c r="O20621" s="24"/>
      <c r="P20621" s="24"/>
      <c r="Q20621" s="24"/>
      <c r="R20621" s="24"/>
      <c r="S20621" s="24"/>
      <c r="T20621" s="24"/>
      <c r="U20621" s="24"/>
      <c r="V20621" s="24"/>
      <c r="W20621" s="24"/>
      <c r="X20621" s="24"/>
      <c r="Y20621" s="24"/>
      <c r="Z20621" s="24"/>
      <c r="AA20621" s="24"/>
    </row>
    <row r="20622">
      <c r="A20622" s="24"/>
      <c r="B20622" s="25"/>
      <c r="C20622" s="24"/>
      <c r="D20622" s="26"/>
      <c r="E20622" s="24"/>
      <c r="F20622" s="24"/>
      <c r="G20622" s="24"/>
      <c r="H20622" s="24"/>
      <c r="I20622" s="24"/>
      <c r="J20622" s="24"/>
      <c r="K20622" s="24"/>
      <c r="L20622" s="24"/>
      <c r="M20622" s="24"/>
      <c r="N20622" s="24"/>
      <c r="O20622" s="24"/>
      <c r="P20622" s="24"/>
      <c r="Q20622" s="24"/>
      <c r="R20622" s="24"/>
      <c r="S20622" s="24"/>
      <c r="T20622" s="24"/>
      <c r="U20622" s="24"/>
      <c r="V20622" s="24"/>
      <c r="W20622" s="24"/>
      <c r="X20622" s="24"/>
      <c r="Y20622" s="24"/>
      <c r="Z20622" s="24"/>
      <c r="AA20622" s="24"/>
    </row>
    <row r="20623">
      <c r="A20623" s="24"/>
      <c r="B20623" s="25"/>
      <c r="C20623" s="24"/>
      <c r="D20623" s="26"/>
      <c r="E20623" s="24"/>
      <c r="F20623" s="24"/>
      <c r="G20623" s="24"/>
      <c r="H20623" s="24"/>
      <c r="I20623" s="24"/>
      <c r="J20623" s="24"/>
      <c r="K20623" s="24"/>
      <c r="L20623" s="24"/>
      <c r="M20623" s="24"/>
      <c r="N20623" s="24"/>
      <c r="O20623" s="24"/>
      <c r="P20623" s="24"/>
      <c r="Q20623" s="24"/>
      <c r="R20623" s="24"/>
      <c r="S20623" s="24"/>
      <c r="T20623" s="24"/>
      <c r="U20623" s="24"/>
      <c r="V20623" s="24"/>
      <c r="W20623" s="24"/>
      <c r="X20623" s="24"/>
      <c r="Y20623" s="24"/>
      <c r="Z20623" s="24"/>
      <c r="AA20623" s="24"/>
    </row>
    <row r="20624">
      <c r="A20624" s="24"/>
      <c r="B20624" s="25"/>
      <c r="C20624" s="24"/>
      <c r="D20624" s="26"/>
      <c r="E20624" s="24"/>
      <c r="F20624" s="24"/>
      <c r="G20624" s="24"/>
      <c r="H20624" s="24"/>
      <c r="I20624" s="24"/>
      <c r="J20624" s="24"/>
      <c r="K20624" s="24"/>
      <c r="L20624" s="24"/>
      <c r="M20624" s="24"/>
      <c r="N20624" s="24"/>
      <c r="O20624" s="24"/>
      <c r="P20624" s="24"/>
      <c r="Q20624" s="24"/>
      <c r="R20624" s="24"/>
      <c r="S20624" s="24"/>
      <c r="T20624" s="24"/>
      <c r="U20624" s="24"/>
      <c r="V20624" s="24"/>
      <c r="W20624" s="24"/>
      <c r="X20624" s="24"/>
      <c r="Y20624" s="24"/>
      <c r="Z20624" s="24"/>
      <c r="AA20624" s="24"/>
    </row>
    <row r="20625">
      <c r="A20625" s="24"/>
      <c r="B20625" s="25"/>
      <c r="C20625" s="24"/>
      <c r="D20625" s="26"/>
      <c r="E20625" s="24"/>
      <c r="F20625" s="24"/>
      <c r="G20625" s="24"/>
      <c r="H20625" s="24"/>
      <c r="I20625" s="24"/>
      <c r="J20625" s="24"/>
      <c r="K20625" s="24"/>
      <c r="L20625" s="24"/>
      <c r="M20625" s="24"/>
      <c r="N20625" s="24"/>
      <c r="O20625" s="24"/>
      <c r="P20625" s="24"/>
      <c r="Q20625" s="24"/>
      <c r="R20625" s="24"/>
      <c r="S20625" s="24"/>
      <c r="T20625" s="24"/>
      <c r="U20625" s="24"/>
      <c r="V20625" s="24"/>
      <c r="W20625" s="24"/>
      <c r="X20625" s="24"/>
      <c r="Y20625" s="24"/>
      <c r="Z20625" s="24"/>
      <c r="AA20625" s="24"/>
    </row>
    <row r="20626">
      <c r="A20626" s="24"/>
      <c r="B20626" s="25"/>
      <c r="C20626" s="24"/>
      <c r="D20626" s="26"/>
      <c r="E20626" s="24"/>
      <c r="F20626" s="24"/>
      <c r="G20626" s="24"/>
      <c r="H20626" s="24"/>
      <c r="I20626" s="24"/>
      <c r="J20626" s="24"/>
      <c r="K20626" s="24"/>
      <c r="L20626" s="24"/>
      <c r="M20626" s="24"/>
      <c r="N20626" s="24"/>
      <c r="O20626" s="24"/>
      <c r="P20626" s="24"/>
      <c r="Q20626" s="24"/>
      <c r="R20626" s="24"/>
      <c r="S20626" s="24"/>
      <c r="T20626" s="24"/>
      <c r="U20626" s="24"/>
      <c r="V20626" s="24"/>
      <c r="W20626" s="24"/>
      <c r="X20626" s="24"/>
      <c r="Y20626" s="24"/>
      <c r="Z20626" s="24"/>
      <c r="AA20626" s="24"/>
    </row>
    <row r="20627">
      <c r="A20627" s="24"/>
      <c r="B20627" s="25"/>
      <c r="C20627" s="24"/>
      <c r="D20627" s="26"/>
      <c r="E20627" s="24"/>
      <c r="F20627" s="24"/>
      <c r="G20627" s="24"/>
      <c r="H20627" s="24"/>
      <c r="I20627" s="24"/>
      <c r="J20627" s="24"/>
      <c r="K20627" s="24"/>
      <c r="L20627" s="24"/>
      <c r="M20627" s="24"/>
      <c r="N20627" s="24"/>
      <c r="O20627" s="24"/>
      <c r="P20627" s="24"/>
      <c r="Q20627" s="24"/>
      <c r="R20627" s="24"/>
      <c r="S20627" s="24"/>
      <c r="T20627" s="24"/>
      <c r="U20627" s="24"/>
      <c r="V20627" s="24"/>
      <c r="W20627" s="24"/>
      <c r="X20627" s="24"/>
      <c r="Y20627" s="24"/>
      <c r="Z20627" s="24"/>
      <c r="AA20627" s="24"/>
    </row>
    <row r="20628">
      <c r="A20628" s="24"/>
      <c r="B20628" s="25"/>
      <c r="C20628" s="24"/>
      <c r="D20628" s="26"/>
      <c r="E20628" s="24"/>
      <c r="F20628" s="24"/>
      <c r="G20628" s="24"/>
      <c r="H20628" s="24"/>
      <c r="I20628" s="24"/>
      <c r="J20628" s="24"/>
      <c r="K20628" s="24"/>
      <c r="L20628" s="24"/>
      <c r="M20628" s="24"/>
      <c r="N20628" s="24"/>
      <c r="O20628" s="24"/>
      <c r="P20628" s="24"/>
      <c r="Q20628" s="24"/>
      <c r="R20628" s="24"/>
      <c r="S20628" s="24"/>
      <c r="T20628" s="24"/>
      <c r="U20628" s="24"/>
      <c r="V20628" s="24"/>
      <c r="W20628" s="24"/>
      <c r="X20628" s="24"/>
      <c r="Y20628" s="24"/>
      <c r="Z20628" s="24"/>
      <c r="AA20628" s="24"/>
    </row>
    <row r="20629">
      <c r="A20629" s="24"/>
      <c r="B20629" s="25"/>
      <c r="C20629" s="24"/>
      <c r="D20629" s="26"/>
      <c r="E20629" s="24"/>
      <c r="F20629" s="24"/>
      <c r="G20629" s="24"/>
      <c r="H20629" s="24"/>
      <c r="I20629" s="24"/>
      <c r="J20629" s="24"/>
      <c r="K20629" s="24"/>
      <c r="L20629" s="24"/>
      <c r="M20629" s="24"/>
      <c r="N20629" s="24"/>
      <c r="O20629" s="24"/>
      <c r="P20629" s="24"/>
      <c r="Q20629" s="24"/>
      <c r="R20629" s="24"/>
      <c r="S20629" s="24"/>
      <c r="T20629" s="24"/>
      <c r="U20629" s="24"/>
      <c r="V20629" s="24"/>
      <c r="W20629" s="24"/>
      <c r="X20629" s="24"/>
      <c r="Y20629" s="24"/>
      <c r="Z20629" s="24"/>
      <c r="AA20629" s="24"/>
    </row>
    <row r="20630">
      <c r="A20630" s="24"/>
      <c r="B20630" s="25"/>
      <c r="C20630" s="24"/>
      <c r="D20630" s="26"/>
      <c r="E20630" s="24"/>
      <c r="F20630" s="24"/>
      <c r="G20630" s="24"/>
      <c r="H20630" s="24"/>
      <c r="I20630" s="24"/>
      <c r="J20630" s="24"/>
      <c r="K20630" s="24"/>
      <c r="L20630" s="24"/>
      <c r="M20630" s="24"/>
      <c r="N20630" s="24"/>
      <c r="O20630" s="24"/>
      <c r="P20630" s="24"/>
      <c r="Q20630" s="24"/>
      <c r="R20630" s="24"/>
      <c r="S20630" s="24"/>
      <c r="T20630" s="24"/>
      <c r="U20630" s="24"/>
      <c r="V20630" s="24"/>
      <c r="W20630" s="24"/>
      <c r="X20630" s="24"/>
      <c r="Y20630" s="24"/>
      <c r="Z20630" s="24"/>
      <c r="AA20630" s="24"/>
    </row>
    <row r="20631">
      <c r="A20631" s="24"/>
      <c r="B20631" s="25"/>
      <c r="C20631" s="24"/>
      <c r="D20631" s="26"/>
      <c r="E20631" s="24"/>
      <c r="F20631" s="24"/>
      <c r="G20631" s="24"/>
      <c r="H20631" s="24"/>
      <c r="I20631" s="24"/>
      <c r="J20631" s="24"/>
      <c r="K20631" s="24"/>
      <c r="L20631" s="24"/>
      <c r="M20631" s="24"/>
      <c r="N20631" s="24"/>
      <c r="O20631" s="24"/>
      <c r="P20631" s="24"/>
      <c r="Q20631" s="24"/>
      <c r="R20631" s="24"/>
      <c r="S20631" s="24"/>
      <c r="T20631" s="24"/>
      <c r="U20631" s="24"/>
      <c r="V20631" s="24"/>
      <c r="W20631" s="24"/>
      <c r="X20631" s="24"/>
      <c r="Y20631" s="24"/>
      <c r="Z20631" s="24"/>
      <c r="AA20631" s="24"/>
    </row>
    <row r="20632">
      <c r="A20632" s="24"/>
      <c r="B20632" s="25"/>
      <c r="C20632" s="24"/>
      <c r="D20632" s="26"/>
      <c r="E20632" s="24"/>
      <c r="F20632" s="24"/>
      <c r="G20632" s="24"/>
      <c r="H20632" s="24"/>
      <c r="I20632" s="24"/>
      <c r="J20632" s="24"/>
      <c r="K20632" s="24"/>
      <c r="L20632" s="24"/>
      <c r="M20632" s="24"/>
      <c r="N20632" s="24"/>
      <c r="O20632" s="24"/>
      <c r="P20632" s="24"/>
      <c r="Q20632" s="24"/>
      <c r="R20632" s="24"/>
      <c r="S20632" s="24"/>
      <c r="T20632" s="24"/>
      <c r="U20632" s="24"/>
      <c r="V20632" s="24"/>
      <c r="W20632" s="24"/>
      <c r="X20632" s="24"/>
      <c r="Y20632" s="24"/>
      <c r="Z20632" s="24"/>
      <c r="AA20632" s="24"/>
    </row>
    <row r="20633">
      <c r="A20633" s="24"/>
      <c r="B20633" s="25"/>
      <c r="C20633" s="24"/>
      <c r="D20633" s="26"/>
      <c r="E20633" s="24"/>
      <c r="F20633" s="24"/>
      <c r="G20633" s="24"/>
      <c r="H20633" s="24"/>
      <c r="I20633" s="24"/>
      <c r="J20633" s="24"/>
      <c r="K20633" s="24"/>
      <c r="L20633" s="24"/>
      <c r="M20633" s="24"/>
      <c r="N20633" s="24"/>
      <c r="O20633" s="24"/>
      <c r="P20633" s="24"/>
      <c r="Q20633" s="24"/>
      <c r="R20633" s="24"/>
      <c r="S20633" s="24"/>
      <c r="T20633" s="24"/>
      <c r="U20633" s="24"/>
      <c r="V20633" s="24"/>
      <c r="W20633" s="24"/>
      <c r="X20633" s="24"/>
      <c r="Y20633" s="24"/>
      <c r="Z20633" s="24"/>
      <c r="AA20633" s="24"/>
    </row>
    <row r="20634">
      <c r="A20634" s="24"/>
      <c r="B20634" s="25"/>
      <c r="C20634" s="24"/>
      <c r="D20634" s="26"/>
      <c r="E20634" s="24"/>
      <c r="F20634" s="24"/>
      <c r="G20634" s="24"/>
      <c r="H20634" s="24"/>
      <c r="I20634" s="24"/>
      <c r="J20634" s="24"/>
      <c r="K20634" s="24"/>
      <c r="L20634" s="24"/>
      <c r="M20634" s="24"/>
      <c r="N20634" s="24"/>
      <c r="O20634" s="24"/>
      <c r="P20634" s="24"/>
      <c r="Q20634" s="24"/>
      <c r="R20634" s="24"/>
      <c r="S20634" s="24"/>
      <c r="T20634" s="24"/>
      <c r="U20634" s="24"/>
      <c r="V20634" s="24"/>
      <c r="W20634" s="24"/>
      <c r="X20634" s="24"/>
      <c r="Y20634" s="24"/>
      <c r="Z20634" s="24"/>
      <c r="AA20634" s="24"/>
    </row>
    <row r="20635">
      <c r="A20635" s="24"/>
      <c r="B20635" s="25"/>
      <c r="C20635" s="24"/>
      <c r="D20635" s="26"/>
      <c r="E20635" s="24"/>
      <c r="F20635" s="24"/>
      <c r="G20635" s="24"/>
      <c r="H20635" s="24"/>
      <c r="I20635" s="24"/>
      <c r="J20635" s="24"/>
      <c r="K20635" s="24"/>
      <c r="L20635" s="24"/>
      <c r="M20635" s="24"/>
      <c r="N20635" s="24"/>
      <c r="O20635" s="24"/>
      <c r="P20635" s="24"/>
      <c r="Q20635" s="24"/>
      <c r="R20635" s="24"/>
      <c r="S20635" s="24"/>
      <c r="T20635" s="24"/>
      <c r="U20635" s="24"/>
      <c r="V20635" s="24"/>
      <c r="W20635" s="24"/>
      <c r="X20635" s="24"/>
      <c r="Y20635" s="24"/>
      <c r="Z20635" s="24"/>
      <c r="AA20635" s="24"/>
    </row>
    <row r="20636">
      <c r="A20636" s="24"/>
      <c r="B20636" s="25"/>
      <c r="C20636" s="24"/>
      <c r="D20636" s="26"/>
      <c r="E20636" s="24"/>
      <c r="F20636" s="24"/>
      <c r="G20636" s="24"/>
      <c r="H20636" s="24"/>
      <c r="I20636" s="24"/>
      <c r="J20636" s="24"/>
      <c r="K20636" s="24"/>
      <c r="L20636" s="24"/>
      <c r="M20636" s="24"/>
      <c r="N20636" s="24"/>
      <c r="O20636" s="24"/>
      <c r="P20636" s="24"/>
      <c r="Q20636" s="24"/>
      <c r="R20636" s="24"/>
      <c r="S20636" s="24"/>
      <c r="T20636" s="24"/>
      <c r="U20636" s="24"/>
      <c r="V20636" s="24"/>
      <c r="W20636" s="24"/>
      <c r="X20636" s="24"/>
      <c r="Y20636" s="24"/>
      <c r="Z20636" s="24"/>
      <c r="AA20636" s="24"/>
    </row>
    <row r="20637">
      <c r="A20637" s="24"/>
      <c r="B20637" s="25"/>
      <c r="C20637" s="24"/>
      <c r="D20637" s="26"/>
      <c r="E20637" s="24"/>
      <c r="F20637" s="24"/>
      <c r="G20637" s="24"/>
      <c r="H20637" s="24"/>
      <c r="I20637" s="24"/>
      <c r="J20637" s="24"/>
      <c r="K20637" s="24"/>
      <c r="L20637" s="24"/>
      <c r="M20637" s="24"/>
      <c r="N20637" s="24"/>
      <c r="O20637" s="24"/>
      <c r="P20637" s="24"/>
      <c r="Q20637" s="24"/>
      <c r="R20637" s="24"/>
      <c r="S20637" s="24"/>
      <c r="T20637" s="24"/>
      <c r="U20637" s="24"/>
      <c r="V20637" s="24"/>
      <c r="W20637" s="24"/>
      <c r="X20637" s="24"/>
      <c r="Y20637" s="24"/>
      <c r="Z20637" s="24"/>
      <c r="AA20637" s="24"/>
    </row>
    <row r="20638">
      <c r="A20638" s="24"/>
      <c r="B20638" s="25"/>
      <c r="C20638" s="24"/>
      <c r="D20638" s="26"/>
      <c r="E20638" s="24"/>
      <c r="F20638" s="24"/>
      <c r="G20638" s="24"/>
      <c r="H20638" s="24"/>
      <c r="I20638" s="24"/>
      <c r="J20638" s="24"/>
      <c r="K20638" s="24"/>
      <c r="L20638" s="24"/>
      <c r="M20638" s="24"/>
      <c r="N20638" s="24"/>
      <c r="O20638" s="24"/>
      <c r="P20638" s="24"/>
      <c r="Q20638" s="24"/>
      <c r="R20638" s="24"/>
      <c r="S20638" s="24"/>
      <c r="T20638" s="24"/>
      <c r="U20638" s="24"/>
      <c r="V20638" s="24"/>
      <c r="W20638" s="24"/>
      <c r="X20638" s="24"/>
      <c r="Y20638" s="24"/>
      <c r="Z20638" s="24"/>
      <c r="AA20638" s="24"/>
    </row>
    <row r="20639">
      <c r="A20639" s="24"/>
      <c r="B20639" s="25"/>
      <c r="C20639" s="24"/>
      <c r="D20639" s="26"/>
      <c r="E20639" s="24"/>
      <c r="F20639" s="24"/>
      <c r="G20639" s="24"/>
      <c r="H20639" s="24"/>
      <c r="I20639" s="24"/>
      <c r="J20639" s="24"/>
      <c r="K20639" s="24"/>
      <c r="L20639" s="24"/>
      <c r="M20639" s="24"/>
      <c r="N20639" s="24"/>
      <c r="O20639" s="24"/>
      <c r="P20639" s="24"/>
      <c r="Q20639" s="24"/>
      <c r="R20639" s="24"/>
      <c r="S20639" s="24"/>
      <c r="T20639" s="24"/>
      <c r="U20639" s="24"/>
      <c r="V20639" s="24"/>
      <c r="W20639" s="24"/>
      <c r="X20639" s="24"/>
      <c r="Y20639" s="24"/>
      <c r="Z20639" s="24"/>
      <c r="AA20639" s="24"/>
    </row>
    <row r="20640">
      <c r="A20640" s="24"/>
      <c r="B20640" s="25"/>
      <c r="C20640" s="24"/>
      <c r="D20640" s="26"/>
      <c r="E20640" s="24"/>
      <c r="F20640" s="24"/>
      <c r="G20640" s="24"/>
      <c r="H20640" s="24"/>
      <c r="I20640" s="24"/>
      <c r="J20640" s="24"/>
      <c r="K20640" s="24"/>
      <c r="L20640" s="24"/>
      <c r="M20640" s="24"/>
      <c r="N20640" s="24"/>
      <c r="O20640" s="24"/>
      <c r="P20640" s="24"/>
      <c r="Q20640" s="24"/>
      <c r="R20640" s="24"/>
      <c r="S20640" s="24"/>
      <c r="T20640" s="24"/>
      <c r="U20640" s="24"/>
      <c r="V20640" s="24"/>
      <c r="W20640" s="24"/>
      <c r="X20640" s="24"/>
      <c r="Y20640" s="24"/>
      <c r="Z20640" s="24"/>
      <c r="AA20640" s="24"/>
    </row>
    <row r="20641">
      <c r="A20641" s="24"/>
      <c r="B20641" s="25"/>
      <c r="C20641" s="24"/>
      <c r="D20641" s="26"/>
      <c r="E20641" s="24"/>
      <c r="F20641" s="24"/>
      <c r="G20641" s="24"/>
      <c r="H20641" s="24"/>
      <c r="I20641" s="24"/>
      <c r="J20641" s="24"/>
      <c r="K20641" s="24"/>
      <c r="L20641" s="24"/>
      <c r="M20641" s="24"/>
      <c r="N20641" s="24"/>
      <c r="O20641" s="24"/>
      <c r="P20641" s="24"/>
      <c r="Q20641" s="24"/>
      <c r="R20641" s="24"/>
      <c r="S20641" s="24"/>
      <c r="T20641" s="24"/>
      <c r="U20641" s="24"/>
      <c r="V20641" s="24"/>
      <c r="W20641" s="24"/>
      <c r="X20641" s="24"/>
      <c r="Y20641" s="24"/>
      <c r="Z20641" s="24"/>
      <c r="AA20641" s="24"/>
    </row>
    <row r="20642">
      <c r="A20642" s="24"/>
      <c r="B20642" s="25"/>
      <c r="C20642" s="24"/>
      <c r="D20642" s="26"/>
      <c r="E20642" s="24"/>
      <c r="F20642" s="24"/>
      <c r="G20642" s="24"/>
      <c r="H20642" s="24"/>
      <c r="I20642" s="24"/>
      <c r="J20642" s="24"/>
      <c r="K20642" s="24"/>
      <c r="L20642" s="24"/>
      <c r="M20642" s="24"/>
      <c r="N20642" s="24"/>
      <c r="O20642" s="24"/>
      <c r="P20642" s="24"/>
      <c r="Q20642" s="24"/>
      <c r="R20642" s="24"/>
      <c r="S20642" s="24"/>
      <c r="T20642" s="24"/>
      <c r="U20642" s="24"/>
      <c r="V20642" s="24"/>
      <c r="W20642" s="24"/>
      <c r="X20642" s="24"/>
      <c r="Y20642" s="24"/>
      <c r="Z20642" s="24"/>
      <c r="AA20642" s="24"/>
    </row>
    <row r="20643">
      <c r="A20643" s="24"/>
      <c r="B20643" s="25"/>
      <c r="C20643" s="24"/>
      <c r="D20643" s="26"/>
      <c r="E20643" s="24"/>
      <c r="F20643" s="24"/>
      <c r="G20643" s="24"/>
      <c r="H20643" s="24"/>
      <c r="I20643" s="24"/>
      <c r="J20643" s="24"/>
      <c r="K20643" s="24"/>
      <c r="L20643" s="24"/>
      <c r="M20643" s="24"/>
      <c r="N20643" s="24"/>
      <c r="O20643" s="24"/>
      <c r="P20643" s="24"/>
      <c r="Q20643" s="24"/>
      <c r="R20643" s="24"/>
      <c r="S20643" s="24"/>
      <c r="T20643" s="24"/>
      <c r="U20643" s="24"/>
      <c r="V20643" s="24"/>
      <c r="W20643" s="24"/>
      <c r="X20643" s="24"/>
      <c r="Y20643" s="24"/>
      <c r="Z20643" s="24"/>
      <c r="AA20643" s="24"/>
    </row>
    <row r="20644">
      <c r="A20644" s="24"/>
      <c r="B20644" s="25"/>
      <c r="C20644" s="24"/>
      <c r="D20644" s="26"/>
      <c r="E20644" s="24"/>
      <c r="F20644" s="24"/>
      <c r="G20644" s="24"/>
      <c r="H20644" s="24"/>
      <c r="I20644" s="24"/>
      <c r="J20644" s="24"/>
      <c r="K20644" s="24"/>
      <c r="L20644" s="24"/>
      <c r="M20644" s="24"/>
      <c r="N20644" s="24"/>
      <c r="O20644" s="24"/>
      <c r="P20644" s="24"/>
      <c r="Q20644" s="24"/>
      <c r="R20644" s="24"/>
      <c r="S20644" s="24"/>
      <c r="T20644" s="24"/>
      <c r="U20644" s="24"/>
      <c r="V20644" s="24"/>
      <c r="W20644" s="24"/>
      <c r="X20644" s="24"/>
      <c r="Y20644" s="24"/>
      <c r="Z20644" s="24"/>
      <c r="AA20644" s="24"/>
    </row>
    <row r="20645">
      <c r="A20645" s="24"/>
      <c r="B20645" s="25"/>
      <c r="C20645" s="24"/>
      <c r="D20645" s="26"/>
      <c r="E20645" s="24"/>
      <c r="F20645" s="24"/>
      <c r="G20645" s="24"/>
      <c r="H20645" s="24"/>
      <c r="I20645" s="24"/>
      <c r="J20645" s="24"/>
      <c r="K20645" s="24"/>
      <c r="L20645" s="24"/>
      <c r="M20645" s="24"/>
      <c r="N20645" s="24"/>
      <c r="O20645" s="24"/>
      <c r="P20645" s="24"/>
      <c r="Q20645" s="24"/>
      <c r="R20645" s="24"/>
      <c r="S20645" s="24"/>
      <c r="T20645" s="24"/>
      <c r="U20645" s="24"/>
      <c r="V20645" s="24"/>
      <c r="W20645" s="24"/>
      <c r="X20645" s="24"/>
      <c r="Y20645" s="24"/>
      <c r="Z20645" s="24"/>
      <c r="AA20645" s="24"/>
    </row>
    <row r="20646">
      <c r="A20646" s="24"/>
      <c r="B20646" s="25"/>
      <c r="C20646" s="24"/>
      <c r="D20646" s="26"/>
      <c r="E20646" s="24"/>
      <c r="F20646" s="24"/>
      <c r="G20646" s="24"/>
      <c r="H20646" s="24"/>
      <c r="I20646" s="24"/>
      <c r="J20646" s="24"/>
      <c r="K20646" s="24"/>
      <c r="L20646" s="24"/>
      <c r="M20646" s="24"/>
      <c r="N20646" s="24"/>
      <c r="O20646" s="24"/>
      <c r="P20646" s="24"/>
      <c r="Q20646" s="24"/>
      <c r="R20646" s="24"/>
      <c r="S20646" s="24"/>
      <c r="T20646" s="24"/>
      <c r="U20646" s="24"/>
      <c r="V20646" s="24"/>
      <c r="W20646" s="24"/>
      <c r="X20646" s="24"/>
      <c r="Y20646" s="24"/>
      <c r="Z20646" s="24"/>
      <c r="AA20646" s="24"/>
    </row>
    <row r="20647">
      <c r="A20647" s="24"/>
      <c r="B20647" s="25"/>
      <c r="C20647" s="24"/>
      <c r="D20647" s="26"/>
      <c r="E20647" s="24"/>
      <c r="F20647" s="24"/>
      <c r="G20647" s="24"/>
      <c r="H20647" s="24"/>
      <c r="I20647" s="24"/>
      <c r="J20647" s="24"/>
      <c r="K20647" s="24"/>
      <c r="L20647" s="24"/>
      <c r="M20647" s="24"/>
      <c r="N20647" s="24"/>
      <c r="O20647" s="24"/>
      <c r="P20647" s="24"/>
      <c r="Q20647" s="24"/>
      <c r="R20647" s="24"/>
      <c r="S20647" s="24"/>
      <c r="T20647" s="24"/>
      <c r="U20647" s="24"/>
      <c r="V20647" s="24"/>
      <c r="W20647" s="24"/>
      <c r="X20647" s="24"/>
      <c r="Y20647" s="24"/>
      <c r="Z20647" s="24"/>
      <c r="AA20647" s="24"/>
    </row>
    <row r="20648">
      <c r="A20648" s="24"/>
      <c r="B20648" s="25"/>
      <c r="C20648" s="24"/>
      <c r="D20648" s="26"/>
      <c r="E20648" s="24"/>
      <c r="F20648" s="24"/>
      <c r="G20648" s="24"/>
      <c r="H20648" s="24"/>
      <c r="I20648" s="24"/>
      <c r="J20648" s="24"/>
      <c r="K20648" s="24"/>
      <c r="L20648" s="24"/>
      <c r="M20648" s="24"/>
      <c r="N20648" s="24"/>
      <c r="O20648" s="24"/>
      <c r="P20648" s="24"/>
      <c r="Q20648" s="24"/>
      <c r="R20648" s="24"/>
      <c r="S20648" s="24"/>
      <c r="T20648" s="24"/>
      <c r="U20648" s="24"/>
      <c r="V20648" s="24"/>
      <c r="W20648" s="24"/>
      <c r="X20648" s="24"/>
      <c r="Y20648" s="24"/>
      <c r="Z20648" s="24"/>
      <c r="AA20648" s="24"/>
    </row>
    <row r="20649">
      <c r="A20649" s="24"/>
      <c r="B20649" s="25"/>
      <c r="C20649" s="24"/>
      <c r="D20649" s="26"/>
      <c r="E20649" s="24"/>
      <c r="F20649" s="24"/>
      <c r="G20649" s="24"/>
      <c r="H20649" s="24"/>
      <c r="I20649" s="24"/>
      <c r="J20649" s="24"/>
      <c r="K20649" s="24"/>
      <c r="L20649" s="24"/>
      <c r="M20649" s="24"/>
      <c r="N20649" s="24"/>
      <c r="O20649" s="24"/>
      <c r="P20649" s="24"/>
      <c r="Q20649" s="24"/>
      <c r="R20649" s="24"/>
      <c r="S20649" s="24"/>
      <c r="T20649" s="24"/>
      <c r="U20649" s="24"/>
      <c r="V20649" s="24"/>
      <c r="W20649" s="24"/>
      <c r="X20649" s="24"/>
      <c r="Y20649" s="24"/>
      <c r="Z20649" s="24"/>
      <c r="AA20649" s="24"/>
    </row>
    <row r="20650">
      <c r="A20650" s="24"/>
      <c r="B20650" s="25"/>
      <c r="C20650" s="24"/>
      <c r="D20650" s="26"/>
      <c r="E20650" s="24"/>
      <c r="F20650" s="24"/>
      <c r="G20650" s="24"/>
      <c r="H20650" s="24"/>
      <c r="I20650" s="24"/>
      <c r="J20650" s="24"/>
      <c r="K20650" s="24"/>
      <c r="L20650" s="24"/>
      <c r="M20650" s="24"/>
      <c r="N20650" s="24"/>
      <c r="O20650" s="24"/>
      <c r="P20650" s="24"/>
      <c r="Q20650" s="24"/>
      <c r="R20650" s="24"/>
      <c r="S20650" s="24"/>
      <c r="T20650" s="24"/>
      <c r="U20650" s="24"/>
      <c r="V20650" s="24"/>
      <c r="W20650" s="24"/>
      <c r="X20650" s="24"/>
      <c r="Y20650" s="24"/>
      <c r="Z20650" s="24"/>
      <c r="AA20650" s="24"/>
    </row>
    <row r="20651">
      <c r="A20651" s="24"/>
      <c r="B20651" s="25"/>
      <c r="C20651" s="24"/>
      <c r="D20651" s="26"/>
      <c r="E20651" s="24"/>
      <c r="F20651" s="24"/>
      <c r="G20651" s="24"/>
      <c r="H20651" s="24"/>
      <c r="I20651" s="24"/>
      <c r="J20651" s="24"/>
      <c r="K20651" s="24"/>
      <c r="L20651" s="24"/>
      <c r="M20651" s="24"/>
      <c r="N20651" s="24"/>
      <c r="O20651" s="24"/>
      <c r="P20651" s="24"/>
      <c r="Q20651" s="24"/>
      <c r="R20651" s="24"/>
      <c r="S20651" s="24"/>
      <c r="T20651" s="24"/>
      <c r="U20651" s="24"/>
      <c r="V20651" s="24"/>
      <c r="W20651" s="24"/>
      <c r="X20651" s="24"/>
      <c r="Y20651" s="24"/>
      <c r="Z20651" s="24"/>
      <c r="AA20651" s="24"/>
    </row>
    <row r="20652">
      <c r="A20652" s="24"/>
      <c r="B20652" s="25"/>
      <c r="C20652" s="24"/>
      <c r="D20652" s="26"/>
      <c r="E20652" s="24"/>
      <c r="F20652" s="24"/>
      <c r="G20652" s="24"/>
      <c r="H20652" s="24"/>
      <c r="I20652" s="24"/>
      <c r="J20652" s="24"/>
      <c r="K20652" s="24"/>
      <c r="L20652" s="24"/>
      <c r="M20652" s="24"/>
      <c r="N20652" s="24"/>
      <c r="O20652" s="24"/>
      <c r="P20652" s="24"/>
      <c r="Q20652" s="24"/>
      <c r="R20652" s="24"/>
      <c r="S20652" s="24"/>
      <c r="T20652" s="24"/>
      <c r="U20652" s="24"/>
      <c r="V20652" s="24"/>
      <c r="W20652" s="24"/>
      <c r="X20652" s="24"/>
      <c r="Y20652" s="24"/>
      <c r="Z20652" s="24"/>
      <c r="AA20652" s="24"/>
    </row>
    <row r="20653">
      <c r="A20653" s="24"/>
      <c r="B20653" s="25"/>
      <c r="C20653" s="24"/>
      <c r="D20653" s="26"/>
      <c r="E20653" s="24"/>
      <c r="F20653" s="24"/>
      <c r="G20653" s="24"/>
      <c r="H20653" s="24"/>
      <c r="I20653" s="24"/>
      <c r="J20653" s="24"/>
      <c r="K20653" s="24"/>
      <c r="L20653" s="24"/>
      <c r="M20653" s="24"/>
      <c r="N20653" s="24"/>
      <c r="O20653" s="24"/>
      <c r="P20653" s="24"/>
      <c r="Q20653" s="24"/>
      <c r="R20653" s="24"/>
      <c r="S20653" s="24"/>
      <c r="T20653" s="24"/>
      <c r="U20653" s="24"/>
      <c r="V20653" s="24"/>
      <c r="W20653" s="24"/>
      <c r="X20653" s="24"/>
      <c r="Y20653" s="24"/>
      <c r="Z20653" s="24"/>
      <c r="AA20653" s="24"/>
    </row>
    <row r="20654">
      <c r="A20654" s="24"/>
      <c r="B20654" s="25"/>
      <c r="C20654" s="24"/>
      <c r="D20654" s="26"/>
      <c r="E20654" s="24"/>
      <c r="F20654" s="24"/>
      <c r="G20654" s="24"/>
      <c r="H20654" s="24"/>
      <c r="I20654" s="24"/>
      <c r="J20654" s="24"/>
      <c r="K20654" s="24"/>
      <c r="L20654" s="24"/>
      <c r="M20654" s="24"/>
      <c r="N20654" s="24"/>
      <c r="O20654" s="24"/>
      <c r="P20654" s="24"/>
      <c r="Q20654" s="24"/>
      <c r="R20654" s="24"/>
      <c r="S20654" s="24"/>
      <c r="T20654" s="24"/>
      <c r="U20654" s="24"/>
      <c r="V20654" s="24"/>
      <c r="W20654" s="24"/>
      <c r="X20654" s="24"/>
      <c r="Y20654" s="24"/>
      <c r="Z20654" s="24"/>
      <c r="AA20654" s="24"/>
    </row>
    <row r="20655">
      <c r="A20655" s="24"/>
      <c r="B20655" s="25"/>
      <c r="C20655" s="24"/>
      <c r="D20655" s="26"/>
      <c r="E20655" s="24"/>
      <c r="F20655" s="24"/>
      <c r="G20655" s="24"/>
      <c r="H20655" s="24"/>
      <c r="I20655" s="24"/>
      <c r="J20655" s="24"/>
      <c r="K20655" s="24"/>
      <c r="L20655" s="24"/>
      <c r="M20655" s="24"/>
      <c r="N20655" s="24"/>
      <c r="O20655" s="24"/>
      <c r="P20655" s="24"/>
      <c r="Q20655" s="24"/>
      <c r="R20655" s="24"/>
      <c r="S20655" s="24"/>
      <c r="T20655" s="24"/>
      <c r="U20655" s="24"/>
      <c r="V20655" s="24"/>
      <c r="W20655" s="24"/>
      <c r="X20655" s="24"/>
      <c r="Y20655" s="24"/>
      <c r="Z20655" s="24"/>
      <c r="AA20655" s="24"/>
    </row>
    <row r="20656">
      <c r="A20656" s="24"/>
      <c r="B20656" s="25"/>
      <c r="C20656" s="24"/>
      <c r="D20656" s="26"/>
      <c r="E20656" s="24"/>
      <c r="F20656" s="24"/>
      <c r="G20656" s="24"/>
      <c r="H20656" s="24"/>
      <c r="I20656" s="24"/>
      <c r="J20656" s="24"/>
      <c r="K20656" s="24"/>
      <c r="L20656" s="24"/>
      <c r="M20656" s="24"/>
      <c r="N20656" s="24"/>
      <c r="O20656" s="24"/>
      <c r="P20656" s="24"/>
      <c r="Q20656" s="24"/>
      <c r="R20656" s="24"/>
      <c r="S20656" s="24"/>
      <c r="T20656" s="24"/>
      <c r="U20656" s="24"/>
      <c r="V20656" s="24"/>
      <c r="W20656" s="24"/>
      <c r="X20656" s="24"/>
      <c r="Y20656" s="24"/>
      <c r="Z20656" s="24"/>
      <c r="AA20656" s="24"/>
    </row>
    <row r="20657">
      <c r="A20657" s="24"/>
      <c r="B20657" s="25"/>
      <c r="C20657" s="24"/>
      <c r="D20657" s="26"/>
      <c r="E20657" s="24"/>
      <c r="F20657" s="24"/>
      <c r="G20657" s="24"/>
      <c r="H20657" s="24"/>
      <c r="I20657" s="24"/>
      <c r="J20657" s="24"/>
      <c r="K20657" s="24"/>
      <c r="L20657" s="24"/>
      <c r="M20657" s="24"/>
      <c r="N20657" s="24"/>
      <c r="O20657" s="24"/>
      <c r="P20657" s="24"/>
      <c r="Q20657" s="24"/>
      <c r="R20657" s="24"/>
      <c r="S20657" s="24"/>
      <c r="T20657" s="24"/>
      <c r="U20657" s="24"/>
      <c r="V20657" s="24"/>
      <c r="W20657" s="24"/>
      <c r="X20657" s="24"/>
      <c r="Y20657" s="24"/>
      <c r="Z20657" s="24"/>
      <c r="AA20657" s="24"/>
    </row>
    <row r="20658">
      <c r="A20658" s="24"/>
      <c r="B20658" s="25"/>
      <c r="C20658" s="24"/>
      <c r="D20658" s="26"/>
      <c r="E20658" s="24"/>
      <c r="F20658" s="24"/>
      <c r="G20658" s="24"/>
      <c r="H20658" s="24"/>
      <c r="I20658" s="24"/>
      <c r="J20658" s="24"/>
      <c r="K20658" s="24"/>
      <c r="L20658" s="24"/>
      <c r="M20658" s="24"/>
      <c r="N20658" s="24"/>
      <c r="O20658" s="24"/>
      <c r="P20658" s="24"/>
      <c r="Q20658" s="24"/>
      <c r="R20658" s="24"/>
      <c r="S20658" s="24"/>
      <c r="T20658" s="24"/>
      <c r="U20658" s="24"/>
      <c r="V20658" s="24"/>
      <c r="W20658" s="24"/>
      <c r="X20658" s="24"/>
      <c r="Y20658" s="24"/>
      <c r="Z20658" s="24"/>
      <c r="AA20658" s="24"/>
    </row>
    <row r="20659">
      <c r="A20659" s="24"/>
      <c r="B20659" s="25"/>
      <c r="C20659" s="24"/>
      <c r="D20659" s="26"/>
      <c r="E20659" s="24"/>
      <c r="F20659" s="24"/>
      <c r="G20659" s="24"/>
      <c r="H20659" s="24"/>
      <c r="I20659" s="24"/>
      <c r="J20659" s="24"/>
      <c r="K20659" s="24"/>
      <c r="L20659" s="24"/>
      <c r="M20659" s="24"/>
      <c r="N20659" s="24"/>
      <c r="O20659" s="24"/>
      <c r="P20659" s="24"/>
      <c r="Q20659" s="24"/>
      <c r="R20659" s="24"/>
      <c r="S20659" s="24"/>
      <c r="T20659" s="24"/>
      <c r="U20659" s="24"/>
      <c r="V20659" s="24"/>
      <c r="W20659" s="24"/>
      <c r="X20659" s="24"/>
      <c r="Y20659" s="24"/>
      <c r="Z20659" s="24"/>
      <c r="AA20659" s="24"/>
    </row>
    <row r="20660">
      <c r="A20660" s="24"/>
      <c r="B20660" s="25"/>
      <c r="C20660" s="24"/>
      <c r="D20660" s="26"/>
      <c r="E20660" s="24"/>
      <c r="F20660" s="24"/>
      <c r="G20660" s="24"/>
      <c r="H20660" s="24"/>
      <c r="I20660" s="24"/>
      <c r="J20660" s="24"/>
      <c r="K20660" s="24"/>
      <c r="L20660" s="24"/>
      <c r="M20660" s="24"/>
      <c r="N20660" s="24"/>
      <c r="O20660" s="24"/>
      <c r="P20660" s="24"/>
      <c r="Q20660" s="24"/>
      <c r="R20660" s="24"/>
      <c r="S20660" s="24"/>
      <c r="T20660" s="24"/>
      <c r="U20660" s="24"/>
      <c r="V20660" s="24"/>
      <c r="W20660" s="24"/>
      <c r="X20660" s="24"/>
      <c r="Y20660" s="24"/>
      <c r="Z20660" s="24"/>
      <c r="AA20660" s="24"/>
    </row>
    <row r="20661">
      <c r="A20661" s="24"/>
      <c r="B20661" s="25"/>
      <c r="C20661" s="24"/>
      <c r="D20661" s="26"/>
      <c r="E20661" s="24"/>
      <c r="F20661" s="24"/>
      <c r="G20661" s="24"/>
      <c r="H20661" s="24"/>
      <c r="I20661" s="24"/>
      <c r="J20661" s="24"/>
      <c r="K20661" s="24"/>
      <c r="L20661" s="24"/>
      <c r="M20661" s="24"/>
      <c r="N20661" s="24"/>
      <c r="O20661" s="24"/>
      <c r="P20661" s="24"/>
      <c r="Q20661" s="24"/>
      <c r="R20661" s="24"/>
      <c r="S20661" s="24"/>
      <c r="T20661" s="24"/>
      <c r="U20661" s="24"/>
      <c r="V20661" s="24"/>
      <c r="W20661" s="24"/>
      <c r="X20661" s="24"/>
      <c r="Y20661" s="24"/>
      <c r="Z20661" s="24"/>
      <c r="AA20661" s="24"/>
    </row>
    <row r="20662">
      <c r="A20662" s="24"/>
      <c r="B20662" s="25"/>
      <c r="C20662" s="24"/>
      <c r="D20662" s="26"/>
      <c r="E20662" s="24"/>
      <c r="F20662" s="24"/>
      <c r="G20662" s="24"/>
      <c r="H20662" s="24"/>
      <c r="I20662" s="24"/>
      <c r="J20662" s="24"/>
      <c r="K20662" s="24"/>
      <c r="L20662" s="24"/>
      <c r="M20662" s="24"/>
      <c r="N20662" s="24"/>
      <c r="O20662" s="24"/>
      <c r="P20662" s="24"/>
      <c r="Q20662" s="24"/>
      <c r="R20662" s="24"/>
      <c r="S20662" s="24"/>
      <c r="T20662" s="24"/>
      <c r="U20662" s="24"/>
      <c r="V20662" s="24"/>
      <c r="W20662" s="24"/>
      <c r="X20662" s="24"/>
      <c r="Y20662" s="24"/>
      <c r="Z20662" s="24"/>
      <c r="AA20662" s="24"/>
    </row>
    <row r="20663">
      <c r="A20663" s="24"/>
      <c r="B20663" s="25"/>
      <c r="C20663" s="24"/>
      <c r="D20663" s="26"/>
      <c r="E20663" s="24"/>
      <c r="F20663" s="24"/>
      <c r="G20663" s="24"/>
      <c r="H20663" s="24"/>
      <c r="I20663" s="24"/>
      <c r="J20663" s="24"/>
      <c r="K20663" s="24"/>
      <c r="L20663" s="24"/>
      <c r="M20663" s="24"/>
      <c r="N20663" s="24"/>
      <c r="O20663" s="24"/>
      <c r="P20663" s="24"/>
      <c r="Q20663" s="24"/>
      <c r="R20663" s="24"/>
      <c r="S20663" s="24"/>
      <c r="T20663" s="24"/>
      <c r="U20663" s="24"/>
      <c r="V20663" s="24"/>
      <c r="W20663" s="24"/>
      <c r="X20663" s="24"/>
      <c r="Y20663" s="24"/>
      <c r="Z20663" s="24"/>
      <c r="AA20663" s="24"/>
    </row>
    <row r="20664">
      <c r="A20664" s="24"/>
      <c r="B20664" s="25"/>
      <c r="C20664" s="24"/>
      <c r="D20664" s="26"/>
      <c r="E20664" s="24"/>
      <c r="F20664" s="24"/>
      <c r="G20664" s="24"/>
      <c r="H20664" s="24"/>
      <c r="I20664" s="24"/>
      <c r="J20664" s="24"/>
      <c r="K20664" s="24"/>
      <c r="L20664" s="24"/>
      <c r="M20664" s="24"/>
      <c r="N20664" s="24"/>
      <c r="O20664" s="24"/>
      <c r="P20664" s="24"/>
      <c r="Q20664" s="24"/>
      <c r="R20664" s="24"/>
      <c r="S20664" s="24"/>
      <c r="T20664" s="24"/>
      <c r="U20664" s="24"/>
      <c r="V20664" s="24"/>
      <c r="W20664" s="24"/>
      <c r="X20664" s="24"/>
      <c r="Y20664" s="24"/>
      <c r="Z20664" s="24"/>
      <c r="AA20664" s="24"/>
    </row>
    <row r="20665">
      <c r="A20665" s="24"/>
      <c r="B20665" s="25"/>
      <c r="C20665" s="24"/>
      <c r="D20665" s="26"/>
      <c r="E20665" s="24"/>
      <c r="F20665" s="24"/>
      <c r="G20665" s="24"/>
      <c r="H20665" s="24"/>
      <c r="I20665" s="24"/>
      <c r="J20665" s="24"/>
      <c r="K20665" s="24"/>
      <c r="L20665" s="24"/>
      <c r="M20665" s="24"/>
      <c r="N20665" s="24"/>
      <c r="O20665" s="24"/>
      <c r="P20665" s="24"/>
      <c r="Q20665" s="24"/>
      <c r="R20665" s="24"/>
      <c r="S20665" s="24"/>
      <c r="T20665" s="24"/>
      <c r="U20665" s="24"/>
      <c r="V20665" s="24"/>
      <c r="W20665" s="24"/>
      <c r="X20665" s="24"/>
      <c r="Y20665" s="24"/>
      <c r="Z20665" s="24"/>
      <c r="AA20665" s="24"/>
    </row>
    <row r="20666">
      <c r="A20666" s="24"/>
      <c r="B20666" s="25"/>
      <c r="C20666" s="24"/>
      <c r="D20666" s="26"/>
      <c r="E20666" s="24"/>
      <c r="F20666" s="24"/>
      <c r="G20666" s="24"/>
      <c r="H20666" s="24"/>
      <c r="I20666" s="24"/>
      <c r="J20666" s="24"/>
      <c r="K20666" s="24"/>
      <c r="L20666" s="24"/>
      <c r="M20666" s="24"/>
      <c r="N20666" s="24"/>
      <c r="O20666" s="24"/>
      <c r="P20666" s="24"/>
      <c r="Q20666" s="24"/>
      <c r="R20666" s="24"/>
      <c r="S20666" s="24"/>
      <c r="T20666" s="24"/>
      <c r="U20666" s="24"/>
      <c r="V20666" s="24"/>
      <c r="W20666" s="24"/>
      <c r="X20666" s="24"/>
      <c r="Y20666" s="24"/>
      <c r="Z20666" s="24"/>
      <c r="AA20666" s="24"/>
    </row>
    <row r="20667">
      <c r="A20667" s="24"/>
      <c r="B20667" s="25"/>
      <c r="C20667" s="24"/>
      <c r="D20667" s="26"/>
      <c r="E20667" s="24"/>
      <c r="F20667" s="24"/>
      <c r="G20667" s="24"/>
      <c r="H20667" s="24"/>
      <c r="I20667" s="24"/>
      <c r="J20667" s="24"/>
      <c r="K20667" s="24"/>
      <c r="L20667" s="24"/>
      <c r="M20667" s="24"/>
      <c r="N20667" s="24"/>
      <c r="O20667" s="24"/>
      <c r="P20667" s="24"/>
      <c r="Q20667" s="24"/>
      <c r="R20667" s="24"/>
      <c r="S20667" s="24"/>
      <c r="T20667" s="24"/>
      <c r="U20667" s="24"/>
      <c r="V20667" s="24"/>
      <c r="W20667" s="24"/>
      <c r="X20667" s="24"/>
      <c r="Y20667" s="24"/>
      <c r="Z20667" s="24"/>
      <c r="AA20667" s="24"/>
    </row>
    <row r="20668">
      <c r="A20668" s="24"/>
      <c r="B20668" s="25"/>
      <c r="C20668" s="24"/>
      <c r="D20668" s="26"/>
      <c r="E20668" s="24"/>
      <c r="F20668" s="24"/>
      <c r="G20668" s="24"/>
      <c r="H20668" s="24"/>
      <c r="I20668" s="24"/>
      <c r="J20668" s="24"/>
      <c r="K20668" s="24"/>
      <c r="L20668" s="24"/>
      <c r="M20668" s="24"/>
      <c r="N20668" s="24"/>
      <c r="O20668" s="24"/>
      <c r="P20668" s="24"/>
      <c r="Q20668" s="24"/>
      <c r="R20668" s="24"/>
      <c r="S20668" s="24"/>
      <c r="T20668" s="24"/>
      <c r="U20668" s="24"/>
      <c r="V20668" s="24"/>
      <c r="W20668" s="24"/>
      <c r="X20668" s="24"/>
      <c r="Y20668" s="24"/>
      <c r="Z20668" s="24"/>
      <c r="AA20668" s="24"/>
    </row>
    <row r="20669">
      <c r="A20669" s="24"/>
      <c r="B20669" s="25"/>
      <c r="C20669" s="24"/>
      <c r="D20669" s="26"/>
      <c r="E20669" s="24"/>
      <c r="F20669" s="24"/>
      <c r="G20669" s="24"/>
      <c r="H20669" s="24"/>
      <c r="I20669" s="24"/>
      <c r="J20669" s="24"/>
      <c r="K20669" s="24"/>
      <c r="L20669" s="24"/>
      <c r="M20669" s="24"/>
      <c r="N20669" s="24"/>
      <c r="O20669" s="24"/>
      <c r="P20669" s="24"/>
      <c r="Q20669" s="24"/>
      <c r="R20669" s="24"/>
      <c r="S20669" s="24"/>
      <c r="T20669" s="24"/>
      <c r="U20669" s="24"/>
      <c r="V20669" s="24"/>
      <c r="W20669" s="24"/>
      <c r="X20669" s="24"/>
      <c r="Y20669" s="24"/>
      <c r="Z20669" s="24"/>
      <c r="AA20669" s="24"/>
    </row>
    <row r="20670">
      <c r="A20670" s="24"/>
      <c r="B20670" s="25"/>
      <c r="C20670" s="24"/>
      <c r="D20670" s="26"/>
      <c r="E20670" s="24"/>
      <c r="F20670" s="24"/>
      <c r="G20670" s="24"/>
      <c r="H20670" s="24"/>
      <c r="I20670" s="24"/>
      <c r="J20670" s="24"/>
      <c r="K20670" s="24"/>
      <c r="L20670" s="24"/>
      <c r="M20670" s="24"/>
      <c r="N20670" s="24"/>
      <c r="O20670" s="24"/>
      <c r="P20670" s="24"/>
      <c r="Q20670" s="24"/>
      <c r="R20670" s="24"/>
      <c r="S20670" s="24"/>
      <c r="T20670" s="24"/>
      <c r="U20670" s="24"/>
      <c r="V20670" s="24"/>
      <c r="W20670" s="24"/>
      <c r="X20670" s="24"/>
      <c r="Y20670" s="24"/>
      <c r="Z20670" s="24"/>
      <c r="AA20670" s="24"/>
    </row>
    <row r="20671">
      <c r="A20671" s="24"/>
      <c r="B20671" s="25"/>
      <c r="C20671" s="24"/>
      <c r="D20671" s="26"/>
      <c r="E20671" s="24"/>
      <c r="F20671" s="24"/>
      <c r="G20671" s="24"/>
      <c r="H20671" s="24"/>
      <c r="I20671" s="24"/>
      <c r="J20671" s="24"/>
      <c r="K20671" s="24"/>
      <c r="L20671" s="24"/>
      <c r="M20671" s="24"/>
      <c r="N20671" s="24"/>
      <c r="O20671" s="24"/>
      <c r="P20671" s="24"/>
      <c r="Q20671" s="24"/>
      <c r="R20671" s="24"/>
      <c r="S20671" s="24"/>
      <c r="T20671" s="24"/>
      <c r="U20671" s="24"/>
      <c r="V20671" s="24"/>
      <c r="W20671" s="24"/>
      <c r="X20671" s="24"/>
      <c r="Y20671" s="24"/>
      <c r="Z20671" s="24"/>
      <c r="AA20671" s="24"/>
    </row>
    <row r="20672">
      <c r="A20672" s="24"/>
      <c r="B20672" s="25"/>
      <c r="C20672" s="24"/>
      <c r="D20672" s="26"/>
      <c r="E20672" s="24"/>
      <c r="F20672" s="24"/>
      <c r="G20672" s="24"/>
      <c r="H20672" s="24"/>
      <c r="I20672" s="24"/>
      <c r="J20672" s="24"/>
      <c r="K20672" s="24"/>
      <c r="L20672" s="24"/>
      <c r="M20672" s="24"/>
      <c r="N20672" s="24"/>
      <c r="O20672" s="24"/>
      <c r="P20672" s="24"/>
      <c r="Q20672" s="24"/>
      <c r="R20672" s="24"/>
      <c r="S20672" s="24"/>
      <c r="T20672" s="24"/>
      <c r="U20672" s="24"/>
      <c r="V20672" s="24"/>
      <c r="W20672" s="24"/>
      <c r="X20672" s="24"/>
      <c r="Y20672" s="24"/>
      <c r="Z20672" s="24"/>
      <c r="AA20672" s="24"/>
    </row>
    <row r="20673">
      <c r="A20673" s="24"/>
      <c r="B20673" s="25"/>
      <c r="C20673" s="24"/>
      <c r="D20673" s="26"/>
      <c r="E20673" s="24"/>
      <c r="F20673" s="24"/>
      <c r="G20673" s="24"/>
      <c r="H20673" s="24"/>
      <c r="I20673" s="24"/>
      <c r="J20673" s="24"/>
      <c r="K20673" s="24"/>
      <c r="L20673" s="24"/>
      <c r="M20673" s="24"/>
      <c r="N20673" s="24"/>
      <c r="O20673" s="24"/>
      <c r="P20673" s="24"/>
      <c r="Q20673" s="24"/>
      <c r="R20673" s="24"/>
      <c r="S20673" s="24"/>
      <c r="T20673" s="24"/>
      <c r="U20673" s="24"/>
      <c r="V20673" s="24"/>
      <c r="W20673" s="24"/>
      <c r="X20673" s="24"/>
      <c r="Y20673" s="24"/>
      <c r="Z20673" s="24"/>
      <c r="AA20673" s="24"/>
    </row>
    <row r="20674">
      <c r="A20674" s="24"/>
      <c r="B20674" s="25"/>
      <c r="C20674" s="24"/>
      <c r="D20674" s="26"/>
      <c r="E20674" s="24"/>
      <c r="F20674" s="24"/>
      <c r="G20674" s="24"/>
      <c r="H20674" s="24"/>
      <c r="I20674" s="24"/>
      <c r="J20674" s="24"/>
      <c r="K20674" s="24"/>
      <c r="L20674" s="24"/>
      <c r="M20674" s="24"/>
      <c r="N20674" s="24"/>
      <c r="O20674" s="24"/>
      <c r="P20674" s="24"/>
      <c r="Q20674" s="24"/>
      <c r="R20674" s="24"/>
      <c r="S20674" s="24"/>
      <c r="T20674" s="24"/>
      <c r="U20674" s="24"/>
      <c r="V20674" s="24"/>
      <c r="W20674" s="24"/>
      <c r="X20674" s="24"/>
      <c r="Y20674" s="24"/>
      <c r="Z20674" s="24"/>
      <c r="AA20674" s="24"/>
    </row>
    <row r="20675">
      <c r="A20675" s="24"/>
      <c r="B20675" s="25"/>
      <c r="C20675" s="24"/>
      <c r="D20675" s="26"/>
      <c r="E20675" s="24"/>
      <c r="F20675" s="24"/>
      <c r="G20675" s="24"/>
      <c r="H20675" s="24"/>
      <c r="I20675" s="24"/>
      <c r="J20675" s="24"/>
      <c r="K20675" s="24"/>
      <c r="L20675" s="24"/>
      <c r="M20675" s="24"/>
      <c r="N20675" s="24"/>
      <c r="O20675" s="24"/>
      <c r="P20675" s="24"/>
      <c r="Q20675" s="24"/>
      <c r="R20675" s="24"/>
      <c r="S20675" s="24"/>
      <c r="T20675" s="24"/>
      <c r="U20675" s="24"/>
      <c r="V20675" s="24"/>
      <c r="W20675" s="24"/>
      <c r="X20675" s="24"/>
      <c r="Y20675" s="24"/>
      <c r="Z20675" s="24"/>
      <c r="AA20675" s="24"/>
    </row>
    <row r="20676">
      <c r="A20676" s="24"/>
      <c r="B20676" s="25"/>
      <c r="C20676" s="24"/>
      <c r="D20676" s="26"/>
      <c r="E20676" s="24"/>
      <c r="F20676" s="24"/>
      <c r="G20676" s="24"/>
      <c r="H20676" s="24"/>
      <c r="I20676" s="24"/>
      <c r="J20676" s="24"/>
      <c r="K20676" s="24"/>
      <c r="L20676" s="24"/>
      <c r="M20676" s="24"/>
      <c r="N20676" s="24"/>
      <c r="O20676" s="24"/>
      <c r="P20676" s="24"/>
      <c r="Q20676" s="24"/>
      <c r="R20676" s="24"/>
      <c r="S20676" s="24"/>
      <c r="T20676" s="24"/>
      <c r="U20676" s="24"/>
      <c r="V20676" s="24"/>
      <c r="W20676" s="24"/>
      <c r="X20676" s="24"/>
      <c r="Y20676" s="24"/>
      <c r="Z20676" s="24"/>
      <c r="AA20676" s="24"/>
    </row>
    <row r="20677">
      <c r="A20677" s="24"/>
      <c r="B20677" s="25"/>
      <c r="C20677" s="24"/>
      <c r="D20677" s="26"/>
      <c r="E20677" s="24"/>
      <c r="F20677" s="24"/>
      <c r="G20677" s="24"/>
      <c r="H20677" s="24"/>
      <c r="I20677" s="24"/>
      <c r="J20677" s="24"/>
      <c r="K20677" s="24"/>
      <c r="L20677" s="24"/>
      <c r="M20677" s="24"/>
      <c r="N20677" s="24"/>
      <c r="O20677" s="24"/>
      <c r="P20677" s="24"/>
      <c r="Q20677" s="24"/>
      <c r="R20677" s="24"/>
      <c r="S20677" s="24"/>
      <c r="T20677" s="24"/>
      <c r="U20677" s="24"/>
      <c r="V20677" s="24"/>
      <c r="W20677" s="24"/>
      <c r="X20677" s="24"/>
      <c r="Y20677" s="24"/>
      <c r="Z20677" s="24"/>
      <c r="AA20677" s="24"/>
    </row>
    <row r="20678">
      <c r="A20678" s="24"/>
      <c r="B20678" s="25"/>
      <c r="C20678" s="24"/>
      <c r="D20678" s="26"/>
      <c r="E20678" s="24"/>
      <c r="F20678" s="24"/>
      <c r="G20678" s="24"/>
      <c r="H20678" s="24"/>
      <c r="I20678" s="24"/>
      <c r="J20678" s="24"/>
      <c r="K20678" s="24"/>
      <c r="L20678" s="24"/>
      <c r="M20678" s="24"/>
      <c r="N20678" s="24"/>
      <c r="O20678" s="24"/>
      <c r="P20678" s="24"/>
      <c r="Q20678" s="24"/>
      <c r="R20678" s="24"/>
      <c r="S20678" s="24"/>
      <c r="T20678" s="24"/>
      <c r="U20678" s="24"/>
      <c r="V20678" s="24"/>
      <c r="W20678" s="24"/>
      <c r="X20678" s="24"/>
      <c r="Y20678" s="24"/>
      <c r="Z20678" s="24"/>
      <c r="AA20678" s="24"/>
    </row>
    <row r="20679">
      <c r="A20679" s="24"/>
      <c r="B20679" s="25"/>
      <c r="C20679" s="24"/>
      <c r="D20679" s="26"/>
      <c r="E20679" s="24"/>
      <c r="F20679" s="24"/>
      <c r="G20679" s="24"/>
      <c r="H20679" s="24"/>
      <c r="I20679" s="24"/>
      <c r="J20679" s="24"/>
      <c r="K20679" s="24"/>
      <c r="L20679" s="24"/>
      <c r="M20679" s="24"/>
      <c r="N20679" s="24"/>
      <c r="O20679" s="24"/>
      <c r="P20679" s="24"/>
      <c r="Q20679" s="24"/>
      <c r="R20679" s="24"/>
      <c r="S20679" s="24"/>
      <c r="T20679" s="24"/>
      <c r="U20679" s="24"/>
      <c r="V20679" s="24"/>
      <c r="W20679" s="24"/>
      <c r="X20679" s="24"/>
      <c r="Y20679" s="24"/>
      <c r="Z20679" s="24"/>
      <c r="AA20679" s="24"/>
    </row>
    <row r="20680">
      <c r="A20680" s="24"/>
      <c r="B20680" s="25"/>
      <c r="C20680" s="24"/>
      <c r="D20680" s="26"/>
      <c r="E20680" s="24"/>
      <c r="F20680" s="24"/>
      <c r="G20680" s="24"/>
      <c r="H20680" s="24"/>
      <c r="I20680" s="24"/>
      <c r="J20680" s="24"/>
      <c r="K20680" s="24"/>
      <c r="L20680" s="24"/>
      <c r="M20680" s="24"/>
      <c r="N20680" s="24"/>
      <c r="O20680" s="24"/>
      <c r="P20680" s="24"/>
      <c r="Q20680" s="24"/>
      <c r="R20680" s="24"/>
      <c r="S20680" s="24"/>
      <c r="T20680" s="24"/>
      <c r="U20680" s="24"/>
      <c r="V20680" s="24"/>
      <c r="W20680" s="24"/>
      <c r="X20680" s="24"/>
      <c r="Y20680" s="24"/>
      <c r="Z20680" s="24"/>
      <c r="AA20680" s="24"/>
    </row>
    <row r="20681">
      <c r="A20681" s="24"/>
      <c r="B20681" s="25"/>
      <c r="C20681" s="24"/>
      <c r="D20681" s="26"/>
      <c r="E20681" s="24"/>
      <c r="F20681" s="24"/>
      <c r="G20681" s="24"/>
      <c r="H20681" s="24"/>
      <c r="I20681" s="24"/>
      <c r="J20681" s="24"/>
      <c r="K20681" s="24"/>
      <c r="L20681" s="24"/>
      <c r="M20681" s="24"/>
      <c r="N20681" s="24"/>
      <c r="O20681" s="24"/>
      <c r="P20681" s="24"/>
      <c r="Q20681" s="24"/>
      <c r="R20681" s="24"/>
      <c r="S20681" s="24"/>
      <c r="T20681" s="24"/>
      <c r="U20681" s="24"/>
      <c r="V20681" s="24"/>
      <c r="W20681" s="24"/>
      <c r="X20681" s="24"/>
      <c r="Y20681" s="24"/>
      <c r="Z20681" s="24"/>
      <c r="AA20681" s="24"/>
    </row>
    <row r="20682">
      <c r="A20682" s="24"/>
      <c r="B20682" s="25"/>
      <c r="C20682" s="24"/>
      <c r="D20682" s="26"/>
      <c r="E20682" s="24"/>
      <c r="F20682" s="24"/>
      <c r="G20682" s="24"/>
      <c r="H20682" s="24"/>
      <c r="I20682" s="24"/>
      <c r="J20682" s="24"/>
      <c r="K20682" s="24"/>
      <c r="L20682" s="24"/>
      <c r="M20682" s="24"/>
      <c r="N20682" s="24"/>
      <c r="O20682" s="24"/>
      <c r="P20682" s="24"/>
      <c r="Q20682" s="24"/>
      <c r="R20682" s="24"/>
      <c r="S20682" s="24"/>
      <c r="T20682" s="24"/>
      <c r="U20682" s="24"/>
      <c r="V20682" s="24"/>
      <c r="W20682" s="24"/>
      <c r="X20682" s="24"/>
      <c r="Y20682" s="24"/>
      <c r="Z20682" s="24"/>
      <c r="AA20682" s="24"/>
    </row>
    <row r="20683">
      <c r="A20683" s="24"/>
      <c r="B20683" s="25"/>
      <c r="C20683" s="24"/>
      <c r="D20683" s="26"/>
      <c r="E20683" s="24"/>
      <c r="F20683" s="24"/>
      <c r="G20683" s="24"/>
      <c r="H20683" s="24"/>
      <c r="I20683" s="24"/>
      <c r="J20683" s="24"/>
      <c r="K20683" s="24"/>
      <c r="L20683" s="24"/>
      <c r="M20683" s="24"/>
      <c r="N20683" s="24"/>
      <c r="O20683" s="24"/>
      <c r="P20683" s="24"/>
      <c r="Q20683" s="24"/>
      <c r="R20683" s="24"/>
      <c r="S20683" s="24"/>
      <c r="T20683" s="24"/>
      <c r="U20683" s="24"/>
      <c r="V20683" s="24"/>
      <c r="W20683" s="24"/>
      <c r="X20683" s="24"/>
      <c r="Y20683" s="24"/>
      <c r="Z20683" s="24"/>
      <c r="AA20683" s="24"/>
    </row>
    <row r="20684">
      <c r="A20684" s="24"/>
      <c r="B20684" s="25"/>
      <c r="C20684" s="24"/>
      <c r="D20684" s="26"/>
      <c r="E20684" s="24"/>
      <c r="F20684" s="24"/>
      <c r="G20684" s="24"/>
      <c r="H20684" s="24"/>
      <c r="I20684" s="24"/>
      <c r="J20684" s="24"/>
      <c r="K20684" s="24"/>
      <c r="L20684" s="24"/>
      <c r="M20684" s="24"/>
      <c r="N20684" s="24"/>
      <c r="O20684" s="24"/>
      <c r="P20684" s="24"/>
      <c r="Q20684" s="24"/>
      <c r="R20684" s="24"/>
      <c r="S20684" s="24"/>
      <c r="T20684" s="24"/>
      <c r="U20684" s="24"/>
      <c r="V20684" s="24"/>
      <c r="W20684" s="24"/>
      <c r="X20684" s="24"/>
      <c r="Y20684" s="24"/>
      <c r="Z20684" s="24"/>
      <c r="AA20684" s="24"/>
    </row>
    <row r="20685">
      <c r="A20685" s="24"/>
      <c r="B20685" s="25"/>
      <c r="C20685" s="24"/>
      <c r="D20685" s="26"/>
      <c r="E20685" s="24"/>
      <c r="F20685" s="24"/>
      <c r="G20685" s="24"/>
      <c r="H20685" s="24"/>
      <c r="I20685" s="24"/>
      <c r="J20685" s="24"/>
      <c r="K20685" s="24"/>
      <c r="L20685" s="24"/>
      <c r="M20685" s="24"/>
      <c r="N20685" s="24"/>
      <c r="O20685" s="24"/>
      <c r="P20685" s="24"/>
      <c r="Q20685" s="24"/>
      <c r="R20685" s="24"/>
      <c r="S20685" s="24"/>
      <c r="T20685" s="24"/>
      <c r="U20685" s="24"/>
      <c r="V20685" s="24"/>
      <c r="W20685" s="24"/>
      <c r="X20685" s="24"/>
      <c r="Y20685" s="24"/>
      <c r="Z20685" s="24"/>
      <c r="AA20685" s="24"/>
    </row>
    <row r="20686">
      <c r="A20686" s="24"/>
      <c r="B20686" s="25"/>
      <c r="C20686" s="24"/>
      <c r="D20686" s="26"/>
      <c r="E20686" s="24"/>
      <c r="F20686" s="24"/>
      <c r="G20686" s="24"/>
      <c r="H20686" s="24"/>
      <c r="I20686" s="24"/>
      <c r="J20686" s="24"/>
      <c r="K20686" s="24"/>
      <c r="L20686" s="24"/>
      <c r="M20686" s="24"/>
      <c r="N20686" s="24"/>
      <c r="O20686" s="24"/>
      <c r="P20686" s="24"/>
      <c r="Q20686" s="24"/>
      <c r="R20686" s="24"/>
      <c r="S20686" s="24"/>
      <c r="T20686" s="24"/>
      <c r="U20686" s="24"/>
      <c r="V20686" s="24"/>
      <c r="W20686" s="24"/>
      <c r="X20686" s="24"/>
      <c r="Y20686" s="24"/>
      <c r="Z20686" s="24"/>
      <c r="AA20686" s="24"/>
    </row>
    <row r="20687">
      <c r="A20687" s="24"/>
      <c r="B20687" s="25"/>
      <c r="C20687" s="24"/>
      <c r="D20687" s="26"/>
      <c r="E20687" s="24"/>
      <c r="F20687" s="24"/>
      <c r="G20687" s="24"/>
      <c r="H20687" s="24"/>
      <c r="I20687" s="24"/>
      <c r="J20687" s="24"/>
      <c r="K20687" s="24"/>
      <c r="L20687" s="24"/>
      <c r="M20687" s="24"/>
      <c r="N20687" s="24"/>
      <c r="O20687" s="24"/>
      <c r="P20687" s="24"/>
      <c r="Q20687" s="24"/>
      <c r="R20687" s="24"/>
      <c r="S20687" s="24"/>
      <c r="T20687" s="24"/>
      <c r="U20687" s="24"/>
      <c r="V20687" s="24"/>
      <c r="W20687" s="24"/>
      <c r="X20687" s="24"/>
      <c r="Y20687" s="24"/>
      <c r="Z20687" s="24"/>
      <c r="AA20687" s="24"/>
    </row>
    <row r="20688">
      <c r="A20688" s="24"/>
      <c r="B20688" s="25"/>
      <c r="C20688" s="24"/>
      <c r="D20688" s="26"/>
      <c r="E20688" s="24"/>
      <c r="F20688" s="24"/>
      <c r="G20688" s="24"/>
      <c r="H20688" s="24"/>
      <c r="I20688" s="24"/>
      <c r="J20688" s="24"/>
      <c r="K20688" s="24"/>
      <c r="L20688" s="24"/>
      <c r="M20688" s="24"/>
      <c r="N20688" s="24"/>
      <c r="O20688" s="24"/>
      <c r="P20688" s="24"/>
      <c r="Q20688" s="24"/>
      <c r="R20688" s="24"/>
      <c r="S20688" s="24"/>
      <c r="T20688" s="24"/>
      <c r="U20688" s="24"/>
      <c r="V20688" s="24"/>
      <c r="W20688" s="24"/>
      <c r="X20688" s="24"/>
      <c r="Y20688" s="24"/>
      <c r="Z20688" s="24"/>
      <c r="AA20688" s="24"/>
    </row>
    <row r="20689">
      <c r="A20689" s="24"/>
      <c r="B20689" s="25"/>
      <c r="C20689" s="24"/>
      <c r="D20689" s="26"/>
      <c r="E20689" s="24"/>
      <c r="F20689" s="24"/>
      <c r="G20689" s="24"/>
      <c r="H20689" s="24"/>
      <c r="I20689" s="24"/>
      <c r="J20689" s="24"/>
      <c r="K20689" s="24"/>
      <c r="L20689" s="24"/>
      <c r="M20689" s="24"/>
      <c r="N20689" s="24"/>
      <c r="O20689" s="24"/>
      <c r="P20689" s="24"/>
      <c r="Q20689" s="24"/>
      <c r="R20689" s="24"/>
      <c r="S20689" s="24"/>
      <c r="T20689" s="24"/>
      <c r="U20689" s="24"/>
      <c r="V20689" s="24"/>
      <c r="W20689" s="24"/>
      <c r="X20689" s="24"/>
      <c r="Y20689" s="24"/>
      <c r="Z20689" s="24"/>
      <c r="AA20689" s="24"/>
    </row>
    <row r="20690">
      <c r="A20690" s="24"/>
      <c r="B20690" s="25"/>
      <c r="C20690" s="24"/>
      <c r="D20690" s="26"/>
      <c r="E20690" s="24"/>
      <c r="F20690" s="24"/>
      <c r="G20690" s="24"/>
      <c r="H20690" s="24"/>
      <c r="I20690" s="24"/>
      <c r="J20690" s="24"/>
      <c r="K20690" s="24"/>
      <c r="L20690" s="24"/>
      <c r="M20690" s="24"/>
      <c r="N20690" s="24"/>
      <c r="O20690" s="24"/>
      <c r="P20690" s="24"/>
      <c r="Q20690" s="24"/>
      <c r="R20690" s="24"/>
      <c r="S20690" s="24"/>
      <c r="T20690" s="24"/>
      <c r="U20690" s="24"/>
      <c r="V20690" s="24"/>
      <c r="W20690" s="24"/>
      <c r="X20690" s="24"/>
      <c r="Y20690" s="24"/>
      <c r="Z20690" s="24"/>
      <c r="AA20690" s="24"/>
    </row>
    <row r="20691">
      <c r="A20691" s="24"/>
      <c r="B20691" s="25"/>
      <c r="C20691" s="24"/>
      <c r="D20691" s="26"/>
      <c r="E20691" s="24"/>
      <c r="F20691" s="24"/>
      <c r="G20691" s="24"/>
      <c r="H20691" s="24"/>
      <c r="I20691" s="24"/>
      <c r="J20691" s="24"/>
      <c r="K20691" s="24"/>
      <c r="L20691" s="24"/>
      <c r="M20691" s="24"/>
      <c r="N20691" s="24"/>
      <c r="O20691" s="24"/>
      <c r="P20691" s="24"/>
      <c r="Q20691" s="24"/>
      <c r="R20691" s="24"/>
      <c r="S20691" s="24"/>
      <c r="T20691" s="24"/>
      <c r="U20691" s="24"/>
      <c r="V20691" s="24"/>
      <c r="W20691" s="24"/>
      <c r="X20691" s="24"/>
      <c r="Y20691" s="24"/>
      <c r="Z20691" s="24"/>
      <c r="AA20691" s="24"/>
    </row>
    <row r="20692">
      <c r="A20692" s="24"/>
      <c r="B20692" s="25"/>
      <c r="C20692" s="24"/>
      <c r="D20692" s="26"/>
      <c r="E20692" s="24"/>
      <c r="F20692" s="24"/>
      <c r="G20692" s="24"/>
      <c r="H20692" s="24"/>
      <c r="I20692" s="24"/>
      <c r="J20692" s="24"/>
      <c r="K20692" s="24"/>
      <c r="L20692" s="24"/>
      <c r="M20692" s="24"/>
      <c r="N20692" s="24"/>
      <c r="O20692" s="24"/>
      <c r="P20692" s="24"/>
      <c r="Q20692" s="24"/>
      <c r="R20692" s="24"/>
      <c r="S20692" s="24"/>
      <c r="T20692" s="24"/>
      <c r="U20692" s="24"/>
      <c r="V20692" s="24"/>
      <c r="W20692" s="24"/>
      <c r="X20692" s="24"/>
      <c r="Y20692" s="24"/>
      <c r="Z20692" s="24"/>
      <c r="AA20692" s="24"/>
    </row>
    <row r="20693">
      <c r="A20693" s="24"/>
      <c r="B20693" s="25"/>
      <c r="C20693" s="24"/>
      <c r="D20693" s="26"/>
      <c r="E20693" s="24"/>
      <c r="F20693" s="24"/>
      <c r="G20693" s="24"/>
      <c r="H20693" s="24"/>
      <c r="I20693" s="24"/>
      <c r="J20693" s="24"/>
      <c r="K20693" s="24"/>
      <c r="L20693" s="24"/>
      <c r="M20693" s="24"/>
      <c r="N20693" s="24"/>
      <c r="O20693" s="24"/>
      <c r="P20693" s="24"/>
      <c r="Q20693" s="24"/>
      <c r="R20693" s="24"/>
      <c r="S20693" s="24"/>
      <c r="T20693" s="24"/>
      <c r="U20693" s="24"/>
      <c r="V20693" s="24"/>
      <c r="W20693" s="24"/>
      <c r="X20693" s="24"/>
      <c r="Y20693" s="24"/>
      <c r="Z20693" s="24"/>
      <c r="AA20693" s="24"/>
    </row>
    <row r="20694">
      <c r="A20694" s="24"/>
      <c r="B20694" s="25"/>
      <c r="C20694" s="24"/>
      <c r="D20694" s="26"/>
      <c r="E20694" s="24"/>
      <c r="F20694" s="24"/>
      <c r="G20694" s="24"/>
      <c r="H20694" s="24"/>
      <c r="I20694" s="24"/>
      <c r="J20694" s="24"/>
      <c r="K20694" s="24"/>
      <c r="L20694" s="24"/>
      <c r="M20694" s="24"/>
      <c r="N20694" s="24"/>
      <c r="O20694" s="24"/>
      <c r="P20694" s="24"/>
      <c r="Q20694" s="24"/>
      <c r="R20694" s="24"/>
      <c r="S20694" s="24"/>
      <c r="T20694" s="24"/>
      <c r="U20694" s="24"/>
      <c r="V20694" s="24"/>
      <c r="W20694" s="24"/>
      <c r="X20694" s="24"/>
      <c r="Y20694" s="24"/>
      <c r="Z20694" s="24"/>
      <c r="AA20694" s="24"/>
    </row>
    <row r="20695">
      <c r="A20695" s="24"/>
      <c r="B20695" s="25"/>
      <c r="C20695" s="24"/>
      <c r="D20695" s="26"/>
      <c r="E20695" s="24"/>
      <c r="F20695" s="24"/>
      <c r="G20695" s="24"/>
      <c r="H20695" s="24"/>
      <c r="I20695" s="24"/>
      <c r="J20695" s="24"/>
      <c r="K20695" s="24"/>
      <c r="L20695" s="24"/>
      <c r="M20695" s="24"/>
      <c r="N20695" s="24"/>
      <c r="O20695" s="24"/>
      <c r="P20695" s="24"/>
      <c r="Q20695" s="24"/>
      <c r="R20695" s="24"/>
      <c r="S20695" s="24"/>
      <c r="T20695" s="24"/>
      <c r="U20695" s="24"/>
      <c r="V20695" s="24"/>
      <c r="W20695" s="24"/>
      <c r="X20695" s="24"/>
      <c r="Y20695" s="24"/>
      <c r="Z20695" s="24"/>
      <c r="AA20695" s="24"/>
    </row>
    <row r="20696">
      <c r="A20696" s="24"/>
      <c r="B20696" s="25"/>
      <c r="C20696" s="24"/>
      <c r="D20696" s="26"/>
      <c r="E20696" s="24"/>
      <c r="F20696" s="24"/>
      <c r="G20696" s="24"/>
      <c r="H20696" s="24"/>
      <c r="I20696" s="24"/>
      <c r="J20696" s="24"/>
      <c r="K20696" s="24"/>
      <c r="L20696" s="24"/>
      <c r="M20696" s="24"/>
      <c r="N20696" s="24"/>
      <c r="O20696" s="24"/>
      <c r="P20696" s="24"/>
      <c r="Q20696" s="24"/>
      <c r="R20696" s="24"/>
      <c r="S20696" s="24"/>
      <c r="T20696" s="24"/>
      <c r="U20696" s="24"/>
      <c r="V20696" s="24"/>
      <c r="W20696" s="24"/>
      <c r="X20696" s="24"/>
      <c r="Y20696" s="24"/>
      <c r="Z20696" s="24"/>
      <c r="AA20696" s="24"/>
    </row>
    <row r="20697">
      <c r="A20697" s="24"/>
      <c r="B20697" s="25"/>
      <c r="C20697" s="24"/>
      <c r="D20697" s="26"/>
      <c r="E20697" s="24"/>
      <c r="F20697" s="24"/>
      <c r="G20697" s="24"/>
      <c r="H20697" s="24"/>
      <c r="I20697" s="24"/>
      <c r="J20697" s="24"/>
      <c r="K20697" s="24"/>
      <c r="L20697" s="24"/>
      <c r="M20697" s="24"/>
      <c r="N20697" s="24"/>
      <c r="O20697" s="24"/>
      <c r="P20697" s="24"/>
      <c r="Q20697" s="24"/>
      <c r="R20697" s="24"/>
      <c r="S20697" s="24"/>
      <c r="T20697" s="24"/>
      <c r="U20697" s="24"/>
      <c r="V20697" s="24"/>
      <c r="W20697" s="24"/>
      <c r="X20697" s="24"/>
      <c r="Y20697" s="24"/>
      <c r="Z20697" s="24"/>
      <c r="AA20697" s="24"/>
    </row>
    <row r="20698">
      <c r="A20698" s="24"/>
      <c r="B20698" s="25"/>
      <c r="C20698" s="24"/>
      <c r="D20698" s="26"/>
      <c r="E20698" s="24"/>
      <c r="F20698" s="24"/>
      <c r="G20698" s="24"/>
      <c r="H20698" s="24"/>
      <c r="I20698" s="24"/>
      <c r="J20698" s="24"/>
      <c r="K20698" s="24"/>
      <c r="L20698" s="24"/>
      <c r="M20698" s="24"/>
      <c r="N20698" s="24"/>
      <c r="O20698" s="24"/>
      <c r="P20698" s="24"/>
      <c r="Q20698" s="24"/>
      <c r="R20698" s="24"/>
      <c r="S20698" s="24"/>
      <c r="T20698" s="24"/>
      <c r="U20698" s="24"/>
      <c r="V20698" s="24"/>
      <c r="W20698" s="24"/>
      <c r="X20698" s="24"/>
      <c r="Y20698" s="24"/>
      <c r="Z20698" s="24"/>
      <c r="AA20698" s="24"/>
    </row>
    <row r="20699">
      <c r="A20699" s="24"/>
      <c r="B20699" s="25"/>
      <c r="C20699" s="24"/>
      <c r="D20699" s="26"/>
      <c r="E20699" s="24"/>
      <c r="F20699" s="24"/>
      <c r="G20699" s="24"/>
      <c r="H20699" s="24"/>
      <c r="I20699" s="24"/>
      <c r="J20699" s="24"/>
      <c r="K20699" s="24"/>
      <c r="L20699" s="24"/>
      <c r="M20699" s="24"/>
      <c r="N20699" s="24"/>
      <c r="O20699" s="24"/>
      <c r="P20699" s="24"/>
      <c r="Q20699" s="24"/>
      <c r="R20699" s="24"/>
      <c r="S20699" s="24"/>
      <c r="T20699" s="24"/>
      <c r="U20699" s="24"/>
      <c r="V20699" s="24"/>
      <c r="W20699" s="24"/>
      <c r="X20699" s="24"/>
      <c r="Y20699" s="24"/>
      <c r="Z20699" s="24"/>
      <c r="AA20699" s="24"/>
    </row>
    <row r="20700">
      <c r="A20700" s="24"/>
      <c r="B20700" s="25"/>
      <c r="C20700" s="24"/>
      <c r="D20700" s="26"/>
      <c r="E20700" s="24"/>
      <c r="F20700" s="24"/>
      <c r="G20700" s="24"/>
      <c r="H20700" s="24"/>
      <c r="I20700" s="24"/>
      <c r="J20700" s="24"/>
      <c r="K20700" s="24"/>
      <c r="L20700" s="24"/>
      <c r="M20700" s="24"/>
      <c r="N20700" s="24"/>
      <c r="O20700" s="24"/>
      <c r="P20700" s="24"/>
      <c r="Q20700" s="24"/>
      <c r="R20700" s="24"/>
      <c r="S20700" s="24"/>
      <c r="T20700" s="24"/>
      <c r="U20700" s="24"/>
      <c r="V20700" s="24"/>
      <c r="W20700" s="24"/>
      <c r="X20700" s="24"/>
      <c r="Y20700" s="24"/>
      <c r="Z20700" s="24"/>
      <c r="AA20700" s="24"/>
    </row>
    <row r="20701">
      <c r="A20701" s="24"/>
      <c r="B20701" s="25"/>
      <c r="C20701" s="24"/>
      <c r="D20701" s="26"/>
      <c r="E20701" s="24"/>
      <c r="F20701" s="24"/>
      <c r="G20701" s="24"/>
      <c r="H20701" s="24"/>
      <c r="I20701" s="24"/>
      <c r="J20701" s="24"/>
      <c r="K20701" s="24"/>
      <c r="L20701" s="24"/>
      <c r="M20701" s="24"/>
      <c r="N20701" s="24"/>
      <c r="O20701" s="24"/>
      <c r="P20701" s="24"/>
      <c r="Q20701" s="24"/>
      <c r="R20701" s="24"/>
      <c r="S20701" s="24"/>
      <c r="T20701" s="24"/>
      <c r="U20701" s="24"/>
      <c r="V20701" s="24"/>
      <c r="W20701" s="24"/>
      <c r="X20701" s="24"/>
      <c r="Y20701" s="24"/>
      <c r="Z20701" s="24"/>
      <c r="AA20701" s="24"/>
    </row>
    <row r="20702">
      <c r="A20702" s="24"/>
      <c r="B20702" s="25"/>
      <c r="C20702" s="24"/>
      <c r="D20702" s="26"/>
      <c r="E20702" s="24"/>
      <c r="F20702" s="24"/>
      <c r="G20702" s="24"/>
      <c r="H20702" s="24"/>
      <c r="I20702" s="24"/>
      <c r="J20702" s="24"/>
      <c r="K20702" s="24"/>
      <c r="L20702" s="24"/>
      <c r="M20702" s="24"/>
      <c r="N20702" s="24"/>
      <c r="O20702" s="24"/>
      <c r="P20702" s="24"/>
      <c r="Q20702" s="24"/>
      <c r="R20702" s="24"/>
      <c r="S20702" s="24"/>
      <c r="T20702" s="24"/>
      <c r="U20702" s="24"/>
      <c r="V20702" s="24"/>
      <c r="W20702" s="24"/>
      <c r="X20702" s="24"/>
      <c r="Y20702" s="24"/>
      <c r="Z20702" s="24"/>
      <c r="AA20702" s="24"/>
    </row>
    <row r="20703">
      <c r="A20703" s="24"/>
      <c r="B20703" s="25"/>
      <c r="C20703" s="24"/>
      <c r="D20703" s="26"/>
      <c r="E20703" s="24"/>
      <c r="F20703" s="24"/>
      <c r="G20703" s="24"/>
      <c r="H20703" s="24"/>
      <c r="I20703" s="24"/>
      <c r="J20703" s="24"/>
      <c r="K20703" s="24"/>
      <c r="L20703" s="24"/>
      <c r="M20703" s="24"/>
      <c r="N20703" s="24"/>
      <c r="O20703" s="24"/>
      <c r="P20703" s="24"/>
      <c r="Q20703" s="24"/>
      <c r="R20703" s="24"/>
      <c r="S20703" s="24"/>
      <c r="T20703" s="24"/>
      <c r="U20703" s="24"/>
      <c r="V20703" s="24"/>
      <c r="W20703" s="24"/>
      <c r="X20703" s="24"/>
      <c r="Y20703" s="24"/>
      <c r="Z20703" s="24"/>
      <c r="AA20703" s="24"/>
    </row>
    <row r="20704">
      <c r="A20704" s="24"/>
      <c r="B20704" s="25"/>
      <c r="C20704" s="24"/>
      <c r="D20704" s="26"/>
      <c r="E20704" s="24"/>
      <c r="F20704" s="24"/>
      <c r="G20704" s="24"/>
      <c r="H20704" s="24"/>
      <c r="I20704" s="24"/>
      <c r="J20704" s="24"/>
      <c r="K20704" s="24"/>
      <c r="L20704" s="24"/>
      <c r="M20704" s="24"/>
      <c r="N20704" s="24"/>
      <c r="O20704" s="24"/>
      <c r="P20704" s="24"/>
      <c r="Q20704" s="24"/>
      <c r="R20704" s="24"/>
      <c r="S20704" s="24"/>
      <c r="T20704" s="24"/>
      <c r="U20704" s="24"/>
      <c r="V20704" s="24"/>
      <c r="W20704" s="24"/>
      <c r="X20704" s="24"/>
      <c r="Y20704" s="24"/>
      <c r="Z20704" s="24"/>
      <c r="AA20704" s="24"/>
    </row>
    <row r="20705">
      <c r="A20705" s="24"/>
      <c r="B20705" s="25"/>
      <c r="C20705" s="24"/>
      <c r="D20705" s="26"/>
      <c r="E20705" s="24"/>
      <c r="F20705" s="24"/>
      <c r="G20705" s="24"/>
      <c r="H20705" s="24"/>
      <c r="I20705" s="24"/>
      <c r="J20705" s="24"/>
      <c r="K20705" s="24"/>
      <c r="L20705" s="24"/>
      <c r="M20705" s="24"/>
      <c r="N20705" s="24"/>
      <c r="O20705" s="24"/>
      <c r="P20705" s="24"/>
      <c r="Q20705" s="24"/>
      <c r="R20705" s="24"/>
      <c r="S20705" s="24"/>
      <c r="T20705" s="24"/>
      <c r="U20705" s="24"/>
      <c r="V20705" s="24"/>
      <c r="W20705" s="24"/>
      <c r="X20705" s="24"/>
      <c r="Y20705" s="24"/>
      <c r="Z20705" s="24"/>
      <c r="AA20705" s="24"/>
    </row>
    <row r="20706">
      <c r="A20706" s="24"/>
      <c r="B20706" s="25"/>
      <c r="C20706" s="24"/>
      <c r="D20706" s="26"/>
      <c r="E20706" s="24"/>
      <c r="F20706" s="24"/>
      <c r="G20706" s="24"/>
      <c r="H20706" s="24"/>
      <c r="I20706" s="24"/>
      <c r="J20706" s="24"/>
      <c r="K20706" s="24"/>
      <c r="L20706" s="24"/>
      <c r="M20706" s="24"/>
      <c r="N20706" s="24"/>
      <c r="O20706" s="24"/>
      <c r="P20706" s="24"/>
      <c r="Q20706" s="24"/>
      <c r="R20706" s="24"/>
      <c r="S20706" s="24"/>
      <c r="T20706" s="24"/>
      <c r="U20706" s="24"/>
      <c r="V20706" s="24"/>
      <c r="W20706" s="24"/>
      <c r="X20706" s="24"/>
      <c r="Y20706" s="24"/>
      <c r="Z20706" s="24"/>
      <c r="AA20706" s="24"/>
    </row>
    <row r="20707">
      <c r="A20707" s="24"/>
      <c r="B20707" s="25"/>
      <c r="C20707" s="24"/>
      <c r="D20707" s="26"/>
      <c r="E20707" s="24"/>
      <c r="F20707" s="24"/>
      <c r="G20707" s="24"/>
      <c r="H20707" s="24"/>
      <c r="I20707" s="24"/>
      <c r="J20707" s="24"/>
      <c r="K20707" s="24"/>
      <c r="L20707" s="24"/>
      <c r="M20707" s="24"/>
      <c r="N20707" s="24"/>
      <c r="O20707" s="24"/>
      <c r="P20707" s="24"/>
      <c r="Q20707" s="24"/>
      <c r="R20707" s="24"/>
      <c r="S20707" s="24"/>
      <c r="T20707" s="24"/>
      <c r="U20707" s="24"/>
      <c r="V20707" s="24"/>
      <c r="W20707" s="24"/>
      <c r="X20707" s="24"/>
      <c r="Y20707" s="24"/>
      <c r="Z20707" s="24"/>
      <c r="AA20707" s="24"/>
    </row>
    <row r="20708">
      <c r="A20708" s="24"/>
      <c r="B20708" s="25"/>
      <c r="C20708" s="24"/>
      <c r="D20708" s="26"/>
      <c r="E20708" s="24"/>
      <c r="F20708" s="24"/>
      <c r="G20708" s="24"/>
      <c r="H20708" s="24"/>
      <c r="I20708" s="24"/>
      <c r="J20708" s="24"/>
      <c r="K20708" s="24"/>
      <c r="L20708" s="24"/>
      <c r="M20708" s="24"/>
      <c r="N20708" s="24"/>
      <c r="O20708" s="24"/>
      <c r="P20708" s="24"/>
      <c r="Q20708" s="24"/>
      <c r="R20708" s="24"/>
      <c r="S20708" s="24"/>
      <c r="T20708" s="24"/>
      <c r="U20708" s="24"/>
      <c r="V20708" s="24"/>
      <c r="W20708" s="24"/>
      <c r="X20708" s="24"/>
      <c r="Y20708" s="24"/>
      <c r="Z20708" s="24"/>
      <c r="AA20708" s="24"/>
    </row>
    <row r="20709">
      <c r="A20709" s="24"/>
      <c r="B20709" s="25"/>
      <c r="C20709" s="24"/>
      <c r="D20709" s="26"/>
      <c r="E20709" s="24"/>
      <c r="F20709" s="24"/>
      <c r="G20709" s="24"/>
      <c r="H20709" s="24"/>
      <c r="I20709" s="24"/>
      <c r="J20709" s="24"/>
      <c r="K20709" s="24"/>
      <c r="L20709" s="24"/>
      <c r="M20709" s="24"/>
      <c r="N20709" s="24"/>
      <c r="O20709" s="24"/>
      <c r="P20709" s="24"/>
      <c r="Q20709" s="24"/>
      <c r="R20709" s="24"/>
      <c r="S20709" s="24"/>
      <c r="T20709" s="24"/>
      <c r="U20709" s="24"/>
      <c r="V20709" s="24"/>
      <c r="W20709" s="24"/>
      <c r="X20709" s="24"/>
      <c r="Y20709" s="24"/>
      <c r="Z20709" s="24"/>
      <c r="AA20709" s="24"/>
    </row>
    <row r="20710">
      <c r="A20710" s="24"/>
      <c r="B20710" s="25"/>
      <c r="C20710" s="24"/>
      <c r="D20710" s="26"/>
      <c r="E20710" s="24"/>
      <c r="F20710" s="24"/>
      <c r="G20710" s="24"/>
      <c r="H20710" s="24"/>
      <c r="I20710" s="24"/>
      <c r="J20710" s="24"/>
      <c r="K20710" s="24"/>
      <c r="L20710" s="24"/>
      <c r="M20710" s="24"/>
      <c r="N20710" s="24"/>
      <c r="O20710" s="24"/>
      <c r="P20710" s="24"/>
      <c r="Q20710" s="24"/>
      <c r="R20710" s="24"/>
      <c r="S20710" s="24"/>
      <c r="T20710" s="24"/>
      <c r="U20710" s="24"/>
      <c r="V20710" s="24"/>
      <c r="W20710" s="24"/>
      <c r="X20710" s="24"/>
      <c r="Y20710" s="24"/>
      <c r="Z20710" s="24"/>
      <c r="AA20710" s="24"/>
    </row>
    <row r="20711">
      <c r="A20711" s="24"/>
      <c r="B20711" s="25"/>
      <c r="C20711" s="24"/>
      <c r="D20711" s="26"/>
      <c r="E20711" s="24"/>
      <c r="F20711" s="24"/>
      <c r="G20711" s="24"/>
      <c r="H20711" s="24"/>
      <c r="I20711" s="24"/>
      <c r="J20711" s="24"/>
      <c r="K20711" s="24"/>
      <c r="L20711" s="24"/>
      <c r="M20711" s="24"/>
      <c r="N20711" s="24"/>
      <c r="O20711" s="24"/>
      <c r="P20711" s="24"/>
      <c r="Q20711" s="24"/>
      <c r="R20711" s="24"/>
      <c r="S20711" s="24"/>
      <c r="T20711" s="24"/>
      <c r="U20711" s="24"/>
      <c r="V20711" s="24"/>
      <c r="W20711" s="24"/>
      <c r="X20711" s="24"/>
      <c r="Y20711" s="24"/>
      <c r="Z20711" s="24"/>
      <c r="AA20711" s="24"/>
    </row>
    <row r="20712">
      <c r="A20712" s="24"/>
      <c r="B20712" s="25"/>
      <c r="C20712" s="24"/>
      <c r="D20712" s="26"/>
      <c r="E20712" s="24"/>
      <c r="F20712" s="24"/>
      <c r="G20712" s="24"/>
      <c r="H20712" s="24"/>
      <c r="I20712" s="24"/>
      <c r="J20712" s="24"/>
      <c r="K20712" s="24"/>
      <c r="L20712" s="24"/>
      <c r="M20712" s="24"/>
      <c r="N20712" s="24"/>
      <c r="O20712" s="24"/>
      <c r="P20712" s="24"/>
      <c r="Q20712" s="24"/>
      <c r="R20712" s="24"/>
      <c r="S20712" s="24"/>
      <c r="T20712" s="24"/>
      <c r="U20712" s="24"/>
      <c r="V20712" s="24"/>
      <c r="W20712" s="24"/>
      <c r="X20712" s="24"/>
      <c r="Y20712" s="24"/>
      <c r="Z20712" s="24"/>
      <c r="AA20712" s="24"/>
    </row>
    <row r="20713">
      <c r="A20713" s="24"/>
      <c r="B20713" s="25"/>
      <c r="C20713" s="24"/>
      <c r="D20713" s="26"/>
      <c r="E20713" s="24"/>
      <c r="F20713" s="24"/>
      <c r="G20713" s="24"/>
      <c r="H20713" s="24"/>
      <c r="I20713" s="24"/>
      <c r="J20713" s="24"/>
      <c r="K20713" s="24"/>
      <c r="L20713" s="24"/>
      <c r="M20713" s="24"/>
      <c r="N20713" s="24"/>
      <c r="O20713" s="24"/>
      <c r="P20713" s="24"/>
      <c r="Q20713" s="24"/>
      <c r="R20713" s="24"/>
      <c r="S20713" s="24"/>
      <c r="T20713" s="24"/>
      <c r="U20713" s="24"/>
      <c r="V20713" s="24"/>
      <c r="W20713" s="24"/>
      <c r="X20713" s="24"/>
      <c r="Y20713" s="24"/>
      <c r="Z20713" s="24"/>
      <c r="AA20713" s="24"/>
    </row>
    <row r="20714">
      <c r="A20714" s="24"/>
      <c r="B20714" s="25"/>
      <c r="C20714" s="24"/>
      <c r="D20714" s="26"/>
      <c r="E20714" s="24"/>
      <c r="F20714" s="24"/>
      <c r="G20714" s="24"/>
      <c r="H20714" s="24"/>
      <c r="I20714" s="24"/>
      <c r="J20714" s="24"/>
      <c r="K20714" s="24"/>
      <c r="L20714" s="24"/>
      <c r="M20714" s="24"/>
      <c r="N20714" s="24"/>
      <c r="O20714" s="24"/>
      <c r="P20714" s="24"/>
      <c r="Q20714" s="24"/>
      <c r="R20714" s="24"/>
      <c r="S20714" s="24"/>
      <c r="T20714" s="24"/>
      <c r="U20714" s="24"/>
      <c r="V20714" s="24"/>
      <c r="W20714" s="24"/>
      <c r="X20714" s="24"/>
      <c r="Y20714" s="24"/>
      <c r="Z20714" s="24"/>
      <c r="AA20714" s="24"/>
    </row>
    <row r="20715">
      <c r="A20715" s="24"/>
      <c r="B20715" s="25"/>
      <c r="C20715" s="24"/>
      <c r="D20715" s="26"/>
      <c r="E20715" s="24"/>
      <c r="F20715" s="24"/>
      <c r="G20715" s="24"/>
      <c r="H20715" s="24"/>
      <c r="I20715" s="24"/>
      <c r="J20715" s="24"/>
      <c r="K20715" s="24"/>
      <c r="L20715" s="24"/>
      <c r="M20715" s="24"/>
      <c r="N20715" s="24"/>
      <c r="O20715" s="24"/>
      <c r="P20715" s="24"/>
      <c r="Q20715" s="24"/>
      <c r="R20715" s="24"/>
      <c r="S20715" s="24"/>
      <c r="T20715" s="24"/>
      <c r="U20715" s="24"/>
      <c r="V20715" s="24"/>
      <c r="W20715" s="24"/>
      <c r="X20715" s="24"/>
      <c r="Y20715" s="24"/>
      <c r="Z20715" s="24"/>
      <c r="AA20715" s="24"/>
    </row>
    <row r="20716">
      <c r="A20716" s="24"/>
      <c r="B20716" s="25"/>
      <c r="C20716" s="24"/>
      <c r="D20716" s="26"/>
      <c r="E20716" s="24"/>
      <c r="F20716" s="24"/>
      <c r="G20716" s="24"/>
      <c r="H20716" s="24"/>
      <c r="I20716" s="24"/>
      <c r="J20716" s="24"/>
      <c r="K20716" s="24"/>
      <c r="L20716" s="24"/>
      <c r="M20716" s="24"/>
      <c r="N20716" s="24"/>
      <c r="O20716" s="24"/>
      <c r="P20716" s="24"/>
      <c r="Q20716" s="24"/>
      <c r="R20716" s="24"/>
      <c r="S20716" s="24"/>
      <c r="T20716" s="24"/>
      <c r="U20716" s="24"/>
      <c r="V20716" s="24"/>
      <c r="W20716" s="24"/>
      <c r="X20716" s="24"/>
      <c r="Y20716" s="24"/>
      <c r="Z20716" s="24"/>
      <c r="AA20716" s="24"/>
    </row>
    <row r="20717">
      <c r="A20717" s="24"/>
      <c r="B20717" s="25"/>
      <c r="C20717" s="24"/>
      <c r="D20717" s="26"/>
      <c r="E20717" s="24"/>
      <c r="F20717" s="24"/>
      <c r="G20717" s="24"/>
      <c r="H20717" s="24"/>
      <c r="I20717" s="24"/>
      <c r="J20717" s="24"/>
      <c r="K20717" s="24"/>
      <c r="L20717" s="24"/>
      <c r="M20717" s="24"/>
      <c r="N20717" s="24"/>
      <c r="O20717" s="24"/>
      <c r="P20717" s="24"/>
      <c r="Q20717" s="24"/>
      <c r="R20717" s="24"/>
      <c r="S20717" s="24"/>
      <c r="T20717" s="24"/>
      <c r="U20717" s="24"/>
      <c r="V20717" s="24"/>
      <c r="W20717" s="24"/>
      <c r="X20717" s="24"/>
      <c r="Y20717" s="24"/>
      <c r="Z20717" s="24"/>
      <c r="AA20717" s="24"/>
    </row>
    <row r="20718">
      <c r="A20718" s="24"/>
      <c r="B20718" s="25"/>
      <c r="C20718" s="24"/>
      <c r="D20718" s="26"/>
      <c r="E20718" s="24"/>
      <c r="F20718" s="24"/>
      <c r="G20718" s="24"/>
      <c r="H20718" s="24"/>
      <c r="I20718" s="24"/>
      <c r="J20718" s="24"/>
      <c r="K20718" s="24"/>
      <c r="L20718" s="24"/>
      <c r="M20718" s="24"/>
      <c r="N20718" s="24"/>
      <c r="O20718" s="24"/>
      <c r="P20718" s="24"/>
      <c r="Q20718" s="24"/>
      <c r="R20718" s="24"/>
      <c r="S20718" s="24"/>
      <c r="T20718" s="24"/>
      <c r="U20718" s="24"/>
      <c r="V20718" s="24"/>
      <c r="W20718" s="24"/>
      <c r="X20718" s="24"/>
      <c r="Y20718" s="24"/>
      <c r="Z20718" s="24"/>
      <c r="AA20718" s="24"/>
    </row>
    <row r="20719">
      <c r="A20719" s="24"/>
      <c r="B20719" s="25"/>
      <c r="C20719" s="24"/>
      <c r="D20719" s="26"/>
      <c r="E20719" s="24"/>
      <c r="F20719" s="24"/>
      <c r="G20719" s="24"/>
      <c r="H20719" s="24"/>
      <c r="I20719" s="24"/>
      <c r="J20719" s="24"/>
      <c r="K20719" s="24"/>
      <c r="L20719" s="24"/>
      <c r="M20719" s="24"/>
      <c r="N20719" s="24"/>
      <c r="O20719" s="24"/>
      <c r="P20719" s="24"/>
      <c r="Q20719" s="24"/>
      <c r="R20719" s="24"/>
      <c r="S20719" s="24"/>
      <c r="T20719" s="24"/>
      <c r="U20719" s="24"/>
      <c r="V20719" s="24"/>
      <c r="W20719" s="24"/>
      <c r="X20719" s="24"/>
      <c r="Y20719" s="24"/>
      <c r="Z20719" s="24"/>
      <c r="AA20719" s="24"/>
    </row>
    <row r="20720">
      <c r="A20720" s="24"/>
      <c r="B20720" s="25"/>
      <c r="C20720" s="24"/>
      <c r="D20720" s="26"/>
      <c r="E20720" s="24"/>
      <c r="F20720" s="24"/>
      <c r="G20720" s="24"/>
      <c r="H20720" s="24"/>
      <c r="I20720" s="24"/>
      <c r="J20720" s="24"/>
      <c r="K20720" s="24"/>
      <c r="L20720" s="24"/>
      <c r="M20720" s="24"/>
      <c r="N20720" s="24"/>
      <c r="O20720" s="24"/>
      <c r="P20720" s="24"/>
      <c r="Q20720" s="24"/>
      <c r="R20720" s="24"/>
      <c r="S20720" s="24"/>
      <c r="T20720" s="24"/>
      <c r="U20720" s="24"/>
      <c r="V20720" s="24"/>
      <c r="W20720" s="24"/>
      <c r="X20720" s="24"/>
      <c r="Y20720" s="24"/>
      <c r="Z20720" s="24"/>
      <c r="AA20720" s="24"/>
    </row>
    <row r="20721">
      <c r="A20721" s="24"/>
      <c r="B20721" s="25"/>
      <c r="C20721" s="24"/>
      <c r="D20721" s="26"/>
      <c r="E20721" s="24"/>
      <c r="F20721" s="24"/>
      <c r="G20721" s="24"/>
      <c r="H20721" s="24"/>
      <c r="I20721" s="24"/>
      <c r="J20721" s="24"/>
      <c r="K20721" s="24"/>
      <c r="L20721" s="24"/>
      <c r="M20721" s="24"/>
      <c r="N20721" s="24"/>
      <c r="O20721" s="24"/>
      <c r="P20721" s="24"/>
      <c r="Q20721" s="24"/>
      <c r="R20721" s="24"/>
      <c r="S20721" s="24"/>
      <c r="T20721" s="24"/>
      <c r="U20721" s="24"/>
      <c r="V20721" s="24"/>
      <c r="W20721" s="24"/>
      <c r="X20721" s="24"/>
      <c r="Y20721" s="24"/>
      <c r="Z20721" s="24"/>
      <c r="AA20721" s="24"/>
    </row>
    <row r="20722">
      <c r="A20722" s="24"/>
      <c r="B20722" s="25"/>
      <c r="C20722" s="24"/>
      <c r="D20722" s="26"/>
      <c r="E20722" s="24"/>
      <c r="F20722" s="24"/>
      <c r="G20722" s="24"/>
      <c r="H20722" s="24"/>
      <c r="I20722" s="24"/>
      <c r="J20722" s="24"/>
      <c r="K20722" s="24"/>
      <c r="L20722" s="24"/>
      <c r="M20722" s="24"/>
      <c r="N20722" s="24"/>
      <c r="O20722" s="24"/>
      <c r="P20722" s="24"/>
      <c r="Q20722" s="24"/>
      <c r="R20722" s="24"/>
      <c r="S20722" s="24"/>
      <c r="T20722" s="24"/>
      <c r="U20722" s="24"/>
      <c r="V20722" s="24"/>
      <c r="W20722" s="24"/>
      <c r="X20722" s="24"/>
      <c r="Y20722" s="24"/>
      <c r="Z20722" s="24"/>
      <c r="AA20722" s="24"/>
    </row>
    <row r="20723">
      <c r="A20723" s="24"/>
      <c r="B20723" s="25"/>
      <c r="C20723" s="24"/>
      <c r="D20723" s="26"/>
      <c r="E20723" s="24"/>
      <c r="F20723" s="24"/>
      <c r="G20723" s="24"/>
      <c r="H20723" s="24"/>
      <c r="I20723" s="24"/>
      <c r="J20723" s="24"/>
      <c r="K20723" s="24"/>
      <c r="L20723" s="24"/>
      <c r="M20723" s="24"/>
      <c r="N20723" s="24"/>
      <c r="O20723" s="24"/>
      <c r="P20723" s="24"/>
      <c r="Q20723" s="24"/>
      <c r="R20723" s="24"/>
      <c r="S20723" s="24"/>
      <c r="T20723" s="24"/>
      <c r="U20723" s="24"/>
      <c r="V20723" s="24"/>
      <c r="W20723" s="24"/>
      <c r="X20723" s="24"/>
      <c r="Y20723" s="24"/>
      <c r="Z20723" s="24"/>
      <c r="AA20723" s="24"/>
    </row>
    <row r="20724">
      <c r="A20724" s="24"/>
      <c r="B20724" s="25"/>
      <c r="C20724" s="24"/>
      <c r="D20724" s="26"/>
      <c r="E20724" s="24"/>
      <c r="F20724" s="24"/>
      <c r="G20724" s="24"/>
      <c r="H20724" s="24"/>
      <c r="I20724" s="24"/>
      <c r="J20724" s="24"/>
      <c r="K20724" s="24"/>
      <c r="L20724" s="24"/>
      <c r="M20724" s="24"/>
      <c r="N20724" s="24"/>
      <c r="O20724" s="24"/>
      <c r="P20724" s="24"/>
      <c r="Q20724" s="24"/>
      <c r="R20724" s="24"/>
      <c r="S20724" s="24"/>
      <c r="T20724" s="24"/>
      <c r="U20724" s="24"/>
      <c r="V20724" s="24"/>
      <c r="W20724" s="24"/>
      <c r="X20724" s="24"/>
      <c r="Y20724" s="24"/>
      <c r="Z20724" s="24"/>
      <c r="AA20724" s="24"/>
    </row>
    <row r="20725">
      <c r="A20725" s="24"/>
      <c r="B20725" s="25"/>
      <c r="C20725" s="24"/>
      <c r="D20725" s="26"/>
      <c r="E20725" s="24"/>
      <c r="F20725" s="24"/>
      <c r="G20725" s="24"/>
      <c r="H20725" s="24"/>
      <c r="I20725" s="24"/>
      <c r="J20725" s="24"/>
      <c r="K20725" s="24"/>
      <c r="L20725" s="24"/>
      <c r="M20725" s="24"/>
      <c r="N20725" s="24"/>
      <c r="O20725" s="24"/>
      <c r="P20725" s="24"/>
      <c r="Q20725" s="24"/>
      <c r="R20725" s="24"/>
      <c r="S20725" s="24"/>
      <c r="T20725" s="24"/>
      <c r="U20725" s="24"/>
      <c r="V20725" s="24"/>
      <c r="W20725" s="24"/>
      <c r="X20725" s="24"/>
      <c r="Y20725" s="24"/>
      <c r="Z20725" s="24"/>
      <c r="AA20725" s="24"/>
    </row>
    <row r="20726">
      <c r="A20726" s="24"/>
      <c r="B20726" s="25"/>
      <c r="C20726" s="24"/>
      <c r="D20726" s="26"/>
      <c r="E20726" s="24"/>
      <c r="F20726" s="24"/>
      <c r="G20726" s="24"/>
      <c r="H20726" s="24"/>
      <c r="I20726" s="24"/>
      <c r="J20726" s="24"/>
      <c r="K20726" s="24"/>
      <c r="L20726" s="24"/>
      <c r="M20726" s="24"/>
      <c r="N20726" s="24"/>
      <c r="O20726" s="24"/>
      <c r="P20726" s="24"/>
      <c r="Q20726" s="24"/>
      <c r="R20726" s="24"/>
      <c r="S20726" s="24"/>
      <c r="T20726" s="24"/>
      <c r="U20726" s="24"/>
      <c r="V20726" s="24"/>
      <c r="W20726" s="24"/>
      <c r="X20726" s="24"/>
      <c r="Y20726" s="24"/>
      <c r="Z20726" s="24"/>
      <c r="AA20726" s="24"/>
    </row>
    <row r="20727">
      <c r="A20727" s="24"/>
      <c r="B20727" s="25"/>
      <c r="C20727" s="24"/>
      <c r="D20727" s="26"/>
      <c r="E20727" s="24"/>
      <c r="F20727" s="24"/>
      <c r="G20727" s="24"/>
      <c r="H20727" s="24"/>
      <c r="I20727" s="24"/>
      <c r="J20727" s="24"/>
      <c r="K20727" s="24"/>
      <c r="L20727" s="24"/>
      <c r="M20727" s="24"/>
      <c r="N20727" s="24"/>
      <c r="O20727" s="24"/>
      <c r="P20727" s="24"/>
      <c r="Q20727" s="24"/>
      <c r="R20727" s="24"/>
      <c r="S20727" s="24"/>
      <c r="T20727" s="24"/>
      <c r="U20727" s="24"/>
      <c r="V20727" s="24"/>
      <c r="W20727" s="24"/>
      <c r="X20727" s="24"/>
      <c r="Y20727" s="24"/>
      <c r="Z20727" s="24"/>
      <c r="AA20727" s="24"/>
    </row>
    <row r="20728">
      <c r="A20728" s="24"/>
      <c r="B20728" s="25"/>
      <c r="C20728" s="24"/>
      <c r="D20728" s="26"/>
      <c r="E20728" s="24"/>
      <c r="F20728" s="24"/>
      <c r="G20728" s="24"/>
      <c r="H20728" s="24"/>
      <c r="I20728" s="24"/>
      <c r="J20728" s="24"/>
      <c r="K20728" s="24"/>
      <c r="L20728" s="24"/>
      <c r="M20728" s="24"/>
      <c r="N20728" s="24"/>
      <c r="O20728" s="24"/>
      <c r="P20728" s="24"/>
      <c r="Q20728" s="24"/>
      <c r="R20728" s="24"/>
      <c r="S20728" s="24"/>
      <c r="T20728" s="24"/>
      <c r="U20728" s="24"/>
      <c r="V20728" s="24"/>
      <c r="W20728" s="24"/>
      <c r="X20728" s="24"/>
      <c r="Y20728" s="24"/>
      <c r="Z20728" s="24"/>
      <c r="AA20728" s="24"/>
    </row>
    <row r="20729">
      <c r="A20729" s="24"/>
      <c r="B20729" s="25"/>
      <c r="C20729" s="24"/>
      <c r="D20729" s="26"/>
      <c r="E20729" s="24"/>
      <c r="F20729" s="24"/>
      <c r="G20729" s="24"/>
      <c r="H20729" s="24"/>
      <c r="I20729" s="24"/>
      <c r="J20729" s="24"/>
      <c r="K20729" s="24"/>
      <c r="L20729" s="24"/>
      <c r="M20729" s="24"/>
      <c r="N20729" s="24"/>
      <c r="O20729" s="24"/>
      <c r="P20729" s="24"/>
      <c r="Q20729" s="24"/>
      <c r="R20729" s="24"/>
      <c r="S20729" s="24"/>
      <c r="T20729" s="24"/>
      <c r="U20729" s="24"/>
      <c r="V20729" s="24"/>
      <c r="W20729" s="24"/>
      <c r="X20729" s="24"/>
      <c r="Y20729" s="24"/>
      <c r="Z20729" s="24"/>
      <c r="AA20729" s="24"/>
    </row>
    <row r="20730">
      <c r="A20730" s="24"/>
      <c r="B20730" s="25"/>
      <c r="C20730" s="24"/>
      <c r="D20730" s="26"/>
      <c r="E20730" s="24"/>
      <c r="F20730" s="24"/>
      <c r="G20730" s="24"/>
      <c r="H20730" s="24"/>
      <c r="I20730" s="24"/>
      <c r="J20730" s="24"/>
      <c r="K20730" s="24"/>
      <c r="L20730" s="24"/>
      <c r="M20730" s="24"/>
      <c r="N20730" s="24"/>
      <c r="O20730" s="24"/>
      <c r="P20730" s="24"/>
      <c r="Q20730" s="24"/>
      <c r="R20730" s="24"/>
      <c r="S20730" s="24"/>
      <c r="T20730" s="24"/>
      <c r="U20730" s="24"/>
      <c r="V20730" s="24"/>
      <c r="W20730" s="24"/>
      <c r="X20730" s="24"/>
      <c r="Y20730" s="24"/>
      <c r="Z20730" s="24"/>
      <c r="AA20730" s="24"/>
    </row>
    <row r="20731">
      <c r="A20731" s="24"/>
      <c r="B20731" s="25"/>
      <c r="C20731" s="24"/>
      <c r="D20731" s="26"/>
      <c r="E20731" s="24"/>
      <c r="F20731" s="24"/>
      <c r="G20731" s="24"/>
      <c r="H20731" s="24"/>
      <c r="I20731" s="24"/>
      <c r="J20731" s="24"/>
      <c r="K20731" s="24"/>
      <c r="L20731" s="24"/>
      <c r="M20731" s="24"/>
      <c r="N20731" s="24"/>
      <c r="O20731" s="24"/>
      <c r="P20731" s="24"/>
      <c r="Q20731" s="24"/>
      <c r="R20731" s="24"/>
      <c r="S20731" s="24"/>
      <c r="T20731" s="24"/>
      <c r="U20731" s="24"/>
      <c r="V20731" s="24"/>
      <c r="W20731" s="24"/>
      <c r="X20731" s="24"/>
      <c r="Y20731" s="24"/>
      <c r="Z20731" s="24"/>
      <c r="AA20731" s="24"/>
    </row>
    <row r="20732">
      <c r="A20732" s="24"/>
      <c r="B20732" s="25"/>
      <c r="C20732" s="24"/>
      <c r="D20732" s="26"/>
      <c r="E20732" s="24"/>
      <c r="F20732" s="24"/>
      <c r="G20732" s="24"/>
      <c r="H20732" s="24"/>
      <c r="I20732" s="24"/>
      <c r="J20732" s="24"/>
      <c r="K20732" s="24"/>
      <c r="L20732" s="24"/>
      <c r="M20732" s="24"/>
      <c r="N20732" s="24"/>
      <c r="O20732" s="24"/>
      <c r="P20732" s="24"/>
      <c r="Q20732" s="24"/>
      <c r="R20732" s="24"/>
      <c r="S20732" s="24"/>
      <c r="T20732" s="24"/>
      <c r="U20732" s="24"/>
      <c r="V20732" s="24"/>
      <c r="W20732" s="24"/>
      <c r="X20732" s="24"/>
      <c r="Y20732" s="24"/>
      <c r="Z20732" s="24"/>
      <c r="AA20732" s="24"/>
    </row>
    <row r="20733">
      <c r="A20733" s="24"/>
      <c r="B20733" s="25"/>
      <c r="C20733" s="24"/>
      <c r="D20733" s="26"/>
      <c r="E20733" s="24"/>
      <c r="F20733" s="24"/>
      <c r="G20733" s="24"/>
      <c r="H20733" s="24"/>
      <c r="I20733" s="24"/>
      <c r="J20733" s="24"/>
      <c r="K20733" s="24"/>
      <c r="L20733" s="24"/>
      <c r="M20733" s="24"/>
      <c r="N20733" s="24"/>
      <c r="O20733" s="24"/>
      <c r="P20733" s="24"/>
      <c r="Q20733" s="24"/>
      <c r="R20733" s="24"/>
      <c r="S20733" s="24"/>
      <c r="T20733" s="24"/>
      <c r="U20733" s="24"/>
      <c r="V20733" s="24"/>
      <c r="W20733" s="24"/>
      <c r="X20733" s="24"/>
      <c r="Y20733" s="24"/>
      <c r="Z20733" s="24"/>
      <c r="AA20733" s="24"/>
    </row>
    <row r="20734">
      <c r="A20734" s="24"/>
      <c r="B20734" s="25"/>
      <c r="C20734" s="24"/>
      <c r="D20734" s="26"/>
      <c r="E20734" s="24"/>
      <c r="F20734" s="24"/>
      <c r="G20734" s="24"/>
      <c r="H20734" s="24"/>
      <c r="I20734" s="24"/>
      <c r="J20734" s="24"/>
      <c r="K20734" s="24"/>
      <c r="L20734" s="24"/>
      <c r="M20734" s="24"/>
      <c r="N20734" s="24"/>
      <c r="O20734" s="24"/>
      <c r="P20734" s="24"/>
      <c r="Q20734" s="24"/>
      <c r="R20734" s="24"/>
      <c r="S20734" s="24"/>
      <c r="T20734" s="24"/>
      <c r="U20734" s="24"/>
      <c r="V20734" s="24"/>
      <c r="W20734" s="24"/>
      <c r="X20734" s="24"/>
      <c r="Y20734" s="24"/>
      <c r="Z20734" s="24"/>
      <c r="AA20734" s="24"/>
    </row>
    <row r="20735">
      <c r="A20735" s="24"/>
      <c r="B20735" s="25"/>
      <c r="C20735" s="24"/>
      <c r="D20735" s="26"/>
      <c r="E20735" s="24"/>
      <c r="F20735" s="24"/>
      <c r="G20735" s="24"/>
      <c r="H20735" s="24"/>
      <c r="I20735" s="24"/>
      <c r="J20735" s="24"/>
      <c r="K20735" s="24"/>
      <c r="L20735" s="24"/>
      <c r="M20735" s="24"/>
      <c r="N20735" s="24"/>
      <c r="O20735" s="24"/>
      <c r="P20735" s="24"/>
      <c r="Q20735" s="24"/>
      <c r="R20735" s="24"/>
      <c r="S20735" s="24"/>
      <c r="T20735" s="24"/>
      <c r="U20735" s="24"/>
      <c r="V20735" s="24"/>
      <c r="W20735" s="24"/>
      <c r="X20735" s="24"/>
      <c r="Y20735" s="24"/>
      <c r="Z20735" s="24"/>
      <c r="AA20735" s="24"/>
    </row>
    <row r="20736">
      <c r="A20736" s="24"/>
      <c r="B20736" s="25"/>
      <c r="C20736" s="24"/>
      <c r="D20736" s="26"/>
      <c r="E20736" s="24"/>
      <c r="F20736" s="24"/>
      <c r="G20736" s="24"/>
      <c r="H20736" s="24"/>
      <c r="I20736" s="24"/>
      <c r="J20736" s="24"/>
      <c r="K20736" s="24"/>
      <c r="L20736" s="24"/>
      <c r="M20736" s="24"/>
      <c r="N20736" s="24"/>
      <c r="O20736" s="24"/>
      <c r="P20736" s="24"/>
      <c r="Q20736" s="24"/>
      <c r="R20736" s="24"/>
      <c r="S20736" s="24"/>
      <c r="T20736" s="24"/>
      <c r="U20736" s="24"/>
      <c r="V20736" s="24"/>
      <c r="W20736" s="24"/>
      <c r="X20736" s="24"/>
      <c r="Y20736" s="24"/>
      <c r="Z20736" s="24"/>
      <c r="AA20736" s="24"/>
    </row>
    <row r="20737">
      <c r="A20737" s="24"/>
      <c r="B20737" s="25"/>
      <c r="C20737" s="24"/>
      <c r="D20737" s="26"/>
      <c r="E20737" s="24"/>
      <c r="F20737" s="24"/>
      <c r="G20737" s="24"/>
      <c r="H20737" s="24"/>
      <c r="I20737" s="24"/>
      <c r="J20737" s="24"/>
      <c r="K20737" s="24"/>
      <c r="L20737" s="24"/>
      <c r="M20737" s="24"/>
      <c r="N20737" s="24"/>
      <c r="O20737" s="24"/>
      <c r="P20737" s="24"/>
      <c r="Q20737" s="24"/>
      <c r="R20737" s="24"/>
      <c r="S20737" s="24"/>
      <c r="T20737" s="24"/>
      <c r="U20737" s="24"/>
      <c r="V20737" s="24"/>
      <c r="W20737" s="24"/>
      <c r="X20737" s="24"/>
      <c r="Y20737" s="24"/>
      <c r="Z20737" s="24"/>
      <c r="AA20737" s="24"/>
    </row>
    <row r="20738">
      <c r="A20738" s="24"/>
      <c r="B20738" s="25"/>
      <c r="C20738" s="24"/>
      <c r="D20738" s="26"/>
      <c r="E20738" s="24"/>
      <c r="F20738" s="24"/>
      <c r="G20738" s="24"/>
      <c r="H20738" s="24"/>
      <c r="I20738" s="24"/>
      <c r="J20738" s="24"/>
      <c r="K20738" s="24"/>
      <c r="L20738" s="24"/>
      <c r="M20738" s="24"/>
      <c r="N20738" s="24"/>
      <c r="O20738" s="24"/>
      <c r="P20738" s="24"/>
      <c r="Q20738" s="24"/>
      <c r="R20738" s="24"/>
      <c r="S20738" s="24"/>
      <c r="T20738" s="24"/>
      <c r="U20738" s="24"/>
      <c r="V20738" s="24"/>
      <c r="W20738" s="24"/>
      <c r="X20738" s="24"/>
      <c r="Y20738" s="24"/>
      <c r="Z20738" s="24"/>
      <c r="AA20738" s="24"/>
    </row>
    <row r="20739">
      <c r="A20739" s="24"/>
      <c r="B20739" s="25"/>
      <c r="C20739" s="24"/>
      <c r="D20739" s="26"/>
      <c r="E20739" s="24"/>
      <c r="F20739" s="24"/>
      <c r="G20739" s="24"/>
      <c r="H20739" s="24"/>
      <c r="I20739" s="24"/>
      <c r="J20739" s="24"/>
      <c r="K20739" s="24"/>
      <c r="L20739" s="24"/>
      <c r="M20739" s="24"/>
      <c r="N20739" s="24"/>
      <c r="O20739" s="24"/>
      <c r="P20739" s="24"/>
      <c r="Q20739" s="24"/>
      <c r="R20739" s="24"/>
      <c r="S20739" s="24"/>
      <c r="T20739" s="24"/>
      <c r="U20739" s="24"/>
      <c r="V20739" s="24"/>
      <c r="W20739" s="24"/>
      <c r="X20739" s="24"/>
      <c r="Y20739" s="24"/>
      <c r="Z20739" s="24"/>
      <c r="AA20739" s="24"/>
    </row>
    <row r="20740">
      <c r="A20740" s="24"/>
      <c r="B20740" s="25"/>
      <c r="C20740" s="24"/>
      <c r="D20740" s="26"/>
      <c r="E20740" s="24"/>
      <c r="F20740" s="24"/>
      <c r="G20740" s="24"/>
      <c r="H20740" s="24"/>
      <c r="I20740" s="24"/>
      <c r="J20740" s="24"/>
      <c r="K20740" s="24"/>
      <c r="L20740" s="24"/>
      <c r="M20740" s="24"/>
      <c r="N20740" s="24"/>
      <c r="O20740" s="24"/>
      <c r="P20740" s="24"/>
      <c r="Q20740" s="24"/>
      <c r="R20740" s="24"/>
      <c r="S20740" s="24"/>
      <c r="T20740" s="24"/>
      <c r="U20740" s="24"/>
      <c r="V20740" s="24"/>
      <c r="W20740" s="24"/>
      <c r="X20740" s="24"/>
      <c r="Y20740" s="24"/>
      <c r="Z20740" s="24"/>
      <c r="AA20740" s="24"/>
    </row>
    <row r="20741">
      <c r="A20741" s="24"/>
      <c r="B20741" s="25"/>
      <c r="C20741" s="24"/>
      <c r="D20741" s="26"/>
      <c r="E20741" s="24"/>
      <c r="F20741" s="24"/>
      <c r="G20741" s="24"/>
      <c r="H20741" s="24"/>
      <c r="I20741" s="24"/>
      <c r="J20741" s="24"/>
      <c r="K20741" s="24"/>
      <c r="L20741" s="24"/>
      <c r="M20741" s="24"/>
      <c r="N20741" s="24"/>
      <c r="O20741" s="24"/>
      <c r="P20741" s="24"/>
      <c r="Q20741" s="24"/>
      <c r="R20741" s="24"/>
      <c r="S20741" s="24"/>
      <c r="T20741" s="24"/>
      <c r="U20741" s="24"/>
      <c r="V20741" s="24"/>
      <c r="W20741" s="24"/>
      <c r="X20741" s="24"/>
      <c r="Y20741" s="24"/>
      <c r="Z20741" s="24"/>
      <c r="AA20741" s="24"/>
    </row>
    <row r="20742">
      <c r="A20742" s="24"/>
      <c r="B20742" s="25"/>
      <c r="C20742" s="24"/>
      <c r="D20742" s="26"/>
      <c r="E20742" s="24"/>
      <c r="F20742" s="24"/>
      <c r="G20742" s="24"/>
      <c r="H20742" s="24"/>
      <c r="I20742" s="24"/>
      <c r="J20742" s="24"/>
      <c r="K20742" s="24"/>
      <c r="L20742" s="24"/>
      <c r="M20742" s="24"/>
      <c r="N20742" s="24"/>
      <c r="O20742" s="24"/>
      <c r="P20742" s="24"/>
      <c r="Q20742" s="24"/>
      <c r="R20742" s="24"/>
      <c r="S20742" s="24"/>
      <c r="T20742" s="24"/>
      <c r="U20742" s="24"/>
      <c r="V20742" s="24"/>
      <c r="W20742" s="24"/>
      <c r="X20742" s="24"/>
      <c r="Y20742" s="24"/>
      <c r="Z20742" s="24"/>
      <c r="AA20742" s="24"/>
    </row>
    <row r="20743">
      <c r="A20743" s="24"/>
      <c r="B20743" s="25"/>
      <c r="C20743" s="24"/>
      <c r="D20743" s="26"/>
      <c r="E20743" s="24"/>
      <c r="F20743" s="24"/>
      <c r="G20743" s="24"/>
      <c r="H20743" s="24"/>
      <c r="I20743" s="24"/>
      <c r="J20743" s="24"/>
      <c r="K20743" s="24"/>
      <c r="L20743" s="24"/>
      <c r="M20743" s="24"/>
      <c r="N20743" s="24"/>
      <c r="O20743" s="24"/>
      <c r="P20743" s="24"/>
      <c r="Q20743" s="24"/>
      <c r="R20743" s="24"/>
      <c r="S20743" s="24"/>
      <c r="T20743" s="24"/>
      <c r="U20743" s="24"/>
      <c r="V20743" s="24"/>
      <c r="W20743" s="24"/>
      <c r="X20743" s="24"/>
      <c r="Y20743" s="24"/>
      <c r="Z20743" s="24"/>
      <c r="AA20743" s="24"/>
    </row>
    <row r="20744">
      <c r="A20744" s="24"/>
      <c r="B20744" s="25"/>
      <c r="C20744" s="24"/>
      <c r="D20744" s="26"/>
      <c r="E20744" s="24"/>
      <c r="F20744" s="24"/>
      <c r="G20744" s="24"/>
      <c r="H20744" s="24"/>
      <c r="I20744" s="24"/>
      <c r="J20744" s="24"/>
      <c r="K20744" s="24"/>
      <c r="L20744" s="24"/>
      <c r="M20744" s="24"/>
      <c r="N20744" s="24"/>
      <c r="O20744" s="24"/>
      <c r="P20744" s="24"/>
      <c r="Q20744" s="24"/>
      <c r="R20744" s="24"/>
      <c r="S20744" s="24"/>
      <c r="T20744" s="24"/>
      <c r="U20744" s="24"/>
      <c r="V20744" s="24"/>
      <c r="W20744" s="24"/>
      <c r="X20744" s="24"/>
      <c r="Y20744" s="24"/>
      <c r="Z20744" s="24"/>
      <c r="AA20744" s="24"/>
    </row>
    <row r="20745">
      <c r="A20745" s="24"/>
      <c r="B20745" s="25"/>
      <c r="C20745" s="24"/>
      <c r="D20745" s="26"/>
      <c r="E20745" s="24"/>
      <c r="F20745" s="24"/>
      <c r="G20745" s="24"/>
      <c r="H20745" s="24"/>
      <c r="I20745" s="24"/>
      <c r="J20745" s="24"/>
      <c r="K20745" s="24"/>
      <c r="L20745" s="24"/>
      <c r="M20745" s="24"/>
      <c r="N20745" s="24"/>
      <c r="O20745" s="24"/>
      <c r="P20745" s="24"/>
      <c r="Q20745" s="24"/>
      <c r="R20745" s="24"/>
      <c r="S20745" s="24"/>
      <c r="T20745" s="24"/>
      <c r="U20745" s="24"/>
      <c r="V20745" s="24"/>
      <c r="W20745" s="24"/>
      <c r="X20745" s="24"/>
      <c r="Y20745" s="24"/>
      <c r="Z20745" s="24"/>
      <c r="AA20745" s="24"/>
    </row>
    <row r="20746">
      <c r="A20746" s="24"/>
      <c r="B20746" s="25"/>
      <c r="C20746" s="24"/>
      <c r="D20746" s="26"/>
      <c r="E20746" s="24"/>
      <c r="F20746" s="24"/>
      <c r="G20746" s="24"/>
      <c r="H20746" s="24"/>
      <c r="I20746" s="24"/>
      <c r="J20746" s="24"/>
      <c r="K20746" s="24"/>
      <c r="L20746" s="24"/>
      <c r="M20746" s="24"/>
      <c r="N20746" s="24"/>
      <c r="O20746" s="24"/>
      <c r="P20746" s="24"/>
      <c r="Q20746" s="24"/>
      <c r="R20746" s="24"/>
      <c r="S20746" s="24"/>
      <c r="T20746" s="24"/>
      <c r="U20746" s="24"/>
      <c r="V20746" s="24"/>
      <c r="W20746" s="24"/>
      <c r="X20746" s="24"/>
      <c r="Y20746" s="24"/>
      <c r="Z20746" s="24"/>
      <c r="AA20746" s="24"/>
    </row>
    <row r="20747">
      <c r="A20747" s="24"/>
      <c r="B20747" s="25"/>
      <c r="C20747" s="24"/>
      <c r="D20747" s="26"/>
      <c r="E20747" s="24"/>
      <c r="F20747" s="24"/>
      <c r="G20747" s="24"/>
      <c r="H20747" s="24"/>
      <c r="I20747" s="24"/>
      <c r="J20747" s="24"/>
      <c r="K20747" s="24"/>
      <c r="L20747" s="24"/>
      <c r="M20747" s="24"/>
      <c r="N20747" s="24"/>
      <c r="O20747" s="24"/>
      <c r="P20747" s="24"/>
      <c r="Q20747" s="24"/>
      <c r="R20747" s="24"/>
      <c r="S20747" s="24"/>
      <c r="T20747" s="24"/>
      <c r="U20747" s="24"/>
      <c r="V20747" s="24"/>
      <c r="W20747" s="24"/>
      <c r="X20747" s="24"/>
      <c r="Y20747" s="24"/>
      <c r="Z20747" s="24"/>
      <c r="AA20747" s="24"/>
    </row>
    <row r="20748">
      <c r="A20748" s="24"/>
      <c r="B20748" s="25"/>
      <c r="C20748" s="24"/>
      <c r="D20748" s="26"/>
      <c r="E20748" s="24"/>
      <c r="F20748" s="24"/>
      <c r="G20748" s="24"/>
      <c r="H20748" s="24"/>
      <c r="I20748" s="24"/>
      <c r="J20748" s="24"/>
      <c r="K20748" s="24"/>
      <c r="L20748" s="24"/>
      <c r="M20748" s="24"/>
      <c r="N20748" s="24"/>
      <c r="O20748" s="24"/>
      <c r="P20748" s="24"/>
      <c r="Q20748" s="24"/>
      <c r="R20748" s="24"/>
      <c r="S20748" s="24"/>
      <c r="T20748" s="24"/>
      <c r="U20748" s="24"/>
      <c r="V20748" s="24"/>
      <c r="W20748" s="24"/>
      <c r="X20748" s="24"/>
      <c r="Y20748" s="24"/>
      <c r="Z20748" s="24"/>
      <c r="AA20748" s="24"/>
    </row>
    <row r="20749">
      <c r="A20749" s="24"/>
      <c r="B20749" s="25"/>
      <c r="C20749" s="24"/>
      <c r="D20749" s="26"/>
      <c r="E20749" s="24"/>
      <c r="F20749" s="24"/>
      <c r="G20749" s="24"/>
      <c r="H20749" s="24"/>
      <c r="I20749" s="24"/>
      <c r="J20749" s="24"/>
      <c r="K20749" s="24"/>
      <c r="L20749" s="24"/>
      <c r="M20749" s="24"/>
      <c r="N20749" s="24"/>
      <c r="O20749" s="24"/>
      <c r="P20749" s="24"/>
      <c r="Q20749" s="24"/>
      <c r="R20749" s="24"/>
      <c r="S20749" s="24"/>
      <c r="T20749" s="24"/>
      <c r="U20749" s="24"/>
      <c r="V20749" s="24"/>
      <c r="W20749" s="24"/>
      <c r="X20749" s="24"/>
      <c r="Y20749" s="24"/>
      <c r="Z20749" s="24"/>
      <c r="AA20749" s="24"/>
    </row>
    <row r="20750">
      <c r="A20750" s="24"/>
      <c r="B20750" s="25"/>
      <c r="C20750" s="24"/>
      <c r="D20750" s="26"/>
      <c r="E20750" s="24"/>
      <c r="F20750" s="24"/>
      <c r="G20750" s="24"/>
      <c r="H20750" s="24"/>
      <c r="I20750" s="24"/>
      <c r="J20750" s="24"/>
      <c r="K20750" s="24"/>
      <c r="L20750" s="24"/>
      <c r="M20750" s="24"/>
      <c r="N20750" s="24"/>
      <c r="O20750" s="24"/>
      <c r="P20750" s="24"/>
      <c r="Q20750" s="24"/>
      <c r="R20750" s="24"/>
      <c r="S20750" s="24"/>
      <c r="T20750" s="24"/>
      <c r="U20750" s="24"/>
      <c r="V20750" s="24"/>
      <c r="W20750" s="24"/>
      <c r="X20750" s="24"/>
      <c r="Y20750" s="24"/>
      <c r="Z20750" s="24"/>
      <c r="AA20750" s="24"/>
    </row>
    <row r="20751">
      <c r="A20751" s="24"/>
      <c r="B20751" s="25"/>
      <c r="C20751" s="24"/>
      <c r="D20751" s="26"/>
      <c r="E20751" s="24"/>
      <c r="F20751" s="24"/>
      <c r="G20751" s="24"/>
      <c r="H20751" s="24"/>
      <c r="I20751" s="24"/>
      <c r="J20751" s="24"/>
      <c r="K20751" s="24"/>
      <c r="L20751" s="24"/>
      <c r="M20751" s="24"/>
      <c r="N20751" s="24"/>
      <c r="O20751" s="24"/>
      <c r="P20751" s="24"/>
      <c r="Q20751" s="24"/>
      <c r="R20751" s="24"/>
      <c r="S20751" s="24"/>
      <c r="T20751" s="24"/>
      <c r="U20751" s="24"/>
      <c r="V20751" s="24"/>
      <c r="W20751" s="24"/>
      <c r="X20751" s="24"/>
      <c r="Y20751" s="24"/>
      <c r="Z20751" s="24"/>
      <c r="AA20751" s="24"/>
    </row>
    <row r="20752">
      <c r="A20752" s="24"/>
      <c r="B20752" s="25"/>
      <c r="C20752" s="24"/>
      <c r="D20752" s="26"/>
      <c r="E20752" s="24"/>
      <c r="F20752" s="24"/>
      <c r="G20752" s="24"/>
      <c r="H20752" s="24"/>
      <c r="I20752" s="24"/>
      <c r="J20752" s="24"/>
      <c r="K20752" s="24"/>
      <c r="L20752" s="24"/>
      <c r="M20752" s="24"/>
      <c r="N20752" s="24"/>
      <c r="O20752" s="24"/>
      <c r="P20752" s="24"/>
      <c r="Q20752" s="24"/>
      <c r="R20752" s="24"/>
      <c r="S20752" s="24"/>
      <c r="T20752" s="24"/>
      <c r="U20752" s="24"/>
      <c r="V20752" s="24"/>
      <c r="W20752" s="24"/>
      <c r="X20752" s="24"/>
      <c r="Y20752" s="24"/>
      <c r="Z20752" s="24"/>
      <c r="AA20752" s="24"/>
    </row>
    <row r="20753">
      <c r="A20753" s="24"/>
      <c r="B20753" s="25"/>
      <c r="C20753" s="24"/>
      <c r="D20753" s="26"/>
      <c r="E20753" s="24"/>
      <c r="F20753" s="24"/>
      <c r="G20753" s="24"/>
      <c r="H20753" s="24"/>
      <c r="I20753" s="24"/>
      <c r="J20753" s="24"/>
      <c r="K20753" s="24"/>
      <c r="L20753" s="24"/>
      <c r="M20753" s="24"/>
      <c r="N20753" s="24"/>
      <c r="O20753" s="24"/>
      <c r="P20753" s="24"/>
      <c r="Q20753" s="24"/>
      <c r="R20753" s="24"/>
      <c r="S20753" s="24"/>
      <c r="T20753" s="24"/>
      <c r="U20753" s="24"/>
      <c r="V20753" s="24"/>
      <c r="W20753" s="24"/>
      <c r="X20753" s="24"/>
      <c r="Y20753" s="24"/>
      <c r="Z20753" s="24"/>
      <c r="AA20753" s="24"/>
    </row>
    <row r="20754">
      <c r="A20754" s="24"/>
      <c r="B20754" s="25"/>
      <c r="C20754" s="24"/>
      <c r="D20754" s="26"/>
      <c r="E20754" s="24"/>
      <c r="F20754" s="24"/>
      <c r="G20754" s="24"/>
      <c r="H20754" s="24"/>
      <c r="I20754" s="24"/>
      <c r="J20754" s="24"/>
      <c r="K20754" s="24"/>
      <c r="L20754" s="24"/>
      <c r="M20754" s="24"/>
      <c r="N20754" s="24"/>
      <c r="O20754" s="24"/>
      <c r="P20754" s="24"/>
      <c r="Q20754" s="24"/>
      <c r="R20754" s="24"/>
      <c r="S20754" s="24"/>
      <c r="T20754" s="24"/>
      <c r="U20754" s="24"/>
      <c r="V20754" s="24"/>
      <c r="W20754" s="24"/>
      <c r="X20754" s="24"/>
      <c r="Y20754" s="24"/>
      <c r="Z20754" s="24"/>
      <c r="AA20754" s="24"/>
    </row>
    <row r="20755">
      <c r="A20755" s="24"/>
      <c r="B20755" s="25"/>
      <c r="C20755" s="24"/>
      <c r="D20755" s="26"/>
      <c r="E20755" s="24"/>
      <c r="F20755" s="24"/>
      <c r="G20755" s="24"/>
      <c r="H20755" s="24"/>
      <c r="I20755" s="24"/>
      <c r="J20755" s="24"/>
      <c r="K20755" s="24"/>
      <c r="L20755" s="24"/>
      <c r="M20755" s="24"/>
      <c r="N20755" s="24"/>
      <c r="O20755" s="24"/>
      <c r="P20755" s="24"/>
      <c r="Q20755" s="24"/>
      <c r="R20755" s="24"/>
      <c r="S20755" s="24"/>
      <c r="T20755" s="24"/>
      <c r="U20755" s="24"/>
      <c r="V20755" s="24"/>
      <c r="W20755" s="24"/>
      <c r="X20755" s="24"/>
      <c r="Y20755" s="24"/>
      <c r="Z20755" s="24"/>
      <c r="AA20755" s="24"/>
    </row>
    <row r="20756">
      <c r="A20756" s="24"/>
      <c r="B20756" s="25"/>
      <c r="C20756" s="24"/>
      <c r="D20756" s="26"/>
      <c r="E20756" s="24"/>
      <c r="F20756" s="24"/>
      <c r="G20756" s="24"/>
      <c r="H20756" s="24"/>
      <c r="I20756" s="24"/>
      <c r="J20756" s="24"/>
      <c r="K20756" s="24"/>
      <c r="L20756" s="24"/>
      <c r="M20756" s="24"/>
      <c r="N20756" s="24"/>
      <c r="O20756" s="24"/>
      <c r="P20756" s="24"/>
      <c r="Q20756" s="24"/>
      <c r="R20756" s="24"/>
      <c r="S20756" s="24"/>
      <c r="T20756" s="24"/>
      <c r="U20756" s="24"/>
      <c r="V20756" s="24"/>
      <c r="W20756" s="24"/>
      <c r="X20756" s="24"/>
      <c r="Y20756" s="24"/>
      <c r="Z20756" s="24"/>
      <c r="AA20756" s="24"/>
    </row>
    <row r="20757">
      <c r="A20757" s="24"/>
      <c r="B20757" s="25"/>
      <c r="C20757" s="24"/>
      <c r="D20757" s="26"/>
      <c r="E20757" s="24"/>
      <c r="F20757" s="24"/>
      <c r="G20757" s="24"/>
      <c r="H20757" s="24"/>
      <c r="I20757" s="24"/>
      <c r="J20757" s="24"/>
      <c r="K20757" s="24"/>
      <c r="L20757" s="24"/>
      <c r="M20757" s="24"/>
      <c r="N20757" s="24"/>
      <c r="O20757" s="24"/>
      <c r="P20757" s="24"/>
      <c r="Q20757" s="24"/>
      <c r="R20757" s="24"/>
      <c r="S20757" s="24"/>
      <c r="T20757" s="24"/>
      <c r="U20757" s="24"/>
      <c r="V20757" s="24"/>
      <c r="W20757" s="24"/>
      <c r="X20757" s="24"/>
      <c r="Y20757" s="24"/>
      <c r="Z20757" s="24"/>
      <c r="AA20757" s="24"/>
    </row>
    <row r="20758">
      <c r="A20758" s="24"/>
      <c r="B20758" s="25"/>
      <c r="C20758" s="24"/>
      <c r="D20758" s="26"/>
      <c r="E20758" s="24"/>
      <c r="F20758" s="24"/>
      <c r="G20758" s="24"/>
      <c r="H20758" s="24"/>
      <c r="I20758" s="24"/>
      <c r="J20758" s="24"/>
      <c r="K20758" s="24"/>
      <c r="L20758" s="24"/>
      <c r="M20758" s="24"/>
      <c r="N20758" s="24"/>
      <c r="O20758" s="24"/>
      <c r="P20758" s="24"/>
      <c r="Q20758" s="24"/>
      <c r="R20758" s="24"/>
      <c r="S20758" s="24"/>
      <c r="T20758" s="24"/>
      <c r="U20758" s="24"/>
      <c r="V20758" s="24"/>
      <c r="W20758" s="24"/>
      <c r="X20758" s="24"/>
      <c r="Y20758" s="24"/>
      <c r="Z20758" s="24"/>
      <c r="AA20758" s="24"/>
    </row>
    <row r="20759">
      <c r="A20759" s="24"/>
      <c r="B20759" s="25"/>
      <c r="C20759" s="24"/>
      <c r="D20759" s="26"/>
      <c r="E20759" s="24"/>
      <c r="F20759" s="24"/>
      <c r="G20759" s="24"/>
      <c r="H20759" s="24"/>
      <c r="I20759" s="24"/>
      <c r="J20759" s="24"/>
      <c r="K20759" s="24"/>
      <c r="L20759" s="24"/>
      <c r="M20759" s="24"/>
      <c r="N20759" s="24"/>
      <c r="O20759" s="24"/>
      <c r="P20759" s="24"/>
      <c r="Q20759" s="24"/>
      <c r="R20759" s="24"/>
      <c r="S20759" s="24"/>
      <c r="T20759" s="24"/>
      <c r="U20759" s="24"/>
      <c r="V20759" s="24"/>
      <c r="W20759" s="24"/>
      <c r="X20759" s="24"/>
      <c r="Y20759" s="24"/>
      <c r="Z20759" s="24"/>
      <c r="AA20759" s="24"/>
    </row>
    <row r="20760">
      <c r="A20760" s="24"/>
      <c r="B20760" s="25"/>
      <c r="C20760" s="24"/>
      <c r="D20760" s="26"/>
      <c r="E20760" s="24"/>
      <c r="F20760" s="24"/>
      <c r="G20760" s="24"/>
      <c r="H20760" s="24"/>
      <c r="I20760" s="24"/>
      <c r="J20760" s="24"/>
      <c r="K20760" s="24"/>
      <c r="L20760" s="24"/>
      <c r="M20760" s="24"/>
      <c r="N20760" s="24"/>
      <c r="O20760" s="24"/>
      <c r="P20760" s="24"/>
      <c r="Q20760" s="24"/>
      <c r="R20760" s="24"/>
      <c r="S20760" s="24"/>
      <c r="T20760" s="24"/>
      <c r="U20760" s="24"/>
      <c r="V20760" s="24"/>
      <c r="W20760" s="24"/>
      <c r="X20760" s="24"/>
      <c r="Y20760" s="24"/>
      <c r="Z20760" s="24"/>
      <c r="AA20760" s="24"/>
    </row>
    <row r="20761">
      <c r="A20761" s="24"/>
      <c r="B20761" s="25"/>
      <c r="C20761" s="24"/>
      <c r="D20761" s="26"/>
      <c r="E20761" s="24"/>
      <c r="F20761" s="24"/>
      <c r="G20761" s="24"/>
      <c r="H20761" s="24"/>
      <c r="I20761" s="24"/>
      <c r="J20761" s="24"/>
      <c r="K20761" s="24"/>
      <c r="L20761" s="24"/>
      <c r="M20761" s="24"/>
      <c r="N20761" s="24"/>
      <c r="O20761" s="24"/>
      <c r="P20761" s="24"/>
      <c r="Q20761" s="24"/>
      <c r="R20761" s="24"/>
      <c r="S20761" s="24"/>
      <c r="T20761" s="24"/>
      <c r="U20761" s="24"/>
      <c r="V20761" s="24"/>
      <c r="W20761" s="24"/>
      <c r="X20761" s="24"/>
      <c r="Y20761" s="24"/>
      <c r="Z20761" s="24"/>
      <c r="AA20761" s="24"/>
    </row>
    <row r="20762">
      <c r="A20762" s="24"/>
      <c r="B20762" s="25"/>
      <c r="C20762" s="24"/>
      <c r="D20762" s="26"/>
      <c r="E20762" s="24"/>
      <c r="F20762" s="24"/>
      <c r="G20762" s="24"/>
      <c r="H20762" s="24"/>
      <c r="I20762" s="24"/>
      <c r="J20762" s="24"/>
      <c r="K20762" s="24"/>
      <c r="L20762" s="24"/>
      <c r="M20762" s="24"/>
      <c r="N20762" s="24"/>
      <c r="O20762" s="24"/>
      <c r="P20762" s="24"/>
      <c r="Q20762" s="24"/>
      <c r="R20762" s="24"/>
      <c r="S20762" s="24"/>
      <c r="T20762" s="24"/>
      <c r="U20762" s="24"/>
      <c r="V20762" s="24"/>
      <c r="W20762" s="24"/>
      <c r="X20762" s="24"/>
      <c r="Y20762" s="24"/>
      <c r="Z20762" s="24"/>
      <c r="AA20762" s="24"/>
    </row>
    <row r="20763">
      <c r="A20763" s="24"/>
      <c r="B20763" s="25"/>
      <c r="C20763" s="24"/>
      <c r="D20763" s="26"/>
      <c r="E20763" s="24"/>
      <c r="F20763" s="24"/>
      <c r="G20763" s="24"/>
      <c r="H20763" s="24"/>
      <c r="I20763" s="24"/>
      <c r="J20763" s="24"/>
      <c r="K20763" s="24"/>
      <c r="L20763" s="24"/>
      <c r="M20763" s="24"/>
      <c r="N20763" s="24"/>
      <c r="O20763" s="24"/>
      <c r="P20763" s="24"/>
      <c r="Q20763" s="24"/>
      <c r="R20763" s="24"/>
      <c r="S20763" s="24"/>
      <c r="T20763" s="24"/>
      <c r="U20763" s="24"/>
      <c r="V20763" s="24"/>
      <c r="W20763" s="24"/>
      <c r="X20763" s="24"/>
      <c r="Y20763" s="24"/>
      <c r="Z20763" s="24"/>
      <c r="AA20763" s="24"/>
    </row>
    <row r="20764">
      <c r="A20764" s="24"/>
      <c r="B20764" s="25"/>
      <c r="C20764" s="24"/>
      <c r="D20764" s="26"/>
      <c r="E20764" s="24"/>
      <c r="F20764" s="24"/>
      <c r="G20764" s="24"/>
      <c r="H20764" s="24"/>
      <c r="I20764" s="24"/>
      <c r="J20764" s="24"/>
      <c r="K20764" s="24"/>
      <c r="L20764" s="24"/>
      <c r="M20764" s="24"/>
      <c r="N20764" s="24"/>
      <c r="O20764" s="24"/>
      <c r="P20764" s="24"/>
      <c r="Q20764" s="24"/>
      <c r="R20764" s="24"/>
      <c r="S20764" s="24"/>
      <c r="T20764" s="24"/>
      <c r="U20764" s="24"/>
      <c r="V20764" s="24"/>
      <c r="W20764" s="24"/>
      <c r="X20764" s="24"/>
      <c r="Y20764" s="24"/>
      <c r="Z20764" s="24"/>
      <c r="AA20764" s="24"/>
    </row>
    <row r="20765">
      <c r="A20765" s="24"/>
      <c r="B20765" s="25"/>
      <c r="C20765" s="24"/>
      <c r="D20765" s="26"/>
      <c r="E20765" s="24"/>
      <c r="F20765" s="24"/>
      <c r="G20765" s="24"/>
      <c r="H20765" s="24"/>
      <c r="I20765" s="24"/>
      <c r="J20765" s="24"/>
      <c r="K20765" s="24"/>
      <c r="L20765" s="24"/>
      <c r="M20765" s="24"/>
      <c r="N20765" s="24"/>
      <c r="O20765" s="24"/>
      <c r="P20765" s="24"/>
      <c r="Q20765" s="24"/>
      <c r="R20765" s="24"/>
      <c r="S20765" s="24"/>
      <c r="T20765" s="24"/>
      <c r="U20765" s="24"/>
      <c r="V20765" s="24"/>
      <c r="W20765" s="24"/>
      <c r="X20765" s="24"/>
      <c r="Y20765" s="24"/>
      <c r="Z20765" s="24"/>
      <c r="AA20765" s="24"/>
    </row>
    <row r="20766">
      <c r="A20766" s="24"/>
      <c r="B20766" s="25"/>
      <c r="C20766" s="24"/>
      <c r="D20766" s="26"/>
      <c r="E20766" s="24"/>
      <c r="F20766" s="24"/>
      <c r="G20766" s="24"/>
      <c r="H20766" s="24"/>
      <c r="I20766" s="24"/>
      <c r="J20766" s="24"/>
      <c r="K20766" s="24"/>
      <c r="L20766" s="24"/>
      <c r="M20766" s="24"/>
      <c r="N20766" s="24"/>
      <c r="O20766" s="24"/>
      <c r="P20766" s="24"/>
      <c r="Q20766" s="24"/>
      <c r="R20766" s="24"/>
      <c r="S20766" s="24"/>
      <c r="T20766" s="24"/>
      <c r="U20766" s="24"/>
      <c r="V20766" s="24"/>
      <c r="W20766" s="24"/>
      <c r="X20766" s="24"/>
      <c r="Y20766" s="24"/>
      <c r="Z20766" s="24"/>
      <c r="AA20766" s="24"/>
    </row>
    <row r="20767">
      <c r="A20767" s="24"/>
      <c r="B20767" s="25"/>
      <c r="C20767" s="24"/>
      <c r="D20767" s="26"/>
      <c r="E20767" s="24"/>
      <c r="F20767" s="24"/>
      <c r="G20767" s="24"/>
      <c r="H20767" s="24"/>
      <c r="I20767" s="24"/>
      <c r="J20767" s="24"/>
      <c r="K20767" s="24"/>
      <c r="L20767" s="24"/>
      <c r="M20767" s="24"/>
      <c r="N20767" s="24"/>
      <c r="O20767" s="24"/>
      <c r="P20767" s="24"/>
      <c r="Q20767" s="24"/>
      <c r="R20767" s="24"/>
      <c r="S20767" s="24"/>
      <c r="T20767" s="24"/>
      <c r="U20767" s="24"/>
      <c r="V20767" s="24"/>
      <c r="W20767" s="24"/>
      <c r="X20767" s="24"/>
      <c r="Y20767" s="24"/>
      <c r="Z20767" s="24"/>
      <c r="AA20767" s="24"/>
    </row>
    <row r="20768">
      <c r="A20768" s="24"/>
      <c r="B20768" s="25"/>
      <c r="C20768" s="24"/>
      <c r="D20768" s="26"/>
      <c r="E20768" s="24"/>
      <c r="F20768" s="24"/>
      <c r="G20768" s="24"/>
      <c r="H20768" s="24"/>
      <c r="I20768" s="24"/>
      <c r="J20768" s="24"/>
      <c r="K20768" s="24"/>
      <c r="L20768" s="24"/>
      <c r="M20768" s="24"/>
      <c r="N20768" s="24"/>
      <c r="O20768" s="24"/>
      <c r="P20768" s="24"/>
      <c r="Q20768" s="24"/>
      <c r="R20768" s="24"/>
      <c r="S20768" s="24"/>
      <c r="T20768" s="24"/>
      <c r="U20768" s="24"/>
      <c r="V20768" s="24"/>
      <c r="W20768" s="24"/>
      <c r="X20768" s="24"/>
      <c r="Y20768" s="24"/>
      <c r="Z20768" s="24"/>
      <c r="AA20768" s="24"/>
    </row>
    <row r="20769">
      <c r="A20769" s="24"/>
      <c r="B20769" s="25"/>
      <c r="C20769" s="24"/>
      <c r="D20769" s="26"/>
      <c r="E20769" s="24"/>
      <c r="F20769" s="24"/>
      <c r="G20769" s="24"/>
      <c r="H20769" s="24"/>
      <c r="I20769" s="24"/>
      <c r="J20769" s="24"/>
      <c r="K20769" s="24"/>
      <c r="L20769" s="24"/>
      <c r="M20769" s="24"/>
      <c r="N20769" s="24"/>
      <c r="O20769" s="24"/>
      <c r="P20769" s="24"/>
      <c r="Q20769" s="24"/>
      <c r="R20769" s="24"/>
      <c r="S20769" s="24"/>
      <c r="T20769" s="24"/>
      <c r="U20769" s="24"/>
      <c r="V20769" s="24"/>
      <c r="W20769" s="24"/>
      <c r="X20769" s="24"/>
      <c r="Y20769" s="24"/>
      <c r="Z20769" s="24"/>
      <c r="AA20769" s="24"/>
    </row>
    <row r="20770">
      <c r="A20770" s="24"/>
      <c r="B20770" s="25"/>
      <c r="C20770" s="24"/>
      <c r="D20770" s="26"/>
      <c r="E20770" s="24"/>
      <c r="F20770" s="24"/>
      <c r="G20770" s="24"/>
      <c r="H20770" s="24"/>
      <c r="I20770" s="24"/>
      <c r="J20770" s="24"/>
      <c r="K20770" s="24"/>
      <c r="L20770" s="24"/>
      <c r="M20770" s="24"/>
      <c r="N20770" s="24"/>
      <c r="O20770" s="24"/>
      <c r="P20770" s="24"/>
      <c r="Q20770" s="24"/>
      <c r="R20770" s="24"/>
      <c r="S20770" s="24"/>
      <c r="T20770" s="24"/>
      <c r="U20770" s="24"/>
      <c r="V20770" s="24"/>
      <c r="W20770" s="24"/>
      <c r="X20770" s="24"/>
      <c r="Y20770" s="24"/>
      <c r="Z20770" s="24"/>
      <c r="AA20770" s="24"/>
    </row>
    <row r="20771">
      <c r="A20771" s="24"/>
      <c r="B20771" s="25"/>
      <c r="C20771" s="24"/>
      <c r="D20771" s="26"/>
      <c r="E20771" s="24"/>
      <c r="F20771" s="24"/>
      <c r="G20771" s="24"/>
      <c r="H20771" s="24"/>
      <c r="I20771" s="24"/>
      <c r="J20771" s="24"/>
      <c r="K20771" s="24"/>
      <c r="L20771" s="24"/>
      <c r="M20771" s="24"/>
      <c r="N20771" s="24"/>
      <c r="O20771" s="24"/>
      <c r="P20771" s="24"/>
      <c r="Q20771" s="24"/>
      <c r="R20771" s="24"/>
      <c r="S20771" s="24"/>
      <c r="T20771" s="24"/>
      <c r="U20771" s="24"/>
      <c r="V20771" s="24"/>
      <c r="W20771" s="24"/>
      <c r="X20771" s="24"/>
      <c r="Y20771" s="24"/>
      <c r="Z20771" s="24"/>
      <c r="AA20771" s="24"/>
    </row>
    <row r="20772">
      <c r="A20772" s="24"/>
      <c r="B20772" s="25"/>
      <c r="C20772" s="24"/>
      <c r="D20772" s="26"/>
      <c r="E20772" s="24"/>
      <c r="F20772" s="24"/>
      <c r="G20772" s="24"/>
      <c r="H20772" s="24"/>
      <c r="I20772" s="24"/>
      <c r="J20772" s="24"/>
      <c r="K20772" s="24"/>
      <c r="L20772" s="24"/>
      <c r="M20772" s="24"/>
      <c r="N20772" s="24"/>
      <c r="O20772" s="24"/>
      <c r="P20772" s="24"/>
      <c r="Q20772" s="24"/>
      <c r="R20772" s="24"/>
      <c r="S20772" s="24"/>
      <c r="T20772" s="24"/>
      <c r="U20772" s="24"/>
      <c r="V20772" s="24"/>
      <c r="W20772" s="24"/>
      <c r="X20772" s="24"/>
      <c r="Y20772" s="24"/>
      <c r="Z20772" s="24"/>
      <c r="AA20772" s="24"/>
    </row>
    <row r="20773">
      <c r="A20773" s="24"/>
      <c r="B20773" s="25"/>
      <c r="C20773" s="24"/>
      <c r="D20773" s="26"/>
      <c r="E20773" s="24"/>
      <c r="F20773" s="24"/>
      <c r="G20773" s="24"/>
      <c r="H20773" s="24"/>
      <c r="I20773" s="24"/>
      <c r="J20773" s="24"/>
      <c r="K20773" s="24"/>
      <c r="L20773" s="24"/>
      <c r="M20773" s="24"/>
      <c r="N20773" s="24"/>
      <c r="O20773" s="24"/>
      <c r="P20773" s="24"/>
      <c r="Q20773" s="24"/>
      <c r="R20773" s="24"/>
      <c r="S20773" s="24"/>
      <c r="T20773" s="24"/>
      <c r="U20773" s="24"/>
      <c r="V20773" s="24"/>
      <c r="W20773" s="24"/>
      <c r="X20773" s="24"/>
      <c r="Y20773" s="24"/>
      <c r="Z20773" s="24"/>
      <c r="AA20773" s="24"/>
    </row>
    <row r="20774">
      <c r="A20774" s="24"/>
      <c r="B20774" s="25"/>
      <c r="C20774" s="24"/>
      <c r="D20774" s="26"/>
      <c r="E20774" s="24"/>
      <c r="F20774" s="24"/>
      <c r="G20774" s="24"/>
      <c r="H20774" s="24"/>
      <c r="I20774" s="24"/>
      <c r="J20774" s="24"/>
      <c r="K20774" s="24"/>
      <c r="L20774" s="24"/>
      <c r="M20774" s="24"/>
      <c r="N20774" s="24"/>
      <c r="O20774" s="24"/>
      <c r="P20774" s="24"/>
      <c r="Q20774" s="24"/>
      <c r="R20774" s="24"/>
      <c r="S20774" s="24"/>
      <c r="T20774" s="24"/>
      <c r="U20774" s="24"/>
      <c r="V20774" s="24"/>
      <c r="W20774" s="24"/>
      <c r="X20774" s="24"/>
      <c r="Y20774" s="24"/>
      <c r="Z20774" s="24"/>
      <c r="AA20774" s="24"/>
    </row>
    <row r="20775">
      <c r="A20775" s="24"/>
      <c r="B20775" s="25"/>
      <c r="C20775" s="24"/>
      <c r="D20775" s="26"/>
      <c r="E20775" s="24"/>
      <c r="F20775" s="24"/>
      <c r="G20775" s="24"/>
      <c r="H20775" s="24"/>
      <c r="I20775" s="24"/>
      <c r="J20775" s="24"/>
      <c r="K20775" s="24"/>
      <c r="L20775" s="24"/>
      <c r="M20775" s="24"/>
      <c r="N20775" s="24"/>
      <c r="O20775" s="24"/>
      <c r="P20775" s="24"/>
      <c r="Q20775" s="24"/>
      <c r="R20775" s="24"/>
      <c r="S20775" s="24"/>
      <c r="T20775" s="24"/>
      <c r="U20775" s="24"/>
      <c r="V20775" s="24"/>
      <c r="W20775" s="24"/>
      <c r="X20775" s="24"/>
      <c r="Y20775" s="24"/>
      <c r="Z20775" s="24"/>
      <c r="AA20775" s="24"/>
    </row>
    <row r="20776">
      <c r="A20776" s="24"/>
      <c r="B20776" s="25"/>
      <c r="C20776" s="24"/>
      <c r="D20776" s="26"/>
      <c r="E20776" s="24"/>
      <c r="F20776" s="24"/>
      <c r="G20776" s="24"/>
      <c r="H20776" s="24"/>
      <c r="I20776" s="24"/>
      <c r="J20776" s="24"/>
      <c r="K20776" s="24"/>
      <c r="L20776" s="24"/>
      <c r="M20776" s="24"/>
      <c r="N20776" s="24"/>
      <c r="O20776" s="24"/>
      <c r="P20776" s="24"/>
      <c r="Q20776" s="24"/>
      <c r="R20776" s="24"/>
      <c r="S20776" s="24"/>
      <c r="T20776" s="24"/>
      <c r="U20776" s="24"/>
      <c r="V20776" s="24"/>
      <c r="W20776" s="24"/>
      <c r="X20776" s="24"/>
      <c r="Y20776" s="24"/>
      <c r="Z20776" s="24"/>
      <c r="AA20776" s="24"/>
    </row>
    <row r="20777">
      <c r="A20777" s="24"/>
      <c r="B20777" s="25"/>
      <c r="C20777" s="24"/>
      <c r="D20777" s="26"/>
      <c r="E20777" s="24"/>
      <c r="F20777" s="24"/>
      <c r="G20777" s="24"/>
      <c r="H20777" s="24"/>
      <c r="I20777" s="24"/>
      <c r="J20777" s="24"/>
      <c r="K20777" s="24"/>
      <c r="L20777" s="24"/>
      <c r="M20777" s="24"/>
      <c r="N20777" s="24"/>
      <c r="O20777" s="24"/>
      <c r="P20777" s="24"/>
      <c r="Q20777" s="24"/>
      <c r="R20777" s="24"/>
      <c r="S20777" s="24"/>
      <c r="T20777" s="24"/>
      <c r="U20777" s="24"/>
      <c r="V20777" s="24"/>
      <c r="W20777" s="24"/>
      <c r="X20777" s="24"/>
      <c r="Y20777" s="24"/>
      <c r="Z20777" s="24"/>
      <c r="AA20777" s="24"/>
    </row>
    <row r="20778">
      <c r="A20778" s="24"/>
      <c r="B20778" s="25"/>
      <c r="C20778" s="24"/>
      <c r="D20778" s="26"/>
      <c r="E20778" s="24"/>
      <c r="F20778" s="24"/>
      <c r="G20778" s="24"/>
      <c r="H20778" s="24"/>
      <c r="I20778" s="24"/>
      <c r="J20778" s="24"/>
      <c r="K20778" s="24"/>
      <c r="L20778" s="24"/>
      <c r="M20778" s="24"/>
      <c r="N20778" s="24"/>
      <c r="O20778" s="24"/>
      <c r="P20778" s="24"/>
      <c r="Q20778" s="24"/>
      <c r="R20778" s="24"/>
      <c r="S20778" s="24"/>
      <c r="T20778" s="24"/>
      <c r="U20778" s="24"/>
      <c r="V20778" s="24"/>
      <c r="W20778" s="24"/>
      <c r="X20778" s="24"/>
      <c r="Y20778" s="24"/>
      <c r="Z20778" s="24"/>
      <c r="AA20778" s="24"/>
    </row>
    <row r="20779">
      <c r="A20779" s="24"/>
      <c r="B20779" s="25"/>
      <c r="C20779" s="24"/>
      <c r="D20779" s="26"/>
      <c r="E20779" s="24"/>
      <c r="F20779" s="24"/>
      <c r="G20779" s="24"/>
      <c r="H20779" s="24"/>
      <c r="I20779" s="24"/>
      <c r="J20779" s="24"/>
      <c r="K20779" s="24"/>
      <c r="L20779" s="24"/>
      <c r="M20779" s="24"/>
      <c r="N20779" s="24"/>
      <c r="O20779" s="24"/>
      <c r="P20779" s="24"/>
      <c r="Q20779" s="24"/>
      <c r="R20779" s="24"/>
      <c r="S20779" s="24"/>
      <c r="T20779" s="24"/>
      <c r="U20779" s="24"/>
      <c r="V20779" s="24"/>
      <c r="W20779" s="24"/>
      <c r="X20779" s="24"/>
      <c r="Y20779" s="24"/>
      <c r="Z20779" s="24"/>
      <c r="AA20779" s="24"/>
    </row>
    <row r="20780">
      <c r="A20780" s="24"/>
      <c r="B20780" s="25"/>
      <c r="C20780" s="24"/>
      <c r="D20780" s="26"/>
      <c r="E20780" s="24"/>
      <c r="F20780" s="24"/>
      <c r="G20780" s="24"/>
      <c r="H20780" s="24"/>
      <c r="I20780" s="24"/>
      <c r="J20780" s="24"/>
      <c r="K20780" s="24"/>
      <c r="L20780" s="24"/>
      <c r="M20780" s="24"/>
      <c r="N20780" s="24"/>
      <c r="O20780" s="24"/>
      <c r="P20780" s="24"/>
      <c r="Q20780" s="24"/>
      <c r="R20780" s="24"/>
      <c r="S20780" s="24"/>
      <c r="T20780" s="24"/>
      <c r="U20780" s="24"/>
      <c r="V20780" s="24"/>
      <c r="W20780" s="24"/>
      <c r="X20780" s="24"/>
      <c r="Y20780" s="24"/>
      <c r="Z20780" s="24"/>
      <c r="AA20780" s="24"/>
    </row>
    <row r="20781">
      <c r="A20781" s="24"/>
      <c r="B20781" s="25"/>
      <c r="C20781" s="24"/>
      <c r="D20781" s="26"/>
      <c r="E20781" s="24"/>
      <c r="F20781" s="24"/>
      <c r="G20781" s="24"/>
      <c r="H20781" s="24"/>
      <c r="I20781" s="24"/>
      <c r="J20781" s="24"/>
      <c r="K20781" s="24"/>
      <c r="L20781" s="24"/>
      <c r="M20781" s="24"/>
      <c r="N20781" s="24"/>
      <c r="O20781" s="24"/>
      <c r="P20781" s="24"/>
      <c r="Q20781" s="24"/>
      <c r="R20781" s="24"/>
      <c r="S20781" s="24"/>
      <c r="T20781" s="24"/>
      <c r="U20781" s="24"/>
      <c r="V20781" s="24"/>
      <c r="W20781" s="24"/>
      <c r="X20781" s="24"/>
      <c r="Y20781" s="24"/>
      <c r="Z20781" s="24"/>
      <c r="AA20781" s="24"/>
    </row>
    <row r="20782">
      <c r="A20782" s="24"/>
      <c r="B20782" s="25"/>
      <c r="C20782" s="24"/>
      <c r="D20782" s="26"/>
      <c r="E20782" s="24"/>
      <c r="F20782" s="24"/>
      <c r="G20782" s="24"/>
      <c r="H20782" s="24"/>
      <c r="I20782" s="24"/>
      <c r="J20782" s="24"/>
      <c r="K20782" s="24"/>
      <c r="L20782" s="24"/>
      <c r="M20782" s="24"/>
      <c r="N20782" s="24"/>
      <c r="O20782" s="24"/>
      <c r="P20782" s="24"/>
      <c r="Q20782" s="24"/>
      <c r="R20782" s="24"/>
      <c r="S20782" s="24"/>
      <c r="T20782" s="24"/>
      <c r="U20782" s="24"/>
      <c r="V20782" s="24"/>
      <c r="W20782" s="24"/>
      <c r="X20782" s="24"/>
      <c r="Y20782" s="24"/>
      <c r="Z20782" s="24"/>
      <c r="AA20782" s="24"/>
    </row>
    <row r="20783">
      <c r="A20783" s="24"/>
      <c r="B20783" s="25"/>
      <c r="C20783" s="24"/>
      <c r="D20783" s="26"/>
      <c r="E20783" s="24"/>
      <c r="F20783" s="24"/>
      <c r="G20783" s="24"/>
      <c r="H20783" s="24"/>
      <c r="I20783" s="24"/>
      <c r="J20783" s="24"/>
      <c r="K20783" s="24"/>
      <c r="L20783" s="24"/>
      <c r="M20783" s="24"/>
      <c r="N20783" s="24"/>
      <c r="O20783" s="24"/>
      <c r="P20783" s="24"/>
      <c r="Q20783" s="24"/>
      <c r="R20783" s="24"/>
      <c r="S20783" s="24"/>
      <c r="T20783" s="24"/>
      <c r="U20783" s="24"/>
      <c r="V20783" s="24"/>
      <c r="W20783" s="24"/>
      <c r="X20783" s="24"/>
      <c r="Y20783" s="24"/>
      <c r="Z20783" s="24"/>
      <c r="AA20783" s="24"/>
    </row>
    <row r="20784">
      <c r="A20784" s="24"/>
      <c r="B20784" s="25"/>
      <c r="C20784" s="24"/>
      <c r="D20784" s="26"/>
      <c r="E20784" s="24"/>
      <c r="F20784" s="24"/>
      <c r="G20784" s="24"/>
      <c r="H20784" s="24"/>
      <c r="I20784" s="24"/>
      <c r="J20784" s="24"/>
      <c r="K20784" s="24"/>
      <c r="L20784" s="24"/>
      <c r="M20784" s="24"/>
      <c r="N20784" s="24"/>
      <c r="O20784" s="24"/>
      <c r="P20784" s="24"/>
      <c r="Q20784" s="24"/>
      <c r="R20784" s="24"/>
      <c r="S20784" s="24"/>
      <c r="T20784" s="24"/>
      <c r="U20784" s="24"/>
      <c r="V20784" s="24"/>
      <c r="W20784" s="24"/>
      <c r="X20784" s="24"/>
      <c r="Y20784" s="24"/>
      <c r="Z20784" s="24"/>
      <c r="AA20784" s="24"/>
    </row>
    <row r="20785">
      <c r="A20785" s="24"/>
      <c r="B20785" s="25"/>
      <c r="C20785" s="24"/>
      <c r="D20785" s="26"/>
      <c r="E20785" s="24"/>
      <c r="F20785" s="24"/>
      <c r="G20785" s="24"/>
      <c r="H20785" s="24"/>
      <c r="I20785" s="24"/>
      <c r="J20785" s="24"/>
      <c r="K20785" s="24"/>
      <c r="L20785" s="24"/>
      <c r="M20785" s="24"/>
      <c r="N20785" s="24"/>
      <c r="O20785" s="24"/>
      <c r="P20785" s="24"/>
      <c r="Q20785" s="24"/>
      <c r="R20785" s="24"/>
      <c r="S20785" s="24"/>
      <c r="T20785" s="24"/>
      <c r="U20785" s="24"/>
      <c r="V20785" s="24"/>
      <c r="W20785" s="24"/>
      <c r="X20785" s="24"/>
      <c r="Y20785" s="24"/>
      <c r="Z20785" s="24"/>
      <c r="AA20785" s="24"/>
    </row>
    <row r="20786">
      <c r="A20786" s="24"/>
      <c r="B20786" s="25"/>
      <c r="C20786" s="24"/>
      <c r="D20786" s="26"/>
      <c r="E20786" s="24"/>
      <c r="F20786" s="24"/>
      <c r="G20786" s="24"/>
      <c r="H20786" s="24"/>
      <c r="I20786" s="24"/>
      <c r="J20786" s="24"/>
      <c r="K20786" s="24"/>
      <c r="L20786" s="24"/>
      <c r="M20786" s="24"/>
      <c r="N20786" s="24"/>
      <c r="O20786" s="24"/>
      <c r="P20786" s="24"/>
      <c r="Q20786" s="24"/>
      <c r="R20786" s="24"/>
      <c r="S20786" s="24"/>
      <c r="T20786" s="24"/>
      <c r="U20786" s="24"/>
      <c r="V20786" s="24"/>
      <c r="W20786" s="24"/>
      <c r="X20786" s="24"/>
      <c r="Y20786" s="24"/>
      <c r="Z20786" s="24"/>
      <c r="AA20786" s="24"/>
    </row>
    <row r="20787">
      <c r="A20787" s="24"/>
      <c r="B20787" s="25"/>
      <c r="C20787" s="24"/>
      <c r="D20787" s="26"/>
      <c r="E20787" s="24"/>
      <c r="F20787" s="24"/>
      <c r="G20787" s="24"/>
      <c r="H20787" s="24"/>
      <c r="I20787" s="24"/>
      <c r="J20787" s="24"/>
      <c r="K20787" s="24"/>
      <c r="L20787" s="24"/>
      <c r="M20787" s="24"/>
      <c r="N20787" s="24"/>
      <c r="O20787" s="24"/>
      <c r="P20787" s="24"/>
      <c r="Q20787" s="24"/>
      <c r="R20787" s="24"/>
      <c r="S20787" s="24"/>
      <c r="T20787" s="24"/>
      <c r="U20787" s="24"/>
      <c r="V20787" s="24"/>
      <c r="W20787" s="24"/>
      <c r="X20787" s="24"/>
      <c r="Y20787" s="24"/>
      <c r="Z20787" s="24"/>
      <c r="AA20787" s="24"/>
    </row>
    <row r="20788">
      <c r="A20788" s="24"/>
      <c r="B20788" s="25"/>
      <c r="C20788" s="24"/>
      <c r="D20788" s="26"/>
      <c r="E20788" s="24"/>
      <c r="F20788" s="24"/>
      <c r="G20788" s="24"/>
      <c r="H20788" s="24"/>
      <c r="I20788" s="24"/>
      <c r="J20788" s="24"/>
      <c r="K20788" s="24"/>
      <c r="L20788" s="24"/>
      <c r="M20788" s="24"/>
      <c r="N20788" s="24"/>
      <c r="O20788" s="24"/>
      <c r="P20788" s="24"/>
      <c r="Q20788" s="24"/>
      <c r="R20788" s="24"/>
      <c r="S20788" s="24"/>
      <c r="T20788" s="24"/>
      <c r="U20788" s="24"/>
      <c r="V20788" s="24"/>
      <c r="W20788" s="24"/>
      <c r="X20788" s="24"/>
      <c r="Y20788" s="24"/>
      <c r="Z20788" s="24"/>
      <c r="AA20788" s="24"/>
    </row>
    <row r="20789">
      <c r="A20789" s="24"/>
      <c r="B20789" s="25"/>
      <c r="C20789" s="24"/>
      <c r="D20789" s="26"/>
      <c r="E20789" s="24"/>
      <c r="F20789" s="24"/>
      <c r="G20789" s="24"/>
      <c r="H20789" s="24"/>
      <c r="I20789" s="24"/>
      <c r="J20789" s="24"/>
      <c r="K20789" s="24"/>
      <c r="L20789" s="24"/>
      <c r="M20789" s="24"/>
      <c r="N20789" s="24"/>
      <c r="O20789" s="24"/>
      <c r="P20789" s="24"/>
      <c r="Q20789" s="24"/>
      <c r="R20789" s="24"/>
      <c r="S20789" s="24"/>
      <c r="T20789" s="24"/>
      <c r="U20789" s="24"/>
      <c r="V20789" s="24"/>
      <c r="W20789" s="24"/>
      <c r="X20789" s="24"/>
      <c r="Y20789" s="24"/>
      <c r="Z20789" s="24"/>
      <c r="AA20789" s="24"/>
    </row>
    <row r="20790">
      <c r="A20790" s="24"/>
      <c r="B20790" s="25"/>
      <c r="C20790" s="24"/>
      <c r="D20790" s="26"/>
      <c r="E20790" s="24"/>
      <c r="F20790" s="24"/>
      <c r="G20790" s="24"/>
      <c r="H20790" s="24"/>
      <c r="I20790" s="24"/>
      <c r="J20790" s="24"/>
      <c r="K20790" s="24"/>
      <c r="L20790" s="24"/>
      <c r="M20790" s="24"/>
      <c r="N20790" s="24"/>
      <c r="O20790" s="24"/>
      <c r="P20790" s="24"/>
      <c r="Q20790" s="24"/>
      <c r="R20790" s="24"/>
      <c r="S20790" s="24"/>
      <c r="T20790" s="24"/>
      <c r="U20790" s="24"/>
      <c r="V20790" s="24"/>
      <c r="W20790" s="24"/>
      <c r="X20790" s="24"/>
      <c r="Y20790" s="24"/>
      <c r="Z20790" s="24"/>
      <c r="AA20790" s="24"/>
    </row>
    <row r="20791">
      <c r="A20791" s="24"/>
      <c r="B20791" s="25"/>
      <c r="C20791" s="24"/>
      <c r="D20791" s="26"/>
      <c r="E20791" s="24"/>
      <c r="F20791" s="24"/>
      <c r="G20791" s="24"/>
      <c r="H20791" s="24"/>
      <c r="I20791" s="24"/>
      <c r="J20791" s="24"/>
      <c r="K20791" s="24"/>
      <c r="L20791" s="24"/>
      <c r="M20791" s="24"/>
      <c r="N20791" s="24"/>
      <c r="O20791" s="24"/>
      <c r="P20791" s="24"/>
      <c r="Q20791" s="24"/>
      <c r="R20791" s="24"/>
      <c r="S20791" s="24"/>
      <c r="T20791" s="24"/>
      <c r="U20791" s="24"/>
      <c r="V20791" s="24"/>
      <c r="W20791" s="24"/>
      <c r="X20791" s="24"/>
      <c r="Y20791" s="24"/>
      <c r="Z20791" s="24"/>
      <c r="AA20791" s="24"/>
    </row>
    <row r="20792">
      <c r="A20792" s="24"/>
      <c r="B20792" s="25"/>
      <c r="C20792" s="24"/>
      <c r="D20792" s="26"/>
      <c r="E20792" s="24"/>
      <c r="F20792" s="24"/>
      <c r="G20792" s="24"/>
      <c r="H20792" s="24"/>
      <c r="I20792" s="24"/>
      <c r="J20792" s="24"/>
      <c r="K20792" s="24"/>
      <c r="L20792" s="24"/>
      <c r="M20792" s="24"/>
      <c r="N20792" s="24"/>
      <c r="O20792" s="24"/>
      <c r="P20792" s="24"/>
      <c r="Q20792" s="24"/>
      <c r="R20792" s="24"/>
      <c r="S20792" s="24"/>
      <c r="T20792" s="24"/>
      <c r="U20792" s="24"/>
      <c r="V20792" s="24"/>
      <c r="W20792" s="24"/>
      <c r="X20792" s="24"/>
      <c r="Y20792" s="24"/>
      <c r="Z20792" s="24"/>
      <c r="AA20792" s="24"/>
    </row>
    <row r="20793">
      <c r="A20793" s="24"/>
      <c r="B20793" s="25"/>
      <c r="C20793" s="24"/>
      <c r="D20793" s="26"/>
      <c r="E20793" s="24"/>
      <c r="F20793" s="24"/>
      <c r="G20793" s="24"/>
      <c r="H20793" s="24"/>
      <c r="I20793" s="24"/>
      <c r="J20793" s="24"/>
      <c r="K20793" s="24"/>
      <c r="L20793" s="24"/>
      <c r="M20793" s="24"/>
      <c r="N20793" s="24"/>
      <c r="O20793" s="24"/>
      <c r="P20793" s="24"/>
      <c r="Q20793" s="24"/>
      <c r="R20793" s="24"/>
      <c r="S20793" s="24"/>
      <c r="T20793" s="24"/>
      <c r="U20793" s="24"/>
      <c r="V20793" s="24"/>
      <c r="W20793" s="24"/>
      <c r="X20793" s="24"/>
      <c r="Y20793" s="24"/>
      <c r="Z20793" s="24"/>
      <c r="AA20793" s="24"/>
    </row>
    <row r="20794">
      <c r="A20794" s="24"/>
      <c r="B20794" s="25"/>
      <c r="C20794" s="24"/>
      <c r="D20794" s="26"/>
      <c r="E20794" s="24"/>
      <c r="F20794" s="24"/>
      <c r="G20794" s="24"/>
      <c r="H20794" s="24"/>
      <c r="I20794" s="24"/>
      <c r="J20794" s="24"/>
      <c r="K20794" s="24"/>
      <c r="L20794" s="24"/>
      <c r="M20794" s="24"/>
      <c r="N20794" s="24"/>
      <c r="O20794" s="24"/>
      <c r="P20794" s="24"/>
      <c r="Q20794" s="24"/>
      <c r="R20794" s="24"/>
      <c r="S20794" s="24"/>
      <c r="T20794" s="24"/>
      <c r="U20794" s="24"/>
      <c r="V20794" s="24"/>
      <c r="W20794" s="24"/>
      <c r="X20794" s="24"/>
      <c r="Y20794" s="24"/>
      <c r="Z20794" s="24"/>
      <c r="AA20794" s="24"/>
    </row>
    <row r="20795">
      <c r="A20795" s="24"/>
      <c r="B20795" s="25"/>
      <c r="C20795" s="24"/>
      <c r="D20795" s="26"/>
      <c r="E20795" s="24"/>
      <c r="F20795" s="24"/>
      <c r="G20795" s="24"/>
      <c r="H20795" s="24"/>
      <c r="I20795" s="24"/>
      <c r="J20795" s="24"/>
      <c r="K20795" s="24"/>
      <c r="L20795" s="24"/>
      <c r="M20795" s="24"/>
      <c r="N20795" s="24"/>
      <c r="O20795" s="24"/>
      <c r="P20795" s="24"/>
      <c r="Q20795" s="24"/>
      <c r="R20795" s="24"/>
      <c r="S20795" s="24"/>
      <c r="T20795" s="24"/>
      <c r="U20795" s="24"/>
      <c r="V20795" s="24"/>
      <c r="W20795" s="24"/>
      <c r="X20795" s="24"/>
      <c r="Y20795" s="24"/>
      <c r="Z20795" s="24"/>
      <c r="AA20795" s="24"/>
    </row>
    <row r="20796">
      <c r="A20796" s="24"/>
      <c r="B20796" s="25"/>
      <c r="C20796" s="24"/>
      <c r="D20796" s="26"/>
      <c r="E20796" s="24"/>
      <c r="F20796" s="24"/>
      <c r="G20796" s="24"/>
      <c r="H20796" s="24"/>
      <c r="I20796" s="24"/>
      <c r="J20796" s="24"/>
      <c r="K20796" s="24"/>
      <c r="L20796" s="24"/>
      <c r="M20796" s="24"/>
      <c r="N20796" s="24"/>
      <c r="O20796" s="24"/>
      <c r="P20796" s="24"/>
      <c r="Q20796" s="24"/>
      <c r="R20796" s="24"/>
      <c r="S20796" s="24"/>
      <c r="T20796" s="24"/>
      <c r="U20796" s="24"/>
      <c r="V20796" s="24"/>
      <c r="W20796" s="24"/>
      <c r="X20796" s="24"/>
      <c r="Y20796" s="24"/>
      <c r="Z20796" s="24"/>
      <c r="AA20796" s="24"/>
    </row>
    <row r="20797">
      <c r="A20797" s="24"/>
      <c r="B20797" s="25"/>
      <c r="C20797" s="24"/>
      <c r="D20797" s="26"/>
      <c r="E20797" s="24"/>
      <c r="F20797" s="24"/>
      <c r="G20797" s="24"/>
      <c r="H20797" s="24"/>
      <c r="I20797" s="24"/>
      <c r="J20797" s="24"/>
      <c r="K20797" s="24"/>
      <c r="L20797" s="24"/>
      <c r="M20797" s="24"/>
      <c r="N20797" s="24"/>
      <c r="O20797" s="24"/>
      <c r="P20797" s="24"/>
      <c r="Q20797" s="24"/>
      <c r="R20797" s="24"/>
      <c r="S20797" s="24"/>
      <c r="T20797" s="24"/>
      <c r="U20797" s="24"/>
      <c r="V20797" s="24"/>
      <c r="W20797" s="24"/>
      <c r="X20797" s="24"/>
      <c r="Y20797" s="24"/>
      <c r="Z20797" s="24"/>
      <c r="AA20797" s="24"/>
    </row>
    <row r="20798">
      <c r="A20798" s="24"/>
      <c r="B20798" s="25"/>
      <c r="C20798" s="24"/>
      <c r="D20798" s="26"/>
      <c r="E20798" s="24"/>
      <c r="F20798" s="24"/>
      <c r="G20798" s="24"/>
      <c r="H20798" s="24"/>
      <c r="I20798" s="24"/>
      <c r="J20798" s="24"/>
      <c r="K20798" s="24"/>
      <c r="L20798" s="24"/>
      <c r="M20798" s="24"/>
      <c r="N20798" s="24"/>
      <c r="O20798" s="24"/>
      <c r="P20798" s="24"/>
      <c r="Q20798" s="24"/>
      <c r="R20798" s="24"/>
      <c r="S20798" s="24"/>
      <c r="T20798" s="24"/>
      <c r="U20798" s="24"/>
      <c r="V20798" s="24"/>
      <c r="W20798" s="24"/>
      <c r="X20798" s="24"/>
      <c r="Y20798" s="24"/>
      <c r="Z20798" s="24"/>
      <c r="AA20798" s="24"/>
    </row>
    <row r="20799">
      <c r="A20799" s="24"/>
      <c r="B20799" s="25"/>
      <c r="C20799" s="24"/>
      <c r="D20799" s="26"/>
      <c r="E20799" s="24"/>
      <c r="F20799" s="24"/>
      <c r="G20799" s="24"/>
      <c r="H20799" s="24"/>
      <c r="I20799" s="24"/>
      <c r="J20799" s="24"/>
      <c r="K20799" s="24"/>
      <c r="L20799" s="24"/>
      <c r="M20799" s="24"/>
      <c r="N20799" s="24"/>
      <c r="O20799" s="24"/>
      <c r="P20799" s="24"/>
      <c r="Q20799" s="24"/>
      <c r="R20799" s="24"/>
      <c r="S20799" s="24"/>
      <c r="T20799" s="24"/>
      <c r="U20799" s="24"/>
      <c r="V20799" s="24"/>
      <c r="W20799" s="24"/>
      <c r="X20799" s="24"/>
      <c r="Y20799" s="24"/>
      <c r="Z20799" s="24"/>
      <c r="AA20799" s="24"/>
    </row>
    <row r="20800">
      <c r="A20800" s="24"/>
      <c r="B20800" s="25"/>
      <c r="C20800" s="24"/>
      <c r="D20800" s="26"/>
      <c r="E20800" s="24"/>
      <c r="F20800" s="24"/>
      <c r="G20800" s="24"/>
      <c r="H20800" s="24"/>
      <c r="I20800" s="24"/>
      <c r="J20800" s="24"/>
      <c r="K20800" s="24"/>
      <c r="L20800" s="24"/>
      <c r="M20800" s="24"/>
      <c r="N20800" s="24"/>
      <c r="O20800" s="24"/>
      <c r="P20800" s="24"/>
      <c r="Q20800" s="24"/>
      <c r="R20800" s="24"/>
      <c r="S20800" s="24"/>
      <c r="T20800" s="24"/>
      <c r="U20800" s="24"/>
      <c r="V20800" s="24"/>
      <c r="W20800" s="24"/>
      <c r="X20800" s="24"/>
      <c r="Y20800" s="24"/>
      <c r="Z20800" s="24"/>
      <c r="AA20800" s="24"/>
    </row>
    <row r="20801">
      <c r="A20801" s="24"/>
      <c r="B20801" s="25"/>
      <c r="C20801" s="24"/>
      <c r="D20801" s="26"/>
      <c r="E20801" s="24"/>
      <c r="F20801" s="24"/>
      <c r="G20801" s="24"/>
      <c r="H20801" s="24"/>
      <c r="I20801" s="24"/>
      <c r="J20801" s="24"/>
      <c r="K20801" s="24"/>
      <c r="L20801" s="24"/>
      <c r="M20801" s="24"/>
      <c r="N20801" s="24"/>
      <c r="O20801" s="24"/>
      <c r="P20801" s="24"/>
      <c r="Q20801" s="24"/>
      <c r="R20801" s="24"/>
      <c r="S20801" s="24"/>
      <c r="T20801" s="24"/>
      <c r="U20801" s="24"/>
      <c r="V20801" s="24"/>
      <c r="W20801" s="24"/>
      <c r="X20801" s="24"/>
      <c r="Y20801" s="24"/>
      <c r="Z20801" s="24"/>
      <c r="AA20801" s="24"/>
    </row>
    <row r="20802">
      <c r="A20802" s="24"/>
      <c r="B20802" s="25"/>
      <c r="C20802" s="24"/>
      <c r="D20802" s="26"/>
      <c r="E20802" s="24"/>
      <c r="F20802" s="24"/>
      <c r="G20802" s="24"/>
      <c r="H20802" s="24"/>
      <c r="I20802" s="24"/>
      <c r="J20802" s="24"/>
      <c r="K20802" s="24"/>
      <c r="L20802" s="24"/>
      <c r="M20802" s="24"/>
      <c r="N20802" s="24"/>
      <c r="O20802" s="24"/>
      <c r="P20802" s="24"/>
      <c r="Q20802" s="24"/>
      <c r="R20802" s="24"/>
      <c r="S20802" s="24"/>
      <c r="T20802" s="24"/>
      <c r="U20802" s="24"/>
      <c r="V20802" s="24"/>
      <c r="W20802" s="24"/>
      <c r="X20802" s="24"/>
      <c r="Y20802" s="24"/>
      <c r="Z20802" s="24"/>
      <c r="AA20802" s="24"/>
    </row>
    <row r="20803">
      <c r="A20803" s="24"/>
      <c r="B20803" s="25"/>
      <c r="C20803" s="24"/>
      <c r="D20803" s="26"/>
      <c r="E20803" s="24"/>
      <c r="F20803" s="24"/>
      <c r="G20803" s="24"/>
      <c r="H20803" s="24"/>
      <c r="I20803" s="24"/>
      <c r="J20803" s="24"/>
      <c r="K20803" s="24"/>
      <c r="L20803" s="24"/>
      <c r="M20803" s="24"/>
      <c r="N20803" s="24"/>
      <c r="O20803" s="24"/>
      <c r="P20803" s="24"/>
      <c r="Q20803" s="24"/>
      <c r="R20803" s="24"/>
      <c r="S20803" s="24"/>
      <c r="T20803" s="24"/>
      <c r="U20803" s="24"/>
      <c r="V20803" s="24"/>
      <c r="W20803" s="24"/>
      <c r="X20803" s="24"/>
      <c r="Y20803" s="24"/>
      <c r="Z20803" s="24"/>
      <c r="AA20803" s="24"/>
    </row>
    <row r="20804">
      <c r="A20804" s="24"/>
      <c r="B20804" s="25"/>
      <c r="C20804" s="24"/>
      <c r="D20804" s="26"/>
      <c r="E20804" s="24"/>
      <c r="F20804" s="24"/>
      <c r="G20804" s="24"/>
      <c r="H20804" s="24"/>
      <c r="I20804" s="24"/>
      <c r="J20804" s="24"/>
      <c r="K20804" s="24"/>
      <c r="L20804" s="24"/>
      <c r="M20804" s="24"/>
      <c r="N20804" s="24"/>
      <c r="O20804" s="24"/>
      <c r="P20804" s="24"/>
      <c r="Q20804" s="24"/>
      <c r="R20804" s="24"/>
      <c r="S20804" s="24"/>
      <c r="T20804" s="24"/>
      <c r="U20804" s="24"/>
      <c r="V20804" s="24"/>
      <c r="W20804" s="24"/>
      <c r="X20804" s="24"/>
      <c r="Y20804" s="24"/>
      <c r="Z20804" s="24"/>
      <c r="AA20804" s="24"/>
    </row>
    <row r="20805">
      <c r="A20805" s="24"/>
      <c r="B20805" s="25"/>
      <c r="C20805" s="24"/>
      <c r="D20805" s="26"/>
      <c r="E20805" s="24"/>
      <c r="F20805" s="24"/>
      <c r="G20805" s="24"/>
      <c r="H20805" s="24"/>
      <c r="I20805" s="24"/>
      <c r="J20805" s="24"/>
      <c r="K20805" s="24"/>
      <c r="L20805" s="24"/>
      <c r="M20805" s="24"/>
      <c r="N20805" s="24"/>
      <c r="O20805" s="24"/>
      <c r="P20805" s="24"/>
      <c r="Q20805" s="24"/>
      <c r="R20805" s="24"/>
      <c r="S20805" s="24"/>
      <c r="T20805" s="24"/>
      <c r="U20805" s="24"/>
      <c r="V20805" s="24"/>
      <c r="W20805" s="24"/>
      <c r="X20805" s="24"/>
      <c r="Y20805" s="24"/>
      <c r="Z20805" s="24"/>
      <c r="AA20805" s="24"/>
    </row>
    <row r="20806">
      <c r="A20806" s="24"/>
      <c r="B20806" s="25"/>
      <c r="C20806" s="24"/>
      <c r="D20806" s="26"/>
      <c r="E20806" s="24"/>
      <c r="F20806" s="24"/>
      <c r="G20806" s="24"/>
      <c r="H20806" s="24"/>
      <c r="I20806" s="24"/>
      <c r="J20806" s="24"/>
      <c r="K20806" s="24"/>
      <c r="L20806" s="24"/>
      <c r="M20806" s="24"/>
      <c r="N20806" s="24"/>
      <c r="O20806" s="24"/>
      <c r="P20806" s="24"/>
      <c r="Q20806" s="24"/>
      <c r="R20806" s="24"/>
      <c r="S20806" s="24"/>
      <c r="T20806" s="24"/>
      <c r="U20806" s="24"/>
      <c r="V20806" s="24"/>
      <c r="W20806" s="24"/>
      <c r="X20806" s="24"/>
      <c r="Y20806" s="24"/>
      <c r="Z20806" s="24"/>
      <c r="AA20806" s="24"/>
    </row>
    <row r="20807">
      <c r="A20807" s="24"/>
      <c r="B20807" s="25"/>
      <c r="C20807" s="24"/>
      <c r="D20807" s="26"/>
      <c r="E20807" s="24"/>
      <c r="F20807" s="24"/>
      <c r="G20807" s="24"/>
      <c r="H20807" s="24"/>
      <c r="I20807" s="24"/>
      <c r="J20807" s="24"/>
      <c r="K20807" s="24"/>
      <c r="L20807" s="24"/>
      <c r="M20807" s="24"/>
      <c r="N20807" s="24"/>
      <c r="O20807" s="24"/>
      <c r="P20807" s="24"/>
      <c r="Q20807" s="24"/>
      <c r="R20807" s="24"/>
      <c r="S20807" s="24"/>
      <c r="T20807" s="24"/>
      <c r="U20807" s="24"/>
      <c r="V20807" s="24"/>
      <c r="W20807" s="24"/>
      <c r="X20807" s="24"/>
      <c r="Y20807" s="24"/>
      <c r="Z20807" s="24"/>
      <c r="AA20807" s="24"/>
    </row>
    <row r="20808">
      <c r="A20808" s="24"/>
      <c r="B20808" s="25"/>
      <c r="C20808" s="24"/>
      <c r="D20808" s="26"/>
      <c r="E20808" s="24"/>
      <c r="F20808" s="24"/>
      <c r="G20808" s="24"/>
      <c r="H20808" s="24"/>
      <c r="I20808" s="24"/>
      <c r="J20808" s="24"/>
      <c r="K20808" s="24"/>
      <c r="L20808" s="24"/>
      <c r="M20808" s="24"/>
      <c r="N20808" s="24"/>
      <c r="O20808" s="24"/>
      <c r="P20808" s="24"/>
      <c r="Q20808" s="24"/>
      <c r="R20808" s="24"/>
      <c r="S20808" s="24"/>
      <c r="T20808" s="24"/>
      <c r="U20808" s="24"/>
      <c r="V20808" s="24"/>
      <c r="W20808" s="24"/>
      <c r="X20808" s="24"/>
      <c r="Y20808" s="24"/>
      <c r="Z20808" s="24"/>
      <c r="AA20808" s="24"/>
    </row>
    <row r="20809">
      <c r="A20809" s="24"/>
      <c r="B20809" s="25"/>
      <c r="C20809" s="24"/>
      <c r="D20809" s="26"/>
      <c r="E20809" s="24"/>
      <c r="F20809" s="24"/>
      <c r="G20809" s="24"/>
      <c r="H20809" s="24"/>
      <c r="I20809" s="24"/>
      <c r="J20809" s="24"/>
      <c r="K20809" s="24"/>
      <c r="L20809" s="24"/>
      <c r="M20809" s="24"/>
      <c r="N20809" s="24"/>
      <c r="O20809" s="24"/>
      <c r="P20809" s="24"/>
      <c r="Q20809" s="24"/>
      <c r="R20809" s="24"/>
      <c r="S20809" s="24"/>
      <c r="T20809" s="24"/>
      <c r="U20809" s="24"/>
      <c r="V20809" s="24"/>
      <c r="W20809" s="24"/>
      <c r="X20809" s="24"/>
      <c r="Y20809" s="24"/>
      <c r="Z20809" s="24"/>
      <c r="AA20809" s="24"/>
    </row>
    <row r="20810">
      <c r="A20810" s="24"/>
      <c r="B20810" s="25"/>
      <c r="C20810" s="24"/>
      <c r="D20810" s="26"/>
      <c r="E20810" s="24"/>
      <c r="F20810" s="24"/>
      <c r="G20810" s="24"/>
      <c r="H20810" s="24"/>
      <c r="I20810" s="24"/>
      <c r="J20810" s="24"/>
      <c r="K20810" s="24"/>
      <c r="L20810" s="24"/>
      <c r="M20810" s="24"/>
      <c r="N20810" s="24"/>
      <c r="O20810" s="24"/>
      <c r="P20810" s="24"/>
      <c r="Q20810" s="24"/>
      <c r="R20810" s="24"/>
      <c r="S20810" s="24"/>
      <c r="T20810" s="24"/>
      <c r="U20810" s="24"/>
      <c r="V20810" s="24"/>
      <c r="W20810" s="24"/>
      <c r="X20810" s="24"/>
      <c r="Y20810" s="24"/>
      <c r="Z20810" s="24"/>
      <c r="AA20810" s="24"/>
    </row>
    <row r="20811">
      <c r="A20811" s="24"/>
      <c r="B20811" s="25"/>
      <c r="C20811" s="24"/>
      <c r="D20811" s="26"/>
      <c r="E20811" s="24"/>
      <c r="F20811" s="24"/>
      <c r="G20811" s="24"/>
      <c r="H20811" s="24"/>
      <c r="I20811" s="24"/>
      <c r="J20811" s="24"/>
      <c r="K20811" s="24"/>
      <c r="L20811" s="24"/>
      <c r="M20811" s="24"/>
      <c r="N20811" s="24"/>
      <c r="O20811" s="24"/>
      <c r="P20811" s="24"/>
      <c r="Q20811" s="24"/>
      <c r="R20811" s="24"/>
      <c r="S20811" s="24"/>
      <c r="T20811" s="24"/>
      <c r="U20811" s="24"/>
      <c r="V20811" s="24"/>
      <c r="W20811" s="24"/>
      <c r="X20811" s="24"/>
      <c r="Y20811" s="24"/>
      <c r="Z20811" s="24"/>
      <c r="AA20811" s="24"/>
    </row>
    <row r="20812">
      <c r="A20812" s="24"/>
      <c r="B20812" s="25"/>
      <c r="C20812" s="24"/>
      <c r="D20812" s="26"/>
      <c r="E20812" s="24"/>
      <c r="F20812" s="24"/>
      <c r="G20812" s="24"/>
      <c r="H20812" s="24"/>
      <c r="I20812" s="24"/>
      <c r="J20812" s="24"/>
      <c r="K20812" s="24"/>
      <c r="L20812" s="24"/>
      <c r="M20812" s="24"/>
      <c r="N20812" s="24"/>
      <c r="O20812" s="24"/>
      <c r="P20812" s="24"/>
      <c r="Q20812" s="24"/>
      <c r="R20812" s="24"/>
      <c r="S20812" s="24"/>
      <c r="T20812" s="24"/>
      <c r="U20812" s="24"/>
      <c r="V20812" s="24"/>
      <c r="W20812" s="24"/>
      <c r="X20812" s="24"/>
      <c r="Y20812" s="24"/>
      <c r="Z20812" s="24"/>
      <c r="AA20812" s="24"/>
    </row>
    <row r="20813">
      <c r="A20813" s="24"/>
      <c r="B20813" s="25"/>
      <c r="C20813" s="24"/>
      <c r="D20813" s="26"/>
      <c r="E20813" s="24"/>
      <c r="F20813" s="24"/>
      <c r="G20813" s="24"/>
      <c r="H20813" s="24"/>
      <c r="I20813" s="24"/>
      <c r="J20813" s="24"/>
      <c r="K20813" s="24"/>
      <c r="L20813" s="24"/>
      <c r="M20813" s="24"/>
      <c r="N20813" s="24"/>
      <c r="O20813" s="24"/>
      <c r="P20813" s="24"/>
      <c r="Q20813" s="24"/>
      <c r="R20813" s="24"/>
      <c r="S20813" s="24"/>
      <c r="T20813" s="24"/>
      <c r="U20813" s="24"/>
      <c r="V20813" s="24"/>
      <c r="W20813" s="24"/>
      <c r="X20813" s="24"/>
      <c r="Y20813" s="24"/>
      <c r="Z20813" s="24"/>
      <c r="AA20813" s="24"/>
    </row>
    <row r="20814">
      <c r="A20814" s="24"/>
      <c r="B20814" s="25"/>
      <c r="C20814" s="24"/>
      <c r="D20814" s="26"/>
      <c r="E20814" s="24"/>
      <c r="F20814" s="24"/>
      <c r="G20814" s="24"/>
      <c r="H20814" s="24"/>
      <c r="I20814" s="24"/>
      <c r="J20814" s="24"/>
      <c r="K20814" s="24"/>
      <c r="L20814" s="24"/>
      <c r="M20814" s="24"/>
      <c r="N20814" s="24"/>
      <c r="O20814" s="24"/>
      <c r="P20814" s="24"/>
      <c r="Q20814" s="24"/>
      <c r="R20814" s="24"/>
      <c r="S20814" s="24"/>
      <c r="T20814" s="24"/>
      <c r="U20814" s="24"/>
      <c r="V20814" s="24"/>
      <c r="W20814" s="24"/>
      <c r="X20814" s="24"/>
      <c r="Y20814" s="24"/>
      <c r="Z20814" s="24"/>
      <c r="AA20814" s="24"/>
    </row>
    <row r="20815">
      <c r="A20815" s="24"/>
      <c r="B20815" s="25"/>
      <c r="C20815" s="24"/>
      <c r="D20815" s="26"/>
      <c r="E20815" s="24"/>
      <c r="F20815" s="24"/>
      <c r="G20815" s="24"/>
      <c r="H20815" s="24"/>
      <c r="I20815" s="24"/>
      <c r="J20815" s="24"/>
      <c r="K20815" s="24"/>
      <c r="L20815" s="24"/>
      <c r="M20815" s="24"/>
      <c r="N20815" s="24"/>
      <c r="O20815" s="24"/>
      <c r="P20815" s="24"/>
      <c r="Q20815" s="24"/>
      <c r="R20815" s="24"/>
      <c r="S20815" s="24"/>
      <c r="T20815" s="24"/>
      <c r="U20815" s="24"/>
      <c r="V20815" s="24"/>
      <c r="W20815" s="24"/>
      <c r="X20815" s="24"/>
      <c r="Y20815" s="24"/>
      <c r="Z20815" s="24"/>
      <c r="AA20815" s="24"/>
    </row>
    <row r="20816">
      <c r="A20816" s="24"/>
      <c r="B20816" s="25"/>
      <c r="C20816" s="24"/>
      <c r="D20816" s="26"/>
      <c r="E20816" s="24"/>
      <c r="F20816" s="24"/>
      <c r="G20816" s="24"/>
      <c r="H20816" s="24"/>
      <c r="I20816" s="24"/>
      <c r="J20816" s="24"/>
      <c r="K20816" s="24"/>
      <c r="L20816" s="24"/>
      <c r="M20816" s="24"/>
      <c r="N20816" s="24"/>
      <c r="O20816" s="24"/>
      <c r="P20816" s="24"/>
      <c r="Q20816" s="24"/>
      <c r="R20816" s="24"/>
      <c r="S20816" s="24"/>
      <c r="T20816" s="24"/>
      <c r="U20816" s="24"/>
      <c r="V20816" s="24"/>
      <c r="W20816" s="24"/>
      <c r="X20816" s="24"/>
      <c r="Y20816" s="24"/>
      <c r="Z20816" s="24"/>
      <c r="AA20816" s="24"/>
    </row>
    <row r="20817">
      <c r="A20817" s="24"/>
      <c r="B20817" s="25"/>
      <c r="C20817" s="24"/>
      <c r="D20817" s="26"/>
      <c r="E20817" s="24"/>
      <c r="F20817" s="24"/>
      <c r="G20817" s="24"/>
      <c r="H20817" s="24"/>
      <c r="I20817" s="24"/>
      <c r="J20817" s="24"/>
      <c r="K20817" s="24"/>
      <c r="L20817" s="24"/>
      <c r="M20817" s="24"/>
      <c r="N20817" s="24"/>
      <c r="O20817" s="24"/>
      <c r="P20817" s="24"/>
      <c r="Q20817" s="24"/>
      <c r="R20817" s="24"/>
      <c r="S20817" s="24"/>
      <c r="T20817" s="24"/>
      <c r="U20817" s="24"/>
      <c r="V20817" s="24"/>
      <c r="W20817" s="24"/>
      <c r="X20817" s="24"/>
      <c r="Y20817" s="24"/>
      <c r="Z20817" s="24"/>
      <c r="AA20817" s="24"/>
    </row>
    <row r="20818">
      <c r="A20818" s="24"/>
      <c r="B20818" s="25"/>
      <c r="C20818" s="24"/>
      <c r="D20818" s="26"/>
      <c r="E20818" s="24"/>
      <c r="F20818" s="24"/>
      <c r="G20818" s="24"/>
      <c r="H20818" s="24"/>
      <c r="I20818" s="24"/>
      <c r="J20818" s="24"/>
      <c r="K20818" s="24"/>
      <c r="L20818" s="24"/>
      <c r="M20818" s="24"/>
      <c r="N20818" s="24"/>
      <c r="O20818" s="24"/>
      <c r="P20818" s="24"/>
      <c r="Q20818" s="24"/>
      <c r="R20818" s="24"/>
      <c r="S20818" s="24"/>
      <c r="T20818" s="24"/>
      <c r="U20818" s="24"/>
      <c r="V20818" s="24"/>
      <c r="W20818" s="24"/>
      <c r="X20818" s="24"/>
      <c r="Y20818" s="24"/>
      <c r="Z20818" s="24"/>
      <c r="AA20818" s="24"/>
    </row>
    <row r="20819">
      <c r="A20819" s="24"/>
      <c r="B20819" s="25"/>
      <c r="C20819" s="24"/>
      <c r="D20819" s="26"/>
      <c r="E20819" s="24"/>
      <c r="F20819" s="24"/>
      <c r="G20819" s="24"/>
      <c r="H20819" s="24"/>
      <c r="I20819" s="24"/>
      <c r="J20819" s="24"/>
      <c r="K20819" s="24"/>
      <c r="L20819" s="24"/>
      <c r="M20819" s="24"/>
      <c r="N20819" s="24"/>
      <c r="O20819" s="24"/>
      <c r="P20819" s="24"/>
      <c r="Q20819" s="24"/>
      <c r="R20819" s="24"/>
      <c r="S20819" s="24"/>
      <c r="T20819" s="24"/>
      <c r="U20819" s="24"/>
      <c r="V20819" s="24"/>
      <c r="W20819" s="24"/>
      <c r="X20819" s="24"/>
      <c r="Y20819" s="24"/>
      <c r="Z20819" s="24"/>
      <c r="AA20819" s="24"/>
    </row>
    <row r="20820">
      <c r="A20820" s="24"/>
      <c r="B20820" s="25"/>
      <c r="C20820" s="24"/>
      <c r="D20820" s="26"/>
      <c r="E20820" s="24"/>
      <c r="F20820" s="24"/>
      <c r="G20820" s="24"/>
      <c r="H20820" s="24"/>
      <c r="I20820" s="24"/>
      <c r="J20820" s="24"/>
      <c r="K20820" s="24"/>
      <c r="L20820" s="24"/>
      <c r="M20820" s="24"/>
      <c r="N20820" s="24"/>
      <c r="O20820" s="24"/>
      <c r="P20820" s="24"/>
      <c r="Q20820" s="24"/>
      <c r="R20820" s="24"/>
      <c r="S20820" s="24"/>
      <c r="T20820" s="24"/>
      <c r="U20820" s="24"/>
      <c r="V20820" s="24"/>
      <c r="W20820" s="24"/>
      <c r="X20820" s="24"/>
      <c r="Y20820" s="24"/>
      <c r="Z20820" s="24"/>
      <c r="AA20820" s="24"/>
    </row>
    <row r="20821">
      <c r="A20821" s="24"/>
      <c r="B20821" s="25"/>
      <c r="C20821" s="24"/>
      <c r="D20821" s="26"/>
      <c r="E20821" s="24"/>
      <c r="F20821" s="24"/>
      <c r="G20821" s="24"/>
      <c r="H20821" s="24"/>
      <c r="I20821" s="24"/>
      <c r="J20821" s="24"/>
      <c r="K20821" s="24"/>
      <c r="L20821" s="24"/>
      <c r="M20821" s="24"/>
      <c r="N20821" s="24"/>
      <c r="O20821" s="24"/>
      <c r="P20821" s="24"/>
      <c r="Q20821" s="24"/>
      <c r="R20821" s="24"/>
      <c r="S20821" s="24"/>
      <c r="T20821" s="24"/>
      <c r="U20821" s="24"/>
      <c r="V20821" s="24"/>
      <c r="W20821" s="24"/>
      <c r="X20821" s="24"/>
      <c r="Y20821" s="24"/>
      <c r="Z20821" s="24"/>
      <c r="AA20821" s="24"/>
    </row>
    <row r="20822">
      <c r="A20822" s="24"/>
      <c r="B20822" s="25"/>
      <c r="C20822" s="24"/>
      <c r="D20822" s="26"/>
      <c r="E20822" s="24"/>
      <c r="F20822" s="24"/>
      <c r="G20822" s="24"/>
      <c r="H20822" s="24"/>
      <c r="I20822" s="24"/>
      <c r="J20822" s="24"/>
      <c r="K20822" s="24"/>
      <c r="L20822" s="24"/>
      <c r="M20822" s="24"/>
      <c r="N20822" s="24"/>
      <c r="O20822" s="24"/>
      <c r="P20822" s="24"/>
      <c r="Q20822" s="24"/>
      <c r="R20822" s="24"/>
      <c r="S20822" s="24"/>
      <c r="T20822" s="24"/>
      <c r="U20822" s="24"/>
      <c r="V20822" s="24"/>
      <c r="W20822" s="24"/>
      <c r="X20822" s="24"/>
      <c r="Y20822" s="24"/>
      <c r="Z20822" s="24"/>
      <c r="AA20822" s="24"/>
    </row>
    <row r="20823">
      <c r="A20823" s="24"/>
      <c r="B20823" s="25"/>
      <c r="C20823" s="24"/>
      <c r="D20823" s="26"/>
      <c r="E20823" s="24"/>
      <c r="F20823" s="24"/>
      <c r="G20823" s="24"/>
      <c r="H20823" s="24"/>
      <c r="I20823" s="24"/>
      <c r="J20823" s="24"/>
      <c r="K20823" s="24"/>
      <c r="L20823" s="24"/>
      <c r="M20823" s="24"/>
      <c r="N20823" s="24"/>
      <c r="O20823" s="24"/>
      <c r="P20823" s="24"/>
      <c r="Q20823" s="24"/>
      <c r="R20823" s="24"/>
      <c r="S20823" s="24"/>
      <c r="T20823" s="24"/>
      <c r="U20823" s="24"/>
      <c r="V20823" s="24"/>
      <c r="W20823" s="24"/>
      <c r="X20823" s="24"/>
      <c r="Y20823" s="24"/>
      <c r="Z20823" s="24"/>
      <c r="AA20823" s="24"/>
    </row>
    <row r="20824">
      <c r="A20824" s="24"/>
      <c r="B20824" s="25"/>
      <c r="C20824" s="24"/>
      <c r="D20824" s="26"/>
      <c r="E20824" s="24"/>
      <c r="F20824" s="24"/>
      <c r="G20824" s="24"/>
      <c r="H20824" s="24"/>
      <c r="I20824" s="24"/>
      <c r="J20824" s="24"/>
      <c r="K20824" s="24"/>
      <c r="L20824" s="24"/>
      <c r="M20824" s="24"/>
      <c r="N20824" s="24"/>
      <c r="O20824" s="24"/>
      <c r="P20824" s="24"/>
      <c r="Q20824" s="24"/>
      <c r="R20824" s="24"/>
      <c r="S20824" s="24"/>
      <c r="T20824" s="24"/>
      <c r="U20824" s="24"/>
      <c r="V20824" s="24"/>
      <c r="W20824" s="24"/>
      <c r="X20824" s="24"/>
      <c r="Y20824" s="24"/>
      <c r="Z20824" s="24"/>
      <c r="AA20824" s="24"/>
    </row>
    <row r="20825">
      <c r="A20825" s="24"/>
      <c r="B20825" s="25"/>
      <c r="C20825" s="24"/>
      <c r="D20825" s="26"/>
      <c r="E20825" s="24"/>
      <c r="F20825" s="24"/>
      <c r="G20825" s="24"/>
      <c r="H20825" s="24"/>
      <c r="I20825" s="24"/>
      <c r="J20825" s="24"/>
      <c r="K20825" s="24"/>
      <c r="L20825" s="24"/>
      <c r="M20825" s="24"/>
      <c r="N20825" s="24"/>
      <c r="O20825" s="24"/>
      <c r="P20825" s="24"/>
      <c r="Q20825" s="24"/>
      <c r="R20825" s="24"/>
      <c r="S20825" s="24"/>
      <c r="T20825" s="24"/>
      <c r="U20825" s="24"/>
      <c r="V20825" s="24"/>
      <c r="W20825" s="24"/>
      <c r="X20825" s="24"/>
      <c r="Y20825" s="24"/>
      <c r="Z20825" s="24"/>
      <c r="AA20825" s="24"/>
    </row>
    <row r="20826">
      <c r="A20826" s="24"/>
      <c r="B20826" s="25"/>
      <c r="C20826" s="24"/>
      <c r="D20826" s="26"/>
      <c r="E20826" s="24"/>
      <c r="F20826" s="24"/>
      <c r="G20826" s="24"/>
      <c r="H20826" s="24"/>
      <c r="I20826" s="24"/>
      <c r="J20826" s="24"/>
      <c r="K20826" s="24"/>
      <c r="L20826" s="24"/>
      <c r="M20826" s="24"/>
      <c r="N20826" s="24"/>
      <c r="O20826" s="24"/>
      <c r="P20826" s="24"/>
      <c r="Q20826" s="24"/>
      <c r="R20826" s="24"/>
      <c r="S20826" s="24"/>
      <c r="T20826" s="24"/>
      <c r="U20826" s="24"/>
      <c r="V20826" s="24"/>
      <c r="W20826" s="24"/>
      <c r="X20826" s="24"/>
      <c r="Y20826" s="24"/>
      <c r="Z20826" s="24"/>
      <c r="AA20826" s="24"/>
    </row>
    <row r="20827">
      <c r="A20827" s="24"/>
      <c r="B20827" s="25"/>
      <c r="C20827" s="24"/>
      <c r="D20827" s="26"/>
      <c r="E20827" s="24"/>
      <c r="F20827" s="24"/>
      <c r="G20827" s="24"/>
      <c r="H20827" s="24"/>
      <c r="I20827" s="24"/>
      <c r="J20827" s="24"/>
      <c r="K20827" s="24"/>
      <c r="L20827" s="24"/>
      <c r="M20827" s="24"/>
      <c r="N20827" s="24"/>
      <c r="O20827" s="24"/>
      <c r="P20827" s="24"/>
      <c r="Q20827" s="24"/>
      <c r="R20827" s="24"/>
      <c r="S20827" s="24"/>
      <c r="T20827" s="24"/>
      <c r="U20827" s="24"/>
      <c r="V20827" s="24"/>
      <c r="W20827" s="24"/>
      <c r="X20827" s="24"/>
      <c r="Y20827" s="24"/>
      <c r="Z20827" s="24"/>
      <c r="AA20827" s="24"/>
    </row>
    <row r="20828">
      <c r="A20828" s="24"/>
      <c r="B20828" s="25"/>
      <c r="C20828" s="24"/>
      <c r="D20828" s="26"/>
      <c r="E20828" s="24"/>
      <c r="F20828" s="24"/>
      <c r="G20828" s="24"/>
      <c r="H20828" s="24"/>
      <c r="I20828" s="24"/>
      <c r="J20828" s="24"/>
      <c r="K20828" s="24"/>
      <c r="L20828" s="24"/>
      <c r="M20828" s="24"/>
      <c r="N20828" s="24"/>
      <c r="O20828" s="24"/>
      <c r="P20828" s="24"/>
      <c r="Q20828" s="24"/>
      <c r="R20828" s="24"/>
      <c r="S20828" s="24"/>
      <c r="T20828" s="24"/>
      <c r="U20828" s="24"/>
      <c r="V20828" s="24"/>
      <c r="W20828" s="24"/>
      <c r="X20828" s="24"/>
      <c r="Y20828" s="24"/>
      <c r="Z20828" s="24"/>
      <c r="AA20828" s="24"/>
    </row>
    <row r="20829">
      <c r="A20829" s="24"/>
      <c r="B20829" s="25"/>
      <c r="C20829" s="24"/>
      <c r="D20829" s="26"/>
      <c r="E20829" s="24"/>
      <c r="F20829" s="24"/>
      <c r="G20829" s="24"/>
      <c r="H20829" s="24"/>
      <c r="I20829" s="24"/>
      <c r="J20829" s="24"/>
      <c r="K20829" s="24"/>
      <c r="L20829" s="24"/>
      <c r="M20829" s="24"/>
      <c r="N20829" s="24"/>
      <c r="O20829" s="24"/>
      <c r="P20829" s="24"/>
      <c r="Q20829" s="24"/>
      <c r="R20829" s="24"/>
      <c r="S20829" s="24"/>
      <c r="T20829" s="24"/>
      <c r="U20829" s="24"/>
      <c r="V20829" s="24"/>
      <c r="W20829" s="24"/>
      <c r="X20829" s="24"/>
      <c r="Y20829" s="24"/>
      <c r="Z20829" s="24"/>
      <c r="AA20829" s="24"/>
    </row>
    <row r="20830">
      <c r="A20830" s="24"/>
      <c r="B20830" s="25"/>
      <c r="C20830" s="24"/>
      <c r="D20830" s="26"/>
      <c r="E20830" s="24"/>
      <c r="F20830" s="24"/>
      <c r="G20830" s="24"/>
      <c r="H20830" s="24"/>
      <c r="I20830" s="24"/>
      <c r="J20830" s="24"/>
      <c r="K20830" s="24"/>
      <c r="L20830" s="24"/>
      <c r="M20830" s="24"/>
      <c r="N20830" s="24"/>
      <c r="O20830" s="24"/>
      <c r="P20830" s="24"/>
      <c r="Q20830" s="24"/>
      <c r="R20830" s="24"/>
      <c r="S20830" s="24"/>
      <c r="T20830" s="24"/>
      <c r="U20830" s="24"/>
      <c r="V20830" s="24"/>
      <c r="W20830" s="24"/>
      <c r="X20830" s="24"/>
      <c r="Y20830" s="24"/>
      <c r="Z20830" s="24"/>
      <c r="AA20830" s="24"/>
    </row>
    <row r="20831">
      <c r="A20831" s="24"/>
      <c r="B20831" s="25"/>
      <c r="C20831" s="24"/>
      <c r="D20831" s="26"/>
      <c r="E20831" s="24"/>
      <c r="F20831" s="24"/>
      <c r="G20831" s="24"/>
      <c r="H20831" s="24"/>
      <c r="I20831" s="24"/>
      <c r="J20831" s="24"/>
      <c r="K20831" s="24"/>
      <c r="L20831" s="24"/>
      <c r="M20831" s="24"/>
      <c r="N20831" s="24"/>
      <c r="O20831" s="24"/>
      <c r="P20831" s="24"/>
      <c r="Q20831" s="24"/>
      <c r="R20831" s="24"/>
      <c r="S20831" s="24"/>
      <c r="T20831" s="24"/>
      <c r="U20831" s="24"/>
      <c r="V20831" s="24"/>
      <c r="W20831" s="24"/>
      <c r="X20831" s="24"/>
      <c r="Y20831" s="24"/>
      <c r="Z20831" s="24"/>
      <c r="AA20831" s="24"/>
    </row>
    <row r="20832">
      <c r="A20832" s="24"/>
      <c r="B20832" s="25"/>
      <c r="C20832" s="24"/>
      <c r="D20832" s="26"/>
      <c r="E20832" s="24"/>
      <c r="F20832" s="24"/>
      <c r="G20832" s="24"/>
      <c r="H20832" s="24"/>
      <c r="I20832" s="24"/>
      <c r="J20832" s="24"/>
      <c r="K20832" s="24"/>
      <c r="L20832" s="24"/>
      <c r="M20832" s="24"/>
      <c r="N20832" s="24"/>
      <c r="O20832" s="24"/>
      <c r="P20832" s="24"/>
      <c r="Q20832" s="24"/>
      <c r="R20832" s="24"/>
      <c r="S20832" s="24"/>
      <c r="T20832" s="24"/>
      <c r="U20832" s="24"/>
      <c r="V20832" s="24"/>
      <c r="W20832" s="24"/>
      <c r="X20832" s="24"/>
      <c r="Y20832" s="24"/>
      <c r="Z20832" s="24"/>
      <c r="AA20832" s="24"/>
    </row>
    <row r="20833">
      <c r="A20833" s="24"/>
      <c r="B20833" s="25"/>
      <c r="C20833" s="24"/>
      <c r="D20833" s="26"/>
      <c r="E20833" s="24"/>
      <c r="F20833" s="24"/>
      <c r="G20833" s="24"/>
      <c r="H20833" s="24"/>
      <c r="I20833" s="24"/>
      <c r="J20833" s="24"/>
      <c r="K20833" s="24"/>
      <c r="L20833" s="24"/>
      <c r="M20833" s="24"/>
      <c r="N20833" s="24"/>
      <c r="O20833" s="24"/>
      <c r="P20833" s="24"/>
      <c r="Q20833" s="24"/>
      <c r="R20833" s="24"/>
      <c r="S20833" s="24"/>
      <c r="T20833" s="24"/>
      <c r="U20833" s="24"/>
      <c r="V20833" s="24"/>
      <c r="W20833" s="24"/>
      <c r="X20833" s="24"/>
      <c r="Y20833" s="24"/>
      <c r="Z20833" s="24"/>
      <c r="AA20833" s="24"/>
    </row>
    <row r="20834">
      <c r="A20834" s="24"/>
      <c r="B20834" s="25"/>
      <c r="C20834" s="24"/>
      <c r="D20834" s="26"/>
      <c r="E20834" s="24"/>
      <c r="F20834" s="24"/>
      <c r="G20834" s="24"/>
      <c r="H20834" s="24"/>
      <c r="I20834" s="24"/>
      <c r="J20834" s="24"/>
      <c r="K20834" s="24"/>
      <c r="L20834" s="24"/>
      <c r="M20834" s="24"/>
      <c r="N20834" s="24"/>
      <c r="O20834" s="24"/>
      <c r="P20834" s="24"/>
      <c r="Q20834" s="24"/>
      <c r="R20834" s="24"/>
      <c r="S20834" s="24"/>
      <c r="T20834" s="24"/>
      <c r="U20834" s="24"/>
      <c r="V20834" s="24"/>
      <c r="W20834" s="24"/>
      <c r="X20834" s="24"/>
      <c r="Y20834" s="24"/>
      <c r="Z20834" s="24"/>
      <c r="AA20834" s="24"/>
    </row>
    <row r="20835">
      <c r="A20835" s="24"/>
      <c r="B20835" s="25"/>
      <c r="C20835" s="24"/>
      <c r="D20835" s="26"/>
      <c r="E20835" s="24"/>
      <c r="F20835" s="24"/>
      <c r="G20835" s="24"/>
      <c r="H20835" s="24"/>
      <c r="I20835" s="24"/>
      <c r="J20835" s="24"/>
      <c r="K20835" s="24"/>
      <c r="L20835" s="24"/>
      <c r="M20835" s="24"/>
      <c r="N20835" s="24"/>
      <c r="O20835" s="24"/>
      <c r="P20835" s="24"/>
      <c r="Q20835" s="24"/>
      <c r="R20835" s="24"/>
      <c r="S20835" s="24"/>
      <c r="T20835" s="24"/>
      <c r="U20835" s="24"/>
      <c r="V20835" s="24"/>
      <c r="W20835" s="24"/>
      <c r="X20835" s="24"/>
      <c r="Y20835" s="24"/>
      <c r="Z20835" s="24"/>
      <c r="AA20835" s="24"/>
    </row>
    <row r="20836">
      <c r="A20836" s="24"/>
      <c r="B20836" s="25"/>
      <c r="C20836" s="24"/>
      <c r="D20836" s="26"/>
      <c r="E20836" s="24"/>
      <c r="F20836" s="24"/>
      <c r="G20836" s="24"/>
      <c r="H20836" s="24"/>
      <c r="I20836" s="24"/>
      <c r="J20836" s="24"/>
      <c r="K20836" s="24"/>
      <c r="L20836" s="24"/>
      <c r="M20836" s="24"/>
      <c r="N20836" s="24"/>
      <c r="O20836" s="24"/>
      <c r="P20836" s="24"/>
      <c r="Q20836" s="24"/>
      <c r="R20836" s="24"/>
      <c r="S20836" s="24"/>
      <c r="T20836" s="24"/>
      <c r="U20836" s="24"/>
      <c r="V20836" s="24"/>
      <c r="W20836" s="24"/>
      <c r="X20836" s="24"/>
      <c r="Y20836" s="24"/>
      <c r="Z20836" s="24"/>
      <c r="AA20836" s="24"/>
    </row>
    <row r="20837">
      <c r="A20837" s="24"/>
      <c r="B20837" s="25"/>
      <c r="C20837" s="24"/>
      <c r="D20837" s="26"/>
      <c r="E20837" s="24"/>
      <c r="F20837" s="24"/>
      <c r="G20837" s="24"/>
      <c r="H20837" s="24"/>
      <c r="I20837" s="24"/>
      <c r="J20837" s="24"/>
      <c r="K20837" s="24"/>
      <c r="L20837" s="24"/>
      <c r="M20837" s="24"/>
      <c r="N20837" s="24"/>
      <c r="O20837" s="24"/>
      <c r="P20837" s="24"/>
      <c r="Q20837" s="24"/>
      <c r="R20837" s="24"/>
      <c r="S20837" s="24"/>
      <c r="T20837" s="24"/>
      <c r="U20837" s="24"/>
      <c r="V20837" s="24"/>
      <c r="W20837" s="24"/>
      <c r="X20837" s="24"/>
      <c r="Y20837" s="24"/>
      <c r="Z20837" s="24"/>
      <c r="AA20837" s="24"/>
    </row>
    <row r="20838">
      <c r="A20838" s="24"/>
      <c r="B20838" s="25"/>
      <c r="C20838" s="24"/>
      <c r="D20838" s="26"/>
      <c r="E20838" s="24"/>
      <c r="F20838" s="24"/>
      <c r="G20838" s="24"/>
      <c r="H20838" s="24"/>
      <c r="I20838" s="24"/>
      <c r="J20838" s="24"/>
      <c r="K20838" s="24"/>
      <c r="L20838" s="24"/>
      <c r="M20838" s="24"/>
      <c r="N20838" s="24"/>
      <c r="O20838" s="24"/>
      <c r="P20838" s="24"/>
      <c r="Q20838" s="24"/>
      <c r="R20838" s="24"/>
      <c r="S20838" s="24"/>
      <c r="T20838" s="24"/>
      <c r="U20838" s="24"/>
      <c r="V20838" s="24"/>
      <c r="W20838" s="24"/>
      <c r="X20838" s="24"/>
      <c r="Y20838" s="24"/>
      <c r="Z20838" s="24"/>
      <c r="AA20838" s="24"/>
    </row>
    <row r="20839">
      <c r="A20839" s="24"/>
      <c r="B20839" s="25"/>
      <c r="C20839" s="24"/>
      <c r="D20839" s="26"/>
      <c r="E20839" s="24"/>
      <c r="F20839" s="24"/>
      <c r="G20839" s="24"/>
      <c r="H20839" s="24"/>
      <c r="I20839" s="24"/>
      <c r="J20839" s="24"/>
      <c r="K20839" s="24"/>
      <c r="L20839" s="24"/>
      <c r="M20839" s="24"/>
      <c r="N20839" s="24"/>
      <c r="O20839" s="24"/>
      <c r="P20839" s="24"/>
      <c r="Q20839" s="24"/>
      <c r="R20839" s="24"/>
      <c r="S20839" s="24"/>
      <c r="T20839" s="24"/>
      <c r="U20839" s="24"/>
      <c r="V20839" s="24"/>
      <c r="W20839" s="24"/>
      <c r="X20839" s="24"/>
      <c r="Y20839" s="24"/>
      <c r="Z20839" s="24"/>
      <c r="AA20839" s="24"/>
    </row>
    <row r="20840">
      <c r="A20840" s="24"/>
      <c r="B20840" s="25"/>
      <c r="C20840" s="24"/>
      <c r="D20840" s="26"/>
      <c r="E20840" s="24"/>
      <c r="F20840" s="24"/>
      <c r="G20840" s="24"/>
      <c r="H20840" s="24"/>
      <c r="I20840" s="24"/>
      <c r="J20840" s="24"/>
      <c r="K20840" s="24"/>
      <c r="L20840" s="24"/>
      <c r="M20840" s="24"/>
      <c r="N20840" s="24"/>
      <c r="O20840" s="24"/>
      <c r="P20840" s="24"/>
      <c r="Q20840" s="24"/>
      <c r="R20840" s="24"/>
      <c r="S20840" s="24"/>
      <c r="T20840" s="24"/>
      <c r="U20840" s="24"/>
      <c r="V20840" s="24"/>
      <c r="W20840" s="24"/>
      <c r="X20840" s="24"/>
      <c r="Y20840" s="24"/>
      <c r="Z20840" s="24"/>
      <c r="AA20840" s="24"/>
    </row>
    <row r="20841">
      <c r="A20841" s="24"/>
      <c r="B20841" s="25"/>
      <c r="C20841" s="24"/>
      <c r="D20841" s="26"/>
      <c r="E20841" s="24"/>
      <c r="F20841" s="24"/>
      <c r="G20841" s="24"/>
      <c r="H20841" s="24"/>
      <c r="I20841" s="24"/>
      <c r="J20841" s="24"/>
      <c r="K20841" s="24"/>
      <c r="L20841" s="24"/>
      <c r="M20841" s="24"/>
      <c r="N20841" s="24"/>
      <c r="O20841" s="24"/>
      <c r="P20841" s="24"/>
      <c r="Q20841" s="24"/>
      <c r="R20841" s="24"/>
      <c r="S20841" s="24"/>
      <c r="T20841" s="24"/>
      <c r="U20841" s="24"/>
      <c r="V20841" s="24"/>
      <c r="W20841" s="24"/>
      <c r="X20841" s="24"/>
      <c r="Y20841" s="24"/>
      <c r="Z20841" s="24"/>
      <c r="AA20841" s="24"/>
    </row>
    <row r="20842">
      <c r="A20842" s="24"/>
      <c r="B20842" s="25"/>
      <c r="C20842" s="24"/>
      <c r="D20842" s="26"/>
      <c r="E20842" s="24"/>
      <c r="F20842" s="24"/>
      <c r="G20842" s="24"/>
      <c r="H20842" s="24"/>
      <c r="I20842" s="24"/>
      <c r="J20842" s="24"/>
      <c r="K20842" s="24"/>
      <c r="L20842" s="24"/>
      <c r="M20842" s="24"/>
      <c r="N20842" s="24"/>
      <c r="O20842" s="24"/>
      <c r="P20842" s="24"/>
      <c r="Q20842" s="24"/>
      <c r="R20842" s="24"/>
      <c r="S20842" s="24"/>
      <c r="T20842" s="24"/>
      <c r="U20842" s="24"/>
      <c r="V20842" s="24"/>
      <c r="W20842" s="24"/>
      <c r="X20842" s="24"/>
      <c r="Y20842" s="24"/>
      <c r="Z20842" s="24"/>
      <c r="AA20842" s="24"/>
    </row>
    <row r="20843">
      <c r="A20843" s="24"/>
      <c r="B20843" s="25"/>
      <c r="C20843" s="24"/>
      <c r="D20843" s="26"/>
      <c r="E20843" s="24"/>
      <c r="F20843" s="24"/>
      <c r="G20843" s="24"/>
      <c r="H20843" s="24"/>
      <c r="I20843" s="24"/>
      <c r="J20843" s="24"/>
      <c r="K20843" s="24"/>
      <c r="L20843" s="24"/>
      <c r="M20843" s="24"/>
      <c r="N20843" s="24"/>
      <c r="O20843" s="24"/>
      <c r="P20843" s="24"/>
      <c r="Q20843" s="24"/>
      <c r="R20843" s="24"/>
      <c r="S20843" s="24"/>
      <c r="T20843" s="24"/>
      <c r="U20843" s="24"/>
      <c r="V20843" s="24"/>
      <c r="W20843" s="24"/>
      <c r="X20843" s="24"/>
      <c r="Y20843" s="24"/>
      <c r="Z20843" s="24"/>
      <c r="AA20843" s="24"/>
    </row>
    <row r="20844">
      <c r="A20844" s="24"/>
      <c r="B20844" s="25"/>
      <c r="C20844" s="24"/>
      <c r="D20844" s="26"/>
      <c r="E20844" s="24"/>
      <c r="F20844" s="24"/>
      <c r="G20844" s="24"/>
      <c r="H20844" s="24"/>
      <c r="I20844" s="24"/>
      <c r="J20844" s="24"/>
      <c r="K20844" s="24"/>
      <c r="L20844" s="24"/>
      <c r="M20844" s="24"/>
      <c r="N20844" s="24"/>
      <c r="O20844" s="24"/>
      <c r="P20844" s="24"/>
      <c r="Q20844" s="24"/>
      <c r="R20844" s="24"/>
      <c r="S20844" s="24"/>
      <c r="T20844" s="24"/>
      <c r="U20844" s="24"/>
      <c r="V20844" s="24"/>
      <c r="W20844" s="24"/>
      <c r="X20844" s="24"/>
      <c r="Y20844" s="24"/>
      <c r="Z20844" s="24"/>
      <c r="AA20844" s="24"/>
    </row>
    <row r="20845">
      <c r="A20845" s="24"/>
      <c r="B20845" s="25"/>
      <c r="C20845" s="24"/>
      <c r="D20845" s="26"/>
      <c r="E20845" s="24"/>
      <c r="F20845" s="24"/>
      <c r="G20845" s="24"/>
      <c r="H20845" s="24"/>
      <c r="I20845" s="24"/>
      <c r="J20845" s="24"/>
      <c r="K20845" s="24"/>
      <c r="L20845" s="24"/>
      <c r="M20845" s="24"/>
      <c r="N20845" s="24"/>
      <c r="O20845" s="24"/>
      <c r="P20845" s="24"/>
      <c r="Q20845" s="24"/>
      <c r="R20845" s="24"/>
      <c r="S20845" s="24"/>
      <c r="T20845" s="24"/>
      <c r="U20845" s="24"/>
      <c r="V20845" s="24"/>
      <c r="W20845" s="24"/>
      <c r="X20845" s="24"/>
      <c r="Y20845" s="24"/>
      <c r="Z20845" s="24"/>
      <c r="AA20845" s="24"/>
    </row>
    <row r="20846">
      <c r="A20846" s="24"/>
      <c r="B20846" s="25"/>
      <c r="C20846" s="24"/>
      <c r="D20846" s="26"/>
      <c r="E20846" s="24"/>
      <c r="F20846" s="24"/>
      <c r="G20846" s="24"/>
      <c r="H20846" s="24"/>
      <c r="I20846" s="24"/>
      <c r="J20846" s="24"/>
      <c r="K20846" s="24"/>
      <c r="L20846" s="24"/>
      <c r="M20846" s="24"/>
      <c r="N20846" s="24"/>
      <c r="O20846" s="24"/>
      <c r="P20846" s="24"/>
      <c r="Q20846" s="24"/>
      <c r="R20846" s="24"/>
      <c r="S20846" s="24"/>
      <c r="T20846" s="24"/>
      <c r="U20846" s="24"/>
      <c r="V20846" s="24"/>
      <c r="W20846" s="24"/>
      <c r="X20846" s="24"/>
      <c r="Y20846" s="24"/>
      <c r="Z20846" s="24"/>
      <c r="AA20846" s="24"/>
    </row>
    <row r="20847">
      <c r="A20847" s="24"/>
      <c r="B20847" s="25"/>
      <c r="C20847" s="24"/>
      <c r="D20847" s="26"/>
      <c r="E20847" s="24"/>
      <c r="F20847" s="24"/>
      <c r="G20847" s="24"/>
      <c r="H20847" s="24"/>
      <c r="I20847" s="24"/>
      <c r="J20847" s="24"/>
      <c r="K20847" s="24"/>
      <c r="L20847" s="24"/>
      <c r="M20847" s="24"/>
      <c r="N20847" s="24"/>
      <c r="O20847" s="24"/>
      <c r="P20847" s="24"/>
      <c r="Q20847" s="24"/>
      <c r="R20847" s="24"/>
      <c r="S20847" s="24"/>
      <c r="T20847" s="24"/>
      <c r="U20847" s="24"/>
      <c r="V20847" s="24"/>
      <c r="W20847" s="24"/>
      <c r="X20847" s="24"/>
      <c r="Y20847" s="24"/>
      <c r="Z20847" s="24"/>
      <c r="AA20847" s="24"/>
    </row>
    <row r="20848">
      <c r="A20848" s="24"/>
      <c r="B20848" s="25"/>
      <c r="C20848" s="24"/>
      <c r="D20848" s="26"/>
      <c r="E20848" s="24"/>
      <c r="F20848" s="24"/>
      <c r="G20848" s="24"/>
      <c r="H20848" s="24"/>
      <c r="I20848" s="24"/>
      <c r="J20848" s="24"/>
      <c r="K20848" s="24"/>
      <c r="L20848" s="24"/>
      <c r="M20848" s="24"/>
      <c r="N20848" s="24"/>
      <c r="O20848" s="24"/>
      <c r="P20848" s="24"/>
      <c r="Q20848" s="24"/>
      <c r="R20848" s="24"/>
      <c r="S20848" s="24"/>
      <c r="T20848" s="24"/>
      <c r="U20848" s="24"/>
      <c r="V20848" s="24"/>
      <c r="W20848" s="24"/>
      <c r="X20848" s="24"/>
      <c r="Y20848" s="24"/>
      <c r="Z20848" s="24"/>
      <c r="AA20848" s="24"/>
    </row>
    <row r="20849">
      <c r="A20849" s="24"/>
      <c r="B20849" s="25"/>
      <c r="C20849" s="24"/>
      <c r="D20849" s="26"/>
      <c r="E20849" s="24"/>
      <c r="F20849" s="24"/>
      <c r="G20849" s="24"/>
      <c r="H20849" s="24"/>
      <c r="I20849" s="24"/>
      <c r="J20849" s="24"/>
      <c r="K20849" s="24"/>
      <c r="L20849" s="24"/>
      <c r="M20849" s="24"/>
      <c r="N20849" s="24"/>
      <c r="O20849" s="24"/>
      <c r="P20849" s="24"/>
      <c r="Q20849" s="24"/>
      <c r="R20849" s="24"/>
      <c r="S20849" s="24"/>
      <c r="T20849" s="24"/>
      <c r="U20849" s="24"/>
      <c r="V20849" s="24"/>
      <c r="W20849" s="24"/>
      <c r="X20849" s="24"/>
      <c r="Y20849" s="24"/>
      <c r="Z20849" s="24"/>
      <c r="AA20849" s="24"/>
    </row>
    <row r="20850">
      <c r="A20850" s="24"/>
      <c r="B20850" s="25"/>
      <c r="C20850" s="24"/>
      <c r="D20850" s="26"/>
      <c r="E20850" s="24"/>
      <c r="F20850" s="24"/>
      <c r="G20850" s="24"/>
      <c r="H20850" s="24"/>
      <c r="I20850" s="24"/>
      <c r="J20850" s="24"/>
      <c r="K20850" s="24"/>
      <c r="L20850" s="24"/>
      <c r="M20850" s="24"/>
      <c r="N20850" s="24"/>
      <c r="O20850" s="24"/>
      <c r="P20850" s="24"/>
      <c r="Q20850" s="24"/>
      <c r="R20850" s="24"/>
      <c r="S20850" s="24"/>
      <c r="T20850" s="24"/>
      <c r="U20850" s="24"/>
      <c r="V20850" s="24"/>
      <c r="W20850" s="24"/>
      <c r="X20850" s="24"/>
      <c r="Y20850" s="24"/>
      <c r="Z20850" s="24"/>
      <c r="AA20850" s="24"/>
    </row>
    <row r="20851">
      <c r="A20851" s="24"/>
      <c r="B20851" s="25"/>
      <c r="C20851" s="24"/>
      <c r="D20851" s="26"/>
      <c r="E20851" s="24"/>
      <c r="F20851" s="24"/>
      <c r="G20851" s="24"/>
      <c r="H20851" s="24"/>
      <c r="I20851" s="24"/>
      <c r="J20851" s="24"/>
      <c r="K20851" s="24"/>
      <c r="L20851" s="24"/>
      <c r="M20851" s="24"/>
      <c r="N20851" s="24"/>
      <c r="O20851" s="24"/>
      <c r="P20851" s="24"/>
      <c r="Q20851" s="24"/>
      <c r="R20851" s="24"/>
      <c r="S20851" s="24"/>
      <c r="T20851" s="24"/>
      <c r="U20851" s="24"/>
      <c r="V20851" s="24"/>
      <c r="W20851" s="24"/>
      <c r="X20851" s="24"/>
      <c r="Y20851" s="24"/>
      <c r="Z20851" s="24"/>
      <c r="AA20851" s="24"/>
    </row>
    <row r="20852">
      <c r="A20852" s="24"/>
      <c r="B20852" s="25"/>
      <c r="C20852" s="24"/>
      <c r="D20852" s="26"/>
      <c r="E20852" s="24"/>
      <c r="F20852" s="24"/>
      <c r="G20852" s="24"/>
      <c r="H20852" s="24"/>
      <c r="I20852" s="24"/>
      <c r="J20852" s="24"/>
      <c r="K20852" s="24"/>
      <c r="L20852" s="24"/>
      <c r="M20852" s="24"/>
      <c r="N20852" s="24"/>
      <c r="O20852" s="24"/>
      <c r="P20852" s="24"/>
      <c r="Q20852" s="24"/>
      <c r="R20852" s="24"/>
      <c r="S20852" s="24"/>
      <c r="T20852" s="24"/>
      <c r="U20852" s="24"/>
      <c r="V20852" s="24"/>
      <c r="W20852" s="24"/>
      <c r="X20852" s="24"/>
      <c r="Y20852" s="24"/>
      <c r="Z20852" s="24"/>
      <c r="AA20852" s="24"/>
    </row>
    <row r="20853">
      <c r="A20853" s="24"/>
      <c r="B20853" s="25"/>
      <c r="C20853" s="24"/>
      <c r="D20853" s="26"/>
      <c r="E20853" s="24"/>
      <c r="F20853" s="24"/>
      <c r="G20853" s="24"/>
      <c r="H20853" s="24"/>
      <c r="I20853" s="24"/>
      <c r="J20853" s="24"/>
      <c r="K20853" s="24"/>
      <c r="L20853" s="24"/>
      <c r="M20853" s="24"/>
      <c r="N20853" s="24"/>
      <c r="O20853" s="24"/>
      <c r="P20853" s="24"/>
      <c r="Q20853" s="24"/>
      <c r="R20853" s="24"/>
      <c r="S20853" s="24"/>
      <c r="T20853" s="24"/>
      <c r="U20853" s="24"/>
      <c r="V20853" s="24"/>
      <c r="W20853" s="24"/>
      <c r="X20853" s="24"/>
      <c r="Y20853" s="24"/>
      <c r="Z20853" s="24"/>
      <c r="AA20853" s="24"/>
    </row>
    <row r="20854">
      <c r="A20854" s="24"/>
      <c r="B20854" s="25"/>
      <c r="C20854" s="24"/>
      <c r="D20854" s="26"/>
      <c r="E20854" s="24"/>
      <c r="F20854" s="24"/>
      <c r="G20854" s="24"/>
      <c r="H20854" s="24"/>
      <c r="I20854" s="24"/>
      <c r="J20854" s="24"/>
      <c r="K20854" s="24"/>
      <c r="L20854" s="24"/>
      <c r="M20854" s="24"/>
      <c r="N20854" s="24"/>
      <c r="O20854" s="24"/>
      <c r="P20854" s="24"/>
      <c r="Q20854" s="24"/>
      <c r="R20854" s="24"/>
      <c r="S20854" s="24"/>
      <c r="T20854" s="24"/>
      <c r="U20854" s="24"/>
      <c r="V20854" s="24"/>
      <c r="W20854" s="24"/>
      <c r="X20854" s="24"/>
      <c r="Y20854" s="24"/>
      <c r="Z20854" s="24"/>
      <c r="AA20854" s="24"/>
    </row>
    <row r="20855">
      <c r="A20855" s="24"/>
      <c r="B20855" s="25"/>
      <c r="C20855" s="24"/>
      <c r="D20855" s="26"/>
      <c r="E20855" s="24"/>
      <c r="F20855" s="24"/>
      <c r="G20855" s="24"/>
      <c r="H20855" s="24"/>
      <c r="I20855" s="24"/>
      <c r="J20855" s="24"/>
      <c r="K20855" s="24"/>
      <c r="L20855" s="24"/>
      <c r="M20855" s="24"/>
      <c r="N20855" s="24"/>
      <c r="O20855" s="24"/>
      <c r="P20855" s="24"/>
      <c r="Q20855" s="24"/>
      <c r="R20855" s="24"/>
      <c r="S20855" s="24"/>
      <c r="T20855" s="24"/>
      <c r="U20855" s="24"/>
      <c r="V20855" s="24"/>
      <c r="W20855" s="24"/>
      <c r="X20855" s="24"/>
      <c r="Y20855" s="24"/>
      <c r="Z20855" s="24"/>
      <c r="AA20855" s="24"/>
    </row>
    <row r="20856">
      <c r="A20856" s="24"/>
      <c r="B20856" s="25"/>
      <c r="C20856" s="24"/>
      <c r="D20856" s="26"/>
      <c r="E20856" s="24"/>
      <c r="F20856" s="24"/>
      <c r="G20856" s="24"/>
      <c r="H20856" s="24"/>
      <c r="I20856" s="24"/>
      <c r="J20856" s="24"/>
      <c r="K20856" s="24"/>
      <c r="L20856" s="24"/>
      <c r="M20856" s="24"/>
      <c r="N20856" s="24"/>
      <c r="O20856" s="24"/>
      <c r="P20856" s="24"/>
      <c r="Q20856" s="24"/>
      <c r="R20856" s="24"/>
      <c r="S20856" s="24"/>
      <c r="T20856" s="24"/>
      <c r="U20856" s="24"/>
      <c r="V20856" s="24"/>
      <c r="W20856" s="24"/>
      <c r="X20856" s="24"/>
      <c r="Y20856" s="24"/>
      <c r="Z20856" s="24"/>
      <c r="AA20856" s="24"/>
    </row>
    <row r="20857">
      <c r="A20857" s="24"/>
      <c r="B20857" s="25"/>
      <c r="C20857" s="24"/>
      <c r="D20857" s="26"/>
      <c r="E20857" s="24"/>
      <c r="F20857" s="24"/>
      <c r="G20857" s="24"/>
      <c r="H20857" s="24"/>
      <c r="I20857" s="24"/>
      <c r="J20857" s="24"/>
      <c r="K20857" s="24"/>
      <c r="L20857" s="24"/>
      <c r="M20857" s="24"/>
      <c r="N20857" s="24"/>
      <c r="O20857" s="24"/>
      <c r="P20857" s="24"/>
      <c r="Q20857" s="24"/>
      <c r="R20857" s="24"/>
      <c r="S20857" s="24"/>
      <c r="T20857" s="24"/>
      <c r="U20857" s="24"/>
      <c r="V20857" s="24"/>
      <c r="W20857" s="24"/>
      <c r="X20857" s="24"/>
      <c r="Y20857" s="24"/>
      <c r="Z20857" s="24"/>
      <c r="AA20857" s="24"/>
    </row>
    <row r="20858">
      <c r="A20858" s="24"/>
      <c r="B20858" s="25"/>
      <c r="C20858" s="24"/>
      <c r="D20858" s="26"/>
      <c r="E20858" s="24"/>
      <c r="F20858" s="24"/>
      <c r="G20858" s="24"/>
      <c r="H20858" s="24"/>
      <c r="I20858" s="24"/>
      <c r="J20858" s="24"/>
      <c r="K20858" s="24"/>
      <c r="L20858" s="24"/>
      <c r="M20858" s="24"/>
      <c r="N20858" s="24"/>
      <c r="O20858" s="24"/>
      <c r="P20858" s="24"/>
      <c r="Q20858" s="24"/>
      <c r="R20858" s="24"/>
      <c r="S20858" s="24"/>
      <c r="T20858" s="24"/>
      <c r="U20858" s="24"/>
      <c r="V20858" s="24"/>
      <c r="W20858" s="24"/>
      <c r="X20858" s="24"/>
      <c r="Y20858" s="24"/>
      <c r="Z20858" s="24"/>
      <c r="AA20858" s="24"/>
    </row>
    <row r="20859">
      <c r="A20859" s="24"/>
      <c r="B20859" s="25"/>
      <c r="C20859" s="24"/>
      <c r="D20859" s="26"/>
      <c r="E20859" s="24"/>
      <c r="F20859" s="24"/>
      <c r="G20859" s="24"/>
      <c r="H20859" s="24"/>
      <c r="I20859" s="24"/>
      <c r="J20859" s="24"/>
      <c r="K20859" s="24"/>
      <c r="L20859" s="24"/>
      <c r="M20859" s="24"/>
      <c r="N20859" s="24"/>
      <c r="O20859" s="24"/>
      <c r="P20859" s="24"/>
      <c r="Q20859" s="24"/>
      <c r="R20859" s="24"/>
      <c r="S20859" s="24"/>
      <c r="T20859" s="24"/>
      <c r="U20859" s="24"/>
      <c r="V20859" s="24"/>
      <c r="W20859" s="24"/>
      <c r="X20859" s="24"/>
      <c r="Y20859" s="24"/>
      <c r="Z20859" s="24"/>
      <c r="AA20859" s="24"/>
    </row>
    <row r="20860">
      <c r="A20860" s="24"/>
      <c r="B20860" s="25"/>
      <c r="C20860" s="24"/>
      <c r="D20860" s="26"/>
      <c r="E20860" s="24"/>
      <c r="F20860" s="24"/>
      <c r="G20860" s="24"/>
      <c r="H20860" s="24"/>
      <c r="I20860" s="24"/>
      <c r="J20860" s="24"/>
      <c r="K20860" s="24"/>
      <c r="L20860" s="24"/>
      <c r="M20860" s="24"/>
      <c r="N20860" s="24"/>
      <c r="O20860" s="24"/>
      <c r="P20860" s="24"/>
      <c r="Q20860" s="24"/>
      <c r="R20860" s="24"/>
      <c r="S20860" s="24"/>
      <c r="T20860" s="24"/>
      <c r="U20860" s="24"/>
      <c r="V20860" s="24"/>
      <c r="W20860" s="24"/>
      <c r="X20860" s="24"/>
      <c r="Y20860" s="24"/>
      <c r="Z20860" s="24"/>
      <c r="AA20860" s="24"/>
    </row>
    <row r="20861">
      <c r="A20861" s="24"/>
      <c r="B20861" s="25"/>
      <c r="C20861" s="24"/>
      <c r="D20861" s="26"/>
      <c r="E20861" s="24"/>
      <c r="F20861" s="24"/>
      <c r="G20861" s="24"/>
      <c r="H20861" s="24"/>
      <c r="I20861" s="24"/>
      <c r="J20861" s="24"/>
      <c r="K20861" s="24"/>
      <c r="L20861" s="24"/>
      <c r="M20861" s="24"/>
      <c r="N20861" s="24"/>
      <c r="O20861" s="24"/>
      <c r="P20861" s="24"/>
      <c r="Q20861" s="24"/>
      <c r="R20861" s="24"/>
      <c r="S20861" s="24"/>
      <c r="T20861" s="24"/>
      <c r="U20861" s="24"/>
      <c r="V20861" s="24"/>
      <c r="W20861" s="24"/>
      <c r="X20861" s="24"/>
      <c r="Y20861" s="24"/>
      <c r="Z20861" s="24"/>
      <c r="AA20861" s="24"/>
    </row>
    <row r="20862">
      <c r="A20862" s="24"/>
      <c r="B20862" s="25"/>
      <c r="C20862" s="24"/>
      <c r="D20862" s="26"/>
      <c r="E20862" s="24"/>
      <c r="F20862" s="24"/>
      <c r="G20862" s="24"/>
      <c r="H20862" s="24"/>
      <c r="I20862" s="24"/>
      <c r="J20862" s="24"/>
      <c r="K20862" s="24"/>
      <c r="L20862" s="24"/>
      <c r="M20862" s="24"/>
      <c r="N20862" s="24"/>
      <c r="O20862" s="24"/>
      <c r="P20862" s="24"/>
      <c r="Q20862" s="24"/>
      <c r="R20862" s="24"/>
      <c r="S20862" s="24"/>
      <c r="T20862" s="24"/>
      <c r="U20862" s="24"/>
      <c r="V20862" s="24"/>
      <c r="W20862" s="24"/>
      <c r="X20862" s="24"/>
      <c r="Y20862" s="24"/>
      <c r="Z20862" s="24"/>
      <c r="AA20862" s="24"/>
    </row>
    <row r="20863">
      <c r="A20863" s="24"/>
      <c r="B20863" s="25"/>
      <c r="C20863" s="24"/>
      <c r="D20863" s="26"/>
      <c r="E20863" s="24"/>
      <c r="F20863" s="24"/>
      <c r="G20863" s="24"/>
      <c r="H20863" s="24"/>
      <c r="I20863" s="24"/>
      <c r="J20863" s="24"/>
      <c r="K20863" s="24"/>
      <c r="L20863" s="24"/>
      <c r="M20863" s="24"/>
      <c r="N20863" s="24"/>
      <c r="O20863" s="24"/>
      <c r="P20863" s="24"/>
      <c r="Q20863" s="24"/>
      <c r="R20863" s="24"/>
      <c r="S20863" s="24"/>
      <c r="T20863" s="24"/>
      <c r="U20863" s="24"/>
      <c r="V20863" s="24"/>
      <c r="W20863" s="24"/>
      <c r="X20863" s="24"/>
      <c r="Y20863" s="24"/>
      <c r="Z20863" s="24"/>
      <c r="AA20863" s="24"/>
    </row>
    <row r="20864">
      <c r="A20864" s="24"/>
      <c r="B20864" s="25"/>
      <c r="C20864" s="24"/>
      <c r="D20864" s="26"/>
      <c r="E20864" s="24"/>
      <c r="F20864" s="24"/>
      <c r="G20864" s="24"/>
      <c r="H20864" s="24"/>
      <c r="I20864" s="24"/>
      <c r="J20864" s="24"/>
      <c r="K20864" s="24"/>
      <c r="L20864" s="24"/>
      <c r="M20864" s="24"/>
      <c r="N20864" s="24"/>
      <c r="O20864" s="24"/>
      <c r="P20864" s="24"/>
      <c r="Q20864" s="24"/>
      <c r="R20864" s="24"/>
      <c r="S20864" s="24"/>
      <c r="T20864" s="24"/>
      <c r="U20864" s="24"/>
      <c r="V20864" s="24"/>
      <c r="W20864" s="24"/>
      <c r="X20864" s="24"/>
      <c r="Y20864" s="24"/>
      <c r="Z20864" s="24"/>
      <c r="AA20864" s="24"/>
    </row>
    <row r="20865">
      <c r="A20865" s="24"/>
      <c r="B20865" s="25"/>
      <c r="C20865" s="24"/>
      <c r="D20865" s="26"/>
      <c r="E20865" s="24"/>
      <c r="F20865" s="24"/>
      <c r="G20865" s="24"/>
      <c r="H20865" s="24"/>
      <c r="I20865" s="24"/>
      <c r="J20865" s="24"/>
      <c r="K20865" s="24"/>
      <c r="L20865" s="24"/>
      <c r="M20865" s="24"/>
      <c r="N20865" s="24"/>
      <c r="O20865" s="24"/>
      <c r="P20865" s="24"/>
      <c r="Q20865" s="24"/>
      <c r="R20865" s="24"/>
      <c r="S20865" s="24"/>
      <c r="T20865" s="24"/>
      <c r="U20865" s="24"/>
      <c r="V20865" s="24"/>
      <c r="W20865" s="24"/>
      <c r="X20865" s="24"/>
      <c r="Y20865" s="24"/>
      <c r="Z20865" s="24"/>
      <c r="AA20865" s="24"/>
    </row>
    <row r="20866">
      <c r="A20866" s="24"/>
      <c r="B20866" s="25"/>
      <c r="C20866" s="24"/>
      <c r="D20866" s="26"/>
      <c r="E20866" s="24"/>
      <c r="F20866" s="24"/>
      <c r="G20866" s="24"/>
      <c r="H20866" s="24"/>
      <c r="I20866" s="24"/>
      <c r="J20866" s="24"/>
      <c r="K20866" s="24"/>
      <c r="L20866" s="24"/>
      <c r="M20866" s="24"/>
      <c r="N20866" s="24"/>
      <c r="O20866" s="24"/>
      <c r="P20866" s="24"/>
      <c r="Q20866" s="24"/>
      <c r="R20866" s="24"/>
      <c r="S20866" s="24"/>
      <c r="T20866" s="24"/>
      <c r="U20866" s="24"/>
      <c r="V20866" s="24"/>
      <c r="W20866" s="24"/>
      <c r="X20866" s="24"/>
      <c r="Y20866" s="24"/>
      <c r="Z20866" s="24"/>
      <c r="AA20866" s="24"/>
    </row>
    <row r="20867">
      <c r="A20867" s="24"/>
      <c r="B20867" s="25"/>
      <c r="C20867" s="24"/>
      <c r="D20867" s="26"/>
      <c r="E20867" s="24"/>
      <c r="F20867" s="24"/>
      <c r="G20867" s="24"/>
      <c r="H20867" s="24"/>
      <c r="I20867" s="24"/>
      <c r="J20867" s="24"/>
      <c r="K20867" s="24"/>
      <c r="L20867" s="24"/>
      <c r="M20867" s="24"/>
      <c r="N20867" s="24"/>
      <c r="O20867" s="24"/>
      <c r="P20867" s="24"/>
      <c r="Q20867" s="24"/>
      <c r="R20867" s="24"/>
      <c r="S20867" s="24"/>
      <c r="T20867" s="24"/>
      <c r="U20867" s="24"/>
      <c r="V20867" s="24"/>
      <c r="W20867" s="24"/>
      <c r="X20867" s="24"/>
      <c r="Y20867" s="24"/>
      <c r="Z20867" s="24"/>
      <c r="AA20867" s="24"/>
    </row>
    <row r="20868">
      <c r="A20868" s="24"/>
      <c r="B20868" s="25"/>
      <c r="C20868" s="24"/>
      <c r="D20868" s="26"/>
      <c r="E20868" s="24"/>
      <c r="F20868" s="24"/>
      <c r="G20868" s="24"/>
      <c r="H20868" s="24"/>
      <c r="I20868" s="24"/>
      <c r="J20868" s="24"/>
      <c r="K20868" s="24"/>
      <c r="L20868" s="24"/>
      <c r="M20868" s="24"/>
      <c r="N20868" s="24"/>
      <c r="O20868" s="24"/>
      <c r="P20868" s="24"/>
      <c r="Q20868" s="24"/>
      <c r="R20868" s="24"/>
      <c r="S20868" s="24"/>
      <c r="T20868" s="24"/>
      <c r="U20868" s="24"/>
      <c r="V20868" s="24"/>
      <c r="W20868" s="24"/>
      <c r="X20868" s="24"/>
      <c r="Y20868" s="24"/>
      <c r="Z20868" s="24"/>
      <c r="AA20868" s="24"/>
    </row>
    <row r="20869">
      <c r="A20869" s="24"/>
      <c r="B20869" s="25"/>
      <c r="C20869" s="24"/>
      <c r="D20869" s="26"/>
      <c r="E20869" s="24"/>
      <c r="F20869" s="24"/>
      <c r="G20869" s="24"/>
      <c r="H20869" s="24"/>
      <c r="I20869" s="24"/>
      <c r="J20869" s="24"/>
      <c r="K20869" s="24"/>
      <c r="L20869" s="24"/>
      <c r="M20869" s="24"/>
      <c r="N20869" s="24"/>
      <c r="O20869" s="24"/>
      <c r="P20869" s="24"/>
      <c r="Q20869" s="24"/>
      <c r="R20869" s="24"/>
      <c r="S20869" s="24"/>
      <c r="T20869" s="24"/>
      <c r="U20869" s="24"/>
      <c r="V20869" s="24"/>
      <c r="W20869" s="24"/>
      <c r="X20869" s="24"/>
      <c r="Y20869" s="24"/>
      <c r="Z20869" s="24"/>
      <c r="AA20869" s="24"/>
    </row>
    <row r="20870">
      <c r="A20870" s="24"/>
      <c r="B20870" s="25"/>
      <c r="C20870" s="24"/>
      <c r="D20870" s="26"/>
      <c r="E20870" s="24"/>
      <c r="F20870" s="24"/>
      <c r="G20870" s="24"/>
      <c r="H20870" s="24"/>
      <c r="I20870" s="24"/>
      <c r="J20870" s="24"/>
      <c r="K20870" s="24"/>
      <c r="L20870" s="24"/>
      <c r="M20870" s="24"/>
      <c r="N20870" s="24"/>
      <c r="O20870" s="24"/>
      <c r="P20870" s="24"/>
      <c r="Q20870" s="24"/>
      <c r="R20870" s="24"/>
      <c r="S20870" s="24"/>
      <c r="T20870" s="24"/>
      <c r="U20870" s="24"/>
      <c r="V20870" s="24"/>
      <c r="W20870" s="24"/>
      <c r="X20870" s="24"/>
      <c r="Y20870" s="24"/>
      <c r="Z20870" s="24"/>
      <c r="AA20870" s="24"/>
    </row>
    <row r="20871">
      <c r="A20871" s="24"/>
      <c r="B20871" s="25"/>
      <c r="C20871" s="24"/>
      <c r="D20871" s="26"/>
      <c r="E20871" s="24"/>
      <c r="F20871" s="24"/>
      <c r="G20871" s="24"/>
      <c r="H20871" s="24"/>
      <c r="I20871" s="24"/>
      <c r="J20871" s="24"/>
      <c r="K20871" s="24"/>
      <c r="L20871" s="24"/>
      <c r="M20871" s="24"/>
      <c r="N20871" s="24"/>
      <c r="O20871" s="24"/>
      <c r="P20871" s="24"/>
      <c r="Q20871" s="24"/>
      <c r="R20871" s="24"/>
      <c r="S20871" s="24"/>
      <c r="T20871" s="24"/>
      <c r="U20871" s="24"/>
      <c r="V20871" s="24"/>
      <c r="W20871" s="24"/>
      <c r="X20871" s="24"/>
      <c r="Y20871" s="24"/>
      <c r="Z20871" s="24"/>
      <c r="AA20871" s="24"/>
    </row>
    <row r="20872">
      <c r="A20872" s="24"/>
      <c r="B20872" s="25"/>
      <c r="C20872" s="24"/>
      <c r="D20872" s="26"/>
      <c r="E20872" s="24"/>
      <c r="F20872" s="24"/>
      <c r="G20872" s="24"/>
      <c r="H20872" s="24"/>
      <c r="I20872" s="24"/>
      <c r="J20872" s="24"/>
      <c r="K20872" s="24"/>
      <c r="L20872" s="24"/>
      <c r="M20872" s="24"/>
      <c r="N20872" s="24"/>
      <c r="O20872" s="24"/>
      <c r="P20872" s="24"/>
      <c r="Q20872" s="24"/>
      <c r="R20872" s="24"/>
      <c r="S20872" s="24"/>
      <c r="T20872" s="24"/>
      <c r="U20872" s="24"/>
      <c r="V20872" s="24"/>
      <c r="W20872" s="24"/>
      <c r="X20872" s="24"/>
      <c r="Y20872" s="24"/>
      <c r="Z20872" s="24"/>
      <c r="AA20872" s="24"/>
    </row>
    <row r="20873">
      <c r="A20873" s="24"/>
      <c r="B20873" s="25"/>
      <c r="C20873" s="24"/>
      <c r="D20873" s="26"/>
      <c r="E20873" s="24"/>
      <c r="F20873" s="24"/>
      <c r="G20873" s="24"/>
      <c r="H20873" s="24"/>
      <c r="I20873" s="24"/>
      <c r="J20873" s="24"/>
      <c r="K20873" s="24"/>
      <c r="L20873" s="24"/>
      <c r="M20873" s="24"/>
      <c r="N20873" s="24"/>
      <c r="O20873" s="24"/>
      <c r="P20873" s="24"/>
      <c r="Q20873" s="24"/>
      <c r="R20873" s="24"/>
      <c r="S20873" s="24"/>
      <c r="T20873" s="24"/>
      <c r="U20873" s="24"/>
      <c r="V20873" s="24"/>
      <c r="W20873" s="24"/>
      <c r="X20873" s="24"/>
      <c r="Y20873" s="24"/>
      <c r="Z20873" s="24"/>
      <c r="AA20873" s="24"/>
    </row>
    <row r="20874">
      <c r="A20874" s="24"/>
      <c r="B20874" s="25"/>
      <c r="C20874" s="24"/>
      <c r="D20874" s="26"/>
      <c r="E20874" s="24"/>
      <c r="F20874" s="24"/>
      <c r="G20874" s="24"/>
      <c r="H20874" s="24"/>
      <c r="I20874" s="24"/>
      <c r="J20874" s="24"/>
      <c r="K20874" s="24"/>
      <c r="L20874" s="24"/>
      <c r="M20874" s="24"/>
      <c r="N20874" s="24"/>
      <c r="O20874" s="24"/>
      <c r="P20874" s="24"/>
      <c r="Q20874" s="24"/>
      <c r="R20874" s="24"/>
      <c r="S20874" s="24"/>
      <c r="T20874" s="24"/>
      <c r="U20874" s="24"/>
      <c r="V20874" s="24"/>
      <c r="W20874" s="24"/>
      <c r="X20874" s="24"/>
      <c r="Y20874" s="24"/>
      <c r="Z20874" s="24"/>
      <c r="AA20874" s="24"/>
    </row>
    <row r="20875">
      <c r="A20875" s="24"/>
      <c r="B20875" s="25"/>
      <c r="C20875" s="24"/>
      <c r="D20875" s="26"/>
      <c r="E20875" s="24"/>
      <c r="F20875" s="24"/>
      <c r="G20875" s="24"/>
      <c r="H20875" s="24"/>
      <c r="I20875" s="24"/>
      <c r="J20875" s="24"/>
      <c r="K20875" s="24"/>
      <c r="L20875" s="24"/>
      <c r="M20875" s="24"/>
      <c r="N20875" s="24"/>
      <c r="O20875" s="24"/>
      <c r="P20875" s="24"/>
      <c r="Q20875" s="24"/>
      <c r="R20875" s="24"/>
      <c r="S20875" s="24"/>
      <c r="T20875" s="24"/>
      <c r="U20875" s="24"/>
      <c r="V20875" s="24"/>
      <c r="W20875" s="24"/>
      <c r="X20875" s="24"/>
      <c r="Y20875" s="24"/>
      <c r="Z20875" s="24"/>
      <c r="AA20875" s="24"/>
    </row>
    <row r="20876">
      <c r="A20876" s="24"/>
      <c r="B20876" s="25"/>
      <c r="C20876" s="24"/>
      <c r="D20876" s="26"/>
      <c r="E20876" s="24"/>
      <c r="F20876" s="24"/>
      <c r="G20876" s="24"/>
      <c r="H20876" s="24"/>
      <c r="I20876" s="24"/>
      <c r="J20876" s="24"/>
      <c r="K20876" s="24"/>
      <c r="L20876" s="24"/>
      <c r="M20876" s="24"/>
      <c r="N20876" s="24"/>
      <c r="O20876" s="24"/>
      <c r="P20876" s="24"/>
      <c r="Q20876" s="24"/>
      <c r="R20876" s="24"/>
      <c r="S20876" s="24"/>
      <c r="T20876" s="24"/>
      <c r="U20876" s="24"/>
      <c r="V20876" s="24"/>
      <c r="W20876" s="24"/>
      <c r="X20876" s="24"/>
      <c r="Y20876" s="24"/>
      <c r="Z20876" s="24"/>
      <c r="AA20876" s="24"/>
    </row>
    <row r="20877">
      <c r="A20877" s="24"/>
      <c r="B20877" s="25"/>
      <c r="C20877" s="24"/>
      <c r="D20877" s="26"/>
      <c r="E20877" s="24"/>
      <c r="F20877" s="24"/>
      <c r="G20877" s="24"/>
      <c r="H20877" s="24"/>
      <c r="I20877" s="24"/>
      <c r="J20877" s="24"/>
      <c r="K20877" s="24"/>
      <c r="L20877" s="24"/>
      <c r="M20877" s="24"/>
      <c r="N20877" s="24"/>
      <c r="O20877" s="24"/>
      <c r="P20877" s="24"/>
      <c r="Q20877" s="24"/>
      <c r="R20877" s="24"/>
      <c r="S20877" s="24"/>
      <c r="T20877" s="24"/>
      <c r="U20877" s="24"/>
      <c r="V20877" s="24"/>
      <c r="W20877" s="24"/>
      <c r="X20877" s="24"/>
      <c r="Y20877" s="24"/>
      <c r="Z20877" s="24"/>
      <c r="AA20877" s="24"/>
    </row>
    <row r="20878">
      <c r="A20878" s="24"/>
      <c r="B20878" s="25"/>
      <c r="C20878" s="24"/>
      <c r="D20878" s="26"/>
      <c r="E20878" s="24"/>
      <c r="F20878" s="24"/>
      <c r="G20878" s="24"/>
      <c r="H20878" s="24"/>
      <c r="I20878" s="24"/>
      <c r="J20878" s="24"/>
      <c r="K20878" s="24"/>
      <c r="L20878" s="24"/>
      <c r="M20878" s="24"/>
      <c r="N20878" s="24"/>
      <c r="O20878" s="24"/>
      <c r="P20878" s="24"/>
      <c r="Q20878" s="24"/>
      <c r="R20878" s="24"/>
      <c r="S20878" s="24"/>
      <c r="T20878" s="24"/>
      <c r="U20878" s="24"/>
      <c r="V20878" s="24"/>
      <c r="W20878" s="24"/>
      <c r="X20878" s="24"/>
      <c r="Y20878" s="24"/>
      <c r="Z20878" s="24"/>
      <c r="AA20878" s="24"/>
    </row>
    <row r="20879">
      <c r="A20879" s="24"/>
      <c r="B20879" s="25"/>
      <c r="C20879" s="24"/>
      <c r="D20879" s="26"/>
      <c r="E20879" s="24"/>
      <c r="F20879" s="24"/>
      <c r="G20879" s="24"/>
      <c r="H20879" s="24"/>
      <c r="I20879" s="24"/>
      <c r="J20879" s="24"/>
      <c r="K20879" s="24"/>
      <c r="L20879" s="24"/>
      <c r="M20879" s="24"/>
      <c r="N20879" s="24"/>
      <c r="O20879" s="24"/>
      <c r="P20879" s="24"/>
      <c r="Q20879" s="24"/>
      <c r="R20879" s="24"/>
      <c r="S20879" s="24"/>
      <c r="T20879" s="24"/>
      <c r="U20879" s="24"/>
      <c r="V20879" s="24"/>
      <c r="W20879" s="24"/>
      <c r="X20879" s="24"/>
      <c r="Y20879" s="24"/>
      <c r="Z20879" s="24"/>
      <c r="AA20879" s="24"/>
    </row>
    <row r="20880">
      <c r="A20880" s="24"/>
      <c r="B20880" s="25"/>
      <c r="C20880" s="24"/>
      <c r="D20880" s="26"/>
      <c r="E20880" s="24"/>
      <c r="F20880" s="24"/>
      <c r="G20880" s="24"/>
      <c r="H20880" s="24"/>
      <c r="I20880" s="24"/>
      <c r="J20880" s="24"/>
      <c r="K20880" s="24"/>
      <c r="L20880" s="24"/>
      <c r="M20880" s="24"/>
      <c r="N20880" s="24"/>
      <c r="O20880" s="24"/>
      <c r="P20880" s="24"/>
      <c r="Q20880" s="24"/>
      <c r="R20880" s="24"/>
      <c r="S20880" s="24"/>
      <c r="T20880" s="24"/>
      <c r="U20880" s="24"/>
      <c r="V20880" s="24"/>
      <c r="W20880" s="24"/>
      <c r="X20880" s="24"/>
      <c r="Y20880" s="24"/>
      <c r="Z20880" s="24"/>
      <c r="AA20880" s="24"/>
    </row>
    <row r="20881">
      <c r="A20881" s="24"/>
      <c r="B20881" s="25"/>
      <c r="C20881" s="24"/>
      <c r="D20881" s="26"/>
      <c r="E20881" s="24"/>
      <c r="F20881" s="24"/>
      <c r="G20881" s="24"/>
      <c r="H20881" s="24"/>
      <c r="I20881" s="24"/>
      <c r="J20881" s="24"/>
      <c r="K20881" s="24"/>
      <c r="L20881" s="24"/>
      <c r="M20881" s="24"/>
      <c r="N20881" s="24"/>
      <c r="O20881" s="24"/>
      <c r="P20881" s="24"/>
      <c r="Q20881" s="24"/>
      <c r="R20881" s="24"/>
      <c r="S20881" s="24"/>
      <c r="T20881" s="24"/>
      <c r="U20881" s="24"/>
      <c r="V20881" s="24"/>
      <c r="W20881" s="24"/>
      <c r="X20881" s="24"/>
      <c r="Y20881" s="24"/>
      <c r="Z20881" s="24"/>
      <c r="AA20881" s="24"/>
    </row>
    <row r="20882">
      <c r="A20882" s="24"/>
      <c r="B20882" s="25"/>
      <c r="C20882" s="24"/>
      <c r="D20882" s="26"/>
      <c r="E20882" s="24"/>
      <c r="F20882" s="24"/>
      <c r="G20882" s="24"/>
      <c r="H20882" s="24"/>
      <c r="I20882" s="24"/>
      <c r="J20882" s="24"/>
      <c r="K20882" s="24"/>
      <c r="L20882" s="24"/>
      <c r="M20882" s="24"/>
      <c r="N20882" s="24"/>
      <c r="O20882" s="24"/>
      <c r="P20882" s="24"/>
      <c r="Q20882" s="24"/>
      <c r="R20882" s="24"/>
      <c r="S20882" s="24"/>
      <c r="T20882" s="24"/>
      <c r="U20882" s="24"/>
      <c r="V20882" s="24"/>
      <c r="W20882" s="24"/>
      <c r="X20882" s="24"/>
      <c r="Y20882" s="24"/>
      <c r="Z20882" s="24"/>
      <c r="AA20882" s="24"/>
    </row>
    <row r="20883">
      <c r="A20883" s="24"/>
      <c r="B20883" s="25"/>
      <c r="C20883" s="24"/>
      <c r="D20883" s="26"/>
      <c r="E20883" s="24"/>
      <c r="F20883" s="24"/>
      <c r="G20883" s="24"/>
      <c r="H20883" s="24"/>
      <c r="I20883" s="24"/>
      <c r="J20883" s="24"/>
      <c r="K20883" s="24"/>
      <c r="L20883" s="24"/>
      <c r="M20883" s="24"/>
      <c r="N20883" s="24"/>
      <c r="O20883" s="24"/>
      <c r="P20883" s="24"/>
      <c r="Q20883" s="24"/>
      <c r="R20883" s="24"/>
      <c r="S20883" s="24"/>
      <c r="T20883" s="24"/>
      <c r="U20883" s="24"/>
      <c r="V20883" s="24"/>
      <c r="W20883" s="24"/>
      <c r="X20883" s="24"/>
      <c r="Y20883" s="24"/>
      <c r="Z20883" s="24"/>
      <c r="AA20883" s="24"/>
    </row>
    <row r="20884">
      <c r="A20884" s="24"/>
      <c r="B20884" s="25"/>
      <c r="C20884" s="24"/>
      <c r="D20884" s="26"/>
      <c r="E20884" s="24"/>
      <c r="F20884" s="24"/>
      <c r="G20884" s="24"/>
      <c r="H20884" s="24"/>
      <c r="I20884" s="24"/>
      <c r="J20884" s="24"/>
      <c r="K20884" s="24"/>
      <c r="L20884" s="24"/>
      <c r="M20884" s="24"/>
      <c r="N20884" s="24"/>
      <c r="O20884" s="24"/>
      <c r="P20884" s="24"/>
      <c r="Q20884" s="24"/>
      <c r="R20884" s="24"/>
      <c r="S20884" s="24"/>
      <c r="T20884" s="24"/>
      <c r="U20884" s="24"/>
      <c r="V20884" s="24"/>
      <c r="W20884" s="24"/>
      <c r="X20884" s="24"/>
      <c r="Y20884" s="24"/>
      <c r="Z20884" s="24"/>
      <c r="AA20884" s="24"/>
    </row>
    <row r="20885">
      <c r="A20885" s="24"/>
      <c r="B20885" s="25"/>
      <c r="C20885" s="24"/>
      <c r="D20885" s="26"/>
      <c r="E20885" s="24"/>
      <c r="F20885" s="24"/>
      <c r="G20885" s="24"/>
      <c r="H20885" s="24"/>
      <c r="I20885" s="24"/>
      <c r="J20885" s="24"/>
      <c r="K20885" s="24"/>
      <c r="L20885" s="24"/>
      <c r="M20885" s="24"/>
      <c r="N20885" s="24"/>
      <c r="O20885" s="24"/>
      <c r="P20885" s="24"/>
      <c r="Q20885" s="24"/>
      <c r="R20885" s="24"/>
      <c r="S20885" s="24"/>
      <c r="T20885" s="24"/>
      <c r="U20885" s="24"/>
      <c r="V20885" s="24"/>
      <c r="W20885" s="24"/>
      <c r="X20885" s="24"/>
      <c r="Y20885" s="24"/>
      <c r="Z20885" s="24"/>
      <c r="AA20885" s="24"/>
    </row>
    <row r="20886">
      <c r="A20886" s="24"/>
      <c r="B20886" s="25"/>
      <c r="C20886" s="24"/>
      <c r="D20886" s="26"/>
      <c r="E20886" s="24"/>
      <c r="F20886" s="24"/>
      <c r="G20886" s="24"/>
      <c r="H20886" s="24"/>
      <c r="I20886" s="24"/>
      <c r="J20886" s="24"/>
      <c r="K20886" s="24"/>
      <c r="L20886" s="24"/>
      <c r="M20886" s="24"/>
      <c r="N20886" s="24"/>
      <c r="O20886" s="24"/>
      <c r="P20886" s="24"/>
      <c r="Q20886" s="24"/>
      <c r="R20886" s="24"/>
      <c r="S20886" s="24"/>
      <c r="T20886" s="24"/>
      <c r="U20886" s="24"/>
      <c r="V20886" s="24"/>
      <c r="W20886" s="24"/>
      <c r="X20886" s="24"/>
      <c r="Y20886" s="24"/>
      <c r="Z20886" s="24"/>
      <c r="AA20886" s="24"/>
    </row>
    <row r="20887">
      <c r="A20887" s="24"/>
      <c r="B20887" s="25"/>
      <c r="C20887" s="24"/>
      <c r="D20887" s="26"/>
      <c r="E20887" s="24"/>
      <c r="F20887" s="24"/>
      <c r="G20887" s="24"/>
      <c r="H20887" s="24"/>
      <c r="I20887" s="24"/>
      <c r="J20887" s="24"/>
      <c r="K20887" s="24"/>
      <c r="L20887" s="24"/>
      <c r="M20887" s="24"/>
      <c r="N20887" s="24"/>
      <c r="O20887" s="24"/>
      <c r="P20887" s="24"/>
      <c r="Q20887" s="24"/>
      <c r="R20887" s="24"/>
      <c r="S20887" s="24"/>
      <c r="T20887" s="24"/>
      <c r="U20887" s="24"/>
      <c r="V20887" s="24"/>
      <c r="W20887" s="24"/>
      <c r="X20887" s="24"/>
      <c r="Y20887" s="24"/>
      <c r="Z20887" s="24"/>
      <c r="AA20887" s="24"/>
    </row>
    <row r="20888">
      <c r="A20888" s="24"/>
      <c r="B20888" s="25"/>
      <c r="C20888" s="24"/>
      <c r="D20888" s="26"/>
      <c r="E20888" s="24"/>
      <c r="F20888" s="24"/>
      <c r="G20888" s="24"/>
      <c r="H20888" s="24"/>
      <c r="I20888" s="24"/>
      <c r="J20888" s="24"/>
      <c r="K20888" s="24"/>
      <c r="L20888" s="24"/>
      <c r="M20888" s="24"/>
      <c r="N20888" s="24"/>
      <c r="O20888" s="24"/>
      <c r="P20888" s="24"/>
      <c r="Q20888" s="24"/>
      <c r="R20888" s="24"/>
      <c r="S20888" s="24"/>
      <c r="T20888" s="24"/>
      <c r="U20888" s="24"/>
      <c r="V20888" s="24"/>
      <c r="W20888" s="24"/>
      <c r="X20888" s="24"/>
      <c r="Y20888" s="24"/>
      <c r="Z20888" s="24"/>
      <c r="AA20888" s="24"/>
    </row>
    <row r="20889">
      <c r="A20889" s="24"/>
      <c r="B20889" s="25"/>
      <c r="C20889" s="24"/>
      <c r="D20889" s="26"/>
      <c r="E20889" s="24"/>
      <c r="F20889" s="24"/>
      <c r="G20889" s="24"/>
      <c r="H20889" s="24"/>
      <c r="I20889" s="24"/>
      <c r="J20889" s="24"/>
      <c r="K20889" s="24"/>
      <c r="L20889" s="24"/>
      <c r="M20889" s="24"/>
      <c r="N20889" s="24"/>
      <c r="O20889" s="24"/>
      <c r="P20889" s="24"/>
      <c r="Q20889" s="24"/>
      <c r="R20889" s="24"/>
      <c r="S20889" s="24"/>
      <c r="T20889" s="24"/>
      <c r="U20889" s="24"/>
      <c r="V20889" s="24"/>
      <c r="W20889" s="24"/>
      <c r="X20889" s="24"/>
      <c r="Y20889" s="24"/>
      <c r="Z20889" s="24"/>
      <c r="AA20889" s="24"/>
    </row>
    <row r="20890">
      <c r="A20890" s="24"/>
      <c r="B20890" s="25"/>
      <c r="C20890" s="24"/>
      <c r="D20890" s="26"/>
      <c r="E20890" s="24"/>
      <c r="F20890" s="24"/>
      <c r="G20890" s="24"/>
      <c r="H20890" s="24"/>
      <c r="I20890" s="24"/>
      <c r="J20890" s="24"/>
      <c r="K20890" s="24"/>
      <c r="L20890" s="24"/>
      <c r="M20890" s="24"/>
      <c r="N20890" s="24"/>
      <c r="O20890" s="24"/>
      <c r="P20890" s="24"/>
      <c r="Q20890" s="24"/>
      <c r="R20890" s="24"/>
      <c r="S20890" s="24"/>
      <c r="T20890" s="24"/>
      <c r="U20890" s="24"/>
      <c r="V20890" s="24"/>
      <c r="W20890" s="24"/>
      <c r="X20890" s="24"/>
      <c r="Y20890" s="24"/>
      <c r="Z20890" s="24"/>
      <c r="AA20890" s="24"/>
    </row>
    <row r="20891">
      <c r="A20891" s="24"/>
      <c r="B20891" s="25"/>
      <c r="C20891" s="24"/>
      <c r="D20891" s="26"/>
      <c r="E20891" s="24"/>
      <c r="F20891" s="24"/>
      <c r="G20891" s="24"/>
      <c r="H20891" s="24"/>
      <c r="I20891" s="24"/>
      <c r="J20891" s="24"/>
      <c r="K20891" s="24"/>
      <c r="L20891" s="24"/>
      <c r="M20891" s="24"/>
      <c r="N20891" s="24"/>
      <c r="O20891" s="24"/>
      <c r="P20891" s="24"/>
      <c r="Q20891" s="24"/>
      <c r="R20891" s="24"/>
      <c r="S20891" s="24"/>
      <c r="T20891" s="24"/>
      <c r="U20891" s="24"/>
      <c r="V20891" s="24"/>
      <c r="W20891" s="24"/>
      <c r="X20891" s="24"/>
      <c r="Y20891" s="24"/>
      <c r="Z20891" s="24"/>
      <c r="AA20891" s="24"/>
    </row>
    <row r="20892">
      <c r="A20892" s="24"/>
      <c r="B20892" s="25"/>
      <c r="C20892" s="24"/>
      <c r="D20892" s="26"/>
      <c r="E20892" s="24"/>
      <c r="F20892" s="24"/>
      <c r="G20892" s="24"/>
      <c r="H20892" s="24"/>
      <c r="I20892" s="24"/>
      <c r="J20892" s="24"/>
      <c r="K20892" s="24"/>
      <c r="L20892" s="24"/>
      <c r="M20892" s="24"/>
      <c r="N20892" s="24"/>
      <c r="O20892" s="24"/>
      <c r="P20892" s="24"/>
      <c r="Q20892" s="24"/>
      <c r="R20892" s="24"/>
      <c r="S20892" s="24"/>
      <c r="T20892" s="24"/>
      <c r="U20892" s="24"/>
      <c r="V20892" s="24"/>
      <c r="W20892" s="24"/>
      <c r="X20892" s="24"/>
      <c r="Y20892" s="24"/>
      <c r="Z20892" s="24"/>
      <c r="AA20892" s="24"/>
    </row>
    <row r="20893">
      <c r="A20893" s="24"/>
      <c r="B20893" s="25"/>
      <c r="C20893" s="24"/>
      <c r="D20893" s="26"/>
      <c r="E20893" s="24"/>
      <c r="F20893" s="24"/>
      <c r="G20893" s="24"/>
      <c r="H20893" s="24"/>
      <c r="I20893" s="24"/>
      <c r="J20893" s="24"/>
      <c r="K20893" s="24"/>
      <c r="L20893" s="24"/>
      <c r="M20893" s="24"/>
      <c r="N20893" s="24"/>
      <c r="O20893" s="24"/>
      <c r="P20893" s="24"/>
      <c r="Q20893" s="24"/>
      <c r="R20893" s="24"/>
      <c r="S20893" s="24"/>
      <c r="T20893" s="24"/>
      <c r="U20893" s="24"/>
      <c r="V20893" s="24"/>
      <c r="W20893" s="24"/>
      <c r="X20893" s="24"/>
      <c r="Y20893" s="24"/>
      <c r="Z20893" s="24"/>
      <c r="AA20893" s="24"/>
    </row>
    <row r="20894">
      <c r="A20894" s="24"/>
      <c r="B20894" s="25"/>
      <c r="C20894" s="24"/>
      <c r="D20894" s="26"/>
      <c r="E20894" s="24"/>
      <c r="F20894" s="24"/>
      <c r="G20894" s="24"/>
      <c r="H20894" s="24"/>
      <c r="I20894" s="24"/>
      <c r="J20894" s="24"/>
      <c r="K20894" s="24"/>
      <c r="L20894" s="24"/>
      <c r="M20894" s="24"/>
      <c r="N20894" s="24"/>
      <c r="O20894" s="24"/>
      <c r="P20894" s="24"/>
      <c r="Q20894" s="24"/>
      <c r="R20894" s="24"/>
      <c r="S20894" s="24"/>
      <c r="T20894" s="24"/>
      <c r="U20894" s="24"/>
      <c r="V20894" s="24"/>
      <c r="W20894" s="24"/>
      <c r="X20894" s="24"/>
      <c r="Y20894" s="24"/>
      <c r="Z20894" s="24"/>
      <c r="AA20894" s="24"/>
    </row>
    <row r="20895">
      <c r="A20895" s="24"/>
      <c r="B20895" s="25"/>
      <c r="C20895" s="24"/>
      <c r="D20895" s="26"/>
      <c r="E20895" s="24"/>
      <c r="F20895" s="24"/>
      <c r="G20895" s="24"/>
      <c r="H20895" s="24"/>
      <c r="I20895" s="24"/>
      <c r="J20895" s="24"/>
      <c r="K20895" s="24"/>
      <c r="L20895" s="24"/>
      <c r="M20895" s="24"/>
      <c r="N20895" s="24"/>
      <c r="O20895" s="24"/>
      <c r="P20895" s="24"/>
      <c r="Q20895" s="24"/>
      <c r="R20895" s="24"/>
      <c r="S20895" s="24"/>
      <c r="T20895" s="24"/>
      <c r="U20895" s="24"/>
      <c r="V20895" s="24"/>
      <c r="W20895" s="24"/>
      <c r="X20895" s="24"/>
      <c r="Y20895" s="24"/>
      <c r="Z20895" s="24"/>
      <c r="AA20895" s="24"/>
    </row>
    <row r="20896">
      <c r="A20896" s="24"/>
      <c r="B20896" s="25"/>
      <c r="C20896" s="24"/>
      <c r="D20896" s="26"/>
      <c r="E20896" s="24"/>
      <c r="F20896" s="24"/>
      <c r="G20896" s="24"/>
      <c r="H20896" s="24"/>
      <c r="I20896" s="24"/>
      <c r="J20896" s="24"/>
      <c r="K20896" s="24"/>
      <c r="L20896" s="24"/>
      <c r="M20896" s="24"/>
      <c r="N20896" s="24"/>
      <c r="O20896" s="24"/>
      <c r="P20896" s="24"/>
      <c r="Q20896" s="24"/>
      <c r="R20896" s="24"/>
      <c r="S20896" s="24"/>
      <c r="T20896" s="24"/>
      <c r="U20896" s="24"/>
      <c r="V20896" s="24"/>
      <c r="W20896" s="24"/>
      <c r="X20896" s="24"/>
      <c r="Y20896" s="24"/>
      <c r="Z20896" s="24"/>
      <c r="AA20896" s="24"/>
    </row>
    <row r="20897">
      <c r="A20897" s="24"/>
      <c r="B20897" s="25"/>
      <c r="C20897" s="24"/>
      <c r="D20897" s="26"/>
      <c r="E20897" s="24"/>
      <c r="F20897" s="24"/>
      <c r="G20897" s="24"/>
      <c r="H20897" s="24"/>
      <c r="I20897" s="24"/>
      <c r="J20897" s="24"/>
      <c r="K20897" s="24"/>
      <c r="L20897" s="24"/>
      <c r="M20897" s="24"/>
      <c r="N20897" s="24"/>
      <c r="O20897" s="24"/>
      <c r="P20897" s="24"/>
      <c r="Q20897" s="24"/>
      <c r="R20897" s="24"/>
      <c r="S20897" s="24"/>
      <c r="T20897" s="24"/>
      <c r="U20897" s="24"/>
      <c r="V20897" s="24"/>
      <c r="W20897" s="24"/>
      <c r="X20897" s="24"/>
      <c r="Y20897" s="24"/>
      <c r="Z20897" s="24"/>
      <c r="AA20897" s="24"/>
    </row>
    <row r="20898">
      <c r="A20898" s="24"/>
      <c r="B20898" s="25"/>
      <c r="C20898" s="24"/>
      <c r="D20898" s="26"/>
      <c r="E20898" s="24"/>
      <c r="F20898" s="24"/>
      <c r="G20898" s="24"/>
      <c r="H20898" s="24"/>
      <c r="I20898" s="24"/>
      <c r="J20898" s="24"/>
      <c r="K20898" s="24"/>
      <c r="L20898" s="24"/>
      <c r="M20898" s="24"/>
      <c r="N20898" s="24"/>
      <c r="O20898" s="24"/>
      <c r="P20898" s="24"/>
      <c r="Q20898" s="24"/>
      <c r="R20898" s="24"/>
      <c r="S20898" s="24"/>
      <c r="T20898" s="24"/>
      <c r="U20898" s="24"/>
      <c r="V20898" s="24"/>
      <c r="W20898" s="24"/>
      <c r="X20898" s="24"/>
      <c r="Y20898" s="24"/>
      <c r="Z20898" s="24"/>
      <c r="AA20898" s="24"/>
    </row>
    <row r="20899">
      <c r="A20899" s="24"/>
      <c r="B20899" s="25"/>
      <c r="C20899" s="24"/>
      <c r="D20899" s="26"/>
      <c r="E20899" s="24"/>
      <c r="F20899" s="24"/>
      <c r="G20899" s="24"/>
      <c r="H20899" s="24"/>
      <c r="I20899" s="24"/>
      <c r="J20899" s="24"/>
      <c r="K20899" s="24"/>
      <c r="L20899" s="24"/>
      <c r="M20899" s="24"/>
      <c r="N20899" s="24"/>
      <c r="O20899" s="24"/>
      <c r="P20899" s="24"/>
      <c r="Q20899" s="24"/>
      <c r="R20899" s="24"/>
      <c r="S20899" s="24"/>
      <c r="T20899" s="24"/>
      <c r="U20899" s="24"/>
      <c r="V20899" s="24"/>
      <c r="W20899" s="24"/>
      <c r="X20899" s="24"/>
      <c r="Y20899" s="24"/>
      <c r="Z20899" s="24"/>
      <c r="AA20899" s="24"/>
    </row>
    <row r="20900">
      <c r="A20900" s="24"/>
      <c r="B20900" s="25"/>
      <c r="C20900" s="24"/>
      <c r="D20900" s="26"/>
      <c r="E20900" s="24"/>
      <c r="F20900" s="24"/>
      <c r="G20900" s="24"/>
      <c r="H20900" s="24"/>
      <c r="I20900" s="24"/>
      <c r="J20900" s="24"/>
      <c r="K20900" s="24"/>
      <c r="L20900" s="24"/>
      <c r="M20900" s="24"/>
      <c r="N20900" s="24"/>
      <c r="O20900" s="24"/>
      <c r="P20900" s="24"/>
      <c r="Q20900" s="24"/>
      <c r="R20900" s="24"/>
      <c r="S20900" s="24"/>
      <c r="T20900" s="24"/>
      <c r="U20900" s="24"/>
      <c r="V20900" s="24"/>
      <c r="W20900" s="24"/>
      <c r="X20900" s="24"/>
      <c r="Y20900" s="24"/>
      <c r="Z20900" s="24"/>
      <c r="AA20900" s="24"/>
    </row>
    <row r="20901">
      <c r="A20901" s="24"/>
      <c r="B20901" s="25"/>
      <c r="C20901" s="24"/>
      <c r="D20901" s="26"/>
      <c r="E20901" s="24"/>
      <c r="F20901" s="24"/>
      <c r="G20901" s="24"/>
      <c r="H20901" s="24"/>
      <c r="I20901" s="24"/>
      <c r="J20901" s="24"/>
      <c r="K20901" s="24"/>
      <c r="L20901" s="24"/>
      <c r="M20901" s="24"/>
      <c r="N20901" s="24"/>
      <c r="O20901" s="24"/>
      <c r="P20901" s="24"/>
      <c r="Q20901" s="24"/>
      <c r="R20901" s="24"/>
      <c r="S20901" s="24"/>
      <c r="T20901" s="24"/>
      <c r="U20901" s="24"/>
      <c r="V20901" s="24"/>
      <c r="W20901" s="24"/>
      <c r="X20901" s="24"/>
      <c r="Y20901" s="24"/>
      <c r="Z20901" s="24"/>
      <c r="AA20901" s="24"/>
    </row>
    <row r="20902">
      <c r="A20902" s="24"/>
      <c r="B20902" s="25"/>
      <c r="C20902" s="24"/>
      <c r="D20902" s="26"/>
      <c r="E20902" s="24"/>
      <c r="F20902" s="24"/>
      <c r="G20902" s="24"/>
      <c r="H20902" s="24"/>
      <c r="I20902" s="24"/>
      <c r="J20902" s="24"/>
      <c r="K20902" s="24"/>
      <c r="L20902" s="24"/>
      <c r="M20902" s="24"/>
      <c r="N20902" s="24"/>
      <c r="O20902" s="24"/>
      <c r="P20902" s="24"/>
      <c r="Q20902" s="24"/>
      <c r="R20902" s="24"/>
      <c r="S20902" s="24"/>
      <c r="T20902" s="24"/>
      <c r="U20902" s="24"/>
      <c r="V20902" s="24"/>
      <c r="W20902" s="24"/>
      <c r="X20902" s="24"/>
      <c r="Y20902" s="24"/>
      <c r="Z20902" s="24"/>
      <c r="AA20902" s="24"/>
    </row>
    <row r="20903">
      <c r="A20903" s="24"/>
      <c r="B20903" s="25"/>
      <c r="C20903" s="24"/>
      <c r="D20903" s="26"/>
      <c r="E20903" s="24"/>
      <c r="F20903" s="24"/>
      <c r="G20903" s="24"/>
      <c r="H20903" s="24"/>
      <c r="I20903" s="24"/>
      <c r="J20903" s="24"/>
      <c r="K20903" s="24"/>
      <c r="L20903" s="24"/>
      <c r="M20903" s="24"/>
      <c r="N20903" s="24"/>
      <c r="O20903" s="24"/>
      <c r="P20903" s="24"/>
      <c r="Q20903" s="24"/>
      <c r="R20903" s="24"/>
      <c r="S20903" s="24"/>
      <c r="T20903" s="24"/>
      <c r="U20903" s="24"/>
      <c r="V20903" s="24"/>
      <c r="W20903" s="24"/>
      <c r="X20903" s="24"/>
      <c r="Y20903" s="24"/>
      <c r="Z20903" s="24"/>
      <c r="AA20903" s="24"/>
    </row>
    <row r="20904">
      <c r="A20904" s="24"/>
      <c r="B20904" s="25"/>
      <c r="C20904" s="24"/>
      <c r="D20904" s="26"/>
      <c r="E20904" s="24"/>
      <c r="F20904" s="24"/>
      <c r="G20904" s="24"/>
      <c r="H20904" s="24"/>
      <c r="I20904" s="24"/>
      <c r="J20904" s="24"/>
      <c r="K20904" s="24"/>
      <c r="L20904" s="24"/>
      <c r="M20904" s="24"/>
      <c r="N20904" s="24"/>
      <c r="O20904" s="24"/>
      <c r="P20904" s="24"/>
      <c r="Q20904" s="24"/>
      <c r="R20904" s="24"/>
      <c r="S20904" s="24"/>
      <c r="T20904" s="24"/>
      <c r="U20904" s="24"/>
      <c r="V20904" s="24"/>
      <c r="W20904" s="24"/>
      <c r="X20904" s="24"/>
      <c r="Y20904" s="24"/>
      <c r="Z20904" s="24"/>
      <c r="AA20904" s="24"/>
    </row>
    <row r="20905">
      <c r="A20905" s="24"/>
      <c r="B20905" s="25"/>
      <c r="C20905" s="24"/>
      <c r="D20905" s="26"/>
      <c r="E20905" s="24"/>
      <c r="F20905" s="24"/>
      <c r="G20905" s="24"/>
      <c r="H20905" s="24"/>
      <c r="I20905" s="24"/>
      <c r="J20905" s="24"/>
      <c r="K20905" s="24"/>
      <c r="L20905" s="24"/>
      <c r="M20905" s="24"/>
      <c r="N20905" s="24"/>
      <c r="O20905" s="24"/>
      <c r="P20905" s="24"/>
      <c r="Q20905" s="24"/>
      <c r="R20905" s="24"/>
      <c r="S20905" s="24"/>
      <c r="T20905" s="24"/>
      <c r="U20905" s="24"/>
      <c r="V20905" s="24"/>
      <c r="W20905" s="24"/>
      <c r="X20905" s="24"/>
      <c r="Y20905" s="24"/>
      <c r="Z20905" s="24"/>
      <c r="AA20905" s="24"/>
    </row>
    <row r="20906">
      <c r="A20906" s="24"/>
      <c r="B20906" s="25"/>
      <c r="C20906" s="24"/>
      <c r="D20906" s="26"/>
      <c r="E20906" s="24"/>
      <c r="F20906" s="24"/>
      <c r="G20906" s="24"/>
      <c r="H20906" s="24"/>
      <c r="I20906" s="24"/>
      <c r="J20906" s="24"/>
      <c r="K20906" s="24"/>
      <c r="L20906" s="24"/>
      <c r="M20906" s="24"/>
      <c r="N20906" s="24"/>
      <c r="O20906" s="24"/>
      <c r="P20906" s="24"/>
      <c r="Q20906" s="24"/>
      <c r="R20906" s="24"/>
      <c r="S20906" s="24"/>
      <c r="T20906" s="24"/>
      <c r="U20906" s="24"/>
      <c r="V20906" s="24"/>
      <c r="W20906" s="24"/>
      <c r="X20906" s="24"/>
      <c r="Y20906" s="24"/>
      <c r="Z20906" s="24"/>
      <c r="AA20906" s="24"/>
    </row>
    <row r="20907">
      <c r="A20907" s="24"/>
      <c r="B20907" s="25"/>
      <c r="C20907" s="24"/>
      <c r="D20907" s="26"/>
      <c r="E20907" s="24"/>
      <c r="F20907" s="24"/>
      <c r="G20907" s="24"/>
      <c r="H20907" s="24"/>
      <c r="I20907" s="24"/>
      <c r="J20907" s="24"/>
      <c r="K20907" s="24"/>
      <c r="L20907" s="24"/>
      <c r="M20907" s="24"/>
      <c r="N20907" s="24"/>
      <c r="O20907" s="24"/>
      <c r="P20907" s="24"/>
      <c r="Q20907" s="24"/>
      <c r="R20907" s="24"/>
      <c r="S20907" s="24"/>
      <c r="T20907" s="24"/>
      <c r="U20907" s="24"/>
      <c r="V20907" s="24"/>
      <c r="W20907" s="24"/>
      <c r="X20907" s="24"/>
      <c r="Y20907" s="24"/>
      <c r="Z20907" s="24"/>
      <c r="AA20907" s="24"/>
    </row>
    <row r="20908">
      <c r="A20908" s="24"/>
      <c r="B20908" s="25"/>
      <c r="C20908" s="24"/>
      <c r="D20908" s="26"/>
      <c r="E20908" s="24"/>
      <c r="F20908" s="24"/>
      <c r="G20908" s="24"/>
      <c r="H20908" s="24"/>
      <c r="I20908" s="24"/>
      <c r="J20908" s="24"/>
      <c r="K20908" s="24"/>
      <c r="L20908" s="24"/>
      <c r="M20908" s="24"/>
      <c r="N20908" s="24"/>
      <c r="O20908" s="24"/>
      <c r="P20908" s="24"/>
      <c r="Q20908" s="24"/>
      <c r="R20908" s="24"/>
      <c r="S20908" s="24"/>
      <c r="T20908" s="24"/>
      <c r="U20908" s="24"/>
      <c r="V20908" s="24"/>
      <c r="W20908" s="24"/>
      <c r="X20908" s="24"/>
      <c r="Y20908" s="24"/>
      <c r="Z20908" s="24"/>
      <c r="AA20908" s="24"/>
    </row>
    <row r="20909">
      <c r="A20909" s="24"/>
      <c r="B20909" s="25"/>
      <c r="C20909" s="24"/>
      <c r="D20909" s="26"/>
      <c r="E20909" s="24"/>
      <c r="F20909" s="24"/>
      <c r="G20909" s="24"/>
      <c r="H20909" s="24"/>
      <c r="I20909" s="24"/>
      <c r="J20909" s="24"/>
      <c r="K20909" s="24"/>
      <c r="L20909" s="24"/>
      <c r="M20909" s="24"/>
      <c r="N20909" s="24"/>
      <c r="O20909" s="24"/>
      <c r="P20909" s="24"/>
      <c r="Q20909" s="24"/>
      <c r="R20909" s="24"/>
      <c r="S20909" s="24"/>
      <c r="T20909" s="24"/>
      <c r="U20909" s="24"/>
      <c r="V20909" s="24"/>
      <c r="W20909" s="24"/>
      <c r="X20909" s="24"/>
      <c r="Y20909" s="24"/>
      <c r="Z20909" s="24"/>
      <c r="AA20909" s="24"/>
    </row>
    <row r="20910">
      <c r="A20910" s="24"/>
      <c r="B20910" s="25"/>
      <c r="C20910" s="24"/>
      <c r="D20910" s="26"/>
      <c r="E20910" s="24"/>
      <c r="F20910" s="24"/>
      <c r="G20910" s="24"/>
      <c r="H20910" s="24"/>
      <c r="I20910" s="24"/>
      <c r="J20910" s="24"/>
      <c r="K20910" s="24"/>
      <c r="L20910" s="24"/>
      <c r="M20910" s="24"/>
      <c r="N20910" s="24"/>
      <c r="O20910" s="24"/>
      <c r="P20910" s="24"/>
      <c r="Q20910" s="24"/>
      <c r="R20910" s="24"/>
      <c r="S20910" s="24"/>
      <c r="T20910" s="24"/>
      <c r="U20910" s="24"/>
      <c r="V20910" s="24"/>
      <c r="W20910" s="24"/>
      <c r="X20910" s="24"/>
      <c r="Y20910" s="24"/>
      <c r="Z20910" s="24"/>
      <c r="AA20910" s="24"/>
    </row>
    <row r="20911">
      <c r="A20911" s="24"/>
      <c r="B20911" s="25"/>
      <c r="C20911" s="24"/>
      <c r="D20911" s="26"/>
      <c r="E20911" s="24"/>
      <c r="F20911" s="24"/>
      <c r="G20911" s="24"/>
      <c r="H20911" s="24"/>
      <c r="I20911" s="24"/>
      <c r="J20911" s="24"/>
      <c r="K20911" s="24"/>
      <c r="L20911" s="24"/>
      <c r="M20911" s="24"/>
      <c r="N20911" s="24"/>
      <c r="O20911" s="24"/>
      <c r="P20911" s="24"/>
      <c r="Q20911" s="24"/>
      <c r="R20911" s="24"/>
      <c r="S20911" s="24"/>
      <c r="T20911" s="24"/>
      <c r="U20911" s="24"/>
      <c r="V20911" s="24"/>
      <c r="W20911" s="24"/>
      <c r="X20911" s="24"/>
      <c r="Y20911" s="24"/>
      <c r="Z20911" s="24"/>
      <c r="AA20911" s="24"/>
    </row>
    <row r="20912">
      <c r="A20912" s="24"/>
      <c r="B20912" s="25"/>
      <c r="C20912" s="24"/>
      <c r="D20912" s="26"/>
      <c r="E20912" s="24"/>
      <c r="F20912" s="24"/>
      <c r="G20912" s="24"/>
      <c r="H20912" s="24"/>
      <c r="I20912" s="24"/>
      <c r="J20912" s="24"/>
      <c r="K20912" s="24"/>
      <c r="L20912" s="24"/>
      <c r="M20912" s="24"/>
      <c r="N20912" s="24"/>
      <c r="O20912" s="24"/>
      <c r="P20912" s="24"/>
      <c r="Q20912" s="24"/>
      <c r="R20912" s="24"/>
      <c r="S20912" s="24"/>
      <c r="T20912" s="24"/>
      <c r="U20912" s="24"/>
      <c r="V20912" s="24"/>
      <c r="W20912" s="24"/>
      <c r="X20912" s="24"/>
      <c r="Y20912" s="24"/>
      <c r="Z20912" s="24"/>
      <c r="AA20912" s="24"/>
    </row>
    <row r="20913">
      <c r="A20913" s="24"/>
      <c r="B20913" s="25"/>
      <c r="C20913" s="24"/>
      <c r="D20913" s="26"/>
      <c r="E20913" s="24"/>
      <c r="F20913" s="24"/>
      <c r="G20913" s="24"/>
      <c r="H20913" s="24"/>
      <c r="I20913" s="24"/>
      <c r="J20913" s="24"/>
      <c r="K20913" s="24"/>
      <c r="L20913" s="24"/>
      <c r="M20913" s="24"/>
      <c r="N20913" s="24"/>
      <c r="O20913" s="24"/>
      <c r="P20913" s="24"/>
      <c r="Q20913" s="24"/>
      <c r="R20913" s="24"/>
      <c r="S20913" s="24"/>
      <c r="T20913" s="24"/>
      <c r="U20913" s="24"/>
      <c r="V20913" s="24"/>
      <c r="W20913" s="24"/>
      <c r="X20913" s="24"/>
      <c r="Y20913" s="24"/>
      <c r="Z20913" s="24"/>
      <c r="AA20913" s="24"/>
    </row>
    <row r="20914">
      <c r="A20914" s="24"/>
      <c r="B20914" s="25"/>
      <c r="C20914" s="24"/>
      <c r="D20914" s="26"/>
      <c r="E20914" s="24"/>
      <c r="F20914" s="24"/>
      <c r="G20914" s="24"/>
      <c r="H20914" s="24"/>
      <c r="I20914" s="24"/>
      <c r="J20914" s="24"/>
      <c r="K20914" s="24"/>
      <c r="L20914" s="24"/>
      <c r="M20914" s="24"/>
      <c r="N20914" s="24"/>
      <c r="O20914" s="24"/>
      <c r="P20914" s="24"/>
      <c r="Q20914" s="24"/>
      <c r="R20914" s="24"/>
      <c r="S20914" s="24"/>
      <c r="T20914" s="24"/>
      <c r="U20914" s="24"/>
      <c r="V20914" s="24"/>
      <c r="W20914" s="24"/>
      <c r="X20914" s="24"/>
      <c r="Y20914" s="24"/>
      <c r="Z20914" s="24"/>
      <c r="AA20914" s="24"/>
    </row>
    <row r="20915">
      <c r="A20915" s="24"/>
      <c r="B20915" s="25"/>
      <c r="C20915" s="24"/>
      <c r="D20915" s="26"/>
      <c r="E20915" s="24"/>
      <c r="F20915" s="24"/>
      <c r="G20915" s="24"/>
      <c r="H20915" s="24"/>
      <c r="I20915" s="24"/>
      <c r="J20915" s="24"/>
      <c r="K20915" s="24"/>
      <c r="L20915" s="24"/>
      <c r="M20915" s="24"/>
      <c r="N20915" s="24"/>
      <c r="O20915" s="24"/>
      <c r="P20915" s="24"/>
      <c r="Q20915" s="24"/>
      <c r="R20915" s="24"/>
      <c r="S20915" s="24"/>
      <c r="T20915" s="24"/>
      <c r="U20915" s="24"/>
      <c r="V20915" s="24"/>
      <c r="W20915" s="24"/>
      <c r="X20915" s="24"/>
      <c r="Y20915" s="24"/>
      <c r="Z20915" s="24"/>
      <c r="AA20915" s="24"/>
    </row>
    <row r="20916">
      <c r="A20916" s="24"/>
      <c r="B20916" s="25"/>
      <c r="C20916" s="24"/>
      <c r="D20916" s="26"/>
      <c r="E20916" s="24"/>
      <c r="F20916" s="24"/>
      <c r="G20916" s="24"/>
      <c r="H20916" s="24"/>
      <c r="I20916" s="24"/>
      <c r="J20916" s="24"/>
      <c r="K20916" s="24"/>
      <c r="L20916" s="24"/>
      <c r="M20916" s="24"/>
      <c r="N20916" s="24"/>
      <c r="O20916" s="24"/>
      <c r="P20916" s="24"/>
      <c r="Q20916" s="24"/>
      <c r="R20916" s="24"/>
      <c r="S20916" s="24"/>
      <c r="T20916" s="24"/>
      <c r="U20916" s="24"/>
      <c r="V20916" s="24"/>
      <c r="W20916" s="24"/>
      <c r="X20916" s="24"/>
      <c r="Y20916" s="24"/>
      <c r="Z20916" s="24"/>
      <c r="AA20916" s="24"/>
    </row>
    <row r="20917">
      <c r="A20917" s="24"/>
      <c r="B20917" s="25"/>
      <c r="C20917" s="24"/>
      <c r="D20917" s="26"/>
      <c r="E20917" s="24"/>
      <c r="F20917" s="24"/>
      <c r="G20917" s="24"/>
      <c r="H20917" s="24"/>
      <c r="I20917" s="24"/>
      <c r="J20917" s="24"/>
      <c r="K20917" s="24"/>
      <c r="L20917" s="24"/>
      <c r="M20917" s="24"/>
      <c r="N20917" s="24"/>
      <c r="O20917" s="24"/>
      <c r="P20917" s="24"/>
      <c r="Q20917" s="24"/>
      <c r="R20917" s="24"/>
      <c r="S20917" s="24"/>
      <c r="T20917" s="24"/>
      <c r="U20917" s="24"/>
      <c r="V20917" s="24"/>
      <c r="W20917" s="24"/>
      <c r="X20917" s="24"/>
      <c r="Y20917" s="24"/>
      <c r="Z20917" s="24"/>
      <c r="AA20917" s="24"/>
    </row>
    <row r="20918">
      <c r="A20918" s="24"/>
      <c r="B20918" s="25"/>
      <c r="C20918" s="24"/>
      <c r="D20918" s="26"/>
      <c r="E20918" s="24"/>
      <c r="F20918" s="24"/>
      <c r="G20918" s="24"/>
      <c r="H20918" s="24"/>
      <c r="I20918" s="24"/>
      <c r="J20918" s="24"/>
      <c r="K20918" s="24"/>
      <c r="L20918" s="24"/>
      <c r="M20918" s="24"/>
      <c r="N20918" s="24"/>
      <c r="O20918" s="24"/>
      <c r="P20918" s="24"/>
      <c r="Q20918" s="24"/>
      <c r="R20918" s="24"/>
      <c r="S20918" s="24"/>
      <c r="T20918" s="24"/>
      <c r="U20918" s="24"/>
      <c r="V20918" s="24"/>
      <c r="W20918" s="24"/>
      <c r="X20918" s="24"/>
      <c r="Y20918" s="24"/>
      <c r="Z20918" s="24"/>
      <c r="AA20918" s="24"/>
    </row>
    <row r="20919">
      <c r="A20919" s="24"/>
      <c r="B20919" s="25"/>
      <c r="C20919" s="24"/>
      <c r="D20919" s="26"/>
      <c r="E20919" s="24"/>
      <c r="F20919" s="24"/>
      <c r="G20919" s="24"/>
      <c r="H20919" s="24"/>
      <c r="I20919" s="24"/>
      <c r="J20919" s="24"/>
      <c r="K20919" s="24"/>
      <c r="L20919" s="24"/>
      <c r="M20919" s="24"/>
      <c r="N20919" s="24"/>
      <c r="O20919" s="24"/>
      <c r="P20919" s="24"/>
      <c r="Q20919" s="24"/>
      <c r="R20919" s="24"/>
      <c r="S20919" s="24"/>
      <c r="T20919" s="24"/>
      <c r="U20919" s="24"/>
      <c r="V20919" s="24"/>
      <c r="W20919" s="24"/>
      <c r="X20919" s="24"/>
      <c r="Y20919" s="24"/>
      <c r="Z20919" s="24"/>
      <c r="AA20919" s="24"/>
    </row>
    <row r="20920">
      <c r="A20920" s="24"/>
      <c r="B20920" s="25"/>
      <c r="C20920" s="24"/>
      <c r="D20920" s="26"/>
      <c r="E20920" s="24"/>
      <c r="F20920" s="24"/>
      <c r="G20920" s="24"/>
      <c r="H20920" s="24"/>
      <c r="I20920" s="24"/>
      <c r="J20920" s="24"/>
      <c r="K20920" s="24"/>
      <c r="L20920" s="24"/>
      <c r="M20920" s="24"/>
      <c r="N20920" s="24"/>
      <c r="O20920" s="24"/>
      <c r="P20920" s="24"/>
      <c r="Q20920" s="24"/>
      <c r="R20920" s="24"/>
      <c r="S20920" s="24"/>
      <c r="T20920" s="24"/>
      <c r="U20920" s="24"/>
      <c r="V20920" s="24"/>
      <c r="W20920" s="24"/>
      <c r="X20920" s="24"/>
      <c r="Y20920" s="24"/>
      <c r="Z20920" s="24"/>
      <c r="AA20920" s="24"/>
    </row>
    <row r="20921">
      <c r="A20921" s="24"/>
      <c r="B20921" s="25"/>
      <c r="C20921" s="24"/>
      <c r="D20921" s="26"/>
      <c r="E20921" s="24"/>
      <c r="F20921" s="24"/>
      <c r="G20921" s="24"/>
      <c r="H20921" s="24"/>
      <c r="I20921" s="24"/>
      <c r="J20921" s="24"/>
      <c r="K20921" s="24"/>
      <c r="L20921" s="24"/>
      <c r="M20921" s="24"/>
      <c r="N20921" s="24"/>
      <c r="O20921" s="24"/>
      <c r="P20921" s="24"/>
      <c r="Q20921" s="24"/>
      <c r="R20921" s="24"/>
      <c r="S20921" s="24"/>
      <c r="T20921" s="24"/>
      <c r="U20921" s="24"/>
      <c r="V20921" s="24"/>
      <c r="W20921" s="24"/>
      <c r="X20921" s="24"/>
      <c r="Y20921" s="24"/>
      <c r="Z20921" s="24"/>
      <c r="AA20921" s="24"/>
    </row>
    <row r="20922">
      <c r="A20922" s="24"/>
      <c r="B20922" s="25"/>
      <c r="C20922" s="24"/>
      <c r="D20922" s="26"/>
      <c r="E20922" s="24"/>
      <c r="F20922" s="24"/>
      <c r="G20922" s="24"/>
      <c r="H20922" s="24"/>
      <c r="I20922" s="24"/>
      <c r="J20922" s="24"/>
      <c r="K20922" s="24"/>
      <c r="L20922" s="24"/>
      <c r="M20922" s="24"/>
      <c r="N20922" s="24"/>
      <c r="O20922" s="24"/>
      <c r="P20922" s="24"/>
      <c r="Q20922" s="24"/>
      <c r="R20922" s="24"/>
      <c r="S20922" s="24"/>
      <c r="T20922" s="24"/>
      <c r="U20922" s="24"/>
      <c r="V20922" s="24"/>
      <c r="W20922" s="24"/>
      <c r="X20922" s="24"/>
      <c r="Y20922" s="24"/>
      <c r="Z20922" s="24"/>
      <c r="AA20922" s="24"/>
    </row>
    <row r="20923">
      <c r="A20923" s="24"/>
      <c r="B20923" s="25"/>
      <c r="C20923" s="24"/>
      <c r="D20923" s="26"/>
      <c r="E20923" s="24"/>
      <c r="F20923" s="24"/>
      <c r="G20923" s="24"/>
      <c r="H20923" s="24"/>
      <c r="I20923" s="24"/>
      <c r="J20923" s="24"/>
      <c r="K20923" s="24"/>
      <c r="L20923" s="24"/>
      <c r="M20923" s="24"/>
      <c r="N20923" s="24"/>
      <c r="O20923" s="24"/>
      <c r="P20923" s="24"/>
      <c r="Q20923" s="24"/>
      <c r="R20923" s="24"/>
      <c r="S20923" s="24"/>
      <c r="T20923" s="24"/>
      <c r="U20923" s="24"/>
      <c r="V20923" s="24"/>
      <c r="W20923" s="24"/>
      <c r="X20923" s="24"/>
      <c r="Y20923" s="24"/>
      <c r="Z20923" s="24"/>
      <c r="AA20923" s="24"/>
    </row>
    <row r="20924">
      <c r="A20924" s="24"/>
      <c r="B20924" s="25"/>
      <c r="C20924" s="24"/>
      <c r="D20924" s="26"/>
      <c r="E20924" s="24"/>
      <c r="F20924" s="24"/>
      <c r="G20924" s="24"/>
      <c r="H20924" s="24"/>
      <c r="I20924" s="24"/>
      <c r="J20924" s="24"/>
      <c r="K20924" s="24"/>
      <c r="L20924" s="24"/>
      <c r="M20924" s="24"/>
      <c r="N20924" s="24"/>
      <c r="O20924" s="24"/>
      <c r="P20924" s="24"/>
      <c r="Q20924" s="24"/>
      <c r="R20924" s="24"/>
      <c r="S20924" s="24"/>
      <c r="T20924" s="24"/>
      <c r="U20924" s="24"/>
      <c r="V20924" s="24"/>
      <c r="W20924" s="24"/>
      <c r="X20924" s="24"/>
      <c r="Y20924" s="24"/>
      <c r="Z20924" s="24"/>
      <c r="AA20924" s="24"/>
    </row>
    <row r="20925">
      <c r="A20925" s="24"/>
      <c r="B20925" s="25"/>
      <c r="C20925" s="24"/>
      <c r="D20925" s="26"/>
      <c r="E20925" s="24"/>
      <c r="F20925" s="24"/>
      <c r="G20925" s="24"/>
      <c r="H20925" s="24"/>
      <c r="I20925" s="24"/>
      <c r="J20925" s="24"/>
      <c r="K20925" s="24"/>
      <c r="L20925" s="24"/>
      <c r="M20925" s="24"/>
      <c r="N20925" s="24"/>
      <c r="O20925" s="24"/>
      <c r="P20925" s="24"/>
      <c r="Q20925" s="24"/>
      <c r="R20925" s="24"/>
      <c r="S20925" s="24"/>
      <c r="T20925" s="24"/>
      <c r="U20925" s="24"/>
      <c r="V20925" s="24"/>
      <c r="W20925" s="24"/>
      <c r="X20925" s="24"/>
      <c r="Y20925" s="24"/>
      <c r="Z20925" s="24"/>
      <c r="AA20925" s="24"/>
    </row>
    <row r="20926">
      <c r="A20926" s="24"/>
      <c r="B20926" s="25"/>
      <c r="C20926" s="24"/>
      <c r="D20926" s="26"/>
      <c r="E20926" s="24"/>
      <c r="F20926" s="24"/>
      <c r="G20926" s="24"/>
      <c r="H20926" s="24"/>
      <c r="I20926" s="24"/>
      <c r="J20926" s="24"/>
      <c r="K20926" s="24"/>
      <c r="L20926" s="24"/>
      <c r="M20926" s="24"/>
      <c r="N20926" s="24"/>
      <c r="O20926" s="24"/>
      <c r="P20926" s="24"/>
      <c r="Q20926" s="24"/>
      <c r="R20926" s="24"/>
      <c r="S20926" s="24"/>
      <c r="T20926" s="24"/>
      <c r="U20926" s="24"/>
      <c r="V20926" s="24"/>
      <c r="W20926" s="24"/>
      <c r="X20926" s="24"/>
      <c r="Y20926" s="24"/>
      <c r="Z20926" s="24"/>
      <c r="AA20926" s="24"/>
    </row>
    <row r="20927">
      <c r="A20927" s="24"/>
      <c r="B20927" s="25"/>
      <c r="C20927" s="24"/>
      <c r="D20927" s="26"/>
      <c r="E20927" s="24"/>
      <c r="F20927" s="24"/>
      <c r="G20927" s="24"/>
      <c r="H20927" s="24"/>
      <c r="I20927" s="24"/>
      <c r="J20927" s="24"/>
      <c r="K20927" s="24"/>
      <c r="L20927" s="24"/>
      <c r="M20927" s="24"/>
      <c r="N20927" s="24"/>
      <c r="O20927" s="24"/>
      <c r="P20927" s="24"/>
      <c r="Q20927" s="24"/>
      <c r="R20927" s="24"/>
      <c r="S20927" s="24"/>
      <c r="T20927" s="24"/>
      <c r="U20927" s="24"/>
      <c r="V20927" s="24"/>
      <c r="W20927" s="24"/>
      <c r="X20927" s="24"/>
      <c r="Y20927" s="24"/>
      <c r="Z20927" s="24"/>
      <c r="AA20927" s="24"/>
    </row>
    <row r="20928">
      <c r="A20928" s="24"/>
      <c r="B20928" s="25"/>
      <c r="C20928" s="24"/>
      <c r="D20928" s="26"/>
      <c r="E20928" s="24"/>
      <c r="F20928" s="24"/>
      <c r="G20928" s="24"/>
      <c r="H20928" s="24"/>
      <c r="I20928" s="24"/>
      <c r="J20928" s="24"/>
      <c r="K20928" s="24"/>
      <c r="L20928" s="24"/>
      <c r="M20928" s="24"/>
      <c r="N20928" s="24"/>
      <c r="O20928" s="24"/>
      <c r="P20928" s="24"/>
      <c r="Q20928" s="24"/>
      <c r="R20928" s="24"/>
      <c r="S20928" s="24"/>
      <c r="T20928" s="24"/>
      <c r="U20928" s="24"/>
      <c r="V20928" s="24"/>
      <c r="W20928" s="24"/>
      <c r="X20928" s="24"/>
      <c r="Y20928" s="24"/>
      <c r="Z20928" s="24"/>
      <c r="AA20928" s="24"/>
    </row>
    <row r="20929">
      <c r="A20929" s="24"/>
      <c r="B20929" s="25"/>
      <c r="C20929" s="24"/>
      <c r="D20929" s="26"/>
      <c r="E20929" s="24"/>
      <c r="F20929" s="24"/>
      <c r="G20929" s="24"/>
      <c r="H20929" s="24"/>
      <c r="I20929" s="24"/>
      <c r="J20929" s="24"/>
      <c r="K20929" s="24"/>
      <c r="L20929" s="24"/>
      <c r="M20929" s="24"/>
      <c r="N20929" s="24"/>
      <c r="O20929" s="24"/>
      <c r="P20929" s="24"/>
      <c r="Q20929" s="24"/>
      <c r="R20929" s="24"/>
      <c r="S20929" s="24"/>
      <c r="T20929" s="24"/>
      <c r="U20929" s="24"/>
      <c r="V20929" s="24"/>
      <c r="W20929" s="24"/>
      <c r="X20929" s="24"/>
      <c r="Y20929" s="24"/>
      <c r="Z20929" s="24"/>
      <c r="AA20929" s="24"/>
    </row>
    <row r="20930">
      <c r="A20930" s="24"/>
      <c r="B20930" s="25"/>
      <c r="C20930" s="24"/>
      <c r="D20930" s="26"/>
      <c r="E20930" s="24"/>
      <c r="F20930" s="24"/>
      <c r="G20930" s="24"/>
      <c r="H20930" s="24"/>
      <c r="I20930" s="24"/>
      <c r="J20930" s="24"/>
      <c r="K20930" s="24"/>
      <c r="L20930" s="24"/>
      <c r="M20930" s="24"/>
      <c r="N20930" s="24"/>
      <c r="O20930" s="24"/>
      <c r="P20930" s="24"/>
      <c r="Q20930" s="24"/>
      <c r="R20930" s="24"/>
      <c r="S20930" s="24"/>
      <c r="T20930" s="24"/>
      <c r="U20930" s="24"/>
      <c r="V20930" s="24"/>
      <c r="W20930" s="24"/>
      <c r="X20930" s="24"/>
      <c r="Y20930" s="24"/>
      <c r="Z20930" s="24"/>
      <c r="AA20930" s="24"/>
    </row>
    <row r="20931">
      <c r="A20931" s="24"/>
      <c r="B20931" s="25"/>
      <c r="C20931" s="24"/>
      <c r="D20931" s="26"/>
      <c r="E20931" s="24"/>
      <c r="F20931" s="24"/>
      <c r="G20931" s="24"/>
      <c r="H20931" s="24"/>
      <c r="I20931" s="24"/>
      <c r="J20931" s="24"/>
      <c r="K20931" s="24"/>
      <c r="L20931" s="24"/>
      <c r="M20931" s="24"/>
      <c r="N20931" s="24"/>
      <c r="O20931" s="24"/>
      <c r="P20931" s="24"/>
      <c r="Q20931" s="24"/>
      <c r="R20931" s="24"/>
      <c r="S20931" s="24"/>
      <c r="T20931" s="24"/>
      <c r="U20931" s="24"/>
      <c r="V20931" s="24"/>
      <c r="W20931" s="24"/>
      <c r="X20931" s="24"/>
      <c r="Y20931" s="24"/>
      <c r="Z20931" s="24"/>
      <c r="AA20931" s="24"/>
    </row>
    <row r="20932">
      <c r="A20932" s="24"/>
      <c r="B20932" s="25"/>
      <c r="C20932" s="24"/>
      <c r="D20932" s="26"/>
      <c r="E20932" s="24"/>
      <c r="F20932" s="24"/>
      <c r="G20932" s="24"/>
      <c r="H20932" s="24"/>
      <c r="I20932" s="24"/>
      <c r="J20932" s="24"/>
      <c r="K20932" s="24"/>
      <c r="L20932" s="24"/>
      <c r="M20932" s="24"/>
      <c r="N20932" s="24"/>
      <c r="O20932" s="24"/>
      <c r="P20932" s="24"/>
      <c r="Q20932" s="24"/>
      <c r="R20932" s="24"/>
      <c r="S20932" s="24"/>
      <c r="T20932" s="24"/>
      <c r="U20932" s="24"/>
      <c r="V20932" s="24"/>
      <c r="W20932" s="24"/>
      <c r="X20932" s="24"/>
      <c r="Y20932" s="24"/>
      <c r="Z20932" s="24"/>
      <c r="AA20932" s="24"/>
    </row>
    <row r="20933">
      <c r="A20933" s="24"/>
      <c r="B20933" s="25"/>
      <c r="C20933" s="24"/>
      <c r="D20933" s="26"/>
      <c r="E20933" s="24"/>
      <c r="F20933" s="24"/>
      <c r="G20933" s="24"/>
      <c r="H20933" s="24"/>
      <c r="I20933" s="24"/>
      <c r="J20933" s="24"/>
      <c r="K20933" s="24"/>
      <c r="L20933" s="24"/>
      <c r="M20933" s="24"/>
      <c r="N20933" s="24"/>
      <c r="O20933" s="24"/>
      <c r="P20933" s="24"/>
      <c r="Q20933" s="24"/>
      <c r="R20933" s="24"/>
      <c r="S20933" s="24"/>
      <c r="T20933" s="24"/>
      <c r="U20933" s="24"/>
      <c r="V20933" s="24"/>
      <c r="W20933" s="24"/>
      <c r="X20933" s="24"/>
      <c r="Y20933" s="24"/>
      <c r="Z20933" s="24"/>
      <c r="AA20933" s="24"/>
    </row>
    <row r="20934">
      <c r="A20934" s="24"/>
      <c r="B20934" s="25"/>
      <c r="C20934" s="24"/>
      <c r="D20934" s="26"/>
      <c r="E20934" s="24"/>
      <c r="F20934" s="24"/>
      <c r="G20934" s="24"/>
      <c r="H20934" s="24"/>
      <c r="I20934" s="24"/>
      <c r="J20934" s="24"/>
      <c r="K20934" s="24"/>
      <c r="L20934" s="24"/>
      <c r="M20934" s="24"/>
      <c r="N20934" s="24"/>
      <c r="O20934" s="24"/>
      <c r="P20934" s="24"/>
      <c r="Q20934" s="24"/>
      <c r="R20934" s="24"/>
      <c r="S20934" s="24"/>
      <c r="T20934" s="24"/>
      <c r="U20934" s="24"/>
      <c r="V20934" s="24"/>
      <c r="W20934" s="24"/>
      <c r="X20934" s="24"/>
      <c r="Y20934" s="24"/>
      <c r="Z20934" s="24"/>
      <c r="AA20934" s="24"/>
    </row>
    <row r="20935">
      <c r="A20935" s="24"/>
      <c r="B20935" s="25"/>
      <c r="C20935" s="24"/>
      <c r="D20935" s="26"/>
      <c r="E20935" s="24"/>
      <c r="F20935" s="24"/>
      <c r="G20935" s="24"/>
      <c r="H20935" s="24"/>
      <c r="I20935" s="24"/>
      <c r="J20935" s="24"/>
      <c r="K20935" s="24"/>
      <c r="L20935" s="24"/>
      <c r="M20935" s="24"/>
      <c r="N20935" s="24"/>
      <c r="O20935" s="24"/>
      <c r="P20935" s="24"/>
      <c r="Q20935" s="24"/>
      <c r="R20935" s="24"/>
      <c r="S20935" s="24"/>
      <c r="T20935" s="24"/>
      <c r="U20935" s="24"/>
      <c r="V20935" s="24"/>
      <c r="W20935" s="24"/>
      <c r="X20935" s="24"/>
      <c r="Y20935" s="24"/>
      <c r="Z20935" s="24"/>
      <c r="AA20935" s="24"/>
    </row>
    <row r="20936">
      <c r="A20936" s="24"/>
      <c r="B20936" s="25"/>
      <c r="C20936" s="24"/>
      <c r="D20936" s="26"/>
      <c r="E20936" s="24"/>
      <c r="F20936" s="24"/>
      <c r="G20936" s="24"/>
      <c r="H20936" s="24"/>
      <c r="I20936" s="24"/>
      <c r="J20936" s="24"/>
      <c r="K20936" s="24"/>
      <c r="L20936" s="24"/>
      <c r="M20936" s="24"/>
      <c r="N20936" s="24"/>
      <c r="O20936" s="24"/>
      <c r="P20936" s="24"/>
      <c r="Q20936" s="24"/>
      <c r="R20936" s="24"/>
      <c r="S20936" s="24"/>
      <c r="T20936" s="24"/>
      <c r="U20936" s="24"/>
      <c r="V20936" s="24"/>
      <c r="W20936" s="24"/>
      <c r="X20936" s="24"/>
      <c r="Y20936" s="24"/>
      <c r="Z20936" s="24"/>
      <c r="AA20936" s="24"/>
    </row>
    <row r="20937">
      <c r="A20937" s="24"/>
      <c r="B20937" s="25"/>
      <c r="C20937" s="24"/>
      <c r="D20937" s="26"/>
      <c r="E20937" s="24"/>
      <c r="F20937" s="24"/>
      <c r="G20937" s="24"/>
      <c r="H20937" s="24"/>
      <c r="I20937" s="24"/>
      <c r="J20937" s="24"/>
      <c r="K20937" s="24"/>
      <c r="L20937" s="24"/>
      <c r="M20937" s="24"/>
      <c r="N20937" s="24"/>
      <c r="O20937" s="24"/>
      <c r="P20937" s="24"/>
      <c r="Q20937" s="24"/>
      <c r="R20937" s="24"/>
      <c r="S20937" s="24"/>
      <c r="T20937" s="24"/>
      <c r="U20937" s="24"/>
      <c r="V20937" s="24"/>
      <c r="W20937" s="24"/>
      <c r="X20937" s="24"/>
      <c r="Y20937" s="24"/>
      <c r="Z20937" s="24"/>
      <c r="AA20937" s="24"/>
    </row>
    <row r="20938">
      <c r="A20938" s="24"/>
      <c r="B20938" s="25"/>
      <c r="C20938" s="24"/>
      <c r="D20938" s="26"/>
      <c r="E20938" s="24"/>
      <c r="F20938" s="24"/>
      <c r="G20938" s="24"/>
      <c r="H20938" s="24"/>
      <c r="I20938" s="24"/>
      <c r="J20938" s="24"/>
      <c r="K20938" s="24"/>
      <c r="L20938" s="24"/>
      <c r="M20938" s="24"/>
      <c r="N20938" s="24"/>
      <c r="O20938" s="24"/>
      <c r="P20938" s="24"/>
      <c r="Q20938" s="24"/>
      <c r="R20938" s="24"/>
      <c r="S20938" s="24"/>
      <c r="T20938" s="24"/>
      <c r="U20938" s="24"/>
      <c r="V20938" s="24"/>
      <c r="W20938" s="24"/>
      <c r="X20938" s="24"/>
      <c r="Y20938" s="24"/>
      <c r="Z20938" s="24"/>
      <c r="AA20938" s="24"/>
    </row>
    <row r="20939">
      <c r="A20939" s="24"/>
      <c r="B20939" s="25"/>
      <c r="C20939" s="24"/>
      <c r="D20939" s="26"/>
      <c r="E20939" s="24"/>
      <c r="F20939" s="24"/>
      <c r="G20939" s="24"/>
      <c r="H20939" s="24"/>
      <c r="I20939" s="24"/>
      <c r="J20939" s="24"/>
      <c r="K20939" s="24"/>
      <c r="L20939" s="24"/>
      <c r="M20939" s="24"/>
      <c r="N20939" s="24"/>
      <c r="O20939" s="24"/>
      <c r="P20939" s="24"/>
      <c r="Q20939" s="24"/>
      <c r="R20939" s="24"/>
      <c r="S20939" s="24"/>
      <c r="T20939" s="24"/>
      <c r="U20939" s="24"/>
      <c r="V20939" s="24"/>
      <c r="W20939" s="24"/>
      <c r="X20939" s="24"/>
      <c r="Y20939" s="24"/>
      <c r="Z20939" s="24"/>
      <c r="AA20939" s="24"/>
    </row>
    <row r="20940">
      <c r="A20940" s="24"/>
      <c r="B20940" s="25"/>
      <c r="C20940" s="24"/>
      <c r="D20940" s="26"/>
      <c r="E20940" s="24"/>
      <c r="F20940" s="24"/>
      <c r="G20940" s="24"/>
      <c r="H20940" s="24"/>
      <c r="I20940" s="24"/>
      <c r="J20940" s="24"/>
      <c r="K20940" s="24"/>
      <c r="L20940" s="24"/>
      <c r="M20940" s="24"/>
      <c r="N20940" s="24"/>
      <c r="O20940" s="24"/>
      <c r="P20940" s="24"/>
      <c r="Q20940" s="24"/>
      <c r="R20940" s="24"/>
      <c r="S20940" s="24"/>
      <c r="T20940" s="24"/>
      <c r="U20940" s="24"/>
      <c r="V20940" s="24"/>
      <c r="W20940" s="24"/>
      <c r="X20940" s="24"/>
      <c r="Y20940" s="24"/>
      <c r="Z20940" s="24"/>
      <c r="AA20940" s="24"/>
    </row>
    <row r="20941">
      <c r="A20941" s="24"/>
      <c r="B20941" s="25"/>
      <c r="C20941" s="24"/>
      <c r="D20941" s="26"/>
      <c r="E20941" s="24"/>
      <c r="F20941" s="24"/>
      <c r="G20941" s="24"/>
      <c r="H20941" s="24"/>
      <c r="I20941" s="24"/>
      <c r="J20941" s="24"/>
      <c r="K20941" s="24"/>
      <c r="L20941" s="24"/>
      <c r="M20941" s="24"/>
      <c r="N20941" s="24"/>
      <c r="O20941" s="24"/>
      <c r="P20941" s="24"/>
      <c r="Q20941" s="24"/>
      <c r="R20941" s="24"/>
      <c r="S20941" s="24"/>
      <c r="T20941" s="24"/>
      <c r="U20941" s="24"/>
      <c r="V20941" s="24"/>
      <c r="W20941" s="24"/>
      <c r="X20941" s="24"/>
      <c r="Y20941" s="24"/>
      <c r="Z20941" s="24"/>
      <c r="AA20941" s="24"/>
    </row>
    <row r="20942">
      <c r="A20942" s="24"/>
      <c r="B20942" s="25"/>
      <c r="C20942" s="24"/>
      <c r="D20942" s="26"/>
      <c r="E20942" s="24"/>
      <c r="F20942" s="24"/>
      <c r="G20942" s="24"/>
      <c r="H20942" s="24"/>
      <c r="I20942" s="24"/>
      <c r="J20942" s="24"/>
      <c r="K20942" s="24"/>
      <c r="L20942" s="24"/>
      <c r="M20942" s="24"/>
      <c r="N20942" s="24"/>
      <c r="O20942" s="24"/>
      <c r="P20942" s="24"/>
      <c r="Q20942" s="24"/>
      <c r="R20942" s="24"/>
      <c r="S20942" s="24"/>
      <c r="T20942" s="24"/>
      <c r="U20942" s="24"/>
      <c r="V20942" s="24"/>
      <c r="W20942" s="24"/>
      <c r="X20942" s="24"/>
      <c r="Y20942" s="24"/>
      <c r="Z20942" s="24"/>
      <c r="AA20942" s="24"/>
    </row>
    <row r="20943">
      <c r="A20943" s="24"/>
      <c r="B20943" s="25"/>
      <c r="C20943" s="24"/>
      <c r="D20943" s="26"/>
      <c r="E20943" s="24"/>
      <c r="F20943" s="24"/>
      <c r="G20943" s="24"/>
      <c r="H20943" s="24"/>
      <c r="I20943" s="24"/>
      <c r="J20943" s="24"/>
      <c r="K20943" s="24"/>
      <c r="L20943" s="24"/>
      <c r="M20943" s="24"/>
      <c r="N20943" s="24"/>
      <c r="O20943" s="24"/>
      <c r="P20943" s="24"/>
      <c r="Q20943" s="24"/>
      <c r="R20943" s="24"/>
      <c r="S20943" s="24"/>
      <c r="T20943" s="24"/>
      <c r="U20943" s="24"/>
      <c r="V20943" s="24"/>
      <c r="W20943" s="24"/>
      <c r="X20943" s="24"/>
      <c r="Y20943" s="24"/>
      <c r="Z20943" s="24"/>
      <c r="AA20943" s="24"/>
    </row>
    <row r="20944">
      <c r="A20944" s="24"/>
      <c r="B20944" s="25"/>
      <c r="C20944" s="24"/>
      <c r="D20944" s="26"/>
      <c r="E20944" s="24"/>
      <c r="F20944" s="24"/>
      <c r="G20944" s="24"/>
      <c r="H20944" s="24"/>
      <c r="I20944" s="24"/>
      <c r="J20944" s="24"/>
      <c r="K20944" s="24"/>
      <c r="L20944" s="24"/>
      <c r="M20944" s="24"/>
      <c r="N20944" s="24"/>
      <c r="O20944" s="24"/>
      <c r="P20944" s="24"/>
      <c r="Q20944" s="24"/>
      <c r="R20944" s="24"/>
      <c r="S20944" s="24"/>
      <c r="T20944" s="24"/>
      <c r="U20944" s="24"/>
      <c r="V20944" s="24"/>
      <c r="W20944" s="24"/>
      <c r="X20944" s="24"/>
      <c r="Y20944" s="24"/>
      <c r="Z20944" s="24"/>
      <c r="AA20944" s="24"/>
    </row>
    <row r="20945">
      <c r="A20945" s="24"/>
      <c r="B20945" s="25"/>
      <c r="C20945" s="24"/>
      <c r="D20945" s="26"/>
      <c r="E20945" s="24"/>
      <c r="F20945" s="24"/>
      <c r="G20945" s="24"/>
      <c r="H20945" s="24"/>
      <c r="I20945" s="24"/>
      <c r="J20945" s="24"/>
      <c r="K20945" s="24"/>
      <c r="L20945" s="24"/>
      <c r="M20945" s="24"/>
      <c r="N20945" s="24"/>
      <c r="O20945" s="24"/>
      <c r="P20945" s="24"/>
      <c r="Q20945" s="24"/>
      <c r="R20945" s="24"/>
      <c r="S20945" s="24"/>
      <c r="T20945" s="24"/>
      <c r="U20945" s="24"/>
      <c r="V20945" s="24"/>
      <c r="W20945" s="24"/>
      <c r="X20945" s="24"/>
      <c r="Y20945" s="24"/>
      <c r="Z20945" s="24"/>
      <c r="AA20945" s="24"/>
    </row>
    <row r="20946">
      <c r="A20946" s="24"/>
      <c r="B20946" s="25"/>
      <c r="C20946" s="24"/>
      <c r="D20946" s="26"/>
      <c r="E20946" s="24"/>
      <c r="F20946" s="24"/>
      <c r="G20946" s="24"/>
      <c r="H20946" s="24"/>
      <c r="I20946" s="24"/>
      <c r="J20946" s="24"/>
      <c r="K20946" s="24"/>
      <c r="L20946" s="24"/>
      <c r="M20946" s="24"/>
      <c r="N20946" s="24"/>
      <c r="O20946" s="24"/>
      <c r="P20946" s="24"/>
      <c r="Q20946" s="24"/>
      <c r="R20946" s="24"/>
      <c r="S20946" s="24"/>
      <c r="T20946" s="24"/>
      <c r="U20946" s="24"/>
      <c r="V20946" s="24"/>
      <c r="W20946" s="24"/>
      <c r="X20946" s="24"/>
      <c r="Y20946" s="24"/>
      <c r="Z20946" s="24"/>
      <c r="AA20946" s="24"/>
    </row>
    <row r="20947">
      <c r="A20947" s="24"/>
      <c r="B20947" s="25"/>
      <c r="C20947" s="24"/>
      <c r="D20947" s="26"/>
      <c r="E20947" s="24"/>
      <c r="F20947" s="24"/>
      <c r="G20947" s="24"/>
      <c r="H20947" s="24"/>
      <c r="I20947" s="24"/>
      <c r="J20947" s="24"/>
      <c r="K20947" s="24"/>
      <c r="L20947" s="24"/>
      <c r="M20947" s="24"/>
      <c r="N20947" s="24"/>
      <c r="O20947" s="24"/>
      <c r="P20947" s="24"/>
      <c r="Q20947" s="24"/>
      <c r="R20947" s="24"/>
      <c r="S20947" s="24"/>
      <c r="T20947" s="24"/>
      <c r="U20947" s="24"/>
      <c r="V20947" s="24"/>
      <c r="W20947" s="24"/>
      <c r="X20947" s="24"/>
      <c r="Y20947" s="24"/>
      <c r="Z20947" s="24"/>
      <c r="AA20947" s="24"/>
    </row>
    <row r="20948">
      <c r="A20948" s="24"/>
      <c r="B20948" s="25"/>
      <c r="C20948" s="24"/>
      <c r="D20948" s="26"/>
      <c r="E20948" s="24"/>
      <c r="F20948" s="24"/>
      <c r="G20948" s="24"/>
      <c r="H20948" s="24"/>
      <c r="I20948" s="24"/>
      <c r="J20948" s="24"/>
      <c r="K20948" s="24"/>
      <c r="L20948" s="24"/>
      <c r="M20948" s="24"/>
      <c r="N20948" s="24"/>
      <c r="O20948" s="24"/>
      <c r="P20948" s="24"/>
      <c r="Q20948" s="24"/>
      <c r="R20948" s="24"/>
      <c r="S20948" s="24"/>
      <c r="T20948" s="24"/>
      <c r="U20948" s="24"/>
      <c r="V20948" s="24"/>
      <c r="W20948" s="24"/>
      <c r="X20948" s="24"/>
      <c r="Y20948" s="24"/>
      <c r="Z20948" s="24"/>
      <c r="AA20948" s="24"/>
    </row>
    <row r="20949">
      <c r="A20949" s="24"/>
      <c r="B20949" s="25"/>
      <c r="C20949" s="24"/>
      <c r="D20949" s="26"/>
      <c r="E20949" s="24"/>
      <c r="F20949" s="24"/>
      <c r="G20949" s="24"/>
      <c r="H20949" s="24"/>
      <c r="I20949" s="24"/>
      <c r="J20949" s="24"/>
      <c r="K20949" s="24"/>
      <c r="L20949" s="24"/>
      <c r="M20949" s="24"/>
      <c r="N20949" s="24"/>
      <c r="O20949" s="24"/>
      <c r="P20949" s="24"/>
      <c r="Q20949" s="24"/>
      <c r="R20949" s="24"/>
      <c r="S20949" s="24"/>
      <c r="T20949" s="24"/>
      <c r="U20949" s="24"/>
      <c r="V20949" s="24"/>
      <c r="W20949" s="24"/>
      <c r="X20949" s="24"/>
      <c r="Y20949" s="24"/>
      <c r="Z20949" s="24"/>
      <c r="AA20949" s="24"/>
    </row>
    <row r="20950">
      <c r="A20950" s="24"/>
      <c r="B20950" s="25"/>
      <c r="C20950" s="24"/>
      <c r="D20950" s="26"/>
      <c r="E20950" s="24"/>
      <c r="F20950" s="24"/>
      <c r="G20950" s="24"/>
      <c r="H20950" s="24"/>
      <c r="I20950" s="24"/>
      <c r="J20950" s="24"/>
      <c r="K20950" s="24"/>
      <c r="L20950" s="24"/>
      <c r="M20950" s="24"/>
      <c r="N20950" s="24"/>
      <c r="O20950" s="24"/>
      <c r="P20950" s="24"/>
      <c r="Q20950" s="24"/>
      <c r="R20950" s="24"/>
      <c r="S20950" s="24"/>
      <c r="T20950" s="24"/>
      <c r="U20950" s="24"/>
      <c r="V20950" s="24"/>
      <c r="W20950" s="24"/>
      <c r="X20950" s="24"/>
      <c r="Y20950" s="24"/>
      <c r="Z20950" s="24"/>
      <c r="AA20950" s="24"/>
    </row>
    <row r="20951">
      <c r="A20951" s="24"/>
      <c r="B20951" s="25"/>
      <c r="C20951" s="24"/>
      <c r="D20951" s="26"/>
      <c r="E20951" s="24"/>
      <c r="F20951" s="24"/>
      <c r="G20951" s="24"/>
      <c r="H20951" s="24"/>
      <c r="I20951" s="24"/>
      <c r="J20951" s="24"/>
      <c r="K20951" s="24"/>
      <c r="L20951" s="24"/>
      <c r="M20951" s="24"/>
      <c r="N20951" s="24"/>
      <c r="O20951" s="24"/>
      <c r="P20951" s="24"/>
      <c r="Q20951" s="24"/>
      <c r="R20951" s="24"/>
      <c r="S20951" s="24"/>
      <c r="T20951" s="24"/>
      <c r="U20951" s="24"/>
      <c r="V20951" s="24"/>
      <c r="W20951" s="24"/>
      <c r="X20951" s="24"/>
      <c r="Y20951" s="24"/>
      <c r="Z20951" s="24"/>
      <c r="AA20951" s="24"/>
    </row>
    <row r="20952">
      <c r="A20952" s="24"/>
      <c r="B20952" s="25"/>
      <c r="C20952" s="24"/>
      <c r="D20952" s="26"/>
      <c r="E20952" s="24"/>
      <c r="F20952" s="24"/>
      <c r="G20952" s="24"/>
      <c r="H20952" s="24"/>
      <c r="I20952" s="24"/>
      <c r="J20952" s="24"/>
      <c r="K20952" s="24"/>
      <c r="L20952" s="24"/>
      <c r="M20952" s="24"/>
      <c r="N20952" s="24"/>
      <c r="O20952" s="24"/>
      <c r="P20952" s="24"/>
      <c r="Q20952" s="24"/>
      <c r="R20952" s="24"/>
      <c r="S20952" s="24"/>
      <c r="T20952" s="24"/>
      <c r="U20952" s="24"/>
      <c r="V20952" s="24"/>
      <c r="W20952" s="24"/>
      <c r="X20952" s="24"/>
      <c r="Y20952" s="24"/>
      <c r="Z20952" s="24"/>
      <c r="AA20952" s="24"/>
    </row>
    <row r="20953">
      <c r="A20953" s="24"/>
      <c r="B20953" s="25"/>
      <c r="C20953" s="24"/>
      <c r="D20953" s="26"/>
      <c r="E20953" s="24"/>
      <c r="F20953" s="24"/>
      <c r="G20953" s="24"/>
      <c r="H20953" s="24"/>
      <c r="I20953" s="24"/>
      <c r="J20953" s="24"/>
      <c r="K20953" s="24"/>
      <c r="L20953" s="24"/>
      <c r="M20953" s="24"/>
      <c r="N20953" s="24"/>
      <c r="O20953" s="24"/>
      <c r="P20953" s="24"/>
      <c r="Q20953" s="24"/>
      <c r="R20953" s="24"/>
      <c r="S20953" s="24"/>
      <c r="T20953" s="24"/>
      <c r="U20953" s="24"/>
      <c r="V20953" s="24"/>
      <c r="W20953" s="24"/>
      <c r="X20953" s="24"/>
      <c r="Y20953" s="24"/>
      <c r="Z20953" s="24"/>
      <c r="AA20953" s="24"/>
    </row>
    <row r="20954">
      <c r="A20954" s="24"/>
      <c r="B20954" s="25"/>
      <c r="C20954" s="24"/>
      <c r="D20954" s="26"/>
      <c r="E20954" s="24"/>
      <c r="F20954" s="24"/>
      <c r="G20954" s="24"/>
      <c r="H20954" s="24"/>
      <c r="I20954" s="24"/>
      <c r="J20954" s="24"/>
      <c r="K20954" s="24"/>
      <c r="L20954" s="24"/>
      <c r="M20954" s="24"/>
      <c r="N20954" s="24"/>
      <c r="O20954" s="24"/>
      <c r="P20954" s="24"/>
      <c r="Q20954" s="24"/>
      <c r="R20954" s="24"/>
      <c r="S20954" s="24"/>
      <c r="T20954" s="24"/>
      <c r="U20954" s="24"/>
      <c r="V20954" s="24"/>
      <c r="W20954" s="24"/>
      <c r="X20954" s="24"/>
      <c r="Y20954" s="24"/>
      <c r="Z20954" s="24"/>
      <c r="AA20954" s="24"/>
    </row>
    <row r="20955">
      <c r="A20955" s="24"/>
      <c r="B20955" s="25"/>
      <c r="C20955" s="24"/>
      <c r="D20955" s="26"/>
      <c r="E20955" s="24"/>
      <c r="F20955" s="24"/>
      <c r="G20955" s="24"/>
      <c r="H20955" s="24"/>
      <c r="I20955" s="24"/>
      <c r="J20955" s="24"/>
      <c r="K20955" s="24"/>
      <c r="L20955" s="24"/>
      <c r="M20955" s="24"/>
      <c r="N20955" s="24"/>
      <c r="O20955" s="24"/>
      <c r="P20955" s="24"/>
      <c r="Q20955" s="24"/>
      <c r="R20955" s="24"/>
      <c r="S20955" s="24"/>
      <c r="T20955" s="24"/>
      <c r="U20955" s="24"/>
      <c r="V20955" s="24"/>
      <c r="W20955" s="24"/>
      <c r="X20955" s="24"/>
      <c r="Y20955" s="24"/>
      <c r="Z20955" s="24"/>
      <c r="AA20955" s="24"/>
    </row>
    <row r="20956">
      <c r="A20956" s="24"/>
      <c r="B20956" s="25"/>
      <c r="C20956" s="24"/>
      <c r="D20956" s="26"/>
      <c r="E20956" s="24"/>
      <c r="F20956" s="24"/>
      <c r="G20956" s="24"/>
      <c r="H20956" s="24"/>
      <c r="I20956" s="24"/>
      <c r="J20956" s="24"/>
      <c r="K20956" s="24"/>
      <c r="L20956" s="24"/>
      <c r="M20956" s="24"/>
      <c r="N20956" s="24"/>
      <c r="O20956" s="24"/>
      <c r="P20956" s="24"/>
      <c r="Q20956" s="24"/>
      <c r="R20956" s="24"/>
      <c r="S20956" s="24"/>
      <c r="T20956" s="24"/>
      <c r="U20956" s="24"/>
      <c r="V20956" s="24"/>
      <c r="W20956" s="24"/>
      <c r="X20956" s="24"/>
      <c r="Y20956" s="24"/>
      <c r="Z20956" s="24"/>
      <c r="AA20956" s="24"/>
    </row>
    <row r="20957">
      <c r="A20957" s="24"/>
      <c r="B20957" s="25"/>
      <c r="C20957" s="24"/>
      <c r="D20957" s="26"/>
      <c r="E20957" s="24"/>
      <c r="F20957" s="24"/>
      <c r="G20957" s="24"/>
      <c r="H20957" s="24"/>
      <c r="I20957" s="24"/>
      <c r="J20957" s="24"/>
      <c r="K20957" s="24"/>
      <c r="L20957" s="24"/>
      <c r="M20957" s="24"/>
      <c r="N20957" s="24"/>
      <c r="O20957" s="24"/>
      <c r="P20957" s="24"/>
      <c r="Q20957" s="24"/>
      <c r="R20957" s="24"/>
      <c r="S20957" s="24"/>
      <c r="T20957" s="24"/>
      <c r="U20957" s="24"/>
      <c r="V20957" s="24"/>
      <c r="W20957" s="24"/>
      <c r="X20957" s="24"/>
      <c r="Y20957" s="24"/>
      <c r="Z20957" s="24"/>
      <c r="AA20957" s="24"/>
    </row>
    <row r="20958">
      <c r="A20958" s="24"/>
      <c r="B20958" s="25"/>
      <c r="C20958" s="24"/>
      <c r="D20958" s="26"/>
      <c r="E20958" s="24"/>
      <c r="F20958" s="24"/>
      <c r="G20958" s="24"/>
      <c r="H20958" s="24"/>
      <c r="I20958" s="24"/>
      <c r="J20958" s="24"/>
      <c r="K20958" s="24"/>
      <c r="L20958" s="24"/>
      <c r="M20958" s="24"/>
      <c r="N20958" s="24"/>
      <c r="O20958" s="24"/>
      <c r="P20958" s="24"/>
      <c r="Q20958" s="24"/>
      <c r="R20958" s="24"/>
      <c r="S20958" s="24"/>
      <c r="T20958" s="24"/>
      <c r="U20958" s="24"/>
      <c r="V20958" s="24"/>
      <c r="W20958" s="24"/>
      <c r="X20958" s="24"/>
      <c r="Y20958" s="24"/>
      <c r="Z20958" s="24"/>
      <c r="AA20958" s="24"/>
    </row>
    <row r="20959">
      <c r="A20959" s="24"/>
      <c r="B20959" s="25"/>
      <c r="C20959" s="24"/>
      <c r="D20959" s="26"/>
      <c r="E20959" s="24"/>
      <c r="F20959" s="24"/>
      <c r="G20959" s="24"/>
      <c r="H20959" s="24"/>
      <c r="I20959" s="24"/>
      <c r="J20959" s="24"/>
      <c r="K20959" s="24"/>
      <c r="L20959" s="24"/>
      <c r="M20959" s="24"/>
      <c r="N20959" s="24"/>
      <c r="O20959" s="24"/>
      <c r="P20959" s="24"/>
      <c r="Q20959" s="24"/>
      <c r="R20959" s="24"/>
      <c r="S20959" s="24"/>
      <c r="T20959" s="24"/>
      <c r="U20959" s="24"/>
      <c r="V20959" s="24"/>
      <c r="W20959" s="24"/>
      <c r="X20959" s="24"/>
      <c r="Y20959" s="24"/>
      <c r="Z20959" s="24"/>
      <c r="AA20959" s="24"/>
    </row>
    <row r="20960">
      <c r="A20960" s="24"/>
      <c r="B20960" s="25"/>
      <c r="C20960" s="24"/>
      <c r="D20960" s="26"/>
      <c r="E20960" s="24"/>
      <c r="F20960" s="24"/>
      <c r="G20960" s="24"/>
      <c r="H20960" s="24"/>
      <c r="I20960" s="24"/>
      <c r="J20960" s="24"/>
      <c r="K20960" s="24"/>
      <c r="L20960" s="24"/>
      <c r="M20960" s="24"/>
      <c r="N20960" s="24"/>
      <c r="O20960" s="24"/>
      <c r="P20960" s="24"/>
      <c r="Q20960" s="24"/>
      <c r="R20960" s="24"/>
      <c r="S20960" s="24"/>
      <c r="T20960" s="24"/>
      <c r="U20960" s="24"/>
      <c r="V20960" s="24"/>
      <c r="W20960" s="24"/>
      <c r="X20960" s="24"/>
      <c r="Y20960" s="24"/>
      <c r="Z20960" s="24"/>
      <c r="AA20960" s="24"/>
    </row>
    <row r="20961">
      <c r="A20961" s="24"/>
      <c r="B20961" s="25"/>
      <c r="C20961" s="24"/>
      <c r="D20961" s="26"/>
      <c r="E20961" s="24"/>
      <c r="F20961" s="24"/>
      <c r="G20961" s="24"/>
      <c r="H20961" s="24"/>
      <c r="I20961" s="24"/>
      <c r="J20961" s="24"/>
      <c r="K20961" s="24"/>
      <c r="L20961" s="24"/>
      <c r="M20961" s="24"/>
      <c r="N20961" s="24"/>
      <c r="O20961" s="24"/>
      <c r="P20961" s="24"/>
      <c r="Q20961" s="24"/>
      <c r="R20961" s="24"/>
      <c r="S20961" s="24"/>
      <c r="T20961" s="24"/>
      <c r="U20961" s="24"/>
      <c r="V20961" s="24"/>
      <c r="W20961" s="24"/>
      <c r="X20961" s="24"/>
      <c r="Y20961" s="24"/>
      <c r="Z20961" s="24"/>
      <c r="AA20961" s="24"/>
    </row>
    <row r="20962">
      <c r="A20962" s="24"/>
      <c r="B20962" s="25"/>
      <c r="C20962" s="24"/>
      <c r="D20962" s="26"/>
      <c r="E20962" s="24"/>
      <c r="F20962" s="24"/>
      <c r="G20962" s="24"/>
      <c r="H20962" s="24"/>
      <c r="I20962" s="24"/>
      <c r="J20962" s="24"/>
      <c r="K20962" s="24"/>
      <c r="L20962" s="24"/>
      <c r="M20962" s="24"/>
      <c r="N20962" s="24"/>
      <c r="O20962" s="24"/>
      <c r="P20962" s="24"/>
      <c r="Q20962" s="24"/>
      <c r="R20962" s="24"/>
      <c r="S20962" s="24"/>
      <c r="T20962" s="24"/>
      <c r="U20962" s="24"/>
      <c r="V20962" s="24"/>
      <c r="W20962" s="24"/>
      <c r="X20962" s="24"/>
      <c r="Y20962" s="24"/>
      <c r="Z20962" s="24"/>
      <c r="AA20962" s="24"/>
    </row>
    <row r="20963">
      <c r="A20963" s="24"/>
      <c r="B20963" s="25"/>
      <c r="C20963" s="24"/>
      <c r="D20963" s="26"/>
      <c r="E20963" s="24"/>
      <c r="F20963" s="24"/>
      <c r="G20963" s="24"/>
      <c r="H20963" s="24"/>
      <c r="I20963" s="24"/>
      <c r="J20963" s="24"/>
      <c r="K20963" s="24"/>
      <c r="L20963" s="24"/>
      <c r="M20963" s="24"/>
      <c r="N20963" s="24"/>
      <c r="O20963" s="24"/>
      <c r="P20963" s="24"/>
      <c r="Q20963" s="24"/>
      <c r="R20963" s="24"/>
      <c r="S20963" s="24"/>
      <c r="T20963" s="24"/>
      <c r="U20963" s="24"/>
      <c r="V20963" s="24"/>
      <c r="W20963" s="24"/>
      <c r="X20963" s="24"/>
      <c r="Y20963" s="24"/>
      <c r="Z20963" s="24"/>
      <c r="AA20963" s="24"/>
    </row>
    <row r="20964">
      <c r="A20964" s="24"/>
      <c r="B20964" s="25"/>
      <c r="C20964" s="24"/>
      <c r="D20964" s="26"/>
      <c r="E20964" s="24"/>
      <c r="F20964" s="24"/>
      <c r="G20964" s="24"/>
      <c r="H20964" s="24"/>
      <c r="I20964" s="24"/>
      <c r="J20964" s="24"/>
      <c r="K20964" s="24"/>
      <c r="L20964" s="24"/>
      <c r="M20964" s="24"/>
      <c r="N20964" s="24"/>
      <c r="O20964" s="24"/>
      <c r="P20964" s="24"/>
      <c r="Q20964" s="24"/>
      <c r="R20964" s="24"/>
      <c r="S20964" s="24"/>
      <c r="T20964" s="24"/>
      <c r="U20964" s="24"/>
      <c r="V20964" s="24"/>
      <c r="W20964" s="24"/>
      <c r="X20964" s="24"/>
      <c r="Y20964" s="24"/>
      <c r="Z20964" s="24"/>
      <c r="AA20964" s="24"/>
    </row>
    <row r="20965">
      <c r="A20965" s="24"/>
      <c r="B20965" s="25"/>
      <c r="C20965" s="24"/>
      <c r="D20965" s="26"/>
      <c r="E20965" s="24"/>
      <c r="F20965" s="24"/>
      <c r="G20965" s="24"/>
      <c r="H20965" s="24"/>
      <c r="I20965" s="24"/>
      <c r="J20965" s="24"/>
      <c r="K20965" s="24"/>
      <c r="L20965" s="24"/>
      <c r="M20965" s="24"/>
      <c r="N20965" s="24"/>
      <c r="O20965" s="24"/>
      <c r="P20965" s="24"/>
      <c r="Q20965" s="24"/>
      <c r="R20965" s="24"/>
      <c r="S20965" s="24"/>
      <c r="T20965" s="24"/>
      <c r="U20965" s="24"/>
      <c r="V20965" s="24"/>
      <c r="W20965" s="24"/>
      <c r="X20965" s="24"/>
      <c r="Y20965" s="24"/>
      <c r="Z20965" s="24"/>
      <c r="AA20965" s="24"/>
    </row>
    <row r="20966">
      <c r="A20966" s="24"/>
      <c r="B20966" s="25"/>
      <c r="C20966" s="24"/>
      <c r="D20966" s="26"/>
      <c r="E20966" s="24"/>
      <c r="F20966" s="24"/>
      <c r="G20966" s="24"/>
      <c r="H20966" s="24"/>
      <c r="I20966" s="24"/>
      <c r="J20966" s="24"/>
      <c r="K20966" s="24"/>
      <c r="L20966" s="24"/>
      <c r="M20966" s="24"/>
      <c r="N20966" s="24"/>
      <c r="O20966" s="24"/>
      <c r="P20966" s="24"/>
      <c r="Q20966" s="24"/>
      <c r="R20966" s="24"/>
      <c r="S20966" s="24"/>
      <c r="T20966" s="24"/>
      <c r="U20966" s="24"/>
      <c r="V20966" s="24"/>
      <c r="W20966" s="24"/>
      <c r="X20966" s="24"/>
      <c r="Y20966" s="24"/>
      <c r="Z20966" s="24"/>
      <c r="AA20966" s="24"/>
    </row>
    <row r="20967">
      <c r="A20967" s="24"/>
      <c r="B20967" s="25"/>
      <c r="C20967" s="24"/>
      <c r="D20967" s="26"/>
      <c r="E20967" s="24"/>
      <c r="F20967" s="24"/>
      <c r="G20967" s="24"/>
      <c r="H20967" s="24"/>
      <c r="I20967" s="24"/>
      <c r="J20967" s="24"/>
      <c r="K20967" s="24"/>
      <c r="L20967" s="24"/>
      <c r="M20967" s="24"/>
      <c r="N20967" s="24"/>
      <c r="O20967" s="24"/>
      <c r="P20967" s="24"/>
      <c r="Q20967" s="24"/>
      <c r="R20967" s="24"/>
      <c r="S20967" s="24"/>
      <c r="T20967" s="24"/>
      <c r="U20967" s="24"/>
      <c r="V20967" s="24"/>
      <c r="W20967" s="24"/>
      <c r="X20967" s="24"/>
      <c r="Y20967" s="24"/>
      <c r="Z20967" s="24"/>
      <c r="AA20967" s="24"/>
    </row>
    <row r="20968">
      <c r="A20968" s="24"/>
      <c r="B20968" s="25"/>
      <c r="C20968" s="24"/>
      <c r="D20968" s="26"/>
      <c r="E20968" s="24"/>
      <c r="F20968" s="24"/>
      <c r="G20968" s="24"/>
      <c r="H20968" s="24"/>
      <c r="I20968" s="24"/>
      <c r="J20968" s="24"/>
      <c r="K20968" s="24"/>
      <c r="L20968" s="24"/>
      <c r="M20968" s="24"/>
      <c r="N20968" s="24"/>
      <c r="O20968" s="24"/>
      <c r="P20968" s="24"/>
      <c r="Q20968" s="24"/>
      <c r="R20968" s="24"/>
      <c r="S20968" s="24"/>
      <c r="T20968" s="24"/>
      <c r="U20968" s="24"/>
      <c r="V20968" s="24"/>
      <c r="W20968" s="24"/>
      <c r="X20968" s="24"/>
      <c r="Y20968" s="24"/>
      <c r="Z20968" s="24"/>
      <c r="AA20968" s="24"/>
    </row>
    <row r="20969">
      <c r="A20969" s="24"/>
      <c r="B20969" s="25"/>
      <c r="C20969" s="24"/>
      <c r="D20969" s="26"/>
      <c r="E20969" s="24"/>
      <c r="F20969" s="24"/>
      <c r="G20969" s="24"/>
      <c r="H20969" s="24"/>
      <c r="I20969" s="24"/>
      <c r="J20969" s="24"/>
      <c r="K20969" s="24"/>
      <c r="L20969" s="24"/>
      <c r="M20969" s="24"/>
      <c r="N20969" s="24"/>
      <c r="O20969" s="24"/>
      <c r="P20969" s="24"/>
      <c r="Q20969" s="24"/>
      <c r="R20969" s="24"/>
      <c r="S20969" s="24"/>
      <c r="T20969" s="24"/>
      <c r="U20969" s="24"/>
      <c r="V20969" s="24"/>
      <c r="W20969" s="24"/>
      <c r="X20969" s="24"/>
      <c r="Y20969" s="24"/>
      <c r="Z20969" s="24"/>
      <c r="AA20969" s="24"/>
    </row>
    <row r="20970">
      <c r="A20970" s="24"/>
      <c r="B20970" s="25"/>
      <c r="C20970" s="24"/>
      <c r="D20970" s="26"/>
      <c r="E20970" s="24"/>
      <c r="F20970" s="24"/>
      <c r="G20970" s="24"/>
      <c r="H20970" s="24"/>
      <c r="I20970" s="24"/>
      <c r="J20970" s="24"/>
      <c r="K20970" s="24"/>
      <c r="L20970" s="24"/>
      <c r="M20970" s="24"/>
      <c r="N20970" s="24"/>
      <c r="O20970" s="24"/>
      <c r="P20970" s="24"/>
      <c r="Q20970" s="24"/>
      <c r="R20970" s="24"/>
      <c r="S20970" s="24"/>
      <c r="T20970" s="24"/>
      <c r="U20970" s="24"/>
      <c r="V20970" s="24"/>
      <c r="W20970" s="24"/>
      <c r="X20970" s="24"/>
      <c r="Y20970" s="24"/>
      <c r="Z20970" s="24"/>
      <c r="AA20970" s="24"/>
    </row>
    <row r="20971">
      <c r="A20971" s="24"/>
      <c r="B20971" s="25"/>
      <c r="C20971" s="24"/>
      <c r="D20971" s="26"/>
      <c r="E20971" s="24"/>
      <c r="F20971" s="24"/>
      <c r="G20971" s="24"/>
      <c r="H20971" s="24"/>
      <c r="I20971" s="24"/>
      <c r="J20971" s="24"/>
      <c r="K20971" s="24"/>
      <c r="L20971" s="24"/>
      <c r="M20971" s="24"/>
      <c r="N20971" s="24"/>
      <c r="O20971" s="24"/>
      <c r="P20971" s="24"/>
      <c r="Q20971" s="24"/>
      <c r="R20971" s="24"/>
      <c r="S20971" s="24"/>
      <c r="T20971" s="24"/>
      <c r="U20971" s="24"/>
      <c r="V20971" s="24"/>
      <c r="W20971" s="24"/>
      <c r="X20971" s="24"/>
      <c r="Y20971" s="24"/>
      <c r="Z20971" s="24"/>
      <c r="AA20971" s="24"/>
    </row>
    <row r="20972">
      <c r="A20972" s="24"/>
      <c r="B20972" s="25"/>
      <c r="C20972" s="24"/>
      <c r="D20972" s="26"/>
      <c r="E20972" s="24"/>
      <c r="F20972" s="24"/>
      <c r="G20972" s="24"/>
      <c r="H20972" s="24"/>
      <c r="I20972" s="24"/>
      <c r="J20972" s="24"/>
      <c r="K20972" s="24"/>
      <c r="L20972" s="24"/>
      <c r="M20972" s="24"/>
      <c r="N20972" s="24"/>
      <c r="O20972" s="24"/>
      <c r="P20972" s="24"/>
      <c r="Q20972" s="24"/>
      <c r="R20972" s="24"/>
      <c r="S20972" s="24"/>
      <c r="T20972" s="24"/>
      <c r="U20972" s="24"/>
      <c r="V20972" s="24"/>
      <c r="W20972" s="24"/>
      <c r="X20972" s="24"/>
      <c r="Y20972" s="24"/>
      <c r="Z20972" s="24"/>
      <c r="AA20972" s="24"/>
    </row>
    <row r="20973">
      <c r="A20973" s="24"/>
      <c r="B20973" s="25"/>
      <c r="C20973" s="24"/>
      <c r="D20973" s="26"/>
      <c r="E20973" s="24"/>
      <c r="F20973" s="24"/>
      <c r="G20973" s="24"/>
      <c r="H20973" s="24"/>
      <c r="I20973" s="24"/>
      <c r="J20973" s="24"/>
      <c r="K20973" s="24"/>
      <c r="L20973" s="24"/>
      <c r="M20973" s="24"/>
      <c r="N20973" s="24"/>
      <c r="O20973" s="24"/>
      <c r="P20973" s="24"/>
      <c r="Q20973" s="24"/>
      <c r="R20973" s="24"/>
      <c r="S20973" s="24"/>
      <c r="T20973" s="24"/>
      <c r="U20973" s="24"/>
      <c r="V20973" s="24"/>
      <c r="W20973" s="24"/>
      <c r="X20973" s="24"/>
      <c r="Y20973" s="24"/>
      <c r="Z20973" s="24"/>
      <c r="AA20973" s="24"/>
    </row>
    <row r="20974">
      <c r="A20974" s="24"/>
      <c r="B20974" s="25"/>
      <c r="C20974" s="24"/>
      <c r="D20974" s="26"/>
      <c r="E20974" s="24"/>
      <c r="F20974" s="24"/>
      <c r="G20974" s="24"/>
      <c r="H20974" s="24"/>
      <c r="I20974" s="24"/>
      <c r="J20974" s="24"/>
      <c r="K20974" s="24"/>
      <c r="L20974" s="24"/>
      <c r="M20974" s="24"/>
      <c r="N20974" s="24"/>
      <c r="O20974" s="24"/>
      <c r="P20974" s="24"/>
      <c r="Q20974" s="24"/>
      <c r="R20974" s="24"/>
      <c r="S20974" s="24"/>
      <c r="T20974" s="24"/>
      <c r="U20974" s="24"/>
      <c r="V20974" s="24"/>
      <c r="W20974" s="24"/>
      <c r="X20974" s="24"/>
      <c r="Y20974" s="24"/>
      <c r="Z20974" s="24"/>
      <c r="AA20974" s="24"/>
    </row>
    <row r="20975">
      <c r="A20975" s="24"/>
      <c r="B20975" s="25"/>
      <c r="C20975" s="24"/>
      <c r="D20975" s="26"/>
      <c r="E20975" s="24"/>
      <c r="F20975" s="24"/>
      <c r="G20975" s="24"/>
      <c r="H20975" s="24"/>
      <c r="I20975" s="24"/>
      <c r="J20975" s="24"/>
      <c r="K20975" s="24"/>
      <c r="L20975" s="24"/>
      <c r="M20975" s="24"/>
      <c r="N20975" s="24"/>
      <c r="O20975" s="24"/>
      <c r="P20975" s="24"/>
      <c r="Q20975" s="24"/>
      <c r="R20975" s="24"/>
      <c r="S20975" s="24"/>
      <c r="T20975" s="24"/>
      <c r="U20975" s="24"/>
      <c r="V20975" s="24"/>
      <c r="W20975" s="24"/>
      <c r="X20975" s="24"/>
      <c r="Y20975" s="24"/>
      <c r="Z20975" s="24"/>
      <c r="AA20975" s="24"/>
    </row>
    <row r="20976">
      <c r="A20976" s="24"/>
      <c r="B20976" s="25"/>
      <c r="C20976" s="24"/>
      <c r="D20976" s="26"/>
      <c r="E20976" s="24"/>
      <c r="F20976" s="24"/>
      <c r="G20976" s="24"/>
      <c r="H20976" s="24"/>
      <c r="I20976" s="24"/>
      <c r="J20976" s="24"/>
      <c r="K20976" s="24"/>
      <c r="L20976" s="24"/>
      <c r="M20976" s="24"/>
      <c r="N20976" s="24"/>
      <c r="O20976" s="24"/>
      <c r="P20976" s="24"/>
      <c r="Q20976" s="24"/>
      <c r="R20976" s="24"/>
      <c r="S20976" s="24"/>
      <c r="T20976" s="24"/>
      <c r="U20976" s="24"/>
      <c r="V20976" s="24"/>
      <c r="W20976" s="24"/>
      <c r="X20976" s="24"/>
      <c r="Y20976" s="24"/>
      <c r="Z20976" s="24"/>
      <c r="AA20976" s="24"/>
    </row>
    <row r="20977">
      <c r="A20977" s="24"/>
      <c r="B20977" s="25"/>
      <c r="C20977" s="24"/>
      <c r="D20977" s="26"/>
      <c r="E20977" s="24"/>
      <c r="F20977" s="24"/>
      <c r="G20977" s="24"/>
      <c r="H20977" s="24"/>
      <c r="I20977" s="24"/>
      <c r="J20977" s="24"/>
      <c r="K20977" s="24"/>
      <c r="L20977" s="24"/>
      <c r="M20977" s="24"/>
      <c r="N20977" s="24"/>
      <c r="O20977" s="24"/>
      <c r="P20977" s="24"/>
      <c r="Q20977" s="24"/>
      <c r="R20977" s="24"/>
      <c r="S20977" s="24"/>
      <c r="T20977" s="24"/>
      <c r="U20977" s="24"/>
      <c r="V20977" s="24"/>
      <c r="W20977" s="24"/>
      <c r="X20977" s="24"/>
      <c r="Y20977" s="24"/>
      <c r="Z20977" s="24"/>
      <c r="AA20977" s="24"/>
    </row>
    <row r="20978">
      <c r="A20978" s="24"/>
      <c r="B20978" s="25"/>
      <c r="C20978" s="24"/>
      <c r="D20978" s="26"/>
      <c r="E20978" s="24"/>
      <c r="F20978" s="24"/>
      <c r="G20978" s="24"/>
      <c r="H20978" s="24"/>
      <c r="I20978" s="24"/>
      <c r="J20978" s="24"/>
      <c r="K20978" s="24"/>
      <c r="L20978" s="24"/>
      <c r="M20978" s="24"/>
      <c r="N20978" s="24"/>
      <c r="O20978" s="24"/>
      <c r="P20978" s="24"/>
      <c r="Q20978" s="24"/>
      <c r="R20978" s="24"/>
      <c r="S20978" s="24"/>
      <c r="T20978" s="24"/>
      <c r="U20978" s="24"/>
      <c r="V20978" s="24"/>
      <c r="W20978" s="24"/>
      <c r="X20978" s="24"/>
      <c r="Y20978" s="24"/>
      <c r="Z20978" s="24"/>
      <c r="AA20978" s="24"/>
    </row>
    <row r="20979">
      <c r="A20979" s="24"/>
      <c r="B20979" s="25"/>
      <c r="C20979" s="24"/>
      <c r="D20979" s="26"/>
      <c r="E20979" s="24"/>
      <c r="F20979" s="24"/>
      <c r="G20979" s="24"/>
      <c r="H20979" s="24"/>
      <c r="I20979" s="24"/>
      <c r="J20979" s="24"/>
      <c r="K20979" s="24"/>
      <c r="L20979" s="24"/>
      <c r="M20979" s="24"/>
      <c r="N20979" s="24"/>
      <c r="O20979" s="24"/>
      <c r="P20979" s="24"/>
      <c r="Q20979" s="24"/>
      <c r="R20979" s="24"/>
      <c r="S20979" s="24"/>
      <c r="T20979" s="24"/>
      <c r="U20979" s="24"/>
      <c r="V20979" s="24"/>
      <c r="W20979" s="24"/>
      <c r="X20979" s="24"/>
      <c r="Y20979" s="24"/>
      <c r="Z20979" s="24"/>
      <c r="AA20979" s="24"/>
    </row>
    <row r="20980">
      <c r="A20980" s="24"/>
      <c r="B20980" s="25"/>
      <c r="C20980" s="24"/>
      <c r="D20980" s="26"/>
      <c r="E20980" s="24"/>
      <c r="F20980" s="24"/>
      <c r="G20980" s="24"/>
      <c r="H20980" s="24"/>
      <c r="I20980" s="24"/>
      <c r="J20980" s="24"/>
      <c r="K20980" s="24"/>
      <c r="L20980" s="24"/>
      <c r="M20980" s="24"/>
      <c r="N20980" s="24"/>
      <c r="O20980" s="24"/>
      <c r="P20980" s="24"/>
      <c r="Q20980" s="24"/>
      <c r="R20980" s="24"/>
      <c r="S20980" s="24"/>
      <c r="T20980" s="24"/>
      <c r="U20980" s="24"/>
      <c r="V20980" s="24"/>
      <c r="W20980" s="24"/>
      <c r="X20980" s="24"/>
      <c r="Y20980" s="24"/>
      <c r="Z20980" s="24"/>
      <c r="AA20980" s="24"/>
    </row>
    <row r="20981">
      <c r="A20981" s="24"/>
      <c r="B20981" s="25"/>
      <c r="C20981" s="24"/>
      <c r="D20981" s="26"/>
      <c r="E20981" s="24"/>
      <c r="F20981" s="24"/>
      <c r="G20981" s="24"/>
      <c r="H20981" s="24"/>
      <c r="I20981" s="24"/>
      <c r="J20981" s="24"/>
      <c r="K20981" s="24"/>
      <c r="L20981" s="24"/>
      <c r="M20981" s="24"/>
      <c r="N20981" s="24"/>
      <c r="O20981" s="24"/>
      <c r="P20981" s="24"/>
      <c r="Q20981" s="24"/>
      <c r="R20981" s="24"/>
      <c r="S20981" s="24"/>
      <c r="T20981" s="24"/>
      <c r="U20981" s="24"/>
      <c r="V20981" s="24"/>
      <c r="W20981" s="24"/>
      <c r="X20981" s="24"/>
      <c r="Y20981" s="24"/>
      <c r="Z20981" s="24"/>
      <c r="AA20981" s="24"/>
    </row>
    <row r="20982">
      <c r="A20982" s="24"/>
      <c r="B20982" s="25"/>
      <c r="C20982" s="24"/>
      <c r="D20982" s="26"/>
      <c r="E20982" s="24"/>
      <c r="F20982" s="24"/>
      <c r="G20982" s="24"/>
      <c r="H20982" s="24"/>
      <c r="I20982" s="24"/>
      <c r="J20982" s="24"/>
      <c r="K20982" s="24"/>
      <c r="L20982" s="24"/>
      <c r="M20982" s="24"/>
      <c r="N20982" s="24"/>
      <c r="O20982" s="24"/>
      <c r="P20982" s="24"/>
      <c r="Q20982" s="24"/>
      <c r="R20982" s="24"/>
      <c r="S20982" s="24"/>
      <c r="T20982" s="24"/>
      <c r="U20982" s="24"/>
      <c r="V20982" s="24"/>
      <c r="W20982" s="24"/>
      <c r="X20982" s="24"/>
      <c r="Y20982" s="24"/>
      <c r="Z20982" s="24"/>
      <c r="AA20982" s="24"/>
    </row>
    <row r="20983">
      <c r="A20983" s="24"/>
      <c r="B20983" s="25"/>
      <c r="C20983" s="24"/>
      <c r="D20983" s="26"/>
      <c r="E20983" s="24"/>
      <c r="F20983" s="24"/>
      <c r="G20983" s="24"/>
      <c r="H20983" s="24"/>
      <c r="I20983" s="24"/>
      <c r="J20983" s="24"/>
      <c r="K20983" s="24"/>
      <c r="L20983" s="24"/>
      <c r="M20983" s="24"/>
      <c r="N20983" s="24"/>
      <c r="O20983" s="24"/>
      <c r="P20983" s="24"/>
      <c r="Q20983" s="24"/>
      <c r="R20983" s="24"/>
      <c r="S20983" s="24"/>
      <c r="T20983" s="24"/>
      <c r="U20983" s="24"/>
      <c r="V20983" s="24"/>
      <c r="W20983" s="24"/>
      <c r="X20983" s="24"/>
      <c r="Y20983" s="24"/>
      <c r="Z20983" s="24"/>
      <c r="AA20983" s="24"/>
    </row>
    <row r="20984">
      <c r="A20984" s="24"/>
      <c r="B20984" s="25"/>
      <c r="C20984" s="24"/>
      <c r="D20984" s="26"/>
      <c r="E20984" s="24"/>
      <c r="F20984" s="24"/>
      <c r="G20984" s="24"/>
      <c r="H20984" s="24"/>
      <c r="I20984" s="24"/>
      <c r="J20984" s="24"/>
      <c r="K20984" s="24"/>
      <c r="L20984" s="24"/>
      <c r="M20984" s="24"/>
      <c r="N20984" s="24"/>
      <c r="O20984" s="24"/>
      <c r="P20984" s="24"/>
      <c r="Q20984" s="24"/>
      <c r="R20984" s="24"/>
      <c r="S20984" s="24"/>
      <c r="T20984" s="24"/>
      <c r="U20984" s="24"/>
      <c r="V20984" s="24"/>
      <c r="W20984" s="24"/>
      <c r="X20984" s="24"/>
      <c r="Y20984" s="24"/>
      <c r="Z20984" s="24"/>
      <c r="AA20984" s="24"/>
    </row>
    <row r="20985">
      <c r="A20985" s="24"/>
      <c r="B20985" s="25"/>
      <c r="C20985" s="24"/>
      <c r="D20985" s="26"/>
      <c r="E20985" s="24"/>
      <c r="F20985" s="24"/>
      <c r="G20985" s="24"/>
      <c r="H20985" s="24"/>
      <c r="I20985" s="24"/>
      <c r="J20985" s="24"/>
      <c r="K20985" s="24"/>
      <c r="L20985" s="24"/>
      <c r="M20985" s="24"/>
      <c r="N20985" s="24"/>
      <c r="O20985" s="24"/>
      <c r="P20985" s="24"/>
      <c r="Q20985" s="24"/>
      <c r="R20985" s="24"/>
      <c r="S20985" s="24"/>
      <c r="T20985" s="24"/>
      <c r="U20985" s="24"/>
      <c r="V20985" s="24"/>
      <c r="W20985" s="24"/>
      <c r="X20985" s="24"/>
      <c r="Y20985" s="24"/>
      <c r="Z20985" s="24"/>
      <c r="AA20985" s="24"/>
    </row>
    <row r="20986">
      <c r="A20986" s="24"/>
      <c r="B20986" s="25"/>
      <c r="C20986" s="24"/>
      <c r="D20986" s="26"/>
      <c r="E20986" s="24"/>
      <c r="F20986" s="24"/>
      <c r="G20986" s="24"/>
      <c r="H20986" s="24"/>
      <c r="I20986" s="24"/>
      <c r="J20986" s="24"/>
      <c r="K20986" s="24"/>
      <c r="L20986" s="24"/>
      <c r="M20986" s="24"/>
      <c r="N20986" s="24"/>
      <c r="O20986" s="24"/>
      <c r="P20986" s="24"/>
      <c r="Q20986" s="24"/>
      <c r="R20986" s="24"/>
      <c r="S20986" s="24"/>
      <c r="T20986" s="24"/>
      <c r="U20986" s="24"/>
      <c r="V20986" s="24"/>
      <c r="W20986" s="24"/>
      <c r="X20986" s="24"/>
      <c r="Y20986" s="24"/>
      <c r="Z20986" s="24"/>
      <c r="AA20986" s="24"/>
    </row>
    <row r="20987">
      <c r="A20987" s="24"/>
      <c r="B20987" s="25"/>
      <c r="C20987" s="24"/>
      <c r="D20987" s="26"/>
      <c r="E20987" s="24"/>
      <c r="F20987" s="24"/>
      <c r="G20987" s="24"/>
      <c r="H20987" s="24"/>
      <c r="I20987" s="24"/>
      <c r="J20987" s="24"/>
      <c r="K20987" s="24"/>
      <c r="L20987" s="24"/>
      <c r="M20987" s="24"/>
      <c r="N20987" s="24"/>
      <c r="O20987" s="24"/>
      <c r="P20987" s="24"/>
      <c r="Q20987" s="24"/>
      <c r="R20987" s="24"/>
      <c r="S20987" s="24"/>
      <c r="T20987" s="24"/>
      <c r="U20987" s="24"/>
      <c r="V20987" s="24"/>
      <c r="W20987" s="24"/>
      <c r="X20987" s="24"/>
      <c r="Y20987" s="24"/>
      <c r="Z20987" s="24"/>
      <c r="AA20987" s="24"/>
    </row>
    <row r="20988">
      <c r="A20988" s="24"/>
      <c r="B20988" s="25"/>
      <c r="C20988" s="24"/>
      <c r="D20988" s="26"/>
      <c r="E20988" s="24"/>
      <c r="F20988" s="24"/>
      <c r="G20988" s="24"/>
      <c r="H20988" s="24"/>
      <c r="I20988" s="24"/>
      <c r="J20988" s="24"/>
      <c r="K20988" s="24"/>
      <c r="L20988" s="24"/>
      <c r="M20988" s="24"/>
      <c r="N20988" s="24"/>
      <c r="O20988" s="24"/>
      <c r="P20988" s="24"/>
      <c r="Q20988" s="24"/>
      <c r="R20988" s="24"/>
      <c r="S20988" s="24"/>
      <c r="T20988" s="24"/>
      <c r="U20988" s="24"/>
      <c r="V20988" s="24"/>
      <c r="W20988" s="24"/>
      <c r="X20988" s="24"/>
      <c r="Y20988" s="24"/>
      <c r="Z20988" s="24"/>
      <c r="AA20988" s="24"/>
    </row>
    <row r="20989">
      <c r="A20989" s="24"/>
      <c r="B20989" s="25"/>
      <c r="C20989" s="24"/>
      <c r="D20989" s="26"/>
      <c r="E20989" s="24"/>
      <c r="F20989" s="24"/>
      <c r="G20989" s="24"/>
      <c r="H20989" s="24"/>
      <c r="I20989" s="24"/>
      <c r="J20989" s="24"/>
      <c r="K20989" s="24"/>
      <c r="L20989" s="24"/>
      <c r="M20989" s="24"/>
      <c r="N20989" s="24"/>
      <c r="O20989" s="24"/>
      <c r="P20989" s="24"/>
      <c r="Q20989" s="24"/>
      <c r="R20989" s="24"/>
      <c r="S20989" s="24"/>
      <c r="T20989" s="24"/>
      <c r="U20989" s="24"/>
      <c r="V20989" s="24"/>
      <c r="W20989" s="24"/>
      <c r="X20989" s="24"/>
      <c r="Y20989" s="24"/>
      <c r="Z20989" s="24"/>
      <c r="AA20989" s="24"/>
    </row>
    <row r="20990">
      <c r="A20990" s="24"/>
      <c r="B20990" s="25"/>
      <c r="C20990" s="24"/>
      <c r="D20990" s="26"/>
      <c r="E20990" s="24"/>
      <c r="F20990" s="24"/>
      <c r="G20990" s="24"/>
      <c r="H20990" s="24"/>
      <c r="I20990" s="24"/>
      <c r="J20990" s="24"/>
      <c r="K20990" s="24"/>
      <c r="L20990" s="24"/>
      <c r="M20990" s="24"/>
      <c r="N20990" s="24"/>
      <c r="O20990" s="24"/>
      <c r="P20990" s="24"/>
      <c r="Q20990" s="24"/>
      <c r="R20990" s="24"/>
      <c r="S20990" s="24"/>
      <c r="T20990" s="24"/>
      <c r="U20990" s="24"/>
      <c r="V20990" s="24"/>
      <c r="W20990" s="24"/>
      <c r="X20990" s="24"/>
      <c r="Y20990" s="24"/>
      <c r="Z20990" s="24"/>
      <c r="AA20990" s="24"/>
    </row>
    <row r="20991">
      <c r="A20991" s="24"/>
      <c r="B20991" s="25"/>
      <c r="C20991" s="24"/>
      <c r="D20991" s="26"/>
      <c r="E20991" s="24"/>
      <c r="F20991" s="24"/>
      <c r="G20991" s="24"/>
      <c r="H20991" s="24"/>
      <c r="I20991" s="24"/>
      <c r="J20991" s="24"/>
      <c r="K20991" s="24"/>
      <c r="L20991" s="24"/>
      <c r="M20991" s="24"/>
      <c r="N20991" s="24"/>
      <c r="O20991" s="24"/>
      <c r="P20991" s="24"/>
      <c r="Q20991" s="24"/>
      <c r="R20991" s="24"/>
      <c r="S20991" s="24"/>
      <c r="T20991" s="24"/>
      <c r="U20991" s="24"/>
      <c r="V20991" s="24"/>
      <c r="W20991" s="24"/>
      <c r="X20991" s="24"/>
      <c r="Y20991" s="24"/>
      <c r="Z20991" s="24"/>
      <c r="AA20991" s="24"/>
    </row>
    <row r="20992">
      <c r="A20992" s="24"/>
      <c r="B20992" s="25"/>
      <c r="C20992" s="24"/>
      <c r="D20992" s="26"/>
      <c r="E20992" s="24"/>
      <c r="F20992" s="24"/>
      <c r="G20992" s="24"/>
      <c r="H20992" s="24"/>
      <c r="I20992" s="24"/>
      <c r="J20992" s="24"/>
      <c r="K20992" s="24"/>
      <c r="L20992" s="24"/>
      <c r="M20992" s="24"/>
      <c r="N20992" s="24"/>
      <c r="O20992" s="24"/>
      <c r="P20992" s="24"/>
      <c r="Q20992" s="24"/>
      <c r="R20992" s="24"/>
      <c r="S20992" s="24"/>
      <c r="T20992" s="24"/>
      <c r="U20992" s="24"/>
      <c r="V20992" s="24"/>
      <c r="W20992" s="24"/>
      <c r="X20992" s="24"/>
      <c r="Y20992" s="24"/>
      <c r="Z20992" s="24"/>
      <c r="AA20992" s="24"/>
    </row>
    <row r="20993">
      <c r="A20993" s="24"/>
      <c r="B20993" s="25"/>
      <c r="C20993" s="24"/>
      <c r="D20993" s="26"/>
      <c r="E20993" s="24"/>
      <c r="F20993" s="24"/>
      <c r="G20993" s="24"/>
      <c r="H20993" s="24"/>
      <c r="I20993" s="24"/>
      <c r="J20993" s="24"/>
      <c r="K20993" s="24"/>
      <c r="L20993" s="24"/>
      <c r="M20993" s="24"/>
      <c r="N20993" s="24"/>
      <c r="O20993" s="24"/>
      <c r="P20993" s="24"/>
      <c r="Q20993" s="24"/>
      <c r="R20993" s="24"/>
      <c r="S20993" s="24"/>
      <c r="T20993" s="24"/>
      <c r="U20993" s="24"/>
      <c r="V20993" s="24"/>
      <c r="W20993" s="24"/>
      <c r="X20993" s="24"/>
      <c r="Y20993" s="24"/>
      <c r="Z20993" s="24"/>
      <c r="AA20993" s="24"/>
    </row>
    <row r="20994">
      <c r="A20994" s="24"/>
      <c r="B20994" s="25"/>
      <c r="C20994" s="24"/>
      <c r="D20994" s="26"/>
      <c r="E20994" s="24"/>
      <c r="F20994" s="24"/>
      <c r="G20994" s="24"/>
      <c r="H20994" s="24"/>
      <c r="I20994" s="24"/>
      <c r="J20994" s="24"/>
      <c r="K20994" s="24"/>
      <c r="L20994" s="24"/>
      <c r="M20994" s="24"/>
      <c r="N20994" s="24"/>
      <c r="O20994" s="24"/>
      <c r="P20994" s="24"/>
      <c r="Q20994" s="24"/>
      <c r="R20994" s="24"/>
      <c r="S20994" s="24"/>
      <c r="T20994" s="24"/>
      <c r="U20994" s="24"/>
      <c r="V20994" s="24"/>
      <c r="W20994" s="24"/>
      <c r="X20994" s="24"/>
      <c r="Y20994" s="24"/>
      <c r="Z20994" s="24"/>
      <c r="AA20994" s="24"/>
    </row>
    <row r="20995">
      <c r="A20995" s="24"/>
      <c r="B20995" s="25"/>
      <c r="C20995" s="24"/>
      <c r="D20995" s="26"/>
      <c r="E20995" s="24"/>
      <c r="F20995" s="24"/>
      <c r="G20995" s="24"/>
      <c r="H20995" s="24"/>
      <c r="I20995" s="24"/>
      <c r="J20995" s="24"/>
      <c r="K20995" s="24"/>
      <c r="L20995" s="24"/>
      <c r="M20995" s="24"/>
      <c r="N20995" s="24"/>
      <c r="O20995" s="24"/>
      <c r="P20995" s="24"/>
      <c r="Q20995" s="24"/>
      <c r="R20995" s="24"/>
      <c r="S20995" s="24"/>
      <c r="T20995" s="24"/>
      <c r="U20995" s="24"/>
      <c r="V20995" s="24"/>
      <c r="W20995" s="24"/>
      <c r="X20995" s="24"/>
      <c r="Y20995" s="24"/>
      <c r="Z20995" s="24"/>
      <c r="AA20995" s="24"/>
    </row>
    <row r="20996">
      <c r="A20996" s="24"/>
      <c r="B20996" s="25"/>
      <c r="C20996" s="24"/>
      <c r="D20996" s="26"/>
      <c r="E20996" s="24"/>
      <c r="F20996" s="24"/>
      <c r="G20996" s="24"/>
      <c r="H20996" s="24"/>
      <c r="I20996" s="24"/>
      <c r="J20996" s="24"/>
      <c r="K20996" s="24"/>
      <c r="L20996" s="24"/>
      <c r="M20996" s="24"/>
      <c r="N20996" s="24"/>
      <c r="O20996" s="24"/>
      <c r="P20996" s="24"/>
      <c r="Q20996" s="24"/>
      <c r="R20996" s="24"/>
      <c r="S20996" s="24"/>
      <c r="T20996" s="24"/>
      <c r="U20996" s="24"/>
      <c r="V20996" s="24"/>
      <c r="W20996" s="24"/>
      <c r="X20996" s="24"/>
      <c r="Y20996" s="24"/>
      <c r="Z20996" s="24"/>
      <c r="AA20996" s="24"/>
    </row>
    <row r="20997">
      <c r="A20997" s="24"/>
      <c r="B20997" s="25"/>
      <c r="C20997" s="24"/>
      <c r="D20997" s="26"/>
      <c r="E20997" s="24"/>
      <c r="F20997" s="24"/>
      <c r="G20997" s="24"/>
      <c r="H20997" s="24"/>
      <c r="I20997" s="24"/>
      <c r="J20997" s="24"/>
      <c r="K20997" s="24"/>
      <c r="L20997" s="24"/>
      <c r="M20997" s="24"/>
      <c r="N20997" s="24"/>
      <c r="O20997" s="24"/>
      <c r="P20997" s="24"/>
      <c r="Q20997" s="24"/>
      <c r="R20997" s="24"/>
      <c r="S20997" s="24"/>
      <c r="T20997" s="24"/>
      <c r="U20997" s="24"/>
      <c r="V20997" s="24"/>
      <c r="W20997" s="24"/>
      <c r="X20997" s="24"/>
      <c r="Y20997" s="24"/>
      <c r="Z20997" s="24"/>
      <c r="AA20997" s="24"/>
    </row>
    <row r="20998">
      <c r="A20998" s="24"/>
      <c r="B20998" s="25"/>
      <c r="C20998" s="24"/>
      <c r="D20998" s="26"/>
      <c r="E20998" s="24"/>
      <c r="F20998" s="24"/>
      <c r="G20998" s="24"/>
      <c r="H20998" s="24"/>
      <c r="I20998" s="24"/>
      <c r="J20998" s="24"/>
      <c r="K20998" s="24"/>
      <c r="L20998" s="24"/>
      <c r="M20998" s="24"/>
      <c r="N20998" s="24"/>
      <c r="O20998" s="24"/>
      <c r="P20998" s="24"/>
      <c r="Q20998" s="24"/>
      <c r="R20998" s="24"/>
      <c r="S20998" s="24"/>
      <c r="T20998" s="24"/>
      <c r="U20998" s="24"/>
      <c r="V20998" s="24"/>
      <c r="W20998" s="24"/>
      <c r="X20998" s="24"/>
      <c r="Y20998" s="24"/>
      <c r="Z20998" s="24"/>
      <c r="AA20998" s="24"/>
    </row>
    <row r="20999">
      <c r="A20999" s="24"/>
      <c r="B20999" s="25"/>
      <c r="C20999" s="24"/>
      <c r="D20999" s="26"/>
      <c r="E20999" s="24"/>
      <c r="F20999" s="24"/>
      <c r="G20999" s="24"/>
      <c r="H20999" s="24"/>
      <c r="I20999" s="24"/>
      <c r="J20999" s="24"/>
      <c r="K20999" s="24"/>
      <c r="L20999" s="24"/>
      <c r="M20999" s="24"/>
      <c r="N20999" s="24"/>
      <c r="O20999" s="24"/>
      <c r="P20999" s="24"/>
      <c r="Q20999" s="24"/>
      <c r="R20999" s="24"/>
      <c r="S20999" s="24"/>
      <c r="T20999" s="24"/>
      <c r="U20999" s="24"/>
      <c r="V20999" s="24"/>
      <c r="W20999" s="24"/>
      <c r="X20999" s="24"/>
      <c r="Y20999" s="24"/>
      <c r="Z20999" s="24"/>
      <c r="AA20999" s="24"/>
    </row>
    <row r="21000">
      <c r="A21000" s="24"/>
      <c r="B21000" s="25"/>
      <c r="C21000" s="24"/>
      <c r="D21000" s="26"/>
      <c r="E21000" s="24"/>
      <c r="F21000" s="24"/>
      <c r="G21000" s="24"/>
      <c r="H21000" s="24"/>
      <c r="I21000" s="24"/>
      <c r="J21000" s="24"/>
      <c r="K21000" s="24"/>
      <c r="L21000" s="24"/>
      <c r="M21000" s="24"/>
      <c r="N21000" s="24"/>
      <c r="O21000" s="24"/>
      <c r="P21000" s="24"/>
      <c r="Q21000" s="24"/>
      <c r="R21000" s="24"/>
      <c r="S21000" s="24"/>
      <c r="T21000" s="24"/>
      <c r="U21000" s="24"/>
      <c r="V21000" s="24"/>
      <c r="W21000" s="24"/>
      <c r="X21000" s="24"/>
      <c r="Y21000" s="24"/>
      <c r="Z21000" s="24"/>
      <c r="AA21000" s="24"/>
    </row>
    <row r="21001">
      <c r="A21001" s="24"/>
      <c r="B21001" s="25"/>
      <c r="C21001" s="24"/>
      <c r="D21001" s="26"/>
      <c r="E21001" s="24"/>
      <c r="F21001" s="24"/>
      <c r="G21001" s="24"/>
      <c r="H21001" s="24"/>
      <c r="I21001" s="24"/>
      <c r="J21001" s="24"/>
      <c r="K21001" s="24"/>
      <c r="L21001" s="24"/>
      <c r="M21001" s="24"/>
      <c r="N21001" s="24"/>
      <c r="O21001" s="24"/>
      <c r="P21001" s="24"/>
      <c r="Q21001" s="24"/>
      <c r="R21001" s="24"/>
      <c r="S21001" s="24"/>
      <c r="T21001" s="24"/>
      <c r="U21001" s="24"/>
      <c r="V21001" s="24"/>
      <c r="W21001" s="24"/>
      <c r="X21001" s="24"/>
      <c r="Y21001" s="24"/>
      <c r="Z21001" s="24"/>
      <c r="AA21001" s="24"/>
    </row>
    <row r="21002">
      <c r="A21002" s="24"/>
      <c r="B21002" s="25"/>
      <c r="C21002" s="24"/>
      <c r="D21002" s="26"/>
      <c r="E21002" s="24"/>
      <c r="F21002" s="24"/>
      <c r="G21002" s="24"/>
      <c r="H21002" s="24"/>
      <c r="I21002" s="24"/>
      <c r="J21002" s="24"/>
      <c r="K21002" s="24"/>
      <c r="L21002" s="24"/>
      <c r="M21002" s="24"/>
      <c r="N21002" s="24"/>
      <c r="O21002" s="24"/>
      <c r="P21002" s="24"/>
      <c r="Q21002" s="24"/>
      <c r="R21002" s="24"/>
      <c r="S21002" s="24"/>
      <c r="T21002" s="24"/>
      <c r="U21002" s="24"/>
      <c r="V21002" s="24"/>
      <c r="W21002" s="24"/>
      <c r="X21002" s="24"/>
      <c r="Y21002" s="24"/>
      <c r="Z21002" s="24"/>
      <c r="AA21002" s="24"/>
    </row>
    <row r="21003">
      <c r="A21003" s="24"/>
      <c r="B21003" s="25"/>
      <c r="C21003" s="24"/>
      <c r="D21003" s="26"/>
      <c r="E21003" s="24"/>
      <c r="F21003" s="24"/>
      <c r="G21003" s="24"/>
      <c r="H21003" s="24"/>
      <c r="I21003" s="24"/>
      <c r="J21003" s="24"/>
      <c r="K21003" s="24"/>
      <c r="L21003" s="24"/>
      <c r="M21003" s="24"/>
      <c r="N21003" s="24"/>
      <c r="O21003" s="24"/>
      <c r="P21003" s="24"/>
      <c r="Q21003" s="24"/>
      <c r="R21003" s="24"/>
      <c r="S21003" s="24"/>
      <c r="T21003" s="24"/>
      <c r="U21003" s="24"/>
      <c r="V21003" s="24"/>
      <c r="W21003" s="24"/>
      <c r="X21003" s="24"/>
      <c r="Y21003" s="24"/>
      <c r="Z21003" s="24"/>
      <c r="AA21003" s="24"/>
    </row>
    <row r="21004">
      <c r="A21004" s="24"/>
      <c r="B21004" s="25"/>
      <c r="C21004" s="24"/>
      <c r="D21004" s="26"/>
      <c r="E21004" s="24"/>
      <c r="F21004" s="24"/>
      <c r="G21004" s="24"/>
      <c r="H21004" s="24"/>
      <c r="I21004" s="24"/>
      <c r="J21004" s="24"/>
      <c r="K21004" s="24"/>
      <c r="L21004" s="24"/>
      <c r="M21004" s="24"/>
      <c r="N21004" s="24"/>
      <c r="O21004" s="24"/>
      <c r="P21004" s="24"/>
      <c r="Q21004" s="24"/>
      <c r="R21004" s="24"/>
      <c r="S21004" s="24"/>
      <c r="T21004" s="24"/>
      <c r="U21004" s="24"/>
      <c r="V21004" s="24"/>
      <c r="W21004" s="24"/>
      <c r="X21004" s="24"/>
      <c r="Y21004" s="24"/>
      <c r="Z21004" s="24"/>
      <c r="AA21004" s="24"/>
    </row>
    <row r="21005">
      <c r="A21005" s="24"/>
      <c r="B21005" s="25"/>
      <c r="C21005" s="24"/>
      <c r="D21005" s="26"/>
      <c r="E21005" s="24"/>
      <c r="F21005" s="24"/>
      <c r="G21005" s="24"/>
      <c r="H21005" s="24"/>
      <c r="I21005" s="24"/>
      <c r="J21005" s="24"/>
      <c r="K21005" s="24"/>
      <c r="L21005" s="24"/>
      <c r="M21005" s="24"/>
      <c r="N21005" s="24"/>
      <c r="O21005" s="24"/>
      <c r="P21005" s="24"/>
      <c r="Q21005" s="24"/>
      <c r="R21005" s="24"/>
      <c r="S21005" s="24"/>
      <c r="T21005" s="24"/>
      <c r="U21005" s="24"/>
      <c r="V21005" s="24"/>
      <c r="W21005" s="24"/>
      <c r="X21005" s="24"/>
      <c r="Y21005" s="24"/>
      <c r="Z21005" s="24"/>
      <c r="AA21005" s="24"/>
    </row>
    <row r="21006">
      <c r="A21006" s="24"/>
      <c r="B21006" s="25"/>
      <c r="C21006" s="24"/>
      <c r="D21006" s="26"/>
      <c r="E21006" s="24"/>
      <c r="F21006" s="24"/>
      <c r="G21006" s="24"/>
      <c r="H21006" s="24"/>
      <c r="I21006" s="24"/>
      <c r="J21006" s="24"/>
      <c r="K21006" s="24"/>
      <c r="L21006" s="24"/>
      <c r="M21006" s="24"/>
      <c r="N21006" s="24"/>
      <c r="O21006" s="24"/>
      <c r="P21006" s="24"/>
      <c r="Q21006" s="24"/>
      <c r="R21006" s="24"/>
      <c r="S21006" s="24"/>
      <c r="T21006" s="24"/>
      <c r="U21006" s="24"/>
      <c r="V21006" s="24"/>
      <c r="W21006" s="24"/>
      <c r="X21006" s="24"/>
      <c r="Y21006" s="24"/>
      <c r="Z21006" s="24"/>
      <c r="AA21006" s="24"/>
    </row>
    <row r="21007">
      <c r="A21007" s="24"/>
      <c r="B21007" s="25"/>
      <c r="C21007" s="24"/>
      <c r="D21007" s="26"/>
      <c r="E21007" s="24"/>
      <c r="F21007" s="24"/>
      <c r="G21007" s="24"/>
      <c r="H21007" s="24"/>
      <c r="I21007" s="24"/>
      <c r="J21007" s="24"/>
      <c r="K21007" s="24"/>
      <c r="L21007" s="24"/>
      <c r="M21007" s="24"/>
      <c r="N21007" s="24"/>
      <c r="O21007" s="24"/>
      <c r="P21007" s="24"/>
      <c r="Q21007" s="24"/>
      <c r="R21007" s="24"/>
      <c r="S21007" s="24"/>
      <c r="T21007" s="24"/>
      <c r="U21007" s="24"/>
      <c r="V21007" s="24"/>
      <c r="W21007" s="24"/>
      <c r="X21007" s="24"/>
      <c r="Y21007" s="24"/>
      <c r="Z21007" s="24"/>
      <c r="AA21007" s="24"/>
    </row>
    <row r="21008">
      <c r="A21008" s="24"/>
      <c r="B21008" s="25"/>
      <c r="C21008" s="24"/>
      <c r="D21008" s="26"/>
      <c r="E21008" s="24"/>
      <c r="F21008" s="24"/>
      <c r="G21008" s="24"/>
      <c r="H21008" s="24"/>
      <c r="I21008" s="24"/>
      <c r="J21008" s="24"/>
      <c r="K21008" s="24"/>
      <c r="L21008" s="24"/>
      <c r="M21008" s="24"/>
      <c r="N21008" s="24"/>
      <c r="O21008" s="24"/>
      <c r="P21008" s="24"/>
      <c r="Q21008" s="24"/>
      <c r="R21008" s="24"/>
      <c r="S21008" s="24"/>
      <c r="T21008" s="24"/>
      <c r="U21008" s="24"/>
      <c r="V21008" s="24"/>
      <c r="W21008" s="24"/>
      <c r="X21008" s="24"/>
      <c r="Y21008" s="24"/>
      <c r="Z21008" s="24"/>
      <c r="AA21008" s="24"/>
    </row>
    <row r="21009">
      <c r="A21009" s="24"/>
      <c r="B21009" s="25"/>
      <c r="C21009" s="24"/>
      <c r="D21009" s="26"/>
      <c r="E21009" s="24"/>
      <c r="F21009" s="24"/>
      <c r="G21009" s="24"/>
      <c r="H21009" s="24"/>
      <c r="I21009" s="24"/>
      <c r="J21009" s="24"/>
      <c r="K21009" s="24"/>
      <c r="L21009" s="24"/>
      <c r="M21009" s="24"/>
      <c r="N21009" s="24"/>
      <c r="O21009" s="24"/>
      <c r="P21009" s="24"/>
      <c r="Q21009" s="24"/>
      <c r="R21009" s="24"/>
      <c r="S21009" s="24"/>
      <c r="T21009" s="24"/>
      <c r="U21009" s="24"/>
      <c r="V21009" s="24"/>
      <c r="W21009" s="24"/>
      <c r="X21009" s="24"/>
      <c r="Y21009" s="24"/>
      <c r="Z21009" s="24"/>
      <c r="AA21009" s="24"/>
    </row>
    <row r="21010">
      <c r="A21010" s="24"/>
      <c r="B21010" s="25"/>
      <c r="C21010" s="24"/>
      <c r="D21010" s="26"/>
      <c r="E21010" s="24"/>
      <c r="F21010" s="24"/>
      <c r="G21010" s="24"/>
      <c r="H21010" s="24"/>
      <c r="I21010" s="24"/>
      <c r="J21010" s="24"/>
      <c r="K21010" s="24"/>
      <c r="L21010" s="24"/>
      <c r="M21010" s="24"/>
      <c r="N21010" s="24"/>
      <c r="O21010" s="24"/>
      <c r="P21010" s="24"/>
      <c r="Q21010" s="24"/>
      <c r="R21010" s="24"/>
      <c r="S21010" s="24"/>
      <c r="T21010" s="24"/>
      <c r="U21010" s="24"/>
      <c r="V21010" s="24"/>
      <c r="W21010" s="24"/>
      <c r="X21010" s="24"/>
      <c r="Y21010" s="24"/>
      <c r="Z21010" s="24"/>
      <c r="AA21010" s="24"/>
    </row>
    <row r="21011">
      <c r="A21011" s="24"/>
      <c r="B21011" s="25"/>
      <c r="C21011" s="24"/>
      <c r="D21011" s="26"/>
      <c r="E21011" s="24"/>
      <c r="F21011" s="24"/>
      <c r="G21011" s="24"/>
      <c r="H21011" s="24"/>
      <c r="I21011" s="24"/>
      <c r="J21011" s="24"/>
      <c r="K21011" s="24"/>
      <c r="L21011" s="24"/>
      <c r="M21011" s="24"/>
      <c r="N21011" s="24"/>
      <c r="O21011" s="24"/>
      <c r="P21011" s="24"/>
      <c r="Q21011" s="24"/>
      <c r="R21011" s="24"/>
      <c r="S21011" s="24"/>
      <c r="T21011" s="24"/>
      <c r="U21011" s="24"/>
      <c r="V21011" s="24"/>
      <c r="W21011" s="24"/>
      <c r="X21011" s="24"/>
      <c r="Y21011" s="24"/>
      <c r="Z21011" s="24"/>
      <c r="AA21011" s="24"/>
    </row>
    <row r="21012">
      <c r="A21012" s="24"/>
      <c r="B21012" s="25"/>
      <c r="C21012" s="24"/>
      <c r="D21012" s="26"/>
      <c r="E21012" s="24"/>
      <c r="F21012" s="24"/>
      <c r="G21012" s="24"/>
      <c r="H21012" s="24"/>
      <c r="I21012" s="24"/>
      <c r="J21012" s="24"/>
      <c r="K21012" s="24"/>
      <c r="L21012" s="24"/>
      <c r="M21012" s="24"/>
      <c r="N21012" s="24"/>
      <c r="O21012" s="24"/>
      <c r="P21012" s="24"/>
      <c r="Q21012" s="24"/>
      <c r="R21012" s="24"/>
      <c r="S21012" s="24"/>
      <c r="T21012" s="24"/>
      <c r="U21012" s="24"/>
      <c r="V21012" s="24"/>
      <c r="W21012" s="24"/>
      <c r="X21012" s="24"/>
      <c r="Y21012" s="24"/>
      <c r="Z21012" s="24"/>
      <c r="AA21012" s="24"/>
    </row>
    <row r="21013">
      <c r="A21013" s="24"/>
      <c r="B21013" s="25"/>
      <c r="C21013" s="24"/>
      <c r="D21013" s="26"/>
      <c r="E21013" s="24"/>
      <c r="F21013" s="24"/>
      <c r="G21013" s="24"/>
      <c r="H21013" s="24"/>
      <c r="I21013" s="24"/>
      <c r="J21013" s="24"/>
      <c r="K21013" s="24"/>
      <c r="L21013" s="24"/>
      <c r="M21013" s="24"/>
      <c r="N21013" s="24"/>
      <c r="O21013" s="24"/>
      <c r="P21013" s="24"/>
      <c r="Q21013" s="24"/>
      <c r="R21013" s="24"/>
      <c r="S21013" s="24"/>
      <c r="T21013" s="24"/>
      <c r="U21013" s="24"/>
      <c r="V21013" s="24"/>
      <c r="W21013" s="24"/>
      <c r="X21013" s="24"/>
      <c r="Y21013" s="24"/>
      <c r="Z21013" s="24"/>
      <c r="AA21013" s="24"/>
    </row>
    <row r="21014">
      <c r="A21014" s="24"/>
      <c r="B21014" s="25"/>
      <c r="C21014" s="24"/>
      <c r="D21014" s="26"/>
      <c r="E21014" s="24"/>
      <c r="F21014" s="24"/>
      <c r="G21014" s="24"/>
      <c r="H21014" s="24"/>
      <c r="I21014" s="24"/>
      <c r="J21014" s="24"/>
      <c r="K21014" s="24"/>
      <c r="L21014" s="24"/>
      <c r="M21014" s="24"/>
      <c r="N21014" s="24"/>
      <c r="O21014" s="24"/>
      <c r="P21014" s="24"/>
      <c r="Q21014" s="24"/>
      <c r="R21014" s="24"/>
      <c r="S21014" s="24"/>
      <c r="T21014" s="24"/>
      <c r="U21014" s="24"/>
      <c r="V21014" s="24"/>
      <c r="W21014" s="24"/>
      <c r="X21014" s="24"/>
      <c r="Y21014" s="24"/>
      <c r="Z21014" s="24"/>
      <c r="AA21014" s="24"/>
    </row>
    <row r="21015">
      <c r="A21015" s="24"/>
      <c r="B21015" s="25"/>
      <c r="C21015" s="24"/>
      <c r="D21015" s="26"/>
      <c r="E21015" s="24"/>
      <c r="F21015" s="24"/>
      <c r="G21015" s="24"/>
      <c r="H21015" s="24"/>
      <c r="I21015" s="24"/>
      <c r="J21015" s="24"/>
      <c r="K21015" s="24"/>
      <c r="L21015" s="24"/>
      <c r="M21015" s="24"/>
      <c r="N21015" s="24"/>
      <c r="O21015" s="24"/>
      <c r="P21015" s="24"/>
      <c r="Q21015" s="24"/>
      <c r="R21015" s="24"/>
      <c r="S21015" s="24"/>
      <c r="T21015" s="24"/>
      <c r="U21015" s="24"/>
      <c r="V21015" s="24"/>
      <c r="W21015" s="24"/>
      <c r="X21015" s="24"/>
      <c r="Y21015" s="24"/>
      <c r="Z21015" s="24"/>
      <c r="AA21015" s="24"/>
    </row>
    <row r="21016">
      <c r="A21016" s="24"/>
      <c r="B21016" s="25"/>
      <c r="C21016" s="24"/>
      <c r="D21016" s="26"/>
      <c r="E21016" s="24"/>
      <c r="F21016" s="24"/>
      <c r="G21016" s="24"/>
      <c r="H21016" s="24"/>
      <c r="I21016" s="24"/>
      <c r="J21016" s="24"/>
      <c r="K21016" s="24"/>
      <c r="L21016" s="24"/>
      <c r="M21016" s="24"/>
      <c r="N21016" s="24"/>
      <c r="O21016" s="24"/>
      <c r="P21016" s="24"/>
      <c r="Q21016" s="24"/>
      <c r="R21016" s="24"/>
      <c r="S21016" s="24"/>
      <c r="T21016" s="24"/>
      <c r="U21016" s="24"/>
      <c r="V21016" s="24"/>
      <c r="W21016" s="24"/>
      <c r="X21016" s="24"/>
      <c r="Y21016" s="24"/>
      <c r="Z21016" s="24"/>
      <c r="AA21016" s="24"/>
    </row>
    <row r="21017">
      <c r="A21017" s="24"/>
      <c r="B21017" s="25"/>
      <c r="C21017" s="24"/>
      <c r="D21017" s="26"/>
      <c r="E21017" s="24"/>
      <c r="F21017" s="24"/>
      <c r="G21017" s="24"/>
      <c r="H21017" s="24"/>
      <c r="I21017" s="24"/>
      <c r="J21017" s="24"/>
      <c r="K21017" s="24"/>
      <c r="L21017" s="24"/>
      <c r="M21017" s="24"/>
      <c r="N21017" s="24"/>
      <c r="O21017" s="24"/>
      <c r="P21017" s="24"/>
      <c r="Q21017" s="24"/>
      <c r="R21017" s="24"/>
      <c r="S21017" s="24"/>
      <c r="T21017" s="24"/>
      <c r="U21017" s="24"/>
      <c r="V21017" s="24"/>
      <c r="W21017" s="24"/>
      <c r="X21017" s="24"/>
      <c r="Y21017" s="24"/>
      <c r="Z21017" s="24"/>
      <c r="AA21017" s="24"/>
    </row>
    <row r="21018">
      <c r="A21018" s="24"/>
      <c r="B21018" s="25"/>
      <c r="C21018" s="24"/>
      <c r="D21018" s="26"/>
      <c r="E21018" s="24"/>
      <c r="F21018" s="24"/>
      <c r="G21018" s="24"/>
      <c r="H21018" s="24"/>
      <c r="I21018" s="24"/>
      <c r="J21018" s="24"/>
      <c r="K21018" s="24"/>
      <c r="L21018" s="24"/>
      <c r="M21018" s="24"/>
      <c r="N21018" s="24"/>
      <c r="O21018" s="24"/>
      <c r="P21018" s="24"/>
      <c r="Q21018" s="24"/>
      <c r="R21018" s="24"/>
      <c r="S21018" s="24"/>
      <c r="T21018" s="24"/>
      <c r="U21018" s="24"/>
      <c r="V21018" s="24"/>
      <c r="W21018" s="24"/>
      <c r="X21018" s="24"/>
      <c r="Y21018" s="24"/>
      <c r="Z21018" s="24"/>
      <c r="AA21018" s="24"/>
    </row>
    <row r="21019">
      <c r="A21019" s="24"/>
      <c r="B21019" s="25"/>
      <c r="C21019" s="24"/>
      <c r="D21019" s="26"/>
      <c r="E21019" s="24"/>
      <c r="F21019" s="24"/>
      <c r="G21019" s="24"/>
      <c r="H21019" s="24"/>
      <c r="I21019" s="24"/>
      <c r="J21019" s="24"/>
      <c r="K21019" s="24"/>
      <c r="L21019" s="24"/>
      <c r="M21019" s="24"/>
      <c r="N21019" s="24"/>
      <c r="O21019" s="24"/>
      <c r="P21019" s="24"/>
      <c r="Q21019" s="24"/>
      <c r="R21019" s="24"/>
      <c r="S21019" s="24"/>
      <c r="T21019" s="24"/>
      <c r="U21019" s="24"/>
      <c r="V21019" s="24"/>
      <c r="W21019" s="24"/>
      <c r="X21019" s="24"/>
      <c r="Y21019" s="24"/>
      <c r="Z21019" s="24"/>
      <c r="AA21019" s="24"/>
    </row>
    <row r="21020">
      <c r="A21020" s="24"/>
      <c r="B21020" s="25"/>
      <c r="C21020" s="24"/>
      <c r="D21020" s="26"/>
      <c r="E21020" s="24"/>
      <c r="F21020" s="24"/>
      <c r="G21020" s="24"/>
      <c r="H21020" s="24"/>
      <c r="I21020" s="24"/>
      <c r="J21020" s="24"/>
      <c r="K21020" s="24"/>
      <c r="L21020" s="24"/>
      <c r="M21020" s="24"/>
      <c r="N21020" s="24"/>
      <c r="O21020" s="24"/>
      <c r="P21020" s="24"/>
      <c r="Q21020" s="24"/>
      <c r="R21020" s="24"/>
      <c r="S21020" s="24"/>
      <c r="T21020" s="24"/>
      <c r="U21020" s="24"/>
      <c r="V21020" s="24"/>
      <c r="W21020" s="24"/>
      <c r="X21020" s="24"/>
      <c r="Y21020" s="24"/>
      <c r="Z21020" s="24"/>
      <c r="AA21020" s="24"/>
    </row>
    <row r="21021">
      <c r="A21021" s="24"/>
      <c r="B21021" s="25"/>
      <c r="C21021" s="24"/>
      <c r="D21021" s="26"/>
      <c r="E21021" s="24"/>
      <c r="F21021" s="24"/>
      <c r="G21021" s="24"/>
      <c r="H21021" s="24"/>
      <c r="I21021" s="24"/>
      <c r="J21021" s="24"/>
      <c r="K21021" s="24"/>
      <c r="L21021" s="24"/>
      <c r="M21021" s="24"/>
      <c r="N21021" s="24"/>
      <c r="O21021" s="24"/>
      <c r="P21021" s="24"/>
      <c r="Q21021" s="24"/>
      <c r="R21021" s="24"/>
      <c r="S21021" s="24"/>
      <c r="T21021" s="24"/>
      <c r="U21021" s="24"/>
      <c r="V21021" s="24"/>
      <c r="W21021" s="24"/>
      <c r="X21021" s="24"/>
      <c r="Y21021" s="24"/>
      <c r="Z21021" s="24"/>
      <c r="AA21021" s="24"/>
    </row>
    <row r="21022">
      <c r="A21022" s="24"/>
      <c r="B21022" s="25"/>
      <c r="C21022" s="24"/>
      <c r="D21022" s="26"/>
      <c r="E21022" s="24"/>
      <c r="F21022" s="24"/>
      <c r="G21022" s="24"/>
      <c r="H21022" s="24"/>
      <c r="I21022" s="24"/>
      <c r="J21022" s="24"/>
      <c r="K21022" s="24"/>
      <c r="L21022" s="24"/>
      <c r="M21022" s="24"/>
      <c r="N21022" s="24"/>
      <c r="O21022" s="24"/>
      <c r="P21022" s="24"/>
      <c r="Q21022" s="24"/>
      <c r="R21022" s="24"/>
      <c r="S21022" s="24"/>
      <c r="T21022" s="24"/>
      <c r="U21022" s="24"/>
      <c r="V21022" s="24"/>
      <c r="W21022" s="24"/>
      <c r="X21022" s="24"/>
      <c r="Y21022" s="24"/>
      <c r="Z21022" s="24"/>
      <c r="AA21022" s="24"/>
    </row>
    <row r="21023">
      <c r="A21023" s="24"/>
      <c r="B21023" s="25"/>
      <c r="C21023" s="24"/>
      <c r="D21023" s="26"/>
      <c r="E21023" s="24"/>
      <c r="F21023" s="24"/>
      <c r="G21023" s="24"/>
      <c r="H21023" s="24"/>
      <c r="I21023" s="24"/>
      <c r="J21023" s="24"/>
      <c r="K21023" s="24"/>
      <c r="L21023" s="24"/>
      <c r="M21023" s="24"/>
      <c r="N21023" s="24"/>
      <c r="O21023" s="24"/>
      <c r="P21023" s="24"/>
      <c r="Q21023" s="24"/>
      <c r="R21023" s="24"/>
      <c r="S21023" s="24"/>
      <c r="T21023" s="24"/>
      <c r="U21023" s="24"/>
      <c r="V21023" s="24"/>
      <c r="W21023" s="24"/>
      <c r="X21023" s="24"/>
      <c r="Y21023" s="24"/>
      <c r="Z21023" s="24"/>
      <c r="AA21023" s="24"/>
    </row>
    <row r="21024">
      <c r="A21024" s="24"/>
      <c r="B21024" s="25"/>
      <c r="C21024" s="24"/>
      <c r="D21024" s="26"/>
      <c r="E21024" s="24"/>
      <c r="F21024" s="24"/>
      <c r="G21024" s="24"/>
      <c r="H21024" s="24"/>
      <c r="I21024" s="24"/>
      <c r="J21024" s="24"/>
      <c r="K21024" s="24"/>
      <c r="L21024" s="24"/>
      <c r="M21024" s="24"/>
      <c r="N21024" s="24"/>
      <c r="O21024" s="24"/>
      <c r="P21024" s="24"/>
      <c r="Q21024" s="24"/>
      <c r="R21024" s="24"/>
      <c r="S21024" s="24"/>
      <c r="T21024" s="24"/>
      <c r="U21024" s="24"/>
      <c r="V21024" s="24"/>
      <c r="W21024" s="24"/>
      <c r="X21024" s="24"/>
      <c r="Y21024" s="24"/>
      <c r="Z21024" s="24"/>
      <c r="AA21024" s="24"/>
    </row>
    <row r="21025">
      <c r="A21025" s="24"/>
      <c r="B21025" s="25"/>
      <c r="C21025" s="24"/>
      <c r="D21025" s="26"/>
      <c r="E21025" s="24"/>
      <c r="F21025" s="24"/>
      <c r="G21025" s="24"/>
      <c r="H21025" s="24"/>
      <c r="I21025" s="24"/>
      <c r="J21025" s="24"/>
      <c r="K21025" s="24"/>
      <c r="L21025" s="24"/>
      <c r="M21025" s="24"/>
      <c r="N21025" s="24"/>
      <c r="O21025" s="24"/>
      <c r="P21025" s="24"/>
      <c r="Q21025" s="24"/>
      <c r="R21025" s="24"/>
      <c r="S21025" s="24"/>
      <c r="T21025" s="24"/>
      <c r="U21025" s="24"/>
      <c r="V21025" s="24"/>
      <c r="W21025" s="24"/>
      <c r="X21025" s="24"/>
      <c r="Y21025" s="24"/>
      <c r="Z21025" s="24"/>
      <c r="AA21025" s="24"/>
    </row>
    <row r="21026">
      <c r="A21026" s="24"/>
      <c r="B21026" s="25"/>
      <c r="C21026" s="24"/>
      <c r="D21026" s="26"/>
      <c r="E21026" s="24"/>
      <c r="F21026" s="24"/>
      <c r="G21026" s="24"/>
      <c r="H21026" s="24"/>
      <c r="I21026" s="24"/>
      <c r="J21026" s="24"/>
      <c r="K21026" s="24"/>
      <c r="L21026" s="24"/>
      <c r="M21026" s="24"/>
      <c r="N21026" s="24"/>
      <c r="O21026" s="24"/>
      <c r="P21026" s="24"/>
      <c r="Q21026" s="24"/>
      <c r="R21026" s="24"/>
      <c r="S21026" s="24"/>
      <c r="T21026" s="24"/>
      <c r="U21026" s="24"/>
      <c r="V21026" s="24"/>
      <c r="W21026" s="24"/>
      <c r="X21026" s="24"/>
      <c r="Y21026" s="24"/>
      <c r="Z21026" s="24"/>
      <c r="AA21026" s="24"/>
    </row>
    <row r="21027">
      <c r="A21027" s="24"/>
      <c r="B21027" s="25"/>
      <c r="C21027" s="24"/>
      <c r="D21027" s="26"/>
      <c r="E21027" s="24"/>
      <c r="F21027" s="24"/>
      <c r="G21027" s="24"/>
      <c r="H21027" s="24"/>
      <c r="I21027" s="24"/>
      <c r="J21027" s="24"/>
      <c r="K21027" s="24"/>
      <c r="L21027" s="24"/>
      <c r="M21027" s="24"/>
      <c r="N21027" s="24"/>
      <c r="O21027" s="24"/>
      <c r="P21027" s="24"/>
      <c r="Q21027" s="24"/>
      <c r="R21027" s="24"/>
      <c r="S21027" s="24"/>
      <c r="T21027" s="24"/>
      <c r="U21027" s="24"/>
      <c r="V21027" s="24"/>
      <c r="W21027" s="24"/>
      <c r="X21027" s="24"/>
      <c r="Y21027" s="24"/>
      <c r="Z21027" s="24"/>
      <c r="AA21027" s="24"/>
    </row>
    <row r="21028">
      <c r="A21028" s="24"/>
      <c r="B21028" s="25"/>
      <c r="C21028" s="24"/>
      <c r="D21028" s="26"/>
      <c r="E21028" s="24"/>
      <c r="F21028" s="24"/>
      <c r="G21028" s="24"/>
      <c r="H21028" s="24"/>
      <c r="I21028" s="24"/>
      <c r="J21028" s="24"/>
      <c r="K21028" s="24"/>
      <c r="L21028" s="24"/>
      <c r="M21028" s="24"/>
      <c r="N21028" s="24"/>
      <c r="O21028" s="24"/>
      <c r="P21028" s="24"/>
      <c r="Q21028" s="24"/>
      <c r="R21028" s="24"/>
      <c r="S21028" s="24"/>
      <c r="T21028" s="24"/>
      <c r="U21028" s="24"/>
      <c r="V21028" s="24"/>
      <c r="W21028" s="24"/>
      <c r="X21028" s="24"/>
      <c r="Y21028" s="24"/>
      <c r="Z21028" s="24"/>
      <c r="AA21028" s="24"/>
    </row>
    <row r="21029">
      <c r="A21029" s="24"/>
      <c r="B21029" s="25"/>
      <c r="C21029" s="24"/>
      <c r="D21029" s="26"/>
      <c r="E21029" s="24"/>
      <c r="F21029" s="24"/>
      <c r="G21029" s="24"/>
      <c r="H21029" s="24"/>
      <c r="I21029" s="24"/>
      <c r="J21029" s="24"/>
      <c r="K21029" s="24"/>
      <c r="L21029" s="24"/>
      <c r="M21029" s="24"/>
      <c r="N21029" s="24"/>
      <c r="O21029" s="24"/>
      <c r="P21029" s="24"/>
      <c r="Q21029" s="24"/>
      <c r="R21029" s="24"/>
      <c r="S21029" s="24"/>
      <c r="T21029" s="24"/>
      <c r="U21029" s="24"/>
      <c r="V21029" s="24"/>
      <c r="W21029" s="24"/>
      <c r="X21029" s="24"/>
      <c r="Y21029" s="24"/>
      <c r="Z21029" s="24"/>
      <c r="AA21029" s="24"/>
    </row>
    <row r="21030">
      <c r="A21030" s="24"/>
      <c r="B21030" s="25"/>
      <c r="C21030" s="24"/>
      <c r="D21030" s="26"/>
      <c r="E21030" s="24"/>
      <c r="F21030" s="24"/>
      <c r="G21030" s="24"/>
      <c r="H21030" s="24"/>
      <c r="I21030" s="24"/>
      <c r="J21030" s="24"/>
      <c r="K21030" s="24"/>
      <c r="L21030" s="24"/>
      <c r="M21030" s="24"/>
      <c r="N21030" s="24"/>
      <c r="O21030" s="24"/>
      <c r="P21030" s="24"/>
      <c r="Q21030" s="24"/>
      <c r="R21030" s="24"/>
      <c r="S21030" s="24"/>
      <c r="T21030" s="24"/>
      <c r="U21030" s="24"/>
      <c r="V21030" s="24"/>
      <c r="W21030" s="24"/>
      <c r="X21030" s="24"/>
      <c r="Y21030" s="24"/>
      <c r="Z21030" s="24"/>
      <c r="AA21030" s="24"/>
    </row>
    <row r="21031">
      <c r="A21031" s="24"/>
      <c r="B21031" s="25"/>
      <c r="C21031" s="24"/>
      <c r="D21031" s="26"/>
      <c r="E21031" s="24"/>
      <c r="F21031" s="24"/>
      <c r="G21031" s="24"/>
      <c r="H21031" s="24"/>
      <c r="I21031" s="24"/>
      <c r="J21031" s="24"/>
      <c r="K21031" s="24"/>
      <c r="L21031" s="24"/>
      <c r="M21031" s="24"/>
      <c r="N21031" s="24"/>
      <c r="O21031" s="24"/>
      <c r="P21031" s="24"/>
      <c r="Q21031" s="24"/>
      <c r="R21031" s="24"/>
      <c r="S21031" s="24"/>
      <c r="T21031" s="24"/>
      <c r="U21031" s="24"/>
      <c r="V21031" s="24"/>
      <c r="W21031" s="24"/>
      <c r="X21031" s="24"/>
      <c r="Y21031" s="24"/>
      <c r="Z21031" s="24"/>
      <c r="AA21031" s="24"/>
    </row>
    <row r="21032">
      <c r="A21032" s="24"/>
      <c r="B21032" s="25"/>
      <c r="C21032" s="24"/>
      <c r="D21032" s="26"/>
      <c r="E21032" s="24"/>
      <c r="F21032" s="24"/>
      <c r="G21032" s="24"/>
      <c r="H21032" s="24"/>
      <c r="I21032" s="24"/>
      <c r="J21032" s="24"/>
      <c r="K21032" s="24"/>
      <c r="L21032" s="24"/>
      <c r="M21032" s="24"/>
      <c r="N21032" s="24"/>
      <c r="O21032" s="24"/>
      <c r="P21032" s="24"/>
      <c r="Q21032" s="24"/>
      <c r="R21032" s="24"/>
      <c r="S21032" s="24"/>
      <c r="T21032" s="24"/>
      <c r="U21032" s="24"/>
      <c r="V21032" s="24"/>
      <c r="W21032" s="24"/>
      <c r="X21032" s="24"/>
      <c r="Y21032" s="24"/>
      <c r="Z21032" s="24"/>
      <c r="AA21032" s="24"/>
    </row>
    <row r="21033">
      <c r="A21033" s="24"/>
      <c r="B21033" s="25"/>
      <c r="C21033" s="24"/>
      <c r="D21033" s="26"/>
      <c r="E21033" s="24"/>
      <c r="F21033" s="24"/>
      <c r="G21033" s="24"/>
      <c r="H21033" s="24"/>
      <c r="I21033" s="24"/>
      <c r="J21033" s="24"/>
      <c r="K21033" s="24"/>
      <c r="L21033" s="24"/>
      <c r="M21033" s="24"/>
      <c r="N21033" s="24"/>
      <c r="O21033" s="24"/>
      <c r="P21033" s="24"/>
      <c r="Q21033" s="24"/>
      <c r="R21033" s="24"/>
      <c r="S21033" s="24"/>
      <c r="T21033" s="24"/>
      <c r="U21033" s="24"/>
      <c r="V21033" s="24"/>
      <c r="W21033" s="24"/>
      <c r="X21033" s="24"/>
      <c r="Y21033" s="24"/>
      <c r="Z21033" s="24"/>
      <c r="AA21033" s="24"/>
    </row>
    <row r="21034">
      <c r="A21034" s="24"/>
      <c r="B21034" s="25"/>
      <c r="C21034" s="24"/>
      <c r="D21034" s="26"/>
      <c r="E21034" s="24"/>
      <c r="F21034" s="24"/>
      <c r="G21034" s="24"/>
      <c r="H21034" s="24"/>
      <c r="I21034" s="24"/>
      <c r="J21034" s="24"/>
      <c r="K21034" s="24"/>
      <c r="L21034" s="24"/>
      <c r="M21034" s="24"/>
      <c r="N21034" s="24"/>
      <c r="O21034" s="24"/>
      <c r="P21034" s="24"/>
      <c r="Q21034" s="24"/>
      <c r="R21034" s="24"/>
      <c r="S21034" s="24"/>
      <c r="T21034" s="24"/>
      <c r="U21034" s="24"/>
      <c r="V21034" s="24"/>
      <c r="W21034" s="24"/>
      <c r="X21034" s="24"/>
      <c r="Y21034" s="24"/>
      <c r="Z21034" s="24"/>
      <c r="AA21034" s="24"/>
    </row>
    <row r="21035">
      <c r="A21035" s="24"/>
      <c r="B21035" s="25"/>
      <c r="C21035" s="24"/>
      <c r="D21035" s="26"/>
      <c r="E21035" s="24"/>
      <c r="F21035" s="24"/>
      <c r="G21035" s="24"/>
      <c r="H21035" s="24"/>
      <c r="I21035" s="24"/>
      <c r="J21035" s="24"/>
      <c r="K21035" s="24"/>
      <c r="L21035" s="24"/>
      <c r="M21035" s="24"/>
      <c r="N21035" s="24"/>
      <c r="O21035" s="24"/>
      <c r="P21035" s="24"/>
      <c r="Q21035" s="24"/>
      <c r="R21035" s="24"/>
      <c r="S21035" s="24"/>
      <c r="T21035" s="24"/>
      <c r="U21035" s="24"/>
      <c r="V21035" s="24"/>
      <c r="W21035" s="24"/>
      <c r="X21035" s="24"/>
      <c r="Y21035" s="24"/>
      <c r="Z21035" s="24"/>
      <c r="AA21035" s="24"/>
    </row>
    <row r="21036">
      <c r="A21036" s="24"/>
      <c r="B21036" s="25"/>
      <c r="C21036" s="24"/>
      <c r="D21036" s="26"/>
      <c r="E21036" s="24"/>
      <c r="F21036" s="24"/>
      <c r="G21036" s="24"/>
      <c r="H21036" s="24"/>
      <c r="I21036" s="24"/>
      <c r="J21036" s="24"/>
      <c r="K21036" s="24"/>
      <c r="L21036" s="24"/>
      <c r="M21036" s="24"/>
      <c r="N21036" s="24"/>
      <c r="O21036" s="24"/>
      <c r="P21036" s="24"/>
      <c r="Q21036" s="24"/>
      <c r="R21036" s="24"/>
      <c r="S21036" s="24"/>
      <c r="T21036" s="24"/>
      <c r="U21036" s="24"/>
      <c r="V21036" s="24"/>
      <c r="W21036" s="24"/>
      <c r="X21036" s="24"/>
      <c r="Y21036" s="24"/>
      <c r="Z21036" s="24"/>
      <c r="AA21036" s="24"/>
    </row>
    <row r="21037">
      <c r="A21037" s="24"/>
      <c r="B21037" s="25"/>
      <c r="C21037" s="24"/>
      <c r="D21037" s="26"/>
      <c r="E21037" s="24"/>
      <c r="F21037" s="24"/>
      <c r="G21037" s="24"/>
      <c r="H21037" s="24"/>
      <c r="I21037" s="24"/>
      <c r="J21037" s="24"/>
      <c r="K21037" s="24"/>
      <c r="L21037" s="24"/>
      <c r="M21037" s="24"/>
      <c r="N21037" s="24"/>
      <c r="O21037" s="24"/>
      <c r="P21037" s="24"/>
      <c r="Q21037" s="24"/>
      <c r="R21037" s="24"/>
      <c r="S21037" s="24"/>
      <c r="T21037" s="24"/>
      <c r="U21037" s="24"/>
      <c r="V21037" s="24"/>
      <c r="W21037" s="24"/>
      <c r="X21037" s="24"/>
      <c r="Y21037" s="24"/>
      <c r="Z21037" s="24"/>
      <c r="AA21037" s="24"/>
    </row>
    <row r="21038">
      <c r="A21038" s="24"/>
      <c r="B21038" s="25"/>
      <c r="C21038" s="24"/>
      <c r="D21038" s="26"/>
      <c r="E21038" s="24"/>
      <c r="F21038" s="24"/>
      <c r="G21038" s="24"/>
      <c r="H21038" s="24"/>
      <c r="I21038" s="24"/>
      <c r="J21038" s="24"/>
      <c r="K21038" s="24"/>
      <c r="L21038" s="24"/>
      <c r="M21038" s="24"/>
      <c r="N21038" s="24"/>
      <c r="O21038" s="24"/>
      <c r="P21038" s="24"/>
      <c r="Q21038" s="24"/>
      <c r="R21038" s="24"/>
      <c r="S21038" s="24"/>
      <c r="T21038" s="24"/>
      <c r="U21038" s="24"/>
      <c r="V21038" s="24"/>
      <c r="W21038" s="24"/>
      <c r="X21038" s="24"/>
      <c r="Y21038" s="24"/>
      <c r="Z21038" s="24"/>
      <c r="AA21038" s="24"/>
    </row>
    <row r="21039">
      <c r="A21039" s="24"/>
      <c r="B21039" s="25"/>
      <c r="C21039" s="24"/>
      <c r="D21039" s="26"/>
      <c r="E21039" s="24"/>
      <c r="F21039" s="24"/>
      <c r="G21039" s="24"/>
      <c r="H21039" s="24"/>
      <c r="I21039" s="24"/>
      <c r="J21039" s="24"/>
      <c r="K21039" s="24"/>
      <c r="L21039" s="24"/>
      <c r="M21039" s="24"/>
      <c r="N21039" s="24"/>
      <c r="O21039" s="24"/>
      <c r="P21039" s="24"/>
      <c r="Q21039" s="24"/>
      <c r="R21039" s="24"/>
      <c r="S21039" s="24"/>
      <c r="T21039" s="24"/>
      <c r="U21039" s="24"/>
      <c r="V21039" s="24"/>
      <c r="W21039" s="24"/>
      <c r="X21039" s="24"/>
      <c r="Y21039" s="24"/>
      <c r="Z21039" s="24"/>
      <c r="AA21039" s="24"/>
    </row>
    <row r="21040">
      <c r="A21040" s="24"/>
      <c r="B21040" s="25"/>
      <c r="C21040" s="24"/>
      <c r="D21040" s="26"/>
      <c r="E21040" s="24"/>
      <c r="F21040" s="24"/>
      <c r="G21040" s="24"/>
      <c r="H21040" s="24"/>
      <c r="I21040" s="24"/>
      <c r="J21040" s="24"/>
      <c r="K21040" s="24"/>
      <c r="L21040" s="24"/>
      <c r="M21040" s="24"/>
      <c r="N21040" s="24"/>
      <c r="O21040" s="24"/>
      <c r="P21040" s="24"/>
      <c r="Q21040" s="24"/>
      <c r="R21040" s="24"/>
      <c r="S21040" s="24"/>
      <c r="T21040" s="24"/>
      <c r="U21040" s="24"/>
      <c r="V21040" s="24"/>
      <c r="W21040" s="24"/>
      <c r="X21040" s="24"/>
      <c r="Y21040" s="24"/>
      <c r="Z21040" s="24"/>
      <c r="AA21040" s="24"/>
    </row>
    <row r="21041">
      <c r="A21041" s="24"/>
      <c r="B21041" s="25"/>
      <c r="C21041" s="24"/>
      <c r="D21041" s="26"/>
      <c r="E21041" s="24"/>
      <c r="F21041" s="24"/>
      <c r="G21041" s="24"/>
      <c r="H21041" s="24"/>
      <c r="I21041" s="24"/>
      <c r="J21041" s="24"/>
      <c r="K21041" s="24"/>
      <c r="L21041" s="24"/>
      <c r="M21041" s="24"/>
      <c r="N21041" s="24"/>
      <c r="O21041" s="24"/>
      <c r="P21041" s="24"/>
      <c r="Q21041" s="24"/>
      <c r="R21041" s="24"/>
      <c r="S21041" s="24"/>
      <c r="T21041" s="24"/>
      <c r="U21041" s="24"/>
      <c r="V21041" s="24"/>
      <c r="W21041" s="24"/>
      <c r="X21041" s="24"/>
      <c r="Y21041" s="24"/>
      <c r="Z21041" s="24"/>
      <c r="AA21041" s="24"/>
    </row>
    <row r="21042">
      <c r="A21042" s="24"/>
      <c r="B21042" s="25"/>
      <c r="C21042" s="24"/>
      <c r="D21042" s="26"/>
      <c r="E21042" s="24"/>
      <c r="F21042" s="24"/>
      <c r="G21042" s="24"/>
      <c r="H21042" s="24"/>
      <c r="I21042" s="24"/>
      <c r="J21042" s="24"/>
      <c r="K21042" s="24"/>
      <c r="L21042" s="24"/>
      <c r="M21042" s="24"/>
      <c r="N21042" s="24"/>
      <c r="O21042" s="24"/>
      <c r="P21042" s="24"/>
      <c r="Q21042" s="24"/>
      <c r="R21042" s="24"/>
      <c r="S21042" s="24"/>
      <c r="T21042" s="24"/>
      <c r="U21042" s="24"/>
      <c r="V21042" s="24"/>
      <c r="W21042" s="24"/>
      <c r="X21042" s="24"/>
      <c r="Y21042" s="24"/>
      <c r="Z21042" s="24"/>
      <c r="AA21042" s="24"/>
    </row>
    <row r="21043">
      <c r="A21043" s="24"/>
      <c r="B21043" s="25"/>
      <c r="C21043" s="24"/>
      <c r="D21043" s="26"/>
      <c r="E21043" s="24"/>
      <c r="F21043" s="24"/>
      <c r="G21043" s="24"/>
      <c r="H21043" s="24"/>
      <c r="I21043" s="24"/>
      <c r="J21043" s="24"/>
      <c r="K21043" s="24"/>
      <c r="L21043" s="24"/>
      <c r="M21043" s="24"/>
      <c r="N21043" s="24"/>
      <c r="O21043" s="24"/>
      <c r="P21043" s="24"/>
      <c r="Q21043" s="24"/>
      <c r="R21043" s="24"/>
      <c r="S21043" s="24"/>
      <c r="T21043" s="24"/>
      <c r="U21043" s="24"/>
      <c r="V21043" s="24"/>
      <c r="W21043" s="24"/>
      <c r="X21043" s="24"/>
      <c r="Y21043" s="24"/>
      <c r="Z21043" s="24"/>
      <c r="AA21043" s="24"/>
    </row>
    <row r="21044">
      <c r="A21044" s="24"/>
      <c r="B21044" s="25"/>
      <c r="C21044" s="24"/>
      <c r="D21044" s="26"/>
      <c r="E21044" s="24"/>
      <c r="F21044" s="24"/>
      <c r="G21044" s="24"/>
      <c r="H21044" s="24"/>
      <c r="I21044" s="24"/>
      <c r="J21044" s="24"/>
      <c r="K21044" s="24"/>
      <c r="L21044" s="24"/>
      <c r="M21044" s="24"/>
      <c r="N21044" s="24"/>
      <c r="O21044" s="24"/>
      <c r="P21044" s="24"/>
      <c r="Q21044" s="24"/>
      <c r="R21044" s="24"/>
      <c r="S21044" s="24"/>
      <c r="T21044" s="24"/>
      <c r="U21044" s="24"/>
      <c r="V21044" s="24"/>
      <c r="W21044" s="24"/>
      <c r="X21044" s="24"/>
      <c r="Y21044" s="24"/>
      <c r="Z21044" s="24"/>
      <c r="AA21044" s="24"/>
    </row>
    <row r="21045">
      <c r="A21045" s="24"/>
      <c r="B21045" s="25"/>
      <c r="C21045" s="24"/>
      <c r="D21045" s="26"/>
      <c r="E21045" s="24"/>
      <c r="F21045" s="24"/>
      <c r="G21045" s="24"/>
      <c r="H21045" s="24"/>
      <c r="I21045" s="24"/>
      <c r="J21045" s="24"/>
      <c r="K21045" s="24"/>
      <c r="L21045" s="24"/>
      <c r="M21045" s="24"/>
      <c r="N21045" s="24"/>
      <c r="O21045" s="24"/>
      <c r="P21045" s="24"/>
      <c r="Q21045" s="24"/>
      <c r="R21045" s="24"/>
      <c r="S21045" s="24"/>
      <c r="T21045" s="24"/>
      <c r="U21045" s="24"/>
      <c r="V21045" s="24"/>
      <c r="W21045" s="24"/>
      <c r="X21045" s="24"/>
      <c r="Y21045" s="24"/>
      <c r="Z21045" s="24"/>
      <c r="AA21045" s="24"/>
    </row>
    <row r="21046">
      <c r="A21046" s="24"/>
      <c r="B21046" s="25"/>
      <c r="C21046" s="24"/>
      <c r="D21046" s="26"/>
      <c r="E21046" s="24"/>
      <c r="F21046" s="24"/>
      <c r="G21046" s="24"/>
      <c r="H21046" s="24"/>
      <c r="I21046" s="24"/>
      <c r="J21046" s="24"/>
      <c r="K21046" s="24"/>
      <c r="L21046" s="24"/>
      <c r="M21046" s="24"/>
      <c r="N21046" s="24"/>
      <c r="O21046" s="24"/>
      <c r="P21046" s="24"/>
      <c r="Q21046" s="24"/>
      <c r="R21046" s="24"/>
      <c r="S21046" s="24"/>
      <c r="T21046" s="24"/>
      <c r="U21046" s="24"/>
      <c r="V21046" s="24"/>
      <c r="W21046" s="24"/>
      <c r="X21046" s="24"/>
      <c r="Y21046" s="24"/>
      <c r="Z21046" s="24"/>
      <c r="AA21046" s="24"/>
    </row>
    <row r="21047">
      <c r="A21047" s="24"/>
      <c r="B21047" s="25"/>
      <c r="C21047" s="24"/>
      <c r="D21047" s="26"/>
      <c r="E21047" s="24"/>
      <c r="F21047" s="24"/>
      <c r="G21047" s="24"/>
      <c r="H21047" s="24"/>
      <c r="I21047" s="24"/>
      <c r="J21047" s="24"/>
      <c r="K21047" s="24"/>
      <c r="L21047" s="24"/>
      <c r="M21047" s="24"/>
      <c r="N21047" s="24"/>
      <c r="O21047" s="24"/>
      <c r="P21047" s="24"/>
      <c r="Q21047" s="24"/>
      <c r="R21047" s="24"/>
      <c r="S21047" s="24"/>
      <c r="T21047" s="24"/>
      <c r="U21047" s="24"/>
      <c r="V21047" s="24"/>
      <c r="W21047" s="24"/>
      <c r="X21047" s="24"/>
      <c r="Y21047" s="24"/>
      <c r="Z21047" s="24"/>
      <c r="AA21047" s="24"/>
    </row>
    <row r="21048">
      <c r="A21048" s="24"/>
      <c r="B21048" s="25"/>
      <c r="C21048" s="24"/>
      <c r="D21048" s="26"/>
      <c r="E21048" s="24"/>
      <c r="F21048" s="24"/>
      <c r="G21048" s="24"/>
      <c r="H21048" s="24"/>
      <c r="I21048" s="24"/>
      <c r="J21048" s="24"/>
      <c r="K21048" s="24"/>
      <c r="L21048" s="24"/>
      <c r="M21048" s="24"/>
      <c r="N21048" s="24"/>
      <c r="O21048" s="24"/>
      <c r="P21048" s="24"/>
      <c r="Q21048" s="24"/>
      <c r="R21048" s="24"/>
      <c r="S21048" s="24"/>
      <c r="T21048" s="24"/>
      <c r="U21048" s="24"/>
      <c r="V21048" s="24"/>
      <c r="W21048" s="24"/>
      <c r="X21048" s="24"/>
      <c r="Y21048" s="24"/>
      <c r="Z21048" s="24"/>
      <c r="AA21048" s="24"/>
    </row>
    <row r="21049">
      <c r="A21049" s="24"/>
      <c r="B21049" s="25"/>
      <c r="C21049" s="24"/>
      <c r="D21049" s="26"/>
      <c r="E21049" s="24"/>
      <c r="F21049" s="24"/>
      <c r="G21049" s="24"/>
      <c r="H21049" s="24"/>
      <c r="I21049" s="24"/>
      <c r="J21049" s="24"/>
      <c r="K21049" s="24"/>
      <c r="L21049" s="24"/>
      <c r="M21049" s="24"/>
      <c r="N21049" s="24"/>
      <c r="O21049" s="24"/>
      <c r="P21049" s="24"/>
      <c r="Q21049" s="24"/>
      <c r="R21049" s="24"/>
      <c r="S21049" s="24"/>
      <c r="T21049" s="24"/>
      <c r="U21049" s="24"/>
      <c r="V21049" s="24"/>
      <c r="W21049" s="24"/>
      <c r="X21049" s="24"/>
      <c r="Y21049" s="24"/>
      <c r="Z21049" s="24"/>
      <c r="AA21049" s="24"/>
    </row>
    <row r="21050">
      <c r="A21050" s="24"/>
      <c r="B21050" s="25"/>
      <c r="C21050" s="24"/>
      <c r="D21050" s="26"/>
      <c r="E21050" s="24"/>
      <c r="F21050" s="24"/>
      <c r="G21050" s="24"/>
      <c r="H21050" s="24"/>
      <c r="I21050" s="24"/>
      <c r="J21050" s="24"/>
      <c r="K21050" s="24"/>
      <c r="L21050" s="24"/>
      <c r="M21050" s="24"/>
      <c r="N21050" s="24"/>
      <c r="O21050" s="24"/>
      <c r="P21050" s="24"/>
      <c r="Q21050" s="24"/>
      <c r="R21050" s="24"/>
      <c r="S21050" s="24"/>
      <c r="T21050" s="24"/>
      <c r="U21050" s="24"/>
      <c r="V21050" s="24"/>
      <c r="W21050" s="24"/>
      <c r="X21050" s="24"/>
      <c r="Y21050" s="24"/>
      <c r="Z21050" s="24"/>
      <c r="AA21050" s="24"/>
    </row>
    <row r="21051">
      <c r="A21051" s="24"/>
      <c r="B21051" s="25"/>
      <c r="C21051" s="24"/>
      <c r="D21051" s="26"/>
      <c r="E21051" s="24"/>
      <c r="F21051" s="24"/>
      <c r="G21051" s="24"/>
      <c r="H21051" s="24"/>
      <c r="I21051" s="24"/>
      <c r="J21051" s="24"/>
      <c r="K21051" s="24"/>
      <c r="L21051" s="24"/>
      <c r="M21051" s="24"/>
      <c r="N21051" s="24"/>
      <c r="O21051" s="24"/>
      <c r="P21051" s="24"/>
      <c r="Q21051" s="24"/>
      <c r="R21051" s="24"/>
      <c r="S21051" s="24"/>
      <c r="T21051" s="24"/>
      <c r="U21051" s="24"/>
      <c r="V21051" s="24"/>
      <c r="W21051" s="24"/>
      <c r="X21051" s="24"/>
      <c r="Y21051" s="24"/>
      <c r="Z21051" s="24"/>
      <c r="AA21051" s="24"/>
    </row>
    <row r="21052">
      <c r="A21052" s="24"/>
      <c r="B21052" s="25"/>
      <c r="C21052" s="24"/>
      <c r="D21052" s="26"/>
      <c r="E21052" s="24"/>
      <c r="F21052" s="24"/>
      <c r="G21052" s="24"/>
      <c r="H21052" s="24"/>
      <c r="I21052" s="24"/>
      <c r="J21052" s="24"/>
      <c r="K21052" s="24"/>
      <c r="L21052" s="24"/>
      <c r="M21052" s="24"/>
      <c r="N21052" s="24"/>
      <c r="O21052" s="24"/>
      <c r="P21052" s="24"/>
      <c r="Q21052" s="24"/>
      <c r="R21052" s="24"/>
      <c r="S21052" s="24"/>
      <c r="T21052" s="24"/>
      <c r="U21052" s="24"/>
      <c r="V21052" s="24"/>
      <c r="W21052" s="24"/>
      <c r="X21052" s="24"/>
      <c r="Y21052" s="24"/>
      <c r="Z21052" s="24"/>
      <c r="AA21052" s="24"/>
    </row>
    <row r="21053">
      <c r="A21053" s="24"/>
      <c r="B21053" s="25"/>
      <c r="C21053" s="24"/>
      <c r="D21053" s="26"/>
      <c r="E21053" s="24"/>
      <c r="F21053" s="24"/>
      <c r="G21053" s="24"/>
      <c r="H21053" s="24"/>
      <c r="I21053" s="24"/>
      <c r="J21053" s="24"/>
      <c r="K21053" s="24"/>
      <c r="L21053" s="24"/>
      <c r="M21053" s="24"/>
      <c r="N21053" s="24"/>
      <c r="O21053" s="24"/>
      <c r="P21053" s="24"/>
      <c r="Q21053" s="24"/>
      <c r="R21053" s="24"/>
      <c r="S21053" s="24"/>
      <c r="T21053" s="24"/>
      <c r="U21053" s="24"/>
      <c r="V21053" s="24"/>
      <c r="W21053" s="24"/>
      <c r="X21053" s="24"/>
      <c r="Y21053" s="24"/>
      <c r="Z21053" s="24"/>
      <c r="AA21053" s="24"/>
    </row>
    <row r="21054">
      <c r="A21054" s="24"/>
      <c r="B21054" s="25"/>
      <c r="C21054" s="24"/>
      <c r="D21054" s="26"/>
      <c r="E21054" s="24"/>
      <c r="F21054" s="24"/>
      <c r="G21054" s="24"/>
      <c r="H21054" s="24"/>
      <c r="I21054" s="24"/>
      <c r="J21054" s="24"/>
      <c r="K21054" s="24"/>
      <c r="L21054" s="24"/>
      <c r="M21054" s="24"/>
      <c r="N21054" s="24"/>
      <c r="O21054" s="24"/>
      <c r="P21054" s="24"/>
      <c r="Q21054" s="24"/>
      <c r="R21054" s="24"/>
      <c r="S21054" s="24"/>
      <c r="T21054" s="24"/>
      <c r="U21054" s="24"/>
      <c r="V21054" s="24"/>
      <c r="W21054" s="24"/>
      <c r="X21054" s="24"/>
      <c r="Y21054" s="24"/>
      <c r="Z21054" s="24"/>
      <c r="AA21054" s="24"/>
    </row>
    <row r="21055">
      <c r="A21055" s="24"/>
      <c r="B21055" s="25"/>
      <c r="C21055" s="24"/>
      <c r="D21055" s="26"/>
      <c r="E21055" s="24"/>
      <c r="F21055" s="24"/>
      <c r="G21055" s="24"/>
      <c r="H21055" s="24"/>
      <c r="I21055" s="24"/>
      <c r="J21055" s="24"/>
      <c r="K21055" s="24"/>
      <c r="L21055" s="24"/>
      <c r="M21055" s="24"/>
      <c r="N21055" s="24"/>
      <c r="O21055" s="24"/>
      <c r="P21055" s="24"/>
      <c r="Q21055" s="24"/>
      <c r="R21055" s="24"/>
      <c r="S21055" s="24"/>
      <c r="T21055" s="24"/>
      <c r="U21055" s="24"/>
      <c r="V21055" s="24"/>
      <c r="W21055" s="24"/>
      <c r="X21055" s="24"/>
      <c r="Y21055" s="24"/>
      <c r="Z21055" s="24"/>
      <c r="AA21055" s="24"/>
    </row>
    <row r="21056">
      <c r="A21056" s="24"/>
      <c r="B21056" s="25"/>
      <c r="C21056" s="24"/>
      <c r="D21056" s="26"/>
      <c r="E21056" s="24"/>
      <c r="F21056" s="24"/>
      <c r="G21056" s="24"/>
      <c r="H21056" s="24"/>
      <c r="I21056" s="24"/>
      <c r="J21056" s="24"/>
      <c r="K21056" s="24"/>
      <c r="L21056" s="24"/>
      <c r="M21056" s="24"/>
      <c r="N21056" s="24"/>
      <c r="O21056" s="24"/>
      <c r="P21056" s="24"/>
      <c r="Q21056" s="24"/>
      <c r="R21056" s="24"/>
      <c r="S21056" s="24"/>
      <c r="T21056" s="24"/>
      <c r="U21056" s="24"/>
      <c r="V21056" s="24"/>
      <c r="W21056" s="24"/>
      <c r="X21056" s="24"/>
      <c r="Y21056" s="24"/>
      <c r="Z21056" s="24"/>
      <c r="AA21056" s="24"/>
    </row>
    <row r="21057">
      <c r="A21057" s="24"/>
      <c r="B21057" s="25"/>
      <c r="C21057" s="24"/>
      <c r="D21057" s="26"/>
      <c r="E21057" s="24"/>
      <c r="F21057" s="24"/>
      <c r="G21057" s="24"/>
      <c r="H21057" s="24"/>
      <c r="I21057" s="24"/>
      <c r="J21057" s="24"/>
      <c r="K21057" s="24"/>
      <c r="L21057" s="24"/>
      <c r="M21057" s="24"/>
      <c r="N21057" s="24"/>
      <c r="O21057" s="24"/>
      <c r="P21057" s="24"/>
      <c r="Q21057" s="24"/>
      <c r="R21057" s="24"/>
      <c r="S21057" s="24"/>
      <c r="T21057" s="24"/>
      <c r="U21057" s="24"/>
      <c r="V21057" s="24"/>
      <c r="W21057" s="24"/>
      <c r="X21057" s="24"/>
      <c r="Y21057" s="24"/>
      <c r="Z21057" s="24"/>
      <c r="AA21057" s="24"/>
    </row>
    <row r="21058">
      <c r="A21058" s="24"/>
      <c r="B21058" s="25"/>
      <c r="C21058" s="24"/>
      <c r="D21058" s="26"/>
      <c r="E21058" s="24"/>
      <c r="F21058" s="24"/>
      <c r="G21058" s="24"/>
      <c r="H21058" s="24"/>
      <c r="I21058" s="24"/>
      <c r="J21058" s="24"/>
      <c r="K21058" s="24"/>
      <c r="L21058" s="24"/>
      <c r="M21058" s="24"/>
      <c r="N21058" s="24"/>
      <c r="O21058" s="24"/>
      <c r="P21058" s="24"/>
      <c r="Q21058" s="24"/>
      <c r="R21058" s="24"/>
      <c r="S21058" s="24"/>
      <c r="T21058" s="24"/>
      <c r="U21058" s="24"/>
      <c r="V21058" s="24"/>
      <c r="W21058" s="24"/>
      <c r="X21058" s="24"/>
      <c r="Y21058" s="24"/>
      <c r="Z21058" s="24"/>
      <c r="AA21058" s="24"/>
    </row>
    <row r="21059">
      <c r="A21059" s="24"/>
      <c r="B21059" s="25"/>
      <c r="C21059" s="24"/>
      <c r="D21059" s="26"/>
      <c r="E21059" s="24"/>
      <c r="F21059" s="24"/>
      <c r="G21059" s="24"/>
      <c r="H21059" s="24"/>
      <c r="I21059" s="24"/>
      <c r="J21059" s="24"/>
      <c r="K21059" s="24"/>
      <c r="L21059" s="24"/>
      <c r="M21059" s="24"/>
      <c r="N21059" s="24"/>
      <c r="O21059" s="24"/>
      <c r="P21059" s="24"/>
      <c r="Q21059" s="24"/>
      <c r="R21059" s="24"/>
      <c r="S21059" s="24"/>
      <c r="T21059" s="24"/>
      <c r="U21059" s="24"/>
      <c r="V21059" s="24"/>
      <c r="W21059" s="24"/>
      <c r="X21059" s="24"/>
      <c r="Y21059" s="24"/>
      <c r="Z21059" s="24"/>
      <c r="AA21059" s="24"/>
    </row>
    <row r="21060">
      <c r="A21060" s="24"/>
      <c r="B21060" s="25"/>
      <c r="C21060" s="24"/>
      <c r="D21060" s="26"/>
      <c r="E21060" s="24"/>
      <c r="F21060" s="24"/>
      <c r="G21060" s="24"/>
      <c r="H21060" s="24"/>
      <c r="I21060" s="24"/>
      <c r="J21060" s="24"/>
      <c r="K21060" s="24"/>
      <c r="L21060" s="24"/>
      <c r="M21060" s="24"/>
      <c r="N21060" s="24"/>
      <c r="O21060" s="24"/>
      <c r="P21060" s="24"/>
      <c r="Q21060" s="24"/>
      <c r="R21060" s="24"/>
      <c r="S21060" s="24"/>
      <c r="T21060" s="24"/>
      <c r="U21060" s="24"/>
      <c r="V21060" s="24"/>
      <c r="W21060" s="24"/>
      <c r="X21060" s="24"/>
      <c r="Y21060" s="24"/>
      <c r="Z21060" s="24"/>
      <c r="AA21060" s="24"/>
    </row>
    <row r="21061">
      <c r="A21061" s="24"/>
      <c r="B21061" s="25"/>
      <c r="C21061" s="24"/>
      <c r="D21061" s="26"/>
      <c r="E21061" s="24"/>
      <c r="F21061" s="24"/>
      <c r="G21061" s="24"/>
      <c r="H21061" s="24"/>
      <c r="I21061" s="24"/>
      <c r="J21061" s="24"/>
      <c r="K21061" s="24"/>
      <c r="L21061" s="24"/>
      <c r="M21061" s="24"/>
      <c r="N21061" s="24"/>
      <c r="O21061" s="24"/>
      <c r="P21061" s="24"/>
      <c r="Q21061" s="24"/>
      <c r="R21061" s="24"/>
      <c r="S21061" s="24"/>
      <c r="T21061" s="24"/>
      <c r="U21061" s="24"/>
      <c r="V21061" s="24"/>
      <c r="W21061" s="24"/>
      <c r="X21061" s="24"/>
      <c r="Y21061" s="24"/>
      <c r="Z21061" s="24"/>
      <c r="AA21061" s="24"/>
    </row>
    <row r="21062">
      <c r="A21062" s="24"/>
      <c r="B21062" s="25"/>
      <c r="C21062" s="24"/>
      <c r="D21062" s="26"/>
      <c r="E21062" s="24"/>
      <c r="F21062" s="24"/>
      <c r="G21062" s="24"/>
      <c r="H21062" s="24"/>
      <c r="I21062" s="24"/>
      <c r="J21062" s="24"/>
      <c r="K21062" s="24"/>
      <c r="L21062" s="24"/>
      <c r="M21062" s="24"/>
      <c r="N21062" s="24"/>
      <c r="O21062" s="24"/>
      <c r="P21062" s="24"/>
      <c r="Q21062" s="24"/>
      <c r="R21062" s="24"/>
      <c r="S21062" s="24"/>
      <c r="T21062" s="24"/>
      <c r="U21062" s="24"/>
      <c r="V21062" s="24"/>
      <c r="W21062" s="24"/>
      <c r="X21062" s="24"/>
      <c r="Y21062" s="24"/>
      <c r="Z21062" s="24"/>
      <c r="AA21062" s="24"/>
    </row>
    <row r="21063">
      <c r="A21063" s="24"/>
      <c r="B21063" s="25"/>
      <c r="C21063" s="24"/>
      <c r="D21063" s="26"/>
      <c r="E21063" s="24"/>
      <c r="F21063" s="24"/>
      <c r="G21063" s="24"/>
      <c r="H21063" s="24"/>
      <c r="I21063" s="24"/>
      <c r="J21063" s="24"/>
      <c r="K21063" s="24"/>
      <c r="L21063" s="24"/>
      <c r="M21063" s="24"/>
      <c r="N21063" s="24"/>
      <c r="O21063" s="24"/>
      <c r="P21063" s="24"/>
      <c r="Q21063" s="24"/>
      <c r="R21063" s="24"/>
      <c r="S21063" s="24"/>
      <c r="T21063" s="24"/>
      <c r="U21063" s="24"/>
      <c r="V21063" s="24"/>
      <c r="W21063" s="24"/>
      <c r="X21063" s="24"/>
      <c r="Y21063" s="24"/>
      <c r="Z21063" s="24"/>
      <c r="AA21063" s="24"/>
    </row>
    <row r="21064">
      <c r="A21064" s="24"/>
      <c r="B21064" s="25"/>
      <c r="C21064" s="24"/>
      <c r="D21064" s="26"/>
      <c r="E21064" s="24"/>
      <c r="F21064" s="24"/>
      <c r="G21064" s="24"/>
      <c r="H21064" s="24"/>
      <c r="I21064" s="24"/>
      <c r="J21064" s="24"/>
      <c r="K21064" s="24"/>
      <c r="L21064" s="24"/>
      <c r="M21064" s="24"/>
      <c r="N21064" s="24"/>
      <c r="O21064" s="24"/>
      <c r="P21064" s="24"/>
      <c r="Q21064" s="24"/>
      <c r="R21064" s="24"/>
      <c r="S21064" s="24"/>
      <c r="T21064" s="24"/>
      <c r="U21064" s="24"/>
      <c r="V21064" s="24"/>
      <c r="W21064" s="24"/>
      <c r="X21064" s="24"/>
      <c r="Y21064" s="24"/>
      <c r="Z21064" s="24"/>
      <c r="AA21064" s="24"/>
    </row>
    <row r="21065">
      <c r="A21065" s="24"/>
      <c r="B21065" s="25"/>
      <c r="C21065" s="24"/>
      <c r="D21065" s="26"/>
      <c r="E21065" s="24"/>
      <c r="F21065" s="24"/>
      <c r="G21065" s="24"/>
      <c r="H21065" s="24"/>
      <c r="I21065" s="24"/>
      <c r="J21065" s="24"/>
      <c r="K21065" s="24"/>
      <c r="L21065" s="24"/>
      <c r="M21065" s="24"/>
      <c r="N21065" s="24"/>
      <c r="O21065" s="24"/>
      <c r="P21065" s="24"/>
      <c r="Q21065" s="24"/>
      <c r="R21065" s="24"/>
      <c r="S21065" s="24"/>
      <c r="T21065" s="24"/>
      <c r="U21065" s="24"/>
      <c r="V21065" s="24"/>
      <c r="W21065" s="24"/>
      <c r="X21065" s="24"/>
      <c r="Y21065" s="24"/>
      <c r="Z21065" s="24"/>
      <c r="AA21065" s="24"/>
    </row>
    <row r="21066">
      <c r="A21066" s="24"/>
      <c r="B21066" s="25"/>
      <c r="C21066" s="24"/>
      <c r="D21066" s="26"/>
      <c r="E21066" s="24"/>
      <c r="F21066" s="24"/>
      <c r="G21066" s="24"/>
      <c r="H21066" s="24"/>
      <c r="I21066" s="24"/>
      <c r="J21066" s="24"/>
      <c r="K21066" s="24"/>
      <c r="L21066" s="24"/>
      <c r="M21066" s="24"/>
      <c r="N21066" s="24"/>
      <c r="O21066" s="24"/>
      <c r="P21066" s="24"/>
      <c r="Q21066" s="24"/>
      <c r="R21066" s="24"/>
      <c r="S21066" s="24"/>
      <c r="T21066" s="24"/>
      <c r="U21066" s="24"/>
      <c r="V21066" s="24"/>
      <c r="W21066" s="24"/>
      <c r="X21066" s="24"/>
      <c r="Y21066" s="24"/>
      <c r="Z21066" s="24"/>
      <c r="AA21066" s="24"/>
    </row>
    <row r="21067">
      <c r="A21067" s="24"/>
      <c r="B21067" s="25"/>
      <c r="C21067" s="24"/>
      <c r="D21067" s="26"/>
      <c r="E21067" s="24"/>
      <c r="F21067" s="24"/>
      <c r="G21067" s="24"/>
      <c r="H21067" s="24"/>
      <c r="I21067" s="24"/>
      <c r="J21067" s="24"/>
      <c r="K21067" s="24"/>
      <c r="L21067" s="24"/>
      <c r="M21067" s="24"/>
      <c r="N21067" s="24"/>
      <c r="O21067" s="24"/>
      <c r="P21067" s="24"/>
      <c r="Q21067" s="24"/>
      <c r="R21067" s="24"/>
      <c r="S21067" s="24"/>
      <c r="T21067" s="24"/>
      <c r="U21067" s="24"/>
      <c r="V21067" s="24"/>
      <c r="W21067" s="24"/>
      <c r="X21067" s="24"/>
      <c r="Y21067" s="24"/>
      <c r="Z21067" s="24"/>
      <c r="AA21067" s="24"/>
    </row>
    <row r="21068">
      <c r="A21068" s="24"/>
      <c r="B21068" s="25"/>
      <c r="C21068" s="24"/>
      <c r="D21068" s="26"/>
      <c r="E21068" s="24"/>
      <c r="F21068" s="24"/>
      <c r="G21068" s="24"/>
      <c r="H21068" s="24"/>
      <c r="I21068" s="24"/>
      <c r="J21068" s="24"/>
      <c r="K21068" s="24"/>
      <c r="L21068" s="24"/>
      <c r="M21068" s="24"/>
      <c r="N21068" s="24"/>
      <c r="O21068" s="24"/>
      <c r="P21068" s="24"/>
      <c r="Q21068" s="24"/>
      <c r="R21068" s="24"/>
      <c r="S21068" s="24"/>
      <c r="T21068" s="24"/>
      <c r="U21068" s="24"/>
      <c r="V21068" s="24"/>
      <c r="W21068" s="24"/>
      <c r="X21068" s="24"/>
      <c r="Y21068" s="24"/>
      <c r="Z21068" s="24"/>
      <c r="AA21068" s="24"/>
    </row>
    <row r="21069">
      <c r="A21069" s="24"/>
      <c r="B21069" s="25"/>
      <c r="C21069" s="24"/>
      <c r="D21069" s="26"/>
      <c r="E21069" s="24"/>
      <c r="F21069" s="24"/>
      <c r="G21069" s="24"/>
      <c r="H21069" s="24"/>
      <c r="I21069" s="24"/>
      <c r="J21069" s="24"/>
      <c r="K21069" s="24"/>
      <c r="L21069" s="24"/>
      <c r="M21069" s="24"/>
      <c r="N21069" s="24"/>
      <c r="O21069" s="24"/>
      <c r="P21069" s="24"/>
      <c r="Q21069" s="24"/>
      <c r="R21069" s="24"/>
      <c r="S21069" s="24"/>
      <c r="T21069" s="24"/>
      <c r="U21069" s="24"/>
      <c r="V21069" s="24"/>
      <c r="W21069" s="24"/>
      <c r="X21069" s="24"/>
      <c r="Y21069" s="24"/>
      <c r="Z21069" s="24"/>
      <c r="AA21069" s="24"/>
    </row>
    <row r="21070">
      <c r="A21070" s="24"/>
      <c r="B21070" s="25"/>
      <c r="C21070" s="24"/>
      <c r="D21070" s="26"/>
      <c r="E21070" s="24"/>
      <c r="F21070" s="24"/>
      <c r="G21070" s="24"/>
      <c r="H21070" s="24"/>
      <c r="I21070" s="24"/>
      <c r="J21070" s="24"/>
      <c r="K21070" s="24"/>
      <c r="L21070" s="24"/>
      <c r="M21070" s="24"/>
      <c r="N21070" s="24"/>
      <c r="O21070" s="24"/>
      <c r="P21070" s="24"/>
      <c r="Q21070" s="24"/>
      <c r="R21070" s="24"/>
      <c r="S21070" s="24"/>
      <c r="T21070" s="24"/>
      <c r="U21070" s="24"/>
      <c r="V21070" s="24"/>
      <c r="W21070" s="24"/>
      <c r="X21070" s="24"/>
      <c r="Y21070" s="24"/>
      <c r="Z21070" s="24"/>
      <c r="AA21070" s="24"/>
    </row>
    <row r="21071">
      <c r="A21071" s="24"/>
      <c r="B21071" s="25"/>
      <c r="C21071" s="24"/>
      <c r="D21071" s="26"/>
      <c r="E21071" s="24"/>
      <c r="F21071" s="24"/>
      <c r="G21071" s="24"/>
      <c r="H21071" s="24"/>
      <c r="I21071" s="24"/>
      <c r="J21071" s="24"/>
      <c r="K21071" s="24"/>
      <c r="L21071" s="24"/>
      <c r="M21071" s="24"/>
      <c r="N21071" s="24"/>
      <c r="O21071" s="24"/>
      <c r="P21071" s="24"/>
      <c r="Q21071" s="24"/>
      <c r="R21071" s="24"/>
      <c r="S21071" s="24"/>
      <c r="T21071" s="24"/>
      <c r="U21071" s="24"/>
      <c r="V21071" s="24"/>
      <c r="W21071" s="24"/>
      <c r="X21071" s="24"/>
      <c r="Y21071" s="24"/>
      <c r="Z21071" s="24"/>
      <c r="AA21071" s="24"/>
    </row>
    <row r="21072">
      <c r="A21072" s="24"/>
      <c r="B21072" s="25"/>
      <c r="C21072" s="24"/>
      <c r="D21072" s="26"/>
      <c r="E21072" s="24"/>
      <c r="F21072" s="24"/>
      <c r="G21072" s="24"/>
      <c r="H21072" s="24"/>
      <c r="I21072" s="24"/>
      <c r="J21072" s="24"/>
      <c r="K21072" s="24"/>
      <c r="L21072" s="24"/>
      <c r="M21072" s="24"/>
      <c r="N21072" s="24"/>
      <c r="O21072" s="24"/>
      <c r="P21072" s="24"/>
      <c r="Q21072" s="24"/>
      <c r="R21072" s="24"/>
      <c r="S21072" s="24"/>
      <c r="T21072" s="24"/>
      <c r="U21072" s="24"/>
      <c r="V21072" s="24"/>
      <c r="W21072" s="24"/>
      <c r="X21072" s="24"/>
      <c r="Y21072" s="24"/>
      <c r="Z21072" s="24"/>
      <c r="AA21072" s="24"/>
    </row>
    <row r="21073">
      <c r="A21073" s="24"/>
      <c r="B21073" s="25"/>
      <c r="C21073" s="24"/>
      <c r="D21073" s="26"/>
      <c r="E21073" s="24"/>
      <c r="F21073" s="24"/>
      <c r="G21073" s="24"/>
      <c r="H21073" s="24"/>
      <c r="I21073" s="24"/>
      <c r="J21073" s="24"/>
      <c r="K21073" s="24"/>
      <c r="L21073" s="24"/>
      <c r="M21073" s="24"/>
      <c r="N21073" s="24"/>
      <c r="O21073" s="24"/>
      <c r="P21073" s="24"/>
      <c r="Q21073" s="24"/>
      <c r="R21073" s="24"/>
      <c r="S21073" s="24"/>
      <c r="T21073" s="24"/>
      <c r="U21073" s="24"/>
      <c r="V21073" s="24"/>
      <c r="W21073" s="24"/>
      <c r="X21073" s="24"/>
      <c r="Y21073" s="24"/>
      <c r="Z21073" s="24"/>
      <c r="AA21073" s="24"/>
    </row>
    <row r="21074">
      <c r="A21074" s="24"/>
      <c r="B21074" s="25"/>
      <c r="C21074" s="24"/>
      <c r="D21074" s="26"/>
      <c r="E21074" s="24"/>
      <c r="F21074" s="24"/>
      <c r="G21074" s="24"/>
      <c r="H21074" s="24"/>
      <c r="I21074" s="24"/>
      <c r="J21074" s="24"/>
      <c r="K21074" s="24"/>
      <c r="L21074" s="24"/>
      <c r="M21074" s="24"/>
      <c r="N21074" s="24"/>
      <c r="O21074" s="24"/>
      <c r="P21074" s="24"/>
      <c r="Q21074" s="24"/>
      <c r="R21074" s="24"/>
      <c r="S21074" s="24"/>
      <c r="T21074" s="24"/>
      <c r="U21074" s="24"/>
      <c r="V21074" s="24"/>
      <c r="W21074" s="24"/>
      <c r="X21074" s="24"/>
      <c r="Y21074" s="24"/>
      <c r="Z21074" s="24"/>
      <c r="AA21074" s="24"/>
    </row>
    <row r="21075">
      <c r="A21075" s="24"/>
      <c r="B21075" s="25"/>
      <c r="C21075" s="24"/>
      <c r="D21075" s="26"/>
      <c r="E21075" s="24"/>
      <c r="F21075" s="24"/>
      <c r="G21075" s="24"/>
      <c r="H21075" s="24"/>
      <c r="I21075" s="24"/>
      <c r="J21075" s="24"/>
      <c r="K21075" s="24"/>
      <c r="L21075" s="24"/>
      <c r="M21075" s="24"/>
      <c r="N21075" s="24"/>
      <c r="O21075" s="24"/>
      <c r="P21075" s="24"/>
      <c r="Q21075" s="24"/>
      <c r="R21075" s="24"/>
      <c r="S21075" s="24"/>
      <c r="T21075" s="24"/>
      <c r="U21075" s="24"/>
      <c r="V21075" s="24"/>
      <c r="W21075" s="24"/>
      <c r="X21075" s="24"/>
      <c r="Y21075" s="24"/>
      <c r="Z21075" s="24"/>
      <c r="AA21075" s="24"/>
    </row>
    <row r="21076">
      <c r="A21076" s="24"/>
      <c r="B21076" s="25"/>
      <c r="C21076" s="24"/>
      <c r="D21076" s="26"/>
      <c r="E21076" s="24"/>
      <c r="F21076" s="24"/>
      <c r="G21076" s="24"/>
      <c r="H21076" s="24"/>
      <c r="I21076" s="24"/>
      <c r="J21076" s="24"/>
      <c r="K21076" s="24"/>
      <c r="L21076" s="24"/>
      <c r="M21076" s="24"/>
      <c r="N21076" s="24"/>
      <c r="O21076" s="24"/>
      <c r="P21076" s="24"/>
      <c r="Q21076" s="24"/>
      <c r="R21076" s="24"/>
      <c r="S21076" s="24"/>
      <c r="T21076" s="24"/>
      <c r="U21076" s="24"/>
      <c r="V21076" s="24"/>
      <c r="W21076" s="24"/>
      <c r="X21076" s="24"/>
      <c r="Y21076" s="24"/>
      <c r="Z21076" s="24"/>
      <c r="AA21076" s="24"/>
    </row>
    <row r="21077">
      <c r="A21077" s="24"/>
      <c r="B21077" s="25"/>
      <c r="C21077" s="24"/>
      <c r="D21077" s="26"/>
      <c r="E21077" s="24"/>
      <c r="F21077" s="24"/>
      <c r="G21077" s="24"/>
      <c r="H21077" s="24"/>
      <c r="I21077" s="24"/>
      <c r="J21077" s="24"/>
      <c r="K21077" s="24"/>
      <c r="L21077" s="24"/>
      <c r="M21077" s="24"/>
      <c r="N21077" s="24"/>
      <c r="O21077" s="24"/>
      <c r="P21077" s="24"/>
      <c r="Q21077" s="24"/>
      <c r="R21077" s="24"/>
      <c r="S21077" s="24"/>
      <c r="T21077" s="24"/>
      <c r="U21077" s="24"/>
      <c r="V21077" s="24"/>
      <c r="W21077" s="24"/>
      <c r="X21077" s="24"/>
      <c r="Y21077" s="24"/>
      <c r="Z21077" s="24"/>
      <c r="AA21077" s="24"/>
    </row>
    <row r="21078">
      <c r="A21078" s="24"/>
      <c r="B21078" s="25"/>
      <c r="C21078" s="24"/>
      <c r="D21078" s="26"/>
      <c r="E21078" s="24"/>
      <c r="F21078" s="24"/>
      <c r="G21078" s="24"/>
      <c r="H21078" s="24"/>
      <c r="I21078" s="24"/>
      <c r="J21078" s="24"/>
      <c r="K21078" s="24"/>
      <c r="L21078" s="24"/>
      <c r="M21078" s="24"/>
      <c r="N21078" s="24"/>
      <c r="O21078" s="24"/>
      <c r="P21078" s="24"/>
      <c r="Q21078" s="24"/>
      <c r="R21078" s="24"/>
      <c r="S21078" s="24"/>
      <c r="T21078" s="24"/>
      <c r="U21078" s="24"/>
      <c r="V21078" s="24"/>
      <c r="W21078" s="24"/>
      <c r="X21078" s="24"/>
      <c r="Y21078" s="24"/>
      <c r="Z21078" s="24"/>
      <c r="AA21078" s="24"/>
    </row>
    <row r="21079">
      <c r="A21079" s="24"/>
      <c r="B21079" s="25"/>
      <c r="C21079" s="24"/>
      <c r="D21079" s="26"/>
      <c r="E21079" s="24"/>
      <c r="F21079" s="24"/>
      <c r="G21079" s="24"/>
      <c r="H21079" s="24"/>
      <c r="I21079" s="24"/>
      <c r="J21079" s="24"/>
      <c r="K21079" s="24"/>
      <c r="L21079" s="24"/>
      <c r="M21079" s="24"/>
      <c r="N21079" s="24"/>
      <c r="O21079" s="24"/>
      <c r="P21079" s="24"/>
      <c r="Q21079" s="24"/>
      <c r="R21079" s="24"/>
      <c r="S21079" s="24"/>
      <c r="T21079" s="24"/>
      <c r="U21079" s="24"/>
      <c r="V21079" s="24"/>
      <c r="W21079" s="24"/>
      <c r="X21079" s="24"/>
      <c r="Y21079" s="24"/>
      <c r="Z21079" s="24"/>
      <c r="AA21079" s="24"/>
    </row>
    <row r="21080">
      <c r="A21080" s="24"/>
      <c r="B21080" s="25"/>
      <c r="C21080" s="24"/>
      <c r="D21080" s="26"/>
      <c r="E21080" s="24"/>
      <c r="F21080" s="24"/>
      <c r="G21080" s="24"/>
      <c r="H21080" s="24"/>
      <c r="I21080" s="24"/>
      <c r="J21080" s="24"/>
      <c r="K21080" s="24"/>
      <c r="L21080" s="24"/>
      <c r="M21080" s="24"/>
      <c r="N21080" s="24"/>
      <c r="O21080" s="24"/>
      <c r="P21080" s="24"/>
      <c r="Q21080" s="24"/>
      <c r="R21080" s="24"/>
      <c r="S21080" s="24"/>
      <c r="T21080" s="24"/>
      <c r="U21080" s="24"/>
      <c r="V21080" s="24"/>
      <c r="W21080" s="24"/>
      <c r="X21080" s="24"/>
      <c r="Y21080" s="24"/>
      <c r="Z21080" s="24"/>
      <c r="AA21080" s="24"/>
    </row>
    <row r="21081">
      <c r="A21081" s="24"/>
      <c r="B21081" s="25"/>
      <c r="C21081" s="24"/>
      <c r="D21081" s="26"/>
      <c r="E21081" s="24"/>
      <c r="F21081" s="24"/>
      <c r="G21081" s="24"/>
      <c r="H21081" s="24"/>
      <c r="I21081" s="24"/>
      <c r="J21081" s="24"/>
      <c r="K21081" s="24"/>
      <c r="L21081" s="24"/>
      <c r="M21081" s="24"/>
      <c r="N21081" s="24"/>
      <c r="O21081" s="24"/>
      <c r="P21081" s="24"/>
      <c r="Q21081" s="24"/>
      <c r="R21081" s="24"/>
      <c r="S21081" s="24"/>
      <c r="T21081" s="24"/>
      <c r="U21081" s="24"/>
      <c r="V21081" s="24"/>
      <c r="W21081" s="24"/>
      <c r="X21081" s="24"/>
      <c r="Y21081" s="24"/>
      <c r="Z21081" s="24"/>
      <c r="AA21081" s="24"/>
    </row>
    <row r="21082">
      <c r="A21082" s="24"/>
      <c r="B21082" s="25"/>
      <c r="C21082" s="24"/>
      <c r="D21082" s="26"/>
      <c r="E21082" s="24"/>
      <c r="F21082" s="24"/>
      <c r="G21082" s="24"/>
      <c r="H21082" s="24"/>
      <c r="I21082" s="24"/>
      <c r="J21082" s="24"/>
      <c r="K21082" s="24"/>
      <c r="L21082" s="24"/>
      <c r="M21082" s="24"/>
      <c r="N21082" s="24"/>
      <c r="O21082" s="24"/>
      <c r="P21082" s="24"/>
      <c r="Q21082" s="24"/>
      <c r="R21082" s="24"/>
      <c r="S21082" s="24"/>
      <c r="T21082" s="24"/>
      <c r="U21082" s="24"/>
      <c r="V21082" s="24"/>
      <c r="W21082" s="24"/>
      <c r="X21082" s="24"/>
      <c r="Y21082" s="24"/>
      <c r="Z21082" s="24"/>
      <c r="AA21082" s="24"/>
    </row>
    <row r="21083">
      <c r="A21083" s="24"/>
      <c r="B21083" s="25"/>
      <c r="C21083" s="24"/>
      <c r="D21083" s="26"/>
      <c r="E21083" s="24"/>
      <c r="F21083" s="24"/>
      <c r="G21083" s="24"/>
      <c r="H21083" s="24"/>
      <c r="I21083" s="24"/>
      <c r="J21083" s="24"/>
      <c r="K21083" s="24"/>
      <c r="L21083" s="24"/>
      <c r="M21083" s="24"/>
      <c r="N21083" s="24"/>
      <c r="O21083" s="24"/>
      <c r="P21083" s="24"/>
      <c r="Q21083" s="24"/>
      <c r="R21083" s="24"/>
      <c r="S21083" s="24"/>
      <c r="T21083" s="24"/>
      <c r="U21083" s="24"/>
      <c r="V21083" s="24"/>
      <c r="W21083" s="24"/>
      <c r="X21083" s="24"/>
      <c r="Y21083" s="24"/>
      <c r="Z21083" s="24"/>
      <c r="AA21083" s="24"/>
    </row>
    <row r="21084">
      <c r="A21084" s="24"/>
      <c r="B21084" s="25"/>
      <c r="C21084" s="24"/>
      <c r="D21084" s="26"/>
      <c r="E21084" s="24"/>
      <c r="F21084" s="24"/>
      <c r="G21084" s="24"/>
      <c r="H21084" s="24"/>
      <c r="I21084" s="24"/>
      <c r="J21084" s="24"/>
      <c r="K21084" s="24"/>
      <c r="L21084" s="24"/>
      <c r="M21084" s="24"/>
      <c r="N21084" s="24"/>
      <c r="O21084" s="24"/>
      <c r="P21084" s="24"/>
      <c r="Q21084" s="24"/>
      <c r="R21084" s="24"/>
      <c r="S21084" s="24"/>
      <c r="T21084" s="24"/>
      <c r="U21084" s="24"/>
      <c r="V21084" s="24"/>
      <c r="W21084" s="24"/>
      <c r="X21084" s="24"/>
      <c r="Y21084" s="24"/>
      <c r="Z21084" s="24"/>
      <c r="AA21084" s="24"/>
    </row>
    <row r="21085">
      <c r="A21085" s="24"/>
      <c r="B21085" s="25"/>
      <c r="C21085" s="24"/>
      <c r="D21085" s="26"/>
      <c r="E21085" s="24"/>
      <c r="F21085" s="24"/>
      <c r="G21085" s="24"/>
      <c r="H21085" s="24"/>
      <c r="I21085" s="24"/>
      <c r="J21085" s="24"/>
      <c r="K21085" s="24"/>
      <c r="L21085" s="24"/>
      <c r="M21085" s="24"/>
      <c r="N21085" s="24"/>
      <c r="O21085" s="24"/>
      <c r="P21085" s="24"/>
      <c r="Q21085" s="24"/>
      <c r="R21085" s="24"/>
      <c r="S21085" s="24"/>
      <c r="T21085" s="24"/>
      <c r="U21085" s="24"/>
      <c r="V21085" s="24"/>
      <c r="W21085" s="24"/>
      <c r="X21085" s="24"/>
      <c r="Y21085" s="24"/>
      <c r="Z21085" s="24"/>
      <c r="AA21085" s="24"/>
    </row>
    <row r="21086">
      <c r="A21086" s="24"/>
      <c r="B21086" s="25"/>
      <c r="C21086" s="24"/>
      <c r="D21086" s="26"/>
      <c r="E21086" s="24"/>
      <c r="F21086" s="24"/>
      <c r="G21086" s="24"/>
      <c r="H21086" s="24"/>
      <c r="I21086" s="24"/>
      <c r="J21086" s="24"/>
      <c r="K21086" s="24"/>
      <c r="L21086" s="24"/>
      <c r="M21086" s="24"/>
      <c r="N21086" s="24"/>
      <c r="O21086" s="24"/>
      <c r="P21086" s="24"/>
      <c r="Q21086" s="24"/>
      <c r="R21086" s="24"/>
      <c r="S21086" s="24"/>
      <c r="T21086" s="24"/>
      <c r="U21086" s="24"/>
      <c r="V21086" s="24"/>
      <c r="W21086" s="24"/>
      <c r="X21086" s="24"/>
      <c r="Y21086" s="24"/>
      <c r="Z21086" s="24"/>
      <c r="AA21086" s="24"/>
    </row>
    <row r="21087">
      <c r="A21087" s="24"/>
      <c r="B21087" s="25"/>
      <c r="C21087" s="24"/>
      <c r="D21087" s="26"/>
      <c r="E21087" s="24"/>
      <c r="F21087" s="24"/>
      <c r="G21087" s="24"/>
      <c r="H21087" s="24"/>
      <c r="I21087" s="24"/>
      <c r="J21087" s="24"/>
      <c r="K21087" s="24"/>
      <c r="L21087" s="24"/>
      <c r="M21087" s="24"/>
      <c r="N21087" s="24"/>
      <c r="O21087" s="24"/>
      <c r="P21087" s="24"/>
      <c r="Q21087" s="24"/>
      <c r="R21087" s="24"/>
      <c r="S21087" s="24"/>
      <c r="T21087" s="24"/>
      <c r="U21087" s="24"/>
      <c r="V21087" s="24"/>
      <c r="W21087" s="24"/>
      <c r="X21087" s="24"/>
      <c r="Y21087" s="24"/>
      <c r="Z21087" s="24"/>
      <c r="AA21087" s="24"/>
    </row>
    <row r="21088">
      <c r="A21088" s="24"/>
      <c r="B21088" s="25"/>
      <c r="C21088" s="24"/>
      <c r="D21088" s="26"/>
      <c r="E21088" s="24"/>
      <c r="F21088" s="24"/>
      <c r="G21088" s="24"/>
      <c r="H21088" s="24"/>
      <c r="I21088" s="24"/>
      <c r="J21088" s="24"/>
      <c r="K21088" s="24"/>
      <c r="L21088" s="24"/>
      <c r="M21088" s="24"/>
      <c r="N21088" s="24"/>
      <c r="O21088" s="24"/>
      <c r="P21088" s="24"/>
      <c r="Q21088" s="24"/>
      <c r="R21088" s="24"/>
      <c r="S21088" s="24"/>
      <c r="T21088" s="24"/>
      <c r="U21088" s="24"/>
      <c r="V21088" s="24"/>
      <c r="W21088" s="24"/>
      <c r="X21088" s="24"/>
      <c r="Y21088" s="24"/>
      <c r="Z21088" s="24"/>
      <c r="AA21088" s="24"/>
    </row>
    <row r="21089">
      <c r="A21089" s="24"/>
      <c r="B21089" s="25"/>
      <c r="C21089" s="24"/>
      <c r="D21089" s="26"/>
      <c r="E21089" s="24"/>
      <c r="F21089" s="24"/>
      <c r="G21089" s="24"/>
      <c r="H21089" s="24"/>
      <c r="I21089" s="24"/>
      <c r="J21089" s="24"/>
      <c r="K21089" s="24"/>
      <c r="L21089" s="24"/>
      <c r="M21089" s="24"/>
      <c r="N21089" s="24"/>
      <c r="O21089" s="24"/>
      <c r="P21089" s="24"/>
      <c r="Q21089" s="24"/>
      <c r="R21089" s="24"/>
      <c r="S21089" s="24"/>
      <c r="T21089" s="24"/>
      <c r="U21089" s="24"/>
      <c r="V21089" s="24"/>
      <c r="W21089" s="24"/>
      <c r="X21089" s="24"/>
      <c r="Y21089" s="24"/>
      <c r="Z21089" s="24"/>
      <c r="AA21089" s="24"/>
    </row>
    <row r="21090">
      <c r="A21090" s="24"/>
      <c r="B21090" s="25"/>
      <c r="C21090" s="24"/>
      <c r="D21090" s="26"/>
      <c r="E21090" s="24"/>
      <c r="F21090" s="24"/>
      <c r="G21090" s="24"/>
      <c r="H21090" s="24"/>
      <c r="I21090" s="24"/>
      <c r="J21090" s="24"/>
      <c r="K21090" s="24"/>
      <c r="L21090" s="24"/>
      <c r="M21090" s="24"/>
      <c r="N21090" s="24"/>
      <c r="O21090" s="24"/>
      <c r="P21090" s="24"/>
      <c r="Q21090" s="24"/>
      <c r="R21090" s="24"/>
      <c r="S21090" s="24"/>
      <c r="T21090" s="24"/>
      <c r="U21090" s="24"/>
      <c r="V21090" s="24"/>
      <c r="W21090" s="24"/>
      <c r="X21090" s="24"/>
      <c r="Y21090" s="24"/>
      <c r="Z21090" s="24"/>
      <c r="AA21090" s="24"/>
    </row>
    <row r="21091">
      <c r="A21091" s="24"/>
      <c r="B21091" s="25"/>
      <c r="C21091" s="24"/>
      <c r="D21091" s="26"/>
      <c r="E21091" s="24"/>
      <c r="F21091" s="24"/>
      <c r="G21091" s="24"/>
      <c r="H21091" s="24"/>
      <c r="I21091" s="24"/>
      <c r="J21091" s="24"/>
      <c r="K21091" s="24"/>
      <c r="L21091" s="24"/>
      <c r="M21091" s="24"/>
      <c r="N21091" s="24"/>
      <c r="O21091" s="24"/>
      <c r="P21091" s="24"/>
      <c r="Q21091" s="24"/>
      <c r="R21091" s="24"/>
      <c r="S21091" s="24"/>
      <c r="T21091" s="24"/>
      <c r="U21091" s="24"/>
      <c r="V21091" s="24"/>
      <c r="W21091" s="24"/>
      <c r="X21091" s="24"/>
      <c r="Y21091" s="24"/>
      <c r="Z21091" s="24"/>
      <c r="AA21091" s="24"/>
    </row>
    <row r="21092">
      <c r="A21092" s="24"/>
      <c r="B21092" s="25"/>
      <c r="C21092" s="24"/>
      <c r="D21092" s="26"/>
      <c r="E21092" s="24"/>
      <c r="F21092" s="24"/>
      <c r="G21092" s="24"/>
      <c r="H21092" s="24"/>
      <c r="I21092" s="24"/>
      <c r="J21092" s="24"/>
      <c r="K21092" s="24"/>
      <c r="L21092" s="24"/>
      <c r="M21092" s="24"/>
      <c r="N21092" s="24"/>
      <c r="O21092" s="24"/>
      <c r="P21092" s="24"/>
      <c r="Q21092" s="24"/>
      <c r="R21092" s="24"/>
      <c r="S21092" s="24"/>
      <c r="T21092" s="24"/>
      <c r="U21092" s="24"/>
      <c r="V21092" s="24"/>
      <c r="W21092" s="24"/>
      <c r="X21092" s="24"/>
      <c r="Y21092" s="24"/>
      <c r="Z21092" s="24"/>
      <c r="AA21092" s="24"/>
    </row>
    <row r="21093">
      <c r="A21093" s="24"/>
      <c r="B21093" s="25"/>
      <c r="C21093" s="24"/>
      <c r="D21093" s="26"/>
      <c r="E21093" s="24"/>
      <c r="F21093" s="24"/>
      <c r="G21093" s="24"/>
      <c r="H21093" s="24"/>
      <c r="I21093" s="24"/>
      <c r="J21093" s="24"/>
      <c r="K21093" s="24"/>
      <c r="L21093" s="24"/>
      <c r="M21093" s="24"/>
      <c r="N21093" s="24"/>
      <c r="O21093" s="24"/>
      <c r="P21093" s="24"/>
      <c r="Q21093" s="24"/>
      <c r="R21093" s="24"/>
      <c r="S21093" s="24"/>
      <c r="T21093" s="24"/>
      <c r="U21093" s="24"/>
      <c r="V21093" s="24"/>
      <c r="W21093" s="24"/>
      <c r="X21093" s="24"/>
      <c r="Y21093" s="24"/>
      <c r="Z21093" s="24"/>
      <c r="AA21093" s="24"/>
    </row>
    <row r="21094">
      <c r="A21094" s="24"/>
      <c r="B21094" s="25"/>
      <c r="C21094" s="24"/>
      <c r="D21094" s="26"/>
      <c r="E21094" s="24"/>
      <c r="F21094" s="24"/>
      <c r="G21094" s="24"/>
      <c r="H21094" s="24"/>
      <c r="I21094" s="24"/>
      <c r="J21094" s="24"/>
      <c r="K21094" s="24"/>
      <c r="L21094" s="24"/>
      <c r="M21094" s="24"/>
      <c r="N21094" s="24"/>
      <c r="O21094" s="24"/>
      <c r="P21094" s="24"/>
      <c r="Q21094" s="24"/>
      <c r="R21094" s="24"/>
      <c r="S21094" s="24"/>
      <c r="T21094" s="24"/>
      <c r="U21094" s="24"/>
      <c r="V21094" s="24"/>
      <c r="W21094" s="24"/>
      <c r="X21094" s="24"/>
      <c r="Y21094" s="24"/>
      <c r="Z21094" s="24"/>
      <c r="AA21094" s="24"/>
    </row>
    <row r="21095">
      <c r="A21095" s="24"/>
      <c r="B21095" s="25"/>
      <c r="C21095" s="24"/>
      <c r="D21095" s="26"/>
      <c r="E21095" s="24"/>
      <c r="F21095" s="24"/>
      <c r="G21095" s="24"/>
      <c r="H21095" s="24"/>
      <c r="I21095" s="24"/>
      <c r="J21095" s="24"/>
      <c r="K21095" s="24"/>
      <c r="L21095" s="24"/>
      <c r="M21095" s="24"/>
      <c r="N21095" s="24"/>
      <c r="O21095" s="24"/>
      <c r="P21095" s="24"/>
      <c r="Q21095" s="24"/>
      <c r="R21095" s="24"/>
      <c r="S21095" s="24"/>
      <c r="T21095" s="24"/>
      <c r="U21095" s="24"/>
      <c r="V21095" s="24"/>
      <c r="W21095" s="24"/>
      <c r="X21095" s="24"/>
      <c r="Y21095" s="24"/>
      <c r="Z21095" s="24"/>
      <c r="AA21095" s="24"/>
    </row>
    <row r="21096">
      <c r="A21096" s="24"/>
      <c r="B21096" s="25"/>
      <c r="C21096" s="24"/>
      <c r="D21096" s="26"/>
      <c r="E21096" s="24"/>
      <c r="F21096" s="24"/>
      <c r="G21096" s="24"/>
      <c r="H21096" s="24"/>
      <c r="I21096" s="24"/>
      <c r="J21096" s="24"/>
      <c r="K21096" s="24"/>
      <c r="L21096" s="24"/>
      <c r="M21096" s="24"/>
      <c r="N21096" s="24"/>
      <c r="O21096" s="24"/>
      <c r="P21096" s="24"/>
      <c r="Q21096" s="24"/>
      <c r="R21096" s="24"/>
      <c r="S21096" s="24"/>
      <c r="T21096" s="24"/>
      <c r="U21096" s="24"/>
      <c r="V21096" s="24"/>
      <c r="W21096" s="24"/>
      <c r="X21096" s="24"/>
      <c r="Y21096" s="24"/>
      <c r="Z21096" s="24"/>
      <c r="AA21096" s="24"/>
    </row>
    <row r="21097">
      <c r="A21097" s="24"/>
      <c r="B21097" s="25"/>
      <c r="C21097" s="24"/>
      <c r="D21097" s="26"/>
      <c r="E21097" s="24"/>
      <c r="F21097" s="24"/>
      <c r="G21097" s="24"/>
      <c r="H21097" s="24"/>
      <c r="I21097" s="24"/>
      <c r="J21097" s="24"/>
      <c r="K21097" s="24"/>
      <c r="L21097" s="24"/>
      <c r="M21097" s="24"/>
      <c r="N21097" s="24"/>
      <c r="O21097" s="24"/>
      <c r="P21097" s="24"/>
      <c r="Q21097" s="24"/>
      <c r="R21097" s="24"/>
      <c r="S21097" s="24"/>
      <c r="T21097" s="24"/>
      <c r="U21097" s="24"/>
      <c r="V21097" s="24"/>
      <c r="W21097" s="24"/>
      <c r="X21097" s="24"/>
      <c r="Y21097" s="24"/>
      <c r="Z21097" s="24"/>
      <c r="AA21097" s="24"/>
    </row>
    <row r="21098">
      <c r="A21098" s="24"/>
      <c r="B21098" s="25"/>
      <c r="C21098" s="24"/>
      <c r="D21098" s="26"/>
      <c r="E21098" s="24"/>
      <c r="F21098" s="24"/>
      <c r="G21098" s="24"/>
      <c r="H21098" s="24"/>
      <c r="I21098" s="24"/>
      <c r="J21098" s="24"/>
      <c r="K21098" s="24"/>
      <c r="L21098" s="24"/>
      <c r="M21098" s="24"/>
      <c r="N21098" s="24"/>
      <c r="O21098" s="24"/>
      <c r="P21098" s="24"/>
      <c r="Q21098" s="24"/>
      <c r="R21098" s="24"/>
      <c r="S21098" s="24"/>
      <c r="T21098" s="24"/>
      <c r="U21098" s="24"/>
      <c r="V21098" s="24"/>
      <c r="W21098" s="24"/>
      <c r="X21098" s="24"/>
      <c r="Y21098" s="24"/>
      <c r="Z21098" s="24"/>
      <c r="AA21098" s="24"/>
    </row>
    <row r="21099">
      <c r="A21099" s="24"/>
      <c r="B21099" s="25"/>
      <c r="C21099" s="24"/>
      <c r="D21099" s="26"/>
      <c r="E21099" s="24"/>
      <c r="F21099" s="24"/>
      <c r="G21099" s="24"/>
      <c r="H21099" s="24"/>
      <c r="I21099" s="24"/>
      <c r="J21099" s="24"/>
      <c r="K21099" s="24"/>
      <c r="L21099" s="24"/>
      <c r="M21099" s="24"/>
      <c r="N21099" s="24"/>
      <c r="O21099" s="24"/>
      <c r="P21099" s="24"/>
      <c r="Q21099" s="24"/>
      <c r="R21099" s="24"/>
      <c r="S21099" s="24"/>
      <c r="T21099" s="24"/>
      <c r="U21099" s="24"/>
      <c r="V21099" s="24"/>
      <c r="W21099" s="24"/>
      <c r="X21099" s="24"/>
      <c r="Y21099" s="24"/>
      <c r="Z21099" s="24"/>
      <c r="AA21099" s="24"/>
    </row>
    <row r="21100">
      <c r="A21100" s="24"/>
      <c r="B21100" s="25"/>
      <c r="C21100" s="24"/>
      <c r="D21100" s="26"/>
      <c r="E21100" s="24"/>
      <c r="F21100" s="24"/>
      <c r="G21100" s="24"/>
      <c r="H21100" s="24"/>
      <c r="I21100" s="24"/>
      <c r="J21100" s="24"/>
      <c r="K21100" s="24"/>
      <c r="L21100" s="24"/>
      <c r="M21100" s="24"/>
      <c r="N21100" s="24"/>
      <c r="O21100" s="24"/>
      <c r="P21100" s="24"/>
      <c r="Q21100" s="24"/>
      <c r="R21100" s="24"/>
      <c r="S21100" s="24"/>
      <c r="T21100" s="24"/>
      <c r="U21100" s="24"/>
      <c r="V21100" s="24"/>
      <c r="W21100" s="24"/>
      <c r="X21100" s="24"/>
      <c r="Y21100" s="24"/>
      <c r="Z21100" s="24"/>
      <c r="AA21100" s="24"/>
    </row>
    <row r="21101">
      <c r="A21101" s="24"/>
      <c r="B21101" s="25"/>
      <c r="C21101" s="24"/>
      <c r="D21101" s="26"/>
      <c r="E21101" s="24"/>
      <c r="F21101" s="24"/>
      <c r="G21101" s="24"/>
      <c r="H21101" s="24"/>
      <c r="I21101" s="24"/>
      <c r="J21101" s="24"/>
      <c r="K21101" s="24"/>
      <c r="L21101" s="24"/>
      <c r="M21101" s="24"/>
      <c r="N21101" s="24"/>
      <c r="O21101" s="24"/>
      <c r="P21101" s="24"/>
      <c r="Q21101" s="24"/>
      <c r="R21101" s="24"/>
      <c r="S21101" s="24"/>
      <c r="T21101" s="24"/>
      <c r="U21101" s="24"/>
      <c r="V21101" s="24"/>
      <c r="W21101" s="24"/>
      <c r="X21101" s="24"/>
      <c r="Y21101" s="24"/>
      <c r="Z21101" s="24"/>
      <c r="AA21101" s="24"/>
    </row>
    <row r="21102">
      <c r="A21102" s="24"/>
      <c r="B21102" s="25"/>
      <c r="C21102" s="24"/>
      <c r="D21102" s="26"/>
      <c r="E21102" s="24"/>
      <c r="F21102" s="24"/>
      <c r="G21102" s="24"/>
      <c r="H21102" s="24"/>
      <c r="I21102" s="24"/>
      <c r="J21102" s="24"/>
      <c r="K21102" s="24"/>
      <c r="L21102" s="24"/>
      <c r="M21102" s="24"/>
      <c r="N21102" s="24"/>
      <c r="O21102" s="24"/>
      <c r="P21102" s="24"/>
      <c r="Q21102" s="24"/>
      <c r="R21102" s="24"/>
      <c r="S21102" s="24"/>
      <c r="T21102" s="24"/>
      <c r="U21102" s="24"/>
      <c r="V21102" s="24"/>
      <c r="W21102" s="24"/>
      <c r="X21102" s="24"/>
      <c r="Y21102" s="24"/>
      <c r="Z21102" s="24"/>
      <c r="AA21102" s="24"/>
    </row>
    <row r="21103">
      <c r="A21103" s="24"/>
      <c r="B21103" s="25"/>
      <c r="C21103" s="24"/>
      <c r="D21103" s="26"/>
      <c r="E21103" s="24"/>
      <c r="F21103" s="24"/>
      <c r="G21103" s="24"/>
      <c r="H21103" s="24"/>
      <c r="I21103" s="24"/>
      <c r="J21103" s="24"/>
      <c r="K21103" s="24"/>
      <c r="L21103" s="24"/>
      <c r="M21103" s="24"/>
      <c r="N21103" s="24"/>
      <c r="O21103" s="24"/>
      <c r="P21103" s="24"/>
      <c r="Q21103" s="24"/>
      <c r="R21103" s="24"/>
      <c r="S21103" s="24"/>
      <c r="T21103" s="24"/>
      <c r="U21103" s="24"/>
      <c r="V21103" s="24"/>
      <c r="W21103" s="24"/>
      <c r="X21103" s="24"/>
      <c r="Y21103" s="24"/>
      <c r="Z21103" s="24"/>
      <c r="AA21103" s="24"/>
    </row>
    <row r="21104">
      <c r="A21104" s="24"/>
      <c r="B21104" s="25"/>
      <c r="C21104" s="24"/>
      <c r="D21104" s="26"/>
      <c r="E21104" s="24"/>
      <c r="F21104" s="24"/>
      <c r="G21104" s="24"/>
      <c r="H21104" s="24"/>
      <c r="I21104" s="24"/>
      <c r="J21104" s="24"/>
      <c r="K21104" s="24"/>
      <c r="L21104" s="24"/>
      <c r="M21104" s="24"/>
      <c r="N21104" s="24"/>
      <c r="O21104" s="24"/>
      <c r="P21104" s="24"/>
      <c r="Q21104" s="24"/>
      <c r="R21104" s="24"/>
      <c r="S21104" s="24"/>
      <c r="T21104" s="24"/>
      <c r="U21104" s="24"/>
      <c r="V21104" s="24"/>
      <c r="W21104" s="24"/>
      <c r="X21104" s="24"/>
      <c r="Y21104" s="24"/>
      <c r="Z21104" s="24"/>
      <c r="AA21104" s="24"/>
    </row>
    <row r="21105">
      <c r="A21105" s="24"/>
      <c r="B21105" s="25"/>
      <c r="C21105" s="24"/>
      <c r="D21105" s="26"/>
      <c r="E21105" s="24"/>
      <c r="F21105" s="24"/>
      <c r="G21105" s="24"/>
      <c r="H21105" s="24"/>
      <c r="I21105" s="24"/>
      <c r="J21105" s="24"/>
      <c r="K21105" s="24"/>
      <c r="L21105" s="24"/>
      <c r="M21105" s="24"/>
      <c r="N21105" s="24"/>
      <c r="O21105" s="24"/>
      <c r="P21105" s="24"/>
      <c r="Q21105" s="24"/>
      <c r="R21105" s="24"/>
      <c r="S21105" s="24"/>
      <c r="T21105" s="24"/>
      <c r="U21105" s="24"/>
      <c r="V21105" s="24"/>
      <c r="W21105" s="24"/>
      <c r="X21105" s="24"/>
      <c r="Y21105" s="24"/>
      <c r="Z21105" s="24"/>
      <c r="AA21105" s="24"/>
    </row>
    <row r="21106">
      <c r="A21106" s="24"/>
      <c r="B21106" s="25"/>
      <c r="C21106" s="24"/>
      <c r="D21106" s="26"/>
      <c r="E21106" s="24"/>
      <c r="F21106" s="24"/>
      <c r="G21106" s="24"/>
      <c r="H21106" s="24"/>
      <c r="I21106" s="24"/>
      <c r="J21106" s="24"/>
      <c r="K21106" s="24"/>
      <c r="L21106" s="24"/>
      <c r="M21106" s="24"/>
      <c r="N21106" s="24"/>
      <c r="O21106" s="24"/>
      <c r="P21106" s="24"/>
      <c r="Q21106" s="24"/>
      <c r="R21106" s="24"/>
      <c r="S21106" s="24"/>
      <c r="T21106" s="24"/>
      <c r="U21106" s="24"/>
      <c r="V21106" s="24"/>
      <c r="W21106" s="24"/>
      <c r="X21106" s="24"/>
      <c r="Y21106" s="24"/>
      <c r="Z21106" s="24"/>
      <c r="AA21106" s="24"/>
    </row>
    <row r="21107">
      <c r="A21107" s="24"/>
      <c r="B21107" s="25"/>
      <c r="C21107" s="24"/>
      <c r="D21107" s="26"/>
      <c r="E21107" s="24"/>
      <c r="F21107" s="24"/>
      <c r="G21107" s="24"/>
      <c r="H21107" s="24"/>
      <c r="I21107" s="24"/>
      <c r="J21107" s="24"/>
      <c r="K21107" s="24"/>
      <c r="L21107" s="24"/>
      <c r="M21107" s="24"/>
      <c r="N21107" s="24"/>
      <c r="O21107" s="24"/>
      <c r="P21107" s="24"/>
      <c r="Q21107" s="24"/>
      <c r="R21107" s="24"/>
      <c r="S21107" s="24"/>
      <c r="T21107" s="24"/>
      <c r="U21107" s="24"/>
      <c r="V21107" s="24"/>
      <c r="W21107" s="24"/>
      <c r="X21107" s="24"/>
      <c r="Y21107" s="24"/>
      <c r="Z21107" s="24"/>
      <c r="AA21107" s="24"/>
    </row>
    <row r="21108">
      <c r="A21108" s="24"/>
      <c r="B21108" s="25"/>
      <c r="C21108" s="24"/>
      <c r="D21108" s="26"/>
      <c r="E21108" s="24"/>
      <c r="F21108" s="24"/>
      <c r="G21108" s="24"/>
      <c r="H21108" s="24"/>
      <c r="I21108" s="24"/>
      <c r="J21108" s="24"/>
      <c r="K21108" s="24"/>
      <c r="L21108" s="24"/>
      <c r="M21108" s="24"/>
      <c r="N21108" s="24"/>
      <c r="O21108" s="24"/>
      <c r="P21108" s="24"/>
      <c r="Q21108" s="24"/>
      <c r="R21108" s="24"/>
      <c r="S21108" s="24"/>
      <c r="T21108" s="24"/>
      <c r="U21108" s="24"/>
      <c r="V21108" s="24"/>
      <c r="W21108" s="24"/>
      <c r="X21108" s="24"/>
      <c r="Y21108" s="24"/>
      <c r="Z21108" s="24"/>
      <c r="AA21108" s="24"/>
    </row>
    <row r="21109">
      <c r="A21109" s="24"/>
      <c r="B21109" s="25"/>
      <c r="C21109" s="24"/>
      <c r="D21109" s="26"/>
      <c r="E21109" s="24"/>
      <c r="F21109" s="24"/>
      <c r="G21109" s="24"/>
      <c r="H21109" s="24"/>
      <c r="I21109" s="24"/>
      <c r="J21109" s="24"/>
      <c r="K21109" s="24"/>
      <c r="L21109" s="24"/>
      <c r="M21109" s="24"/>
      <c r="N21109" s="24"/>
      <c r="O21109" s="24"/>
      <c r="P21109" s="24"/>
      <c r="Q21109" s="24"/>
      <c r="R21109" s="24"/>
      <c r="S21109" s="24"/>
      <c r="T21109" s="24"/>
      <c r="U21109" s="24"/>
      <c r="V21109" s="24"/>
      <c r="W21109" s="24"/>
      <c r="X21109" s="24"/>
      <c r="Y21109" s="24"/>
      <c r="Z21109" s="24"/>
      <c r="AA21109" s="24"/>
    </row>
    <row r="21110">
      <c r="A21110" s="24"/>
      <c r="B21110" s="25"/>
      <c r="C21110" s="24"/>
      <c r="D21110" s="26"/>
      <c r="E21110" s="24"/>
      <c r="F21110" s="24"/>
      <c r="G21110" s="24"/>
      <c r="H21110" s="24"/>
      <c r="I21110" s="24"/>
      <c r="J21110" s="24"/>
      <c r="K21110" s="24"/>
      <c r="L21110" s="24"/>
      <c r="M21110" s="24"/>
      <c r="N21110" s="24"/>
      <c r="O21110" s="24"/>
      <c r="P21110" s="24"/>
      <c r="Q21110" s="24"/>
      <c r="R21110" s="24"/>
      <c r="S21110" s="24"/>
      <c r="T21110" s="24"/>
      <c r="U21110" s="24"/>
      <c r="V21110" s="24"/>
      <c r="W21110" s="24"/>
      <c r="X21110" s="24"/>
      <c r="Y21110" s="24"/>
      <c r="Z21110" s="24"/>
      <c r="AA21110" s="24"/>
    </row>
    <row r="21111">
      <c r="A21111" s="24"/>
      <c r="B21111" s="25"/>
      <c r="C21111" s="24"/>
      <c r="D21111" s="26"/>
      <c r="E21111" s="24"/>
      <c r="F21111" s="24"/>
      <c r="G21111" s="24"/>
      <c r="H21111" s="24"/>
      <c r="I21111" s="24"/>
      <c r="J21111" s="24"/>
      <c r="K21111" s="24"/>
      <c r="L21111" s="24"/>
      <c r="M21111" s="24"/>
      <c r="N21111" s="24"/>
      <c r="O21111" s="24"/>
      <c r="P21111" s="24"/>
      <c r="Q21111" s="24"/>
      <c r="R21111" s="24"/>
      <c r="S21111" s="24"/>
      <c r="T21111" s="24"/>
      <c r="U21111" s="24"/>
      <c r="V21111" s="24"/>
      <c r="W21111" s="24"/>
      <c r="X21111" s="24"/>
      <c r="Y21111" s="24"/>
      <c r="Z21111" s="24"/>
      <c r="AA21111" s="24"/>
    </row>
    <row r="21112">
      <c r="A21112" s="24"/>
      <c r="B21112" s="25"/>
      <c r="C21112" s="24"/>
      <c r="D21112" s="26"/>
      <c r="E21112" s="24"/>
      <c r="F21112" s="24"/>
      <c r="G21112" s="24"/>
      <c r="H21112" s="24"/>
      <c r="I21112" s="24"/>
      <c r="J21112" s="24"/>
      <c r="K21112" s="24"/>
      <c r="L21112" s="24"/>
      <c r="M21112" s="24"/>
      <c r="N21112" s="24"/>
      <c r="O21112" s="24"/>
      <c r="P21112" s="24"/>
      <c r="Q21112" s="24"/>
      <c r="R21112" s="24"/>
      <c r="S21112" s="24"/>
      <c r="T21112" s="24"/>
      <c r="U21112" s="24"/>
      <c r="V21112" s="24"/>
      <c r="W21112" s="24"/>
      <c r="X21112" s="24"/>
      <c r="Y21112" s="24"/>
      <c r="Z21112" s="24"/>
      <c r="AA21112" s="24"/>
    </row>
    <row r="21113">
      <c r="A21113" s="24"/>
      <c r="B21113" s="25"/>
      <c r="C21113" s="24"/>
      <c r="D21113" s="26"/>
      <c r="E21113" s="24"/>
      <c r="F21113" s="24"/>
      <c r="G21113" s="24"/>
      <c r="H21113" s="24"/>
      <c r="I21113" s="24"/>
      <c r="J21113" s="24"/>
      <c r="K21113" s="24"/>
      <c r="L21113" s="24"/>
      <c r="M21113" s="24"/>
      <c r="N21113" s="24"/>
      <c r="O21113" s="24"/>
      <c r="P21113" s="24"/>
      <c r="Q21113" s="24"/>
      <c r="R21113" s="24"/>
      <c r="S21113" s="24"/>
      <c r="T21113" s="24"/>
      <c r="U21113" s="24"/>
      <c r="V21113" s="24"/>
      <c r="W21113" s="24"/>
      <c r="X21113" s="24"/>
      <c r="Y21113" s="24"/>
      <c r="Z21113" s="24"/>
      <c r="AA21113" s="24"/>
    </row>
    <row r="21114">
      <c r="A21114" s="24"/>
      <c r="B21114" s="25"/>
      <c r="C21114" s="24"/>
      <c r="D21114" s="26"/>
      <c r="E21114" s="24"/>
      <c r="F21114" s="24"/>
      <c r="G21114" s="24"/>
      <c r="H21114" s="24"/>
      <c r="I21114" s="24"/>
      <c r="J21114" s="24"/>
      <c r="K21114" s="24"/>
      <c r="L21114" s="24"/>
      <c r="M21114" s="24"/>
      <c r="N21114" s="24"/>
      <c r="O21114" s="24"/>
      <c r="P21114" s="24"/>
      <c r="Q21114" s="24"/>
      <c r="R21114" s="24"/>
      <c r="S21114" s="24"/>
      <c r="T21114" s="24"/>
      <c r="U21114" s="24"/>
      <c r="V21114" s="24"/>
      <c r="W21114" s="24"/>
      <c r="X21114" s="24"/>
      <c r="Y21114" s="24"/>
      <c r="Z21114" s="24"/>
      <c r="AA21114" s="24"/>
    </row>
    <row r="21115">
      <c r="A21115" s="24"/>
      <c r="B21115" s="25"/>
      <c r="C21115" s="24"/>
      <c r="D21115" s="26"/>
      <c r="E21115" s="24"/>
      <c r="F21115" s="24"/>
      <c r="G21115" s="24"/>
      <c r="H21115" s="24"/>
      <c r="I21115" s="24"/>
      <c r="J21115" s="24"/>
      <c r="K21115" s="24"/>
      <c r="L21115" s="24"/>
      <c r="M21115" s="24"/>
      <c r="N21115" s="24"/>
      <c r="O21115" s="24"/>
      <c r="P21115" s="24"/>
      <c r="Q21115" s="24"/>
      <c r="R21115" s="24"/>
      <c r="S21115" s="24"/>
      <c r="T21115" s="24"/>
      <c r="U21115" s="24"/>
      <c r="V21115" s="24"/>
      <c r="W21115" s="24"/>
      <c r="X21115" s="24"/>
      <c r="Y21115" s="24"/>
      <c r="Z21115" s="24"/>
      <c r="AA21115" s="24"/>
    </row>
    <row r="21116">
      <c r="A21116" s="24"/>
      <c r="B21116" s="25"/>
      <c r="C21116" s="24"/>
      <c r="D21116" s="26"/>
      <c r="E21116" s="24"/>
      <c r="F21116" s="24"/>
      <c r="G21116" s="24"/>
      <c r="H21116" s="24"/>
      <c r="I21116" s="24"/>
      <c r="J21116" s="24"/>
      <c r="K21116" s="24"/>
      <c r="L21116" s="24"/>
      <c r="M21116" s="24"/>
      <c r="N21116" s="24"/>
      <c r="O21116" s="24"/>
      <c r="P21116" s="24"/>
      <c r="Q21116" s="24"/>
      <c r="R21116" s="24"/>
      <c r="S21116" s="24"/>
      <c r="T21116" s="24"/>
      <c r="U21116" s="24"/>
      <c r="V21116" s="24"/>
      <c r="W21116" s="24"/>
      <c r="X21116" s="24"/>
      <c r="Y21116" s="24"/>
      <c r="Z21116" s="24"/>
      <c r="AA21116" s="24"/>
    </row>
    <row r="21117">
      <c r="A21117" s="24"/>
      <c r="B21117" s="25"/>
      <c r="C21117" s="24"/>
      <c r="D21117" s="26"/>
      <c r="E21117" s="24"/>
      <c r="F21117" s="24"/>
      <c r="G21117" s="24"/>
      <c r="H21117" s="24"/>
      <c r="I21117" s="24"/>
      <c r="J21117" s="24"/>
      <c r="K21117" s="24"/>
      <c r="L21117" s="24"/>
      <c r="M21117" s="24"/>
      <c r="N21117" s="24"/>
      <c r="O21117" s="24"/>
      <c r="P21117" s="24"/>
      <c r="Q21117" s="24"/>
      <c r="R21117" s="24"/>
      <c r="S21117" s="24"/>
      <c r="T21117" s="24"/>
      <c r="U21117" s="24"/>
      <c r="V21117" s="24"/>
      <c r="W21117" s="24"/>
      <c r="X21117" s="24"/>
      <c r="Y21117" s="24"/>
      <c r="Z21117" s="24"/>
      <c r="AA21117" s="24"/>
    </row>
    <row r="21118">
      <c r="A21118" s="24"/>
      <c r="B21118" s="25"/>
      <c r="C21118" s="24"/>
      <c r="D21118" s="26"/>
      <c r="E21118" s="24"/>
      <c r="F21118" s="24"/>
      <c r="G21118" s="24"/>
      <c r="H21118" s="24"/>
      <c r="I21118" s="24"/>
      <c r="J21118" s="24"/>
      <c r="K21118" s="24"/>
      <c r="L21118" s="24"/>
      <c r="M21118" s="24"/>
      <c r="N21118" s="24"/>
      <c r="O21118" s="24"/>
      <c r="P21118" s="24"/>
      <c r="Q21118" s="24"/>
      <c r="R21118" s="24"/>
      <c r="S21118" s="24"/>
      <c r="T21118" s="24"/>
      <c r="U21118" s="24"/>
      <c r="V21118" s="24"/>
      <c r="W21118" s="24"/>
      <c r="X21118" s="24"/>
      <c r="Y21118" s="24"/>
      <c r="Z21118" s="24"/>
      <c r="AA21118" s="24"/>
    </row>
    <row r="21119">
      <c r="A21119" s="24"/>
      <c r="B21119" s="25"/>
      <c r="C21119" s="24"/>
      <c r="D21119" s="26"/>
      <c r="E21119" s="24"/>
      <c r="F21119" s="24"/>
      <c r="G21119" s="24"/>
      <c r="H21119" s="24"/>
      <c r="I21119" s="24"/>
      <c r="J21119" s="24"/>
      <c r="K21119" s="24"/>
      <c r="L21119" s="24"/>
      <c r="M21119" s="24"/>
      <c r="N21119" s="24"/>
      <c r="O21119" s="24"/>
      <c r="P21119" s="24"/>
      <c r="Q21119" s="24"/>
      <c r="R21119" s="24"/>
      <c r="S21119" s="24"/>
      <c r="T21119" s="24"/>
      <c r="U21119" s="24"/>
      <c r="V21119" s="24"/>
      <c r="W21119" s="24"/>
      <c r="X21119" s="24"/>
      <c r="Y21119" s="24"/>
      <c r="Z21119" s="24"/>
      <c r="AA21119" s="24"/>
    </row>
    <row r="21120">
      <c r="A21120" s="24"/>
      <c r="B21120" s="25"/>
      <c r="C21120" s="24"/>
      <c r="D21120" s="26"/>
      <c r="E21120" s="24"/>
      <c r="F21120" s="24"/>
      <c r="G21120" s="24"/>
      <c r="H21120" s="24"/>
      <c r="I21120" s="24"/>
      <c r="J21120" s="24"/>
      <c r="K21120" s="24"/>
      <c r="L21120" s="24"/>
      <c r="M21120" s="24"/>
      <c r="N21120" s="24"/>
      <c r="O21120" s="24"/>
      <c r="P21120" s="24"/>
      <c r="Q21120" s="24"/>
      <c r="R21120" s="24"/>
      <c r="S21120" s="24"/>
      <c r="T21120" s="24"/>
      <c r="U21120" s="24"/>
      <c r="V21120" s="24"/>
      <c r="W21120" s="24"/>
      <c r="X21120" s="24"/>
      <c r="Y21120" s="24"/>
      <c r="Z21120" s="24"/>
      <c r="AA21120" s="24"/>
    </row>
    <row r="21121">
      <c r="A21121" s="24"/>
      <c r="B21121" s="25"/>
      <c r="C21121" s="24"/>
      <c r="D21121" s="26"/>
      <c r="E21121" s="24"/>
      <c r="F21121" s="24"/>
      <c r="G21121" s="24"/>
      <c r="H21121" s="24"/>
      <c r="I21121" s="24"/>
      <c r="J21121" s="24"/>
      <c r="K21121" s="24"/>
      <c r="L21121" s="24"/>
      <c r="M21121" s="24"/>
      <c r="N21121" s="24"/>
      <c r="O21121" s="24"/>
      <c r="P21121" s="24"/>
      <c r="Q21121" s="24"/>
      <c r="R21121" s="24"/>
      <c r="S21121" s="24"/>
      <c r="T21121" s="24"/>
      <c r="U21121" s="24"/>
      <c r="V21121" s="24"/>
      <c r="W21121" s="24"/>
      <c r="X21121" s="24"/>
      <c r="Y21121" s="24"/>
      <c r="Z21121" s="24"/>
      <c r="AA21121" s="24"/>
    </row>
    <row r="21122">
      <c r="A21122" s="24"/>
      <c r="B21122" s="25"/>
      <c r="C21122" s="24"/>
      <c r="D21122" s="26"/>
      <c r="E21122" s="24"/>
      <c r="F21122" s="24"/>
      <c r="G21122" s="24"/>
      <c r="H21122" s="24"/>
      <c r="I21122" s="24"/>
      <c r="J21122" s="24"/>
      <c r="K21122" s="24"/>
      <c r="L21122" s="24"/>
      <c r="M21122" s="24"/>
      <c r="N21122" s="24"/>
      <c r="O21122" s="24"/>
      <c r="P21122" s="24"/>
      <c r="Q21122" s="24"/>
      <c r="R21122" s="24"/>
      <c r="S21122" s="24"/>
      <c r="T21122" s="24"/>
      <c r="U21122" s="24"/>
      <c r="V21122" s="24"/>
      <c r="W21122" s="24"/>
      <c r="X21122" s="24"/>
      <c r="Y21122" s="24"/>
      <c r="Z21122" s="24"/>
      <c r="AA21122" s="24"/>
    </row>
    <row r="21123">
      <c r="A21123" s="24"/>
      <c r="B21123" s="25"/>
      <c r="C21123" s="24"/>
      <c r="D21123" s="26"/>
      <c r="E21123" s="24"/>
      <c r="F21123" s="24"/>
      <c r="G21123" s="24"/>
      <c r="H21123" s="24"/>
      <c r="I21123" s="24"/>
      <c r="J21123" s="24"/>
      <c r="K21123" s="24"/>
      <c r="L21123" s="24"/>
      <c r="M21123" s="24"/>
      <c r="N21123" s="24"/>
      <c r="O21123" s="24"/>
      <c r="P21123" s="24"/>
      <c r="Q21123" s="24"/>
      <c r="R21123" s="24"/>
      <c r="S21123" s="24"/>
      <c r="T21123" s="24"/>
      <c r="U21123" s="24"/>
      <c r="V21123" s="24"/>
      <c r="W21123" s="24"/>
      <c r="X21123" s="24"/>
      <c r="Y21123" s="24"/>
      <c r="Z21123" s="24"/>
      <c r="AA21123" s="24"/>
    </row>
    <row r="21124">
      <c r="A21124" s="24"/>
      <c r="B21124" s="25"/>
      <c r="C21124" s="24"/>
      <c r="D21124" s="26"/>
      <c r="E21124" s="24"/>
      <c r="F21124" s="24"/>
      <c r="G21124" s="24"/>
      <c r="H21124" s="24"/>
      <c r="I21124" s="24"/>
      <c r="J21124" s="24"/>
      <c r="K21124" s="24"/>
      <c r="L21124" s="24"/>
      <c r="M21124" s="24"/>
      <c r="N21124" s="24"/>
      <c r="O21124" s="24"/>
      <c r="P21124" s="24"/>
      <c r="Q21124" s="24"/>
      <c r="R21124" s="24"/>
      <c r="S21124" s="24"/>
      <c r="T21124" s="24"/>
      <c r="U21124" s="24"/>
      <c r="V21124" s="24"/>
      <c r="W21124" s="24"/>
      <c r="X21124" s="24"/>
      <c r="Y21124" s="24"/>
      <c r="Z21124" s="24"/>
      <c r="AA21124" s="24"/>
    </row>
    <row r="21125">
      <c r="A21125" s="24"/>
      <c r="B21125" s="25"/>
      <c r="C21125" s="24"/>
      <c r="D21125" s="26"/>
      <c r="E21125" s="24"/>
      <c r="F21125" s="24"/>
      <c r="G21125" s="24"/>
      <c r="H21125" s="24"/>
      <c r="I21125" s="24"/>
      <c r="J21125" s="24"/>
      <c r="K21125" s="24"/>
      <c r="L21125" s="24"/>
      <c r="M21125" s="24"/>
      <c r="N21125" s="24"/>
      <c r="O21125" s="24"/>
      <c r="P21125" s="24"/>
      <c r="Q21125" s="24"/>
      <c r="R21125" s="24"/>
      <c r="S21125" s="24"/>
      <c r="T21125" s="24"/>
      <c r="U21125" s="24"/>
      <c r="V21125" s="24"/>
      <c r="W21125" s="24"/>
      <c r="X21125" s="24"/>
      <c r="Y21125" s="24"/>
      <c r="Z21125" s="24"/>
      <c r="AA21125" s="24"/>
    </row>
    <row r="21126">
      <c r="A21126" s="24"/>
      <c r="B21126" s="25"/>
      <c r="C21126" s="24"/>
      <c r="D21126" s="26"/>
      <c r="E21126" s="24"/>
      <c r="F21126" s="24"/>
      <c r="G21126" s="24"/>
      <c r="H21126" s="24"/>
      <c r="I21126" s="24"/>
      <c r="J21126" s="24"/>
      <c r="K21126" s="24"/>
      <c r="L21126" s="24"/>
      <c r="M21126" s="24"/>
      <c r="N21126" s="24"/>
      <c r="O21126" s="24"/>
      <c r="P21126" s="24"/>
      <c r="Q21126" s="24"/>
      <c r="R21126" s="24"/>
      <c r="S21126" s="24"/>
      <c r="T21126" s="24"/>
      <c r="U21126" s="24"/>
      <c r="V21126" s="24"/>
      <c r="W21126" s="24"/>
      <c r="X21126" s="24"/>
      <c r="Y21126" s="24"/>
      <c r="Z21126" s="24"/>
      <c r="AA21126" s="24"/>
    </row>
    <row r="21127">
      <c r="A21127" s="24"/>
      <c r="B21127" s="25"/>
      <c r="C21127" s="24"/>
      <c r="D21127" s="26"/>
      <c r="E21127" s="24"/>
      <c r="F21127" s="24"/>
      <c r="G21127" s="24"/>
      <c r="H21127" s="24"/>
      <c r="I21127" s="24"/>
      <c r="J21127" s="24"/>
      <c r="K21127" s="24"/>
      <c r="L21127" s="24"/>
      <c r="M21127" s="24"/>
      <c r="N21127" s="24"/>
      <c r="O21127" s="24"/>
      <c r="P21127" s="24"/>
      <c r="Q21127" s="24"/>
      <c r="R21127" s="24"/>
      <c r="S21127" s="24"/>
      <c r="T21127" s="24"/>
      <c r="U21127" s="24"/>
      <c r="V21127" s="24"/>
      <c r="W21127" s="24"/>
      <c r="X21127" s="24"/>
      <c r="Y21127" s="24"/>
      <c r="Z21127" s="24"/>
      <c r="AA21127" s="24"/>
    </row>
    <row r="21128">
      <c r="A21128" s="24"/>
      <c r="B21128" s="25"/>
      <c r="C21128" s="24"/>
      <c r="D21128" s="26"/>
      <c r="E21128" s="24"/>
      <c r="F21128" s="24"/>
      <c r="G21128" s="24"/>
      <c r="H21128" s="24"/>
      <c r="I21128" s="24"/>
      <c r="J21128" s="24"/>
      <c r="K21128" s="24"/>
      <c r="L21128" s="24"/>
      <c r="M21128" s="24"/>
      <c r="N21128" s="24"/>
      <c r="O21128" s="24"/>
      <c r="P21128" s="24"/>
      <c r="Q21128" s="24"/>
      <c r="R21128" s="24"/>
      <c r="S21128" s="24"/>
      <c r="T21128" s="24"/>
      <c r="U21128" s="24"/>
      <c r="V21128" s="24"/>
      <c r="W21128" s="24"/>
      <c r="X21128" s="24"/>
      <c r="Y21128" s="24"/>
      <c r="Z21128" s="24"/>
      <c r="AA21128" s="24"/>
    </row>
    <row r="21129">
      <c r="A21129" s="24"/>
      <c r="B21129" s="25"/>
      <c r="C21129" s="24"/>
      <c r="D21129" s="26"/>
      <c r="E21129" s="24"/>
      <c r="F21129" s="24"/>
      <c r="G21129" s="24"/>
      <c r="H21129" s="24"/>
      <c r="I21129" s="24"/>
      <c r="J21129" s="24"/>
      <c r="K21129" s="24"/>
      <c r="L21129" s="24"/>
      <c r="M21129" s="24"/>
      <c r="N21129" s="24"/>
      <c r="O21129" s="24"/>
      <c r="P21129" s="24"/>
      <c r="Q21129" s="24"/>
      <c r="R21129" s="24"/>
      <c r="S21129" s="24"/>
      <c r="T21129" s="24"/>
      <c r="U21129" s="24"/>
      <c r="V21129" s="24"/>
      <c r="W21129" s="24"/>
      <c r="X21129" s="24"/>
      <c r="Y21129" s="24"/>
      <c r="Z21129" s="24"/>
      <c r="AA21129" s="24"/>
    </row>
    <row r="21130">
      <c r="A21130" s="24"/>
      <c r="B21130" s="25"/>
      <c r="C21130" s="24"/>
      <c r="D21130" s="26"/>
      <c r="E21130" s="24"/>
      <c r="F21130" s="24"/>
      <c r="G21130" s="24"/>
      <c r="H21130" s="24"/>
      <c r="I21130" s="24"/>
      <c r="J21130" s="24"/>
      <c r="K21130" s="24"/>
      <c r="L21130" s="24"/>
      <c r="M21130" s="24"/>
      <c r="N21130" s="24"/>
      <c r="O21130" s="24"/>
      <c r="P21130" s="24"/>
      <c r="Q21130" s="24"/>
      <c r="R21130" s="24"/>
      <c r="S21130" s="24"/>
      <c r="T21130" s="24"/>
      <c r="U21130" s="24"/>
      <c r="V21130" s="24"/>
      <c r="W21130" s="24"/>
      <c r="X21130" s="24"/>
      <c r="Y21130" s="24"/>
      <c r="Z21130" s="24"/>
      <c r="AA21130" s="24"/>
    </row>
    <row r="21131">
      <c r="A21131" s="24"/>
      <c r="B21131" s="25"/>
      <c r="C21131" s="24"/>
      <c r="D21131" s="26"/>
      <c r="E21131" s="24"/>
      <c r="F21131" s="24"/>
      <c r="G21131" s="24"/>
      <c r="H21131" s="24"/>
      <c r="I21131" s="24"/>
      <c r="J21131" s="24"/>
      <c r="K21131" s="24"/>
      <c r="L21131" s="24"/>
      <c r="M21131" s="24"/>
      <c r="N21131" s="24"/>
      <c r="O21131" s="24"/>
      <c r="P21131" s="24"/>
      <c r="Q21131" s="24"/>
      <c r="R21131" s="24"/>
      <c r="S21131" s="24"/>
      <c r="T21131" s="24"/>
      <c r="U21131" s="24"/>
      <c r="V21131" s="24"/>
      <c r="W21131" s="24"/>
      <c r="X21131" s="24"/>
      <c r="Y21131" s="24"/>
      <c r="Z21131" s="24"/>
      <c r="AA21131" s="24"/>
    </row>
    <row r="21132">
      <c r="A21132" s="24"/>
      <c r="B21132" s="25"/>
      <c r="C21132" s="24"/>
      <c r="D21132" s="26"/>
      <c r="E21132" s="24"/>
      <c r="F21132" s="24"/>
      <c r="G21132" s="24"/>
      <c r="H21132" s="24"/>
      <c r="I21132" s="24"/>
      <c r="J21132" s="24"/>
      <c r="K21132" s="24"/>
      <c r="L21132" s="24"/>
      <c r="M21132" s="24"/>
      <c r="N21132" s="24"/>
      <c r="O21132" s="24"/>
      <c r="P21132" s="24"/>
      <c r="Q21132" s="24"/>
      <c r="R21132" s="24"/>
      <c r="S21132" s="24"/>
      <c r="T21132" s="24"/>
      <c r="U21132" s="24"/>
      <c r="V21132" s="24"/>
      <c r="W21132" s="24"/>
      <c r="X21132" s="24"/>
      <c r="Y21132" s="24"/>
      <c r="Z21132" s="24"/>
      <c r="AA21132" s="24"/>
    </row>
    <row r="21133">
      <c r="A21133" s="24"/>
      <c r="B21133" s="25"/>
      <c r="C21133" s="24"/>
      <c r="D21133" s="26"/>
      <c r="E21133" s="24"/>
      <c r="F21133" s="24"/>
      <c r="G21133" s="24"/>
      <c r="H21133" s="24"/>
      <c r="I21133" s="24"/>
      <c r="J21133" s="24"/>
      <c r="K21133" s="24"/>
      <c r="L21133" s="24"/>
      <c r="M21133" s="24"/>
      <c r="N21133" s="24"/>
      <c r="O21133" s="24"/>
      <c r="P21133" s="24"/>
      <c r="Q21133" s="24"/>
      <c r="R21133" s="24"/>
      <c r="S21133" s="24"/>
      <c r="T21133" s="24"/>
      <c r="U21133" s="24"/>
      <c r="V21133" s="24"/>
      <c r="W21133" s="24"/>
      <c r="X21133" s="24"/>
      <c r="Y21133" s="24"/>
      <c r="Z21133" s="24"/>
      <c r="AA21133" s="24"/>
    </row>
    <row r="21134">
      <c r="A21134" s="24"/>
      <c r="B21134" s="25"/>
      <c r="C21134" s="24"/>
      <c r="D21134" s="26"/>
      <c r="E21134" s="24"/>
      <c r="F21134" s="24"/>
      <c r="G21134" s="24"/>
      <c r="H21134" s="24"/>
      <c r="I21134" s="24"/>
      <c r="J21134" s="24"/>
      <c r="K21134" s="24"/>
      <c r="L21134" s="24"/>
      <c r="M21134" s="24"/>
      <c r="N21134" s="24"/>
      <c r="O21134" s="24"/>
      <c r="P21134" s="24"/>
      <c r="Q21134" s="24"/>
      <c r="R21134" s="24"/>
      <c r="S21134" s="24"/>
      <c r="T21134" s="24"/>
      <c r="U21134" s="24"/>
      <c r="V21134" s="24"/>
      <c r="W21134" s="24"/>
      <c r="X21134" s="24"/>
      <c r="Y21134" s="24"/>
      <c r="Z21134" s="24"/>
      <c r="AA21134" s="24"/>
    </row>
    <row r="21135">
      <c r="A21135" s="24"/>
      <c r="B21135" s="25"/>
      <c r="C21135" s="24"/>
      <c r="D21135" s="26"/>
      <c r="E21135" s="24"/>
      <c r="F21135" s="24"/>
      <c r="G21135" s="24"/>
      <c r="H21135" s="24"/>
      <c r="I21135" s="24"/>
      <c r="J21135" s="24"/>
      <c r="K21135" s="24"/>
      <c r="L21135" s="24"/>
      <c r="M21135" s="24"/>
      <c r="N21135" s="24"/>
      <c r="O21135" s="24"/>
      <c r="P21135" s="24"/>
      <c r="Q21135" s="24"/>
      <c r="R21135" s="24"/>
      <c r="S21135" s="24"/>
      <c r="T21135" s="24"/>
      <c r="U21135" s="24"/>
      <c r="V21135" s="24"/>
      <c r="W21135" s="24"/>
      <c r="X21135" s="24"/>
      <c r="Y21135" s="24"/>
      <c r="Z21135" s="24"/>
      <c r="AA21135" s="24"/>
    </row>
    <row r="21136">
      <c r="A21136" s="24"/>
      <c r="B21136" s="25"/>
      <c r="C21136" s="24"/>
      <c r="D21136" s="26"/>
      <c r="E21136" s="24"/>
      <c r="F21136" s="24"/>
      <c r="G21136" s="24"/>
      <c r="H21136" s="24"/>
      <c r="I21136" s="24"/>
      <c r="J21136" s="24"/>
      <c r="K21136" s="24"/>
      <c r="L21136" s="24"/>
      <c r="M21136" s="24"/>
      <c r="N21136" s="24"/>
      <c r="O21136" s="24"/>
      <c r="P21136" s="24"/>
      <c r="Q21136" s="24"/>
      <c r="R21136" s="24"/>
      <c r="S21136" s="24"/>
      <c r="T21136" s="24"/>
      <c r="U21136" s="24"/>
      <c r="V21136" s="24"/>
      <c r="W21136" s="24"/>
      <c r="X21136" s="24"/>
      <c r="Y21136" s="24"/>
      <c r="Z21136" s="24"/>
      <c r="AA21136" s="24"/>
    </row>
    <row r="21137">
      <c r="A21137" s="24"/>
      <c r="B21137" s="25"/>
      <c r="C21137" s="24"/>
      <c r="D21137" s="26"/>
      <c r="E21137" s="24"/>
      <c r="F21137" s="24"/>
      <c r="G21137" s="24"/>
      <c r="H21137" s="24"/>
      <c r="I21137" s="24"/>
      <c r="J21137" s="24"/>
      <c r="K21137" s="24"/>
      <c r="L21137" s="24"/>
      <c r="M21137" s="24"/>
      <c r="N21137" s="24"/>
      <c r="O21137" s="24"/>
      <c r="P21137" s="24"/>
      <c r="Q21137" s="24"/>
      <c r="R21137" s="24"/>
      <c r="S21137" s="24"/>
      <c r="T21137" s="24"/>
      <c r="U21137" s="24"/>
      <c r="V21137" s="24"/>
      <c r="W21137" s="24"/>
      <c r="X21137" s="24"/>
      <c r="Y21137" s="24"/>
      <c r="Z21137" s="24"/>
      <c r="AA21137" s="24"/>
    </row>
    <row r="21138">
      <c r="A21138" s="24"/>
      <c r="B21138" s="25"/>
      <c r="C21138" s="24"/>
      <c r="D21138" s="26"/>
      <c r="E21138" s="24"/>
      <c r="F21138" s="24"/>
      <c r="G21138" s="24"/>
      <c r="H21138" s="24"/>
      <c r="I21138" s="24"/>
      <c r="J21138" s="24"/>
      <c r="K21138" s="24"/>
      <c r="L21138" s="24"/>
      <c r="M21138" s="24"/>
      <c r="N21138" s="24"/>
      <c r="O21138" s="24"/>
      <c r="P21138" s="24"/>
      <c r="Q21138" s="24"/>
      <c r="R21138" s="24"/>
      <c r="S21138" s="24"/>
      <c r="T21138" s="24"/>
      <c r="U21138" s="24"/>
      <c r="V21138" s="24"/>
      <c r="W21138" s="24"/>
      <c r="X21138" s="24"/>
      <c r="Y21138" s="24"/>
      <c r="Z21138" s="24"/>
      <c r="AA21138" s="24"/>
    </row>
    <row r="21139">
      <c r="A21139" s="24"/>
      <c r="B21139" s="25"/>
      <c r="C21139" s="24"/>
      <c r="D21139" s="26"/>
      <c r="E21139" s="24"/>
      <c r="F21139" s="24"/>
      <c r="G21139" s="24"/>
      <c r="H21139" s="24"/>
      <c r="I21139" s="24"/>
      <c r="J21139" s="24"/>
      <c r="K21139" s="24"/>
      <c r="L21139" s="24"/>
      <c r="M21139" s="24"/>
      <c r="N21139" s="24"/>
      <c r="O21139" s="24"/>
      <c r="P21139" s="24"/>
      <c r="Q21139" s="24"/>
      <c r="R21139" s="24"/>
      <c r="S21139" s="24"/>
      <c r="T21139" s="24"/>
      <c r="U21139" s="24"/>
      <c r="V21139" s="24"/>
      <c r="W21139" s="24"/>
      <c r="X21139" s="24"/>
      <c r="Y21139" s="24"/>
      <c r="Z21139" s="24"/>
      <c r="AA21139" s="24"/>
    </row>
    <row r="21140">
      <c r="A21140" s="24"/>
      <c r="B21140" s="25"/>
      <c r="C21140" s="24"/>
      <c r="D21140" s="26"/>
      <c r="E21140" s="24"/>
      <c r="F21140" s="24"/>
      <c r="G21140" s="24"/>
      <c r="H21140" s="24"/>
      <c r="I21140" s="24"/>
      <c r="J21140" s="24"/>
      <c r="K21140" s="24"/>
      <c r="L21140" s="24"/>
      <c r="M21140" s="24"/>
      <c r="N21140" s="24"/>
      <c r="O21140" s="24"/>
      <c r="P21140" s="24"/>
      <c r="Q21140" s="24"/>
      <c r="R21140" s="24"/>
      <c r="S21140" s="24"/>
      <c r="T21140" s="24"/>
      <c r="U21140" s="24"/>
      <c r="V21140" s="24"/>
      <c r="W21140" s="24"/>
      <c r="X21140" s="24"/>
      <c r="Y21140" s="24"/>
      <c r="Z21140" s="24"/>
      <c r="AA21140" s="24"/>
    </row>
    <row r="21141">
      <c r="A21141" s="24"/>
      <c r="B21141" s="25"/>
      <c r="C21141" s="24"/>
      <c r="D21141" s="26"/>
      <c r="E21141" s="24"/>
      <c r="F21141" s="24"/>
      <c r="G21141" s="24"/>
      <c r="H21141" s="24"/>
      <c r="I21141" s="24"/>
      <c r="J21141" s="24"/>
      <c r="K21141" s="24"/>
      <c r="L21141" s="24"/>
      <c r="M21141" s="24"/>
      <c r="N21141" s="24"/>
      <c r="O21141" s="24"/>
      <c r="P21141" s="24"/>
      <c r="Q21141" s="24"/>
      <c r="R21141" s="24"/>
      <c r="S21141" s="24"/>
      <c r="T21141" s="24"/>
      <c r="U21141" s="24"/>
      <c r="V21141" s="24"/>
      <c r="W21141" s="24"/>
      <c r="X21141" s="24"/>
      <c r="Y21141" s="24"/>
      <c r="Z21141" s="24"/>
      <c r="AA21141" s="24"/>
    </row>
    <row r="21142">
      <c r="A21142" s="24"/>
      <c r="B21142" s="25"/>
      <c r="C21142" s="24"/>
      <c r="D21142" s="26"/>
      <c r="E21142" s="24"/>
      <c r="F21142" s="24"/>
      <c r="G21142" s="24"/>
      <c r="H21142" s="24"/>
      <c r="I21142" s="24"/>
      <c r="J21142" s="24"/>
      <c r="K21142" s="24"/>
      <c r="L21142" s="24"/>
      <c r="M21142" s="24"/>
      <c r="N21142" s="24"/>
      <c r="O21142" s="24"/>
      <c r="P21142" s="24"/>
      <c r="Q21142" s="24"/>
      <c r="R21142" s="24"/>
      <c r="S21142" s="24"/>
      <c r="T21142" s="24"/>
      <c r="U21142" s="24"/>
      <c r="V21142" s="24"/>
      <c r="W21142" s="24"/>
      <c r="X21142" s="24"/>
      <c r="Y21142" s="24"/>
      <c r="Z21142" s="24"/>
      <c r="AA21142" s="24"/>
    </row>
    <row r="21143">
      <c r="A21143" s="24"/>
      <c r="B21143" s="25"/>
      <c r="C21143" s="24"/>
      <c r="D21143" s="26"/>
      <c r="E21143" s="24"/>
      <c r="F21143" s="24"/>
      <c r="G21143" s="24"/>
      <c r="H21143" s="24"/>
      <c r="I21143" s="24"/>
      <c r="J21143" s="24"/>
      <c r="K21143" s="24"/>
      <c r="L21143" s="24"/>
      <c r="M21143" s="24"/>
      <c r="N21143" s="24"/>
      <c r="O21143" s="24"/>
      <c r="P21143" s="24"/>
      <c r="Q21143" s="24"/>
      <c r="R21143" s="24"/>
      <c r="S21143" s="24"/>
      <c r="T21143" s="24"/>
      <c r="U21143" s="24"/>
      <c r="V21143" s="24"/>
      <c r="W21143" s="24"/>
      <c r="X21143" s="24"/>
      <c r="Y21143" s="24"/>
      <c r="Z21143" s="24"/>
      <c r="AA21143" s="24"/>
    </row>
    <row r="21144">
      <c r="A21144" s="24"/>
      <c r="B21144" s="25"/>
      <c r="C21144" s="24"/>
      <c r="D21144" s="26"/>
      <c r="E21144" s="24"/>
      <c r="F21144" s="24"/>
      <c r="G21144" s="24"/>
      <c r="H21144" s="24"/>
      <c r="I21144" s="24"/>
      <c r="J21144" s="24"/>
      <c r="K21144" s="24"/>
      <c r="L21144" s="24"/>
      <c r="M21144" s="24"/>
      <c r="N21144" s="24"/>
      <c r="O21144" s="24"/>
      <c r="P21144" s="24"/>
      <c r="Q21144" s="24"/>
      <c r="R21144" s="24"/>
      <c r="S21144" s="24"/>
      <c r="T21144" s="24"/>
      <c r="U21144" s="24"/>
      <c r="V21144" s="24"/>
      <c r="W21144" s="24"/>
      <c r="X21144" s="24"/>
      <c r="Y21144" s="24"/>
      <c r="Z21144" s="24"/>
      <c r="AA21144" s="24"/>
    </row>
    <row r="21145">
      <c r="A21145" s="24"/>
      <c r="B21145" s="25"/>
      <c r="C21145" s="24"/>
      <c r="D21145" s="26"/>
      <c r="E21145" s="24"/>
      <c r="F21145" s="24"/>
      <c r="G21145" s="24"/>
      <c r="H21145" s="24"/>
      <c r="I21145" s="24"/>
      <c r="J21145" s="24"/>
      <c r="K21145" s="24"/>
      <c r="L21145" s="24"/>
      <c r="M21145" s="24"/>
      <c r="N21145" s="24"/>
      <c r="O21145" s="24"/>
      <c r="P21145" s="24"/>
      <c r="Q21145" s="24"/>
      <c r="R21145" s="24"/>
      <c r="S21145" s="24"/>
      <c r="T21145" s="24"/>
      <c r="U21145" s="24"/>
      <c r="V21145" s="24"/>
      <c r="W21145" s="24"/>
      <c r="X21145" s="24"/>
      <c r="Y21145" s="24"/>
      <c r="Z21145" s="24"/>
      <c r="AA21145" s="24"/>
    </row>
    <row r="21146">
      <c r="A21146" s="24"/>
      <c r="B21146" s="25"/>
      <c r="C21146" s="24"/>
      <c r="D21146" s="26"/>
      <c r="E21146" s="24"/>
      <c r="F21146" s="24"/>
      <c r="G21146" s="24"/>
      <c r="H21146" s="24"/>
      <c r="I21146" s="24"/>
      <c r="J21146" s="24"/>
      <c r="K21146" s="24"/>
      <c r="L21146" s="24"/>
      <c r="M21146" s="24"/>
      <c r="N21146" s="24"/>
      <c r="O21146" s="24"/>
      <c r="P21146" s="24"/>
      <c r="Q21146" s="24"/>
      <c r="R21146" s="24"/>
      <c r="S21146" s="24"/>
      <c r="T21146" s="24"/>
      <c r="U21146" s="24"/>
      <c r="V21146" s="24"/>
      <c r="W21146" s="24"/>
      <c r="X21146" s="24"/>
      <c r="Y21146" s="24"/>
      <c r="Z21146" s="24"/>
      <c r="AA21146" s="24"/>
    </row>
    <row r="21147">
      <c r="A21147" s="24"/>
      <c r="B21147" s="25"/>
      <c r="C21147" s="24"/>
      <c r="D21147" s="26"/>
      <c r="E21147" s="24"/>
      <c r="F21147" s="24"/>
      <c r="G21147" s="24"/>
      <c r="H21147" s="24"/>
      <c r="I21147" s="24"/>
      <c r="J21147" s="24"/>
      <c r="K21147" s="24"/>
      <c r="L21147" s="24"/>
      <c r="M21147" s="24"/>
      <c r="N21147" s="24"/>
      <c r="O21147" s="24"/>
      <c r="P21147" s="24"/>
      <c r="Q21147" s="24"/>
      <c r="R21147" s="24"/>
      <c r="S21147" s="24"/>
      <c r="T21147" s="24"/>
      <c r="U21147" s="24"/>
      <c r="V21147" s="24"/>
      <c r="W21147" s="24"/>
      <c r="X21147" s="24"/>
      <c r="Y21147" s="24"/>
      <c r="Z21147" s="24"/>
      <c r="AA21147" s="24"/>
    </row>
    <row r="21148">
      <c r="A21148" s="24"/>
      <c r="B21148" s="25"/>
      <c r="C21148" s="24"/>
      <c r="D21148" s="26"/>
      <c r="E21148" s="24"/>
      <c r="F21148" s="24"/>
      <c r="G21148" s="24"/>
      <c r="H21148" s="24"/>
      <c r="I21148" s="24"/>
      <c r="J21148" s="24"/>
      <c r="K21148" s="24"/>
      <c r="L21148" s="24"/>
      <c r="M21148" s="24"/>
      <c r="N21148" s="24"/>
      <c r="O21148" s="24"/>
      <c r="P21148" s="24"/>
      <c r="Q21148" s="24"/>
      <c r="R21148" s="24"/>
      <c r="S21148" s="24"/>
      <c r="T21148" s="24"/>
      <c r="U21148" s="24"/>
      <c r="V21148" s="24"/>
      <c r="W21148" s="24"/>
      <c r="X21148" s="24"/>
      <c r="Y21148" s="24"/>
      <c r="Z21148" s="24"/>
      <c r="AA21148" s="24"/>
    </row>
    <row r="21149">
      <c r="A21149" s="24"/>
      <c r="B21149" s="25"/>
      <c r="C21149" s="24"/>
      <c r="D21149" s="26"/>
      <c r="E21149" s="24"/>
      <c r="F21149" s="24"/>
      <c r="G21149" s="24"/>
      <c r="H21149" s="24"/>
      <c r="I21149" s="24"/>
      <c r="J21149" s="24"/>
      <c r="K21149" s="24"/>
      <c r="L21149" s="24"/>
      <c r="M21149" s="24"/>
      <c r="N21149" s="24"/>
      <c r="O21149" s="24"/>
      <c r="P21149" s="24"/>
      <c r="Q21149" s="24"/>
      <c r="R21149" s="24"/>
      <c r="S21149" s="24"/>
      <c r="T21149" s="24"/>
      <c r="U21149" s="24"/>
      <c r="V21149" s="24"/>
      <c r="W21149" s="24"/>
      <c r="X21149" s="24"/>
      <c r="Y21149" s="24"/>
      <c r="Z21149" s="24"/>
      <c r="AA21149" s="24"/>
    </row>
    <row r="21150">
      <c r="A21150" s="24"/>
      <c r="B21150" s="25"/>
      <c r="C21150" s="24"/>
      <c r="D21150" s="26"/>
      <c r="E21150" s="24"/>
      <c r="F21150" s="24"/>
      <c r="G21150" s="24"/>
      <c r="H21150" s="24"/>
      <c r="I21150" s="24"/>
      <c r="J21150" s="24"/>
      <c r="K21150" s="24"/>
      <c r="L21150" s="24"/>
      <c r="M21150" s="24"/>
      <c r="N21150" s="24"/>
      <c r="O21150" s="24"/>
      <c r="P21150" s="24"/>
      <c r="Q21150" s="24"/>
      <c r="R21150" s="24"/>
      <c r="S21150" s="24"/>
      <c r="T21150" s="24"/>
      <c r="U21150" s="24"/>
      <c r="V21150" s="24"/>
      <c r="W21150" s="24"/>
      <c r="X21150" s="24"/>
      <c r="Y21150" s="24"/>
      <c r="Z21150" s="24"/>
      <c r="AA21150" s="24"/>
    </row>
    <row r="21151">
      <c r="A21151" s="24"/>
      <c r="B21151" s="25"/>
      <c r="C21151" s="24"/>
      <c r="D21151" s="26"/>
      <c r="E21151" s="24"/>
      <c r="F21151" s="24"/>
      <c r="G21151" s="24"/>
      <c r="H21151" s="24"/>
      <c r="I21151" s="24"/>
      <c r="J21151" s="24"/>
      <c r="K21151" s="24"/>
      <c r="L21151" s="24"/>
      <c r="M21151" s="24"/>
      <c r="N21151" s="24"/>
      <c r="O21151" s="24"/>
      <c r="P21151" s="24"/>
      <c r="Q21151" s="24"/>
      <c r="R21151" s="24"/>
      <c r="S21151" s="24"/>
      <c r="T21151" s="24"/>
      <c r="U21151" s="24"/>
      <c r="V21151" s="24"/>
      <c r="W21151" s="24"/>
      <c r="X21151" s="24"/>
      <c r="Y21151" s="24"/>
      <c r="Z21151" s="24"/>
      <c r="AA21151" s="24"/>
    </row>
    <row r="21152">
      <c r="A21152" s="24"/>
      <c r="B21152" s="25"/>
      <c r="C21152" s="24"/>
      <c r="D21152" s="26"/>
      <c r="E21152" s="24"/>
      <c r="F21152" s="24"/>
      <c r="G21152" s="24"/>
      <c r="H21152" s="24"/>
      <c r="I21152" s="24"/>
      <c r="J21152" s="24"/>
      <c r="K21152" s="24"/>
      <c r="L21152" s="24"/>
      <c r="M21152" s="24"/>
      <c r="N21152" s="24"/>
      <c r="O21152" s="24"/>
      <c r="P21152" s="24"/>
      <c r="Q21152" s="24"/>
      <c r="R21152" s="24"/>
      <c r="S21152" s="24"/>
      <c r="T21152" s="24"/>
      <c r="U21152" s="24"/>
      <c r="V21152" s="24"/>
      <c r="W21152" s="24"/>
      <c r="X21152" s="24"/>
      <c r="Y21152" s="24"/>
      <c r="Z21152" s="24"/>
      <c r="AA21152" s="24"/>
    </row>
    <row r="21153">
      <c r="A21153" s="24"/>
      <c r="B21153" s="25"/>
      <c r="C21153" s="24"/>
      <c r="D21153" s="26"/>
      <c r="E21153" s="24"/>
      <c r="F21153" s="24"/>
      <c r="G21153" s="24"/>
      <c r="H21153" s="24"/>
      <c r="I21153" s="24"/>
      <c r="J21153" s="24"/>
      <c r="K21153" s="24"/>
      <c r="L21153" s="24"/>
      <c r="M21153" s="24"/>
      <c r="N21153" s="24"/>
      <c r="O21153" s="24"/>
      <c r="P21153" s="24"/>
      <c r="Q21153" s="24"/>
      <c r="R21153" s="24"/>
      <c r="S21153" s="24"/>
      <c r="T21153" s="24"/>
      <c r="U21153" s="24"/>
      <c r="V21153" s="24"/>
      <c r="W21153" s="24"/>
      <c r="X21153" s="24"/>
      <c r="Y21153" s="24"/>
      <c r="Z21153" s="24"/>
      <c r="AA21153" s="24"/>
    </row>
    <row r="21154">
      <c r="A21154" s="24"/>
      <c r="B21154" s="25"/>
      <c r="C21154" s="24"/>
      <c r="D21154" s="26"/>
      <c r="E21154" s="24"/>
      <c r="F21154" s="24"/>
      <c r="G21154" s="24"/>
      <c r="H21154" s="24"/>
      <c r="I21154" s="24"/>
      <c r="J21154" s="24"/>
      <c r="K21154" s="24"/>
      <c r="L21154" s="24"/>
      <c r="M21154" s="24"/>
      <c r="N21154" s="24"/>
      <c r="O21154" s="24"/>
      <c r="P21154" s="24"/>
      <c r="Q21154" s="24"/>
      <c r="R21154" s="24"/>
      <c r="S21154" s="24"/>
      <c r="T21154" s="24"/>
      <c r="U21154" s="24"/>
      <c r="V21154" s="24"/>
      <c r="W21154" s="24"/>
      <c r="X21154" s="24"/>
      <c r="Y21154" s="24"/>
      <c r="Z21154" s="24"/>
      <c r="AA21154" s="24"/>
    </row>
    <row r="21155">
      <c r="A21155" s="24"/>
      <c r="B21155" s="25"/>
      <c r="C21155" s="24"/>
      <c r="D21155" s="26"/>
      <c r="E21155" s="24"/>
      <c r="F21155" s="24"/>
      <c r="G21155" s="24"/>
      <c r="H21155" s="24"/>
      <c r="I21155" s="24"/>
      <c r="J21155" s="24"/>
      <c r="K21155" s="24"/>
      <c r="L21155" s="24"/>
      <c r="M21155" s="24"/>
      <c r="N21155" s="24"/>
      <c r="O21155" s="24"/>
      <c r="P21155" s="24"/>
      <c r="Q21155" s="24"/>
      <c r="R21155" s="24"/>
      <c r="S21155" s="24"/>
      <c r="T21155" s="24"/>
      <c r="U21155" s="24"/>
      <c r="V21155" s="24"/>
      <c r="W21155" s="24"/>
      <c r="X21155" s="24"/>
      <c r="Y21155" s="24"/>
      <c r="Z21155" s="24"/>
      <c r="AA21155" s="24"/>
    </row>
    <row r="21156">
      <c r="A21156" s="24"/>
      <c r="B21156" s="25"/>
      <c r="C21156" s="24"/>
      <c r="D21156" s="26"/>
      <c r="E21156" s="24"/>
      <c r="F21156" s="24"/>
      <c r="G21156" s="24"/>
      <c r="H21156" s="24"/>
      <c r="I21156" s="24"/>
      <c r="J21156" s="24"/>
      <c r="K21156" s="24"/>
      <c r="L21156" s="24"/>
      <c r="M21156" s="24"/>
      <c r="N21156" s="24"/>
      <c r="O21156" s="24"/>
      <c r="P21156" s="24"/>
      <c r="Q21156" s="24"/>
      <c r="R21156" s="24"/>
      <c r="S21156" s="24"/>
      <c r="T21156" s="24"/>
      <c r="U21156" s="24"/>
      <c r="V21156" s="24"/>
      <c r="W21156" s="24"/>
      <c r="X21156" s="24"/>
      <c r="Y21156" s="24"/>
      <c r="Z21156" s="24"/>
      <c r="AA21156" s="24"/>
    </row>
    <row r="21157">
      <c r="A21157" s="24"/>
      <c r="B21157" s="25"/>
      <c r="C21157" s="24"/>
      <c r="D21157" s="26"/>
      <c r="E21157" s="24"/>
      <c r="F21157" s="24"/>
      <c r="G21157" s="24"/>
      <c r="H21157" s="24"/>
      <c r="I21157" s="24"/>
      <c r="J21157" s="24"/>
      <c r="K21157" s="24"/>
      <c r="L21157" s="24"/>
      <c r="M21157" s="24"/>
      <c r="N21157" s="24"/>
      <c r="O21157" s="24"/>
      <c r="P21157" s="24"/>
      <c r="Q21157" s="24"/>
      <c r="R21157" s="24"/>
      <c r="S21157" s="24"/>
      <c r="T21157" s="24"/>
      <c r="U21157" s="24"/>
      <c r="V21157" s="24"/>
      <c r="W21157" s="24"/>
      <c r="X21157" s="24"/>
      <c r="Y21157" s="24"/>
      <c r="Z21157" s="24"/>
      <c r="AA21157" s="24"/>
    </row>
    <row r="21158">
      <c r="A21158" s="24"/>
      <c r="B21158" s="25"/>
      <c r="C21158" s="24"/>
      <c r="D21158" s="26"/>
      <c r="E21158" s="24"/>
      <c r="F21158" s="24"/>
      <c r="G21158" s="24"/>
      <c r="H21158" s="24"/>
      <c r="I21158" s="24"/>
      <c r="J21158" s="24"/>
      <c r="K21158" s="24"/>
      <c r="L21158" s="24"/>
      <c r="M21158" s="24"/>
      <c r="N21158" s="24"/>
      <c r="O21158" s="24"/>
      <c r="P21158" s="24"/>
      <c r="Q21158" s="24"/>
      <c r="R21158" s="24"/>
      <c r="S21158" s="24"/>
      <c r="T21158" s="24"/>
      <c r="U21158" s="24"/>
      <c r="V21158" s="24"/>
      <c r="W21158" s="24"/>
      <c r="X21158" s="24"/>
      <c r="Y21158" s="24"/>
      <c r="Z21158" s="24"/>
      <c r="AA21158" s="24"/>
    </row>
    <row r="21159">
      <c r="A21159" s="24"/>
      <c r="B21159" s="25"/>
      <c r="C21159" s="24"/>
      <c r="D21159" s="26"/>
      <c r="E21159" s="24"/>
      <c r="F21159" s="24"/>
      <c r="G21159" s="24"/>
      <c r="H21159" s="24"/>
      <c r="I21159" s="24"/>
      <c r="J21159" s="24"/>
      <c r="K21159" s="24"/>
      <c r="L21159" s="24"/>
      <c r="M21159" s="24"/>
      <c r="N21159" s="24"/>
      <c r="O21159" s="24"/>
      <c r="P21159" s="24"/>
      <c r="Q21159" s="24"/>
      <c r="R21159" s="24"/>
      <c r="S21159" s="24"/>
      <c r="T21159" s="24"/>
      <c r="U21159" s="24"/>
      <c r="V21159" s="24"/>
      <c r="W21159" s="24"/>
      <c r="X21159" s="24"/>
      <c r="Y21159" s="24"/>
      <c r="Z21159" s="24"/>
      <c r="AA21159" s="24"/>
    </row>
    <row r="21160">
      <c r="A21160" s="24"/>
      <c r="B21160" s="25"/>
      <c r="C21160" s="24"/>
      <c r="D21160" s="26"/>
      <c r="E21160" s="24"/>
      <c r="F21160" s="24"/>
      <c r="G21160" s="24"/>
      <c r="H21160" s="24"/>
      <c r="I21160" s="24"/>
      <c r="J21160" s="24"/>
      <c r="K21160" s="24"/>
      <c r="L21160" s="24"/>
      <c r="M21160" s="24"/>
      <c r="N21160" s="24"/>
      <c r="O21160" s="24"/>
      <c r="P21160" s="24"/>
      <c r="Q21160" s="24"/>
      <c r="R21160" s="24"/>
      <c r="S21160" s="24"/>
      <c r="T21160" s="24"/>
      <c r="U21160" s="24"/>
      <c r="V21160" s="24"/>
      <c r="W21160" s="24"/>
      <c r="X21160" s="24"/>
      <c r="Y21160" s="24"/>
      <c r="Z21160" s="24"/>
      <c r="AA21160" s="24"/>
    </row>
    <row r="21161">
      <c r="A21161" s="24"/>
      <c r="B21161" s="25"/>
      <c r="C21161" s="24"/>
      <c r="D21161" s="26"/>
      <c r="E21161" s="24"/>
      <c r="F21161" s="24"/>
      <c r="G21161" s="24"/>
      <c r="H21161" s="24"/>
      <c r="I21161" s="24"/>
      <c r="J21161" s="24"/>
      <c r="K21161" s="24"/>
      <c r="L21161" s="24"/>
      <c r="M21161" s="24"/>
      <c r="N21161" s="24"/>
      <c r="O21161" s="24"/>
      <c r="P21161" s="24"/>
      <c r="Q21161" s="24"/>
      <c r="R21161" s="24"/>
      <c r="S21161" s="24"/>
      <c r="T21161" s="24"/>
      <c r="U21161" s="24"/>
      <c r="V21161" s="24"/>
      <c r="W21161" s="24"/>
      <c r="X21161" s="24"/>
      <c r="Y21161" s="24"/>
      <c r="Z21161" s="24"/>
      <c r="AA21161" s="24"/>
    </row>
    <row r="21162">
      <c r="A21162" s="24"/>
      <c r="B21162" s="25"/>
      <c r="C21162" s="24"/>
      <c r="D21162" s="26"/>
      <c r="E21162" s="24"/>
      <c r="F21162" s="24"/>
      <c r="G21162" s="24"/>
      <c r="H21162" s="24"/>
      <c r="I21162" s="24"/>
      <c r="J21162" s="24"/>
      <c r="K21162" s="24"/>
      <c r="L21162" s="24"/>
      <c r="M21162" s="24"/>
      <c r="N21162" s="24"/>
      <c r="O21162" s="24"/>
      <c r="P21162" s="24"/>
      <c r="Q21162" s="24"/>
      <c r="R21162" s="24"/>
      <c r="S21162" s="24"/>
      <c r="T21162" s="24"/>
      <c r="U21162" s="24"/>
      <c r="V21162" s="24"/>
      <c r="W21162" s="24"/>
      <c r="X21162" s="24"/>
      <c r="Y21162" s="24"/>
      <c r="Z21162" s="24"/>
      <c r="AA21162" s="24"/>
    </row>
    <row r="21163">
      <c r="A21163" s="24"/>
      <c r="B21163" s="25"/>
      <c r="C21163" s="24"/>
      <c r="D21163" s="26"/>
      <c r="E21163" s="24"/>
      <c r="F21163" s="24"/>
      <c r="G21163" s="24"/>
      <c r="H21163" s="24"/>
      <c r="I21163" s="24"/>
      <c r="J21163" s="24"/>
      <c r="K21163" s="24"/>
      <c r="L21163" s="24"/>
      <c r="M21163" s="24"/>
      <c r="N21163" s="24"/>
      <c r="O21163" s="24"/>
      <c r="P21163" s="24"/>
      <c r="Q21163" s="24"/>
      <c r="R21163" s="24"/>
      <c r="S21163" s="24"/>
      <c r="T21163" s="24"/>
      <c r="U21163" s="24"/>
      <c r="V21163" s="24"/>
      <c r="W21163" s="24"/>
      <c r="X21163" s="24"/>
      <c r="Y21163" s="24"/>
      <c r="Z21163" s="24"/>
      <c r="AA21163" s="24"/>
    </row>
    <row r="21164">
      <c r="A21164" s="24"/>
      <c r="B21164" s="25"/>
      <c r="C21164" s="24"/>
      <c r="D21164" s="26"/>
      <c r="E21164" s="24"/>
      <c r="F21164" s="24"/>
      <c r="G21164" s="24"/>
      <c r="H21164" s="24"/>
      <c r="I21164" s="24"/>
      <c r="J21164" s="24"/>
      <c r="K21164" s="24"/>
      <c r="L21164" s="24"/>
      <c r="M21164" s="24"/>
      <c r="N21164" s="24"/>
      <c r="O21164" s="24"/>
      <c r="P21164" s="24"/>
      <c r="Q21164" s="24"/>
      <c r="R21164" s="24"/>
      <c r="S21164" s="24"/>
      <c r="T21164" s="24"/>
      <c r="U21164" s="24"/>
      <c r="V21164" s="24"/>
      <c r="W21164" s="24"/>
      <c r="X21164" s="24"/>
      <c r="Y21164" s="24"/>
      <c r="Z21164" s="24"/>
      <c r="AA21164" s="24"/>
    </row>
    <row r="21165">
      <c r="A21165" s="24"/>
      <c r="B21165" s="25"/>
      <c r="C21165" s="24"/>
      <c r="D21165" s="26"/>
      <c r="E21165" s="24"/>
      <c r="F21165" s="24"/>
      <c r="G21165" s="24"/>
      <c r="H21165" s="24"/>
      <c r="I21165" s="24"/>
      <c r="J21165" s="24"/>
      <c r="K21165" s="24"/>
      <c r="L21165" s="24"/>
      <c r="M21165" s="24"/>
      <c r="N21165" s="24"/>
      <c r="O21165" s="24"/>
      <c r="P21165" s="24"/>
      <c r="Q21165" s="24"/>
      <c r="R21165" s="24"/>
      <c r="S21165" s="24"/>
      <c r="T21165" s="24"/>
      <c r="U21165" s="24"/>
      <c r="V21165" s="24"/>
      <c r="W21165" s="24"/>
      <c r="X21165" s="24"/>
      <c r="Y21165" s="24"/>
      <c r="Z21165" s="24"/>
      <c r="AA21165" s="24"/>
    </row>
    <row r="21166">
      <c r="A21166" s="24"/>
      <c r="B21166" s="25"/>
      <c r="C21166" s="24"/>
      <c r="D21166" s="26"/>
      <c r="E21166" s="24"/>
      <c r="F21166" s="24"/>
      <c r="G21166" s="24"/>
      <c r="H21166" s="24"/>
      <c r="I21166" s="24"/>
      <c r="J21166" s="24"/>
      <c r="K21166" s="24"/>
      <c r="L21166" s="24"/>
      <c r="M21166" s="24"/>
      <c r="N21166" s="24"/>
      <c r="O21166" s="24"/>
      <c r="P21166" s="24"/>
      <c r="Q21166" s="24"/>
      <c r="R21166" s="24"/>
      <c r="S21166" s="24"/>
      <c r="T21166" s="24"/>
      <c r="U21166" s="24"/>
      <c r="V21166" s="24"/>
      <c r="W21166" s="24"/>
      <c r="X21166" s="24"/>
      <c r="Y21166" s="24"/>
      <c r="Z21166" s="24"/>
      <c r="AA21166" s="24"/>
    </row>
    <row r="21167">
      <c r="A21167" s="24"/>
      <c r="B21167" s="25"/>
      <c r="C21167" s="24"/>
      <c r="D21167" s="26"/>
      <c r="E21167" s="24"/>
      <c r="F21167" s="24"/>
      <c r="G21167" s="24"/>
      <c r="H21167" s="24"/>
      <c r="I21167" s="24"/>
      <c r="J21167" s="24"/>
      <c r="K21167" s="24"/>
      <c r="L21167" s="24"/>
      <c r="M21167" s="24"/>
      <c r="N21167" s="24"/>
      <c r="O21167" s="24"/>
      <c r="P21167" s="24"/>
      <c r="Q21167" s="24"/>
      <c r="R21167" s="24"/>
      <c r="S21167" s="24"/>
      <c r="T21167" s="24"/>
      <c r="U21167" s="24"/>
      <c r="V21167" s="24"/>
      <c r="W21167" s="24"/>
      <c r="X21167" s="24"/>
      <c r="Y21167" s="24"/>
      <c r="Z21167" s="24"/>
      <c r="AA21167" s="24"/>
    </row>
    <row r="21168">
      <c r="A21168" s="24"/>
      <c r="B21168" s="25"/>
      <c r="C21168" s="24"/>
      <c r="D21168" s="26"/>
      <c r="E21168" s="24"/>
      <c r="F21168" s="24"/>
      <c r="G21168" s="24"/>
      <c r="H21168" s="24"/>
      <c r="I21168" s="24"/>
      <c r="J21168" s="24"/>
      <c r="K21168" s="24"/>
      <c r="L21168" s="24"/>
      <c r="M21168" s="24"/>
      <c r="N21168" s="24"/>
      <c r="O21168" s="24"/>
      <c r="P21168" s="24"/>
      <c r="Q21168" s="24"/>
      <c r="R21168" s="24"/>
      <c r="S21168" s="24"/>
      <c r="T21168" s="24"/>
      <c r="U21168" s="24"/>
      <c r="V21168" s="24"/>
      <c r="W21168" s="24"/>
      <c r="X21168" s="24"/>
      <c r="Y21168" s="24"/>
      <c r="Z21168" s="24"/>
      <c r="AA21168" s="24"/>
    </row>
    <row r="21169">
      <c r="A21169" s="24"/>
      <c r="B21169" s="25"/>
      <c r="C21169" s="24"/>
      <c r="D21169" s="26"/>
      <c r="E21169" s="24"/>
      <c r="F21169" s="24"/>
      <c r="G21169" s="24"/>
      <c r="H21169" s="24"/>
      <c r="I21169" s="24"/>
      <c r="J21169" s="24"/>
      <c r="K21169" s="24"/>
      <c r="L21169" s="24"/>
      <c r="M21169" s="24"/>
      <c r="N21169" s="24"/>
      <c r="O21169" s="24"/>
      <c r="P21169" s="24"/>
      <c r="Q21169" s="24"/>
      <c r="R21169" s="24"/>
      <c r="S21169" s="24"/>
      <c r="T21169" s="24"/>
      <c r="U21169" s="24"/>
      <c r="V21169" s="24"/>
      <c r="W21169" s="24"/>
      <c r="X21169" s="24"/>
      <c r="Y21169" s="24"/>
      <c r="Z21169" s="24"/>
      <c r="AA21169" s="24"/>
    </row>
    <row r="21170">
      <c r="A21170" s="24"/>
      <c r="B21170" s="25"/>
      <c r="C21170" s="24"/>
      <c r="D21170" s="26"/>
      <c r="E21170" s="24"/>
      <c r="F21170" s="24"/>
      <c r="G21170" s="24"/>
      <c r="H21170" s="24"/>
      <c r="I21170" s="24"/>
      <c r="J21170" s="24"/>
      <c r="K21170" s="24"/>
      <c r="L21170" s="24"/>
      <c r="M21170" s="24"/>
      <c r="N21170" s="24"/>
      <c r="O21170" s="24"/>
      <c r="P21170" s="24"/>
      <c r="Q21170" s="24"/>
      <c r="R21170" s="24"/>
      <c r="S21170" s="24"/>
      <c r="T21170" s="24"/>
      <c r="U21170" s="24"/>
      <c r="V21170" s="24"/>
      <c r="W21170" s="24"/>
      <c r="X21170" s="24"/>
      <c r="Y21170" s="24"/>
      <c r="Z21170" s="24"/>
      <c r="AA21170" s="24"/>
    </row>
    <row r="21171">
      <c r="A21171" s="24"/>
      <c r="B21171" s="25"/>
      <c r="C21171" s="24"/>
      <c r="D21171" s="26"/>
      <c r="E21171" s="24"/>
      <c r="F21171" s="24"/>
      <c r="G21171" s="24"/>
      <c r="H21171" s="24"/>
      <c r="I21171" s="24"/>
      <c r="J21171" s="24"/>
      <c r="K21171" s="24"/>
      <c r="L21171" s="24"/>
      <c r="M21171" s="24"/>
      <c r="N21171" s="24"/>
      <c r="O21171" s="24"/>
      <c r="P21171" s="24"/>
      <c r="Q21171" s="24"/>
      <c r="R21171" s="24"/>
      <c r="S21171" s="24"/>
      <c r="T21171" s="24"/>
      <c r="U21171" s="24"/>
      <c r="V21171" s="24"/>
      <c r="W21171" s="24"/>
      <c r="X21171" s="24"/>
      <c r="Y21171" s="24"/>
      <c r="Z21171" s="24"/>
      <c r="AA21171" s="24"/>
    </row>
    <row r="21172">
      <c r="A21172" s="24"/>
      <c r="B21172" s="25"/>
      <c r="C21172" s="24"/>
      <c r="D21172" s="26"/>
      <c r="E21172" s="24"/>
      <c r="F21172" s="24"/>
      <c r="G21172" s="24"/>
      <c r="H21172" s="24"/>
      <c r="I21172" s="24"/>
      <c r="J21172" s="24"/>
      <c r="K21172" s="24"/>
      <c r="L21172" s="24"/>
      <c r="M21172" s="24"/>
      <c r="N21172" s="24"/>
      <c r="O21172" s="24"/>
      <c r="P21172" s="24"/>
      <c r="Q21172" s="24"/>
      <c r="R21172" s="24"/>
      <c r="S21172" s="24"/>
      <c r="T21172" s="24"/>
      <c r="U21172" s="24"/>
      <c r="V21172" s="24"/>
      <c r="W21172" s="24"/>
      <c r="X21172" s="24"/>
      <c r="Y21172" s="24"/>
      <c r="Z21172" s="24"/>
      <c r="AA21172" s="24"/>
    </row>
    <row r="21173">
      <c r="A21173" s="24"/>
      <c r="B21173" s="25"/>
      <c r="C21173" s="24"/>
      <c r="D21173" s="26"/>
      <c r="E21173" s="24"/>
      <c r="F21173" s="24"/>
      <c r="G21173" s="24"/>
      <c r="H21173" s="24"/>
      <c r="I21173" s="24"/>
      <c r="J21173" s="24"/>
      <c r="K21173" s="24"/>
      <c r="L21173" s="24"/>
      <c r="M21173" s="24"/>
      <c r="N21173" s="24"/>
      <c r="O21173" s="24"/>
      <c r="P21173" s="24"/>
      <c r="Q21173" s="24"/>
      <c r="R21173" s="24"/>
      <c r="S21173" s="24"/>
      <c r="T21173" s="24"/>
      <c r="U21173" s="24"/>
      <c r="V21173" s="24"/>
      <c r="W21173" s="24"/>
      <c r="X21173" s="24"/>
      <c r="Y21173" s="24"/>
      <c r="Z21173" s="24"/>
      <c r="AA21173" s="24"/>
    </row>
    <row r="21174">
      <c r="A21174" s="24"/>
      <c r="B21174" s="25"/>
      <c r="C21174" s="24"/>
      <c r="D21174" s="26"/>
      <c r="E21174" s="24"/>
      <c r="F21174" s="24"/>
      <c r="G21174" s="24"/>
      <c r="H21174" s="24"/>
      <c r="I21174" s="24"/>
      <c r="J21174" s="24"/>
      <c r="K21174" s="24"/>
      <c r="L21174" s="24"/>
      <c r="M21174" s="24"/>
      <c r="N21174" s="24"/>
      <c r="O21174" s="24"/>
      <c r="P21174" s="24"/>
      <c r="Q21174" s="24"/>
      <c r="R21174" s="24"/>
      <c r="S21174" s="24"/>
      <c r="T21174" s="24"/>
      <c r="U21174" s="24"/>
      <c r="V21174" s="24"/>
      <c r="W21174" s="24"/>
      <c r="X21174" s="24"/>
      <c r="Y21174" s="24"/>
      <c r="Z21174" s="24"/>
      <c r="AA21174" s="24"/>
    </row>
    <row r="21175">
      <c r="A21175" s="24"/>
      <c r="B21175" s="25"/>
      <c r="C21175" s="24"/>
      <c r="D21175" s="26"/>
      <c r="E21175" s="24"/>
      <c r="F21175" s="24"/>
      <c r="G21175" s="24"/>
      <c r="H21175" s="24"/>
      <c r="I21175" s="24"/>
      <c r="J21175" s="24"/>
      <c r="K21175" s="24"/>
      <c r="L21175" s="24"/>
      <c r="M21175" s="24"/>
      <c r="N21175" s="24"/>
      <c r="O21175" s="24"/>
      <c r="P21175" s="24"/>
      <c r="Q21175" s="24"/>
      <c r="R21175" s="24"/>
      <c r="S21175" s="24"/>
      <c r="T21175" s="24"/>
      <c r="U21175" s="24"/>
      <c r="V21175" s="24"/>
      <c r="W21175" s="24"/>
      <c r="X21175" s="24"/>
      <c r="Y21175" s="24"/>
      <c r="Z21175" s="24"/>
      <c r="AA21175" s="24"/>
    </row>
    <row r="21176">
      <c r="A21176" s="24"/>
      <c r="B21176" s="25"/>
      <c r="C21176" s="24"/>
      <c r="D21176" s="26"/>
      <c r="E21176" s="24"/>
      <c r="F21176" s="24"/>
      <c r="G21176" s="24"/>
      <c r="H21176" s="24"/>
      <c r="I21176" s="24"/>
      <c r="J21176" s="24"/>
      <c r="K21176" s="24"/>
      <c r="L21176" s="24"/>
      <c r="M21176" s="24"/>
      <c r="N21176" s="24"/>
      <c r="O21176" s="24"/>
      <c r="P21176" s="24"/>
      <c r="Q21176" s="24"/>
      <c r="R21176" s="24"/>
      <c r="S21176" s="24"/>
      <c r="T21176" s="24"/>
      <c r="U21176" s="24"/>
      <c r="V21176" s="24"/>
      <c r="W21176" s="24"/>
      <c r="X21176" s="24"/>
      <c r="Y21176" s="24"/>
      <c r="Z21176" s="24"/>
      <c r="AA21176" s="24"/>
    </row>
    <row r="21177">
      <c r="A21177" s="24"/>
      <c r="B21177" s="25"/>
      <c r="C21177" s="24"/>
      <c r="D21177" s="26"/>
      <c r="E21177" s="24"/>
      <c r="F21177" s="24"/>
      <c r="G21177" s="24"/>
      <c r="H21177" s="24"/>
      <c r="I21177" s="24"/>
      <c r="J21177" s="24"/>
      <c r="K21177" s="24"/>
      <c r="L21177" s="24"/>
      <c r="M21177" s="24"/>
      <c r="N21177" s="24"/>
      <c r="O21177" s="24"/>
      <c r="P21177" s="24"/>
      <c r="Q21177" s="24"/>
      <c r="R21177" s="24"/>
      <c r="S21177" s="24"/>
      <c r="T21177" s="24"/>
      <c r="U21177" s="24"/>
      <c r="V21177" s="24"/>
      <c r="W21177" s="24"/>
      <c r="X21177" s="24"/>
      <c r="Y21177" s="24"/>
      <c r="Z21177" s="24"/>
      <c r="AA21177" s="24"/>
    </row>
    <row r="21178">
      <c r="A21178" s="24"/>
      <c r="B21178" s="25"/>
      <c r="C21178" s="24"/>
      <c r="D21178" s="26"/>
      <c r="E21178" s="24"/>
      <c r="F21178" s="24"/>
      <c r="G21178" s="24"/>
      <c r="H21178" s="24"/>
      <c r="I21178" s="24"/>
      <c r="J21178" s="24"/>
      <c r="K21178" s="24"/>
      <c r="L21178" s="24"/>
      <c r="M21178" s="24"/>
      <c r="N21178" s="24"/>
      <c r="O21178" s="24"/>
      <c r="P21178" s="24"/>
      <c r="Q21178" s="24"/>
      <c r="R21178" s="24"/>
      <c r="S21178" s="24"/>
      <c r="T21178" s="24"/>
      <c r="U21178" s="24"/>
      <c r="V21178" s="24"/>
      <c r="W21178" s="24"/>
      <c r="X21178" s="24"/>
      <c r="Y21178" s="24"/>
      <c r="Z21178" s="24"/>
      <c r="AA21178" s="24"/>
    </row>
    <row r="21179">
      <c r="A21179" s="24"/>
      <c r="B21179" s="25"/>
      <c r="C21179" s="24"/>
      <c r="D21179" s="26"/>
      <c r="E21179" s="24"/>
      <c r="F21179" s="24"/>
      <c r="G21179" s="24"/>
      <c r="H21179" s="24"/>
      <c r="I21179" s="24"/>
      <c r="J21179" s="24"/>
      <c r="K21179" s="24"/>
      <c r="L21179" s="24"/>
      <c r="M21179" s="24"/>
      <c r="N21179" s="24"/>
      <c r="O21179" s="24"/>
      <c r="P21179" s="24"/>
      <c r="Q21179" s="24"/>
      <c r="R21179" s="24"/>
      <c r="S21179" s="24"/>
      <c r="T21179" s="24"/>
      <c r="U21179" s="24"/>
      <c r="V21179" s="24"/>
      <c r="W21179" s="24"/>
      <c r="X21179" s="24"/>
      <c r="Y21179" s="24"/>
      <c r="Z21179" s="24"/>
      <c r="AA21179" s="24"/>
    </row>
    <row r="21180">
      <c r="A21180" s="24"/>
      <c r="B21180" s="25"/>
      <c r="C21180" s="24"/>
      <c r="D21180" s="26"/>
      <c r="E21180" s="24"/>
      <c r="F21180" s="24"/>
      <c r="G21180" s="24"/>
      <c r="H21180" s="24"/>
      <c r="I21180" s="24"/>
      <c r="J21180" s="24"/>
      <c r="K21180" s="24"/>
      <c r="L21180" s="24"/>
      <c r="M21180" s="24"/>
      <c r="N21180" s="24"/>
      <c r="O21180" s="24"/>
      <c r="P21180" s="24"/>
      <c r="Q21180" s="24"/>
      <c r="R21180" s="24"/>
      <c r="S21180" s="24"/>
      <c r="T21180" s="24"/>
      <c r="U21180" s="24"/>
      <c r="V21180" s="24"/>
      <c r="W21180" s="24"/>
      <c r="X21180" s="24"/>
      <c r="Y21180" s="24"/>
      <c r="Z21180" s="24"/>
      <c r="AA21180" s="24"/>
    </row>
    <row r="21181">
      <c r="A21181" s="24"/>
      <c r="B21181" s="25"/>
      <c r="C21181" s="24"/>
      <c r="D21181" s="26"/>
      <c r="E21181" s="24"/>
      <c r="F21181" s="24"/>
      <c r="G21181" s="24"/>
      <c r="H21181" s="24"/>
      <c r="I21181" s="24"/>
      <c r="J21181" s="24"/>
      <c r="K21181" s="24"/>
      <c r="L21181" s="24"/>
      <c r="M21181" s="24"/>
      <c r="N21181" s="24"/>
      <c r="O21181" s="24"/>
      <c r="P21181" s="24"/>
      <c r="Q21181" s="24"/>
      <c r="R21181" s="24"/>
      <c r="S21181" s="24"/>
      <c r="T21181" s="24"/>
      <c r="U21181" s="24"/>
      <c r="V21181" s="24"/>
      <c r="W21181" s="24"/>
      <c r="X21181" s="24"/>
      <c r="Y21181" s="24"/>
      <c r="Z21181" s="24"/>
      <c r="AA21181" s="24"/>
    </row>
    <row r="21182">
      <c r="A21182" s="24"/>
      <c r="B21182" s="25"/>
      <c r="C21182" s="24"/>
      <c r="D21182" s="26"/>
      <c r="E21182" s="24"/>
      <c r="F21182" s="24"/>
      <c r="G21182" s="24"/>
      <c r="H21182" s="24"/>
      <c r="I21182" s="24"/>
      <c r="J21182" s="24"/>
      <c r="K21182" s="24"/>
      <c r="L21182" s="24"/>
      <c r="M21182" s="24"/>
      <c r="N21182" s="24"/>
      <c r="O21182" s="24"/>
      <c r="P21182" s="24"/>
      <c r="Q21182" s="24"/>
      <c r="R21182" s="24"/>
      <c r="S21182" s="24"/>
      <c r="T21182" s="24"/>
      <c r="U21182" s="24"/>
      <c r="V21182" s="24"/>
      <c r="W21182" s="24"/>
      <c r="X21182" s="24"/>
      <c r="Y21182" s="24"/>
      <c r="Z21182" s="24"/>
      <c r="AA21182" s="24"/>
    </row>
    <row r="21183">
      <c r="A21183" s="24"/>
      <c r="B21183" s="25"/>
      <c r="C21183" s="24"/>
      <c r="D21183" s="26"/>
      <c r="E21183" s="24"/>
      <c r="F21183" s="24"/>
      <c r="G21183" s="24"/>
      <c r="H21183" s="24"/>
      <c r="I21183" s="24"/>
      <c r="J21183" s="24"/>
      <c r="K21183" s="24"/>
      <c r="L21183" s="24"/>
      <c r="M21183" s="24"/>
      <c r="N21183" s="24"/>
      <c r="O21183" s="24"/>
      <c r="P21183" s="24"/>
      <c r="Q21183" s="24"/>
      <c r="R21183" s="24"/>
      <c r="S21183" s="24"/>
      <c r="T21183" s="24"/>
      <c r="U21183" s="24"/>
      <c r="V21183" s="24"/>
      <c r="W21183" s="24"/>
      <c r="X21183" s="24"/>
      <c r="Y21183" s="24"/>
      <c r="Z21183" s="24"/>
      <c r="AA21183" s="24"/>
    </row>
    <row r="21184">
      <c r="A21184" s="24"/>
      <c r="B21184" s="25"/>
      <c r="C21184" s="24"/>
      <c r="D21184" s="26"/>
      <c r="E21184" s="24"/>
      <c r="F21184" s="24"/>
      <c r="G21184" s="24"/>
      <c r="H21184" s="24"/>
      <c r="I21184" s="24"/>
      <c r="J21184" s="24"/>
      <c r="K21184" s="24"/>
      <c r="L21184" s="24"/>
      <c r="M21184" s="24"/>
      <c r="N21184" s="24"/>
      <c r="O21184" s="24"/>
      <c r="P21184" s="24"/>
      <c r="Q21184" s="24"/>
      <c r="R21184" s="24"/>
      <c r="S21184" s="24"/>
      <c r="T21184" s="24"/>
      <c r="U21184" s="24"/>
      <c r="V21184" s="24"/>
      <c r="W21184" s="24"/>
      <c r="X21184" s="24"/>
      <c r="Y21184" s="24"/>
      <c r="Z21184" s="24"/>
      <c r="AA21184" s="24"/>
    </row>
    <row r="21185">
      <c r="A21185" s="24"/>
      <c r="B21185" s="25"/>
      <c r="C21185" s="24"/>
      <c r="D21185" s="26"/>
      <c r="E21185" s="24"/>
      <c r="F21185" s="24"/>
      <c r="G21185" s="24"/>
      <c r="H21185" s="24"/>
      <c r="I21185" s="24"/>
      <c r="J21185" s="24"/>
      <c r="K21185" s="24"/>
      <c r="L21185" s="24"/>
      <c r="M21185" s="24"/>
      <c r="N21185" s="24"/>
      <c r="O21185" s="24"/>
      <c r="P21185" s="24"/>
      <c r="Q21185" s="24"/>
      <c r="R21185" s="24"/>
      <c r="S21185" s="24"/>
      <c r="T21185" s="24"/>
      <c r="U21185" s="24"/>
      <c r="V21185" s="24"/>
      <c r="W21185" s="24"/>
      <c r="X21185" s="24"/>
      <c r="Y21185" s="24"/>
      <c r="Z21185" s="24"/>
      <c r="AA21185" s="24"/>
    </row>
    <row r="21186">
      <c r="A21186" s="24"/>
      <c r="B21186" s="25"/>
      <c r="C21186" s="24"/>
      <c r="D21186" s="26"/>
      <c r="E21186" s="24"/>
      <c r="F21186" s="24"/>
      <c r="G21186" s="24"/>
      <c r="H21186" s="24"/>
      <c r="I21186" s="24"/>
      <c r="J21186" s="24"/>
      <c r="K21186" s="24"/>
      <c r="L21186" s="24"/>
      <c r="M21186" s="24"/>
      <c r="N21186" s="24"/>
      <c r="O21186" s="24"/>
      <c r="P21186" s="24"/>
      <c r="Q21186" s="24"/>
      <c r="R21186" s="24"/>
      <c r="S21186" s="24"/>
      <c r="T21186" s="24"/>
      <c r="U21186" s="24"/>
      <c r="V21186" s="24"/>
      <c r="W21186" s="24"/>
      <c r="X21186" s="24"/>
      <c r="Y21186" s="24"/>
      <c r="Z21186" s="24"/>
      <c r="AA21186" s="24"/>
    </row>
    <row r="21187">
      <c r="A21187" s="24"/>
      <c r="B21187" s="25"/>
      <c r="C21187" s="24"/>
      <c r="D21187" s="26"/>
      <c r="E21187" s="24"/>
      <c r="F21187" s="24"/>
      <c r="G21187" s="24"/>
      <c r="H21187" s="24"/>
      <c r="I21187" s="24"/>
      <c r="J21187" s="24"/>
      <c r="K21187" s="24"/>
      <c r="L21187" s="24"/>
      <c r="M21187" s="24"/>
      <c r="N21187" s="24"/>
      <c r="O21187" s="24"/>
      <c r="P21187" s="24"/>
      <c r="Q21187" s="24"/>
      <c r="R21187" s="24"/>
      <c r="S21187" s="24"/>
      <c r="T21187" s="24"/>
      <c r="U21187" s="24"/>
      <c r="V21187" s="24"/>
      <c r="W21187" s="24"/>
      <c r="X21187" s="24"/>
      <c r="Y21187" s="24"/>
      <c r="Z21187" s="24"/>
      <c r="AA21187" s="24"/>
    </row>
    <row r="21188">
      <c r="A21188" s="24"/>
      <c r="B21188" s="25"/>
      <c r="C21188" s="24"/>
      <c r="D21188" s="26"/>
      <c r="E21188" s="24"/>
      <c r="F21188" s="24"/>
      <c r="G21188" s="24"/>
      <c r="H21188" s="24"/>
      <c r="I21188" s="24"/>
      <c r="J21188" s="24"/>
      <c r="K21188" s="24"/>
      <c r="L21188" s="24"/>
      <c r="M21188" s="24"/>
      <c r="N21188" s="24"/>
      <c r="O21188" s="24"/>
      <c r="P21188" s="24"/>
      <c r="Q21188" s="24"/>
      <c r="R21188" s="24"/>
      <c r="S21188" s="24"/>
      <c r="T21188" s="24"/>
      <c r="U21188" s="24"/>
      <c r="V21188" s="24"/>
      <c r="W21188" s="24"/>
      <c r="X21188" s="24"/>
      <c r="Y21188" s="24"/>
      <c r="Z21188" s="24"/>
      <c r="AA21188" s="24"/>
    </row>
    <row r="21189">
      <c r="A21189" s="24"/>
      <c r="B21189" s="25"/>
      <c r="C21189" s="24"/>
      <c r="D21189" s="26"/>
      <c r="E21189" s="24"/>
      <c r="F21189" s="24"/>
      <c r="G21189" s="24"/>
      <c r="H21189" s="24"/>
      <c r="I21189" s="24"/>
      <c r="J21189" s="24"/>
      <c r="K21189" s="24"/>
      <c r="L21189" s="24"/>
      <c r="M21189" s="24"/>
      <c r="N21189" s="24"/>
      <c r="O21189" s="24"/>
      <c r="P21189" s="24"/>
      <c r="Q21189" s="24"/>
      <c r="R21189" s="24"/>
      <c r="S21189" s="24"/>
      <c r="T21189" s="24"/>
      <c r="U21189" s="24"/>
      <c r="V21189" s="24"/>
      <c r="W21189" s="24"/>
      <c r="X21189" s="24"/>
      <c r="Y21189" s="24"/>
      <c r="Z21189" s="24"/>
      <c r="AA21189" s="24"/>
    </row>
    <row r="21190">
      <c r="A21190" s="24"/>
      <c r="B21190" s="25"/>
      <c r="C21190" s="24"/>
      <c r="D21190" s="26"/>
      <c r="E21190" s="24"/>
      <c r="F21190" s="24"/>
      <c r="G21190" s="24"/>
      <c r="H21190" s="24"/>
      <c r="I21190" s="24"/>
      <c r="J21190" s="24"/>
      <c r="K21190" s="24"/>
      <c r="L21190" s="24"/>
      <c r="M21190" s="24"/>
      <c r="N21190" s="24"/>
      <c r="O21190" s="24"/>
      <c r="P21190" s="24"/>
      <c r="Q21190" s="24"/>
      <c r="R21190" s="24"/>
      <c r="S21190" s="24"/>
      <c r="T21190" s="24"/>
      <c r="U21190" s="24"/>
      <c r="V21190" s="24"/>
      <c r="W21190" s="24"/>
      <c r="X21190" s="24"/>
      <c r="Y21190" s="24"/>
      <c r="Z21190" s="24"/>
      <c r="AA21190" s="24"/>
    </row>
    <row r="21191">
      <c r="A21191" s="24"/>
      <c r="B21191" s="25"/>
      <c r="C21191" s="24"/>
      <c r="D21191" s="26"/>
      <c r="E21191" s="24"/>
      <c r="F21191" s="24"/>
      <c r="G21191" s="24"/>
      <c r="H21191" s="24"/>
      <c r="I21191" s="24"/>
      <c r="J21191" s="24"/>
      <c r="K21191" s="24"/>
      <c r="L21191" s="24"/>
      <c r="M21191" s="24"/>
      <c r="N21191" s="24"/>
      <c r="O21191" s="24"/>
      <c r="P21191" s="24"/>
      <c r="Q21191" s="24"/>
      <c r="R21191" s="24"/>
      <c r="S21191" s="24"/>
      <c r="T21191" s="24"/>
      <c r="U21191" s="24"/>
      <c r="V21191" s="24"/>
      <c r="W21191" s="24"/>
      <c r="X21191" s="24"/>
      <c r="Y21191" s="24"/>
      <c r="Z21191" s="24"/>
      <c r="AA21191" s="24"/>
    </row>
    <row r="21192">
      <c r="A21192" s="24"/>
      <c r="B21192" s="25"/>
      <c r="C21192" s="24"/>
      <c r="D21192" s="26"/>
      <c r="E21192" s="24"/>
      <c r="F21192" s="24"/>
      <c r="G21192" s="24"/>
      <c r="H21192" s="24"/>
      <c r="I21192" s="24"/>
      <c r="J21192" s="24"/>
      <c r="K21192" s="24"/>
      <c r="L21192" s="24"/>
      <c r="M21192" s="24"/>
      <c r="N21192" s="24"/>
      <c r="O21192" s="24"/>
      <c r="P21192" s="24"/>
      <c r="Q21192" s="24"/>
      <c r="R21192" s="24"/>
      <c r="S21192" s="24"/>
      <c r="T21192" s="24"/>
      <c r="U21192" s="24"/>
      <c r="V21192" s="24"/>
      <c r="W21192" s="24"/>
      <c r="X21192" s="24"/>
      <c r="Y21192" s="24"/>
      <c r="Z21192" s="24"/>
      <c r="AA21192" s="24"/>
    </row>
    <row r="21193">
      <c r="A21193" s="24"/>
      <c r="B21193" s="25"/>
      <c r="C21193" s="24"/>
      <c r="D21193" s="26"/>
      <c r="E21193" s="24"/>
      <c r="F21193" s="24"/>
      <c r="G21193" s="24"/>
      <c r="H21193" s="24"/>
      <c r="I21193" s="24"/>
      <c r="J21193" s="24"/>
      <c r="K21193" s="24"/>
      <c r="L21193" s="24"/>
      <c r="M21193" s="24"/>
      <c r="N21193" s="24"/>
      <c r="O21193" s="24"/>
      <c r="P21193" s="24"/>
      <c r="Q21193" s="24"/>
      <c r="R21193" s="24"/>
      <c r="S21193" s="24"/>
      <c r="T21193" s="24"/>
      <c r="U21193" s="24"/>
      <c r="V21193" s="24"/>
      <c r="W21193" s="24"/>
      <c r="X21193" s="24"/>
      <c r="Y21193" s="24"/>
      <c r="Z21193" s="24"/>
      <c r="AA21193" s="24"/>
    </row>
    <row r="21194">
      <c r="A21194" s="24"/>
      <c r="B21194" s="25"/>
      <c r="C21194" s="24"/>
      <c r="D21194" s="26"/>
      <c r="E21194" s="24"/>
      <c r="F21194" s="24"/>
      <c r="G21194" s="24"/>
      <c r="H21194" s="24"/>
      <c r="I21194" s="24"/>
      <c r="J21194" s="24"/>
      <c r="K21194" s="24"/>
      <c r="L21194" s="24"/>
      <c r="M21194" s="24"/>
      <c r="N21194" s="24"/>
      <c r="O21194" s="24"/>
      <c r="P21194" s="24"/>
      <c r="Q21194" s="24"/>
      <c r="R21194" s="24"/>
      <c r="S21194" s="24"/>
      <c r="T21194" s="24"/>
      <c r="U21194" s="24"/>
      <c r="V21194" s="24"/>
      <c r="W21194" s="24"/>
      <c r="X21194" s="24"/>
      <c r="Y21194" s="24"/>
      <c r="Z21194" s="24"/>
      <c r="AA21194" s="24"/>
    </row>
    <row r="21195">
      <c r="A21195" s="24"/>
      <c r="B21195" s="25"/>
      <c r="C21195" s="24"/>
      <c r="D21195" s="26"/>
      <c r="E21195" s="24"/>
      <c r="F21195" s="24"/>
      <c r="G21195" s="24"/>
      <c r="H21195" s="24"/>
      <c r="I21195" s="24"/>
      <c r="J21195" s="24"/>
      <c r="K21195" s="24"/>
      <c r="L21195" s="24"/>
      <c r="M21195" s="24"/>
      <c r="N21195" s="24"/>
      <c r="O21195" s="24"/>
      <c r="P21195" s="24"/>
      <c r="Q21195" s="24"/>
      <c r="R21195" s="24"/>
      <c r="S21195" s="24"/>
      <c r="T21195" s="24"/>
      <c r="U21195" s="24"/>
      <c r="V21195" s="24"/>
      <c r="W21195" s="24"/>
      <c r="X21195" s="24"/>
      <c r="Y21195" s="24"/>
      <c r="Z21195" s="24"/>
      <c r="AA21195" s="24"/>
    </row>
    <row r="21196">
      <c r="A21196" s="24"/>
      <c r="B21196" s="25"/>
      <c r="C21196" s="24"/>
      <c r="D21196" s="26"/>
      <c r="E21196" s="24"/>
      <c r="F21196" s="24"/>
      <c r="G21196" s="24"/>
      <c r="H21196" s="24"/>
      <c r="I21196" s="24"/>
      <c r="J21196" s="24"/>
      <c r="K21196" s="24"/>
      <c r="L21196" s="24"/>
      <c r="M21196" s="24"/>
      <c r="N21196" s="24"/>
      <c r="O21196" s="24"/>
      <c r="P21196" s="24"/>
      <c r="Q21196" s="24"/>
      <c r="R21196" s="24"/>
      <c r="S21196" s="24"/>
      <c r="T21196" s="24"/>
      <c r="U21196" s="24"/>
      <c r="V21196" s="24"/>
      <c r="W21196" s="24"/>
      <c r="X21196" s="24"/>
      <c r="Y21196" s="24"/>
      <c r="Z21196" s="24"/>
      <c r="AA21196" s="24"/>
    </row>
    <row r="21197">
      <c r="A21197" s="24"/>
      <c r="B21197" s="25"/>
      <c r="C21197" s="24"/>
      <c r="D21197" s="26"/>
      <c r="E21197" s="24"/>
      <c r="F21197" s="24"/>
      <c r="G21197" s="24"/>
      <c r="H21197" s="24"/>
      <c r="I21197" s="24"/>
      <c r="J21197" s="24"/>
      <c r="K21197" s="24"/>
      <c r="L21197" s="24"/>
      <c r="M21197" s="24"/>
      <c r="N21197" s="24"/>
      <c r="O21197" s="24"/>
      <c r="P21197" s="24"/>
      <c r="Q21197" s="24"/>
      <c r="R21197" s="24"/>
      <c r="S21197" s="24"/>
      <c r="T21197" s="24"/>
      <c r="U21197" s="24"/>
      <c r="V21197" s="24"/>
      <c r="W21197" s="24"/>
      <c r="X21197" s="24"/>
      <c r="Y21197" s="24"/>
      <c r="Z21197" s="24"/>
      <c r="AA21197" s="24"/>
    </row>
    <row r="21198">
      <c r="A21198" s="24"/>
      <c r="B21198" s="25"/>
      <c r="C21198" s="24"/>
      <c r="D21198" s="26"/>
      <c r="E21198" s="24"/>
      <c r="F21198" s="24"/>
      <c r="G21198" s="24"/>
      <c r="H21198" s="24"/>
      <c r="I21198" s="24"/>
      <c r="J21198" s="24"/>
      <c r="K21198" s="24"/>
      <c r="L21198" s="24"/>
      <c r="M21198" s="24"/>
      <c r="N21198" s="24"/>
      <c r="O21198" s="24"/>
      <c r="P21198" s="24"/>
      <c r="Q21198" s="24"/>
      <c r="R21198" s="24"/>
      <c r="S21198" s="24"/>
      <c r="T21198" s="24"/>
      <c r="U21198" s="24"/>
      <c r="V21198" s="24"/>
      <c r="W21198" s="24"/>
      <c r="X21198" s="24"/>
      <c r="Y21198" s="24"/>
      <c r="Z21198" s="24"/>
      <c r="AA21198" s="24"/>
    </row>
    <row r="21199">
      <c r="A21199" s="24"/>
      <c r="B21199" s="25"/>
      <c r="C21199" s="24"/>
      <c r="D21199" s="26"/>
      <c r="E21199" s="24"/>
      <c r="F21199" s="24"/>
      <c r="G21199" s="24"/>
      <c r="H21199" s="24"/>
      <c r="I21199" s="24"/>
      <c r="J21199" s="24"/>
      <c r="K21199" s="24"/>
      <c r="L21199" s="24"/>
      <c r="M21199" s="24"/>
      <c r="N21199" s="24"/>
      <c r="O21199" s="24"/>
      <c r="P21199" s="24"/>
      <c r="Q21199" s="24"/>
      <c r="R21199" s="24"/>
      <c r="S21199" s="24"/>
      <c r="T21199" s="24"/>
      <c r="U21199" s="24"/>
      <c r="V21199" s="24"/>
      <c r="W21199" s="24"/>
      <c r="X21199" s="24"/>
      <c r="Y21199" s="24"/>
      <c r="Z21199" s="24"/>
      <c r="AA21199" s="24"/>
    </row>
    <row r="21200">
      <c r="A21200" s="24"/>
      <c r="B21200" s="25"/>
      <c r="C21200" s="24"/>
      <c r="D21200" s="26"/>
      <c r="E21200" s="24"/>
      <c r="F21200" s="24"/>
      <c r="G21200" s="24"/>
      <c r="H21200" s="24"/>
      <c r="I21200" s="24"/>
      <c r="J21200" s="24"/>
      <c r="K21200" s="24"/>
      <c r="L21200" s="24"/>
      <c r="M21200" s="24"/>
      <c r="N21200" s="24"/>
      <c r="O21200" s="24"/>
      <c r="P21200" s="24"/>
      <c r="Q21200" s="24"/>
      <c r="R21200" s="24"/>
      <c r="S21200" s="24"/>
      <c r="T21200" s="24"/>
      <c r="U21200" s="24"/>
      <c r="V21200" s="24"/>
      <c r="W21200" s="24"/>
      <c r="X21200" s="24"/>
      <c r="Y21200" s="24"/>
      <c r="Z21200" s="24"/>
      <c r="AA21200" s="24"/>
    </row>
    <row r="21201">
      <c r="A21201" s="24"/>
      <c r="B21201" s="25"/>
      <c r="C21201" s="24"/>
      <c r="D21201" s="26"/>
      <c r="E21201" s="24"/>
      <c r="F21201" s="24"/>
      <c r="G21201" s="24"/>
      <c r="H21201" s="24"/>
      <c r="I21201" s="24"/>
      <c r="J21201" s="24"/>
      <c r="K21201" s="24"/>
      <c r="L21201" s="24"/>
      <c r="M21201" s="24"/>
      <c r="N21201" s="24"/>
      <c r="O21201" s="24"/>
      <c r="P21201" s="24"/>
      <c r="Q21201" s="24"/>
      <c r="R21201" s="24"/>
      <c r="S21201" s="24"/>
      <c r="T21201" s="24"/>
      <c r="U21201" s="24"/>
      <c r="V21201" s="24"/>
      <c r="W21201" s="24"/>
      <c r="X21201" s="24"/>
      <c r="Y21201" s="24"/>
      <c r="Z21201" s="24"/>
      <c r="AA21201" s="24"/>
    </row>
    <row r="21202">
      <c r="A21202" s="24"/>
      <c r="B21202" s="25"/>
      <c r="C21202" s="24"/>
      <c r="D21202" s="26"/>
      <c r="E21202" s="24"/>
      <c r="F21202" s="24"/>
      <c r="G21202" s="24"/>
      <c r="H21202" s="24"/>
      <c r="I21202" s="24"/>
      <c r="J21202" s="24"/>
      <c r="K21202" s="24"/>
      <c r="L21202" s="24"/>
      <c r="M21202" s="24"/>
      <c r="N21202" s="24"/>
      <c r="O21202" s="24"/>
      <c r="P21202" s="24"/>
      <c r="Q21202" s="24"/>
      <c r="R21202" s="24"/>
      <c r="S21202" s="24"/>
      <c r="T21202" s="24"/>
      <c r="U21202" s="24"/>
      <c r="V21202" s="24"/>
      <c r="W21202" s="24"/>
      <c r="X21202" s="24"/>
      <c r="Y21202" s="24"/>
      <c r="Z21202" s="24"/>
      <c r="AA21202" s="24"/>
    </row>
    <row r="21203">
      <c r="A21203" s="24"/>
      <c r="B21203" s="25"/>
      <c r="C21203" s="24"/>
      <c r="D21203" s="26"/>
      <c r="E21203" s="24"/>
      <c r="F21203" s="24"/>
      <c r="G21203" s="24"/>
      <c r="H21203" s="24"/>
      <c r="I21203" s="24"/>
      <c r="J21203" s="24"/>
      <c r="K21203" s="24"/>
      <c r="L21203" s="24"/>
      <c r="M21203" s="24"/>
      <c r="N21203" s="24"/>
      <c r="O21203" s="24"/>
      <c r="P21203" s="24"/>
      <c r="Q21203" s="24"/>
      <c r="R21203" s="24"/>
      <c r="S21203" s="24"/>
      <c r="T21203" s="24"/>
      <c r="U21203" s="24"/>
      <c r="V21203" s="24"/>
      <c r="W21203" s="24"/>
      <c r="X21203" s="24"/>
      <c r="Y21203" s="24"/>
      <c r="Z21203" s="24"/>
      <c r="AA21203" s="24"/>
    </row>
    <row r="21204">
      <c r="A21204" s="24"/>
      <c r="B21204" s="25"/>
      <c r="C21204" s="24"/>
      <c r="D21204" s="26"/>
      <c r="E21204" s="24"/>
      <c r="F21204" s="24"/>
      <c r="G21204" s="24"/>
      <c r="H21204" s="24"/>
      <c r="I21204" s="24"/>
      <c r="J21204" s="24"/>
      <c r="K21204" s="24"/>
      <c r="L21204" s="24"/>
      <c r="M21204" s="24"/>
      <c r="N21204" s="24"/>
      <c r="O21204" s="24"/>
      <c r="P21204" s="24"/>
      <c r="Q21204" s="24"/>
      <c r="R21204" s="24"/>
      <c r="S21204" s="24"/>
      <c r="T21204" s="24"/>
      <c r="U21204" s="24"/>
      <c r="V21204" s="24"/>
      <c r="W21204" s="24"/>
      <c r="X21204" s="24"/>
      <c r="Y21204" s="24"/>
      <c r="Z21204" s="24"/>
      <c r="AA21204" s="24"/>
    </row>
    <row r="21205">
      <c r="A21205" s="24"/>
      <c r="B21205" s="25"/>
      <c r="C21205" s="24"/>
      <c r="D21205" s="26"/>
      <c r="E21205" s="24"/>
      <c r="F21205" s="24"/>
      <c r="G21205" s="24"/>
      <c r="H21205" s="24"/>
      <c r="I21205" s="24"/>
      <c r="J21205" s="24"/>
      <c r="K21205" s="24"/>
      <c r="L21205" s="24"/>
      <c r="M21205" s="24"/>
      <c r="N21205" s="24"/>
      <c r="O21205" s="24"/>
      <c r="P21205" s="24"/>
      <c r="Q21205" s="24"/>
      <c r="R21205" s="24"/>
      <c r="S21205" s="24"/>
      <c r="T21205" s="24"/>
      <c r="U21205" s="24"/>
      <c r="V21205" s="24"/>
      <c r="W21205" s="24"/>
      <c r="X21205" s="24"/>
      <c r="Y21205" s="24"/>
      <c r="Z21205" s="24"/>
      <c r="AA21205" s="24"/>
    </row>
    <row r="21206">
      <c r="A21206" s="24"/>
      <c r="B21206" s="25"/>
      <c r="C21206" s="24"/>
      <c r="D21206" s="26"/>
      <c r="E21206" s="24"/>
      <c r="F21206" s="24"/>
      <c r="G21206" s="24"/>
      <c r="H21206" s="24"/>
      <c r="I21206" s="24"/>
      <c r="J21206" s="24"/>
      <c r="K21206" s="24"/>
      <c r="L21206" s="24"/>
      <c r="M21206" s="24"/>
      <c r="N21206" s="24"/>
      <c r="O21206" s="24"/>
      <c r="P21206" s="24"/>
      <c r="Q21206" s="24"/>
      <c r="R21206" s="24"/>
      <c r="S21206" s="24"/>
      <c r="T21206" s="24"/>
      <c r="U21206" s="24"/>
      <c r="V21206" s="24"/>
      <c r="W21206" s="24"/>
      <c r="X21206" s="24"/>
      <c r="Y21206" s="24"/>
      <c r="Z21206" s="24"/>
      <c r="AA21206" s="24"/>
    </row>
    <row r="21207">
      <c r="A21207" s="24"/>
      <c r="B21207" s="25"/>
      <c r="C21207" s="24"/>
      <c r="D21207" s="26"/>
      <c r="E21207" s="24"/>
      <c r="F21207" s="24"/>
      <c r="G21207" s="24"/>
      <c r="H21207" s="24"/>
      <c r="I21207" s="24"/>
      <c r="J21207" s="24"/>
      <c r="K21207" s="24"/>
      <c r="L21207" s="24"/>
      <c r="M21207" s="24"/>
      <c r="N21207" s="24"/>
      <c r="O21207" s="24"/>
      <c r="P21207" s="24"/>
      <c r="Q21207" s="24"/>
      <c r="R21207" s="24"/>
      <c r="S21207" s="24"/>
      <c r="T21207" s="24"/>
      <c r="U21207" s="24"/>
      <c r="V21207" s="24"/>
      <c r="W21207" s="24"/>
      <c r="X21207" s="24"/>
      <c r="Y21207" s="24"/>
      <c r="Z21207" s="24"/>
      <c r="AA21207" s="24"/>
    </row>
    <row r="21208">
      <c r="A21208" s="24"/>
      <c r="B21208" s="25"/>
      <c r="C21208" s="24"/>
      <c r="D21208" s="26"/>
      <c r="E21208" s="24"/>
      <c r="F21208" s="24"/>
      <c r="G21208" s="24"/>
      <c r="H21208" s="24"/>
      <c r="I21208" s="24"/>
      <c r="J21208" s="24"/>
      <c r="K21208" s="24"/>
      <c r="L21208" s="24"/>
      <c r="M21208" s="24"/>
      <c r="N21208" s="24"/>
      <c r="O21208" s="24"/>
      <c r="P21208" s="24"/>
      <c r="Q21208" s="24"/>
      <c r="R21208" s="24"/>
      <c r="S21208" s="24"/>
      <c r="T21208" s="24"/>
      <c r="U21208" s="24"/>
      <c r="V21208" s="24"/>
      <c r="W21208" s="24"/>
      <c r="X21208" s="24"/>
      <c r="Y21208" s="24"/>
      <c r="Z21208" s="24"/>
      <c r="AA21208" s="24"/>
    </row>
    <row r="21209">
      <c r="A21209" s="24"/>
      <c r="B21209" s="25"/>
      <c r="C21209" s="24"/>
      <c r="D21209" s="26"/>
      <c r="E21209" s="24"/>
      <c r="F21209" s="24"/>
      <c r="G21209" s="24"/>
      <c r="H21209" s="24"/>
      <c r="I21209" s="24"/>
      <c r="J21209" s="24"/>
      <c r="K21209" s="24"/>
      <c r="L21209" s="24"/>
      <c r="M21209" s="24"/>
      <c r="N21209" s="24"/>
      <c r="O21209" s="24"/>
      <c r="P21209" s="24"/>
      <c r="Q21209" s="24"/>
      <c r="R21209" s="24"/>
      <c r="S21209" s="24"/>
      <c r="T21209" s="24"/>
      <c r="U21209" s="24"/>
      <c r="V21209" s="24"/>
      <c r="W21209" s="24"/>
      <c r="X21209" s="24"/>
      <c r="Y21209" s="24"/>
      <c r="Z21209" s="24"/>
      <c r="AA21209" s="24"/>
    </row>
    <row r="21210">
      <c r="A21210" s="24"/>
      <c r="B21210" s="25"/>
      <c r="C21210" s="24"/>
      <c r="D21210" s="26"/>
      <c r="E21210" s="24"/>
      <c r="F21210" s="24"/>
      <c r="G21210" s="24"/>
      <c r="H21210" s="24"/>
      <c r="I21210" s="24"/>
      <c r="J21210" s="24"/>
      <c r="K21210" s="24"/>
      <c r="L21210" s="24"/>
      <c r="M21210" s="24"/>
      <c r="N21210" s="24"/>
      <c r="O21210" s="24"/>
      <c r="P21210" s="24"/>
      <c r="Q21210" s="24"/>
      <c r="R21210" s="24"/>
      <c r="S21210" s="24"/>
      <c r="T21210" s="24"/>
      <c r="U21210" s="24"/>
      <c r="V21210" s="24"/>
      <c r="W21210" s="24"/>
      <c r="X21210" s="24"/>
      <c r="Y21210" s="24"/>
      <c r="Z21210" s="24"/>
      <c r="AA21210" s="24"/>
    </row>
    <row r="21211">
      <c r="A21211" s="24"/>
      <c r="B21211" s="25"/>
      <c r="C21211" s="24"/>
      <c r="D21211" s="26"/>
      <c r="E21211" s="24"/>
      <c r="F21211" s="24"/>
      <c r="G21211" s="24"/>
      <c r="H21211" s="24"/>
      <c r="I21211" s="24"/>
      <c r="J21211" s="24"/>
      <c r="K21211" s="24"/>
      <c r="L21211" s="24"/>
      <c r="M21211" s="24"/>
      <c r="N21211" s="24"/>
      <c r="O21211" s="24"/>
      <c r="P21211" s="24"/>
      <c r="Q21211" s="24"/>
      <c r="R21211" s="24"/>
      <c r="S21211" s="24"/>
      <c r="T21211" s="24"/>
      <c r="U21211" s="24"/>
      <c r="V21211" s="24"/>
      <c r="W21211" s="24"/>
      <c r="X21211" s="24"/>
      <c r="Y21211" s="24"/>
      <c r="Z21211" s="24"/>
      <c r="AA21211" s="24"/>
    </row>
    <row r="21212">
      <c r="A21212" s="24"/>
      <c r="B21212" s="25"/>
      <c r="C21212" s="24"/>
      <c r="D21212" s="26"/>
      <c r="E21212" s="24"/>
      <c r="F21212" s="24"/>
      <c r="G21212" s="24"/>
      <c r="H21212" s="24"/>
      <c r="I21212" s="24"/>
      <c r="J21212" s="24"/>
      <c r="K21212" s="24"/>
      <c r="L21212" s="24"/>
      <c r="M21212" s="24"/>
      <c r="N21212" s="24"/>
      <c r="O21212" s="24"/>
      <c r="P21212" s="24"/>
      <c r="Q21212" s="24"/>
      <c r="R21212" s="24"/>
      <c r="S21212" s="24"/>
      <c r="T21212" s="24"/>
      <c r="U21212" s="24"/>
      <c r="V21212" s="24"/>
      <c r="W21212" s="24"/>
      <c r="X21212" s="24"/>
      <c r="Y21212" s="24"/>
      <c r="Z21212" s="24"/>
      <c r="AA21212" s="24"/>
    </row>
    <row r="21213">
      <c r="A21213" s="24"/>
      <c r="B21213" s="25"/>
      <c r="C21213" s="24"/>
      <c r="D21213" s="26"/>
      <c r="E21213" s="24"/>
      <c r="F21213" s="24"/>
      <c r="G21213" s="24"/>
      <c r="H21213" s="24"/>
      <c r="I21213" s="24"/>
      <c r="J21213" s="24"/>
      <c r="K21213" s="24"/>
      <c r="L21213" s="24"/>
      <c r="M21213" s="24"/>
      <c r="N21213" s="24"/>
      <c r="O21213" s="24"/>
      <c r="P21213" s="24"/>
      <c r="Q21213" s="24"/>
      <c r="R21213" s="24"/>
      <c r="S21213" s="24"/>
      <c r="T21213" s="24"/>
      <c r="U21213" s="24"/>
      <c r="V21213" s="24"/>
      <c r="W21213" s="24"/>
      <c r="X21213" s="24"/>
      <c r="Y21213" s="24"/>
      <c r="Z21213" s="24"/>
      <c r="AA21213" s="24"/>
    </row>
    <row r="21214">
      <c r="A21214" s="24"/>
      <c r="B21214" s="25"/>
      <c r="C21214" s="24"/>
      <c r="D21214" s="26"/>
      <c r="E21214" s="24"/>
      <c r="F21214" s="24"/>
      <c r="G21214" s="24"/>
      <c r="H21214" s="24"/>
      <c r="I21214" s="24"/>
      <c r="J21214" s="24"/>
      <c r="K21214" s="24"/>
      <c r="L21214" s="24"/>
      <c r="M21214" s="24"/>
      <c r="N21214" s="24"/>
      <c r="O21214" s="24"/>
      <c r="P21214" s="24"/>
      <c r="Q21214" s="24"/>
      <c r="R21214" s="24"/>
      <c r="S21214" s="24"/>
      <c r="T21214" s="24"/>
      <c r="U21214" s="24"/>
      <c r="V21214" s="24"/>
      <c r="W21214" s="24"/>
      <c r="X21214" s="24"/>
      <c r="Y21214" s="24"/>
      <c r="Z21214" s="24"/>
      <c r="AA21214" s="24"/>
    </row>
    <row r="21215">
      <c r="A21215" s="24"/>
      <c r="B21215" s="25"/>
      <c r="C21215" s="24"/>
      <c r="D21215" s="26"/>
      <c r="E21215" s="24"/>
      <c r="F21215" s="24"/>
      <c r="G21215" s="24"/>
      <c r="H21215" s="24"/>
      <c r="I21215" s="24"/>
      <c r="J21215" s="24"/>
      <c r="K21215" s="24"/>
      <c r="L21215" s="24"/>
      <c r="M21215" s="24"/>
      <c r="N21215" s="24"/>
      <c r="O21215" s="24"/>
      <c r="P21215" s="24"/>
      <c r="Q21215" s="24"/>
      <c r="R21215" s="24"/>
      <c r="S21215" s="24"/>
      <c r="T21215" s="24"/>
      <c r="U21215" s="24"/>
      <c r="V21215" s="24"/>
      <c r="W21215" s="24"/>
      <c r="X21215" s="24"/>
      <c r="Y21215" s="24"/>
      <c r="Z21215" s="24"/>
      <c r="AA21215" s="24"/>
    </row>
    <row r="21216">
      <c r="A21216" s="24"/>
      <c r="B21216" s="25"/>
      <c r="C21216" s="24"/>
      <c r="D21216" s="26"/>
      <c r="E21216" s="24"/>
      <c r="F21216" s="24"/>
      <c r="G21216" s="24"/>
      <c r="H21216" s="24"/>
      <c r="I21216" s="24"/>
      <c r="J21216" s="24"/>
      <c r="K21216" s="24"/>
      <c r="L21216" s="24"/>
      <c r="M21216" s="24"/>
      <c r="N21216" s="24"/>
      <c r="O21216" s="24"/>
      <c r="P21216" s="24"/>
      <c r="Q21216" s="24"/>
      <c r="R21216" s="24"/>
      <c r="S21216" s="24"/>
      <c r="T21216" s="24"/>
      <c r="U21216" s="24"/>
      <c r="V21216" s="24"/>
      <c r="W21216" s="24"/>
      <c r="X21216" s="24"/>
      <c r="Y21216" s="24"/>
      <c r="Z21216" s="24"/>
      <c r="AA21216" s="24"/>
    </row>
    <row r="21217">
      <c r="A21217" s="24"/>
      <c r="B21217" s="25"/>
      <c r="C21217" s="24"/>
      <c r="D21217" s="26"/>
      <c r="E21217" s="24"/>
      <c r="F21217" s="24"/>
      <c r="G21217" s="24"/>
      <c r="H21217" s="24"/>
      <c r="I21217" s="24"/>
      <c r="J21217" s="24"/>
      <c r="K21217" s="24"/>
      <c r="L21217" s="24"/>
      <c r="M21217" s="24"/>
      <c r="N21217" s="24"/>
      <c r="O21217" s="24"/>
      <c r="P21217" s="24"/>
      <c r="Q21217" s="24"/>
      <c r="R21217" s="24"/>
      <c r="S21217" s="24"/>
      <c r="T21217" s="24"/>
      <c r="U21217" s="24"/>
      <c r="V21217" s="24"/>
      <c r="W21217" s="24"/>
      <c r="X21217" s="24"/>
      <c r="Y21217" s="24"/>
      <c r="Z21217" s="24"/>
      <c r="AA21217" s="24"/>
    </row>
    <row r="21218">
      <c r="A21218" s="24"/>
      <c r="B21218" s="25"/>
      <c r="C21218" s="24"/>
      <c r="D21218" s="26"/>
      <c r="E21218" s="24"/>
      <c r="F21218" s="24"/>
      <c r="G21218" s="24"/>
      <c r="H21218" s="24"/>
      <c r="I21218" s="24"/>
      <c r="J21218" s="24"/>
      <c r="K21218" s="24"/>
      <c r="L21218" s="24"/>
      <c r="M21218" s="24"/>
      <c r="N21218" s="24"/>
      <c r="O21218" s="24"/>
      <c r="P21218" s="24"/>
      <c r="Q21218" s="24"/>
      <c r="R21218" s="24"/>
      <c r="S21218" s="24"/>
      <c r="T21218" s="24"/>
      <c r="U21218" s="24"/>
      <c r="V21218" s="24"/>
      <c r="W21218" s="24"/>
      <c r="X21218" s="24"/>
      <c r="Y21218" s="24"/>
      <c r="Z21218" s="24"/>
      <c r="AA21218" s="24"/>
    </row>
    <row r="21219">
      <c r="A21219" s="24"/>
      <c r="B21219" s="25"/>
      <c r="C21219" s="24"/>
      <c r="D21219" s="26"/>
      <c r="E21219" s="24"/>
      <c r="F21219" s="24"/>
      <c r="G21219" s="24"/>
      <c r="H21219" s="24"/>
      <c r="I21219" s="24"/>
      <c r="J21219" s="24"/>
      <c r="K21219" s="24"/>
      <c r="L21219" s="24"/>
      <c r="M21219" s="24"/>
      <c r="N21219" s="24"/>
      <c r="O21219" s="24"/>
      <c r="P21219" s="24"/>
      <c r="Q21219" s="24"/>
      <c r="R21219" s="24"/>
      <c r="S21219" s="24"/>
      <c r="T21219" s="24"/>
      <c r="U21219" s="24"/>
      <c r="V21219" s="24"/>
      <c r="W21219" s="24"/>
      <c r="X21219" s="24"/>
      <c r="Y21219" s="24"/>
      <c r="Z21219" s="24"/>
      <c r="AA21219" s="24"/>
    </row>
    <row r="21220">
      <c r="A21220" s="24"/>
      <c r="B21220" s="25"/>
      <c r="C21220" s="24"/>
      <c r="D21220" s="26"/>
      <c r="E21220" s="24"/>
      <c r="F21220" s="24"/>
      <c r="G21220" s="24"/>
      <c r="H21220" s="24"/>
      <c r="I21220" s="24"/>
      <c r="J21220" s="24"/>
      <c r="K21220" s="24"/>
      <c r="L21220" s="24"/>
      <c r="M21220" s="24"/>
      <c r="N21220" s="24"/>
      <c r="O21220" s="24"/>
      <c r="P21220" s="24"/>
      <c r="Q21220" s="24"/>
      <c r="R21220" s="24"/>
      <c r="S21220" s="24"/>
      <c r="T21220" s="24"/>
      <c r="U21220" s="24"/>
      <c r="V21220" s="24"/>
      <c r="W21220" s="24"/>
      <c r="X21220" s="24"/>
      <c r="Y21220" s="24"/>
      <c r="Z21220" s="24"/>
      <c r="AA21220" s="24"/>
    </row>
    <row r="21221">
      <c r="A21221" s="24"/>
      <c r="B21221" s="25"/>
      <c r="C21221" s="24"/>
      <c r="D21221" s="26"/>
      <c r="E21221" s="24"/>
      <c r="F21221" s="24"/>
      <c r="G21221" s="24"/>
      <c r="H21221" s="24"/>
      <c r="I21221" s="24"/>
      <c r="J21221" s="24"/>
      <c r="K21221" s="24"/>
      <c r="L21221" s="24"/>
      <c r="M21221" s="24"/>
      <c r="N21221" s="24"/>
      <c r="O21221" s="24"/>
      <c r="P21221" s="24"/>
      <c r="Q21221" s="24"/>
      <c r="R21221" s="24"/>
      <c r="S21221" s="24"/>
      <c r="T21221" s="24"/>
      <c r="U21221" s="24"/>
      <c r="V21221" s="24"/>
      <c r="W21221" s="24"/>
      <c r="X21221" s="24"/>
      <c r="Y21221" s="24"/>
      <c r="Z21221" s="24"/>
      <c r="AA21221" s="24"/>
    </row>
    <row r="21222">
      <c r="A21222" s="24"/>
      <c r="B21222" s="25"/>
      <c r="C21222" s="24"/>
      <c r="D21222" s="26"/>
      <c r="E21222" s="24"/>
      <c r="F21222" s="24"/>
      <c r="G21222" s="24"/>
      <c r="H21222" s="24"/>
      <c r="I21222" s="24"/>
      <c r="J21222" s="24"/>
      <c r="K21222" s="24"/>
      <c r="L21222" s="24"/>
      <c r="M21222" s="24"/>
      <c r="N21222" s="24"/>
      <c r="O21222" s="24"/>
      <c r="P21222" s="24"/>
      <c r="Q21222" s="24"/>
      <c r="R21222" s="24"/>
      <c r="S21222" s="24"/>
      <c r="T21222" s="24"/>
      <c r="U21222" s="24"/>
      <c r="V21222" s="24"/>
      <c r="W21222" s="24"/>
      <c r="X21222" s="24"/>
      <c r="Y21222" s="24"/>
      <c r="Z21222" s="24"/>
      <c r="AA21222" s="24"/>
    </row>
    <row r="21223">
      <c r="A21223" s="24"/>
      <c r="B21223" s="25"/>
      <c r="C21223" s="24"/>
      <c r="D21223" s="26"/>
      <c r="E21223" s="24"/>
      <c r="F21223" s="24"/>
      <c r="G21223" s="24"/>
      <c r="H21223" s="24"/>
      <c r="I21223" s="24"/>
      <c r="J21223" s="24"/>
      <c r="K21223" s="24"/>
      <c r="L21223" s="24"/>
      <c r="M21223" s="24"/>
      <c r="N21223" s="24"/>
      <c r="O21223" s="24"/>
      <c r="P21223" s="24"/>
      <c r="Q21223" s="24"/>
      <c r="R21223" s="24"/>
      <c r="S21223" s="24"/>
      <c r="T21223" s="24"/>
      <c r="U21223" s="24"/>
      <c r="V21223" s="24"/>
      <c r="W21223" s="24"/>
      <c r="X21223" s="24"/>
      <c r="Y21223" s="24"/>
      <c r="Z21223" s="24"/>
      <c r="AA21223" s="24"/>
    </row>
    <row r="21224">
      <c r="A21224" s="24"/>
      <c r="B21224" s="25"/>
      <c r="C21224" s="24"/>
      <c r="D21224" s="26"/>
      <c r="E21224" s="24"/>
      <c r="F21224" s="24"/>
      <c r="G21224" s="24"/>
      <c r="H21224" s="24"/>
      <c r="I21224" s="24"/>
      <c r="J21224" s="24"/>
      <c r="K21224" s="24"/>
      <c r="L21224" s="24"/>
      <c r="M21224" s="24"/>
      <c r="N21224" s="24"/>
      <c r="O21224" s="24"/>
      <c r="P21224" s="24"/>
      <c r="Q21224" s="24"/>
      <c r="R21224" s="24"/>
      <c r="S21224" s="24"/>
      <c r="T21224" s="24"/>
      <c r="U21224" s="24"/>
      <c r="V21224" s="24"/>
      <c r="W21224" s="24"/>
      <c r="X21224" s="24"/>
      <c r="Y21224" s="24"/>
      <c r="Z21224" s="24"/>
      <c r="AA21224" s="24"/>
    </row>
    <row r="21225">
      <c r="A21225" s="24"/>
      <c r="B21225" s="25"/>
      <c r="C21225" s="24"/>
      <c r="D21225" s="26"/>
      <c r="E21225" s="24"/>
      <c r="F21225" s="24"/>
      <c r="G21225" s="24"/>
      <c r="H21225" s="24"/>
      <c r="I21225" s="24"/>
      <c r="J21225" s="24"/>
      <c r="K21225" s="24"/>
      <c r="L21225" s="24"/>
      <c r="M21225" s="24"/>
      <c r="N21225" s="24"/>
      <c r="O21225" s="24"/>
      <c r="P21225" s="24"/>
      <c r="Q21225" s="24"/>
      <c r="R21225" s="24"/>
      <c r="S21225" s="24"/>
      <c r="T21225" s="24"/>
      <c r="U21225" s="24"/>
      <c r="V21225" s="24"/>
      <c r="W21225" s="24"/>
      <c r="X21225" s="24"/>
      <c r="Y21225" s="24"/>
      <c r="Z21225" s="24"/>
      <c r="AA21225" s="24"/>
    </row>
    <row r="21226">
      <c r="A21226" s="24"/>
      <c r="B21226" s="25"/>
      <c r="C21226" s="24"/>
      <c r="D21226" s="26"/>
      <c r="E21226" s="24"/>
      <c r="F21226" s="24"/>
      <c r="G21226" s="24"/>
      <c r="H21226" s="24"/>
      <c r="I21226" s="24"/>
      <c r="J21226" s="24"/>
      <c r="K21226" s="24"/>
      <c r="L21226" s="24"/>
      <c r="M21226" s="24"/>
      <c r="N21226" s="24"/>
      <c r="O21226" s="24"/>
      <c r="P21226" s="24"/>
      <c r="Q21226" s="24"/>
      <c r="R21226" s="24"/>
      <c r="S21226" s="24"/>
      <c r="T21226" s="24"/>
      <c r="U21226" s="24"/>
      <c r="V21226" s="24"/>
      <c r="W21226" s="24"/>
      <c r="X21226" s="24"/>
      <c r="Y21226" s="24"/>
      <c r="Z21226" s="24"/>
      <c r="AA21226" s="24"/>
    </row>
    <row r="21227">
      <c r="A21227" s="24"/>
      <c r="B21227" s="25"/>
      <c r="C21227" s="24"/>
      <c r="D21227" s="26"/>
      <c r="E21227" s="24"/>
      <c r="F21227" s="24"/>
      <c r="G21227" s="24"/>
      <c r="H21227" s="24"/>
      <c r="I21227" s="24"/>
      <c r="J21227" s="24"/>
      <c r="K21227" s="24"/>
      <c r="L21227" s="24"/>
      <c r="M21227" s="24"/>
      <c r="N21227" s="24"/>
      <c r="O21227" s="24"/>
      <c r="P21227" s="24"/>
      <c r="Q21227" s="24"/>
      <c r="R21227" s="24"/>
      <c r="S21227" s="24"/>
      <c r="T21227" s="24"/>
      <c r="U21227" s="24"/>
      <c r="V21227" s="24"/>
      <c r="W21227" s="24"/>
      <c r="X21227" s="24"/>
      <c r="Y21227" s="24"/>
      <c r="Z21227" s="24"/>
      <c r="AA21227" s="24"/>
    </row>
    <row r="21228">
      <c r="A21228" s="24"/>
      <c r="B21228" s="25"/>
      <c r="C21228" s="24"/>
      <c r="D21228" s="26"/>
      <c r="E21228" s="24"/>
      <c r="F21228" s="24"/>
      <c r="G21228" s="24"/>
      <c r="H21228" s="24"/>
      <c r="I21228" s="24"/>
      <c r="J21228" s="24"/>
      <c r="K21228" s="24"/>
      <c r="L21228" s="24"/>
      <c r="M21228" s="24"/>
      <c r="N21228" s="24"/>
      <c r="O21228" s="24"/>
      <c r="P21228" s="24"/>
      <c r="Q21228" s="24"/>
      <c r="R21228" s="24"/>
      <c r="S21228" s="24"/>
      <c r="T21228" s="24"/>
      <c r="U21228" s="24"/>
      <c r="V21228" s="24"/>
      <c r="W21228" s="24"/>
      <c r="X21228" s="24"/>
      <c r="Y21228" s="24"/>
      <c r="Z21228" s="24"/>
      <c r="AA21228" s="24"/>
    </row>
    <row r="21229">
      <c r="A21229" s="24"/>
      <c r="B21229" s="25"/>
      <c r="C21229" s="24"/>
      <c r="D21229" s="26"/>
      <c r="E21229" s="24"/>
      <c r="F21229" s="24"/>
      <c r="G21229" s="24"/>
      <c r="H21229" s="24"/>
      <c r="I21229" s="24"/>
      <c r="J21229" s="24"/>
      <c r="K21229" s="24"/>
      <c r="L21229" s="24"/>
      <c r="M21229" s="24"/>
      <c r="N21229" s="24"/>
      <c r="O21229" s="24"/>
      <c r="P21229" s="24"/>
      <c r="Q21229" s="24"/>
      <c r="R21229" s="24"/>
      <c r="S21229" s="24"/>
      <c r="T21229" s="24"/>
      <c r="U21229" s="24"/>
      <c r="V21229" s="24"/>
      <c r="W21229" s="24"/>
      <c r="X21229" s="24"/>
      <c r="Y21229" s="24"/>
      <c r="Z21229" s="24"/>
      <c r="AA21229" s="24"/>
    </row>
    <row r="21230">
      <c r="A21230" s="24"/>
      <c r="B21230" s="25"/>
      <c r="C21230" s="24"/>
      <c r="D21230" s="26"/>
      <c r="E21230" s="24"/>
      <c r="F21230" s="24"/>
      <c r="G21230" s="24"/>
      <c r="H21230" s="24"/>
      <c r="I21230" s="24"/>
      <c r="J21230" s="24"/>
      <c r="K21230" s="24"/>
      <c r="L21230" s="24"/>
      <c r="M21230" s="24"/>
      <c r="N21230" s="24"/>
      <c r="O21230" s="24"/>
      <c r="P21230" s="24"/>
      <c r="Q21230" s="24"/>
      <c r="R21230" s="24"/>
      <c r="S21230" s="24"/>
      <c r="T21230" s="24"/>
      <c r="U21230" s="24"/>
      <c r="V21230" s="24"/>
      <c r="W21230" s="24"/>
      <c r="X21230" s="24"/>
      <c r="Y21230" s="24"/>
      <c r="Z21230" s="24"/>
      <c r="AA21230" s="24"/>
    </row>
    <row r="21231">
      <c r="A21231" s="24"/>
      <c r="B21231" s="25"/>
      <c r="C21231" s="24"/>
      <c r="D21231" s="26"/>
      <c r="E21231" s="24"/>
      <c r="F21231" s="24"/>
      <c r="G21231" s="24"/>
      <c r="H21231" s="24"/>
      <c r="I21231" s="24"/>
      <c r="J21231" s="24"/>
      <c r="K21231" s="24"/>
      <c r="L21231" s="24"/>
      <c r="M21231" s="24"/>
      <c r="N21231" s="24"/>
      <c r="O21231" s="24"/>
      <c r="P21231" s="24"/>
      <c r="Q21231" s="24"/>
      <c r="R21231" s="24"/>
      <c r="S21231" s="24"/>
      <c r="T21231" s="24"/>
      <c r="U21231" s="24"/>
      <c r="V21231" s="24"/>
      <c r="W21231" s="24"/>
      <c r="X21231" s="24"/>
      <c r="Y21231" s="24"/>
      <c r="Z21231" s="24"/>
      <c r="AA21231" s="24"/>
    </row>
    <row r="21232">
      <c r="A21232" s="24"/>
      <c r="B21232" s="25"/>
      <c r="C21232" s="24"/>
      <c r="D21232" s="26"/>
      <c r="E21232" s="24"/>
      <c r="F21232" s="24"/>
      <c r="G21232" s="24"/>
      <c r="H21232" s="24"/>
      <c r="I21232" s="24"/>
      <c r="J21232" s="24"/>
      <c r="K21232" s="24"/>
      <c r="L21232" s="24"/>
      <c r="M21232" s="24"/>
      <c r="N21232" s="24"/>
      <c r="O21232" s="24"/>
      <c r="P21232" s="24"/>
      <c r="Q21232" s="24"/>
      <c r="R21232" s="24"/>
      <c r="S21232" s="24"/>
      <c r="T21232" s="24"/>
      <c r="U21232" s="24"/>
      <c r="V21232" s="24"/>
      <c r="W21232" s="24"/>
      <c r="X21232" s="24"/>
      <c r="Y21232" s="24"/>
      <c r="Z21232" s="24"/>
      <c r="AA21232" s="24"/>
    </row>
    <row r="21233">
      <c r="A21233" s="24"/>
      <c r="B21233" s="25"/>
      <c r="C21233" s="24"/>
      <c r="D21233" s="26"/>
      <c r="E21233" s="24"/>
      <c r="F21233" s="24"/>
      <c r="G21233" s="24"/>
      <c r="H21233" s="24"/>
      <c r="I21233" s="24"/>
      <c r="J21233" s="24"/>
      <c r="K21233" s="24"/>
      <c r="L21233" s="24"/>
      <c r="M21233" s="24"/>
      <c r="N21233" s="24"/>
      <c r="O21233" s="24"/>
      <c r="P21233" s="24"/>
      <c r="Q21233" s="24"/>
      <c r="R21233" s="24"/>
      <c r="S21233" s="24"/>
      <c r="T21233" s="24"/>
      <c r="U21233" s="24"/>
      <c r="V21233" s="24"/>
      <c r="W21233" s="24"/>
      <c r="X21233" s="24"/>
      <c r="Y21233" s="24"/>
      <c r="Z21233" s="24"/>
      <c r="AA21233" s="24"/>
    </row>
    <row r="21234">
      <c r="A21234" s="24"/>
      <c r="B21234" s="25"/>
      <c r="C21234" s="24"/>
      <c r="D21234" s="26"/>
      <c r="E21234" s="24"/>
      <c r="F21234" s="24"/>
      <c r="G21234" s="24"/>
      <c r="H21234" s="24"/>
      <c r="I21234" s="24"/>
      <c r="J21234" s="24"/>
      <c r="K21234" s="24"/>
      <c r="L21234" s="24"/>
      <c r="M21234" s="24"/>
      <c r="N21234" s="24"/>
      <c r="O21234" s="24"/>
      <c r="P21234" s="24"/>
      <c r="Q21234" s="24"/>
      <c r="R21234" s="24"/>
      <c r="S21234" s="24"/>
      <c r="T21234" s="24"/>
      <c r="U21234" s="24"/>
      <c r="V21234" s="24"/>
      <c r="W21234" s="24"/>
      <c r="X21234" s="24"/>
      <c r="Y21234" s="24"/>
      <c r="Z21234" s="24"/>
      <c r="AA21234" s="24"/>
    </row>
    <row r="21235">
      <c r="A21235" s="24"/>
      <c r="B21235" s="25"/>
      <c r="C21235" s="24"/>
      <c r="D21235" s="26"/>
      <c r="E21235" s="24"/>
      <c r="F21235" s="24"/>
      <c r="G21235" s="24"/>
      <c r="H21235" s="24"/>
      <c r="I21235" s="24"/>
      <c r="J21235" s="24"/>
      <c r="K21235" s="24"/>
      <c r="L21235" s="24"/>
      <c r="M21235" s="24"/>
      <c r="N21235" s="24"/>
      <c r="O21235" s="24"/>
      <c r="P21235" s="24"/>
      <c r="Q21235" s="24"/>
      <c r="R21235" s="24"/>
      <c r="S21235" s="24"/>
      <c r="T21235" s="24"/>
      <c r="U21235" s="24"/>
      <c r="V21235" s="24"/>
      <c r="W21235" s="24"/>
      <c r="X21235" s="24"/>
      <c r="Y21235" s="24"/>
      <c r="Z21235" s="24"/>
      <c r="AA21235" s="24"/>
    </row>
    <row r="21236">
      <c r="A21236" s="24"/>
      <c r="B21236" s="25"/>
      <c r="C21236" s="24"/>
      <c r="D21236" s="26"/>
      <c r="E21236" s="24"/>
      <c r="F21236" s="24"/>
      <c r="G21236" s="24"/>
      <c r="H21236" s="24"/>
      <c r="I21236" s="24"/>
      <c r="J21236" s="24"/>
      <c r="K21236" s="24"/>
      <c r="L21236" s="24"/>
      <c r="M21236" s="24"/>
      <c r="N21236" s="24"/>
      <c r="O21236" s="24"/>
      <c r="P21236" s="24"/>
      <c r="Q21236" s="24"/>
      <c r="R21236" s="24"/>
      <c r="S21236" s="24"/>
      <c r="T21236" s="24"/>
      <c r="U21236" s="24"/>
      <c r="V21236" s="24"/>
      <c r="W21236" s="24"/>
      <c r="X21236" s="24"/>
      <c r="Y21236" s="24"/>
      <c r="Z21236" s="24"/>
      <c r="AA21236" s="24"/>
    </row>
    <row r="21237">
      <c r="A21237" s="24"/>
      <c r="B21237" s="25"/>
      <c r="C21237" s="24"/>
      <c r="D21237" s="26"/>
      <c r="E21237" s="24"/>
      <c r="F21237" s="24"/>
      <c r="G21237" s="24"/>
      <c r="H21237" s="24"/>
      <c r="I21237" s="24"/>
      <c r="J21237" s="24"/>
      <c r="K21237" s="24"/>
      <c r="L21237" s="24"/>
      <c r="M21237" s="24"/>
      <c r="N21237" s="24"/>
      <c r="O21237" s="24"/>
      <c r="P21237" s="24"/>
      <c r="Q21237" s="24"/>
      <c r="R21237" s="24"/>
      <c r="S21237" s="24"/>
      <c r="T21237" s="24"/>
      <c r="U21237" s="24"/>
      <c r="V21237" s="24"/>
      <c r="W21237" s="24"/>
      <c r="X21237" s="24"/>
      <c r="Y21237" s="24"/>
      <c r="Z21237" s="24"/>
      <c r="AA21237" s="24"/>
    </row>
    <row r="21238">
      <c r="A21238" s="24"/>
      <c r="B21238" s="25"/>
      <c r="C21238" s="24"/>
      <c r="D21238" s="26"/>
      <c r="E21238" s="24"/>
      <c r="F21238" s="24"/>
      <c r="G21238" s="24"/>
      <c r="H21238" s="24"/>
      <c r="I21238" s="24"/>
      <c r="J21238" s="24"/>
      <c r="K21238" s="24"/>
      <c r="L21238" s="24"/>
      <c r="M21238" s="24"/>
      <c r="N21238" s="24"/>
      <c r="O21238" s="24"/>
      <c r="P21238" s="24"/>
      <c r="Q21238" s="24"/>
      <c r="R21238" s="24"/>
      <c r="S21238" s="24"/>
      <c r="T21238" s="24"/>
      <c r="U21238" s="24"/>
      <c r="V21238" s="24"/>
      <c r="W21238" s="24"/>
      <c r="X21238" s="24"/>
      <c r="Y21238" s="24"/>
      <c r="Z21238" s="24"/>
      <c r="AA21238" s="24"/>
    </row>
    <row r="21239">
      <c r="A21239" s="24"/>
      <c r="B21239" s="25"/>
      <c r="C21239" s="24"/>
      <c r="D21239" s="26"/>
      <c r="E21239" s="24"/>
      <c r="F21239" s="24"/>
      <c r="G21239" s="24"/>
      <c r="H21239" s="24"/>
      <c r="I21239" s="24"/>
      <c r="J21239" s="24"/>
      <c r="K21239" s="24"/>
      <c r="L21239" s="24"/>
      <c r="M21239" s="24"/>
      <c r="N21239" s="24"/>
      <c r="O21239" s="24"/>
      <c r="P21239" s="24"/>
      <c r="Q21239" s="24"/>
      <c r="R21239" s="24"/>
      <c r="S21239" s="24"/>
      <c r="T21239" s="24"/>
      <c r="U21239" s="24"/>
      <c r="V21239" s="24"/>
      <c r="W21239" s="24"/>
      <c r="X21239" s="24"/>
      <c r="Y21239" s="24"/>
      <c r="Z21239" s="24"/>
      <c r="AA21239" s="24"/>
    </row>
    <row r="21240">
      <c r="A21240" s="24"/>
      <c r="B21240" s="25"/>
      <c r="C21240" s="24"/>
      <c r="D21240" s="26"/>
      <c r="E21240" s="24"/>
      <c r="F21240" s="24"/>
      <c r="G21240" s="24"/>
      <c r="H21240" s="24"/>
      <c r="I21240" s="24"/>
      <c r="J21240" s="24"/>
      <c r="K21240" s="24"/>
      <c r="L21240" s="24"/>
      <c r="M21240" s="24"/>
      <c r="N21240" s="24"/>
      <c r="O21240" s="24"/>
      <c r="P21240" s="24"/>
      <c r="Q21240" s="24"/>
      <c r="R21240" s="24"/>
      <c r="S21240" s="24"/>
      <c r="T21240" s="24"/>
      <c r="U21240" s="24"/>
      <c r="V21240" s="24"/>
      <c r="W21240" s="24"/>
      <c r="X21240" s="24"/>
      <c r="Y21240" s="24"/>
      <c r="Z21240" s="24"/>
      <c r="AA21240" s="24"/>
    </row>
    <row r="21241">
      <c r="A21241" s="24"/>
      <c r="B21241" s="25"/>
      <c r="C21241" s="24"/>
      <c r="D21241" s="26"/>
      <c r="E21241" s="24"/>
      <c r="F21241" s="24"/>
      <c r="G21241" s="24"/>
      <c r="H21241" s="24"/>
      <c r="I21241" s="24"/>
      <c r="J21241" s="24"/>
      <c r="K21241" s="24"/>
      <c r="L21241" s="24"/>
      <c r="M21241" s="24"/>
      <c r="N21241" s="24"/>
      <c r="O21241" s="24"/>
      <c r="P21241" s="24"/>
      <c r="Q21241" s="24"/>
      <c r="R21241" s="24"/>
      <c r="S21241" s="24"/>
      <c r="T21241" s="24"/>
      <c r="U21241" s="24"/>
      <c r="V21241" s="24"/>
      <c r="W21241" s="24"/>
      <c r="X21241" s="24"/>
      <c r="Y21241" s="24"/>
      <c r="Z21241" s="24"/>
      <c r="AA21241" s="24"/>
    </row>
    <row r="21242">
      <c r="A21242" s="24"/>
      <c r="B21242" s="25"/>
      <c r="C21242" s="24"/>
      <c r="D21242" s="26"/>
      <c r="E21242" s="24"/>
      <c r="F21242" s="24"/>
      <c r="G21242" s="24"/>
      <c r="H21242" s="24"/>
      <c r="I21242" s="24"/>
      <c r="J21242" s="24"/>
      <c r="K21242" s="24"/>
      <c r="L21242" s="24"/>
      <c r="M21242" s="24"/>
      <c r="N21242" s="24"/>
      <c r="O21242" s="24"/>
      <c r="P21242" s="24"/>
      <c r="Q21242" s="24"/>
      <c r="R21242" s="24"/>
      <c r="S21242" s="24"/>
      <c r="T21242" s="24"/>
      <c r="U21242" s="24"/>
      <c r="V21242" s="24"/>
      <c r="W21242" s="24"/>
      <c r="X21242" s="24"/>
      <c r="Y21242" s="24"/>
      <c r="Z21242" s="24"/>
      <c r="AA21242" s="24"/>
    </row>
    <row r="21243">
      <c r="A21243" s="24"/>
      <c r="B21243" s="25"/>
      <c r="C21243" s="24"/>
      <c r="D21243" s="26"/>
      <c r="E21243" s="24"/>
      <c r="F21243" s="24"/>
      <c r="G21243" s="24"/>
      <c r="H21243" s="24"/>
      <c r="I21243" s="24"/>
      <c r="J21243" s="24"/>
      <c r="K21243" s="24"/>
      <c r="L21243" s="24"/>
      <c r="M21243" s="24"/>
      <c r="N21243" s="24"/>
      <c r="O21243" s="24"/>
      <c r="P21243" s="24"/>
      <c r="Q21243" s="24"/>
      <c r="R21243" s="24"/>
      <c r="S21243" s="24"/>
      <c r="T21243" s="24"/>
      <c r="U21243" s="24"/>
      <c r="V21243" s="24"/>
      <c r="W21243" s="24"/>
      <c r="X21243" s="24"/>
      <c r="Y21243" s="24"/>
      <c r="Z21243" s="24"/>
      <c r="AA21243" s="24"/>
    </row>
    <row r="21244">
      <c r="A21244" s="24"/>
      <c r="B21244" s="25"/>
      <c r="C21244" s="24"/>
      <c r="D21244" s="26"/>
      <c r="E21244" s="24"/>
      <c r="F21244" s="24"/>
      <c r="G21244" s="24"/>
      <c r="H21244" s="24"/>
      <c r="I21244" s="24"/>
      <c r="J21244" s="24"/>
      <c r="K21244" s="24"/>
      <c r="L21244" s="24"/>
      <c r="M21244" s="24"/>
      <c r="N21244" s="24"/>
      <c r="O21244" s="24"/>
      <c r="P21244" s="24"/>
      <c r="Q21244" s="24"/>
      <c r="R21244" s="24"/>
      <c r="S21244" s="24"/>
      <c r="T21244" s="24"/>
      <c r="U21244" s="24"/>
      <c r="V21244" s="24"/>
      <c r="W21244" s="24"/>
      <c r="X21244" s="24"/>
      <c r="Y21244" s="24"/>
      <c r="Z21244" s="24"/>
      <c r="AA21244" s="24"/>
    </row>
    <row r="21245">
      <c r="A21245" s="24"/>
      <c r="B21245" s="25"/>
      <c r="C21245" s="24"/>
      <c r="D21245" s="26"/>
      <c r="E21245" s="24"/>
      <c r="F21245" s="24"/>
      <c r="G21245" s="24"/>
      <c r="H21245" s="24"/>
      <c r="I21245" s="24"/>
      <c r="J21245" s="24"/>
      <c r="K21245" s="24"/>
      <c r="L21245" s="24"/>
      <c r="M21245" s="24"/>
      <c r="N21245" s="24"/>
      <c r="O21245" s="24"/>
      <c r="P21245" s="24"/>
      <c r="Q21245" s="24"/>
      <c r="R21245" s="24"/>
      <c r="S21245" s="24"/>
      <c r="T21245" s="24"/>
      <c r="U21245" s="24"/>
      <c r="V21245" s="24"/>
      <c r="W21245" s="24"/>
      <c r="X21245" s="24"/>
      <c r="Y21245" s="24"/>
      <c r="Z21245" s="24"/>
      <c r="AA21245" s="24"/>
    </row>
    <row r="21246">
      <c r="A21246" s="24"/>
      <c r="B21246" s="25"/>
      <c r="C21246" s="24"/>
      <c r="D21246" s="26"/>
      <c r="E21246" s="24"/>
      <c r="F21246" s="24"/>
      <c r="G21246" s="24"/>
      <c r="H21246" s="24"/>
      <c r="I21246" s="24"/>
      <c r="J21246" s="24"/>
      <c r="K21246" s="24"/>
      <c r="L21246" s="24"/>
      <c r="M21246" s="24"/>
      <c r="N21246" s="24"/>
      <c r="O21246" s="24"/>
      <c r="P21246" s="24"/>
      <c r="Q21246" s="24"/>
      <c r="R21246" s="24"/>
      <c r="S21246" s="24"/>
      <c r="T21246" s="24"/>
      <c r="U21246" s="24"/>
      <c r="V21246" s="24"/>
      <c r="W21246" s="24"/>
      <c r="X21246" s="24"/>
      <c r="Y21246" s="24"/>
      <c r="Z21246" s="24"/>
      <c r="AA21246" s="24"/>
    </row>
    <row r="21247">
      <c r="A21247" s="24"/>
      <c r="B21247" s="25"/>
      <c r="C21247" s="24"/>
      <c r="D21247" s="26"/>
      <c r="E21247" s="24"/>
      <c r="F21247" s="24"/>
      <c r="G21247" s="24"/>
      <c r="H21247" s="24"/>
      <c r="I21247" s="24"/>
      <c r="J21247" s="24"/>
      <c r="K21247" s="24"/>
      <c r="L21247" s="24"/>
      <c r="M21247" s="24"/>
      <c r="N21247" s="24"/>
      <c r="O21247" s="24"/>
      <c r="P21247" s="24"/>
      <c r="Q21247" s="24"/>
      <c r="R21247" s="24"/>
      <c r="S21247" s="24"/>
      <c r="T21247" s="24"/>
      <c r="U21247" s="24"/>
      <c r="V21247" s="24"/>
      <c r="W21247" s="24"/>
      <c r="X21247" s="24"/>
      <c r="Y21247" s="24"/>
      <c r="Z21247" s="24"/>
      <c r="AA21247" s="24"/>
    </row>
    <row r="21248">
      <c r="A21248" s="24"/>
      <c r="B21248" s="25"/>
      <c r="C21248" s="24"/>
      <c r="D21248" s="26"/>
      <c r="E21248" s="24"/>
      <c r="F21248" s="24"/>
      <c r="G21248" s="24"/>
      <c r="H21248" s="24"/>
      <c r="I21248" s="24"/>
      <c r="J21248" s="24"/>
      <c r="K21248" s="24"/>
      <c r="L21248" s="24"/>
      <c r="M21248" s="24"/>
      <c r="N21248" s="24"/>
      <c r="O21248" s="24"/>
      <c r="P21248" s="24"/>
      <c r="Q21248" s="24"/>
      <c r="R21248" s="24"/>
      <c r="S21248" s="24"/>
      <c r="T21248" s="24"/>
      <c r="U21248" s="24"/>
      <c r="V21248" s="24"/>
      <c r="W21248" s="24"/>
      <c r="X21248" s="24"/>
      <c r="Y21248" s="24"/>
      <c r="Z21248" s="24"/>
      <c r="AA21248" s="24"/>
    </row>
    <row r="21249">
      <c r="A21249" s="24"/>
      <c r="B21249" s="25"/>
      <c r="C21249" s="24"/>
      <c r="D21249" s="26"/>
      <c r="E21249" s="24"/>
      <c r="F21249" s="24"/>
      <c r="G21249" s="24"/>
      <c r="H21249" s="24"/>
      <c r="I21249" s="24"/>
      <c r="J21249" s="24"/>
      <c r="K21249" s="24"/>
      <c r="L21249" s="24"/>
      <c r="M21249" s="24"/>
      <c r="N21249" s="24"/>
      <c r="O21249" s="24"/>
      <c r="P21249" s="24"/>
      <c r="Q21249" s="24"/>
      <c r="R21249" s="24"/>
      <c r="S21249" s="24"/>
      <c r="T21249" s="24"/>
      <c r="U21249" s="24"/>
      <c r="V21249" s="24"/>
      <c r="W21249" s="24"/>
      <c r="X21249" s="24"/>
      <c r="Y21249" s="24"/>
      <c r="Z21249" s="24"/>
      <c r="AA21249" s="24"/>
    </row>
    <row r="21250">
      <c r="A21250" s="24"/>
      <c r="B21250" s="25"/>
      <c r="C21250" s="24"/>
      <c r="D21250" s="26"/>
      <c r="E21250" s="24"/>
      <c r="F21250" s="24"/>
      <c r="G21250" s="24"/>
      <c r="H21250" s="24"/>
      <c r="I21250" s="24"/>
      <c r="J21250" s="24"/>
      <c r="K21250" s="24"/>
      <c r="L21250" s="24"/>
      <c r="M21250" s="24"/>
      <c r="N21250" s="24"/>
      <c r="O21250" s="24"/>
      <c r="P21250" s="24"/>
      <c r="Q21250" s="24"/>
      <c r="R21250" s="24"/>
      <c r="S21250" s="24"/>
      <c r="T21250" s="24"/>
      <c r="U21250" s="24"/>
      <c r="V21250" s="24"/>
      <c r="W21250" s="24"/>
      <c r="X21250" s="24"/>
      <c r="Y21250" s="24"/>
      <c r="Z21250" s="24"/>
      <c r="AA21250" s="24"/>
    </row>
    <row r="21251">
      <c r="A21251" s="24"/>
      <c r="B21251" s="25"/>
      <c r="C21251" s="24"/>
      <c r="D21251" s="26"/>
      <c r="E21251" s="24"/>
      <c r="F21251" s="24"/>
      <c r="G21251" s="24"/>
      <c r="H21251" s="24"/>
      <c r="I21251" s="24"/>
      <c r="J21251" s="24"/>
      <c r="K21251" s="24"/>
      <c r="L21251" s="24"/>
      <c r="M21251" s="24"/>
      <c r="N21251" s="24"/>
      <c r="O21251" s="24"/>
      <c r="P21251" s="24"/>
      <c r="Q21251" s="24"/>
      <c r="R21251" s="24"/>
      <c r="S21251" s="24"/>
      <c r="T21251" s="24"/>
      <c r="U21251" s="24"/>
      <c r="V21251" s="24"/>
      <c r="W21251" s="24"/>
      <c r="X21251" s="24"/>
      <c r="Y21251" s="24"/>
      <c r="Z21251" s="24"/>
      <c r="AA21251" s="24"/>
    </row>
    <row r="21252">
      <c r="A21252" s="24"/>
      <c r="B21252" s="25"/>
      <c r="C21252" s="24"/>
      <c r="D21252" s="26"/>
      <c r="E21252" s="24"/>
      <c r="F21252" s="24"/>
      <c r="G21252" s="24"/>
      <c r="H21252" s="24"/>
      <c r="I21252" s="24"/>
      <c r="J21252" s="24"/>
      <c r="K21252" s="24"/>
      <c r="L21252" s="24"/>
      <c r="M21252" s="24"/>
      <c r="N21252" s="24"/>
      <c r="O21252" s="24"/>
      <c r="P21252" s="24"/>
      <c r="Q21252" s="24"/>
      <c r="R21252" s="24"/>
      <c r="S21252" s="24"/>
      <c r="T21252" s="24"/>
      <c r="U21252" s="24"/>
      <c r="V21252" s="24"/>
      <c r="W21252" s="24"/>
      <c r="X21252" s="24"/>
      <c r="Y21252" s="24"/>
      <c r="Z21252" s="24"/>
      <c r="AA21252" s="24"/>
    </row>
    <row r="21253">
      <c r="A21253" s="24"/>
      <c r="B21253" s="25"/>
      <c r="C21253" s="24"/>
      <c r="D21253" s="26"/>
      <c r="E21253" s="24"/>
      <c r="F21253" s="24"/>
      <c r="G21253" s="24"/>
      <c r="H21253" s="24"/>
      <c r="I21253" s="24"/>
      <c r="J21253" s="24"/>
      <c r="K21253" s="24"/>
      <c r="L21253" s="24"/>
      <c r="M21253" s="24"/>
      <c r="N21253" s="24"/>
      <c r="O21253" s="24"/>
      <c r="P21253" s="24"/>
      <c r="Q21253" s="24"/>
      <c r="R21253" s="24"/>
      <c r="S21253" s="24"/>
      <c r="T21253" s="24"/>
      <c r="U21253" s="24"/>
      <c r="V21253" s="24"/>
      <c r="W21253" s="24"/>
      <c r="X21253" s="24"/>
      <c r="Y21253" s="24"/>
      <c r="Z21253" s="24"/>
      <c r="AA21253" s="24"/>
    </row>
    <row r="21254">
      <c r="A21254" s="24"/>
      <c r="B21254" s="25"/>
      <c r="C21254" s="24"/>
      <c r="D21254" s="26"/>
      <c r="E21254" s="24"/>
      <c r="F21254" s="24"/>
      <c r="G21254" s="24"/>
      <c r="H21254" s="24"/>
      <c r="I21254" s="24"/>
      <c r="J21254" s="24"/>
      <c r="K21254" s="24"/>
      <c r="L21254" s="24"/>
      <c r="M21254" s="24"/>
      <c r="N21254" s="24"/>
      <c r="O21254" s="24"/>
      <c r="P21254" s="24"/>
      <c r="Q21254" s="24"/>
      <c r="R21254" s="24"/>
      <c r="S21254" s="24"/>
      <c r="T21254" s="24"/>
      <c r="U21254" s="24"/>
      <c r="V21254" s="24"/>
      <c r="W21254" s="24"/>
      <c r="X21254" s="24"/>
      <c r="Y21254" s="24"/>
      <c r="Z21254" s="24"/>
      <c r="AA21254" s="24"/>
    </row>
    <row r="21255">
      <c r="A21255" s="24"/>
      <c r="B21255" s="25"/>
      <c r="C21255" s="24"/>
      <c r="D21255" s="26"/>
      <c r="E21255" s="24"/>
      <c r="F21255" s="24"/>
      <c r="G21255" s="24"/>
      <c r="H21255" s="24"/>
      <c r="I21255" s="24"/>
      <c r="J21255" s="24"/>
      <c r="K21255" s="24"/>
      <c r="L21255" s="24"/>
      <c r="M21255" s="24"/>
      <c r="N21255" s="24"/>
      <c r="O21255" s="24"/>
      <c r="P21255" s="24"/>
      <c r="Q21255" s="24"/>
      <c r="R21255" s="24"/>
      <c r="S21255" s="24"/>
      <c r="T21255" s="24"/>
      <c r="U21255" s="24"/>
      <c r="V21255" s="24"/>
      <c r="W21255" s="24"/>
      <c r="X21255" s="24"/>
      <c r="Y21255" s="24"/>
      <c r="Z21255" s="24"/>
      <c r="AA21255" s="24"/>
    </row>
    <row r="21256">
      <c r="A21256" s="24"/>
      <c r="B21256" s="25"/>
      <c r="C21256" s="24"/>
      <c r="D21256" s="26"/>
      <c r="E21256" s="24"/>
      <c r="F21256" s="24"/>
      <c r="G21256" s="24"/>
      <c r="H21256" s="24"/>
      <c r="I21256" s="24"/>
      <c r="J21256" s="24"/>
      <c r="K21256" s="24"/>
      <c r="L21256" s="24"/>
      <c r="M21256" s="24"/>
      <c r="N21256" s="24"/>
      <c r="O21256" s="24"/>
      <c r="P21256" s="24"/>
      <c r="Q21256" s="24"/>
      <c r="R21256" s="24"/>
      <c r="S21256" s="24"/>
      <c r="T21256" s="24"/>
      <c r="U21256" s="24"/>
      <c r="V21256" s="24"/>
      <c r="W21256" s="24"/>
      <c r="X21256" s="24"/>
      <c r="Y21256" s="24"/>
      <c r="Z21256" s="24"/>
      <c r="AA21256" s="24"/>
    </row>
    <row r="21257">
      <c r="A21257" s="24"/>
      <c r="B21257" s="25"/>
      <c r="C21257" s="24"/>
      <c r="D21257" s="26"/>
      <c r="E21257" s="24"/>
      <c r="F21257" s="24"/>
      <c r="G21257" s="24"/>
      <c r="H21257" s="24"/>
      <c r="I21257" s="24"/>
      <c r="J21257" s="24"/>
      <c r="K21257" s="24"/>
      <c r="L21257" s="24"/>
      <c r="M21257" s="24"/>
      <c r="N21257" s="24"/>
      <c r="O21257" s="24"/>
      <c r="P21257" s="24"/>
      <c r="Q21257" s="24"/>
      <c r="R21257" s="24"/>
      <c r="S21257" s="24"/>
      <c r="T21257" s="24"/>
      <c r="U21257" s="24"/>
      <c r="V21257" s="24"/>
      <c r="W21257" s="24"/>
      <c r="X21257" s="24"/>
      <c r="Y21257" s="24"/>
      <c r="Z21257" s="24"/>
      <c r="AA21257" s="24"/>
    </row>
    <row r="21258">
      <c r="A21258" s="24"/>
      <c r="B21258" s="25"/>
      <c r="C21258" s="24"/>
      <c r="D21258" s="26"/>
      <c r="E21258" s="24"/>
      <c r="F21258" s="24"/>
      <c r="G21258" s="24"/>
      <c r="H21258" s="24"/>
      <c r="I21258" s="24"/>
      <c r="J21258" s="24"/>
      <c r="K21258" s="24"/>
      <c r="L21258" s="24"/>
      <c r="M21258" s="24"/>
      <c r="N21258" s="24"/>
      <c r="O21258" s="24"/>
      <c r="P21258" s="24"/>
      <c r="Q21258" s="24"/>
      <c r="R21258" s="24"/>
      <c r="S21258" s="24"/>
      <c r="T21258" s="24"/>
      <c r="U21258" s="24"/>
      <c r="V21258" s="24"/>
      <c r="W21258" s="24"/>
      <c r="X21258" s="24"/>
      <c r="Y21258" s="24"/>
      <c r="Z21258" s="24"/>
      <c r="AA21258" s="24"/>
    </row>
    <row r="21259">
      <c r="A21259" s="24"/>
      <c r="B21259" s="25"/>
      <c r="C21259" s="24"/>
      <c r="D21259" s="26"/>
      <c r="E21259" s="24"/>
      <c r="F21259" s="24"/>
      <c r="G21259" s="24"/>
      <c r="H21259" s="24"/>
      <c r="I21259" s="24"/>
      <c r="J21259" s="24"/>
      <c r="K21259" s="24"/>
      <c r="L21259" s="24"/>
      <c r="M21259" s="24"/>
      <c r="N21259" s="24"/>
      <c r="O21259" s="24"/>
      <c r="P21259" s="24"/>
      <c r="Q21259" s="24"/>
      <c r="R21259" s="24"/>
      <c r="S21259" s="24"/>
      <c r="T21259" s="24"/>
      <c r="U21259" s="24"/>
      <c r="V21259" s="24"/>
      <c r="W21259" s="24"/>
      <c r="X21259" s="24"/>
      <c r="Y21259" s="24"/>
      <c r="Z21259" s="24"/>
      <c r="AA21259" s="24"/>
    </row>
    <row r="21260">
      <c r="A21260" s="24"/>
      <c r="B21260" s="25"/>
      <c r="C21260" s="24"/>
      <c r="D21260" s="26"/>
      <c r="E21260" s="24"/>
      <c r="F21260" s="24"/>
      <c r="G21260" s="24"/>
      <c r="H21260" s="24"/>
      <c r="I21260" s="24"/>
      <c r="J21260" s="24"/>
      <c r="K21260" s="24"/>
      <c r="L21260" s="24"/>
      <c r="M21260" s="24"/>
      <c r="N21260" s="24"/>
      <c r="O21260" s="24"/>
      <c r="P21260" s="24"/>
      <c r="Q21260" s="24"/>
      <c r="R21260" s="24"/>
      <c r="S21260" s="24"/>
      <c r="T21260" s="24"/>
      <c r="U21260" s="24"/>
      <c r="V21260" s="24"/>
      <c r="W21260" s="24"/>
      <c r="X21260" s="24"/>
      <c r="Y21260" s="24"/>
      <c r="Z21260" s="24"/>
      <c r="AA21260" s="24"/>
    </row>
    <row r="21261">
      <c r="A21261" s="24"/>
      <c r="B21261" s="25"/>
      <c r="C21261" s="24"/>
      <c r="D21261" s="26"/>
      <c r="E21261" s="24"/>
      <c r="F21261" s="24"/>
      <c r="G21261" s="24"/>
      <c r="H21261" s="24"/>
      <c r="I21261" s="24"/>
      <c r="J21261" s="24"/>
      <c r="K21261" s="24"/>
      <c r="L21261" s="24"/>
      <c r="M21261" s="24"/>
      <c r="N21261" s="24"/>
      <c r="O21261" s="24"/>
      <c r="P21261" s="24"/>
      <c r="Q21261" s="24"/>
      <c r="R21261" s="24"/>
      <c r="S21261" s="24"/>
      <c r="T21261" s="24"/>
      <c r="U21261" s="24"/>
      <c r="V21261" s="24"/>
      <c r="W21261" s="24"/>
      <c r="X21261" s="24"/>
      <c r="Y21261" s="24"/>
      <c r="Z21261" s="24"/>
      <c r="AA21261" s="24"/>
    </row>
    <row r="21262">
      <c r="A21262" s="24"/>
      <c r="B21262" s="25"/>
      <c r="C21262" s="24"/>
      <c r="D21262" s="26"/>
      <c r="E21262" s="24"/>
      <c r="F21262" s="24"/>
      <c r="G21262" s="24"/>
      <c r="H21262" s="24"/>
      <c r="I21262" s="24"/>
      <c r="J21262" s="24"/>
      <c r="K21262" s="24"/>
      <c r="L21262" s="24"/>
      <c r="M21262" s="24"/>
      <c r="N21262" s="24"/>
      <c r="O21262" s="24"/>
      <c r="P21262" s="24"/>
      <c r="Q21262" s="24"/>
      <c r="R21262" s="24"/>
      <c r="S21262" s="24"/>
      <c r="T21262" s="24"/>
      <c r="U21262" s="24"/>
      <c r="V21262" s="24"/>
      <c r="W21262" s="24"/>
      <c r="X21262" s="24"/>
      <c r="Y21262" s="24"/>
      <c r="Z21262" s="24"/>
      <c r="AA21262" s="24"/>
    </row>
    <row r="21263">
      <c r="A21263" s="24"/>
      <c r="B21263" s="25"/>
      <c r="C21263" s="24"/>
      <c r="D21263" s="26"/>
      <c r="E21263" s="24"/>
      <c r="F21263" s="24"/>
      <c r="G21263" s="24"/>
      <c r="H21263" s="24"/>
      <c r="I21263" s="24"/>
      <c r="J21263" s="24"/>
      <c r="K21263" s="24"/>
      <c r="L21263" s="24"/>
      <c r="M21263" s="24"/>
      <c r="N21263" s="24"/>
      <c r="O21263" s="24"/>
      <c r="P21263" s="24"/>
      <c r="Q21263" s="24"/>
      <c r="R21263" s="24"/>
      <c r="S21263" s="24"/>
      <c r="T21263" s="24"/>
      <c r="U21263" s="24"/>
      <c r="V21263" s="24"/>
      <c r="W21263" s="24"/>
      <c r="X21263" s="24"/>
      <c r="Y21263" s="24"/>
      <c r="Z21263" s="24"/>
      <c r="AA21263" s="24"/>
    </row>
    <row r="21264">
      <c r="A21264" s="24"/>
      <c r="B21264" s="25"/>
      <c r="C21264" s="24"/>
      <c r="D21264" s="26"/>
      <c r="E21264" s="24"/>
      <c r="F21264" s="24"/>
      <c r="G21264" s="24"/>
      <c r="H21264" s="24"/>
      <c r="I21264" s="24"/>
      <c r="J21264" s="24"/>
      <c r="K21264" s="24"/>
      <c r="L21264" s="24"/>
      <c r="M21264" s="24"/>
      <c r="N21264" s="24"/>
      <c r="O21264" s="24"/>
      <c r="P21264" s="24"/>
      <c r="Q21264" s="24"/>
      <c r="R21264" s="24"/>
      <c r="S21264" s="24"/>
      <c r="T21264" s="24"/>
      <c r="U21264" s="24"/>
      <c r="V21264" s="24"/>
      <c r="W21264" s="24"/>
      <c r="X21264" s="24"/>
      <c r="Y21264" s="24"/>
      <c r="Z21264" s="24"/>
      <c r="AA21264" s="24"/>
    </row>
    <row r="21265">
      <c r="A21265" s="24"/>
      <c r="B21265" s="25"/>
      <c r="C21265" s="24"/>
      <c r="D21265" s="26"/>
      <c r="E21265" s="24"/>
      <c r="F21265" s="24"/>
      <c r="G21265" s="24"/>
      <c r="H21265" s="24"/>
      <c r="I21265" s="24"/>
      <c r="J21265" s="24"/>
      <c r="K21265" s="24"/>
      <c r="L21265" s="24"/>
      <c r="M21265" s="24"/>
      <c r="N21265" s="24"/>
      <c r="O21265" s="24"/>
      <c r="P21265" s="24"/>
      <c r="Q21265" s="24"/>
      <c r="R21265" s="24"/>
      <c r="S21265" s="24"/>
      <c r="T21265" s="24"/>
      <c r="U21265" s="24"/>
      <c r="V21265" s="24"/>
      <c r="W21265" s="24"/>
      <c r="X21265" s="24"/>
      <c r="Y21265" s="24"/>
      <c r="Z21265" s="24"/>
      <c r="AA21265" s="24"/>
    </row>
    <row r="21266">
      <c r="A21266" s="24"/>
      <c r="B21266" s="25"/>
      <c r="C21266" s="24"/>
      <c r="D21266" s="26"/>
      <c r="E21266" s="24"/>
      <c r="F21266" s="24"/>
      <c r="G21266" s="24"/>
      <c r="H21266" s="24"/>
      <c r="I21266" s="24"/>
      <c r="J21266" s="24"/>
      <c r="K21266" s="24"/>
      <c r="L21266" s="24"/>
      <c r="M21266" s="24"/>
      <c r="N21266" s="24"/>
      <c r="O21266" s="24"/>
      <c r="P21266" s="24"/>
      <c r="Q21266" s="24"/>
      <c r="R21266" s="24"/>
      <c r="S21266" s="24"/>
      <c r="T21266" s="24"/>
      <c r="U21266" s="24"/>
      <c r="V21266" s="24"/>
      <c r="W21266" s="24"/>
      <c r="X21266" s="24"/>
      <c r="Y21266" s="24"/>
      <c r="Z21266" s="24"/>
      <c r="AA21266" s="24"/>
    </row>
    <row r="21267">
      <c r="A21267" s="24"/>
      <c r="B21267" s="25"/>
      <c r="C21267" s="24"/>
      <c r="D21267" s="26"/>
      <c r="E21267" s="24"/>
      <c r="F21267" s="24"/>
      <c r="G21267" s="24"/>
      <c r="H21267" s="24"/>
      <c r="I21267" s="24"/>
      <c r="J21267" s="24"/>
      <c r="K21267" s="24"/>
      <c r="L21267" s="24"/>
      <c r="M21267" s="24"/>
      <c r="N21267" s="24"/>
      <c r="O21267" s="24"/>
      <c r="P21267" s="24"/>
      <c r="Q21267" s="24"/>
      <c r="R21267" s="24"/>
      <c r="S21267" s="24"/>
      <c r="T21267" s="24"/>
      <c r="U21267" s="24"/>
      <c r="V21267" s="24"/>
      <c r="W21267" s="24"/>
      <c r="X21267" s="24"/>
      <c r="Y21267" s="24"/>
      <c r="Z21267" s="24"/>
      <c r="AA21267" s="24"/>
    </row>
    <row r="21268">
      <c r="A21268" s="24"/>
      <c r="B21268" s="25"/>
      <c r="C21268" s="24"/>
      <c r="D21268" s="26"/>
      <c r="E21268" s="24"/>
      <c r="F21268" s="24"/>
      <c r="G21268" s="24"/>
      <c r="H21268" s="24"/>
      <c r="I21268" s="24"/>
      <c r="J21268" s="24"/>
      <c r="K21268" s="24"/>
      <c r="L21268" s="24"/>
      <c r="M21268" s="24"/>
      <c r="N21268" s="24"/>
      <c r="O21268" s="24"/>
      <c r="P21268" s="24"/>
      <c r="Q21268" s="24"/>
      <c r="R21268" s="24"/>
      <c r="S21268" s="24"/>
      <c r="T21268" s="24"/>
      <c r="U21268" s="24"/>
      <c r="V21268" s="24"/>
      <c r="W21268" s="24"/>
      <c r="X21268" s="24"/>
      <c r="Y21268" s="24"/>
      <c r="Z21268" s="24"/>
      <c r="AA21268" s="24"/>
    </row>
    <row r="21269">
      <c r="A21269" s="24"/>
      <c r="B21269" s="25"/>
      <c r="C21269" s="24"/>
      <c r="D21269" s="26"/>
      <c r="E21269" s="24"/>
      <c r="F21269" s="24"/>
      <c r="G21269" s="24"/>
      <c r="H21269" s="24"/>
      <c r="I21269" s="24"/>
      <c r="J21269" s="24"/>
      <c r="K21269" s="24"/>
      <c r="L21269" s="24"/>
      <c r="M21269" s="24"/>
      <c r="N21269" s="24"/>
      <c r="O21269" s="24"/>
      <c r="P21269" s="24"/>
      <c r="Q21269" s="24"/>
      <c r="R21269" s="24"/>
      <c r="S21269" s="24"/>
      <c r="T21269" s="24"/>
      <c r="U21269" s="24"/>
      <c r="V21269" s="24"/>
      <c r="W21269" s="24"/>
      <c r="X21269" s="24"/>
      <c r="Y21269" s="24"/>
      <c r="Z21269" s="24"/>
      <c r="AA21269" s="24"/>
    </row>
    <row r="21270">
      <c r="A21270" s="24"/>
      <c r="B21270" s="25"/>
      <c r="C21270" s="24"/>
      <c r="D21270" s="26"/>
      <c r="E21270" s="24"/>
      <c r="F21270" s="24"/>
      <c r="G21270" s="24"/>
      <c r="H21270" s="24"/>
      <c r="I21270" s="24"/>
      <c r="J21270" s="24"/>
      <c r="K21270" s="24"/>
      <c r="L21270" s="24"/>
      <c r="M21270" s="24"/>
      <c r="N21270" s="24"/>
      <c r="O21270" s="24"/>
      <c r="P21270" s="24"/>
      <c r="Q21270" s="24"/>
      <c r="R21270" s="24"/>
      <c r="S21270" s="24"/>
      <c r="T21270" s="24"/>
      <c r="U21270" s="24"/>
      <c r="V21270" s="24"/>
      <c r="W21270" s="24"/>
      <c r="X21270" s="24"/>
      <c r="Y21270" s="24"/>
      <c r="Z21270" s="24"/>
      <c r="AA21270" s="24"/>
    </row>
    <row r="21271">
      <c r="A21271" s="24"/>
      <c r="B21271" s="25"/>
      <c r="C21271" s="24"/>
      <c r="D21271" s="26"/>
      <c r="E21271" s="24"/>
      <c r="F21271" s="24"/>
      <c r="G21271" s="24"/>
      <c r="H21271" s="24"/>
      <c r="I21271" s="24"/>
      <c r="J21271" s="24"/>
      <c r="K21271" s="24"/>
      <c r="L21271" s="24"/>
      <c r="M21271" s="24"/>
      <c r="N21271" s="24"/>
      <c r="O21271" s="24"/>
      <c r="P21271" s="24"/>
      <c r="Q21271" s="24"/>
      <c r="R21271" s="24"/>
      <c r="S21271" s="24"/>
      <c r="T21271" s="24"/>
      <c r="U21271" s="24"/>
      <c r="V21271" s="24"/>
      <c r="W21271" s="24"/>
      <c r="X21271" s="24"/>
      <c r="Y21271" s="24"/>
      <c r="Z21271" s="24"/>
      <c r="AA21271" s="24"/>
    </row>
    <row r="21272">
      <c r="A21272" s="24"/>
      <c r="B21272" s="25"/>
      <c r="C21272" s="24"/>
      <c r="D21272" s="26"/>
      <c r="E21272" s="24"/>
      <c r="F21272" s="24"/>
      <c r="G21272" s="24"/>
      <c r="H21272" s="24"/>
      <c r="I21272" s="24"/>
      <c r="J21272" s="24"/>
      <c r="K21272" s="24"/>
      <c r="L21272" s="24"/>
      <c r="M21272" s="24"/>
      <c r="N21272" s="24"/>
      <c r="O21272" s="24"/>
      <c r="P21272" s="24"/>
      <c r="Q21272" s="24"/>
      <c r="R21272" s="24"/>
      <c r="S21272" s="24"/>
      <c r="T21272" s="24"/>
      <c r="U21272" s="24"/>
      <c r="V21272" s="24"/>
      <c r="W21272" s="24"/>
      <c r="X21272" s="24"/>
      <c r="Y21272" s="24"/>
      <c r="Z21272" s="24"/>
      <c r="AA21272" s="24"/>
    </row>
    <row r="21273">
      <c r="A21273" s="24"/>
      <c r="B21273" s="25"/>
      <c r="C21273" s="24"/>
      <c r="D21273" s="26"/>
      <c r="E21273" s="24"/>
      <c r="F21273" s="24"/>
      <c r="G21273" s="24"/>
      <c r="H21273" s="24"/>
      <c r="I21273" s="24"/>
      <c r="J21273" s="24"/>
      <c r="K21273" s="24"/>
      <c r="L21273" s="24"/>
      <c r="M21273" s="24"/>
      <c r="N21273" s="24"/>
      <c r="O21273" s="24"/>
      <c r="P21273" s="24"/>
      <c r="Q21273" s="24"/>
      <c r="R21273" s="24"/>
      <c r="S21273" s="24"/>
      <c r="T21273" s="24"/>
      <c r="U21273" s="24"/>
      <c r="V21273" s="24"/>
      <c r="W21273" s="24"/>
      <c r="X21273" s="24"/>
      <c r="Y21273" s="24"/>
      <c r="Z21273" s="24"/>
      <c r="AA21273" s="24"/>
    </row>
    <row r="21274">
      <c r="A21274" s="24"/>
      <c r="B21274" s="25"/>
      <c r="C21274" s="24"/>
      <c r="D21274" s="26"/>
      <c r="E21274" s="24"/>
      <c r="F21274" s="24"/>
      <c r="G21274" s="24"/>
      <c r="H21274" s="24"/>
      <c r="I21274" s="24"/>
      <c r="J21274" s="24"/>
      <c r="K21274" s="24"/>
      <c r="L21274" s="24"/>
      <c r="M21274" s="24"/>
      <c r="N21274" s="24"/>
      <c r="O21274" s="24"/>
      <c r="P21274" s="24"/>
      <c r="Q21274" s="24"/>
      <c r="R21274" s="24"/>
      <c r="S21274" s="24"/>
      <c r="T21274" s="24"/>
      <c r="U21274" s="24"/>
      <c r="V21274" s="24"/>
      <c r="W21274" s="24"/>
      <c r="X21274" s="24"/>
      <c r="Y21274" s="24"/>
      <c r="Z21274" s="24"/>
      <c r="AA21274" s="24"/>
    </row>
    <row r="21275">
      <c r="A21275" s="24"/>
      <c r="B21275" s="25"/>
      <c r="C21275" s="24"/>
      <c r="D21275" s="26"/>
      <c r="E21275" s="24"/>
      <c r="F21275" s="24"/>
      <c r="G21275" s="24"/>
      <c r="H21275" s="24"/>
      <c r="I21275" s="24"/>
      <c r="J21275" s="24"/>
      <c r="K21275" s="24"/>
      <c r="L21275" s="24"/>
      <c r="M21275" s="24"/>
      <c r="N21275" s="24"/>
      <c r="O21275" s="24"/>
      <c r="P21275" s="24"/>
      <c r="Q21275" s="24"/>
      <c r="R21275" s="24"/>
      <c r="S21275" s="24"/>
      <c r="T21275" s="24"/>
      <c r="U21275" s="24"/>
      <c r="V21275" s="24"/>
      <c r="W21275" s="24"/>
      <c r="X21275" s="24"/>
      <c r="Y21275" s="24"/>
      <c r="Z21275" s="24"/>
      <c r="AA21275" s="24"/>
    </row>
    <row r="21276">
      <c r="A21276" s="24"/>
      <c r="B21276" s="25"/>
      <c r="C21276" s="24"/>
      <c r="D21276" s="26"/>
      <c r="E21276" s="24"/>
      <c r="F21276" s="24"/>
      <c r="G21276" s="24"/>
      <c r="H21276" s="24"/>
      <c r="I21276" s="24"/>
      <c r="J21276" s="24"/>
      <c r="K21276" s="24"/>
      <c r="L21276" s="24"/>
      <c r="M21276" s="24"/>
      <c r="N21276" s="24"/>
      <c r="O21276" s="24"/>
      <c r="P21276" s="24"/>
      <c r="Q21276" s="24"/>
      <c r="R21276" s="24"/>
      <c r="S21276" s="24"/>
      <c r="T21276" s="24"/>
      <c r="U21276" s="24"/>
      <c r="V21276" s="24"/>
      <c r="W21276" s="24"/>
      <c r="X21276" s="24"/>
      <c r="Y21276" s="24"/>
      <c r="Z21276" s="24"/>
      <c r="AA21276" s="24"/>
    </row>
    <row r="21277">
      <c r="A21277" s="24"/>
      <c r="B21277" s="25"/>
      <c r="C21277" s="24"/>
      <c r="D21277" s="26"/>
      <c r="E21277" s="24"/>
      <c r="F21277" s="24"/>
      <c r="G21277" s="24"/>
      <c r="H21277" s="24"/>
      <c r="I21277" s="24"/>
      <c r="J21277" s="24"/>
      <c r="K21277" s="24"/>
      <c r="L21277" s="24"/>
      <c r="M21277" s="24"/>
      <c r="N21277" s="24"/>
      <c r="O21277" s="24"/>
      <c r="P21277" s="24"/>
      <c r="Q21277" s="24"/>
      <c r="R21277" s="24"/>
      <c r="S21277" s="24"/>
      <c r="T21277" s="24"/>
      <c r="U21277" s="24"/>
      <c r="V21277" s="24"/>
      <c r="W21277" s="24"/>
      <c r="X21277" s="24"/>
      <c r="Y21277" s="24"/>
      <c r="Z21277" s="24"/>
      <c r="AA21277" s="24"/>
    </row>
    <row r="21278">
      <c r="A21278" s="24"/>
      <c r="B21278" s="25"/>
      <c r="C21278" s="24"/>
      <c r="D21278" s="26"/>
      <c r="E21278" s="24"/>
      <c r="F21278" s="24"/>
      <c r="G21278" s="24"/>
      <c r="H21278" s="24"/>
      <c r="I21278" s="24"/>
      <c r="J21278" s="24"/>
      <c r="K21278" s="24"/>
      <c r="L21278" s="24"/>
      <c r="M21278" s="24"/>
      <c r="N21278" s="24"/>
      <c r="O21278" s="24"/>
      <c r="P21278" s="24"/>
      <c r="Q21278" s="24"/>
      <c r="R21278" s="24"/>
      <c r="S21278" s="24"/>
      <c r="T21278" s="24"/>
      <c r="U21278" s="24"/>
      <c r="V21278" s="24"/>
      <c r="W21278" s="24"/>
      <c r="X21278" s="24"/>
      <c r="Y21278" s="24"/>
      <c r="Z21278" s="24"/>
      <c r="AA21278" s="24"/>
    </row>
    <row r="21279">
      <c r="A21279" s="24"/>
      <c r="B21279" s="25"/>
      <c r="C21279" s="24"/>
      <c r="D21279" s="26"/>
      <c r="E21279" s="24"/>
      <c r="F21279" s="24"/>
      <c r="G21279" s="24"/>
      <c r="H21279" s="24"/>
      <c r="I21279" s="24"/>
      <c r="J21279" s="24"/>
      <c r="K21279" s="24"/>
      <c r="L21279" s="24"/>
      <c r="M21279" s="24"/>
      <c r="N21279" s="24"/>
      <c r="O21279" s="24"/>
      <c r="P21279" s="24"/>
      <c r="Q21279" s="24"/>
      <c r="R21279" s="24"/>
      <c r="S21279" s="24"/>
      <c r="T21279" s="24"/>
      <c r="U21279" s="24"/>
      <c r="V21279" s="24"/>
      <c r="W21279" s="24"/>
      <c r="X21279" s="24"/>
      <c r="Y21279" s="24"/>
      <c r="Z21279" s="24"/>
      <c r="AA21279" s="24"/>
    </row>
    <row r="21280">
      <c r="A21280" s="24"/>
      <c r="B21280" s="25"/>
      <c r="C21280" s="24"/>
      <c r="D21280" s="26"/>
      <c r="E21280" s="24"/>
      <c r="F21280" s="24"/>
      <c r="G21280" s="24"/>
      <c r="H21280" s="24"/>
      <c r="I21280" s="24"/>
      <c r="J21280" s="24"/>
      <c r="K21280" s="24"/>
      <c r="L21280" s="24"/>
      <c r="M21280" s="24"/>
      <c r="N21280" s="24"/>
      <c r="O21280" s="24"/>
      <c r="P21280" s="24"/>
      <c r="Q21280" s="24"/>
      <c r="R21280" s="24"/>
      <c r="S21280" s="24"/>
      <c r="T21280" s="24"/>
      <c r="U21280" s="24"/>
      <c r="V21280" s="24"/>
      <c r="W21280" s="24"/>
      <c r="X21280" s="24"/>
      <c r="Y21280" s="24"/>
      <c r="Z21280" s="24"/>
      <c r="AA21280" s="24"/>
    </row>
    <row r="21281">
      <c r="A21281" s="24"/>
      <c r="B21281" s="25"/>
      <c r="C21281" s="24"/>
      <c r="D21281" s="26"/>
      <c r="E21281" s="24"/>
      <c r="F21281" s="24"/>
      <c r="G21281" s="24"/>
      <c r="H21281" s="24"/>
      <c r="I21281" s="24"/>
      <c r="J21281" s="24"/>
      <c r="K21281" s="24"/>
      <c r="L21281" s="24"/>
      <c r="M21281" s="24"/>
      <c r="N21281" s="24"/>
      <c r="O21281" s="24"/>
      <c r="P21281" s="24"/>
      <c r="Q21281" s="24"/>
      <c r="R21281" s="24"/>
      <c r="S21281" s="24"/>
      <c r="T21281" s="24"/>
      <c r="U21281" s="24"/>
      <c r="V21281" s="24"/>
      <c r="W21281" s="24"/>
      <c r="X21281" s="24"/>
      <c r="Y21281" s="24"/>
      <c r="Z21281" s="24"/>
      <c r="AA21281" s="24"/>
    </row>
    <row r="21282">
      <c r="A21282" s="24"/>
      <c r="B21282" s="25"/>
      <c r="C21282" s="24"/>
      <c r="D21282" s="26"/>
      <c r="E21282" s="24"/>
      <c r="F21282" s="24"/>
      <c r="G21282" s="24"/>
      <c r="H21282" s="24"/>
      <c r="I21282" s="24"/>
      <c r="J21282" s="24"/>
      <c r="K21282" s="24"/>
      <c r="L21282" s="24"/>
      <c r="M21282" s="24"/>
      <c r="N21282" s="24"/>
      <c r="O21282" s="24"/>
      <c r="P21282" s="24"/>
      <c r="Q21282" s="24"/>
      <c r="R21282" s="24"/>
      <c r="S21282" s="24"/>
      <c r="T21282" s="24"/>
      <c r="U21282" s="24"/>
      <c r="V21282" s="24"/>
      <c r="W21282" s="24"/>
      <c r="X21282" s="24"/>
      <c r="Y21282" s="24"/>
      <c r="Z21282" s="24"/>
      <c r="AA21282" s="24"/>
    </row>
    <row r="21283">
      <c r="A21283" s="24"/>
      <c r="B21283" s="25"/>
      <c r="C21283" s="24"/>
      <c r="D21283" s="26"/>
      <c r="E21283" s="24"/>
      <c r="F21283" s="24"/>
      <c r="G21283" s="24"/>
      <c r="H21283" s="24"/>
      <c r="I21283" s="24"/>
      <c r="J21283" s="24"/>
      <c r="K21283" s="24"/>
      <c r="L21283" s="24"/>
      <c r="M21283" s="24"/>
      <c r="N21283" s="24"/>
      <c r="O21283" s="24"/>
      <c r="P21283" s="24"/>
      <c r="Q21283" s="24"/>
      <c r="R21283" s="24"/>
      <c r="S21283" s="24"/>
      <c r="T21283" s="24"/>
      <c r="U21283" s="24"/>
      <c r="V21283" s="24"/>
      <c r="W21283" s="24"/>
      <c r="X21283" s="24"/>
      <c r="Y21283" s="24"/>
      <c r="Z21283" s="24"/>
      <c r="AA21283" s="24"/>
    </row>
    <row r="21284">
      <c r="A21284" s="24"/>
      <c r="B21284" s="25"/>
      <c r="C21284" s="24"/>
      <c r="D21284" s="26"/>
      <c r="E21284" s="24"/>
      <c r="F21284" s="24"/>
      <c r="G21284" s="24"/>
      <c r="H21284" s="24"/>
      <c r="I21284" s="24"/>
      <c r="J21284" s="24"/>
      <c r="K21284" s="24"/>
      <c r="L21284" s="24"/>
      <c r="M21284" s="24"/>
      <c r="N21284" s="24"/>
      <c r="O21284" s="24"/>
      <c r="P21284" s="24"/>
      <c r="Q21284" s="24"/>
      <c r="R21284" s="24"/>
      <c r="S21284" s="24"/>
      <c r="T21284" s="24"/>
      <c r="U21284" s="24"/>
      <c r="V21284" s="24"/>
      <c r="W21284" s="24"/>
      <c r="X21284" s="24"/>
      <c r="Y21284" s="24"/>
      <c r="Z21284" s="24"/>
      <c r="AA21284" s="24"/>
    </row>
    <row r="21285">
      <c r="A21285" s="24"/>
      <c r="B21285" s="25"/>
      <c r="C21285" s="24"/>
      <c r="D21285" s="26"/>
      <c r="E21285" s="24"/>
      <c r="F21285" s="24"/>
      <c r="G21285" s="24"/>
      <c r="H21285" s="24"/>
      <c r="I21285" s="24"/>
      <c r="J21285" s="24"/>
      <c r="K21285" s="24"/>
      <c r="L21285" s="24"/>
      <c r="M21285" s="24"/>
      <c r="N21285" s="24"/>
      <c r="O21285" s="24"/>
      <c r="P21285" s="24"/>
      <c r="Q21285" s="24"/>
      <c r="R21285" s="24"/>
      <c r="S21285" s="24"/>
      <c r="T21285" s="24"/>
      <c r="U21285" s="24"/>
      <c r="V21285" s="24"/>
      <c r="W21285" s="24"/>
      <c r="X21285" s="24"/>
      <c r="Y21285" s="24"/>
      <c r="Z21285" s="24"/>
      <c r="AA21285" s="24"/>
    </row>
    <row r="21286">
      <c r="A21286" s="24"/>
      <c r="B21286" s="25"/>
      <c r="C21286" s="24"/>
      <c r="D21286" s="26"/>
      <c r="E21286" s="24"/>
      <c r="F21286" s="24"/>
      <c r="G21286" s="24"/>
      <c r="H21286" s="24"/>
      <c r="I21286" s="24"/>
      <c r="J21286" s="24"/>
      <c r="K21286" s="24"/>
      <c r="L21286" s="24"/>
      <c r="M21286" s="24"/>
      <c r="N21286" s="24"/>
      <c r="O21286" s="24"/>
      <c r="P21286" s="24"/>
      <c r="Q21286" s="24"/>
      <c r="R21286" s="24"/>
      <c r="S21286" s="24"/>
      <c r="T21286" s="24"/>
      <c r="U21286" s="24"/>
      <c r="V21286" s="24"/>
      <c r="W21286" s="24"/>
      <c r="X21286" s="24"/>
      <c r="Y21286" s="24"/>
      <c r="Z21286" s="24"/>
      <c r="AA21286" s="24"/>
    </row>
    <row r="21287">
      <c r="A21287" s="24"/>
      <c r="B21287" s="25"/>
      <c r="C21287" s="24"/>
      <c r="D21287" s="26"/>
      <c r="E21287" s="24"/>
      <c r="F21287" s="24"/>
      <c r="G21287" s="24"/>
      <c r="H21287" s="24"/>
      <c r="I21287" s="24"/>
      <c r="J21287" s="24"/>
      <c r="K21287" s="24"/>
      <c r="L21287" s="24"/>
      <c r="M21287" s="24"/>
      <c r="N21287" s="24"/>
      <c r="O21287" s="24"/>
      <c r="P21287" s="24"/>
      <c r="Q21287" s="24"/>
      <c r="R21287" s="24"/>
      <c r="S21287" s="24"/>
      <c r="T21287" s="24"/>
      <c r="U21287" s="24"/>
      <c r="V21287" s="24"/>
      <c r="W21287" s="24"/>
      <c r="X21287" s="24"/>
      <c r="Y21287" s="24"/>
      <c r="Z21287" s="24"/>
      <c r="AA21287" s="24"/>
    </row>
    <row r="21288">
      <c r="A21288" s="24"/>
      <c r="B21288" s="25"/>
      <c r="C21288" s="24"/>
      <c r="D21288" s="26"/>
      <c r="E21288" s="24"/>
      <c r="F21288" s="24"/>
      <c r="G21288" s="24"/>
      <c r="H21288" s="24"/>
      <c r="I21288" s="24"/>
      <c r="J21288" s="24"/>
      <c r="K21288" s="24"/>
      <c r="L21288" s="24"/>
      <c r="M21288" s="24"/>
      <c r="N21288" s="24"/>
      <c r="O21288" s="24"/>
      <c r="P21288" s="24"/>
      <c r="Q21288" s="24"/>
      <c r="R21288" s="24"/>
      <c r="S21288" s="24"/>
      <c r="T21288" s="24"/>
      <c r="U21288" s="24"/>
      <c r="V21288" s="24"/>
      <c r="W21288" s="24"/>
      <c r="X21288" s="24"/>
      <c r="Y21288" s="24"/>
      <c r="Z21288" s="24"/>
      <c r="AA21288" s="24"/>
    </row>
    <row r="21289">
      <c r="A21289" s="24"/>
      <c r="B21289" s="25"/>
      <c r="C21289" s="24"/>
      <c r="D21289" s="26"/>
      <c r="E21289" s="24"/>
      <c r="F21289" s="24"/>
      <c r="G21289" s="24"/>
      <c r="H21289" s="24"/>
      <c r="I21289" s="24"/>
      <c r="J21289" s="24"/>
      <c r="K21289" s="24"/>
      <c r="L21289" s="24"/>
      <c r="M21289" s="24"/>
      <c r="N21289" s="24"/>
      <c r="O21289" s="24"/>
      <c r="P21289" s="24"/>
      <c r="Q21289" s="24"/>
      <c r="R21289" s="24"/>
      <c r="S21289" s="24"/>
      <c r="T21289" s="24"/>
      <c r="U21289" s="24"/>
      <c r="V21289" s="24"/>
      <c r="W21289" s="24"/>
      <c r="X21289" s="24"/>
      <c r="Y21289" s="24"/>
      <c r="Z21289" s="24"/>
      <c r="AA21289" s="24"/>
    </row>
    <row r="21290">
      <c r="A21290" s="24"/>
      <c r="B21290" s="25"/>
      <c r="C21290" s="24"/>
      <c r="D21290" s="26"/>
      <c r="E21290" s="24"/>
      <c r="F21290" s="24"/>
      <c r="G21290" s="24"/>
      <c r="H21290" s="24"/>
      <c r="I21290" s="24"/>
      <c r="J21290" s="24"/>
      <c r="K21290" s="24"/>
      <c r="L21290" s="24"/>
      <c r="M21290" s="24"/>
      <c r="N21290" s="24"/>
      <c r="O21290" s="24"/>
      <c r="P21290" s="24"/>
      <c r="Q21290" s="24"/>
      <c r="R21290" s="24"/>
      <c r="S21290" s="24"/>
      <c r="T21290" s="24"/>
      <c r="U21290" s="24"/>
      <c r="V21290" s="24"/>
      <c r="W21290" s="24"/>
      <c r="X21290" s="24"/>
      <c r="Y21290" s="24"/>
      <c r="Z21290" s="24"/>
      <c r="AA21290" s="24"/>
    </row>
    <row r="21291">
      <c r="A21291" s="24"/>
      <c r="B21291" s="25"/>
      <c r="C21291" s="24"/>
      <c r="D21291" s="26"/>
      <c r="E21291" s="24"/>
      <c r="F21291" s="24"/>
      <c r="G21291" s="24"/>
      <c r="H21291" s="24"/>
      <c r="I21291" s="24"/>
      <c r="J21291" s="24"/>
      <c r="K21291" s="24"/>
      <c r="L21291" s="24"/>
      <c r="M21291" s="24"/>
      <c r="N21291" s="24"/>
      <c r="O21291" s="24"/>
      <c r="P21291" s="24"/>
      <c r="Q21291" s="24"/>
      <c r="R21291" s="24"/>
      <c r="S21291" s="24"/>
      <c r="T21291" s="24"/>
      <c r="U21291" s="24"/>
      <c r="V21291" s="24"/>
      <c r="W21291" s="24"/>
      <c r="X21291" s="24"/>
      <c r="Y21291" s="24"/>
      <c r="Z21291" s="24"/>
      <c r="AA21291" s="24"/>
    </row>
    <row r="21292">
      <c r="A21292" s="24"/>
      <c r="B21292" s="25"/>
      <c r="C21292" s="24"/>
      <c r="D21292" s="26"/>
      <c r="E21292" s="24"/>
      <c r="F21292" s="24"/>
      <c r="G21292" s="24"/>
      <c r="H21292" s="24"/>
      <c r="I21292" s="24"/>
      <c r="J21292" s="24"/>
      <c r="K21292" s="24"/>
      <c r="L21292" s="24"/>
      <c r="M21292" s="24"/>
      <c r="N21292" s="24"/>
      <c r="O21292" s="24"/>
      <c r="P21292" s="24"/>
      <c r="Q21292" s="24"/>
      <c r="R21292" s="24"/>
      <c r="S21292" s="24"/>
      <c r="T21292" s="24"/>
      <c r="U21292" s="24"/>
      <c r="V21292" s="24"/>
      <c r="W21292" s="24"/>
      <c r="X21292" s="24"/>
      <c r="Y21292" s="24"/>
      <c r="Z21292" s="24"/>
      <c r="AA21292" s="24"/>
    </row>
    <row r="21293">
      <c r="A21293" s="24"/>
      <c r="B21293" s="25"/>
      <c r="C21293" s="24"/>
      <c r="D21293" s="26"/>
      <c r="E21293" s="24"/>
      <c r="F21293" s="24"/>
      <c r="G21293" s="24"/>
      <c r="H21293" s="24"/>
      <c r="I21293" s="24"/>
      <c r="J21293" s="24"/>
      <c r="K21293" s="24"/>
      <c r="L21293" s="24"/>
      <c r="M21293" s="24"/>
      <c r="N21293" s="24"/>
      <c r="O21293" s="24"/>
      <c r="P21293" s="24"/>
      <c r="Q21293" s="24"/>
      <c r="R21293" s="24"/>
      <c r="S21293" s="24"/>
      <c r="T21293" s="24"/>
      <c r="U21293" s="24"/>
      <c r="V21293" s="24"/>
      <c r="W21293" s="24"/>
      <c r="X21293" s="24"/>
      <c r="Y21293" s="24"/>
      <c r="Z21293" s="24"/>
      <c r="AA21293" s="24"/>
    </row>
    <row r="21294">
      <c r="A21294" s="24"/>
      <c r="B21294" s="25"/>
      <c r="C21294" s="24"/>
      <c r="D21294" s="26"/>
      <c r="E21294" s="24"/>
      <c r="F21294" s="24"/>
      <c r="G21294" s="24"/>
      <c r="H21294" s="24"/>
      <c r="I21294" s="24"/>
      <c r="J21294" s="24"/>
      <c r="K21294" s="24"/>
      <c r="L21294" s="24"/>
      <c r="M21294" s="24"/>
      <c r="N21294" s="24"/>
      <c r="O21294" s="24"/>
      <c r="P21294" s="24"/>
      <c r="Q21294" s="24"/>
      <c r="R21294" s="24"/>
      <c r="S21294" s="24"/>
      <c r="T21294" s="24"/>
      <c r="U21294" s="24"/>
      <c r="V21294" s="24"/>
      <c r="W21294" s="24"/>
      <c r="X21294" s="24"/>
      <c r="Y21294" s="24"/>
      <c r="Z21294" s="24"/>
      <c r="AA21294" s="24"/>
    </row>
    <row r="21295">
      <c r="A21295" s="24"/>
      <c r="B21295" s="25"/>
      <c r="C21295" s="24"/>
      <c r="D21295" s="26"/>
      <c r="E21295" s="24"/>
      <c r="F21295" s="24"/>
      <c r="G21295" s="24"/>
      <c r="H21295" s="24"/>
      <c r="I21295" s="24"/>
      <c r="J21295" s="24"/>
      <c r="K21295" s="24"/>
      <c r="L21295" s="24"/>
      <c r="M21295" s="24"/>
      <c r="N21295" s="24"/>
      <c r="O21295" s="24"/>
      <c r="P21295" s="24"/>
      <c r="Q21295" s="24"/>
      <c r="R21295" s="24"/>
      <c r="S21295" s="24"/>
      <c r="T21295" s="24"/>
      <c r="U21295" s="24"/>
      <c r="V21295" s="24"/>
      <c r="W21295" s="24"/>
      <c r="X21295" s="24"/>
      <c r="Y21295" s="24"/>
      <c r="Z21295" s="24"/>
      <c r="AA21295" s="24"/>
    </row>
    <row r="21296">
      <c r="A21296" s="24"/>
      <c r="B21296" s="25"/>
      <c r="C21296" s="24"/>
      <c r="D21296" s="26"/>
      <c r="E21296" s="24"/>
      <c r="F21296" s="24"/>
      <c r="G21296" s="24"/>
      <c r="H21296" s="24"/>
      <c r="I21296" s="24"/>
      <c r="J21296" s="24"/>
      <c r="K21296" s="24"/>
      <c r="L21296" s="24"/>
      <c r="M21296" s="24"/>
      <c r="N21296" s="24"/>
      <c r="O21296" s="24"/>
      <c r="P21296" s="24"/>
      <c r="Q21296" s="24"/>
      <c r="R21296" s="24"/>
      <c r="S21296" s="24"/>
      <c r="T21296" s="24"/>
      <c r="U21296" s="24"/>
      <c r="V21296" s="24"/>
      <c r="W21296" s="24"/>
      <c r="X21296" s="24"/>
      <c r="Y21296" s="24"/>
      <c r="Z21296" s="24"/>
      <c r="AA21296" s="24"/>
    </row>
    <row r="21297">
      <c r="A21297" s="24"/>
      <c r="B21297" s="25"/>
      <c r="C21297" s="24"/>
      <c r="D21297" s="26"/>
      <c r="E21297" s="24"/>
      <c r="F21297" s="24"/>
      <c r="G21297" s="24"/>
      <c r="H21297" s="24"/>
      <c r="I21297" s="24"/>
      <c r="J21297" s="24"/>
      <c r="K21297" s="24"/>
      <c r="L21297" s="24"/>
      <c r="M21297" s="24"/>
      <c r="N21297" s="24"/>
      <c r="O21297" s="24"/>
      <c r="P21297" s="24"/>
      <c r="Q21297" s="24"/>
      <c r="R21297" s="24"/>
      <c r="S21297" s="24"/>
      <c r="T21297" s="24"/>
      <c r="U21297" s="24"/>
      <c r="V21297" s="24"/>
      <c r="W21297" s="24"/>
      <c r="X21297" s="24"/>
      <c r="Y21297" s="24"/>
      <c r="Z21297" s="24"/>
      <c r="AA21297" s="24"/>
    </row>
    <row r="21298">
      <c r="A21298" s="24"/>
      <c r="B21298" s="25"/>
      <c r="C21298" s="24"/>
      <c r="D21298" s="26"/>
      <c r="E21298" s="24"/>
      <c r="F21298" s="24"/>
      <c r="G21298" s="24"/>
      <c r="H21298" s="24"/>
      <c r="I21298" s="24"/>
      <c r="J21298" s="24"/>
      <c r="K21298" s="24"/>
      <c r="L21298" s="24"/>
      <c r="M21298" s="24"/>
      <c r="N21298" s="24"/>
      <c r="O21298" s="24"/>
      <c r="P21298" s="24"/>
      <c r="Q21298" s="24"/>
      <c r="R21298" s="24"/>
      <c r="S21298" s="24"/>
      <c r="T21298" s="24"/>
      <c r="U21298" s="24"/>
      <c r="V21298" s="24"/>
      <c r="W21298" s="24"/>
      <c r="X21298" s="24"/>
      <c r="Y21298" s="24"/>
      <c r="Z21298" s="24"/>
      <c r="AA21298" s="24"/>
    </row>
    <row r="21299">
      <c r="A21299" s="24"/>
      <c r="B21299" s="25"/>
      <c r="C21299" s="24"/>
      <c r="D21299" s="26"/>
      <c r="E21299" s="24"/>
      <c r="F21299" s="24"/>
      <c r="G21299" s="24"/>
      <c r="H21299" s="24"/>
      <c r="I21299" s="24"/>
      <c r="J21299" s="24"/>
      <c r="K21299" s="24"/>
      <c r="L21299" s="24"/>
      <c r="M21299" s="24"/>
      <c r="N21299" s="24"/>
      <c r="O21299" s="24"/>
      <c r="P21299" s="24"/>
      <c r="Q21299" s="24"/>
      <c r="R21299" s="24"/>
      <c r="S21299" s="24"/>
      <c r="T21299" s="24"/>
      <c r="U21299" s="24"/>
      <c r="V21299" s="24"/>
      <c r="W21299" s="24"/>
      <c r="X21299" s="24"/>
      <c r="Y21299" s="24"/>
      <c r="Z21299" s="24"/>
      <c r="AA21299" s="24"/>
    </row>
    <row r="21300">
      <c r="A21300" s="24"/>
      <c r="B21300" s="25"/>
      <c r="C21300" s="24"/>
      <c r="D21300" s="26"/>
      <c r="E21300" s="24"/>
      <c r="F21300" s="24"/>
      <c r="G21300" s="24"/>
      <c r="H21300" s="24"/>
      <c r="I21300" s="24"/>
      <c r="J21300" s="24"/>
      <c r="K21300" s="24"/>
      <c r="L21300" s="24"/>
      <c r="M21300" s="24"/>
      <c r="N21300" s="24"/>
      <c r="O21300" s="24"/>
      <c r="P21300" s="24"/>
      <c r="Q21300" s="24"/>
      <c r="R21300" s="24"/>
      <c r="S21300" s="24"/>
      <c r="T21300" s="24"/>
      <c r="U21300" s="24"/>
      <c r="V21300" s="24"/>
      <c r="W21300" s="24"/>
      <c r="X21300" s="24"/>
      <c r="Y21300" s="24"/>
      <c r="Z21300" s="24"/>
      <c r="AA21300" s="24"/>
    </row>
    <row r="21301">
      <c r="A21301" s="24"/>
      <c r="B21301" s="25"/>
      <c r="C21301" s="24"/>
      <c r="D21301" s="26"/>
      <c r="E21301" s="24"/>
      <c r="F21301" s="24"/>
      <c r="G21301" s="24"/>
      <c r="H21301" s="24"/>
      <c r="I21301" s="24"/>
      <c r="J21301" s="24"/>
      <c r="K21301" s="24"/>
      <c r="L21301" s="24"/>
      <c r="M21301" s="24"/>
      <c r="N21301" s="24"/>
      <c r="O21301" s="24"/>
      <c r="P21301" s="24"/>
      <c r="Q21301" s="24"/>
      <c r="R21301" s="24"/>
      <c r="S21301" s="24"/>
      <c r="T21301" s="24"/>
      <c r="U21301" s="24"/>
      <c r="V21301" s="24"/>
      <c r="W21301" s="24"/>
      <c r="X21301" s="24"/>
      <c r="Y21301" s="24"/>
      <c r="Z21301" s="24"/>
      <c r="AA21301" s="24"/>
    </row>
    <row r="21302">
      <c r="A21302" s="24"/>
      <c r="B21302" s="25"/>
      <c r="C21302" s="24"/>
      <c r="D21302" s="26"/>
      <c r="E21302" s="24"/>
      <c r="F21302" s="24"/>
      <c r="G21302" s="24"/>
      <c r="H21302" s="24"/>
      <c r="I21302" s="24"/>
      <c r="J21302" s="24"/>
      <c r="K21302" s="24"/>
      <c r="L21302" s="24"/>
      <c r="M21302" s="24"/>
      <c r="N21302" s="24"/>
      <c r="O21302" s="24"/>
      <c r="P21302" s="24"/>
      <c r="Q21302" s="24"/>
      <c r="R21302" s="24"/>
      <c r="S21302" s="24"/>
      <c r="T21302" s="24"/>
      <c r="U21302" s="24"/>
      <c r="V21302" s="24"/>
      <c r="W21302" s="24"/>
      <c r="X21302" s="24"/>
      <c r="Y21302" s="24"/>
      <c r="Z21302" s="24"/>
      <c r="AA21302" s="24"/>
    </row>
    <row r="21303">
      <c r="A21303" s="24"/>
      <c r="B21303" s="25"/>
      <c r="C21303" s="24"/>
      <c r="D21303" s="26"/>
      <c r="E21303" s="24"/>
      <c r="F21303" s="24"/>
      <c r="G21303" s="24"/>
      <c r="H21303" s="24"/>
      <c r="I21303" s="24"/>
      <c r="J21303" s="24"/>
      <c r="K21303" s="24"/>
      <c r="L21303" s="24"/>
      <c r="M21303" s="24"/>
      <c r="N21303" s="24"/>
      <c r="O21303" s="24"/>
      <c r="P21303" s="24"/>
      <c r="Q21303" s="24"/>
      <c r="R21303" s="24"/>
      <c r="S21303" s="24"/>
      <c r="T21303" s="24"/>
      <c r="U21303" s="24"/>
      <c r="V21303" s="24"/>
      <c r="W21303" s="24"/>
      <c r="X21303" s="24"/>
      <c r="Y21303" s="24"/>
      <c r="Z21303" s="24"/>
      <c r="AA21303" s="24"/>
    </row>
    <row r="21304">
      <c r="A21304" s="24"/>
      <c r="B21304" s="25"/>
      <c r="C21304" s="24"/>
      <c r="D21304" s="26"/>
      <c r="E21304" s="24"/>
      <c r="F21304" s="24"/>
      <c r="G21304" s="24"/>
      <c r="H21304" s="24"/>
      <c r="I21304" s="24"/>
      <c r="J21304" s="24"/>
      <c r="K21304" s="24"/>
      <c r="L21304" s="24"/>
      <c r="M21304" s="24"/>
      <c r="N21304" s="24"/>
      <c r="O21304" s="24"/>
      <c r="P21304" s="24"/>
      <c r="Q21304" s="24"/>
      <c r="R21304" s="24"/>
      <c r="S21304" s="24"/>
      <c r="T21304" s="24"/>
      <c r="U21304" s="24"/>
      <c r="V21304" s="24"/>
      <c r="W21304" s="24"/>
      <c r="X21304" s="24"/>
      <c r="Y21304" s="24"/>
      <c r="Z21304" s="24"/>
      <c r="AA21304" s="24"/>
    </row>
    <row r="21305">
      <c r="A21305" s="24"/>
      <c r="B21305" s="25"/>
      <c r="C21305" s="24"/>
      <c r="D21305" s="26"/>
      <c r="E21305" s="24"/>
      <c r="F21305" s="24"/>
      <c r="G21305" s="24"/>
      <c r="H21305" s="24"/>
      <c r="I21305" s="24"/>
      <c r="J21305" s="24"/>
      <c r="K21305" s="24"/>
      <c r="L21305" s="24"/>
      <c r="M21305" s="24"/>
      <c r="N21305" s="24"/>
      <c r="O21305" s="24"/>
      <c r="P21305" s="24"/>
      <c r="Q21305" s="24"/>
      <c r="R21305" s="24"/>
      <c r="S21305" s="24"/>
      <c r="T21305" s="24"/>
      <c r="U21305" s="24"/>
      <c r="V21305" s="24"/>
      <c r="W21305" s="24"/>
      <c r="X21305" s="24"/>
      <c r="Y21305" s="24"/>
      <c r="Z21305" s="24"/>
      <c r="AA21305" s="24"/>
    </row>
    <row r="21306">
      <c r="A21306" s="24"/>
      <c r="B21306" s="25"/>
      <c r="C21306" s="24"/>
      <c r="D21306" s="26"/>
      <c r="E21306" s="24"/>
      <c r="F21306" s="24"/>
      <c r="G21306" s="24"/>
      <c r="H21306" s="24"/>
      <c r="I21306" s="24"/>
      <c r="J21306" s="24"/>
      <c r="K21306" s="24"/>
      <c r="L21306" s="24"/>
      <c r="M21306" s="24"/>
      <c r="N21306" s="24"/>
      <c r="O21306" s="24"/>
      <c r="P21306" s="24"/>
      <c r="Q21306" s="24"/>
      <c r="R21306" s="24"/>
      <c r="S21306" s="24"/>
      <c r="T21306" s="24"/>
      <c r="U21306" s="24"/>
      <c r="V21306" s="24"/>
      <c r="W21306" s="24"/>
      <c r="X21306" s="24"/>
      <c r="Y21306" s="24"/>
      <c r="Z21306" s="24"/>
      <c r="AA21306" s="24"/>
    </row>
    <row r="21307">
      <c r="A21307" s="24"/>
      <c r="B21307" s="25"/>
      <c r="C21307" s="24"/>
      <c r="D21307" s="26"/>
      <c r="E21307" s="24"/>
      <c r="F21307" s="24"/>
      <c r="G21307" s="24"/>
      <c r="H21307" s="24"/>
      <c r="I21307" s="24"/>
      <c r="J21307" s="24"/>
      <c r="K21307" s="24"/>
      <c r="L21307" s="24"/>
      <c r="M21307" s="24"/>
      <c r="N21307" s="24"/>
      <c r="O21307" s="24"/>
      <c r="P21307" s="24"/>
      <c r="Q21307" s="24"/>
      <c r="R21307" s="24"/>
      <c r="S21307" s="24"/>
      <c r="T21307" s="24"/>
      <c r="U21307" s="24"/>
      <c r="V21307" s="24"/>
      <c r="W21307" s="24"/>
      <c r="X21307" s="24"/>
      <c r="Y21307" s="24"/>
      <c r="Z21307" s="24"/>
      <c r="AA21307" s="24"/>
    </row>
    <row r="21308">
      <c r="A21308" s="24"/>
      <c r="B21308" s="25"/>
      <c r="C21308" s="24"/>
      <c r="D21308" s="26"/>
      <c r="E21308" s="24"/>
      <c r="F21308" s="24"/>
      <c r="G21308" s="24"/>
      <c r="H21308" s="24"/>
      <c r="I21308" s="24"/>
      <c r="J21308" s="24"/>
      <c r="K21308" s="24"/>
      <c r="L21308" s="24"/>
      <c r="M21308" s="24"/>
      <c r="N21308" s="24"/>
      <c r="O21308" s="24"/>
      <c r="P21308" s="24"/>
      <c r="Q21308" s="24"/>
      <c r="R21308" s="24"/>
      <c r="S21308" s="24"/>
      <c r="T21308" s="24"/>
      <c r="U21308" s="24"/>
      <c r="V21308" s="24"/>
      <c r="W21308" s="24"/>
      <c r="X21308" s="24"/>
      <c r="Y21308" s="24"/>
      <c r="Z21308" s="24"/>
      <c r="AA21308" s="24"/>
    </row>
    <row r="21309">
      <c r="A21309" s="24"/>
      <c r="B21309" s="25"/>
      <c r="C21309" s="24"/>
      <c r="D21309" s="26"/>
      <c r="E21309" s="24"/>
      <c r="F21309" s="24"/>
      <c r="G21309" s="24"/>
      <c r="H21309" s="24"/>
      <c r="I21309" s="24"/>
      <c r="J21309" s="24"/>
      <c r="K21309" s="24"/>
      <c r="L21309" s="24"/>
      <c r="M21309" s="24"/>
      <c r="N21309" s="24"/>
      <c r="O21309" s="24"/>
      <c r="P21309" s="24"/>
      <c r="Q21309" s="24"/>
      <c r="R21309" s="24"/>
      <c r="S21309" s="24"/>
      <c r="T21309" s="24"/>
      <c r="U21309" s="24"/>
      <c r="V21309" s="24"/>
      <c r="W21309" s="24"/>
      <c r="X21309" s="24"/>
      <c r="Y21309" s="24"/>
      <c r="Z21309" s="24"/>
      <c r="AA21309" s="24"/>
    </row>
    <row r="21310">
      <c r="A21310" s="24"/>
      <c r="B21310" s="25"/>
      <c r="C21310" s="24"/>
      <c r="D21310" s="26"/>
      <c r="E21310" s="24"/>
      <c r="F21310" s="24"/>
      <c r="G21310" s="24"/>
      <c r="H21310" s="24"/>
      <c r="I21310" s="24"/>
      <c r="J21310" s="24"/>
      <c r="K21310" s="24"/>
      <c r="L21310" s="24"/>
      <c r="M21310" s="24"/>
      <c r="N21310" s="24"/>
      <c r="O21310" s="24"/>
      <c r="P21310" s="24"/>
      <c r="Q21310" s="24"/>
      <c r="R21310" s="24"/>
      <c r="S21310" s="24"/>
      <c r="T21310" s="24"/>
      <c r="U21310" s="24"/>
      <c r="V21310" s="24"/>
      <c r="W21310" s="24"/>
      <c r="X21310" s="24"/>
      <c r="Y21310" s="24"/>
      <c r="Z21310" s="24"/>
      <c r="AA21310" s="24"/>
    </row>
    <row r="21311">
      <c r="A21311" s="24"/>
      <c r="B21311" s="25"/>
      <c r="C21311" s="24"/>
      <c r="D21311" s="26"/>
      <c r="E21311" s="24"/>
      <c r="F21311" s="24"/>
      <c r="G21311" s="24"/>
      <c r="H21311" s="24"/>
      <c r="I21311" s="24"/>
      <c r="J21311" s="24"/>
      <c r="K21311" s="24"/>
      <c r="L21311" s="24"/>
      <c r="M21311" s="24"/>
      <c r="N21311" s="24"/>
      <c r="O21311" s="24"/>
      <c r="P21311" s="24"/>
      <c r="Q21311" s="24"/>
      <c r="R21311" s="24"/>
      <c r="S21311" s="24"/>
      <c r="T21311" s="24"/>
      <c r="U21311" s="24"/>
      <c r="V21311" s="24"/>
      <c r="W21311" s="24"/>
      <c r="X21311" s="24"/>
      <c r="Y21311" s="24"/>
      <c r="Z21311" s="24"/>
      <c r="AA21311" s="24"/>
    </row>
    <row r="21312">
      <c r="A21312" s="24"/>
      <c r="B21312" s="25"/>
      <c r="C21312" s="24"/>
      <c r="D21312" s="26"/>
      <c r="E21312" s="24"/>
      <c r="F21312" s="24"/>
      <c r="G21312" s="24"/>
      <c r="H21312" s="24"/>
      <c r="I21312" s="24"/>
      <c r="J21312" s="24"/>
      <c r="K21312" s="24"/>
      <c r="L21312" s="24"/>
      <c r="M21312" s="24"/>
      <c r="N21312" s="24"/>
      <c r="O21312" s="24"/>
      <c r="P21312" s="24"/>
      <c r="Q21312" s="24"/>
      <c r="R21312" s="24"/>
      <c r="S21312" s="24"/>
      <c r="T21312" s="24"/>
      <c r="U21312" s="24"/>
      <c r="V21312" s="24"/>
      <c r="W21312" s="24"/>
      <c r="X21312" s="24"/>
      <c r="Y21312" s="24"/>
      <c r="Z21312" s="24"/>
      <c r="AA21312" s="24"/>
    </row>
    <row r="21313">
      <c r="A21313" s="24"/>
      <c r="B21313" s="25"/>
      <c r="C21313" s="24"/>
      <c r="D21313" s="26"/>
      <c r="E21313" s="24"/>
      <c r="F21313" s="24"/>
      <c r="G21313" s="24"/>
      <c r="H21313" s="24"/>
      <c r="I21313" s="24"/>
      <c r="J21313" s="24"/>
      <c r="K21313" s="24"/>
      <c r="L21313" s="24"/>
      <c r="M21313" s="24"/>
      <c r="N21313" s="24"/>
      <c r="O21313" s="24"/>
      <c r="P21313" s="24"/>
      <c r="Q21313" s="24"/>
      <c r="R21313" s="24"/>
      <c r="S21313" s="24"/>
      <c r="T21313" s="24"/>
      <c r="U21313" s="24"/>
      <c r="V21313" s="24"/>
      <c r="W21313" s="24"/>
      <c r="X21313" s="24"/>
      <c r="Y21313" s="24"/>
      <c r="Z21313" s="24"/>
      <c r="AA21313" s="24"/>
    </row>
    <row r="21314">
      <c r="A21314" s="24"/>
      <c r="B21314" s="25"/>
      <c r="C21314" s="24"/>
      <c r="D21314" s="26"/>
      <c r="E21314" s="24"/>
      <c r="F21314" s="24"/>
      <c r="G21314" s="24"/>
      <c r="H21314" s="24"/>
      <c r="I21314" s="24"/>
      <c r="J21314" s="24"/>
      <c r="K21314" s="24"/>
      <c r="L21314" s="24"/>
      <c r="M21314" s="24"/>
      <c r="N21314" s="24"/>
      <c r="O21314" s="24"/>
      <c r="P21314" s="24"/>
      <c r="Q21314" s="24"/>
      <c r="R21314" s="24"/>
      <c r="S21314" s="24"/>
      <c r="T21314" s="24"/>
      <c r="U21314" s="24"/>
      <c r="V21314" s="24"/>
      <c r="W21314" s="24"/>
      <c r="X21314" s="24"/>
      <c r="Y21314" s="24"/>
      <c r="Z21314" s="24"/>
      <c r="AA21314" s="24"/>
    </row>
    <row r="21315">
      <c r="A21315" s="24"/>
      <c r="B21315" s="25"/>
      <c r="C21315" s="24"/>
      <c r="D21315" s="26"/>
      <c r="E21315" s="24"/>
      <c r="F21315" s="24"/>
      <c r="G21315" s="24"/>
      <c r="H21315" s="24"/>
      <c r="I21315" s="24"/>
      <c r="J21315" s="24"/>
      <c r="K21315" s="24"/>
      <c r="L21315" s="24"/>
      <c r="M21315" s="24"/>
      <c r="N21315" s="24"/>
      <c r="O21315" s="24"/>
      <c r="P21315" s="24"/>
      <c r="Q21315" s="24"/>
      <c r="R21315" s="24"/>
      <c r="S21315" s="24"/>
      <c r="T21315" s="24"/>
      <c r="U21315" s="24"/>
      <c r="V21315" s="24"/>
      <c r="W21315" s="24"/>
      <c r="X21315" s="24"/>
      <c r="Y21315" s="24"/>
      <c r="Z21315" s="24"/>
      <c r="AA21315" s="24"/>
    </row>
    <row r="21316">
      <c r="A21316" s="24"/>
      <c r="B21316" s="25"/>
      <c r="C21316" s="24"/>
      <c r="D21316" s="26"/>
      <c r="E21316" s="24"/>
      <c r="F21316" s="24"/>
      <c r="G21316" s="24"/>
      <c r="H21316" s="24"/>
      <c r="I21316" s="24"/>
      <c r="J21316" s="24"/>
      <c r="K21316" s="24"/>
      <c r="L21316" s="24"/>
      <c r="M21316" s="24"/>
      <c r="N21316" s="24"/>
      <c r="O21316" s="24"/>
      <c r="P21316" s="24"/>
      <c r="Q21316" s="24"/>
      <c r="R21316" s="24"/>
      <c r="S21316" s="24"/>
      <c r="T21316" s="24"/>
      <c r="U21316" s="24"/>
      <c r="V21316" s="24"/>
      <c r="W21316" s="24"/>
      <c r="X21316" s="24"/>
      <c r="Y21316" s="24"/>
      <c r="Z21316" s="24"/>
      <c r="AA21316" s="24"/>
    </row>
    <row r="21317">
      <c r="A21317" s="24"/>
      <c r="B21317" s="25"/>
      <c r="C21317" s="24"/>
      <c r="D21317" s="26"/>
      <c r="E21317" s="24"/>
      <c r="F21317" s="24"/>
      <c r="G21317" s="24"/>
      <c r="H21317" s="24"/>
      <c r="I21317" s="24"/>
      <c r="J21317" s="24"/>
      <c r="K21317" s="24"/>
      <c r="L21317" s="24"/>
      <c r="M21317" s="24"/>
      <c r="N21317" s="24"/>
      <c r="O21317" s="24"/>
      <c r="P21317" s="24"/>
      <c r="Q21317" s="24"/>
      <c r="R21317" s="24"/>
      <c r="S21317" s="24"/>
      <c r="T21317" s="24"/>
      <c r="U21317" s="24"/>
      <c r="V21317" s="24"/>
      <c r="W21317" s="24"/>
      <c r="X21317" s="24"/>
      <c r="Y21317" s="24"/>
      <c r="Z21317" s="24"/>
      <c r="AA21317" s="24"/>
    </row>
    <row r="21318">
      <c r="A21318" s="24"/>
      <c r="B21318" s="25"/>
      <c r="C21318" s="24"/>
      <c r="D21318" s="26"/>
      <c r="E21318" s="24"/>
      <c r="F21318" s="24"/>
      <c r="G21318" s="24"/>
      <c r="H21318" s="24"/>
      <c r="I21318" s="24"/>
      <c r="J21318" s="24"/>
      <c r="K21318" s="24"/>
      <c r="L21318" s="24"/>
      <c r="M21318" s="24"/>
      <c r="N21318" s="24"/>
      <c r="O21318" s="24"/>
      <c r="P21318" s="24"/>
      <c r="Q21318" s="24"/>
      <c r="R21318" s="24"/>
      <c r="S21318" s="24"/>
      <c r="T21318" s="24"/>
      <c r="U21318" s="24"/>
      <c r="V21318" s="24"/>
      <c r="W21318" s="24"/>
      <c r="X21318" s="24"/>
      <c r="Y21318" s="24"/>
      <c r="Z21318" s="24"/>
      <c r="AA21318" s="24"/>
    </row>
    <row r="21319">
      <c r="A21319" s="24"/>
      <c r="B21319" s="25"/>
      <c r="C21319" s="24"/>
      <c r="D21319" s="26"/>
      <c r="E21319" s="24"/>
      <c r="F21319" s="24"/>
      <c r="G21319" s="24"/>
      <c r="H21319" s="24"/>
      <c r="I21319" s="24"/>
      <c r="J21319" s="24"/>
      <c r="K21319" s="24"/>
      <c r="L21319" s="24"/>
      <c r="M21319" s="24"/>
      <c r="N21319" s="24"/>
      <c r="O21319" s="24"/>
      <c r="P21319" s="24"/>
      <c r="Q21319" s="24"/>
      <c r="R21319" s="24"/>
      <c r="S21319" s="24"/>
      <c r="T21319" s="24"/>
      <c r="U21319" s="24"/>
      <c r="V21319" s="24"/>
      <c r="W21319" s="24"/>
      <c r="X21319" s="24"/>
      <c r="Y21319" s="24"/>
      <c r="Z21319" s="24"/>
      <c r="AA21319" s="24"/>
    </row>
    <row r="21320">
      <c r="A21320" s="24"/>
      <c r="B21320" s="25"/>
      <c r="C21320" s="24"/>
      <c r="D21320" s="26"/>
      <c r="E21320" s="24"/>
      <c r="F21320" s="24"/>
      <c r="G21320" s="24"/>
      <c r="H21320" s="24"/>
      <c r="I21320" s="24"/>
      <c r="J21320" s="24"/>
      <c r="K21320" s="24"/>
      <c r="L21320" s="24"/>
      <c r="M21320" s="24"/>
      <c r="N21320" s="24"/>
      <c r="O21320" s="24"/>
      <c r="P21320" s="24"/>
      <c r="Q21320" s="24"/>
      <c r="R21320" s="24"/>
      <c r="S21320" s="24"/>
      <c r="T21320" s="24"/>
      <c r="U21320" s="24"/>
      <c r="V21320" s="24"/>
      <c r="W21320" s="24"/>
      <c r="X21320" s="24"/>
      <c r="Y21320" s="24"/>
      <c r="Z21320" s="24"/>
      <c r="AA21320" s="24"/>
    </row>
    <row r="21321">
      <c r="A21321" s="24"/>
      <c r="B21321" s="25"/>
      <c r="C21321" s="24"/>
      <c r="D21321" s="26"/>
      <c r="E21321" s="24"/>
      <c r="F21321" s="24"/>
      <c r="G21321" s="24"/>
      <c r="H21321" s="24"/>
      <c r="I21321" s="24"/>
      <c r="J21321" s="24"/>
      <c r="K21321" s="24"/>
      <c r="L21321" s="24"/>
      <c r="M21321" s="24"/>
      <c r="N21321" s="24"/>
      <c r="O21321" s="24"/>
      <c r="P21321" s="24"/>
      <c r="Q21321" s="24"/>
      <c r="R21321" s="24"/>
      <c r="S21321" s="24"/>
      <c r="T21321" s="24"/>
      <c r="U21321" s="24"/>
      <c r="V21321" s="24"/>
      <c r="W21321" s="24"/>
      <c r="X21321" s="24"/>
      <c r="Y21321" s="24"/>
      <c r="Z21321" s="24"/>
      <c r="AA21321" s="24"/>
    </row>
    <row r="21322">
      <c r="A21322" s="24"/>
      <c r="B21322" s="25"/>
      <c r="C21322" s="24"/>
      <c r="D21322" s="26"/>
      <c r="E21322" s="24"/>
      <c r="F21322" s="24"/>
      <c r="G21322" s="24"/>
      <c r="H21322" s="24"/>
      <c r="I21322" s="24"/>
      <c r="J21322" s="24"/>
      <c r="K21322" s="24"/>
      <c r="L21322" s="24"/>
      <c r="M21322" s="24"/>
      <c r="N21322" s="24"/>
      <c r="O21322" s="24"/>
      <c r="P21322" s="24"/>
      <c r="Q21322" s="24"/>
      <c r="R21322" s="24"/>
      <c r="S21322" s="24"/>
      <c r="T21322" s="24"/>
      <c r="U21322" s="24"/>
      <c r="V21322" s="24"/>
      <c r="W21322" s="24"/>
      <c r="X21322" s="24"/>
      <c r="Y21322" s="24"/>
      <c r="Z21322" s="24"/>
      <c r="AA21322" s="24"/>
    </row>
    <row r="21323">
      <c r="A21323" s="24"/>
      <c r="B21323" s="25"/>
      <c r="C21323" s="24"/>
      <c r="D21323" s="26"/>
      <c r="E21323" s="24"/>
      <c r="F21323" s="24"/>
      <c r="G21323" s="24"/>
      <c r="H21323" s="24"/>
      <c r="I21323" s="24"/>
      <c r="J21323" s="24"/>
      <c r="K21323" s="24"/>
      <c r="L21323" s="24"/>
      <c r="M21323" s="24"/>
      <c r="N21323" s="24"/>
      <c r="O21323" s="24"/>
      <c r="P21323" s="24"/>
      <c r="Q21323" s="24"/>
      <c r="R21323" s="24"/>
      <c r="S21323" s="24"/>
      <c r="T21323" s="24"/>
      <c r="U21323" s="24"/>
      <c r="V21323" s="24"/>
      <c r="W21323" s="24"/>
      <c r="X21323" s="24"/>
      <c r="Y21323" s="24"/>
      <c r="Z21323" s="24"/>
      <c r="AA21323" s="24"/>
    </row>
    <row r="21324">
      <c r="A21324" s="24"/>
      <c r="B21324" s="25"/>
      <c r="C21324" s="24"/>
      <c r="D21324" s="26"/>
      <c r="E21324" s="24"/>
      <c r="F21324" s="24"/>
      <c r="G21324" s="24"/>
      <c r="H21324" s="24"/>
      <c r="I21324" s="24"/>
      <c r="J21324" s="24"/>
      <c r="K21324" s="24"/>
      <c r="L21324" s="24"/>
      <c r="M21324" s="24"/>
      <c r="N21324" s="24"/>
      <c r="O21324" s="24"/>
      <c r="P21324" s="24"/>
      <c r="Q21324" s="24"/>
      <c r="R21324" s="24"/>
      <c r="S21324" s="24"/>
      <c r="T21324" s="24"/>
      <c r="U21324" s="24"/>
      <c r="V21324" s="24"/>
      <c r="W21324" s="24"/>
      <c r="X21324" s="24"/>
      <c r="Y21324" s="24"/>
      <c r="Z21324" s="24"/>
      <c r="AA21324" s="24"/>
    </row>
    <row r="21325">
      <c r="A21325" s="24"/>
      <c r="B21325" s="25"/>
      <c r="C21325" s="24"/>
      <c r="D21325" s="26"/>
      <c r="E21325" s="24"/>
      <c r="F21325" s="24"/>
      <c r="G21325" s="24"/>
      <c r="H21325" s="24"/>
      <c r="I21325" s="24"/>
      <c r="J21325" s="24"/>
      <c r="K21325" s="24"/>
      <c r="L21325" s="24"/>
      <c r="M21325" s="24"/>
      <c r="N21325" s="24"/>
      <c r="O21325" s="24"/>
      <c r="P21325" s="24"/>
      <c r="Q21325" s="24"/>
      <c r="R21325" s="24"/>
      <c r="S21325" s="24"/>
      <c r="T21325" s="24"/>
      <c r="U21325" s="24"/>
      <c r="V21325" s="24"/>
      <c r="W21325" s="24"/>
      <c r="X21325" s="24"/>
      <c r="Y21325" s="24"/>
      <c r="Z21325" s="24"/>
      <c r="AA21325" s="24"/>
    </row>
    <row r="21326">
      <c r="A21326" s="24"/>
      <c r="B21326" s="25"/>
      <c r="C21326" s="24"/>
      <c r="D21326" s="26"/>
      <c r="E21326" s="24"/>
      <c r="F21326" s="24"/>
      <c r="G21326" s="24"/>
      <c r="H21326" s="24"/>
      <c r="I21326" s="24"/>
      <c r="J21326" s="24"/>
      <c r="K21326" s="24"/>
      <c r="L21326" s="24"/>
      <c r="M21326" s="24"/>
      <c r="N21326" s="24"/>
      <c r="O21326" s="24"/>
      <c r="P21326" s="24"/>
      <c r="Q21326" s="24"/>
      <c r="R21326" s="24"/>
      <c r="S21326" s="24"/>
      <c r="T21326" s="24"/>
      <c r="U21326" s="24"/>
      <c r="V21326" s="24"/>
      <c r="W21326" s="24"/>
      <c r="X21326" s="24"/>
      <c r="Y21326" s="24"/>
      <c r="Z21326" s="24"/>
      <c r="AA21326" s="24"/>
    </row>
    <row r="21327">
      <c r="A21327" s="24"/>
      <c r="B21327" s="25"/>
      <c r="C21327" s="24"/>
      <c r="D21327" s="26"/>
      <c r="E21327" s="24"/>
      <c r="F21327" s="24"/>
      <c r="G21327" s="24"/>
      <c r="H21327" s="24"/>
      <c r="I21327" s="24"/>
      <c r="J21327" s="24"/>
      <c r="K21327" s="24"/>
      <c r="L21327" s="24"/>
      <c r="M21327" s="24"/>
      <c r="N21327" s="24"/>
      <c r="O21327" s="24"/>
      <c r="P21327" s="24"/>
      <c r="Q21327" s="24"/>
      <c r="R21327" s="24"/>
      <c r="S21327" s="24"/>
      <c r="T21327" s="24"/>
      <c r="U21327" s="24"/>
      <c r="V21327" s="24"/>
      <c r="W21327" s="24"/>
      <c r="X21327" s="24"/>
      <c r="Y21327" s="24"/>
      <c r="Z21327" s="24"/>
      <c r="AA21327" s="24"/>
    </row>
    <row r="21328">
      <c r="A21328" s="24"/>
      <c r="B21328" s="25"/>
      <c r="C21328" s="24"/>
      <c r="D21328" s="26"/>
      <c r="E21328" s="24"/>
      <c r="F21328" s="24"/>
      <c r="G21328" s="24"/>
      <c r="H21328" s="24"/>
      <c r="I21328" s="24"/>
      <c r="J21328" s="24"/>
      <c r="K21328" s="24"/>
      <c r="L21328" s="24"/>
      <c r="M21328" s="24"/>
      <c r="N21328" s="24"/>
      <c r="O21328" s="24"/>
      <c r="P21328" s="24"/>
      <c r="Q21328" s="24"/>
      <c r="R21328" s="24"/>
      <c r="S21328" s="24"/>
      <c r="T21328" s="24"/>
      <c r="U21328" s="24"/>
      <c r="V21328" s="24"/>
      <c r="W21328" s="24"/>
      <c r="X21328" s="24"/>
      <c r="Y21328" s="24"/>
      <c r="Z21328" s="24"/>
      <c r="AA21328" s="24"/>
    </row>
    <row r="21329">
      <c r="A21329" s="24"/>
      <c r="B21329" s="25"/>
      <c r="C21329" s="24"/>
      <c r="D21329" s="26"/>
      <c r="E21329" s="24"/>
      <c r="F21329" s="24"/>
      <c r="G21329" s="24"/>
      <c r="H21329" s="24"/>
      <c r="I21329" s="24"/>
      <c r="J21329" s="24"/>
      <c r="K21329" s="24"/>
      <c r="L21329" s="24"/>
      <c r="M21329" s="24"/>
      <c r="N21329" s="24"/>
      <c r="O21329" s="24"/>
      <c r="P21329" s="24"/>
      <c r="Q21329" s="24"/>
      <c r="R21329" s="24"/>
      <c r="S21329" s="24"/>
      <c r="T21329" s="24"/>
      <c r="U21329" s="24"/>
      <c r="V21329" s="24"/>
      <c r="W21329" s="24"/>
      <c r="X21329" s="24"/>
      <c r="Y21329" s="24"/>
      <c r="Z21329" s="24"/>
      <c r="AA21329" s="24"/>
    </row>
    <row r="21330">
      <c r="A21330" s="24"/>
      <c r="B21330" s="25"/>
      <c r="C21330" s="24"/>
      <c r="D21330" s="26"/>
      <c r="E21330" s="24"/>
      <c r="F21330" s="24"/>
      <c r="G21330" s="24"/>
      <c r="H21330" s="24"/>
      <c r="I21330" s="24"/>
      <c r="J21330" s="24"/>
      <c r="K21330" s="24"/>
      <c r="L21330" s="24"/>
      <c r="M21330" s="24"/>
      <c r="N21330" s="24"/>
      <c r="O21330" s="24"/>
      <c r="P21330" s="24"/>
      <c r="Q21330" s="24"/>
      <c r="R21330" s="24"/>
      <c r="S21330" s="24"/>
      <c r="T21330" s="24"/>
      <c r="U21330" s="24"/>
      <c r="V21330" s="24"/>
      <c r="W21330" s="24"/>
      <c r="X21330" s="24"/>
      <c r="Y21330" s="24"/>
      <c r="Z21330" s="24"/>
      <c r="AA21330" s="24"/>
    </row>
    <row r="21331">
      <c r="A21331" s="24"/>
      <c r="B21331" s="25"/>
      <c r="C21331" s="24"/>
      <c r="D21331" s="26"/>
      <c r="E21331" s="24"/>
      <c r="F21331" s="24"/>
      <c r="G21331" s="24"/>
      <c r="H21331" s="24"/>
      <c r="I21331" s="24"/>
      <c r="J21331" s="24"/>
      <c r="K21331" s="24"/>
      <c r="L21331" s="24"/>
      <c r="M21331" s="24"/>
      <c r="N21331" s="24"/>
      <c r="O21331" s="24"/>
      <c r="P21331" s="24"/>
      <c r="Q21331" s="24"/>
      <c r="R21331" s="24"/>
      <c r="S21331" s="24"/>
      <c r="T21331" s="24"/>
      <c r="U21331" s="24"/>
      <c r="V21331" s="24"/>
      <c r="W21331" s="24"/>
      <c r="X21331" s="24"/>
      <c r="Y21331" s="24"/>
      <c r="Z21331" s="24"/>
      <c r="AA21331" s="24"/>
    </row>
    <row r="21332">
      <c r="A21332" s="24"/>
      <c r="B21332" s="25"/>
      <c r="C21332" s="24"/>
      <c r="D21332" s="26"/>
      <c r="E21332" s="24"/>
      <c r="F21332" s="24"/>
      <c r="G21332" s="24"/>
      <c r="H21332" s="24"/>
      <c r="I21332" s="24"/>
      <c r="J21332" s="24"/>
      <c r="K21332" s="24"/>
      <c r="L21332" s="24"/>
      <c r="M21332" s="24"/>
      <c r="N21332" s="24"/>
      <c r="O21332" s="24"/>
      <c r="P21332" s="24"/>
      <c r="Q21332" s="24"/>
      <c r="R21332" s="24"/>
      <c r="S21332" s="24"/>
      <c r="T21332" s="24"/>
      <c r="U21332" s="24"/>
      <c r="V21332" s="24"/>
      <c r="W21332" s="24"/>
      <c r="X21332" s="24"/>
      <c r="Y21332" s="24"/>
      <c r="Z21332" s="24"/>
      <c r="AA21332" s="24"/>
    </row>
    <row r="21333">
      <c r="A21333" s="24"/>
      <c r="B21333" s="25"/>
      <c r="C21333" s="24"/>
      <c r="D21333" s="26"/>
      <c r="E21333" s="24"/>
      <c r="F21333" s="24"/>
      <c r="G21333" s="24"/>
      <c r="H21333" s="24"/>
      <c r="I21333" s="24"/>
      <c r="J21333" s="24"/>
      <c r="K21333" s="24"/>
      <c r="L21333" s="24"/>
      <c r="M21333" s="24"/>
      <c r="N21333" s="24"/>
      <c r="O21333" s="24"/>
      <c r="P21333" s="24"/>
      <c r="Q21333" s="24"/>
      <c r="R21333" s="24"/>
      <c r="S21333" s="24"/>
      <c r="T21333" s="24"/>
      <c r="U21333" s="24"/>
      <c r="V21333" s="24"/>
      <c r="W21333" s="24"/>
      <c r="X21333" s="24"/>
      <c r="Y21333" s="24"/>
      <c r="Z21333" s="24"/>
      <c r="AA21333" s="24"/>
    </row>
    <row r="21334">
      <c r="A21334" s="24"/>
      <c r="B21334" s="25"/>
      <c r="C21334" s="24"/>
      <c r="D21334" s="26"/>
      <c r="E21334" s="24"/>
      <c r="F21334" s="24"/>
      <c r="G21334" s="24"/>
      <c r="H21334" s="24"/>
      <c r="I21334" s="24"/>
      <c r="J21334" s="24"/>
      <c r="K21334" s="24"/>
      <c r="L21334" s="24"/>
      <c r="M21334" s="24"/>
      <c r="N21334" s="24"/>
      <c r="O21334" s="24"/>
      <c r="P21334" s="24"/>
      <c r="Q21334" s="24"/>
      <c r="R21334" s="24"/>
      <c r="S21334" s="24"/>
      <c r="T21334" s="24"/>
      <c r="U21334" s="24"/>
      <c r="V21334" s="24"/>
      <c r="W21334" s="24"/>
      <c r="X21334" s="24"/>
      <c r="Y21334" s="24"/>
      <c r="Z21334" s="24"/>
      <c r="AA21334" s="24"/>
    </row>
    <row r="21335">
      <c r="A21335" s="24"/>
      <c r="B21335" s="25"/>
      <c r="C21335" s="24"/>
      <c r="D21335" s="26"/>
      <c r="E21335" s="24"/>
      <c r="F21335" s="24"/>
      <c r="G21335" s="24"/>
      <c r="H21335" s="24"/>
      <c r="I21335" s="24"/>
      <c r="J21335" s="24"/>
      <c r="K21335" s="24"/>
      <c r="L21335" s="24"/>
      <c r="M21335" s="24"/>
      <c r="N21335" s="24"/>
      <c r="O21335" s="24"/>
      <c r="P21335" s="24"/>
      <c r="Q21335" s="24"/>
      <c r="R21335" s="24"/>
      <c r="S21335" s="24"/>
      <c r="T21335" s="24"/>
      <c r="U21335" s="24"/>
      <c r="V21335" s="24"/>
      <c r="W21335" s="24"/>
      <c r="X21335" s="24"/>
      <c r="Y21335" s="24"/>
      <c r="Z21335" s="24"/>
      <c r="AA21335" s="24"/>
    </row>
    <row r="21336">
      <c r="A21336" s="24"/>
      <c r="B21336" s="25"/>
      <c r="C21336" s="24"/>
      <c r="D21336" s="26"/>
      <c r="E21336" s="24"/>
      <c r="F21336" s="24"/>
      <c r="G21336" s="24"/>
      <c r="H21336" s="24"/>
      <c r="I21336" s="24"/>
      <c r="J21336" s="24"/>
      <c r="K21336" s="24"/>
      <c r="L21336" s="24"/>
      <c r="M21336" s="24"/>
      <c r="N21336" s="24"/>
      <c r="O21336" s="24"/>
      <c r="P21336" s="24"/>
      <c r="Q21336" s="24"/>
      <c r="R21336" s="24"/>
      <c r="S21336" s="24"/>
      <c r="T21336" s="24"/>
      <c r="U21336" s="24"/>
      <c r="V21336" s="24"/>
      <c r="W21336" s="24"/>
      <c r="X21336" s="24"/>
      <c r="Y21336" s="24"/>
      <c r="Z21336" s="24"/>
      <c r="AA21336" s="24"/>
    </row>
    <row r="21337">
      <c r="A21337" s="24"/>
      <c r="B21337" s="25"/>
      <c r="C21337" s="24"/>
      <c r="D21337" s="26"/>
      <c r="E21337" s="24"/>
      <c r="F21337" s="24"/>
      <c r="G21337" s="24"/>
      <c r="H21337" s="24"/>
      <c r="I21337" s="24"/>
      <c r="J21337" s="24"/>
      <c r="K21337" s="24"/>
      <c r="L21337" s="24"/>
      <c r="M21337" s="24"/>
      <c r="N21337" s="24"/>
      <c r="O21337" s="24"/>
      <c r="P21337" s="24"/>
      <c r="Q21337" s="24"/>
      <c r="R21337" s="24"/>
      <c r="S21337" s="24"/>
      <c r="T21337" s="24"/>
      <c r="U21337" s="24"/>
      <c r="V21337" s="24"/>
      <c r="W21337" s="24"/>
      <c r="X21337" s="24"/>
      <c r="Y21337" s="24"/>
      <c r="Z21337" s="24"/>
      <c r="AA21337" s="24"/>
    </row>
    <row r="21338">
      <c r="A21338" s="24"/>
      <c r="B21338" s="25"/>
      <c r="C21338" s="24"/>
      <c r="D21338" s="26"/>
      <c r="E21338" s="24"/>
      <c r="F21338" s="24"/>
      <c r="G21338" s="24"/>
      <c r="H21338" s="24"/>
      <c r="I21338" s="24"/>
      <c r="J21338" s="24"/>
      <c r="K21338" s="24"/>
      <c r="L21338" s="24"/>
      <c r="M21338" s="24"/>
      <c r="N21338" s="24"/>
      <c r="O21338" s="24"/>
      <c r="P21338" s="24"/>
      <c r="Q21338" s="24"/>
      <c r="R21338" s="24"/>
      <c r="S21338" s="24"/>
      <c r="T21338" s="24"/>
      <c r="U21338" s="24"/>
      <c r="V21338" s="24"/>
      <c r="W21338" s="24"/>
      <c r="X21338" s="24"/>
      <c r="Y21338" s="24"/>
      <c r="Z21338" s="24"/>
      <c r="AA21338" s="24"/>
    </row>
    <row r="21339">
      <c r="A21339" s="24"/>
      <c r="B21339" s="25"/>
      <c r="C21339" s="24"/>
      <c r="D21339" s="26"/>
      <c r="E21339" s="24"/>
      <c r="F21339" s="24"/>
      <c r="G21339" s="24"/>
      <c r="H21339" s="24"/>
      <c r="I21339" s="24"/>
      <c r="J21339" s="24"/>
      <c r="K21339" s="24"/>
      <c r="L21339" s="24"/>
      <c r="M21339" s="24"/>
      <c r="N21339" s="24"/>
      <c r="O21339" s="24"/>
      <c r="P21339" s="24"/>
      <c r="Q21339" s="24"/>
      <c r="R21339" s="24"/>
      <c r="S21339" s="24"/>
      <c r="T21339" s="24"/>
      <c r="U21339" s="24"/>
      <c r="V21339" s="24"/>
      <c r="W21339" s="24"/>
      <c r="X21339" s="24"/>
      <c r="Y21339" s="24"/>
      <c r="Z21339" s="24"/>
      <c r="AA21339" s="24"/>
    </row>
    <row r="21340">
      <c r="A21340" s="24"/>
      <c r="B21340" s="25"/>
      <c r="C21340" s="24"/>
      <c r="D21340" s="26"/>
      <c r="E21340" s="24"/>
      <c r="F21340" s="24"/>
      <c r="G21340" s="24"/>
      <c r="H21340" s="24"/>
      <c r="I21340" s="24"/>
      <c r="J21340" s="24"/>
      <c r="K21340" s="24"/>
      <c r="L21340" s="24"/>
      <c r="M21340" s="24"/>
      <c r="N21340" s="24"/>
      <c r="O21340" s="24"/>
      <c r="P21340" s="24"/>
      <c r="Q21340" s="24"/>
      <c r="R21340" s="24"/>
      <c r="S21340" s="24"/>
      <c r="T21340" s="24"/>
      <c r="U21340" s="24"/>
      <c r="V21340" s="24"/>
      <c r="W21340" s="24"/>
      <c r="X21340" s="24"/>
      <c r="Y21340" s="24"/>
      <c r="Z21340" s="24"/>
      <c r="AA21340" s="24"/>
    </row>
    <row r="21341">
      <c r="A21341" s="24"/>
      <c r="B21341" s="25"/>
      <c r="C21341" s="24"/>
      <c r="D21341" s="26"/>
      <c r="E21341" s="24"/>
      <c r="F21341" s="24"/>
      <c r="G21341" s="24"/>
      <c r="H21341" s="24"/>
      <c r="I21341" s="24"/>
      <c r="J21341" s="24"/>
      <c r="K21341" s="24"/>
      <c r="L21341" s="24"/>
      <c r="M21341" s="24"/>
      <c r="N21341" s="24"/>
      <c r="O21341" s="24"/>
      <c r="P21341" s="24"/>
      <c r="Q21341" s="24"/>
      <c r="R21341" s="24"/>
      <c r="S21341" s="24"/>
      <c r="T21341" s="24"/>
      <c r="U21341" s="24"/>
      <c r="V21341" s="24"/>
      <c r="W21341" s="24"/>
      <c r="X21341" s="24"/>
      <c r="Y21341" s="24"/>
      <c r="Z21341" s="24"/>
      <c r="AA21341" s="24"/>
    </row>
    <row r="21342">
      <c r="A21342" s="24"/>
      <c r="B21342" s="25"/>
      <c r="C21342" s="24"/>
      <c r="D21342" s="26"/>
      <c r="E21342" s="24"/>
      <c r="F21342" s="24"/>
      <c r="G21342" s="24"/>
      <c r="H21342" s="24"/>
      <c r="I21342" s="24"/>
      <c r="J21342" s="24"/>
      <c r="K21342" s="24"/>
      <c r="L21342" s="24"/>
      <c r="M21342" s="24"/>
      <c r="N21342" s="24"/>
      <c r="O21342" s="24"/>
      <c r="P21342" s="24"/>
      <c r="Q21342" s="24"/>
      <c r="R21342" s="24"/>
      <c r="S21342" s="24"/>
      <c r="T21342" s="24"/>
      <c r="U21342" s="24"/>
      <c r="V21342" s="24"/>
      <c r="W21342" s="24"/>
      <c r="X21342" s="24"/>
      <c r="Y21342" s="24"/>
      <c r="Z21342" s="24"/>
      <c r="AA21342" s="24"/>
    </row>
    <row r="21343">
      <c r="A21343" s="24"/>
      <c r="B21343" s="25"/>
      <c r="C21343" s="24"/>
      <c r="D21343" s="26"/>
      <c r="E21343" s="24"/>
      <c r="F21343" s="24"/>
      <c r="G21343" s="24"/>
      <c r="H21343" s="24"/>
      <c r="I21343" s="24"/>
      <c r="J21343" s="24"/>
      <c r="K21343" s="24"/>
      <c r="L21343" s="24"/>
      <c r="M21343" s="24"/>
      <c r="N21343" s="24"/>
      <c r="O21343" s="24"/>
      <c r="P21343" s="24"/>
      <c r="Q21343" s="24"/>
      <c r="R21343" s="24"/>
      <c r="S21343" s="24"/>
      <c r="T21343" s="24"/>
      <c r="U21343" s="24"/>
      <c r="V21343" s="24"/>
      <c r="W21343" s="24"/>
      <c r="X21343" s="24"/>
      <c r="Y21343" s="24"/>
      <c r="Z21343" s="24"/>
      <c r="AA21343" s="24"/>
    </row>
    <row r="21344">
      <c r="A21344" s="24"/>
      <c r="B21344" s="25"/>
      <c r="C21344" s="24"/>
      <c r="D21344" s="26"/>
      <c r="E21344" s="24"/>
      <c r="F21344" s="24"/>
      <c r="G21344" s="24"/>
      <c r="H21344" s="24"/>
      <c r="I21344" s="24"/>
      <c r="J21344" s="24"/>
      <c r="K21344" s="24"/>
      <c r="L21344" s="24"/>
      <c r="M21344" s="24"/>
      <c r="N21344" s="24"/>
      <c r="O21344" s="24"/>
      <c r="P21344" s="24"/>
      <c r="Q21344" s="24"/>
      <c r="R21344" s="24"/>
      <c r="S21344" s="24"/>
      <c r="T21344" s="24"/>
      <c r="U21344" s="24"/>
      <c r="V21344" s="24"/>
      <c r="W21344" s="24"/>
      <c r="X21344" s="24"/>
      <c r="Y21344" s="24"/>
      <c r="Z21344" s="24"/>
      <c r="AA21344" s="24"/>
    </row>
    <row r="21345">
      <c r="A21345" s="24"/>
      <c r="B21345" s="25"/>
      <c r="C21345" s="24"/>
      <c r="D21345" s="26"/>
      <c r="E21345" s="24"/>
      <c r="F21345" s="24"/>
      <c r="G21345" s="24"/>
      <c r="H21345" s="24"/>
      <c r="I21345" s="24"/>
      <c r="J21345" s="24"/>
      <c r="K21345" s="24"/>
      <c r="L21345" s="24"/>
      <c r="M21345" s="24"/>
      <c r="N21345" s="24"/>
      <c r="O21345" s="24"/>
      <c r="P21345" s="24"/>
      <c r="Q21345" s="24"/>
      <c r="R21345" s="24"/>
      <c r="S21345" s="24"/>
      <c r="T21345" s="24"/>
      <c r="U21345" s="24"/>
      <c r="V21345" s="24"/>
      <c r="W21345" s="24"/>
      <c r="X21345" s="24"/>
      <c r="Y21345" s="24"/>
      <c r="Z21345" s="24"/>
      <c r="AA21345" s="24"/>
    </row>
    <row r="21346">
      <c r="A21346" s="24"/>
      <c r="B21346" s="25"/>
      <c r="C21346" s="24"/>
      <c r="D21346" s="26"/>
      <c r="E21346" s="24"/>
      <c r="F21346" s="24"/>
      <c r="G21346" s="24"/>
      <c r="H21346" s="24"/>
      <c r="I21346" s="24"/>
      <c r="J21346" s="24"/>
      <c r="K21346" s="24"/>
      <c r="L21346" s="24"/>
      <c r="M21346" s="24"/>
      <c r="N21346" s="24"/>
      <c r="O21346" s="24"/>
      <c r="P21346" s="24"/>
      <c r="Q21346" s="24"/>
      <c r="R21346" s="24"/>
      <c r="S21346" s="24"/>
      <c r="T21346" s="24"/>
      <c r="U21346" s="24"/>
      <c r="V21346" s="24"/>
      <c r="W21346" s="24"/>
      <c r="X21346" s="24"/>
      <c r="Y21346" s="24"/>
      <c r="Z21346" s="24"/>
      <c r="AA21346" s="24"/>
    </row>
    <row r="21347">
      <c r="A21347" s="24"/>
      <c r="B21347" s="25"/>
      <c r="C21347" s="24"/>
      <c r="D21347" s="26"/>
      <c r="E21347" s="24"/>
      <c r="F21347" s="24"/>
      <c r="G21347" s="24"/>
      <c r="H21347" s="24"/>
      <c r="I21347" s="24"/>
      <c r="J21347" s="24"/>
      <c r="K21347" s="24"/>
      <c r="L21347" s="24"/>
      <c r="M21347" s="24"/>
      <c r="N21347" s="24"/>
      <c r="O21347" s="24"/>
      <c r="P21347" s="24"/>
      <c r="Q21347" s="24"/>
      <c r="R21347" s="24"/>
      <c r="S21347" s="24"/>
      <c r="T21347" s="24"/>
      <c r="U21347" s="24"/>
      <c r="V21347" s="24"/>
      <c r="W21347" s="24"/>
      <c r="X21347" s="24"/>
      <c r="Y21347" s="24"/>
      <c r="Z21347" s="24"/>
      <c r="AA21347" s="24"/>
    </row>
    <row r="21348">
      <c r="A21348" s="24"/>
      <c r="B21348" s="25"/>
      <c r="C21348" s="24"/>
      <c r="D21348" s="26"/>
      <c r="E21348" s="24"/>
      <c r="F21348" s="24"/>
      <c r="G21348" s="24"/>
      <c r="H21348" s="24"/>
      <c r="I21348" s="24"/>
      <c r="J21348" s="24"/>
      <c r="K21348" s="24"/>
      <c r="L21348" s="24"/>
      <c r="M21348" s="24"/>
      <c r="N21348" s="24"/>
      <c r="O21348" s="24"/>
      <c r="P21348" s="24"/>
      <c r="Q21348" s="24"/>
      <c r="R21348" s="24"/>
      <c r="S21348" s="24"/>
      <c r="T21348" s="24"/>
      <c r="U21348" s="24"/>
      <c r="V21348" s="24"/>
      <c r="W21348" s="24"/>
      <c r="X21348" s="24"/>
      <c r="Y21348" s="24"/>
      <c r="Z21348" s="24"/>
      <c r="AA21348" s="24"/>
    </row>
    <row r="21349">
      <c r="A21349" s="24"/>
      <c r="B21349" s="25"/>
      <c r="C21349" s="24"/>
      <c r="D21349" s="26"/>
      <c r="E21349" s="24"/>
      <c r="F21349" s="24"/>
      <c r="G21349" s="24"/>
      <c r="H21349" s="24"/>
      <c r="I21349" s="24"/>
      <c r="J21349" s="24"/>
      <c r="K21349" s="24"/>
      <c r="L21349" s="24"/>
      <c r="M21349" s="24"/>
      <c r="N21349" s="24"/>
      <c r="O21349" s="24"/>
      <c r="P21349" s="24"/>
      <c r="Q21349" s="24"/>
      <c r="R21349" s="24"/>
      <c r="S21349" s="24"/>
      <c r="T21349" s="24"/>
      <c r="U21349" s="24"/>
      <c r="V21349" s="24"/>
      <c r="W21349" s="24"/>
      <c r="X21349" s="24"/>
      <c r="Y21349" s="24"/>
      <c r="Z21349" s="24"/>
      <c r="AA21349" s="24"/>
    </row>
    <row r="21350">
      <c r="A21350" s="24"/>
      <c r="B21350" s="25"/>
      <c r="C21350" s="24"/>
      <c r="D21350" s="26"/>
      <c r="E21350" s="24"/>
      <c r="F21350" s="24"/>
      <c r="G21350" s="24"/>
      <c r="H21350" s="24"/>
      <c r="I21350" s="24"/>
      <c r="J21350" s="24"/>
      <c r="K21350" s="24"/>
      <c r="L21350" s="24"/>
      <c r="M21350" s="24"/>
      <c r="N21350" s="24"/>
      <c r="O21350" s="24"/>
      <c r="P21350" s="24"/>
      <c r="Q21350" s="24"/>
      <c r="R21350" s="24"/>
      <c r="S21350" s="24"/>
      <c r="T21350" s="24"/>
      <c r="U21350" s="24"/>
      <c r="V21350" s="24"/>
      <c r="W21350" s="24"/>
      <c r="X21350" s="24"/>
      <c r="Y21350" s="24"/>
      <c r="Z21350" s="24"/>
      <c r="AA21350" s="24"/>
    </row>
    <row r="21351">
      <c r="A21351" s="24"/>
      <c r="B21351" s="25"/>
      <c r="C21351" s="24"/>
      <c r="D21351" s="26"/>
      <c r="E21351" s="24"/>
      <c r="F21351" s="24"/>
      <c r="G21351" s="24"/>
      <c r="H21351" s="24"/>
      <c r="I21351" s="24"/>
      <c r="J21351" s="24"/>
      <c r="K21351" s="24"/>
      <c r="L21351" s="24"/>
      <c r="M21351" s="24"/>
      <c r="N21351" s="24"/>
      <c r="O21351" s="24"/>
      <c r="P21351" s="24"/>
      <c r="Q21351" s="24"/>
      <c r="R21351" s="24"/>
      <c r="S21351" s="24"/>
      <c r="T21351" s="24"/>
      <c r="U21351" s="24"/>
      <c r="V21351" s="24"/>
      <c r="W21351" s="24"/>
      <c r="X21351" s="24"/>
      <c r="Y21351" s="24"/>
      <c r="Z21351" s="24"/>
      <c r="AA21351" s="24"/>
    </row>
    <row r="21352">
      <c r="A21352" s="24"/>
      <c r="B21352" s="25"/>
      <c r="C21352" s="24"/>
      <c r="D21352" s="26"/>
      <c r="E21352" s="24"/>
      <c r="F21352" s="24"/>
      <c r="G21352" s="24"/>
      <c r="H21352" s="24"/>
      <c r="I21352" s="24"/>
      <c r="J21352" s="24"/>
      <c r="K21352" s="24"/>
      <c r="L21352" s="24"/>
      <c r="M21352" s="24"/>
      <c r="N21352" s="24"/>
      <c r="O21352" s="24"/>
      <c r="P21352" s="24"/>
      <c r="Q21352" s="24"/>
      <c r="R21352" s="24"/>
      <c r="S21352" s="24"/>
      <c r="T21352" s="24"/>
      <c r="U21352" s="24"/>
      <c r="V21352" s="24"/>
      <c r="W21352" s="24"/>
      <c r="X21352" s="24"/>
      <c r="Y21352" s="24"/>
      <c r="Z21352" s="24"/>
      <c r="AA21352" s="24"/>
    </row>
    <row r="21353">
      <c r="A21353" s="24"/>
      <c r="B21353" s="25"/>
      <c r="C21353" s="24"/>
      <c r="D21353" s="26"/>
      <c r="E21353" s="24"/>
      <c r="F21353" s="24"/>
      <c r="G21353" s="24"/>
      <c r="H21353" s="24"/>
      <c r="I21353" s="24"/>
      <c r="J21353" s="24"/>
      <c r="K21353" s="24"/>
      <c r="L21353" s="24"/>
      <c r="M21353" s="24"/>
      <c r="N21353" s="24"/>
      <c r="O21353" s="24"/>
      <c r="P21353" s="24"/>
      <c r="Q21353" s="24"/>
      <c r="R21353" s="24"/>
      <c r="S21353" s="24"/>
      <c r="T21353" s="24"/>
      <c r="U21353" s="24"/>
      <c r="V21353" s="24"/>
      <c r="W21353" s="24"/>
      <c r="X21353" s="24"/>
      <c r="Y21353" s="24"/>
      <c r="Z21353" s="24"/>
      <c r="AA21353" s="24"/>
    </row>
    <row r="21354">
      <c r="A21354" s="24"/>
      <c r="B21354" s="25"/>
      <c r="C21354" s="24"/>
      <c r="D21354" s="26"/>
      <c r="E21354" s="24"/>
      <c r="F21354" s="24"/>
      <c r="G21354" s="24"/>
      <c r="H21354" s="24"/>
      <c r="I21354" s="24"/>
      <c r="J21354" s="24"/>
      <c r="K21354" s="24"/>
      <c r="L21354" s="24"/>
      <c r="M21354" s="24"/>
      <c r="N21354" s="24"/>
      <c r="O21354" s="24"/>
      <c r="P21354" s="24"/>
      <c r="Q21354" s="24"/>
      <c r="R21354" s="24"/>
      <c r="S21354" s="24"/>
      <c r="T21354" s="24"/>
      <c r="U21354" s="24"/>
      <c r="V21354" s="24"/>
      <c r="W21354" s="24"/>
      <c r="X21354" s="24"/>
      <c r="Y21354" s="24"/>
      <c r="Z21354" s="24"/>
      <c r="AA21354" s="24"/>
    </row>
    <row r="21355">
      <c r="A21355" s="24"/>
      <c r="B21355" s="25"/>
      <c r="C21355" s="24"/>
      <c r="D21355" s="26"/>
      <c r="E21355" s="24"/>
      <c r="F21355" s="24"/>
      <c r="G21355" s="24"/>
      <c r="H21355" s="24"/>
      <c r="I21355" s="24"/>
      <c r="J21355" s="24"/>
      <c r="K21355" s="24"/>
      <c r="L21355" s="24"/>
      <c r="M21355" s="24"/>
      <c r="N21355" s="24"/>
      <c r="O21355" s="24"/>
      <c r="P21355" s="24"/>
      <c r="Q21355" s="24"/>
      <c r="R21355" s="24"/>
      <c r="S21355" s="24"/>
      <c r="T21355" s="24"/>
      <c r="U21355" s="24"/>
      <c r="V21355" s="24"/>
      <c r="W21355" s="24"/>
      <c r="X21355" s="24"/>
      <c r="Y21355" s="24"/>
      <c r="Z21355" s="24"/>
      <c r="AA21355" s="24"/>
    </row>
    <row r="21356">
      <c r="A21356" s="24"/>
      <c r="B21356" s="25"/>
      <c r="C21356" s="24"/>
      <c r="D21356" s="26"/>
      <c r="E21356" s="24"/>
      <c r="F21356" s="24"/>
      <c r="G21356" s="24"/>
      <c r="H21356" s="24"/>
      <c r="I21356" s="24"/>
      <c r="J21356" s="24"/>
      <c r="K21356" s="24"/>
      <c r="L21356" s="24"/>
      <c r="M21356" s="24"/>
      <c r="N21356" s="24"/>
      <c r="O21356" s="24"/>
      <c r="P21356" s="24"/>
      <c r="Q21356" s="24"/>
      <c r="R21356" s="24"/>
      <c r="S21356" s="24"/>
      <c r="T21356" s="24"/>
      <c r="U21356" s="24"/>
      <c r="V21356" s="24"/>
      <c r="W21356" s="24"/>
      <c r="X21356" s="24"/>
      <c r="Y21356" s="24"/>
      <c r="Z21356" s="24"/>
      <c r="AA21356" s="24"/>
    </row>
    <row r="21357">
      <c r="A21357" s="24"/>
      <c r="B21357" s="25"/>
      <c r="C21357" s="24"/>
      <c r="D21357" s="26"/>
      <c r="E21357" s="24"/>
      <c r="F21357" s="24"/>
      <c r="G21357" s="24"/>
      <c r="H21357" s="24"/>
      <c r="I21357" s="24"/>
      <c r="J21357" s="24"/>
      <c r="K21357" s="24"/>
      <c r="L21357" s="24"/>
      <c r="M21357" s="24"/>
      <c r="N21357" s="24"/>
      <c r="O21357" s="24"/>
      <c r="P21357" s="24"/>
      <c r="Q21357" s="24"/>
      <c r="R21357" s="24"/>
      <c r="S21357" s="24"/>
      <c r="T21357" s="24"/>
      <c r="U21357" s="24"/>
      <c r="V21357" s="24"/>
      <c r="W21357" s="24"/>
      <c r="X21357" s="24"/>
      <c r="Y21357" s="24"/>
      <c r="Z21357" s="24"/>
      <c r="AA21357" s="24"/>
    </row>
    <row r="21358">
      <c r="A21358" s="24"/>
      <c r="B21358" s="25"/>
      <c r="C21358" s="24"/>
      <c r="D21358" s="26"/>
      <c r="E21358" s="24"/>
      <c r="F21358" s="24"/>
      <c r="G21358" s="24"/>
      <c r="H21358" s="24"/>
      <c r="I21358" s="24"/>
      <c r="J21358" s="24"/>
      <c r="K21358" s="24"/>
      <c r="L21358" s="24"/>
      <c r="M21358" s="24"/>
      <c r="N21358" s="24"/>
      <c r="O21358" s="24"/>
      <c r="P21358" s="24"/>
      <c r="Q21358" s="24"/>
      <c r="R21358" s="24"/>
      <c r="S21358" s="24"/>
      <c r="T21358" s="24"/>
      <c r="U21358" s="24"/>
      <c r="V21358" s="24"/>
      <c r="W21358" s="24"/>
      <c r="X21358" s="24"/>
      <c r="Y21358" s="24"/>
      <c r="Z21358" s="24"/>
      <c r="AA21358" s="24"/>
    </row>
    <row r="21359">
      <c r="A21359" s="24"/>
      <c r="B21359" s="25"/>
      <c r="C21359" s="24"/>
      <c r="D21359" s="26"/>
      <c r="E21359" s="24"/>
      <c r="F21359" s="24"/>
      <c r="G21359" s="24"/>
      <c r="H21359" s="24"/>
      <c r="I21359" s="24"/>
      <c r="J21359" s="24"/>
      <c r="K21359" s="24"/>
      <c r="L21359" s="24"/>
      <c r="M21359" s="24"/>
      <c r="N21359" s="24"/>
      <c r="O21359" s="24"/>
      <c r="P21359" s="24"/>
      <c r="Q21359" s="24"/>
      <c r="R21359" s="24"/>
      <c r="S21359" s="24"/>
      <c r="T21359" s="24"/>
      <c r="U21359" s="24"/>
      <c r="V21359" s="24"/>
      <c r="W21359" s="24"/>
      <c r="X21359" s="24"/>
      <c r="Y21359" s="24"/>
      <c r="Z21359" s="24"/>
      <c r="AA21359" s="24"/>
    </row>
    <row r="21360">
      <c r="A21360" s="24"/>
      <c r="B21360" s="25"/>
      <c r="C21360" s="24"/>
      <c r="D21360" s="26"/>
      <c r="E21360" s="24"/>
      <c r="F21360" s="24"/>
      <c r="G21360" s="24"/>
      <c r="H21360" s="24"/>
      <c r="I21360" s="24"/>
      <c r="J21360" s="24"/>
      <c r="K21360" s="24"/>
      <c r="L21360" s="24"/>
      <c r="M21360" s="24"/>
      <c r="N21360" s="24"/>
      <c r="O21360" s="24"/>
      <c r="P21360" s="24"/>
      <c r="Q21360" s="24"/>
      <c r="R21360" s="24"/>
      <c r="S21360" s="24"/>
      <c r="T21360" s="24"/>
      <c r="U21360" s="24"/>
      <c r="V21360" s="24"/>
      <c r="W21360" s="24"/>
      <c r="X21360" s="24"/>
      <c r="Y21360" s="24"/>
      <c r="Z21360" s="24"/>
      <c r="AA21360" s="24"/>
    </row>
    <row r="21361">
      <c r="A21361" s="24"/>
      <c r="B21361" s="25"/>
      <c r="C21361" s="24"/>
      <c r="D21361" s="26"/>
      <c r="E21361" s="24"/>
      <c r="F21361" s="24"/>
      <c r="G21361" s="24"/>
      <c r="H21361" s="24"/>
      <c r="I21361" s="24"/>
      <c r="J21361" s="24"/>
      <c r="K21361" s="24"/>
      <c r="L21361" s="24"/>
      <c r="M21361" s="24"/>
      <c r="N21361" s="24"/>
      <c r="O21361" s="24"/>
      <c r="P21361" s="24"/>
      <c r="Q21361" s="24"/>
      <c r="R21361" s="24"/>
      <c r="S21361" s="24"/>
      <c r="T21361" s="24"/>
      <c r="U21361" s="24"/>
      <c r="V21361" s="24"/>
      <c r="W21361" s="24"/>
      <c r="X21361" s="24"/>
      <c r="Y21361" s="24"/>
      <c r="Z21361" s="24"/>
      <c r="AA21361" s="24"/>
    </row>
    <row r="21362">
      <c r="A21362" s="24"/>
      <c r="B21362" s="25"/>
      <c r="C21362" s="24"/>
      <c r="D21362" s="26"/>
      <c r="E21362" s="24"/>
      <c r="F21362" s="24"/>
      <c r="G21362" s="24"/>
      <c r="H21362" s="24"/>
      <c r="I21362" s="24"/>
      <c r="J21362" s="24"/>
      <c r="K21362" s="24"/>
      <c r="L21362" s="24"/>
      <c r="M21362" s="24"/>
      <c r="N21362" s="24"/>
      <c r="O21362" s="24"/>
      <c r="P21362" s="24"/>
      <c r="Q21362" s="24"/>
      <c r="R21362" s="24"/>
      <c r="S21362" s="24"/>
      <c r="T21362" s="24"/>
      <c r="U21362" s="24"/>
      <c r="V21362" s="24"/>
      <c r="W21362" s="24"/>
      <c r="X21362" s="24"/>
      <c r="Y21362" s="24"/>
      <c r="Z21362" s="24"/>
      <c r="AA21362" s="24"/>
    </row>
    <row r="21363">
      <c r="A21363" s="24"/>
      <c r="B21363" s="25"/>
      <c r="C21363" s="24"/>
      <c r="D21363" s="26"/>
      <c r="E21363" s="24"/>
      <c r="F21363" s="24"/>
      <c r="G21363" s="24"/>
      <c r="H21363" s="24"/>
      <c r="I21363" s="24"/>
      <c r="J21363" s="24"/>
      <c r="K21363" s="24"/>
      <c r="L21363" s="24"/>
      <c r="M21363" s="24"/>
      <c r="N21363" s="24"/>
      <c r="O21363" s="24"/>
      <c r="P21363" s="24"/>
      <c r="Q21363" s="24"/>
      <c r="R21363" s="24"/>
      <c r="S21363" s="24"/>
      <c r="T21363" s="24"/>
      <c r="U21363" s="24"/>
      <c r="V21363" s="24"/>
      <c r="W21363" s="24"/>
      <c r="X21363" s="24"/>
      <c r="Y21363" s="24"/>
      <c r="Z21363" s="24"/>
      <c r="AA21363" s="24"/>
    </row>
    <row r="21364">
      <c r="A21364" s="24"/>
      <c r="B21364" s="25"/>
      <c r="C21364" s="24"/>
      <c r="D21364" s="26"/>
      <c r="E21364" s="24"/>
      <c r="F21364" s="24"/>
      <c r="G21364" s="24"/>
      <c r="H21364" s="24"/>
      <c r="I21364" s="24"/>
      <c r="J21364" s="24"/>
      <c r="K21364" s="24"/>
      <c r="L21364" s="24"/>
      <c r="M21364" s="24"/>
      <c r="N21364" s="24"/>
      <c r="O21364" s="24"/>
      <c r="P21364" s="24"/>
      <c r="Q21364" s="24"/>
      <c r="R21364" s="24"/>
      <c r="S21364" s="24"/>
      <c r="T21364" s="24"/>
      <c r="U21364" s="24"/>
      <c r="V21364" s="24"/>
      <c r="W21364" s="24"/>
      <c r="X21364" s="24"/>
      <c r="Y21364" s="24"/>
      <c r="Z21364" s="24"/>
      <c r="AA21364" s="24"/>
    </row>
    <row r="21365">
      <c r="A21365" s="24"/>
      <c r="B21365" s="25"/>
      <c r="C21365" s="24"/>
      <c r="D21365" s="26"/>
      <c r="E21365" s="24"/>
      <c r="F21365" s="24"/>
      <c r="G21365" s="24"/>
      <c r="H21365" s="24"/>
      <c r="I21365" s="24"/>
      <c r="J21365" s="24"/>
      <c r="K21365" s="24"/>
      <c r="L21365" s="24"/>
      <c r="M21365" s="24"/>
      <c r="N21365" s="24"/>
      <c r="O21365" s="24"/>
      <c r="P21365" s="24"/>
      <c r="Q21365" s="24"/>
      <c r="R21365" s="24"/>
      <c r="S21365" s="24"/>
      <c r="T21365" s="24"/>
      <c r="U21365" s="24"/>
      <c r="V21365" s="24"/>
      <c r="W21365" s="24"/>
      <c r="X21365" s="24"/>
      <c r="Y21365" s="24"/>
      <c r="Z21365" s="24"/>
      <c r="AA21365" s="24"/>
    </row>
    <row r="21366">
      <c r="A21366" s="24"/>
      <c r="B21366" s="25"/>
      <c r="C21366" s="24"/>
      <c r="D21366" s="26"/>
      <c r="E21366" s="24"/>
      <c r="F21366" s="24"/>
      <c r="G21366" s="24"/>
      <c r="H21366" s="24"/>
      <c r="I21366" s="24"/>
      <c r="J21366" s="24"/>
      <c r="K21366" s="24"/>
      <c r="L21366" s="24"/>
      <c r="M21366" s="24"/>
      <c r="N21366" s="24"/>
      <c r="O21366" s="24"/>
      <c r="P21366" s="24"/>
      <c r="Q21366" s="24"/>
      <c r="R21366" s="24"/>
      <c r="S21366" s="24"/>
      <c r="T21366" s="24"/>
      <c r="U21366" s="24"/>
      <c r="V21366" s="24"/>
      <c r="W21366" s="24"/>
      <c r="X21366" s="24"/>
      <c r="Y21366" s="24"/>
      <c r="Z21366" s="24"/>
      <c r="AA21366" s="24"/>
    </row>
    <row r="21367">
      <c r="A21367" s="24"/>
      <c r="B21367" s="25"/>
      <c r="C21367" s="24"/>
      <c r="D21367" s="26"/>
      <c r="E21367" s="24"/>
      <c r="F21367" s="24"/>
      <c r="G21367" s="24"/>
      <c r="H21367" s="24"/>
      <c r="I21367" s="24"/>
      <c r="J21367" s="24"/>
      <c r="K21367" s="24"/>
      <c r="L21367" s="24"/>
      <c r="M21367" s="24"/>
      <c r="N21367" s="24"/>
      <c r="O21367" s="24"/>
      <c r="P21367" s="24"/>
      <c r="Q21367" s="24"/>
      <c r="R21367" s="24"/>
      <c r="S21367" s="24"/>
      <c r="T21367" s="24"/>
      <c r="U21367" s="24"/>
      <c r="V21367" s="24"/>
      <c r="W21367" s="24"/>
      <c r="X21367" s="24"/>
      <c r="Y21367" s="24"/>
      <c r="Z21367" s="24"/>
      <c r="AA21367" s="24"/>
    </row>
    <row r="21368">
      <c r="A21368" s="24"/>
      <c r="B21368" s="25"/>
      <c r="C21368" s="24"/>
      <c r="D21368" s="26"/>
      <c r="E21368" s="24"/>
      <c r="F21368" s="24"/>
      <c r="G21368" s="24"/>
      <c r="H21368" s="24"/>
      <c r="I21368" s="24"/>
      <c r="J21368" s="24"/>
      <c r="K21368" s="24"/>
      <c r="L21368" s="24"/>
      <c r="M21368" s="24"/>
      <c r="N21368" s="24"/>
      <c r="O21368" s="24"/>
      <c r="P21368" s="24"/>
      <c r="Q21368" s="24"/>
      <c r="R21368" s="24"/>
      <c r="S21368" s="24"/>
      <c r="T21368" s="24"/>
      <c r="U21368" s="24"/>
      <c r="V21368" s="24"/>
      <c r="W21368" s="24"/>
      <c r="X21368" s="24"/>
      <c r="Y21368" s="24"/>
      <c r="Z21368" s="24"/>
      <c r="AA21368" s="24"/>
    </row>
    <row r="21369">
      <c r="A21369" s="24"/>
      <c r="B21369" s="25"/>
      <c r="C21369" s="24"/>
      <c r="D21369" s="26"/>
      <c r="E21369" s="24"/>
      <c r="F21369" s="24"/>
      <c r="G21369" s="24"/>
      <c r="H21369" s="24"/>
      <c r="I21369" s="24"/>
      <c r="J21369" s="24"/>
      <c r="K21369" s="24"/>
      <c r="L21369" s="24"/>
      <c r="M21369" s="24"/>
      <c r="N21369" s="24"/>
      <c r="O21369" s="24"/>
      <c r="P21369" s="24"/>
      <c r="Q21369" s="24"/>
      <c r="R21369" s="24"/>
      <c r="S21369" s="24"/>
      <c r="T21369" s="24"/>
      <c r="U21369" s="24"/>
      <c r="V21369" s="24"/>
      <c r="W21369" s="24"/>
      <c r="X21369" s="24"/>
      <c r="Y21369" s="24"/>
      <c r="Z21369" s="24"/>
      <c r="AA21369" s="24"/>
    </row>
    <row r="21370">
      <c r="A21370" s="24"/>
      <c r="B21370" s="25"/>
      <c r="C21370" s="24"/>
      <c r="D21370" s="26"/>
      <c r="E21370" s="24"/>
      <c r="F21370" s="24"/>
      <c r="G21370" s="24"/>
      <c r="H21370" s="24"/>
      <c r="I21370" s="24"/>
      <c r="J21370" s="24"/>
      <c r="K21370" s="24"/>
      <c r="L21370" s="24"/>
      <c r="M21370" s="24"/>
      <c r="N21370" s="24"/>
      <c r="O21370" s="24"/>
      <c r="P21370" s="24"/>
      <c r="Q21370" s="24"/>
      <c r="R21370" s="24"/>
      <c r="S21370" s="24"/>
      <c r="T21370" s="24"/>
      <c r="U21370" s="24"/>
      <c r="V21370" s="24"/>
      <c r="W21370" s="24"/>
      <c r="X21370" s="24"/>
      <c r="Y21370" s="24"/>
      <c r="Z21370" s="24"/>
      <c r="AA21370" s="24"/>
    </row>
    <row r="21371">
      <c r="A21371" s="24"/>
      <c r="B21371" s="25"/>
      <c r="C21371" s="24"/>
      <c r="D21371" s="26"/>
      <c r="E21371" s="24"/>
      <c r="F21371" s="24"/>
      <c r="G21371" s="24"/>
      <c r="H21371" s="24"/>
      <c r="I21371" s="24"/>
      <c r="J21371" s="24"/>
      <c r="K21371" s="24"/>
      <c r="L21371" s="24"/>
      <c r="M21371" s="24"/>
      <c r="N21371" s="24"/>
      <c r="O21371" s="24"/>
      <c r="P21371" s="24"/>
      <c r="Q21371" s="24"/>
      <c r="R21371" s="24"/>
      <c r="S21371" s="24"/>
      <c r="T21371" s="24"/>
      <c r="U21371" s="24"/>
      <c r="V21371" s="24"/>
      <c r="W21371" s="24"/>
      <c r="X21371" s="24"/>
      <c r="Y21371" s="24"/>
      <c r="Z21371" s="24"/>
      <c r="AA21371" s="24"/>
    </row>
    <row r="21372">
      <c r="A21372" s="24"/>
      <c r="B21372" s="25"/>
      <c r="C21372" s="24"/>
      <c r="D21372" s="26"/>
      <c r="E21372" s="24"/>
      <c r="F21372" s="24"/>
      <c r="G21372" s="24"/>
      <c r="H21372" s="24"/>
      <c r="I21372" s="24"/>
      <c r="J21372" s="24"/>
      <c r="K21372" s="24"/>
      <c r="L21372" s="24"/>
      <c r="M21372" s="24"/>
      <c r="N21372" s="24"/>
      <c r="O21372" s="24"/>
      <c r="P21372" s="24"/>
      <c r="Q21372" s="24"/>
      <c r="R21372" s="24"/>
      <c r="S21372" s="24"/>
      <c r="T21372" s="24"/>
      <c r="U21372" s="24"/>
      <c r="V21372" s="24"/>
      <c r="W21372" s="24"/>
      <c r="X21372" s="24"/>
      <c r="Y21372" s="24"/>
      <c r="Z21372" s="24"/>
      <c r="AA21372" s="24"/>
    </row>
    <row r="21373">
      <c r="A21373" s="24"/>
      <c r="B21373" s="25"/>
      <c r="C21373" s="24"/>
      <c r="D21373" s="26"/>
      <c r="E21373" s="24"/>
      <c r="F21373" s="24"/>
      <c r="G21373" s="24"/>
      <c r="H21373" s="24"/>
      <c r="I21373" s="24"/>
      <c r="J21373" s="24"/>
      <c r="K21373" s="24"/>
      <c r="L21373" s="24"/>
      <c r="M21373" s="24"/>
      <c r="N21373" s="24"/>
      <c r="O21373" s="24"/>
      <c r="P21373" s="24"/>
      <c r="Q21373" s="24"/>
      <c r="R21373" s="24"/>
      <c r="S21373" s="24"/>
      <c r="T21373" s="24"/>
      <c r="U21373" s="24"/>
      <c r="V21373" s="24"/>
      <c r="W21373" s="24"/>
      <c r="X21373" s="24"/>
      <c r="Y21373" s="24"/>
      <c r="Z21373" s="24"/>
      <c r="AA21373" s="24"/>
    </row>
    <row r="21374">
      <c r="A21374" s="24"/>
      <c r="B21374" s="25"/>
      <c r="C21374" s="24"/>
      <c r="D21374" s="26"/>
      <c r="E21374" s="24"/>
      <c r="F21374" s="24"/>
      <c r="G21374" s="24"/>
      <c r="H21374" s="24"/>
      <c r="I21374" s="24"/>
      <c r="J21374" s="24"/>
      <c r="K21374" s="24"/>
      <c r="L21374" s="24"/>
      <c r="M21374" s="24"/>
      <c r="N21374" s="24"/>
      <c r="O21374" s="24"/>
      <c r="P21374" s="24"/>
      <c r="Q21374" s="24"/>
      <c r="R21374" s="24"/>
      <c r="S21374" s="24"/>
      <c r="T21374" s="24"/>
      <c r="U21374" s="24"/>
      <c r="V21374" s="24"/>
      <c r="W21374" s="24"/>
      <c r="X21374" s="24"/>
      <c r="Y21374" s="24"/>
      <c r="Z21374" s="24"/>
      <c r="AA21374" s="24"/>
    </row>
    <row r="21375">
      <c r="A21375" s="24"/>
      <c r="B21375" s="25"/>
      <c r="C21375" s="24"/>
      <c r="D21375" s="26"/>
      <c r="E21375" s="24"/>
      <c r="F21375" s="24"/>
      <c r="G21375" s="24"/>
      <c r="H21375" s="24"/>
      <c r="I21375" s="24"/>
      <c r="J21375" s="24"/>
      <c r="K21375" s="24"/>
      <c r="L21375" s="24"/>
      <c r="M21375" s="24"/>
      <c r="N21375" s="24"/>
      <c r="O21375" s="24"/>
      <c r="P21375" s="24"/>
      <c r="Q21375" s="24"/>
      <c r="R21375" s="24"/>
      <c r="S21375" s="24"/>
      <c r="T21375" s="24"/>
      <c r="U21375" s="24"/>
      <c r="V21375" s="24"/>
      <c r="W21375" s="24"/>
      <c r="X21375" s="24"/>
      <c r="Y21375" s="24"/>
      <c r="Z21375" s="24"/>
      <c r="AA21375" s="24"/>
    </row>
    <row r="21376">
      <c r="A21376" s="24"/>
      <c r="B21376" s="25"/>
      <c r="C21376" s="24"/>
      <c r="D21376" s="26"/>
      <c r="E21376" s="24"/>
      <c r="F21376" s="24"/>
      <c r="G21376" s="24"/>
      <c r="H21376" s="24"/>
      <c r="I21376" s="24"/>
      <c r="J21376" s="24"/>
      <c r="K21376" s="24"/>
      <c r="L21376" s="24"/>
      <c r="M21376" s="24"/>
      <c r="N21376" s="24"/>
      <c r="O21376" s="24"/>
      <c r="P21376" s="24"/>
      <c r="Q21376" s="24"/>
      <c r="R21376" s="24"/>
      <c r="S21376" s="24"/>
      <c r="T21376" s="24"/>
      <c r="U21376" s="24"/>
      <c r="V21376" s="24"/>
      <c r="W21376" s="24"/>
      <c r="X21376" s="24"/>
      <c r="Y21376" s="24"/>
      <c r="Z21376" s="24"/>
      <c r="AA21376" s="24"/>
    </row>
    <row r="21377">
      <c r="A21377" s="24"/>
      <c r="B21377" s="25"/>
      <c r="C21377" s="24"/>
      <c r="D21377" s="26"/>
      <c r="E21377" s="24"/>
      <c r="F21377" s="24"/>
      <c r="G21377" s="24"/>
      <c r="H21377" s="24"/>
      <c r="I21377" s="24"/>
      <c r="J21377" s="24"/>
      <c r="K21377" s="24"/>
      <c r="L21377" s="24"/>
      <c r="M21377" s="24"/>
      <c r="N21377" s="24"/>
      <c r="O21377" s="24"/>
      <c r="P21377" s="24"/>
      <c r="Q21377" s="24"/>
      <c r="R21377" s="24"/>
      <c r="S21377" s="24"/>
      <c r="T21377" s="24"/>
      <c r="U21377" s="24"/>
      <c r="V21377" s="24"/>
      <c r="W21377" s="24"/>
      <c r="X21377" s="24"/>
      <c r="Y21377" s="24"/>
      <c r="Z21377" s="24"/>
      <c r="AA21377" s="24"/>
    </row>
    <row r="21378">
      <c r="A21378" s="24"/>
      <c r="B21378" s="25"/>
      <c r="C21378" s="24"/>
      <c r="D21378" s="26"/>
      <c r="E21378" s="24"/>
      <c r="F21378" s="24"/>
      <c r="G21378" s="24"/>
      <c r="H21378" s="24"/>
      <c r="I21378" s="24"/>
      <c r="J21378" s="24"/>
      <c r="K21378" s="24"/>
      <c r="L21378" s="24"/>
      <c r="M21378" s="24"/>
      <c r="N21378" s="24"/>
      <c r="O21378" s="24"/>
      <c r="P21378" s="24"/>
      <c r="Q21378" s="24"/>
      <c r="R21378" s="24"/>
      <c r="S21378" s="24"/>
      <c r="T21378" s="24"/>
      <c r="U21378" s="24"/>
      <c r="V21378" s="24"/>
      <c r="W21378" s="24"/>
      <c r="X21378" s="24"/>
      <c r="Y21378" s="24"/>
      <c r="Z21378" s="24"/>
      <c r="AA21378" s="24"/>
    </row>
    <row r="21379">
      <c r="A21379" s="24"/>
      <c r="B21379" s="25"/>
      <c r="C21379" s="24"/>
      <c r="D21379" s="26"/>
      <c r="E21379" s="24"/>
      <c r="F21379" s="24"/>
      <c r="G21379" s="24"/>
      <c r="H21379" s="24"/>
      <c r="I21379" s="24"/>
      <c r="J21379" s="24"/>
      <c r="K21379" s="24"/>
      <c r="L21379" s="24"/>
      <c r="M21379" s="24"/>
      <c r="N21379" s="24"/>
      <c r="O21379" s="24"/>
      <c r="P21379" s="24"/>
      <c r="Q21379" s="24"/>
      <c r="R21379" s="24"/>
      <c r="S21379" s="24"/>
      <c r="T21379" s="24"/>
      <c r="U21379" s="24"/>
      <c r="V21379" s="24"/>
      <c r="W21379" s="24"/>
      <c r="X21379" s="24"/>
      <c r="Y21379" s="24"/>
      <c r="Z21379" s="24"/>
      <c r="AA21379" s="24"/>
    </row>
    <row r="21380">
      <c r="A21380" s="24"/>
      <c r="B21380" s="25"/>
      <c r="C21380" s="24"/>
      <c r="D21380" s="26"/>
      <c r="E21380" s="24"/>
      <c r="F21380" s="24"/>
      <c r="G21380" s="24"/>
      <c r="H21380" s="24"/>
      <c r="I21380" s="24"/>
      <c r="J21380" s="24"/>
      <c r="K21380" s="24"/>
      <c r="L21380" s="24"/>
      <c r="M21380" s="24"/>
      <c r="N21380" s="24"/>
      <c r="O21380" s="24"/>
      <c r="P21380" s="24"/>
      <c r="Q21380" s="24"/>
      <c r="R21380" s="24"/>
      <c r="S21380" s="24"/>
      <c r="T21380" s="24"/>
      <c r="U21380" s="24"/>
      <c r="V21380" s="24"/>
      <c r="W21380" s="24"/>
      <c r="X21380" s="24"/>
      <c r="Y21380" s="24"/>
      <c r="Z21380" s="24"/>
      <c r="AA21380" s="24"/>
    </row>
    <row r="21381">
      <c r="A21381" s="24"/>
      <c r="B21381" s="25"/>
      <c r="C21381" s="24"/>
      <c r="D21381" s="26"/>
      <c r="E21381" s="24"/>
      <c r="F21381" s="24"/>
      <c r="G21381" s="24"/>
      <c r="H21381" s="24"/>
      <c r="I21381" s="24"/>
      <c r="J21381" s="24"/>
      <c r="K21381" s="24"/>
      <c r="L21381" s="24"/>
      <c r="M21381" s="24"/>
      <c r="N21381" s="24"/>
      <c r="O21381" s="24"/>
      <c r="P21381" s="24"/>
      <c r="Q21381" s="24"/>
      <c r="R21381" s="24"/>
      <c r="S21381" s="24"/>
      <c r="T21381" s="24"/>
      <c r="U21381" s="24"/>
      <c r="V21381" s="24"/>
      <c r="W21381" s="24"/>
      <c r="X21381" s="24"/>
      <c r="Y21381" s="24"/>
      <c r="Z21381" s="24"/>
      <c r="AA21381" s="24"/>
    </row>
    <row r="21382">
      <c r="A21382" s="24"/>
      <c r="B21382" s="25"/>
      <c r="C21382" s="24"/>
      <c r="D21382" s="26"/>
      <c r="E21382" s="24"/>
      <c r="F21382" s="24"/>
      <c r="G21382" s="24"/>
      <c r="H21382" s="24"/>
      <c r="I21382" s="24"/>
      <c r="J21382" s="24"/>
      <c r="K21382" s="24"/>
      <c r="L21382" s="24"/>
      <c r="M21382" s="24"/>
      <c r="N21382" s="24"/>
      <c r="O21382" s="24"/>
      <c r="P21382" s="24"/>
      <c r="Q21382" s="24"/>
      <c r="R21382" s="24"/>
      <c r="S21382" s="24"/>
      <c r="T21382" s="24"/>
      <c r="U21382" s="24"/>
      <c r="V21382" s="24"/>
      <c r="W21382" s="24"/>
      <c r="X21382" s="24"/>
      <c r="Y21382" s="24"/>
      <c r="Z21382" s="24"/>
      <c r="AA21382" s="24"/>
    </row>
    <row r="21383">
      <c r="A21383" s="24"/>
      <c r="B21383" s="25"/>
      <c r="C21383" s="24"/>
      <c r="D21383" s="26"/>
      <c r="E21383" s="24"/>
      <c r="F21383" s="24"/>
      <c r="G21383" s="24"/>
      <c r="H21383" s="24"/>
      <c r="I21383" s="24"/>
      <c r="J21383" s="24"/>
      <c r="K21383" s="24"/>
      <c r="L21383" s="24"/>
      <c r="M21383" s="24"/>
      <c r="N21383" s="24"/>
      <c r="O21383" s="24"/>
      <c r="P21383" s="24"/>
      <c r="Q21383" s="24"/>
      <c r="R21383" s="24"/>
      <c r="S21383" s="24"/>
      <c r="T21383" s="24"/>
      <c r="U21383" s="24"/>
      <c r="V21383" s="24"/>
      <c r="W21383" s="24"/>
      <c r="X21383" s="24"/>
      <c r="Y21383" s="24"/>
      <c r="Z21383" s="24"/>
      <c r="AA21383" s="24"/>
    </row>
    <row r="21384">
      <c r="A21384" s="24"/>
      <c r="B21384" s="25"/>
      <c r="C21384" s="24"/>
      <c r="D21384" s="26"/>
      <c r="E21384" s="24"/>
      <c r="F21384" s="24"/>
      <c r="G21384" s="24"/>
      <c r="H21384" s="24"/>
      <c r="I21384" s="24"/>
      <c r="J21384" s="24"/>
      <c r="K21384" s="24"/>
      <c r="L21384" s="24"/>
      <c r="M21384" s="24"/>
      <c r="N21384" s="24"/>
      <c r="O21384" s="24"/>
      <c r="P21384" s="24"/>
      <c r="Q21384" s="24"/>
      <c r="R21384" s="24"/>
      <c r="S21384" s="24"/>
      <c r="T21384" s="24"/>
      <c r="U21384" s="24"/>
      <c r="V21384" s="24"/>
      <c r="W21384" s="24"/>
      <c r="X21384" s="24"/>
      <c r="Y21384" s="24"/>
      <c r="Z21384" s="24"/>
      <c r="AA21384" s="24"/>
    </row>
    <row r="21385">
      <c r="A21385" s="24"/>
      <c r="B21385" s="25"/>
      <c r="C21385" s="24"/>
      <c r="D21385" s="26"/>
      <c r="E21385" s="24"/>
      <c r="F21385" s="24"/>
      <c r="G21385" s="24"/>
      <c r="H21385" s="24"/>
      <c r="I21385" s="24"/>
      <c r="J21385" s="24"/>
      <c r="K21385" s="24"/>
      <c r="L21385" s="24"/>
      <c r="M21385" s="24"/>
      <c r="N21385" s="24"/>
      <c r="O21385" s="24"/>
      <c r="P21385" s="24"/>
      <c r="Q21385" s="24"/>
      <c r="R21385" s="24"/>
      <c r="S21385" s="24"/>
      <c r="T21385" s="24"/>
      <c r="U21385" s="24"/>
      <c r="V21385" s="24"/>
      <c r="W21385" s="24"/>
      <c r="X21385" s="24"/>
      <c r="Y21385" s="24"/>
      <c r="Z21385" s="24"/>
      <c r="AA21385" s="24"/>
    </row>
    <row r="21386">
      <c r="A21386" s="24"/>
      <c r="B21386" s="25"/>
      <c r="C21386" s="24"/>
      <c r="D21386" s="26"/>
      <c r="E21386" s="24"/>
      <c r="F21386" s="24"/>
      <c r="G21386" s="24"/>
      <c r="H21386" s="24"/>
      <c r="I21386" s="24"/>
      <c r="J21386" s="24"/>
      <c r="K21386" s="24"/>
      <c r="L21386" s="24"/>
      <c r="M21386" s="24"/>
      <c r="N21386" s="24"/>
      <c r="O21386" s="24"/>
      <c r="P21386" s="24"/>
      <c r="Q21386" s="24"/>
      <c r="R21386" s="24"/>
      <c r="S21386" s="24"/>
      <c r="T21386" s="24"/>
      <c r="U21386" s="24"/>
      <c r="V21386" s="24"/>
      <c r="W21386" s="24"/>
      <c r="X21386" s="24"/>
      <c r="Y21386" s="24"/>
      <c r="Z21386" s="24"/>
      <c r="AA21386" s="24"/>
    </row>
    <row r="21387">
      <c r="A21387" s="24"/>
      <c r="B21387" s="25"/>
      <c r="C21387" s="24"/>
      <c r="D21387" s="26"/>
      <c r="E21387" s="24"/>
      <c r="F21387" s="24"/>
      <c r="G21387" s="24"/>
      <c r="H21387" s="24"/>
      <c r="I21387" s="24"/>
      <c r="J21387" s="24"/>
      <c r="K21387" s="24"/>
      <c r="L21387" s="24"/>
      <c r="M21387" s="24"/>
      <c r="N21387" s="24"/>
      <c r="O21387" s="24"/>
      <c r="P21387" s="24"/>
      <c r="Q21387" s="24"/>
      <c r="R21387" s="24"/>
      <c r="S21387" s="24"/>
      <c r="T21387" s="24"/>
      <c r="U21387" s="24"/>
      <c r="V21387" s="24"/>
      <c r="W21387" s="24"/>
      <c r="X21387" s="24"/>
      <c r="Y21387" s="24"/>
      <c r="Z21387" s="24"/>
      <c r="AA21387" s="24"/>
    </row>
    <row r="21388">
      <c r="A21388" s="24"/>
      <c r="B21388" s="25"/>
      <c r="C21388" s="24"/>
      <c r="D21388" s="26"/>
      <c r="E21388" s="24"/>
      <c r="F21388" s="24"/>
      <c r="G21388" s="24"/>
      <c r="H21388" s="24"/>
      <c r="I21388" s="24"/>
      <c r="J21388" s="24"/>
      <c r="K21388" s="24"/>
      <c r="L21388" s="24"/>
      <c r="M21388" s="24"/>
      <c r="N21388" s="24"/>
      <c r="O21388" s="24"/>
      <c r="P21388" s="24"/>
      <c r="Q21388" s="24"/>
      <c r="R21388" s="24"/>
      <c r="S21388" s="24"/>
      <c r="T21388" s="24"/>
      <c r="U21388" s="24"/>
      <c r="V21388" s="24"/>
      <c r="W21388" s="24"/>
      <c r="X21388" s="24"/>
      <c r="Y21388" s="24"/>
      <c r="Z21388" s="24"/>
      <c r="AA21388" s="24"/>
    </row>
    <row r="21389">
      <c r="A21389" s="24"/>
      <c r="B21389" s="25"/>
      <c r="C21389" s="24"/>
      <c r="D21389" s="26"/>
      <c r="E21389" s="24"/>
      <c r="F21389" s="24"/>
      <c r="G21389" s="24"/>
      <c r="H21389" s="24"/>
      <c r="I21389" s="24"/>
      <c r="J21389" s="24"/>
      <c r="K21389" s="24"/>
      <c r="L21389" s="24"/>
      <c r="M21389" s="24"/>
      <c r="N21389" s="24"/>
      <c r="O21389" s="24"/>
      <c r="P21389" s="24"/>
      <c r="Q21389" s="24"/>
      <c r="R21389" s="24"/>
      <c r="S21389" s="24"/>
      <c r="T21389" s="24"/>
      <c r="U21389" s="24"/>
      <c r="V21389" s="24"/>
      <c r="W21389" s="24"/>
      <c r="X21389" s="24"/>
      <c r="Y21389" s="24"/>
      <c r="Z21389" s="24"/>
      <c r="AA21389" s="24"/>
    </row>
    <row r="21390">
      <c r="A21390" s="24"/>
      <c r="B21390" s="25"/>
      <c r="C21390" s="24"/>
      <c r="D21390" s="26"/>
      <c r="E21390" s="24"/>
      <c r="F21390" s="24"/>
      <c r="G21390" s="24"/>
      <c r="H21390" s="24"/>
      <c r="I21390" s="24"/>
      <c r="J21390" s="24"/>
      <c r="K21390" s="24"/>
      <c r="L21390" s="24"/>
      <c r="M21390" s="24"/>
      <c r="N21390" s="24"/>
      <c r="O21390" s="24"/>
      <c r="P21390" s="24"/>
      <c r="Q21390" s="24"/>
      <c r="R21390" s="24"/>
      <c r="S21390" s="24"/>
      <c r="T21390" s="24"/>
      <c r="U21390" s="24"/>
      <c r="V21390" s="24"/>
      <c r="W21390" s="24"/>
      <c r="X21390" s="24"/>
      <c r="Y21390" s="24"/>
      <c r="Z21390" s="24"/>
      <c r="AA21390" s="24"/>
    </row>
    <row r="21391">
      <c r="A21391" s="24"/>
      <c r="B21391" s="25"/>
      <c r="C21391" s="24"/>
      <c r="D21391" s="26"/>
      <c r="E21391" s="24"/>
      <c r="F21391" s="24"/>
      <c r="G21391" s="24"/>
      <c r="H21391" s="24"/>
      <c r="I21391" s="24"/>
      <c r="J21391" s="24"/>
      <c r="K21391" s="24"/>
      <c r="L21391" s="24"/>
      <c r="M21391" s="24"/>
      <c r="N21391" s="24"/>
      <c r="O21391" s="24"/>
      <c r="P21391" s="24"/>
      <c r="Q21391" s="24"/>
      <c r="R21391" s="24"/>
      <c r="S21391" s="24"/>
      <c r="T21391" s="24"/>
      <c r="U21391" s="24"/>
      <c r="V21391" s="24"/>
      <c r="W21391" s="24"/>
      <c r="X21391" s="24"/>
      <c r="Y21391" s="24"/>
      <c r="Z21391" s="24"/>
      <c r="AA21391" s="24"/>
    </row>
    <row r="21392">
      <c r="A21392" s="24"/>
      <c r="B21392" s="25"/>
      <c r="C21392" s="24"/>
      <c r="D21392" s="26"/>
      <c r="E21392" s="24"/>
      <c r="F21392" s="24"/>
      <c r="G21392" s="24"/>
      <c r="H21392" s="24"/>
      <c r="I21392" s="24"/>
      <c r="J21392" s="24"/>
      <c r="K21392" s="24"/>
      <c r="L21392" s="24"/>
      <c r="M21392" s="24"/>
      <c r="N21392" s="24"/>
      <c r="O21392" s="24"/>
      <c r="P21392" s="24"/>
      <c r="Q21392" s="24"/>
      <c r="R21392" s="24"/>
      <c r="S21392" s="24"/>
      <c r="T21392" s="24"/>
      <c r="U21392" s="24"/>
      <c r="V21392" s="24"/>
      <c r="W21392" s="24"/>
      <c r="X21392" s="24"/>
      <c r="Y21392" s="24"/>
      <c r="Z21392" s="24"/>
      <c r="AA21392" s="24"/>
    </row>
    <row r="21393">
      <c r="A21393" s="24"/>
      <c r="B21393" s="25"/>
      <c r="C21393" s="24"/>
      <c r="D21393" s="26"/>
      <c r="E21393" s="24"/>
      <c r="F21393" s="24"/>
      <c r="G21393" s="24"/>
      <c r="H21393" s="24"/>
      <c r="I21393" s="24"/>
      <c r="J21393" s="24"/>
      <c r="K21393" s="24"/>
      <c r="L21393" s="24"/>
      <c r="M21393" s="24"/>
      <c r="N21393" s="24"/>
      <c r="O21393" s="24"/>
      <c r="P21393" s="24"/>
      <c r="Q21393" s="24"/>
      <c r="R21393" s="24"/>
      <c r="S21393" s="24"/>
      <c r="T21393" s="24"/>
      <c r="U21393" s="24"/>
      <c r="V21393" s="24"/>
      <c r="W21393" s="24"/>
      <c r="X21393" s="24"/>
      <c r="Y21393" s="24"/>
      <c r="Z21393" s="24"/>
      <c r="AA21393" s="24"/>
    </row>
    <row r="21394">
      <c r="A21394" s="24"/>
      <c r="B21394" s="25"/>
      <c r="C21394" s="24"/>
      <c r="D21394" s="26"/>
      <c r="E21394" s="24"/>
      <c r="F21394" s="24"/>
      <c r="G21394" s="24"/>
      <c r="H21394" s="24"/>
      <c r="I21394" s="24"/>
      <c r="J21394" s="24"/>
      <c r="K21394" s="24"/>
      <c r="L21394" s="24"/>
      <c r="M21394" s="24"/>
      <c r="N21394" s="24"/>
      <c r="O21394" s="24"/>
      <c r="P21394" s="24"/>
      <c r="Q21394" s="24"/>
      <c r="R21394" s="24"/>
      <c r="S21394" s="24"/>
      <c r="T21394" s="24"/>
      <c r="U21394" s="24"/>
      <c r="V21394" s="24"/>
      <c r="W21394" s="24"/>
      <c r="X21394" s="24"/>
      <c r="Y21394" s="24"/>
      <c r="Z21394" s="24"/>
      <c r="AA21394" s="24"/>
    </row>
    <row r="21395">
      <c r="A21395" s="24"/>
      <c r="B21395" s="25"/>
      <c r="C21395" s="24"/>
      <c r="D21395" s="26"/>
      <c r="E21395" s="24"/>
      <c r="F21395" s="24"/>
      <c r="G21395" s="24"/>
      <c r="H21395" s="24"/>
      <c r="I21395" s="24"/>
      <c r="J21395" s="24"/>
      <c r="K21395" s="24"/>
      <c r="L21395" s="24"/>
      <c r="M21395" s="24"/>
      <c r="N21395" s="24"/>
      <c r="O21395" s="24"/>
      <c r="P21395" s="24"/>
      <c r="Q21395" s="24"/>
      <c r="R21395" s="24"/>
      <c r="S21395" s="24"/>
      <c r="T21395" s="24"/>
      <c r="U21395" s="24"/>
      <c r="V21395" s="24"/>
      <c r="W21395" s="24"/>
      <c r="X21395" s="24"/>
      <c r="Y21395" s="24"/>
      <c r="Z21395" s="24"/>
      <c r="AA21395" s="24"/>
    </row>
    <row r="21396">
      <c r="A21396" s="24"/>
      <c r="B21396" s="25"/>
      <c r="C21396" s="24"/>
      <c r="D21396" s="26"/>
      <c r="E21396" s="24"/>
      <c r="F21396" s="24"/>
      <c r="G21396" s="24"/>
      <c r="H21396" s="24"/>
      <c r="I21396" s="24"/>
      <c r="J21396" s="24"/>
      <c r="K21396" s="24"/>
      <c r="L21396" s="24"/>
      <c r="M21396" s="24"/>
      <c r="N21396" s="24"/>
      <c r="O21396" s="24"/>
      <c r="P21396" s="24"/>
      <c r="Q21396" s="24"/>
      <c r="R21396" s="24"/>
      <c r="S21396" s="24"/>
      <c r="T21396" s="24"/>
      <c r="U21396" s="24"/>
      <c r="V21396" s="24"/>
      <c r="W21396" s="24"/>
      <c r="X21396" s="24"/>
      <c r="Y21396" s="24"/>
      <c r="Z21396" s="24"/>
      <c r="AA21396" s="24"/>
    </row>
  </sheetData>
  <mergeCells count="2">
    <mergeCell ref="G1:J1"/>
    <mergeCell ref="G41:J41"/>
  </mergeCells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7" max="7" width="3.13"/>
  </cols>
  <sheetData>
    <row r="2">
      <c r="A2" s="7" t="s">
        <v>9980</v>
      </c>
      <c r="B2" s="27" t="s">
        <v>9981</v>
      </c>
    </row>
    <row r="3" ht="14.25" customHeight="1">
      <c r="A3" s="28" t="s">
        <v>9982</v>
      </c>
    </row>
    <row r="4" ht="14.25" customHeight="1"/>
    <row r="5">
      <c r="A5" s="29" t="s">
        <v>9983</v>
      </c>
      <c r="B5" s="30"/>
      <c r="C5" s="30"/>
      <c r="D5" s="30"/>
      <c r="E5" s="30"/>
      <c r="F5" s="30"/>
    </row>
    <row r="6">
      <c r="A6" s="31" t="s">
        <v>9984</v>
      </c>
    </row>
    <row r="7">
      <c r="A7" s="32" t="s">
        <v>9985</v>
      </c>
    </row>
    <row r="8">
      <c r="A8" s="33" t="s">
        <v>9986</v>
      </c>
    </row>
    <row r="9">
      <c r="A9" s="34" t="s">
        <v>9987</v>
      </c>
    </row>
    <row r="10">
      <c r="A10" s="35"/>
      <c r="B10" s="36"/>
      <c r="C10" s="36"/>
      <c r="D10" s="36"/>
      <c r="E10" s="36"/>
      <c r="F10" s="36"/>
    </row>
    <row r="11">
      <c r="A11" s="29" t="s">
        <v>9988</v>
      </c>
      <c r="B11" s="30"/>
      <c r="C11" s="30"/>
      <c r="D11" s="30"/>
      <c r="E11" s="30"/>
      <c r="F11" s="30"/>
    </row>
    <row r="12">
      <c r="A12" s="31" t="s">
        <v>9984</v>
      </c>
      <c r="B12" s="37"/>
      <c r="C12" s="37"/>
      <c r="D12" s="37"/>
      <c r="E12" s="37"/>
      <c r="F12" s="37"/>
    </row>
    <row r="13">
      <c r="A13" s="38" t="s">
        <v>9989</v>
      </c>
      <c r="B13" s="37"/>
      <c r="C13" s="37"/>
      <c r="D13" s="37"/>
      <c r="E13" s="37"/>
      <c r="F13" s="37"/>
    </row>
    <row r="14">
      <c r="A14" s="38" t="s">
        <v>9990</v>
      </c>
      <c r="B14" s="37"/>
      <c r="C14" s="37"/>
      <c r="D14" s="37"/>
      <c r="E14" s="37"/>
      <c r="F14" s="37"/>
    </row>
    <row r="15">
      <c r="A15" s="39" t="s">
        <v>9991</v>
      </c>
      <c r="B15" s="39"/>
      <c r="C15" s="39"/>
      <c r="D15" s="39"/>
      <c r="E15" s="39"/>
      <c r="F15" s="39"/>
    </row>
    <row r="17">
      <c r="A17" s="40" t="s">
        <v>9992</v>
      </c>
      <c r="B17" s="41"/>
      <c r="C17" s="41"/>
      <c r="D17" s="41"/>
      <c r="E17" s="41"/>
      <c r="F17" s="41"/>
    </row>
    <row r="18">
      <c r="A18" s="42" t="s">
        <v>9984</v>
      </c>
      <c r="B18" s="43"/>
      <c r="C18" s="43"/>
      <c r="D18" s="43"/>
      <c r="E18" s="43"/>
      <c r="F18" s="43"/>
    </row>
    <row r="19">
      <c r="A19" s="38" t="s">
        <v>9993</v>
      </c>
      <c r="B19" s="43"/>
      <c r="C19" s="43"/>
      <c r="D19" s="43"/>
      <c r="E19" s="43"/>
      <c r="F19" s="43"/>
    </row>
    <row r="20">
      <c r="A20" s="38" t="s">
        <v>9994</v>
      </c>
      <c r="B20" s="43"/>
      <c r="C20" s="43"/>
      <c r="D20" s="43"/>
      <c r="E20" s="43"/>
      <c r="F20" s="43"/>
    </row>
    <row r="21">
      <c r="A21" s="38" t="s">
        <v>9995</v>
      </c>
      <c r="B21" s="43"/>
      <c r="C21" s="44"/>
      <c r="D21" s="43"/>
      <c r="E21" s="43"/>
      <c r="F21" s="43"/>
    </row>
    <row r="22">
      <c r="A22" s="38" t="s">
        <v>9990</v>
      </c>
      <c r="B22" s="43"/>
      <c r="C22" s="43"/>
      <c r="D22" s="43"/>
      <c r="E22" s="43"/>
      <c r="F22" s="43"/>
    </row>
    <row r="23">
      <c r="A23" s="39" t="s">
        <v>9996</v>
      </c>
      <c r="B23" s="45"/>
      <c r="C23" s="45"/>
      <c r="D23" s="45"/>
      <c r="E23" s="45"/>
      <c r="F23" s="45"/>
    </row>
  </sheetData>
  <mergeCells count="4">
    <mergeCell ref="A6:F6"/>
    <mergeCell ref="A7:F7"/>
    <mergeCell ref="A8:F8"/>
    <mergeCell ref="A9:F9"/>
  </mergeCells>
  <hyperlinks>
    <hyperlink r:id="rId1" ref="B2"/>
    <hyperlink r:id="rId2" ref="A3"/>
  </hyperlinks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38"/>
    <col customWidth="1" min="2" max="2" width="34.25"/>
    <col customWidth="1" min="3" max="3" width="35.13"/>
    <col customWidth="1" min="4" max="4" width="30.88"/>
  </cols>
  <sheetData>
    <row r="1">
      <c r="A1" s="46" t="s">
        <v>9997</v>
      </c>
      <c r="B1" s="46" t="s">
        <v>9998</v>
      </c>
      <c r="C1" s="47" t="s">
        <v>9999</v>
      </c>
      <c r="O1" s="48" t="s">
        <v>9999</v>
      </c>
    </row>
    <row r="2">
      <c r="A2" s="49" t="s">
        <v>10000</v>
      </c>
      <c r="B2" s="49" t="s">
        <v>10001</v>
      </c>
      <c r="C2" s="50" t="str">
        <f>IFERROR(__xludf.DUMMYFUNCTION("INDEX($B$2:$B$4, MATCH(MAX(IF(ISNUMBER(SEARCH(SPLIT(A2, "", ""), $B$2:$B$4)), LEN($B$2:$B$4), 0)), LEN($B$2:$B$4), 0))"),"app, data, insta")</f>
        <v>app, data, insta</v>
      </c>
      <c r="O2" s="49" t="s">
        <v>10002</v>
      </c>
    </row>
    <row r="3">
      <c r="A3" s="49" t="s">
        <v>10003</v>
      </c>
      <c r="B3" s="49" t="s">
        <v>10004</v>
      </c>
      <c r="C3" s="50" t="str">
        <f>IFERROR(__xludf.DUMMYFUNCTION("INDEX($B$2:$B$4, MATCH(MAX(IF(ISNUMBER(SEARCH(SPLIT(A3, "", ""), $B$2:$B$4)), LEN($B$2:$B$4), 0)), LEN($B$2:$B$4), 0))"),"app, data, insta")</f>
        <v>app, data, insta</v>
      </c>
      <c r="O3" s="51" t="s">
        <v>10005</v>
      </c>
    </row>
    <row r="4">
      <c r="A4" s="52" t="s">
        <v>10006</v>
      </c>
      <c r="B4" s="49" t="s">
        <v>10007</v>
      </c>
      <c r="C4" s="50" t="str">
        <f>IFERROR(__xludf.DUMMYFUNCTION("INDEX($B$2:$B$4, MATCH(MAX(IF(ISNUMBER(SEARCH(SPLIT(A4, "", ""), $B$2:$B$4)), LEN($B$2:$B$4), 0)), LEN($B$2:$B$4), 0))"),"app, data, insta")</f>
        <v>app, data, insta</v>
      </c>
      <c r="E4" s="53"/>
      <c r="O4" s="49" t="s">
        <v>10001</v>
      </c>
    </row>
    <row r="5">
      <c r="E5" s="53"/>
    </row>
    <row r="6">
      <c r="B6" s="49"/>
    </row>
    <row r="7">
      <c r="B7" s="54" t="s">
        <v>10008</v>
      </c>
    </row>
    <row r="8">
      <c r="B8" s="54" t="s">
        <v>10009</v>
      </c>
    </row>
    <row r="9">
      <c r="B9" s="54" t="s">
        <v>10010</v>
      </c>
    </row>
  </sheetData>
  <mergeCells count="3">
    <mergeCell ref="B7:D7"/>
    <mergeCell ref="B8:D8"/>
    <mergeCell ref="B9:D9"/>
  </mergeCells>
  <drawing r:id="rId1"/>
</worksheet>
</file>